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User\csepulvedaa\Documents\REM\REM23\NUEVOS DICCIONARIOS\REM A\"/>
    </mc:Choice>
  </mc:AlternateContent>
  <xr:revisionPtr revIDLastSave="0" documentId="13_ncr:1_{3074703B-0D0D-4000-A87C-A786C2A4F68D}" xr6:coauthVersionLast="47" xr6:coauthVersionMax="47" xr10:uidLastSave="{00000000-0000-0000-0000-000000000000}"/>
  <bookViews>
    <workbookView xWindow="-108" yWindow="-108" windowWidth="23256" windowHeight="12576" tabRatio="897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60" r:id="rId10"/>
    <sheet name="A11" sheetId="52" r:id="rId11"/>
    <sheet name="A11a" sheetId="57" r:id="rId12"/>
    <sheet name="A19a" sheetId="42" r:id="rId13"/>
    <sheet name="A19b" sheetId="53" r:id="rId14"/>
    <sheet name="A21" sheetId="48" r:id="rId15"/>
    <sheet name="A23" sheetId="54" r:id="rId16"/>
    <sheet name="A24" sheetId="43" r:id="rId17"/>
    <sheet name="A25" sheetId="55" r:id="rId18"/>
    <sheet name="A26" sheetId="49" r:id="rId19"/>
    <sheet name="A27" sheetId="31" r:id="rId20"/>
    <sheet name="A28" sheetId="37" r:id="rId21"/>
    <sheet name="A29" sheetId="44" r:id="rId22"/>
    <sheet name="A30" sheetId="50" r:id="rId23"/>
    <sheet name="A30AR" sheetId="61" r:id="rId24"/>
    <sheet name="A31" sheetId="36" r:id="rId25"/>
    <sheet name="A32" sheetId="58" r:id="rId26"/>
    <sheet name="A33" sheetId="59" r:id="rId27"/>
    <sheet name="Control" sheetId="28" r:id="rId28"/>
    <sheet name="MACROS" sheetId="29" r:id="rId29"/>
  </sheets>
  <functionGroups builtInGroupCount="19"/>
  <definedNames>
    <definedName name="_xlnm.Print_Area" localSheetId="16">'A24'!$B$67:$T$73</definedName>
    <definedName name="_xlnm.Print_Area" localSheetId="27">Control!$A$1:$H$35</definedName>
    <definedName name="FAMILIA_CON_NIÑO_NANE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B70" i="60" l="1"/>
  <c r="CB70" i="60" s="1"/>
  <c r="DC70" i="60"/>
  <c r="CC70" i="60" s="1"/>
  <c r="DD70" i="60"/>
  <c r="CD70" i="60" s="1"/>
  <c r="DE70" i="60"/>
  <c r="CE70" i="60" s="1"/>
  <c r="DF70" i="60"/>
  <c r="CF70" i="60" s="1"/>
  <c r="DG70" i="60"/>
  <c r="CG70" i="60" s="1"/>
  <c r="E12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S12" i="43"/>
  <c r="T12" i="43"/>
  <c r="U12" i="43"/>
  <c r="V12" i="43"/>
  <c r="W12" i="43"/>
  <c r="X12" i="43"/>
  <c r="Y12" i="43"/>
  <c r="Z12" i="43"/>
  <c r="AA12" i="43"/>
  <c r="AB12" i="43"/>
  <c r="AC12" i="43"/>
  <c r="D12" i="43"/>
  <c r="S35" i="39"/>
  <c r="R35" i="39"/>
  <c r="S59" i="39"/>
  <c r="R59" i="39"/>
  <c r="P59" i="39"/>
  <c r="Q59" i="39"/>
  <c r="O59" i="39"/>
  <c r="Q35" i="39"/>
  <c r="P35" i="39"/>
  <c r="O35" i="39"/>
  <c r="DE214" i="52"/>
  <c r="DD214" i="52"/>
  <c r="DC214" i="52"/>
  <c r="DB214" i="52"/>
  <c r="DA214" i="52"/>
  <c r="CE214" i="52"/>
  <c r="CD214" i="52"/>
  <c r="CC214" i="52"/>
  <c r="CB214" i="52"/>
  <c r="CA214" i="52"/>
  <c r="L70" i="60" l="1"/>
  <c r="G177" i="37"/>
  <c r="D177" i="37"/>
  <c r="O70" i="43" l="1"/>
  <c r="P70" i="43"/>
  <c r="N70" i="43"/>
  <c r="M70" i="43"/>
  <c r="R30" i="61" l="1"/>
  <c r="Q30" i="61"/>
  <c r="P30" i="61"/>
  <c r="O30" i="61"/>
  <c r="L30" i="61"/>
  <c r="K30" i="61"/>
  <c r="N30" i="61"/>
  <c r="M30" i="61"/>
  <c r="J30" i="61"/>
  <c r="I30" i="61"/>
  <c r="H30" i="61"/>
  <c r="G30" i="61"/>
  <c r="G156" i="55"/>
  <c r="F156" i="55"/>
  <c r="L70" i="43"/>
  <c r="AM97" i="58"/>
  <c r="AL97" i="58"/>
  <c r="I177" i="37" l="1"/>
  <c r="F177" i="37"/>
  <c r="H177" i="37"/>
  <c r="J177" i="37"/>
  <c r="K177" i="37"/>
  <c r="L177" i="37"/>
  <c r="M177" i="37"/>
  <c r="N177" i="37"/>
  <c r="O177" i="37"/>
  <c r="P177" i="37"/>
  <c r="Q177" i="37"/>
  <c r="R177" i="37"/>
  <c r="S177" i="37"/>
  <c r="T177" i="37"/>
  <c r="U177" i="37"/>
  <c r="V177" i="37"/>
  <c r="W177" i="37"/>
  <c r="X177" i="37"/>
  <c r="Y177" i="37"/>
  <c r="Z177" i="37"/>
  <c r="AA177" i="37"/>
  <c r="AB177" i="37"/>
  <c r="AC177" i="37"/>
  <c r="AD177" i="37"/>
  <c r="AE177" i="37"/>
  <c r="AF177" i="37"/>
  <c r="AG177" i="37"/>
  <c r="AH177" i="37"/>
  <c r="AI177" i="37"/>
  <c r="AJ177" i="37"/>
  <c r="AK177" i="37"/>
  <c r="AL177" i="37"/>
  <c r="AM177" i="37"/>
  <c r="E177" i="37"/>
  <c r="AW166" i="46" l="1"/>
  <c r="AV166" i="46"/>
  <c r="AU166" i="46"/>
  <c r="AT166" i="46"/>
  <c r="AS166" i="46"/>
  <c r="AR166" i="46"/>
  <c r="AQ166" i="46"/>
  <c r="AP166" i="46"/>
  <c r="AO166" i="46"/>
  <c r="AN166" i="46"/>
  <c r="AM166" i="46"/>
  <c r="AL166" i="46"/>
  <c r="AK166" i="46"/>
  <c r="AJ166" i="46"/>
  <c r="AI166" i="46"/>
  <c r="AH166" i="46"/>
  <c r="AG166" i="46"/>
  <c r="AF166" i="46"/>
  <c r="AE166" i="46"/>
  <c r="AD166" i="46"/>
  <c r="AC166" i="46"/>
  <c r="AB166" i="46"/>
  <c r="AA166" i="46"/>
  <c r="Z166" i="46"/>
  <c r="Y166" i="46"/>
  <c r="X166" i="46"/>
  <c r="W166" i="46"/>
  <c r="V166" i="46"/>
  <c r="U166" i="46"/>
  <c r="T166" i="46"/>
  <c r="S166" i="46"/>
  <c r="R166" i="46"/>
  <c r="Q166" i="46"/>
  <c r="P166" i="46"/>
  <c r="O166" i="46"/>
  <c r="N166" i="46"/>
  <c r="M166" i="46"/>
  <c r="L166" i="46"/>
  <c r="K166" i="46"/>
  <c r="J166" i="46"/>
  <c r="I166" i="46"/>
  <c r="H166" i="46"/>
  <c r="G166" i="46"/>
  <c r="E166" i="46" l="1"/>
  <c r="F166" i="46"/>
  <c r="D166" i="46" l="1"/>
  <c r="E156" i="55"/>
  <c r="H156" i="55"/>
  <c r="I156" i="55"/>
  <c r="J156" i="55"/>
  <c r="D156" i="55" l="1"/>
  <c r="H199" i="45"/>
  <c r="I199" i="45"/>
  <c r="J199" i="45"/>
  <c r="K199" i="45"/>
  <c r="L199" i="45"/>
  <c r="M199" i="45"/>
  <c r="N199" i="45"/>
  <c r="O199" i="45"/>
  <c r="P199" i="45"/>
  <c r="Q199" i="45"/>
  <c r="R199" i="45"/>
  <c r="G199" i="45"/>
  <c r="DB118" i="49" l="1"/>
  <c r="DB117" i="49"/>
  <c r="DB116" i="49"/>
  <c r="DB115" i="49"/>
  <c r="DB114" i="49"/>
  <c r="DB113" i="49"/>
  <c r="DB112" i="49"/>
  <c r="DB111" i="49"/>
  <c r="DB110" i="49"/>
  <c r="DB109" i="49"/>
  <c r="DB108" i="49"/>
  <c r="DB107" i="49"/>
  <c r="DB106" i="49"/>
  <c r="DB105" i="49"/>
  <c r="DB104" i="49"/>
  <c r="R119" i="49"/>
  <c r="S119" i="49"/>
  <c r="T119" i="49"/>
  <c r="U119" i="49"/>
  <c r="V119" i="49"/>
  <c r="C186" i="32"/>
  <c r="C206" i="54"/>
  <c r="D22" i="28" s="1"/>
  <c r="D30" i="28"/>
  <c r="DA72" i="43" l="1"/>
  <c r="DA71" i="43"/>
  <c r="CA71" i="43" s="1"/>
  <c r="DC19" i="43"/>
  <c r="DD13" i="43"/>
  <c r="DC13" i="43"/>
  <c r="CP92" i="58"/>
  <c r="CP61" i="58"/>
  <c r="CQ39" i="58"/>
  <c r="CG39" i="58" s="1"/>
  <c r="CO64" i="44"/>
  <c r="N35" i="39" l="1"/>
  <c r="L70" i="54"/>
  <c r="K70" i="54"/>
  <c r="J70" i="54"/>
  <c r="I70" i="54"/>
  <c r="H70" i="54"/>
  <c r="G70" i="54"/>
  <c r="F70" i="54"/>
  <c r="E89" i="43"/>
  <c r="F89" i="43"/>
  <c r="G89" i="43"/>
  <c r="H89" i="43"/>
  <c r="I89" i="43"/>
  <c r="J89" i="43"/>
  <c r="D89" i="43"/>
  <c r="E271" i="55"/>
  <c r="D271" i="55"/>
  <c r="E267" i="55"/>
  <c r="D267" i="55"/>
  <c r="E262" i="55"/>
  <c r="D262" i="55"/>
  <c r="E258" i="55"/>
  <c r="D258" i="55"/>
  <c r="E70" i="54" l="1"/>
  <c r="D70" i="54"/>
  <c r="BZ86" i="45"/>
  <c r="BY86" i="45"/>
  <c r="BX86" i="45"/>
  <c r="BZ85" i="45"/>
  <c r="BY85" i="45"/>
  <c r="BX85" i="45"/>
  <c r="C70" i="54" l="1"/>
  <c r="CD215" i="58"/>
  <c r="N215" i="58" s="1"/>
  <c r="CD214" i="58"/>
  <c r="N214" i="58" s="1"/>
  <c r="CC64" i="44"/>
  <c r="CB64" i="44"/>
  <c r="CC63" i="44"/>
  <c r="CB63" i="44"/>
  <c r="CC59" i="44"/>
  <c r="CB59" i="44"/>
  <c r="DW215" i="52"/>
  <c r="CW215" i="52"/>
  <c r="DV215" i="52"/>
  <c r="CV215" i="52"/>
  <c r="DU215" i="52"/>
  <c r="CU215" i="52"/>
  <c r="DT215" i="52"/>
  <c r="CT215" i="52"/>
  <c r="DS215" i="52"/>
  <c r="CS215" i="52"/>
  <c r="DR215" i="52"/>
  <c r="CR215" i="52"/>
  <c r="DQ215" i="52"/>
  <c r="CQ215" i="52"/>
  <c r="DP215" i="52"/>
  <c r="CP215" i="52"/>
  <c r="DO215" i="52"/>
  <c r="CO215" i="52"/>
  <c r="DN215" i="52"/>
  <c r="CN215" i="52"/>
  <c r="DM215" i="52"/>
  <c r="CM215" i="52"/>
  <c r="DL215" i="52"/>
  <c r="CL215" i="52"/>
  <c r="DK215" i="52"/>
  <c r="CK215" i="52"/>
  <c r="DJ215" i="52"/>
  <c r="CJ215" i="52"/>
  <c r="DI215" i="52"/>
  <c r="CI215" i="52"/>
  <c r="DH215" i="52"/>
  <c r="CH215" i="52"/>
  <c r="DG215" i="52"/>
  <c r="CG215" i="52"/>
  <c r="DW214" i="52"/>
  <c r="CW214" i="52"/>
  <c r="DV214" i="52"/>
  <c r="CV214" i="52"/>
  <c r="DU214" i="52"/>
  <c r="CU214" i="52"/>
  <c r="DT214" i="52"/>
  <c r="CT214" i="52"/>
  <c r="DS214" i="52"/>
  <c r="CS214" i="52"/>
  <c r="DR214" i="52"/>
  <c r="CR214" i="52"/>
  <c r="DQ214" i="52"/>
  <c r="CQ214" i="52"/>
  <c r="DP214" i="52"/>
  <c r="CP214" i="52"/>
  <c r="DO214" i="52"/>
  <c r="CO214" i="52"/>
  <c r="DN214" i="52"/>
  <c r="CN214" i="52"/>
  <c r="DM214" i="52"/>
  <c r="CM214" i="52"/>
  <c r="DL214" i="52"/>
  <c r="CL214" i="52"/>
  <c r="DK214" i="52"/>
  <c r="CK214" i="52"/>
  <c r="DJ214" i="52"/>
  <c r="CJ214" i="52"/>
  <c r="DI214" i="52"/>
  <c r="CI214" i="52"/>
  <c r="DH214" i="52"/>
  <c r="CH214" i="52"/>
  <c r="DG214" i="52"/>
  <c r="CG214" i="52"/>
  <c r="DG80" i="60"/>
  <c r="CG80" i="60" s="1"/>
  <c r="DG79" i="60"/>
  <c r="CG79" i="60" s="1"/>
  <c r="DG78" i="60"/>
  <c r="CG78" i="60" s="1"/>
  <c r="DG77" i="60"/>
  <c r="CG77" i="60" s="1"/>
  <c r="DG76" i="60"/>
  <c r="CG76" i="60" s="1"/>
  <c r="DG75" i="60"/>
  <c r="CG75" i="60" s="1"/>
  <c r="DG74" i="60"/>
  <c r="CG74" i="60" s="1"/>
  <c r="DG73" i="60"/>
  <c r="CG73" i="60" s="1"/>
  <c r="DG72" i="60"/>
  <c r="CG72" i="60" s="1"/>
  <c r="DG71" i="60"/>
  <c r="CG71" i="60" s="1"/>
  <c r="DG69" i="60"/>
  <c r="CG69" i="60" s="1"/>
  <c r="DG68" i="60"/>
  <c r="CG68" i="60" s="1"/>
  <c r="DG67" i="60"/>
  <c r="CG67" i="60" s="1"/>
  <c r="DE67" i="60"/>
  <c r="DD42" i="60"/>
  <c r="CD42" i="60" s="1"/>
  <c r="DD41" i="60"/>
  <c r="DD35" i="60"/>
  <c r="CD35" i="60" s="1"/>
  <c r="DB35" i="60"/>
  <c r="CB35" i="60" s="1"/>
  <c r="DD34" i="60"/>
  <c r="CD34" i="60" s="1"/>
  <c r="DB34" i="60"/>
  <c r="CB34" i="60" s="1"/>
  <c r="DD33" i="60"/>
  <c r="CD33" i="60" s="1"/>
  <c r="DB33" i="60"/>
  <c r="CB33" i="60" s="1"/>
  <c r="DD32" i="60"/>
  <c r="CD32" i="60" s="1"/>
  <c r="DB32" i="60"/>
  <c r="CB32" i="60" s="1"/>
  <c r="DD31" i="60"/>
  <c r="CD31" i="60" s="1"/>
  <c r="DB31" i="60"/>
  <c r="CB31" i="60" s="1"/>
  <c r="DD30" i="60"/>
  <c r="CD30" i="60" s="1"/>
  <c r="DB30" i="60"/>
  <c r="CB30" i="60" s="1"/>
  <c r="DD29" i="60"/>
  <c r="CD29" i="60" s="1"/>
  <c r="DB29" i="60"/>
  <c r="CB29" i="60" s="1"/>
  <c r="DD28" i="60"/>
  <c r="CD28" i="60" s="1"/>
  <c r="DB28" i="60"/>
  <c r="CB28" i="60" s="1"/>
  <c r="DD27" i="60"/>
  <c r="CD27" i="60" s="1"/>
  <c r="DB27" i="60"/>
  <c r="CB27" i="60" s="1"/>
  <c r="DD26" i="60"/>
  <c r="CD26" i="60" s="1"/>
  <c r="DB26" i="60"/>
  <c r="CB26" i="60" s="1"/>
  <c r="DD25" i="60"/>
  <c r="CD25" i="60" s="1"/>
  <c r="DB25" i="60"/>
  <c r="CB25" i="60" s="1"/>
  <c r="DD24" i="60"/>
  <c r="CD24" i="60" s="1"/>
  <c r="DB24" i="60"/>
  <c r="CB24" i="60" s="1"/>
  <c r="DD23" i="60"/>
  <c r="CD23" i="60" s="1"/>
  <c r="DB23" i="60"/>
  <c r="CB23" i="60" s="1"/>
  <c r="DD22" i="60"/>
  <c r="CD22" i="60" s="1"/>
  <c r="DB22" i="60"/>
  <c r="CB22" i="60" s="1"/>
  <c r="DD21" i="60"/>
  <c r="CD21" i="60" s="1"/>
  <c r="DB21" i="60"/>
  <c r="CB21" i="60" s="1"/>
  <c r="DD20" i="60"/>
  <c r="CD20" i="60" s="1"/>
  <c r="DB20" i="60"/>
  <c r="CB20" i="60" s="1"/>
  <c r="DD19" i="60"/>
  <c r="DB19" i="60"/>
  <c r="DD12" i="60"/>
  <c r="DB15" i="60"/>
  <c r="CG32" i="46" l="1"/>
  <c r="CF32" i="46"/>
  <c r="CE32" i="46"/>
  <c r="CD32" i="46"/>
  <c r="CG31" i="46"/>
  <c r="CF31" i="46"/>
  <c r="CE31" i="46"/>
  <c r="CD31" i="46"/>
  <c r="B5" i="60"/>
  <c r="B4" i="60"/>
  <c r="B3" i="60"/>
  <c r="B2" i="60"/>
  <c r="AB13" i="48"/>
  <c r="H44" i="53"/>
  <c r="I44" i="53"/>
  <c r="G161" i="45"/>
  <c r="B5" i="61" l="1"/>
  <c r="B4" i="61"/>
  <c r="B3" i="61"/>
  <c r="B2" i="61"/>
  <c r="J111" i="61"/>
  <c r="I111" i="61"/>
  <c r="H111" i="61"/>
  <c r="G111" i="61"/>
  <c r="F111" i="61"/>
  <c r="E111" i="61"/>
  <c r="D111" i="61"/>
  <c r="C111" i="61"/>
  <c r="J81" i="61"/>
  <c r="I81" i="61"/>
  <c r="H81" i="61"/>
  <c r="G81" i="61"/>
  <c r="F81" i="61"/>
  <c r="E81" i="61"/>
  <c r="D81" i="61"/>
  <c r="C81" i="61"/>
  <c r="R72" i="61"/>
  <c r="Q72" i="61"/>
  <c r="P72" i="61"/>
  <c r="O72" i="61"/>
  <c r="N72" i="61"/>
  <c r="M72" i="61"/>
  <c r="L72" i="61"/>
  <c r="K72" i="61"/>
  <c r="J72" i="61"/>
  <c r="I72" i="61"/>
  <c r="H72" i="61"/>
  <c r="G72" i="61"/>
  <c r="R63" i="61"/>
  <c r="Q63" i="61"/>
  <c r="P63" i="61"/>
  <c r="O63" i="61"/>
  <c r="N63" i="61"/>
  <c r="M63" i="61"/>
  <c r="L63" i="61"/>
  <c r="K63" i="61"/>
  <c r="J63" i="61"/>
  <c r="I63" i="61"/>
  <c r="H63" i="61"/>
  <c r="G63" i="61"/>
  <c r="R52" i="61"/>
  <c r="Q52" i="61"/>
  <c r="P52" i="61"/>
  <c r="O52" i="61"/>
  <c r="N52" i="61"/>
  <c r="M52" i="61"/>
  <c r="L52" i="61"/>
  <c r="K52" i="61"/>
  <c r="J52" i="61"/>
  <c r="I52" i="61"/>
  <c r="H52" i="61"/>
  <c r="G52" i="61"/>
  <c r="Z43" i="61"/>
  <c r="Y43" i="61"/>
  <c r="X43" i="61"/>
  <c r="W43" i="61"/>
  <c r="V43" i="61"/>
  <c r="U43" i="61"/>
  <c r="T43" i="61"/>
  <c r="S43" i="61"/>
  <c r="R43" i="61"/>
  <c r="Q43" i="61"/>
  <c r="P43" i="61"/>
  <c r="O43" i="61"/>
  <c r="N43" i="61"/>
  <c r="M43" i="61"/>
  <c r="L43" i="61"/>
  <c r="K43" i="61"/>
  <c r="J43" i="61"/>
  <c r="I43" i="61"/>
  <c r="H43" i="61"/>
  <c r="G43" i="61"/>
  <c r="D30" i="61"/>
  <c r="C30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30" i="61" l="1"/>
  <c r="E30" i="61"/>
  <c r="C72" i="61"/>
  <c r="F43" i="61"/>
  <c r="D63" i="61"/>
  <c r="F63" i="61"/>
  <c r="C63" i="61"/>
  <c r="D52" i="61"/>
  <c r="F52" i="61"/>
  <c r="C52" i="61"/>
  <c r="E63" i="61"/>
  <c r="C16" i="61"/>
  <c r="C43" i="61"/>
  <c r="E43" i="61"/>
  <c r="E52" i="61"/>
  <c r="F72" i="61"/>
  <c r="D43" i="61"/>
  <c r="E16" i="61"/>
  <c r="D72" i="61"/>
  <c r="F16" i="61"/>
  <c r="D16" i="61"/>
  <c r="E72" i="61"/>
  <c r="B130" i="61" l="1"/>
  <c r="F30" i="28" s="1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K73" i="48"/>
  <c r="K72" i="48"/>
  <c r="K71" i="48"/>
  <c r="K70" i="48"/>
  <c r="CM69" i="48"/>
  <c r="CL69" i="48"/>
  <c r="CK69" i="48"/>
  <c r="CJ69" i="48"/>
  <c r="CI69" i="48"/>
  <c r="CH69" i="48"/>
  <c r="CG69" i="48"/>
  <c r="CF69" i="48"/>
  <c r="CE69" i="48"/>
  <c r="CD69" i="48"/>
  <c r="CC69" i="48"/>
  <c r="CB69" i="48"/>
  <c r="H102" i="48"/>
  <c r="G102" i="48"/>
  <c r="F102" i="48"/>
  <c r="E102" i="48"/>
  <c r="D102" i="48"/>
  <c r="CI101" i="48"/>
  <c r="CB101" i="48" s="1"/>
  <c r="I101" i="48" s="1"/>
  <c r="CI100" i="48"/>
  <c r="CB100" i="48" s="1"/>
  <c r="I100" i="48" s="1"/>
  <c r="CI99" i="48"/>
  <c r="CB99" i="48" s="1"/>
  <c r="I99" i="48" s="1"/>
  <c r="CI98" i="48"/>
  <c r="CB98" i="48" s="1"/>
  <c r="I98" i="48" s="1"/>
  <c r="CI97" i="48"/>
  <c r="CB97" i="48" s="1"/>
  <c r="I97" i="48" s="1"/>
  <c r="CI96" i="48"/>
  <c r="CB96" i="48" s="1"/>
  <c r="I96" i="48" s="1"/>
  <c r="CI95" i="48"/>
  <c r="CB95" i="48" s="1"/>
  <c r="I95" i="48" s="1"/>
  <c r="J91" i="48"/>
  <c r="I91" i="48"/>
  <c r="H91" i="48"/>
  <c r="G91" i="48"/>
  <c r="F91" i="48"/>
  <c r="E91" i="48"/>
  <c r="D91" i="48"/>
  <c r="C91" i="48"/>
  <c r="CH89" i="48"/>
  <c r="CB89" i="48" s="1"/>
  <c r="K89" i="48" s="1"/>
  <c r="CH88" i="48"/>
  <c r="CB88" i="48" s="1"/>
  <c r="K88" i="48" s="1"/>
  <c r="CH87" i="48"/>
  <c r="CB87" i="48" s="1"/>
  <c r="K87" i="48" s="1"/>
  <c r="CH86" i="48"/>
  <c r="CB86" i="48" s="1"/>
  <c r="K86" i="48" s="1"/>
  <c r="CH85" i="48"/>
  <c r="CB85" i="48" s="1"/>
  <c r="K85" i="48" s="1"/>
  <c r="CH84" i="48"/>
  <c r="CB84" i="48" s="1"/>
  <c r="K84" i="48" s="1"/>
  <c r="CH83" i="48"/>
  <c r="CB83" i="48" s="1"/>
  <c r="K83" i="48" s="1"/>
  <c r="CH82" i="48"/>
  <c r="CB82" i="48" s="1"/>
  <c r="K82" i="48" s="1"/>
  <c r="CH81" i="48"/>
  <c r="CB81" i="48" s="1"/>
  <c r="K81" i="48" s="1"/>
  <c r="CH80" i="48"/>
  <c r="CB80" i="48" s="1"/>
  <c r="K80" i="48" s="1"/>
  <c r="CH79" i="48"/>
  <c r="CB79" i="48" s="1"/>
  <c r="K79" i="48" s="1"/>
  <c r="CH78" i="48"/>
  <c r="CB78" i="48" s="1"/>
  <c r="K78" i="48" s="1"/>
  <c r="DB147" i="40"/>
  <c r="CB147" i="40"/>
  <c r="F147" i="40" s="1"/>
  <c r="C144" i="40"/>
  <c r="CH107" i="48" l="1"/>
  <c r="CB107" i="48" s="1"/>
  <c r="CK107" i="48"/>
  <c r="CE107" i="48" s="1"/>
  <c r="CI107" i="48"/>
  <c r="CC107" i="48" s="1"/>
  <c r="CJ107" i="48"/>
  <c r="CD107" i="48" s="1"/>
  <c r="CI106" i="48"/>
  <c r="CC106" i="48" s="1"/>
  <c r="CJ106" i="48"/>
  <c r="CD106" i="48" s="1"/>
  <c r="CH106" i="48"/>
  <c r="CB106" i="48" s="1"/>
  <c r="CK106" i="48"/>
  <c r="CE106" i="48" s="1"/>
  <c r="K69" i="48"/>
  <c r="C102" i="48"/>
  <c r="CH102" i="48" s="1"/>
  <c r="CB102" i="48" s="1"/>
  <c r="I102" i="48" s="1"/>
  <c r="I106" i="48" l="1"/>
  <c r="I107" i="48"/>
  <c r="K70" i="43"/>
  <c r="J70" i="43"/>
  <c r="I70" i="43"/>
  <c r="H70" i="43"/>
  <c r="G70" i="43"/>
  <c r="F70" i="43"/>
  <c r="E70" i="43"/>
  <c r="D70" i="43"/>
  <c r="C70" i="43"/>
  <c r="DW226" i="52" l="1"/>
  <c r="CW226" i="52"/>
  <c r="DV226" i="52"/>
  <c r="CV226" i="52"/>
  <c r="DU226" i="52"/>
  <c r="CU226" i="52"/>
  <c r="DT226" i="52"/>
  <c r="CT226" i="52"/>
  <c r="DS226" i="52"/>
  <c r="CS226" i="52"/>
  <c r="DR226" i="52"/>
  <c r="CR226" i="52"/>
  <c r="DQ226" i="52"/>
  <c r="CQ226" i="52"/>
  <c r="DP226" i="52"/>
  <c r="CP226" i="52"/>
  <c r="DO226" i="52"/>
  <c r="CO226" i="52"/>
  <c r="DN226" i="52"/>
  <c r="CN226" i="52"/>
  <c r="DM226" i="52"/>
  <c r="CM226" i="52"/>
  <c r="DL226" i="52"/>
  <c r="CL226" i="52"/>
  <c r="DK226" i="52"/>
  <c r="CK226" i="52"/>
  <c r="DJ226" i="52"/>
  <c r="CJ226" i="52"/>
  <c r="DI226" i="52"/>
  <c r="CI226" i="52"/>
  <c r="DH226" i="52"/>
  <c r="CH226" i="52"/>
  <c r="DG226" i="52"/>
  <c r="CG226" i="52"/>
  <c r="DW225" i="52"/>
  <c r="CW225" i="52"/>
  <c r="DV225" i="52"/>
  <c r="CV225" i="52"/>
  <c r="DU225" i="52"/>
  <c r="CU225" i="52"/>
  <c r="DT225" i="52"/>
  <c r="CT225" i="52"/>
  <c r="DS225" i="52"/>
  <c r="CS225" i="52"/>
  <c r="DR225" i="52"/>
  <c r="CR225" i="52"/>
  <c r="DQ225" i="52"/>
  <c r="CQ225" i="52"/>
  <c r="DP225" i="52"/>
  <c r="CP225" i="52"/>
  <c r="DO225" i="52"/>
  <c r="CO225" i="52"/>
  <c r="DN225" i="52"/>
  <c r="CN225" i="52"/>
  <c r="DM225" i="52"/>
  <c r="CM225" i="52"/>
  <c r="DL225" i="52"/>
  <c r="CL225" i="52"/>
  <c r="DK225" i="52"/>
  <c r="CK225" i="52"/>
  <c r="DJ225" i="52"/>
  <c r="CJ225" i="52"/>
  <c r="DI225" i="52"/>
  <c r="CI225" i="52"/>
  <c r="DH225" i="52"/>
  <c r="CH225" i="52"/>
  <c r="DG225" i="52"/>
  <c r="CG225" i="52"/>
  <c r="F35" i="39" l="1"/>
  <c r="G35" i="39"/>
  <c r="H35" i="39"/>
  <c r="I35" i="39"/>
  <c r="J35" i="39"/>
  <c r="K35" i="39"/>
  <c r="L35" i="39"/>
  <c r="M35" i="39"/>
  <c r="E35" i="39"/>
  <c r="G59" i="39"/>
  <c r="E59" i="39"/>
  <c r="F59" i="39"/>
  <c r="H59" i="39"/>
  <c r="I59" i="39"/>
  <c r="J59" i="39"/>
  <c r="K59" i="39"/>
  <c r="L59" i="39"/>
  <c r="M59" i="39"/>
  <c r="N59" i="39"/>
  <c r="AP111" i="58"/>
  <c r="AO111" i="58"/>
  <c r="Z64" i="60" l="1"/>
  <c r="AA64" i="60"/>
  <c r="AQ306" i="60"/>
  <c r="AQ305" i="60"/>
  <c r="AQ304" i="60"/>
  <c r="AQ303" i="60"/>
  <c r="AQ302" i="60"/>
  <c r="AQ301" i="60"/>
  <c r="AP306" i="60"/>
  <c r="AP305" i="60"/>
  <c r="AP304" i="60"/>
  <c r="AP303" i="60"/>
  <c r="AP302" i="60"/>
  <c r="AP301" i="60"/>
  <c r="L301" i="60"/>
  <c r="M301" i="60"/>
  <c r="N301" i="60"/>
  <c r="O301" i="60"/>
  <c r="P301" i="60"/>
  <c r="Q301" i="60"/>
  <c r="R301" i="60"/>
  <c r="S301" i="60"/>
  <c r="T301" i="60"/>
  <c r="U301" i="60"/>
  <c r="V301" i="60"/>
  <c r="W301" i="60"/>
  <c r="X301" i="60"/>
  <c r="Y301" i="60"/>
  <c r="L302" i="60"/>
  <c r="M302" i="60"/>
  <c r="N302" i="60"/>
  <c r="O302" i="60"/>
  <c r="P302" i="60"/>
  <c r="Q302" i="60"/>
  <c r="R302" i="60"/>
  <c r="S302" i="60"/>
  <c r="T302" i="60"/>
  <c r="U302" i="60"/>
  <c r="V302" i="60"/>
  <c r="W302" i="60"/>
  <c r="X302" i="60"/>
  <c r="Y302" i="60"/>
  <c r="L303" i="60"/>
  <c r="M303" i="60"/>
  <c r="N303" i="60"/>
  <c r="O303" i="60"/>
  <c r="P303" i="60"/>
  <c r="Q303" i="60"/>
  <c r="R303" i="60"/>
  <c r="S303" i="60"/>
  <c r="T303" i="60"/>
  <c r="U303" i="60"/>
  <c r="V303" i="60"/>
  <c r="W303" i="60"/>
  <c r="X303" i="60"/>
  <c r="Y303" i="60"/>
  <c r="L304" i="60"/>
  <c r="M304" i="60"/>
  <c r="N304" i="60"/>
  <c r="O304" i="60"/>
  <c r="P304" i="60"/>
  <c r="Q304" i="60"/>
  <c r="R304" i="60"/>
  <c r="S304" i="60"/>
  <c r="T304" i="60"/>
  <c r="U304" i="60"/>
  <c r="V304" i="60"/>
  <c r="W304" i="60"/>
  <c r="X304" i="60"/>
  <c r="Y304" i="60"/>
  <c r="L305" i="60"/>
  <c r="M305" i="60"/>
  <c r="N305" i="60"/>
  <c r="O305" i="60"/>
  <c r="P305" i="60"/>
  <c r="Q305" i="60"/>
  <c r="R305" i="60"/>
  <c r="S305" i="60"/>
  <c r="T305" i="60"/>
  <c r="U305" i="60"/>
  <c r="V305" i="60"/>
  <c r="W305" i="60"/>
  <c r="X305" i="60"/>
  <c r="Y305" i="60"/>
  <c r="L306" i="60"/>
  <c r="M306" i="60"/>
  <c r="N306" i="60"/>
  <c r="O306" i="60"/>
  <c r="P306" i="60"/>
  <c r="Q306" i="60"/>
  <c r="R306" i="60"/>
  <c r="S306" i="60"/>
  <c r="T306" i="60"/>
  <c r="U306" i="60"/>
  <c r="V306" i="60"/>
  <c r="W306" i="60"/>
  <c r="X306" i="60"/>
  <c r="Y306" i="60"/>
  <c r="AA301" i="60"/>
  <c r="AB301" i="60"/>
  <c r="AC301" i="60"/>
  <c r="AD301" i="60"/>
  <c r="AE301" i="60"/>
  <c r="AF301" i="60"/>
  <c r="AG301" i="60"/>
  <c r="AH301" i="60"/>
  <c r="AI301" i="60"/>
  <c r="AA302" i="60"/>
  <c r="AB302" i="60"/>
  <c r="AC302" i="60"/>
  <c r="AD302" i="60"/>
  <c r="AE302" i="60"/>
  <c r="AF302" i="60"/>
  <c r="AG302" i="60"/>
  <c r="AH302" i="60"/>
  <c r="AI302" i="60"/>
  <c r="AA303" i="60"/>
  <c r="AB303" i="60"/>
  <c r="AC303" i="60"/>
  <c r="AD303" i="60"/>
  <c r="AE303" i="60"/>
  <c r="AF303" i="60"/>
  <c r="AG303" i="60"/>
  <c r="AH303" i="60"/>
  <c r="AI303" i="60"/>
  <c r="AA304" i="60"/>
  <c r="AB304" i="60"/>
  <c r="AC304" i="60"/>
  <c r="AD304" i="60"/>
  <c r="AE304" i="60"/>
  <c r="AF304" i="60"/>
  <c r="AG304" i="60"/>
  <c r="AH304" i="60"/>
  <c r="AI304" i="60"/>
  <c r="AA305" i="60"/>
  <c r="AB305" i="60"/>
  <c r="AC305" i="60"/>
  <c r="AD305" i="60"/>
  <c r="AE305" i="60"/>
  <c r="AF305" i="60"/>
  <c r="AG305" i="60"/>
  <c r="AH305" i="60"/>
  <c r="AI305" i="60"/>
  <c r="AA306" i="60"/>
  <c r="AB306" i="60"/>
  <c r="AC306" i="60"/>
  <c r="AD306" i="60"/>
  <c r="AE306" i="60"/>
  <c r="AF306" i="60"/>
  <c r="AG306" i="60"/>
  <c r="AH306" i="60"/>
  <c r="AI306" i="60"/>
  <c r="Z306" i="60"/>
  <c r="Z305" i="60"/>
  <c r="Z304" i="60"/>
  <c r="Z303" i="60"/>
  <c r="Z302" i="60"/>
  <c r="Z301" i="60"/>
  <c r="AK301" i="60"/>
  <c r="AL301" i="60"/>
  <c r="AM301" i="60"/>
  <c r="AN301" i="60"/>
  <c r="AO301" i="60"/>
  <c r="AK302" i="60"/>
  <c r="AL302" i="60"/>
  <c r="AM302" i="60"/>
  <c r="AN302" i="60"/>
  <c r="AO302" i="60"/>
  <c r="AK303" i="60"/>
  <c r="AL303" i="60"/>
  <c r="AM303" i="60"/>
  <c r="AN303" i="60"/>
  <c r="AO303" i="60"/>
  <c r="AK304" i="60"/>
  <c r="AL304" i="60"/>
  <c r="AM304" i="60"/>
  <c r="AN304" i="60"/>
  <c r="AO304" i="60"/>
  <c r="AK305" i="60"/>
  <c r="AL305" i="60"/>
  <c r="AM305" i="60"/>
  <c r="AN305" i="60"/>
  <c r="AO305" i="60"/>
  <c r="AK306" i="60"/>
  <c r="AL306" i="60"/>
  <c r="AM306" i="60"/>
  <c r="AN306" i="60"/>
  <c r="AO306" i="60"/>
  <c r="AJ306" i="60"/>
  <c r="AJ305" i="60"/>
  <c r="AJ304" i="60"/>
  <c r="AJ303" i="60"/>
  <c r="AJ302" i="60"/>
  <c r="AJ301" i="60"/>
  <c r="AT302" i="60"/>
  <c r="AT301" i="60"/>
  <c r="AS301" i="60"/>
  <c r="AR301" i="60"/>
  <c r="AW301" i="60"/>
  <c r="AV301" i="60"/>
  <c r="AX301" i="60"/>
  <c r="AY301" i="60"/>
  <c r="AV302" i="60"/>
  <c r="AW302" i="60"/>
  <c r="AX302" i="60"/>
  <c r="AY302" i="60"/>
  <c r="AV303" i="60"/>
  <c r="AW303" i="60"/>
  <c r="AX303" i="60"/>
  <c r="AY303" i="60"/>
  <c r="AV304" i="60"/>
  <c r="AW304" i="60"/>
  <c r="AX304" i="60"/>
  <c r="AY304" i="60"/>
  <c r="AV305" i="60"/>
  <c r="AW305" i="60"/>
  <c r="AX305" i="60"/>
  <c r="AY305" i="60"/>
  <c r="AV306" i="60"/>
  <c r="AW306" i="60"/>
  <c r="AX306" i="60"/>
  <c r="AY306" i="60"/>
  <c r="AU306" i="60"/>
  <c r="AU305" i="60"/>
  <c r="AU304" i="60"/>
  <c r="AU303" i="60"/>
  <c r="AU302" i="60"/>
  <c r="AU301" i="60"/>
  <c r="K306" i="60"/>
  <c r="K305" i="60"/>
  <c r="K304" i="60"/>
  <c r="K303" i="60"/>
  <c r="K302" i="60"/>
  <c r="K301" i="60"/>
  <c r="J306" i="60"/>
  <c r="J305" i="60"/>
  <c r="J304" i="60"/>
  <c r="J303" i="60"/>
  <c r="J302" i="60"/>
  <c r="J301" i="60"/>
  <c r="I306" i="60"/>
  <c r="I305" i="60"/>
  <c r="I304" i="60"/>
  <c r="I303" i="60"/>
  <c r="I302" i="60"/>
  <c r="I301" i="60"/>
  <c r="H306" i="60"/>
  <c r="H305" i="60"/>
  <c r="H304" i="60"/>
  <c r="H303" i="60"/>
  <c r="H302" i="60"/>
  <c r="H301" i="60"/>
  <c r="DB315" i="60"/>
  <c r="CB315" i="60" s="1"/>
  <c r="DB314" i="60"/>
  <c r="CB314" i="60" s="1"/>
  <c r="DB313" i="60"/>
  <c r="CB313" i="60" s="1"/>
  <c r="DB312" i="60"/>
  <c r="CB312" i="60" s="1"/>
  <c r="DB311" i="60"/>
  <c r="CB311" i="60" s="1"/>
  <c r="DB300" i="60"/>
  <c r="CB300" i="60" s="1"/>
  <c r="CD300" i="60"/>
  <c r="CC300" i="60"/>
  <c r="DB299" i="60"/>
  <c r="CB299" i="60" s="1"/>
  <c r="CD299" i="60"/>
  <c r="CC299" i="60"/>
  <c r="DB298" i="60"/>
  <c r="CB298" i="60" s="1"/>
  <c r="CD298" i="60"/>
  <c r="CC298" i="60"/>
  <c r="DB297" i="60"/>
  <c r="CB297" i="60" s="1"/>
  <c r="CD297" i="60"/>
  <c r="CC297" i="60"/>
  <c r="DB296" i="60"/>
  <c r="CB296" i="60" s="1"/>
  <c r="CD296" i="60"/>
  <c r="CC296" i="60"/>
  <c r="DB295" i="60"/>
  <c r="CB295" i="60" s="1"/>
  <c r="DB294" i="60"/>
  <c r="CB294" i="60" s="1"/>
  <c r="CD294" i="60"/>
  <c r="CC294" i="60"/>
  <c r="DB293" i="60"/>
  <c r="CB293" i="60" s="1"/>
  <c r="CD293" i="60"/>
  <c r="CC293" i="60"/>
  <c r="DB292" i="60"/>
  <c r="CB292" i="60" s="1"/>
  <c r="CD292" i="60"/>
  <c r="CC292" i="60"/>
  <c r="DB291" i="60"/>
  <c r="CB291" i="60" s="1"/>
  <c r="CD291" i="60"/>
  <c r="CC291" i="60"/>
  <c r="DB290" i="60"/>
  <c r="CB290" i="60" s="1"/>
  <c r="CD290" i="60"/>
  <c r="CC290" i="60"/>
  <c r="DB289" i="60"/>
  <c r="CB289" i="60" s="1"/>
  <c r="DB288" i="60"/>
  <c r="CB288" i="60" s="1"/>
  <c r="CD288" i="60"/>
  <c r="CC288" i="60"/>
  <c r="DB287" i="60"/>
  <c r="CB287" i="60" s="1"/>
  <c r="CD287" i="60"/>
  <c r="CC287" i="60"/>
  <c r="DB286" i="60"/>
  <c r="CB286" i="60" s="1"/>
  <c r="CD286" i="60"/>
  <c r="CC286" i="60"/>
  <c r="DB285" i="60"/>
  <c r="CB285" i="60" s="1"/>
  <c r="CD285" i="60"/>
  <c r="CC285" i="60"/>
  <c r="DB284" i="60"/>
  <c r="CB284" i="60" s="1"/>
  <c r="CD284" i="60"/>
  <c r="CC284" i="60"/>
  <c r="DB283" i="60"/>
  <c r="CB283" i="60" s="1"/>
  <c r="DB282" i="60"/>
  <c r="CB282" i="60" s="1"/>
  <c r="CD282" i="60"/>
  <c r="CC282" i="60"/>
  <c r="DB281" i="60"/>
  <c r="CB281" i="60" s="1"/>
  <c r="CD281" i="60"/>
  <c r="CC281" i="60"/>
  <c r="DB280" i="60"/>
  <c r="CB280" i="60" s="1"/>
  <c r="CD280" i="60"/>
  <c r="CC280" i="60"/>
  <c r="DB279" i="60"/>
  <c r="CB279" i="60" s="1"/>
  <c r="CD279" i="60"/>
  <c r="CC279" i="60"/>
  <c r="DB278" i="60"/>
  <c r="CB278" i="60" s="1"/>
  <c r="CD278" i="60"/>
  <c r="CC278" i="60"/>
  <c r="DB277" i="60"/>
  <c r="CB277" i="60" s="1"/>
  <c r="DB276" i="60"/>
  <c r="CB276" i="60" s="1"/>
  <c r="CD276" i="60"/>
  <c r="CC276" i="60"/>
  <c r="DB275" i="60"/>
  <c r="CB275" i="60" s="1"/>
  <c r="CD275" i="60"/>
  <c r="CC275" i="60"/>
  <c r="DB274" i="60"/>
  <c r="CB274" i="60" s="1"/>
  <c r="CD274" i="60"/>
  <c r="CC274" i="60"/>
  <c r="DB273" i="60"/>
  <c r="CB273" i="60" s="1"/>
  <c r="CD273" i="60"/>
  <c r="CC273" i="60"/>
  <c r="DB272" i="60"/>
  <c r="CB272" i="60" s="1"/>
  <c r="CD272" i="60"/>
  <c r="CC272" i="60"/>
  <c r="DB271" i="60"/>
  <c r="CB271" i="60" s="1"/>
  <c r="DB270" i="60"/>
  <c r="CB270" i="60" s="1"/>
  <c r="CD270" i="60"/>
  <c r="CC270" i="60"/>
  <c r="DB269" i="60"/>
  <c r="CB269" i="60" s="1"/>
  <c r="CD269" i="60"/>
  <c r="CC269" i="60"/>
  <c r="DB268" i="60"/>
  <c r="CB268" i="60" s="1"/>
  <c r="CD268" i="60"/>
  <c r="CC268" i="60"/>
  <c r="DB267" i="60"/>
  <c r="CB267" i="60" s="1"/>
  <c r="CD267" i="60"/>
  <c r="CC267" i="60"/>
  <c r="DB266" i="60"/>
  <c r="CB266" i="60" s="1"/>
  <c r="CD266" i="60"/>
  <c r="CC266" i="60"/>
  <c r="DB265" i="60"/>
  <c r="CB265" i="60" s="1"/>
  <c r="DB264" i="60"/>
  <c r="CB264" i="60" s="1"/>
  <c r="CD264" i="60"/>
  <c r="CC264" i="60"/>
  <c r="DB263" i="60"/>
  <c r="CB263" i="60" s="1"/>
  <c r="CD263" i="60"/>
  <c r="CC263" i="60"/>
  <c r="DB262" i="60"/>
  <c r="CB262" i="60" s="1"/>
  <c r="CD262" i="60"/>
  <c r="CC262" i="60"/>
  <c r="DB261" i="60"/>
  <c r="CB261" i="60" s="1"/>
  <c r="CD261" i="60"/>
  <c r="CC261" i="60"/>
  <c r="DB260" i="60"/>
  <c r="CB260" i="60" s="1"/>
  <c r="CD260" i="60"/>
  <c r="CC260" i="60"/>
  <c r="DB259" i="60"/>
  <c r="CB259" i="60" s="1"/>
  <c r="CD258" i="60"/>
  <c r="CB258" i="60"/>
  <c r="CD257" i="60"/>
  <c r="CB257" i="60"/>
  <c r="CD256" i="60"/>
  <c r="CB256" i="60"/>
  <c r="CD255" i="60"/>
  <c r="CB255" i="60"/>
  <c r="CD254" i="60"/>
  <c r="CB254" i="60"/>
  <c r="CB253" i="60"/>
  <c r="CD252" i="60"/>
  <c r="CB252" i="60"/>
  <c r="CD251" i="60"/>
  <c r="CB251" i="60"/>
  <c r="CD250" i="60"/>
  <c r="CB250" i="60"/>
  <c r="CD249" i="60"/>
  <c r="CB249" i="60"/>
  <c r="CD248" i="60"/>
  <c r="CB248" i="60"/>
  <c r="CB247" i="60"/>
  <c r="CD246" i="60"/>
  <c r="CB246" i="60"/>
  <c r="CD245" i="60"/>
  <c r="CB245" i="60"/>
  <c r="CD244" i="60"/>
  <c r="CB244" i="60"/>
  <c r="CD243" i="60"/>
  <c r="CB243" i="60"/>
  <c r="CD242" i="60"/>
  <c r="CB242" i="60"/>
  <c r="CB241" i="60"/>
  <c r="DB240" i="60"/>
  <c r="CB240" i="60" s="1"/>
  <c r="CD240" i="60"/>
  <c r="DB239" i="60"/>
  <c r="CB239" i="60" s="1"/>
  <c r="CD239" i="60"/>
  <c r="DB238" i="60"/>
  <c r="CB238" i="60" s="1"/>
  <c r="CD238" i="60"/>
  <c r="DB237" i="60"/>
  <c r="CB237" i="60" s="1"/>
  <c r="CD237" i="60"/>
  <c r="DB236" i="60"/>
  <c r="CB236" i="60" s="1"/>
  <c r="CD236" i="60"/>
  <c r="DB235" i="60"/>
  <c r="CB235" i="60" s="1"/>
  <c r="DB234" i="60"/>
  <c r="CB234" i="60" s="1"/>
  <c r="CD234" i="60"/>
  <c r="DB233" i="60"/>
  <c r="CB233" i="60" s="1"/>
  <c r="CD233" i="60"/>
  <c r="DB232" i="60"/>
  <c r="CB232" i="60" s="1"/>
  <c r="CD232" i="60"/>
  <c r="DB231" i="60"/>
  <c r="CB231" i="60" s="1"/>
  <c r="CD231" i="60"/>
  <c r="DB230" i="60"/>
  <c r="CB230" i="60" s="1"/>
  <c r="CD230" i="60"/>
  <c r="DB229" i="60"/>
  <c r="CB229" i="60" s="1"/>
  <c r="DB228" i="60"/>
  <c r="CB228" i="60" s="1"/>
  <c r="CD228" i="60"/>
  <c r="DB227" i="60"/>
  <c r="CB227" i="60" s="1"/>
  <c r="CD227" i="60"/>
  <c r="DB226" i="60"/>
  <c r="CB226" i="60" s="1"/>
  <c r="CD226" i="60"/>
  <c r="DB225" i="60"/>
  <c r="CB225" i="60" s="1"/>
  <c r="CD225" i="60"/>
  <c r="DB224" i="60"/>
  <c r="CB224" i="60" s="1"/>
  <c r="CD224" i="60"/>
  <c r="DB223" i="60"/>
  <c r="CB223" i="60" s="1"/>
  <c r="DB222" i="60"/>
  <c r="CB222" i="60" s="1"/>
  <c r="DB221" i="60"/>
  <c r="CB221" i="60" s="1"/>
  <c r="CE208" i="60"/>
  <c r="CD208" i="60"/>
  <c r="CC208" i="60"/>
  <c r="CB208" i="60"/>
  <c r="CF208" i="60"/>
  <c r="CE207" i="60"/>
  <c r="CD207" i="60"/>
  <c r="CC207" i="60"/>
  <c r="CB207" i="60"/>
  <c r="CF207" i="60"/>
  <c r="AY157" i="60"/>
  <c r="AX157" i="60"/>
  <c r="AW157" i="60"/>
  <c r="AV157" i="60"/>
  <c r="AU157" i="60"/>
  <c r="AT157" i="60"/>
  <c r="AS157" i="60"/>
  <c r="AR157" i="60"/>
  <c r="AQ157" i="60"/>
  <c r="AP157" i="60"/>
  <c r="AO157" i="60"/>
  <c r="AN157" i="60"/>
  <c r="AM157" i="60"/>
  <c r="AL157" i="60"/>
  <c r="AK157" i="60"/>
  <c r="AJ157" i="60"/>
  <c r="AI157" i="60"/>
  <c r="AH157" i="60"/>
  <c r="AG157" i="60"/>
  <c r="AF157" i="60"/>
  <c r="AE157" i="60"/>
  <c r="AD157" i="60"/>
  <c r="AC157" i="60"/>
  <c r="AB157" i="60"/>
  <c r="AA157" i="60"/>
  <c r="Z157" i="60"/>
  <c r="Y157" i="60"/>
  <c r="X157" i="60"/>
  <c r="W157" i="60"/>
  <c r="V157" i="60"/>
  <c r="U157" i="60"/>
  <c r="T157" i="60"/>
  <c r="S157" i="60"/>
  <c r="R157" i="60"/>
  <c r="Q157" i="60"/>
  <c r="P157" i="60"/>
  <c r="O157" i="60"/>
  <c r="N157" i="60"/>
  <c r="M157" i="60"/>
  <c r="L157" i="60"/>
  <c r="K157" i="60"/>
  <c r="J157" i="60"/>
  <c r="I157" i="60"/>
  <c r="H157" i="60"/>
  <c r="DC156" i="60"/>
  <c r="CC156" i="60" s="1"/>
  <c r="DB156" i="60"/>
  <c r="CB156" i="60" s="1"/>
  <c r="CG156" i="60"/>
  <c r="DF156" i="60"/>
  <c r="DC155" i="60"/>
  <c r="CC155" i="60" s="1"/>
  <c r="DB155" i="60"/>
  <c r="CB155" i="60" s="1"/>
  <c r="CG155" i="60"/>
  <c r="DC154" i="60"/>
  <c r="CC154" i="60" s="1"/>
  <c r="DB154" i="60"/>
  <c r="CB154" i="60" s="1"/>
  <c r="CG154" i="60"/>
  <c r="DF154" i="60"/>
  <c r="DC153" i="60"/>
  <c r="CC153" i="60" s="1"/>
  <c r="DB153" i="60"/>
  <c r="CB153" i="60" s="1"/>
  <c r="CG153" i="60"/>
  <c r="DF153" i="60"/>
  <c r="DC152" i="60"/>
  <c r="CC152" i="60" s="1"/>
  <c r="DB152" i="60"/>
  <c r="CB152" i="60" s="1"/>
  <c r="CG152" i="60"/>
  <c r="DC151" i="60"/>
  <c r="CC151" i="60" s="1"/>
  <c r="DB151" i="60"/>
  <c r="CB151" i="60" s="1"/>
  <c r="CG151" i="60"/>
  <c r="DF151" i="60"/>
  <c r="DC150" i="60"/>
  <c r="CC150" i="60" s="1"/>
  <c r="DB150" i="60"/>
  <c r="CB150" i="60" s="1"/>
  <c r="CG150" i="60"/>
  <c r="DF150" i="60"/>
  <c r="DC149" i="60"/>
  <c r="CC149" i="60" s="1"/>
  <c r="DB149" i="60"/>
  <c r="CB149" i="60" s="1"/>
  <c r="CG149" i="60"/>
  <c r="DF149" i="60"/>
  <c r="DC148" i="60"/>
  <c r="CC148" i="60" s="1"/>
  <c r="DB148" i="60"/>
  <c r="CB148" i="60" s="1"/>
  <c r="CG148" i="60"/>
  <c r="DF148" i="60"/>
  <c r="AX143" i="60"/>
  <c r="AW143" i="60"/>
  <c r="AV143" i="60"/>
  <c r="AU143" i="60"/>
  <c r="AT143" i="60"/>
  <c r="AS143" i="60"/>
  <c r="AR143" i="60"/>
  <c r="AQ143" i="60"/>
  <c r="AP143" i="60"/>
  <c r="AO143" i="60"/>
  <c r="AN143" i="60"/>
  <c r="AM143" i="60"/>
  <c r="AL143" i="60"/>
  <c r="AK143" i="60"/>
  <c r="AJ143" i="60"/>
  <c r="AI143" i="60"/>
  <c r="AH143" i="60"/>
  <c r="AG143" i="60"/>
  <c r="AF143" i="60"/>
  <c r="AE143" i="60"/>
  <c r="AD143" i="60"/>
  <c r="AC143" i="60"/>
  <c r="AB143" i="60"/>
  <c r="AA143" i="60"/>
  <c r="Z143" i="60"/>
  <c r="Y143" i="60"/>
  <c r="X143" i="60"/>
  <c r="W143" i="60"/>
  <c r="V143" i="60"/>
  <c r="U143" i="60"/>
  <c r="T143" i="60"/>
  <c r="S143" i="60"/>
  <c r="R143" i="60"/>
  <c r="Q143" i="60"/>
  <c r="P143" i="60"/>
  <c r="O143" i="60"/>
  <c r="N143" i="60"/>
  <c r="M143" i="60"/>
  <c r="L143" i="60"/>
  <c r="K143" i="60"/>
  <c r="J143" i="60"/>
  <c r="I143" i="60"/>
  <c r="H143" i="60"/>
  <c r="DC142" i="60"/>
  <c r="CC142" i="60" s="1"/>
  <c r="DB142" i="60"/>
  <c r="CB142" i="60" s="1"/>
  <c r="DC141" i="60"/>
  <c r="CC141" i="60" s="1"/>
  <c r="DB141" i="60"/>
  <c r="CB141" i="60" s="1"/>
  <c r="DC140" i="60"/>
  <c r="CC140" i="60" s="1"/>
  <c r="DB140" i="60"/>
  <c r="CB140" i="60" s="1"/>
  <c r="DC139" i="60"/>
  <c r="CC139" i="60" s="1"/>
  <c r="DB139" i="60"/>
  <c r="CB139" i="60" s="1"/>
  <c r="DC138" i="60"/>
  <c r="CC138" i="60" s="1"/>
  <c r="DB138" i="60"/>
  <c r="CB138" i="60" s="1"/>
  <c r="DC137" i="60"/>
  <c r="CC137" i="60" s="1"/>
  <c r="DB137" i="60"/>
  <c r="CB137" i="60" s="1"/>
  <c r="DC136" i="60"/>
  <c r="CC136" i="60" s="1"/>
  <c r="DB136" i="60"/>
  <c r="CB136" i="60" s="1"/>
  <c r="DC135" i="60"/>
  <c r="CC135" i="60" s="1"/>
  <c r="DB135" i="60"/>
  <c r="CB135" i="60" s="1"/>
  <c r="DC134" i="60"/>
  <c r="CC134" i="60" s="1"/>
  <c r="DB134" i="60"/>
  <c r="CB134" i="60" s="1"/>
  <c r="DC133" i="60"/>
  <c r="CC133" i="60" s="1"/>
  <c r="DB133" i="60"/>
  <c r="CB133" i="60" s="1"/>
  <c r="DC132" i="60"/>
  <c r="CC132" i="60" s="1"/>
  <c r="DB132" i="60"/>
  <c r="CB132" i="60" s="1"/>
  <c r="DC131" i="60"/>
  <c r="CC131" i="60" s="1"/>
  <c r="DB131" i="60"/>
  <c r="CB131" i="60" s="1"/>
  <c r="DC130" i="60"/>
  <c r="CC130" i="60" s="1"/>
  <c r="DB130" i="60"/>
  <c r="CB130" i="60" s="1"/>
  <c r="DC129" i="60"/>
  <c r="CC129" i="60" s="1"/>
  <c r="DB129" i="60"/>
  <c r="CB129" i="60" s="1"/>
  <c r="DC128" i="60"/>
  <c r="CC128" i="60" s="1"/>
  <c r="DB128" i="60"/>
  <c r="CB128" i="60" s="1"/>
  <c r="DC127" i="60"/>
  <c r="CC127" i="60" s="1"/>
  <c r="DC126" i="60"/>
  <c r="CC126" i="60" s="1"/>
  <c r="DC125" i="60"/>
  <c r="CC125" i="60" s="1"/>
  <c r="DC124" i="60"/>
  <c r="CC124" i="60" s="1"/>
  <c r="DC123" i="60"/>
  <c r="CC123" i="60" s="1"/>
  <c r="DC122" i="60"/>
  <c r="CC122" i="60" s="1"/>
  <c r="DC121" i="60"/>
  <c r="CC121" i="60" s="1"/>
  <c r="DC120" i="60"/>
  <c r="CC120" i="60" s="1"/>
  <c r="DB120" i="60"/>
  <c r="CB120" i="60" s="1"/>
  <c r="DC119" i="60"/>
  <c r="CC119" i="60" s="1"/>
  <c r="DC118" i="60"/>
  <c r="CC118" i="60" s="1"/>
  <c r="DB118" i="60"/>
  <c r="CB118" i="60" s="1"/>
  <c r="DC117" i="60"/>
  <c r="CC117" i="60" s="1"/>
  <c r="DB117" i="60"/>
  <c r="CB117" i="60" s="1"/>
  <c r="DC116" i="60"/>
  <c r="CC116" i="60" s="1"/>
  <c r="DB116" i="60"/>
  <c r="CB116" i="60" s="1"/>
  <c r="DC115" i="60"/>
  <c r="CC115" i="60" s="1"/>
  <c r="DB115" i="60"/>
  <c r="CB115" i="60" s="1"/>
  <c r="DC114" i="60"/>
  <c r="CC114" i="60" s="1"/>
  <c r="DB114" i="60"/>
  <c r="CB114" i="60" s="1"/>
  <c r="DC113" i="60"/>
  <c r="CC113" i="60" s="1"/>
  <c r="DB113" i="60"/>
  <c r="CB113" i="60" s="1"/>
  <c r="DC112" i="60"/>
  <c r="CC112" i="60" s="1"/>
  <c r="DB112" i="60"/>
  <c r="CB112" i="60" s="1"/>
  <c r="DC111" i="60"/>
  <c r="CC111" i="60" s="1"/>
  <c r="DB111" i="60"/>
  <c r="CB111" i="60" s="1"/>
  <c r="DC110" i="60"/>
  <c r="CC110" i="60" s="1"/>
  <c r="DB110" i="60"/>
  <c r="CB110" i="60" s="1"/>
  <c r="DB109" i="60"/>
  <c r="CB109" i="60" s="1"/>
  <c r="DC108" i="60"/>
  <c r="CC108" i="60" s="1"/>
  <c r="DB108" i="60"/>
  <c r="CB108" i="60" s="1"/>
  <c r="DC107" i="60"/>
  <c r="CC107" i="60" s="1"/>
  <c r="DB107" i="60"/>
  <c r="CB107" i="60" s="1"/>
  <c r="DC106" i="60"/>
  <c r="CC106" i="60" s="1"/>
  <c r="DB106" i="60"/>
  <c r="CB106" i="60" s="1"/>
  <c r="DB105" i="60"/>
  <c r="CB105" i="60" s="1"/>
  <c r="DC104" i="60"/>
  <c r="CC104" i="60" s="1"/>
  <c r="DB104" i="60"/>
  <c r="CB104" i="60" s="1"/>
  <c r="DC103" i="60"/>
  <c r="CC103" i="60" s="1"/>
  <c r="DB103" i="60"/>
  <c r="CB103" i="60" s="1"/>
  <c r="DC102" i="60"/>
  <c r="CC102" i="60" s="1"/>
  <c r="DB102" i="60"/>
  <c r="CB102" i="60" s="1"/>
  <c r="DC101" i="60"/>
  <c r="CC101" i="60" s="1"/>
  <c r="DB101" i="60"/>
  <c r="CB101" i="60" s="1"/>
  <c r="DB100" i="60"/>
  <c r="CB100" i="60" s="1"/>
  <c r="DC99" i="60"/>
  <c r="CC99" i="60" s="1"/>
  <c r="DC98" i="60"/>
  <c r="CC98" i="60" s="1"/>
  <c r="DB98" i="60"/>
  <c r="CB98" i="60" s="1"/>
  <c r="DC97" i="60"/>
  <c r="CC97" i="60" s="1"/>
  <c r="DB97" i="60"/>
  <c r="CB97" i="60" s="1"/>
  <c r="DC96" i="60"/>
  <c r="CC96" i="60" s="1"/>
  <c r="DB96" i="60"/>
  <c r="CB96" i="60" s="1"/>
  <c r="DC95" i="60"/>
  <c r="CC95" i="60" s="1"/>
  <c r="DC94" i="60"/>
  <c r="CC94" i="60" s="1"/>
  <c r="DB94" i="60"/>
  <c r="CB94" i="60" s="1"/>
  <c r="DC93" i="60"/>
  <c r="CC93" i="60" s="1"/>
  <c r="DB93" i="60"/>
  <c r="CB93" i="60" s="1"/>
  <c r="DC92" i="60"/>
  <c r="CC92" i="60" s="1"/>
  <c r="DB92" i="60"/>
  <c r="CB92" i="60" s="1"/>
  <c r="DC91" i="60"/>
  <c r="CC91" i="60" s="1"/>
  <c r="DB91" i="60"/>
  <c r="CB91" i="60" s="1"/>
  <c r="DC90" i="60"/>
  <c r="CC90" i="60" s="1"/>
  <c r="DB90" i="60"/>
  <c r="CB90" i="60" s="1"/>
  <c r="DF80" i="60"/>
  <c r="CF80" i="60" s="1"/>
  <c r="DE80" i="60"/>
  <c r="CE80" i="60" s="1"/>
  <c r="DD80" i="60"/>
  <c r="CD80" i="60" s="1"/>
  <c r="DC80" i="60"/>
  <c r="CC80" i="60" s="1"/>
  <c r="DB80" i="60"/>
  <c r="CB80" i="60" s="1"/>
  <c r="DF79" i="60"/>
  <c r="CF79" i="60" s="1"/>
  <c r="DE79" i="60"/>
  <c r="CE79" i="60" s="1"/>
  <c r="DD79" i="60"/>
  <c r="CD79" i="60" s="1"/>
  <c r="DC79" i="60"/>
  <c r="CC79" i="60" s="1"/>
  <c r="DB79" i="60"/>
  <c r="CB79" i="60" s="1"/>
  <c r="DF78" i="60"/>
  <c r="CF78" i="60" s="1"/>
  <c r="DE78" i="60"/>
  <c r="CE78" i="60" s="1"/>
  <c r="DD78" i="60"/>
  <c r="CD78" i="60" s="1"/>
  <c r="DC78" i="60"/>
  <c r="CC78" i="60" s="1"/>
  <c r="DB78" i="60"/>
  <c r="CB78" i="60" s="1"/>
  <c r="DF77" i="60"/>
  <c r="CF77" i="60" s="1"/>
  <c r="DE77" i="60"/>
  <c r="CE77" i="60" s="1"/>
  <c r="DD77" i="60"/>
  <c r="CD77" i="60" s="1"/>
  <c r="DC77" i="60"/>
  <c r="CC77" i="60" s="1"/>
  <c r="DB77" i="60"/>
  <c r="CB77" i="60" s="1"/>
  <c r="DF76" i="60"/>
  <c r="CF76" i="60" s="1"/>
  <c r="DE76" i="60"/>
  <c r="CE76" i="60" s="1"/>
  <c r="DD76" i="60"/>
  <c r="CD76" i="60" s="1"/>
  <c r="DC76" i="60"/>
  <c r="CC76" i="60" s="1"/>
  <c r="DB76" i="60"/>
  <c r="CB76" i="60" s="1"/>
  <c r="DF75" i="60"/>
  <c r="CF75" i="60" s="1"/>
  <c r="DE75" i="60"/>
  <c r="CE75" i="60" s="1"/>
  <c r="DD75" i="60"/>
  <c r="CD75" i="60" s="1"/>
  <c r="DC75" i="60"/>
  <c r="CC75" i="60" s="1"/>
  <c r="DB75" i="60"/>
  <c r="CB75" i="60" s="1"/>
  <c r="DF74" i="60"/>
  <c r="CF74" i="60" s="1"/>
  <c r="DE74" i="60"/>
  <c r="CE74" i="60" s="1"/>
  <c r="DD74" i="60"/>
  <c r="CD74" i="60" s="1"/>
  <c r="DC74" i="60"/>
  <c r="CC74" i="60" s="1"/>
  <c r="DB74" i="60"/>
  <c r="CB74" i="60" s="1"/>
  <c r="DF73" i="60"/>
  <c r="CF73" i="60" s="1"/>
  <c r="DE73" i="60"/>
  <c r="CE73" i="60" s="1"/>
  <c r="DD73" i="60"/>
  <c r="CD73" i="60" s="1"/>
  <c r="DC73" i="60"/>
  <c r="CC73" i="60" s="1"/>
  <c r="DB73" i="60"/>
  <c r="CB73" i="60" s="1"/>
  <c r="DF72" i="60"/>
  <c r="CF72" i="60" s="1"/>
  <c r="DE72" i="60"/>
  <c r="CE72" i="60" s="1"/>
  <c r="DD72" i="60"/>
  <c r="CD72" i="60" s="1"/>
  <c r="DC72" i="60"/>
  <c r="CC72" i="60" s="1"/>
  <c r="DB72" i="60"/>
  <c r="CB72" i="60" s="1"/>
  <c r="DF71" i="60"/>
  <c r="CF71" i="60" s="1"/>
  <c r="DE71" i="60"/>
  <c r="CE71" i="60" s="1"/>
  <c r="DD71" i="60"/>
  <c r="CD71" i="60" s="1"/>
  <c r="DC71" i="60"/>
  <c r="CC71" i="60" s="1"/>
  <c r="DB71" i="60"/>
  <c r="CB71" i="60" s="1"/>
  <c r="DF69" i="60"/>
  <c r="CF69" i="60" s="1"/>
  <c r="DE69" i="60"/>
  <c r="CE69" i="60" s="1"/>
  <c r="DD69" i="60"/>
  <c r="CD69" i="60" s="1"/>
  <c r="DC69" i="60"/>
  <c r="CC69" i="60" s="1"/>
  <c r="DB69" i="60"/>
  <c r="CB69" i="60" s="1"/>
  <c r="DF68" i="60"/>
  <c r="CF68" i="60" s="1"/>
  <c r="DE68" i="60"/>
  <c r="CE68" i="60" s="1"/>
  <c r="DD68" i="60"/>
  <c r="CD68" i="60" s="1"/>
  <c r="DC68" i="60"/>
  <c r="CC68" i="60" s="1"/>
  <c r="DB68" i="60"/>
  <c r="CB68" i="60" s="1"/>
  <c r="DF67" i="60"/>
  <c r="CF67" i="60" s="1"/>
  <c r="CE67" i="60"/>
  <c r="DD67" i="60"/>
  <c r="CD67" i="60" s="1"/>
  <c r="DC67" i="60"/>
  <c r="CC67" i="60" s="1"/>
  <c r="DB67" i="60"/>
  <c r="CB67" i="60" s="1"/>
  <c r="AY64" i="60"/>
  <c r="AX64" i="60"/>
  <c r="AW64" i="60"/>
  <c r="AV64" i="60"/>
  <c r="AU64" i="60"/>
  <c r="AT64" i="60"/>
  <c r="AS64" i="60"/>
  <c r="AR64" i="60"/>
  <c r="AQ64" i="60"/>
  <c r="AP64" i="60"/>
  <c r="AO64" i="60"/>
  <c r="AN64" i="60"/>
  <c r="AM64" i="60"/>
  <c r="AL64" i="60"/>
  <c r="AK64" i="60"/>
  <c r="AJ64" i="60"/>
  <c r="AI64" i="60"/>
  <c r="AH64" i="60"/>
  <c r="AG64" i="60"/>
  <c r="AF64" i="60"/>
  <c r="AE64" i="60"/>
  <c r="AD64" i="60"/>
  <c r="AC64" i="60"/>
  <c r="AB64" i="60"/>
  <c r="DD63" i="60"/>
  <c r="CD63" i="60" s="1"/>
  <c r="DB63" i="60"/>
  <c r="CB63" i="60" s="1"/>
  <c r="DI63" i="60"/>
  <c r="DD62" i="60"/>
  <c r="CD62" i="60" s="1"/>
  <c r="DB62" i="60"/>
  <c r="CB62" i="60" s="1"/>
  <c r="DI62" i="60"/>
  <c r="CH62" i="60"/>
  <c r="DD61" i="60"/>
  <c r="CD61" i="60" s="1"/>
  <c r="DB61" i="60"/>
  <c r="CB61" i="60" s="1"/>
  <c r="DD59" i="60"/>
  <c r="CD59" i="60" s="1"/>
  <c r="DB59" i="60"/>
  <c r="CB59" i="60" s="1"/>
  <c r="CH59" i="60"/>
  <c r="DD58" i="60"/>
  <c r="CD58" i="60" s="1"/>
  <c r="DB58" i="60"/>
  <c r="CB58" i="60" s="1"/>
  <c r="DI58" i="60"/>
  <c r="DD57" i="60"/>
  <c r="CD57" i="60" s="1"/>
  <c r="DB57" i="60"/>
  <c r="CB57" i="60" s="1"/>
  <c r="DI57" i="60"/>
  <c r="CH57" i="60"/>
  <c r="DD56" i="60"/>
  <c r="CD56" i="60" s="1"/>
  <c r="DB56" i="60"/>
  <c r="CB56" i="60" s="1"/>
  <c r="DI56" i="60"/>
  <c r="DD55" i="60"/>
  <c r="CD55" i="60" s="1"/>
  <c r="DB55" i="60"/>
  <c r="CB55" i="60" s="1"/>
  <c r="DI55" i="60"/>
  <c r="CH55" i="60"/>
  <c r="DD53" i="60"/>
  <c r="CD53" i="60" s="1"/>
  <c r="DB53" i="60"/>
  <c r="CB53" i="60" s="1"/>
  <c r="DI53" i="60"/>
  <c r="CH53" i="60"/>
  <c r="DD52" i="60"/>
  <c r="CD52" i="60" s="1"/>
  <c r="DB52" i="60"/>
  <c r="CB52" i="60" s="1"/>
  <c r="DI52" i="60"/>
  <c r="CH52" i="60"/>
  <c r="DD51" i="60"/>
  <c r="CD51" i="60" s="1"/>
  <c r="DB51" i="60"/>
  <c r="CB51" i="60" s="1"/>
  <c r="DI51" i="60"/>
  <c r="DD50" i="60"/>
  <c r="CD50" i="60" s="1"/>
  <c r="DB50" i="60"/>
  <c r="CB50" i="60" s="1"/>
  <c r="CH50" i="60"/>
  <c r="DD49" i="60"/>
  <c r="CD49" i="60" s="1"/>
  <c r="DB49" i="60"/>
  <c r="CB49" i="60" s="1"/>
  <c r="CH49" i="60"/>
  <c r="DD48" i="60"/>
  <c r="CD48" i="60" s="1"/>
  <c r="DB48" i="60"/>
  <c r="CB48" i="60" s="1"/>
  <c r="DI48" i="60"/>
  <c r="DD47" i="60"/>
  <c r="CD47" i="60" s="1"/>
  <c r="DB47" i="60"/>
  <c r="CB47" i="60" s="1"/>
  <c r="DI47" i="60"/>
  <c r="CH47" i="60"/>
  <c r="DD45" i="60"/>
  <c r="CD45" i="60" s="1"/>
  <c r="DI45" i="60"/>
  <c r="DD44" i="60"/>
  <c r="CD44" i="60" s="1"/>
  <c r="DB44" i="60"/>
  <c r="CB44" i="60" s="1"/>
  <c r="DI44" i="60"/>
  <c r="CH44" i="60"/>
  <c r="DI43" i="60"/>
  <c r="DI42" i="60"/>
  <c r="CD41" i="60"/>
  <c r="DB41" i="60"/>
  <c r="CB41" i="60" s="1"/>
  <c r="DI41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AM36" i="60"/>
  <c r="AL36" i="60"/>
  <c r="AK36" i="60"/>
  <c r="AJ36" i="60"/>
  <c r="AI36" i="60"/>
  <c r="AH36" i="60"/>
  <c r="AG36" i="60"/>
  <c r="AF36" i="60"/>
  <c r="AE36" i="60"/>
  <c r="AD36" i="60"/>
  <c r="AC36" i="60"/>
  <c r="AB36" i="60"/>
  <c r="AA36" i="60"/>
  <c r="Z36" i="60"/>
  <c r="Y36" i="60"/>
  <c r="X36" i="60"/>
  <c r="W36" i="60"/>
  <c r="V36" i="60"/>
  <c r="U36" i="60"/>
  <c r="T36" i="60"/>
  <c r="S36" i="60"/>
  <c r="R36" i="60"/>
  <c r="Q36" i="60"/>
  <c r="P36" i="60"/>
  <c r="O36" i="60"/>
  <c r="N36" i="60"/>
  <c r="M36" i="60"/>
  <c r="L36" i="60"/>
  <c r="K36" i="60"/>
  <c r="J36" i="60"/>
  <c r="I36" i="60"/>
  <c r="H36" i="60"/>
  <c r="DI35" i="60"/>
  <c r="DI34" i="60"/>
  <c r="CH34" i="60"/>
  <c r="DI33" i="60"/>
  <c r="DI32" i="60"/>
  <c r="DI31" i="60"/>
  <c r="DI30" i="60"/>
  <c r="CH30" i="60"/>
  <c r="DI29" i="60"/>
  <c r="CH29" i="60"/>
  <c r="DI28" i="60"/>
  <c r="DI27" i="60"/>
  <c r="DI26" i="60"/>
  <c r="DI25" i="60"/>
  <c r="CH25" i="60"/>
  <c r="DI24" i="60"/>
  <c r="CH24" i="60"/>
  <c r="DI23" i="60"/>
  <c r="DI22" i="60"/>
  <c r="DI21" i="60"/>
  <c r="DI20" i="60"/>
  <c r="CB19" i="60"/>
  <c r="DI19" i="60"/>
  <c r="DD15" i="60"/>
  <c r="CD15" i="60" s="1"/>
  <c r="CB15" i="60"/>
  <c r="CH15" i="60"/>
  <c r="DD14" i="60"/>
  <c r="CD14" i="60" s="1"/>
  <c r="DB14" i="60"/>
  <c r="CB14" i="60" s="1"/>
  <c r="DI14" i="60"/>
  <c r="CH14" i="60"/>
  <c r="DD13" i="60"/>
  <c r="CD13" i="60" s="1"/>
  <c r="DB13" i="60"/>
  <c r="CB13" i="60" s="1"/>
  <c r="DI13" i="60"/>
  <c r="CD12" i="60"/>
  <c r="DB12" i="60"/>
  <c r="DI12" i="60"/>
  <c r="CH12" i="60"/>
  <c r="L78" i="60" l="1"/>
  <c r="L74" i="60"/>
  <c r="L67" i="60"/>
  <c r="L71" i="60"/>
  <c r="L75" i="60"/>
  <c r="L79" i="60"/>
  <c r="L68" i="60"/>
  <c r="L72" i="60"/>
  <c r="L76" i="60"/>
  <c r="L80" i="60"/>
  <c r="L69" i="60"/>
  <c r="L73" i="60"/>
  <c r="L77" i="60"/>
  <c r="CF278" i="60"/>
  <c r="CF155" i="60"/>
  <c r="DF155" i="60"/>
  <c r="CF152" i="60"/>
  <c r="DF152" i="60"/>
  <c r="DE108" i="60"/>
  <c r="CG122" i="60"/>
  <c r="DF230" i="60"/>
  <c r="CH233" i="60"/>
  <c r="DH299" i="60"/>
  <c r="DI117" i="60"/>
  <c r="CF124" i="60"/>
  <c r="DD185" i="60"/>
  <c r="CD185" i="60" s="1"/>
  <c r="DH286" i="60"/>
  <c r="DE95" i="60"/>
  <c r="DE275" i="60"/>
  <c r="CH96" i="60"/>
  <c r="DE289" i="60"/>
  <c r="DE293" i="60"/>
  <c r="DC312" i="60"/>
  <c r="CG112" i="60"/>
  <c r="DD130" i="60"/>
  <c r="CD130" i="60" s="1"/>
  <c r="CI136" i="60"/>
  <c r="DI98" i="60"/>
  <c r="DE121" i="60"/>
  <c r="CH140" i="60"/>
  <c r="DH270" i="60"/>
  <c r="DF271" i="60"/>
  <c r="CI114" i="60"/>
  <c r="DI132" i="60"/>
  <c r="DE180" i="60"/>
  <c r="CE180" i="60" s="1"/>
  <c r="DF189" i="60"/>
  <c r="CF189" i="60" s="1"/>
  <c r="DE226" i="60"/>
  <c r="CF248" i="60"/>
  <c r="DC277" i="60"/>
  <c r="CC277" i="60" s="1"/>
  <c r="DC313" i="60"/>
  <c r="CH268" i="60"/>
  <c r="DF281" i="60"/>
  <c r="CE155" i="60"/>
  <c r="DH107" i="60"/>
  <c r="CH116" i="60"/>
  <c r="CF266" i="60"/>
  <c r="CH33" i="60"/>
  <c r="DC15" i="60"/>
  <c r="CC15" i="60" s="1"/>
  <c r="DI15" i="60"/>
  <c r="CG48" i="60"/>
  <c r="CH48" i="60"/>
  <c r="CE141" i="60"/>
  <c r="DH153" i="60"/>
  <c r="CF153" i="60"/>
  <c r="DD162" i="60"/>
  <c r="CD162" i="60" s="1"/>
  <c r="DC162" i="60"/>
  <c r="CC162" i="60" s="1"/>
  <c r="DE162" i="60"/>
  <c r="CE162" i="60" s="1"/>
  <c r="DF169" i="60"/>
  <c r="CF169" i="60" s="1"/>
  <c r="DC169" i="60"/>
  <c r="CC169" i="60" s="1"/>
  <c r="DE169" i="60"/>
  <c r="CE169" i="60" s="1"/>
  <c r="DD169" i="60"/>
  <c r="CD169" i="60" s="1"/>
  <c r="DC174" i="60"/>
  <c r="CC174" i="60" s="1"/>
  <c r="DE174" i="60"/>
  <c r="CE174" i="60" s="1"/>
  <c r="DD174" i="60"/>
  <c r="CD174" i="60" s="1"/>
  <c r="DF295" i="60"/>
  <c r="CH94" i="60"/>
  <c r="CG94" i="60"/>
  <c r="CI94" i="60"/>
  <c r="DI94" i="60"/>
  <c r="CB12" i="60"/>
  <c r="CH20" i="60"/>
  <c r="CH23" i="60"/>
  <c r="CH26" i="60"/>
  <c r="CH32" i="60"/>
  <c r="CH35" i="60"/>
  <c r="CI58" i="60"/>
  <c r="CH58" i="60"/>
  <c r="DG59" i="60"/>
  <c r="DI59" i="60"/>
  <c r="CG61" i="60"/>
  <c r="CH61" i="60"/>
  <c r="DH151" i="60"/>
  <c r="CF151" i="60"/>
  <c r="DE163" i="60"/>
  <c r="CE163" i="60" s="1"/>
  <c r="DD163" i="60"/>
  <c r="CD163" i="60" s="1"/>
  <c r="DC163" i="60"/>
  <c r="CC163" i="60" s="1"/>
  <c r="DE170" i="60"/>
  <c r="CE170" i="60" s="1"/>
  <c r="DD170" i="60"/>
  <c r="CD170" i="60" s="1"/>
  <c r="DC170" i="60"/>
  <c r="CC170" i="60" s="1"/>
  <c r="DC175" i="60"/>
  <c r="CC175" i="60" s="1"/>
  <c r="DE175" i="60"/>
  <c r="CE175" i="60" s="1"/>
  <c r="DD175" i="60"/>
  <c r="CD175" i="60" s="1"/>
  <c r="CH21" i="60"/>
  <c r="CH42" i="60"/>
  <c r="CF13" i="60"/>
  <c r="CH13" i="60"/>
  <c r="CI51" i="60"/>
  <c r="CH51" i="60"/>
  <c r="G64" i="60"/>
  <c r="DI61" i="60"/>
  <c r="DG91" i="60"/>
  <c r="CF100" i="60"/>
  <c r="DD119" i="60"/>
  <c r="CD119" i="60" s="1"/>
  <c r="CE128" i="60"/>
  <c r="DH150" i="60"/>
  <c r="CF150" i="60"/>
  <c r="DE164" i="60"/>
  <c r="CE164" i="60" s="1"/>
  <c r="DD164" i="60"/>
  <c r="CD164" i="60" s="1"/>
  <c r="DB164" i="60"/>
  <c r="CB164" i="60" s="1"/>
  <c r="DC164" i="60"/>
  <c r="CC164" i="60" s="1"/>
  <c r="DF164" i="60"/>
  <c r="CF164" i="60" s="1"/>
  <c r="DE171" i="60"/>
  <c r="CE171" i="60" s="1"/>
  <c r="DD171" i="60"/>
  <c r="CD171" i="60" s="1"/>
  <c r="DC171" i="60"/>
  <c r="CC171" i="60" s="1"/>
  <c r="DE176" i="60"/>
  <c r="CE176" i="60" s="1"/>
  <c r="DD176" i="60"/>
  <c r="CD176" i="60" s="1"/>
  <c r="DF176" i="60"/>
  <c r="CF176" i="60" s="1"/>
  <c r="DB176" i="60"/>
  <c r="CB176" i="60" s="1"/>
  <c r="DC176" i="60"/>
  <c r="CC176" i="60" s="1"/>
  <c r="DE242" i="60"/>
  <c r="CF267" i="60"/>
  <c r="DH288" i="60"/>
  <c r="DH292" i="60"/>
  <c r="CH27" i="60"/>
  <c r="CH149" i="60"/>
  <c r="CF149" i="60"/>
  <c r="DC165" i="60"/>
  <c r="CC165" i="60" s="1"/>
  <c r="DE165" i="60"/>
  <c r="CE165" i="60" s="1"/>
  <c r="DD165" i="60"/>
  <c r="CD165" i="60" s="1"/>
  <c r="DC172" i="60"/>
  <c r="CC172" i="60" s="1"/>
  <c r="DE172" i="60"/>
  <c r="CE172" i="60" s="1"/>
  <c r="DD172" i="60"/>
  <c r="CD172" i="60" s="1"/>
  <c r="DE177" i="60"/>
  <c r="CE177" i="60" s="1"/>
  <c r="DD177" i="60"/>
  <c r="CD177" i="60" s="1"/>
  <c r="DC177" i="60"/>
  <c r="DE185" i="60"/>
  <c r="CE185" i="60" s="1"/>
  <c r="DH56" i="60"/>
  <c r="CH56" i="60"/>
  <c r="CI50" i="60"/>
  <c r="DI50" i="60"/>
  <c r="CF63" i="60"/>
  <c r="CH63" i="60"/>
  <c r="DH148" i="60"/>
  <c r="CF148" i="60"/>
  <c r="DE167" i="60"/>
  <c r="CE167" i="60" s="1"/>
  <c r="DD167" i="60"/>
  <c r="CD167" i="60" s="1"/>
  <c r="DC167" i="60"/>
  <c r="CC167" i="60" s="1"/>
  <c r="DB182" i="60"/>
  <c r="CB182" i="60" s="1"/>
  <c r="DF255" i="60"/>
  <c r="CH259" i="60"/>
  <c r="CF291" i="60"/>
  <c r="CH19" i="60"/>
  <c r="CH22" i="60"/>
  <c r="CH28" i="60"/>
  <c r="CH31" i="60"/>
  <c r="DE41" i="60"/>
  <c r="CE41" i="60" s="1"/>
  <c r="CH41" i="60"/>
  <c r="DC43" i="60"/>
  <c r="CC43" i="60" s="1"/>
  <c r="CH43" i="60"/>
  <c r="DC45" i="60"/>
  <c r="CC45" i="60" s="1"/>
  <c r="CH45" i="60"/>
  <c r="CI49" i="60"/>
  <c r="DI49" i="60"/>
  <c r="DH154" i="60"/>
  <c r="CF154" i="60"/>
  <c r="DH156" i="60"/>
  <c r="CF156" i="60"/>
  <c r="DC168" i="60"/>
  <c r="CC168" i="60" s="1"/>
  <c r="DE168" i="60"/>
  <c r="CE168" i="60" s="1"/>
  <c r="DD168" i="60"/>
  <c r="CD168" i="60" s="1"/>
  <c r="DE173" i="60"/>
  <c r="CE173" i="60" s="1"/>
  <c r="DD173" i="60"/>
  <c r="CD173" i="60" s="1"/>
  <c r="DC173" i="60"/>
  <c r="CC173" i="60" s="1"/>
  <c r="CH224" i="60"/>
  <c r="DE238" i="60"/>
  <c r="DH12" i="60"/>
  <c r="DE123" i="60"/>
  <c r="DE205" i="60"/>
  <c r="CE205" i="60" s="1"/>
  <c r="DD229" i="60"/>
  <c r="CD229" i="60" s="1"/>
  <c r="DF257" i="60"/>
  <c r="DE297" i="60"/>
  <c r="DE152" i="60"/>
  <c r="CG53" i="60"/>
  <c r="DE115" i="60"/>
  <c r="DE142" i="60"/>
  <c r="DG156" i="60"/>
  <c r="DB184" i="60"/>
  <c r="CB184" i="60" s="1"/>
  <c r="DB196" i="60"/>
  <c r="CB196" i="60" s="1"/>
  <c r="CE272" i="60"/>
  <c r="DH296" i="60"/>
  <c r="G303" i="60"/>
  <c r="CE93" i="60"/>
  <c r="DE104" i="60"/>
  <c r="DE265" i="60"/>
  <c r="F303" i="60"/>
  <c r="DD120" i="60"/>
  <c r="CD120" i="60" s="1"/>
  <c r="CI57" i="60"/>
  <c r="DF131" i="60"/>
  <c r="CE152" i="60"/>
  <c r="F304" i="60"/>
  <c r="CG52" i="60"/>
  <c r="DF103" i="60"/>
  <c r="DH274" i="60"/>
  <c r="CC315" i="60"/>
  <c r="AT315" i="60" s="1"/>
  <c r="DH125" i="60"/>
  <c r="DF127" i="60"/>
  <c r="DH138" i="60"/>
  <c r="DB179" i="60"/>
  <c r="CB179" i="60" s="1"/>
  <c r="CF227" i="60"/>
  <c r="DF231" i="60"/>
  <c r="DF251" i="60"/>
  <c r="DF170" i="60"/>
  <c r="CF170" i="60" s="1"/>
  <c r="DH278" i="60"/>
  <c r="CH278" i="60"/>
  <c r="CI47" i="60"/>
  <c r="DG99" i="60"/>
  <c r="DG122" i="60"/>
  <c r="DF135" i="60"/>
  <c r="F143" i="60"/>
  <c r="CH150" i="60"/>
  <c r="DD152" i="60"/>
  <c r="CD152" i="60" s="1"/>
  <c r="CH153" i="60"/>
  <c r="DD155" i="60"/>
  <c r="CD155" i="60" s="1"/>
  <c r="CE261" i="60"/>
  <c r="DF97" i="60"/>
  <c r="DG105" i="60"/>
  <c r="DE139" i="60"/>
  <c r="G143" i="60"/>
  <c r="DE151" i="60"/>
  <c r="DE154" i="60"/>
  <c r="DE155" i="60"/>
  <c r="CH156" i="60"/>
  <c r="DB165" i="60"/>
  <c r="CB165" i="60" s="1"/>
  <c r="DF188" i="60"/>
  <c r="CF188" i="60" s="1"/>
  <c r="DF254" i="60"/>
  <c r="DH269" i="60"/>
  <c r="CH287" i="60"/>
  <c r="CF298" i="60"/>
  <c r="DC314" i="60"/>
  <c r="CH151" i="60"/>
  <c r="DH110" i="60"/>
  <c r="CE113" i="60"/>
  <c r="DB197" i="60"/>
  <c r="CB197" i="60" s="1"/>
  <c r="DF247" i="60"/>
  <c r="CF280" i="60"/>
  <c r="DH294" i="60"/>
  <c r="F306" i="60"/>
  <c r="G306" i="60"/>
  <c r="DG62" i="60"/>
  <c r="DE106" i="60"/>
  <c r="DG151" i="60"/>
  <c r="DG154" i="60"/>
  <c r="CH276" i="60"/>
  <c r="CH154" i="60"/>
  <c r="F36" i="60"/>
  <c r="CE101" i="60"/>
  <c r="CF102" i="60"/>
  <c r="DG133" i="60"/>
  <c r="DG150" i="60"/>
  <c r="DG153" i="60"/>
  <c r="DB187" i="60"/>
  <c r="CB187" i="60" s="1"/>
  <c r="DH253" i="60"/>
  <c r="CH273" i="60"/>
  <c r="F302" i="60"/>
  <c r="DC311" i="60"/>
  <c r="CE221" i="60"/>
  <c r="DE92" i="60"/>
  <c r="DH90" i="60"/>
  <c r="DG148" i="60"/>
  <c r="CH148" i="60"/>
  <c r="DG94" i="60"/>
  <c r="DE94" i="60"/>
  <c r="CE94" i="60"/>
  <c r="DD94" i="60"/>
  <c r="CD94" i="60" s="1"/>
  <c r="CF94" i="60"/>
  <c r="DH94" i="60"/>
  <c r="DF94" i="60"/>
  <c r="DE51" i="60"/>
  <c r="CE51" i="60" s="1"/>
  <c r="DG58" i="60"/>
  <c r="CI44" i="60"/>
  <c r="CC177" i="60"/>
  <c r="DB177" i="60"/>
  <c r="CB177" i="60" s="1"/>
  <c r="DF177" i="60"/>
  <c r="CF177" i="60" s="1"/>
  <c r="CF112" i="60"/>
  <c r="DF167" i="60"/>
  <c r="CF167" i="60" s="1"/>
  <c r="DB167" i="60"/>
  <c r="CB167" i="60" s="1"/>
  <c r="F64" i="60"/>
  <c r="DF101" i="60"/>
  <c r="CE122" i="60"/>
  <c r="DF173" i="60"/>
  <c r="CF173" i="60" s="1"/>
  <c r="DB173" i="60"/>
  <c r="CB173" i="60" s="1"/>
  <c r="G36" i="60"/>
  <c r="DC51" i="60"/>
  <c r="CC51" i="60" s="1"/>
  <c r="DF99" i="60"/>
  <c r="F157" i="60"/>
  <c r="CI55" i="60"/>
  <c r="DE114" i="60"/>
  <c r="G157" i="60"/>
  <c r="DE148" i="60"/>
  <c r="CD19" i="60"/>
  <c r="DE129" i="60"/>
  <c r="CF91" i="60"/>
  <c r="DF134" i="60"/>
  <c r="DD138" i="60"/>
  <c r="CD138" i="60" s="1"/>
  <c r="DH140" i="60"/>
  <c r="DD140" i="60"/>
  <c r="CD140" i="60" s="1"/>
  <c r="DB162" i="60"/>
  <c r="CB162" i="60" s="1"/>
  <c r="DB171" i="60"/>
  <c r="CB171" i="60" s="1"/>
  <c r="DF171" i="60"/>
  <c r="CF171" i="60" s="1"/>
  <c r="DH93" i="60"/>
  <c r="DE138" i="60"/>
  <c r="DH149" i="60"/>
  <c r="DG149" i="60"/>
  <c r="DE149" i="60"/>
  <c r="CE149" i="60"/>
  <c r="DD149" i="60"/>
  <c r="CD149" i="60" s="1"/>
  <c r="DF175" i="60"/>
  <c r="CF175" i="60" s="1"/>
  <c r="DB175" i="60"/>
  <c r="CB175" i="60" s="1"/>
  <c r="DH155" i="60"/>
  <c r="DG155" i="60"/>
  <c r="CH155" i="60"/>
  <c r="DB169" i="60"/>
  <c r="CB169" i="60" s="1"/>
  <c r="DF253" i="60"/>
  <c r="DB172" i="60"/>
  <c r="CB172" i="60" s="1"/>
  <c r="DE126" i="60"/>
  <c r="DF163" i="60"/>
  <c r="CF163" i="60" s="1"/>
  <c r="DB163" i="60"/>
  <c r="CB163" i="60" s="1"/>
  <c r="DH152" i="60"/>
  <c r="DG152" i="60"/>
  <c r="CH152" i="60"/>
  <c r="DF168" i="60"/>
  <c r="CF168" i="60" s="1"/>
  <c r="DB168" i="60"/>
  <c r="CB168" i="60" s="1"/>
  <c r="DF172" i="60"/>
  <c r="CF172" i="60" s="1"/>
  <c r="DB185" i="60"/>
  <c r="CB185" i="60" s="1"/>
  <c r="CE148" i="60"/>
  <c r="DD148" i="60"/>
  <c r="CD148" i="60" s="1"/>
  <c r="CE151" i="60"/>
  <c r="DD151" i="60"/>
  <c r="CD151" i="60" s="1"/>
  <c r="CE154" i="60"/>
  <c r="DD154" i="60"/>
  <c r="CD154" i="60" s="1"/>
  <c r="E157" i="60"/>
  <c r="DB170" i="60"/>
  <c r="CB170" i="60" s="1"/>
  <c r="DD204" i="60"/>
  <c r="CD204" i="60" s="1"/>
  <c r="DB174" i="60"/>
  <c r="CB174" i="60" s="1"/>
  <c r="DF174" i="60"/>
  <c r="CF174" i="60" s="1"/>
  <c r="DF233" i="60"/>
  <c r="CF233" i="60"/>
  <c r="CE150" i="60"/>
  <c r="DD150" i="60"/>
  <c r="CD150" i="60" s="1"/>
  <c r="CE153" i="60"/>
  <c r="DD153" i="60"/>
  <c r="CD153" i="60" s="1"/>
  <c r="CE156" i="60"/>
  <c r="DD156" i="60"/>
  <c r="CD156" i="60" s="1"/>
  <c r="DH238" i="60"/>
  <c r="DE150" i="60"/>
  <c r="DE153" i="60"/>
  <c r="DE156" i="60"/>
  <c r="DF179" i="60"/>
  <c r="CF179" i="60" s="1"/>
  <c r="CH230" i="60"/>
  <c r="DH230" i="60"/>
  <c r="CF230" i="60"/>
  <c r="DE230" i="60"/>
  <c r="DH233" i="60"/>
  <c r="CE269" i="60"/>
  <c r="DE269" i="60"/>
  <c r="CH269" i="60"/>
  <c r="DF262" i="60"/>
  <c r="CE262" i="60"/>
  <c r="DE262" i="60"/>
  <c r="DH262" i="60"/>
  <c r="CH262" i="60"/>
  <c r="CF262" i="60"/>
  <c r="CH286" i="60"/>
  <c r="DE286" i="60"/>
  <c r="DH279" i="60"/>
  <c r="CH282" i="60"/>
  <c r="DH293" i="60"/>
  <c r="F301" i="60"/>
  <c r="G301" i="60"/>
  <c r="CE263" i="60"/>
  <c r="G302" i="60"/>
  <c r="DF266" i="60"/>
  <c r="DH266" i="60"/>
  <c r="CH266" i="60"/>
  <c r="CH283" i="60"/>
  <c r="F305" i="60"/>
  <c r="G305" i="60"/>
  <c r="CE275" i="60"/>
  <c r="G304" i="60"/>
  <c r="DE274" i="60"/>
  <c r="DE278" i="60"/>
  <c r="CE278" i="60"/>
  <c r="DF278" i="60"/>
  <c r="CE281" i="60"/>
  <c r="DD295" i="60"/>
  <c r="CD295" i="60" s="1"/>
  <c r="CE296" i="60"/>
  <c r="DH96" i="60" l="1"/>
  <c r="CH112" i="60"/>
  <c r="DC53" i="60"/>
  <c r="CC53" i="60" s="1"/>
  <c r="CH275" i="60"/>
  <c r="CF53" i="60"/>
  <c r="DE276" i="60"/>
  <c r="DE53" i="60"/>
  <c r="CE53" i="60" s="1"/>
  <c r="DF274" i="60"/>
  <c r="CE297" i="60"/>
  <c r="DG127" i="60"/>
  <c r="DE63" i="60"/>
  <c r="CE63" i="60" s="1"/>
  <c r="DH53" i="60"/>
  <c r="CF292" i="60"/>
  <c r="CE274" i="60"/>
  <c r="DE231" i="60"/>
  <c r="CE91" i="60"/>
  <c r="CF274" i="60"/>
  <c r="DF291" i="60"/>
  <c r="DE273" i="60"/>
  <c r="CF251" i="60"/>
  <c r="DF91" i="60"/>
  <c r="DH226" i="60"/>
  <c r="CH122" i="60"/>
  <c r="DF269" i="60"/>
  <c r="CF120" i="60"/>
  <c r="DE136" i="60"/>
  <c r="DH248" i="60"/>
  <c r="CE123" i="60"/>
  <c r="CF138" i="60"/>
  <c r="CF271" i="60"/>
  <c r="CG108" i="60"/>
  <c r="DH120" i="60"/>
  <c r="CG117" i="60"/>
  <c r="DH91" i="60"/>
  <c r="DG138" i="60"/>
  <c r="DE113" i="60"/>
  <c r="CF269" i="60"/>
  <c r="AZ269" i="60" s="1"/>
  <c r="CE96" i="60"/>
  <c r="DH255" i="60"/>
  <c r="DG117" i="60"/>
  <c r="DE91" i="60"/>
  <c r="DI96" i="60"/>
  <c r="CI137" i="60"/>
  <c r="CG137" i="60"/>
  <c r="DE282" i="60"/>
  <c r="CF282" i="60"/>
  <c r="DF282" i="60"/>
  <c r="DE300" i="60"/>
  <c r="CH300" i="60"/>
  <c r="DF300" i="60"/>
  <c r="DI111" i="60"/>
  <c r="DF111" i="60"/>
  <c r="DE206" i="60"/>
  <c r="CE206" i="60" s="1"/>
  <c r="DB206" i="60"/>
  <c r="CB206" i="60" s="1"/>
  <c r="DI109" i="60"/>
  <c r="CH109" i="60"/>
  <c r="DH109" i="60"/>
  <c r="DD109" i="60"/>
  <c r="CD109" i="60" s="1"/>
  <c r="CG109" i="60"/>
  <c r="CF109" i="60"/>
  <c r="DC193" i="60"/>
  <c r="CC193" i="60" s="1"/>
  <c r="DB193" i="60"/>
  <c r="CB193" i="60" s="1"/>
  <c r="CH134" i="60"/>
  <c r="DD134" i="60"/>
  <c r="CD134" i="60" s="1"/>
  <c r="DG134" i="60"/>
  <c r="CG134" i="60"/>
  <c r="DH134" i="60"/>
  <c r="CI134" i="60"/>
  <c r="CE134" i="60"/>
  <c r="DF258" i="60"/>
  <c r="CH258" i="60"/>
  <c r="CI118" i="60"/>
  <c r="CG118" i="60"/>
  <c r="DF206" i="60"/>
  <c r="CF206" i="60" s="1"/>
  <c r="DE263" i="60"/>
  <c r="DF263" i="60"/>
  <c r="DF190" i="60"/>
  <c r="CF190" i="60" s="1"/>
  <c r="DB190" i="60"/>
  <c r="CB190" i="60" s="1"/>
  <c r="DE272" i="60"/>
  <c r="DH272" i="60"/>
  <c r="CF272" i="60"/>
  <c r="DF123" i="60"/>
  <c r="DH123" i="60"/>
  <c r="DI134" i="60"/>
  <c r="CE243" i="60"/>
  <c r="CF243" i="60"/>
  <c r="DF272" i="60"/>
  <c r="CE282" i="60"/>
  <c r="CF258" i="60"/>
  <c r="CE137" i="60"/>
  <c r="DG109" i="60"/>
  <c r="DF289" i="60"/>
  <c r="DB194" i="60"/>
  <c r="CB194" i="60" s="1"/>
  <c r="DF194" i="60"/>
  <c r="CF194" i="60" s="1"/>
  <c r="CH272" i="60"/>
  <c r="DH282" i="60"/>
  <c r="DH258" i="60"/>
  <c r="CF123" i="60"/>
  <c r="CF134" i="60"/>
  <c r="DF137" i="60"/>
  <c r="DF109" i="60"/>
  <c r="DE283" i="60"/>
  <c r="DD283" i="60"/>
  <c r="CD283" i="60" s="1"/>
  <c r="DE134" i="60"/>
  <c r="CF126" i="60"/>
  <c r="CE126" i="60"/>
  <c r="CE233" i="60"/>
  <c r="CF93" i="60"/>
  <c r="DE133" i="60"/>
  <c r="CF119" i="60"/>
  <c r="DE116" i="60"/>
  <c r="DE48" i="60"/>
  <c r="CE48" i="60" s="1"/>
  <c r="DE50" i="60"/>
  <c r="CE50" i="60" s="1"/>
  <c r="DE233" i="60"/>
  <c r="DD277" i="60"/>
  <c r="CD277" i="60" s="1"/>
  <c r="DC315" i="60"/>
  <c r="CF268" i="60"/>
  <c r="CE273" i="60"/>
  <c r="CF286" i="60"/>
  <c r="CH248" i="60"/>
  <c r="AZ248" i="60" s="1"/>
  <c r="CE230" i="60"/>
  <c r="AZ230" i="60" s="1"/>
  <c r="DF187" i="60"/>
  <c r="CF187" i="60" s="1"/>
  <c r="DD105" i="60"/>
  <c r="CD105" i="60" s="1"/>
  <c r="CF140" i="60"/>
  <c r="DF136" i="60"/>
  <c r="CF133" i="60"/>
  <c r="DF96" i="60"/>
  <c r="DD99" i="60"/>
  <c r="CD99" i="60" s="1"/>
  <c r="DF48" i="60"/>
  <c r="CE95" i="60"/>
  <c r="CH274" i="60"/>
  <c r="CG116" i="60"/>
  <c r="CH95" i="60"/>
  <c r="CF45" i="60"/>
  <c r="DG45" i="60"/>
  <c r="DF45" i="60"/>
  <c r="CG45" i="60"/>
  <c r="DH45" i="60"/>
  <c r="DF275" i="60"/>
  <c r="DH283" i="60"/>
  <c r="CH280" i="60"/>
  <c r="DH267" i="60"/>
  <c r="DF121" i="60"/>
  <c r="DE105" i="60"/>
  <c r="DE137" i="60"/>
  <c r="DE119" i="60"/>
  <c r="DG119" i="60"/>
  <c r="DF114" i="60"/>
  <c r="DF226" i="60"/>
  <c r="CF122" i="60"/>
  <c r="DE122" i="60"/>
  <c r="DE101" i="60"/>
  <c r="DD112" i="60"/>
  <c r="CD112" i="60" s="1"/>
  <c r="DF112" i="60"/>
  <c r="DC185" i="60"/>
  <c r="CC185" i="60" s="1"/>
  <c r="DI122" i="60"/>
  <c r="DF122" i="60"/>
  <c r="DE270" i="60"/>
  <c r="CF275" i="60"/>
  <c r="AZ275" i="60" s="1"/>
  <c r="CF283" i="60"/>
  <c r="DC283" i="60"/>
  <c r="CC283" i="60" s="1"/>
  <c r="DE280" i="60"/>
  <c r="DH121" i="60"/>
  <c r="CE121" i="60"/>
  <c r="CF105" i="60"/>
  <c r="DH137" i="60"/>
  <c r="CF137" i="60"/>
  <c r="CE119" i="60"/>
  <c r="DH119" i="60"/>
  <c r="DD114" i="60"/>
  <c r="CD114" i="60" s="1"/>
  <c r="DG114" i="60"/>
  <c r="CF226" i="60"/>
  <c r="DH122" i="60"/>
  <c r="DE112" i="60"/>
  <c r="DH112" i="60"/>
  <c r="CI122" i="60"/>
  <c r="CE270" i="60"/>
  <c r="DE299" i="60"/>
  <c r="CF270" i="60"/>
  <c r="DH275" i="60"/>
  <c r="DF283" i="60"/>
  <c r="CE283" i="60"/>
  <c r="CE229" i="60"/>
  <c r="DF185" i="60"/>
  <c r="CF185" i="60" s="1"/>
  <c r="CF121" i="60"/>
  <c r="DG121" i="60"/>
  <c r="DD137" i="60"/>
  <c r="CD137" i="60" s="1"/>
  <c r="DG137" i="60"/>
  <c r="DF119" i="60"/>
  <c r="CF114" i="60"/>
  <c r="CH226" i="60"/>
  <c r="DD122" i="60"/>
  <c r="CD122" i="60" s="1"/>
  <c r="DG101" i="60"/>
  <c r="CE112" i="60"/>
  <c r="DD121" i="60"/>
  <c r="CD121" i="60" s="1"/>
  <c r="DI112" i="60"/>
  <c r="DF298" i="60"/>
  <c r="CF288" i="60"/>
  <c r="DF288" i="60"/>
  <c r="DE288" i="60"/>
  <c r="CE288" i="60"/>
  <c r="DH291" i="60"/>
  <c r="CH291" i="60"/>
  <c r="CE291" i="60"/>
  <c r="CE293" i="60"/>
  <c r="CH299" i="60"/>
  <c r="CG140" i="60"/>
  <c r="CI96" i="60"/>
  <c r="CH98" i="60"/>
  <c r="DH133" i="60"/>
  <c r="CF106" i="60"/>
  <c r="DD98" i="60"/>
  <c r="CD98" i="60" s="1"/>
  <c r="CI109" i="60"/>
  <c r="DF128" i="60"/>
  <c r="DF93" i="60"/>
  <c r="DE15" i="60"/>
  <c r="CE15" i="60" s="1"/>
  <c r="CH238" i="60"/>
  <c r="DF118" i="60"/>
  <c r="CH118" i="60"/>
  <c r="DC295" i="60"/>
  <c r="CC295" i="60" s="1"/>
  <c r="CC313" i="60"/>
  <c r="AT313" i="60" s="1"/>
  <c r="CF297" i="60"/>
  <c r="DF293" i="60"/>
  <c r="DF273" i="60"/>
  <c r="DC259" i="60"/>
  <c r="CC259" i="60" s="1"/>
  <c r="DE267" i="60"/>
  <c r="DG118" i="60"/>
  <c r="DH108" i="60"/>
  <c r="DG63" i="60"/>
  <c r="DF108" i="60"/>
  <c r="DG116" i="60"/>
  <c r="CG62" i="60"/>
  <c r="DH271" i="60"/>
  <c r="CF50" i="60"/>
  <c r="DF193" i="60"/>
  <c r="CF193" i="60" s="1"/>
  <c r="DD118" i="60"/>
  <c r="CD118" i="60" s="1"/>
  <c r="DG126" i="60"/>
  <c r="CE118" i="60"/>
  <c r="DC189" i="60"/>
  <c r="CC189" i="60" s="1"/>
  <c r="CH108" i="60"/>
  <c r="CI112" i="60"/>
  <c r="DH116" i="60"/>
  <c r="CH271" i="60"/>
  <c r="CE267" i="60"/>
  <c r="DF238" i="60"/>
  <c r="DH118" i="60"/>
  <c r="CG63" i="60"/>
  <c r="CE135" i="60"/>
  <c r="DG108" i="60"/>
  <c r="CE116" i="60"/>
  <c r="DF59" i="60"/>
  <c r="DE98" i="60"/>
  <c r="CH270" i="60"/>
  <c r="CH295" i="60"/>
  <c r="DD189" i="60"/>
  <c r="CD189" i="60" s="1"/>
  <c r="DI108" i="60"/>
  <c r="DD193" i="60"/>
  <c r="CD193" i="60" s="1"/>
  <c r="DH117" i="60"/>
  <c r="DF98" i="60"/>
  <c r="CF118" i="60"/>
  <c r="DH297" i="60"/>
  <c r="CF273" i="60"/>
  <c r="AZ273" i="60" s="1"/>
  <c r="DH259" i="60"/>
  <c r="CE131" i="60"/>
  <c r="CF299" i="60"/>
  <c r="DF299" i="60"/>
  <c r="CH297" i="60"/>
  <c r="CC312" i="60"/>
  <c r="AT312" i="60" s="1"/>
  <c r="CH293" i="60"/>
  <c r="DH273" i="60"/>
  <c r="CE259" i="60"/>
  <c r="DF267" i="60"/>
  <c r="CE238" i="60"/>
  <c r="DB189" i="60"/>
  <c r="CB189" i="60" s="1"/>
  <c r="DD117" i="60"/>
  <c r="CD117" i="60" s="1"/>
  <c r="DE135" i="60"/>
  <c r="DE131" i="60"/>
  <c r="CE108" i="60"/>
  <c r="DE93" i="60"/>
  <c r="DF63" i="60"/>
  <c r="DD116" i="60"/>
  <c r="CD116" i="60" s="1"/>
  <c r="CF98" i="60"/>
  <c r="DG56" i="60"/>
  <c r="DF115" i="60"/>
  <c r="DG98" i="60"/>
  <c r="DE189" i="60"/>
  <c r="CE189" i="60" s="1"/>
  <c r="CI108" i="60"/>
  <c r="DI118" i="60"/>
  <c r="DE193" i="60"/>
  <c r="CE193" i="60" s="1"/>
  <c r="CH267" i="60"/>
  <c r="DF106" i="60"/>
  <c r="DF116" i="60"/>
  <c r="DH295" i="60"/>
  <c r="CF108" i="60"/>
  <c r="CE299" i="60"/>
  <c r="DF270" i="60"/>
  <c r="DF268" i="60"/>
  <c r="CF238" i="60"/>
  <c r="DH126" i="60"/>
  <c r="CF113" i="60"/>
  <c r="CF128" i="60"/>
  <c r="CF117" i="60"/>
  <c r="DG93" i="60"/>
  <c r="DG135" i="60"/>
  <c r="DD108" i="60"/>
  <c r="CD108" i="60" s="1"/>
  <c r="CF116" i="60"/>
  <c r="DH98" i="60"/>
  <c r="DD271" i="60"/>
  <c r="CD271" i="60" s="1"/>
  <c r="CE98" i="60"/>
  <c r="DE118" i="60"/>
  <c r="CI117" i="60"/>
  <c r="CI116" i="60"/>
  <c r="CH121" i="60"/>
  <c r="CF284" i="60"/>
  <c r="DH284" i="60"/>
  <c r="CH232" i="60"/>
  <c r="CE232" i="60"/>
  <c r="DE279" i="60"/>
  <c r="CF279" i="60"/>
  <c r="DF279" i="60"/>
  <c r="CH279" i="60"/>
  <c r="CE279" i="60"/>
  <c r="CG107" i="60"/>
  <c r="CF107" i="60"/>
  <c r="DG107" i="60"/>
  <c r="CI107" i="60"/>
  <c r="DD107" i="60"/>
  <c r="CD107" i="60" s="1"/>
  <c r="DE107" i="60"/>
  <c r="CE107" i="60"/>
  <c r="DF107" i="60"/>
  <c r="DH281" i="60"/>
  <c r="CF281" i="60"/>
  <c r="DE281" i="60"/>
  <c r="CH281" i="60"/>
  <c r="DE290" i="60"/>
  <c r="CH290" i="60"/>
  <c r="CE290" i="60"/>
  <c r="CF290" i="60"/>
  <c r="DH290" i="60"/>
  <c r="DB204" i="60"/>
  <c r="CB204" i="60" s="1"/>
  <c r="DC204" i="60"/>
  <c r="CC204" i="60" s="1"/>
  <c r="DE204" i="60"/>
  <c r="CE204" i="60" s="1"/>
  <c r="CE136" i="60"/>
  <c r="DI136" i="60"/>
  <c r="CF136" i="60"/>
  <c r="CG136" i="60"/>
  <c r="DD136" i="60"/>
  <c r="CD136" i="60" s="1"/>
  <c r="CH136" i="60"/>
  <c r="DG136" i="60"/>
  <c r="DH136" i="60"/>
  <c r="DF250" i="60"/>
  <c r="DH250" i="60"/>
  <c r="CF250" i="60"/>
  <c r="CH285" i="60"/>
  <c r="DH285" i="60"/>
  <c r="CE285" i="60"/>
  <c r="DF285" i="60"/>
  <c r="CF285" i="60"/>
  <c r="DF95" i="60"/>
  <c r="CG95" i="60"/>
  <c r="CF95" i="60"/>
  <c r="DH95" i="60"/>
  <c r="CI95" i="60"/>
  <c r="DI95" i="60"/>
  <c r="DG95" i="60"/>
  <c r="DD95" i="60"/>
  <c r="CD95" i="60" s="1"/>
  <c r="CH124" i="60"/>
  <c r="CE124" i="60"/>
  <c r="DH124" i="60"/>
  <c r="CI124" i="60"/>
  <c r="CG124" i="60"/>
  <c r="DD124" i="60"/>
  <c r="CD124" i="60" s="1"/>
  <c r="DF124" i="60"/>
  <c r="DE124" i="60"/>
  <c r="CH250" i="60"/>
  <c r="DG124" i="60"/>
  <c r="CF294" i="60"/>
  <c r="DF294" i="60"/>
  <c r="DE294" i="60"/>
  <c r="CE294" i="60"/>
  <c r="DC13" i="60"/>
  <c r="CC13" i="60" s="1"/>
  <c r="DE13" i="60"/>
  <c r="CE13" i="60" s="1"/>
  <c r="DF13" i="60"/>
  <c r="DI124" i="60"/>
  <c r="DE261" i="60"/>
  <c r="CF261" i="60"/>
  <c r="DH261" i="60"/>
  <c r="CH261" i="60"/>
  <c r="DF261" i="60"/>
  <c r="CG43" i="60"/>
  <c r="DG43" i="60"/>
  <c r="DH43" i="60"/>
  <c r="DE43" i="60"/>
  <c r="CE43" i="60" s="1"/>
  <c r="DF191" i="60"/>
  <c r="CF191" i="60" s="1"/>
  <c r="DB191" i="60"/>
  <c r="CB191" i="60" s="1"/>
  <c r="DF277" i="60"/>
  <c r="CH277" i="60"/>
  <c r="CF277" i="60"/>
  <c r="DH277" i="60"/>
  <c r="CE277" i="60"/>
  <c r="DE277" i="60"/>
  <c r="DF290" i="60"/>
  <c r="DE245" i="60"/>
  <c r="CF245" i="60"/>
  <c r="CH227" i="60"/>
  <c r="DH227" i="60"/>
  <c r="CE227" i="60"/>
  <c r="DE227" i="60"/>
  <c r="DF227" i="60"/>
  <c r="DE264" i="60"/>
  <c r="CH264" i="60"/>
  <c r="DE260" i="60"/>
  <c r="CF260" i="60"/>
  <c r="CF296" i="60"/>
  <c r="CE295" i="60"/>
  <c r="CE280" i="60"/>
  <c r="DE266" i="60"/>
  <c r="CF263" i="60"/>
  <c r="DE268" i="60"/>
  <c r="DH268" i="60"/>
  <c r="DE259" i="60"/>
  <c r="DD259" i="60"/>
  <c r="CD259" i="60" s="1"/>
  <c r="CE286" i="60"/>
  <c r="CF242" i="60"/>
  <c r="DF248" i="60"/>
  <c r="DH113" i="60"/>
  <c r="DH63" i="60"/>
  <c r="DE140" i="60"/>
  <c r="DG140" i="60"/>
  <c r="DH128" i="60"/>
  <c r="DE117" i="60"/>
  <c r="DH135" i="60"/>
  <c r="CF135" i="60"/>
  <c r="DD133" i="60"/>
  <c r="CD133" i="60" s="1"/>
  <c r="DF133" i="60"/>
  <c r="DG131" i="60"/>
  <c r="DG96" i="60"/>
  <c r="DD96" i="60"/>
  <c r="CD96" i="60" s="1"/>
  <c r="CF12" i="60"/>
  <c r="E64" i="60"/>
  <c r="DG48" i="60"/>
  <c r="DC271" i="60"/>
  <c r="CC271" i="60" s="1"/>
  <c r="DE271" i="60"/>
  <c r="DH58" i="60"/>
  <c r="DE130" i="60"/>
  <c r="DI130" i="60"/>
  <c r="CH117" i="60"/>
  <c r="CG96" i="60"/>
  <c r="DE96" i="60"/>
  <c r="CF295" i="60"/>
  <c r="DF296" i="60"/>
  <c r="DF292" i="60"/>
  <c r="DE296" i="60"/>
  <c r="DH280" i="60"/>
  <c r="DF280" i="60"/>
  <c r="CE266" i="60"/>
  <c r="AZ266" i="60" s="1"/>
  <c r="CH263" i="60"/>
  <c r="DH263" i="60"/>
  <c r="CE268" i="60"/>
  <c r="CF259" i="60"/>
  <c r="DF259" i="60"/>
  <c r="DF286" i="60"/>
  <c r="DD113" i="60"/>
  <c r="CD113" i="60" s="1"/>
  <c r="CE140" i="60"/>
  <c r="DF140" i="60"/>
  <c r="CF130" i="60"/>
  <c r="DG128" i="60"/>
  <c r="CE117" i="60"/>
  <c r="DF117" i="60"/>
  <c r="DD135" i="60"/>
  <c r="CD135" i="60" s="1"/>
  <c r="CE133" i="60"/>
  <c r="DH131" i="60"/>
  <c r="CF96" i="60"/>
  <c r="DH99" i="60"/>
  <c r="DF12" i="60"/>
  <c r="CG56" i="60"/>
  <c r="CF48" i="60"/>
  <c r="DH48" i="60"/>
  <c r="CE271" i="60"/>
  <c r="DE56" i="60"/>
  <c r="CE56" i="60" s="1"/>
  <c r="E304" i="60"/>
  <c r="CH284" i="60"/>
  <c r="CH288" i="60"/>
  <c r="CH296" i="60"/>
  <c r="DE295" i="60"/>
  <c r="CE292" i="60"/>
  <c r="DE292" i="60"/>
  <c r="DH298" i="60"/>
  <c r="CH294" i="60"/>
  <c r="DE291" i="60"/>
  <c r="DF297" i="60"/>
  <c r="CF293" i="60"/>
  <c r="CE287" i="60"/>
  <c r="DE284" i="60"/>
  <c r="CE284" i="60"/>
  <c r="CH298" i="60"/>
  <c r="DE285" i="60"/>
  <c r="DE298" i="60"/>
  <c r="DF284" i="60"/>
  <c r="CE298" i="60"/>
  <c r="DE287" i="60"/>
  <c r="DF287" i="60"/>
  <c r="DH287" i="60"/>
  <c r="CF287" i="60"/>
  <c r="DH229" i="60"/>
  <c r="DC229" i="60"/>
  <c r="CC229" i="60" s="1"/>
  <c r="CF229" i="60"/>
  <c r="DF229" i="60"/>
  <c r="DE229" i="60"/>
  <c r="CH229" i="60"/>
  <c r="CE226" i="60"/>
  <c r="E302" i="60"/>
  <c r="CE276" i="60"/>
  <c r="DH245" i="60"/>
  <c r="CH254" i="60"/>
  <c r="CF255" i="60"/>
  <c r="DE224" i="60"/>
  <c r="DH61" i="60"/>
  <c r="DF130" i="60"/>
  <c r="DD141" i="60"/>
  <c r="CD141" i="60" s="1"/>
  <c r="DH127" i="60"/>
  <c r="DE52" i="60"/>
  <c r="CE52" i="60" s="1"/>
  <c r="DC289" i="60"/>
  <c r="CC289" i="60" s="1"/>
  <c r="CH289" i="60"/>
  <c r="DH52" i="60"/>
  <c r="DH57" i="60"/>
  <c r="CG51" i="60"/>
  <c r="DG50" i="60"/>
  <c r="DC206" i="60"/>
  <c r="CC206" i="60" s="1"/>
  <c r="DD128" i="60"/>
  <c r="CD128" i="60" s="1"/>
  <c r="CI130" i="60"/>
  <c r="CI98" i="60"/>
  <c r="CI121" i="60"/>
  <c r="CE300" i="60"/>
  <c r="DF276" i="60"/>
  <c r="DH254" i="60"/>
  <c r="CH255" i="60"/>
  <c r="CE224" i="60"/>
  <c r="DF197" i="60"/>
  <c r="CF197" i="60" s="1"/>
  <c r="CF132" i="60"/>
  <c r="DH130" i="60"/>
  <c r="DE141" i="60"/>
  <c r="DD127" i="60"/>
  <c r="CD127" i="60" s="1"/>
  <c r="DF56" i="60"/>
  <c r="DE120" i="60"/>
  <c r="CE289" i="60"/>
  <c r="DH289" i="60"/>
  <c r="DC50" i="60"/>
  <c r="CC50" i="60" s="1"/>
  <c r="DF51" i="60"/>
  <c r="CG50" i="60"/>
  <c r="DD126" i="60"/>
  <c r="CD126" i="60" s="1"/>
  <c r="DD206" i="60"/>
  <c r="CD206" i="60" s="1"/>
  <c r="DE128" i="60"/>
  <c r="CG130" i="60"/>
  <c r="DI116" i="60"/>
  <c r="CG98" i="60"/>
  <c r="CG121" i="60"/>
  <c r="CF276" i="60"/>
  <c r="DF224" i="60"/>
  <c r="DF132" i="60"/>
  <c r="DG130" i="60"/>
  <c r="CF141" i="60"/>
  <c r="DE127" i="60"/>
  <c r="CF61" i="60"/>
  <c r="DD289" i="60"/>
  <c r="CD289" i="60" s="1"/>
  <c r="DG51" i="60"/>
  <c r="CH130" i="60"/>
  <c r="CF254" i="60"/>
  <c r="CE245" i="60"/>
  <c r="DH251" i="60"/>
  <c r="CF224" i="60"/>
  <c r="DH132" i="60"/>
  <c r="DG141" i="60"/>
  <c r="CE127" i="60"/>
  <c r="DC49" i="60"/>
  <c r="CC49" i="60" s="1"/>
  <c r="CF289" i="60"/>
  <c r="DH224" i="60"/>
  <c r="CE130" i="60"/>
  <c r="CG132" i="60"/>
  <c r="DI121" i="60"/>
  <c r="DD265" i="60"/>
  <c r="CD265" i="60" s="1"/>
  <c r="CF300" i="60"/>
  <c r="DH276" i="60"/>
  <c r="DH300" i="60"/>
  <c r="DG132" i="60"/>
  <c r="DF141" i="60"/>
  <c r="DE61" i="60"/>
  <c r="CE61" i="60" s="1"/>
  <c r="CF99" i="60"/>
  <c r="DF15" i="60"/>
  <c r="DF120" i="60"/>
  <c r="CF15" i="60"/>
  <c r="DD97" i="60"/>
  <c r="CD97" i="60" s="1"/>
  <c r="DH50" i="60"/>
  <c r="CF51" i="60"/>
  <c r="CH257" i="60"/>
  <c r="DF243" i="60"/>
  <c r="CH260" i="60"/>
  <c r="CH253" i="60"/>
  <c r="DH257" i="60"/>
  <c r="DH243" i="60"/>
  <c r="CE260" i="60"/>
  <c r="CF264" i="60"/>
  <c r="DC253" i="60"/>
  <c r="CC253" i="60" s="1"/>
  <c r="CF257" i="60"/>
  <c r="DF260" i="60"/>
  <c r="CE264" i="60"/>
  <c r="DD253" i="60"/>
  <c r="CD253" i="60" s="1"/>
  <c r="CH243" i="60"/>
  <c r="DH260" i="60"/>
  <c r="DF264" i="60"/>
  <c r="CF253" i="60"/>
  <c r="DF242" i="60"/>
  <c r="CF247" i="60"/>
  <c r="DE243" i="60"/>
  <c r="DH264" i="60"/>
  <c r="DF221" i="60"/>
  <c r="DD221" i="60"/>
  <c r="CD221" i="60" s="1"/>
  <c r="DF204" i="60"/>
  <c r="CF204" i="60" s="1"/>
  <c r="DF180" i="60"/>
  <c r="CF180" i="60" s="1"/>
  <c r="DB180" i="60"/>
  <c r="CB180" i="60" s="1"/>
  <c r="DC180" i="60"/>
  <c r="CC180" i="60" s="1"/>
  <c r="DD180" i="60"/>
  <c r="CD180" i="60" s="1"/>
  <c r="AZ151" i="60"/>
  <c r="DG120" i="60"/>
  <c r="CE120" i="60"/>
  <c r="DF110" i="60"/>
  <c r="DG111" i="60"/>
  <c r="DH111" i="60"/>
  <c r="CE110" i="60"/>
  <c r="DG110" i="60"/>
  <c r="CE111" i="60"/>
  <c r="DD111" i="60"/>
  <c r="CD111" i="60" s="1"/>
  <c r="CG111" i="60"/>
  <c r="DE111" i="60"/>
  <c r="CF111" i="60"/>
  <c r="CE106" i="60"/>
  <c r="DD106" i="60"/>
  <c r="CD106" i="60" s="1"/>
  <c r="DG106" i="60"/>
  <c r="DI107" i="60"/>
  <c r="CH107" i="60"/>
  <c r="CF110" i="60"/>
  <c r="DE110" i="60"/>
  <c r="CE114" i="60"/>
  <c r="DH114" i="60"/>
  <c r="DG112" i="60"/>
  <c r="DG115" i="60"/>
  <c r="DH115" i="60"/>
  <c r="DD115" i="60"/>
  <c r="CD115" i="60" s="1"/>
  <c r="CG114" i="60"/>
  <c r="CH114" i="60"/>
  <c r="DI114" i="60"/>
  <c r="DD131" i="60"/>
  <c r="CD131" i="60" s="1"/>
  <c r="DH142" i="60"/>
  <c r="DD142" i="60"/>
  <c r="CD142" i="60" s="1"/>
  <c r="CF139" i="60"/>
  <c r="CF131" i="60"/>
  <c r="DG139" i="60"/>
  <c r="CH137" i="60"/>
  <c r="CF142" i="60"/>
  <c r="DG142" i="60"/>
  <c r="DF142" i="60"/>
  <c r="DH141" i="60"/>
  <c r="DI140" i="60"/>
  <c r="DF139" i="60"/>
  <c r="CE139" i="60"/>
  <c r="CE138" i="60"/>
  <c r="DF138" i="60"/>
  <c r="DI137" i="60"/>
  <c r="DD132" i="60"/>
  <c r="CD132" i="60" s="1"/>
  <c r="DE132" i="60"/>
  <c r="CE132" i="60"/>
  <c r="DE99" i="60"/>
  <c r="DF102" i="60"/>
  <c r="CE102" i="60"/>
  <c r="DD102" i="60"/>
  <c r="CD102" i="60" s="1"/>
  <c r="DG102" i="60"/>
  <c r="DE102" i="60"/>
  <c r="DH102" i="60"/>
  <c r="DH104" i="60"/>
  <c r="DF104" i="60"/>
  <c r="DG103" i="60"/>
  <c r="DG104" i="60"/>
  <c r="CE104" i="60"/>
  <c r="DD104" i="60"/>
  <c r="CD104" i="60" s="1"/>
  <c r="CF104" i="60"/>
  <c r="CF92" i="60"/>
  <c r="DD92" i="60"/>
  <c r="CD92" i="60" s="1"/>
  <c r="DE90" i="60"/>
  <c r="DF61" i="60"/>
  <c r="DF62" i="60"/>
  <c r="DG61" i="60"/>
  <c r="DH62" i="60"/>
  <c r="DE62" i="60"/>
  <c r="CE62" i="60" s="1"/>
  <c r="DC62" i="60"/>
  <c r="CC62" i="60" s="1"/>
  <c r="DE58" i="60"/>
  <c r="CE58" i="60" s="1"/>
  <c r="DC56" i="60"/>
  <c r="CC56" i="60" s="1"/>
  <c r="CG58" i="60"/>
  <c r="DC58" i="60"/>
  <c r="CC58" i="60" s="1"/>
  <c r="DF58" i="60"/>
  <c r="CF58" i="60"/>
  <c r="DH47" i="60"/>
  <c r="DH51" i="60"/>
  <c r="DF50" i="60"/>
  <c r="DF53" i="60"/>
  <c r="DF49" i="60"/>
  <c r="DE49" i="60"/>
  <c r="CE49" i="60" s="1"/>
  <c r="DG49" i="60"/>
  <c r="DH49" i="60"/>
  <c r="CG49" i="60"/>
  <c r="CF49" i="60"/>
  <c r="DE47" i="60"/>
  <c r="CE47" i="60" s="1"/>
  <c r="DC47" i="60"/>
  <c r="CC47" i="60" s="1"/>
  <c r="CF47" i="60"/>
  <c r="CF41" i="60"/>
  <c r="DH41" i="60"/>
  <c r="CG41" i="60"/>
  <c r="DC41" i="60"/>
  <c r="CC41" i="60" s="1"/>
  <c r="DH13" i="60"/>
  <c r="DH15" i="60"/>
  <c r="AZ156" i="60"/>
  <c r="AY167" i="60"/>
  <c r="DG97" i="60"/>
  <c r="DF52" i="60"/>
  <c r="DC57" i="60"/>
  <c r="CC57" i="60" s="1"/>
  <c r="E143" i="60"/>
  <c r="CH292" i="60"/>
  <c r="CI111" i="60"/>
  <c r="CI132" i="60"/>
  <c r="DH97" i="60"/>
  <c r="DG52" i="60"/>
  <c r="CF57" i="60"/>
  <c r="DF57" i="60"/>
  <c r="AZ153" i="60"/>
  <c r="AZ233" i="60"/>
  <c r="DH101" i="60"/>
  <c r="CE97" i="60"/>
  <c r="DC52" i="60"/>
  <c r="CC52" i="60" s="1"/>
  <c r="DE57" i="60"/>
  <c r="CE57" i="60" s="1"/>
  <c r="DG47" i="60"/>
  <c r="AY94" i="60"/>
  <c r="AZ155" i="60"/>
  <c r="CI140" i="60"/>
  <c r="CH111" i="60"/>
  <c r="AZ150" i="60"/>
  <c r="AZ154" i="60"/>
  <c r="AZ149" i="60"/>
  <c r="DD101" i="60"/>
  <c r="CD101" i="60" s="1"/>
  <c r="DE97" i="60"/>
  <c r="CC314" i="60"/>
  <c r="AT314" i="60" s="1"/>
  <c r="AZ152" i="60"/>
  <c r="CH132" i="60"/>
  <c r="AY165" i="60"/>
  <c r="CH100" i="60"/>
  <c r="CG100" i="60"/>
  <c r="CI100" i="60"/>
  <c r="DI100" i="60"/>
  <c r="CI42" i="60"/>
  <c r="DF42" i="60"/>
  <c r="CF42" i="60"/>
  <c r="DH32" i="60"/>
  <c r="DF32" i="60"/>
  <c r="DE32" i="60"/>
  <c r="CE32" i="60" s="1"/>
  <c r="DG32" i="60"/>
  <c r="DC32" i="60"/>
  <c r="CC32" i="60" s="1"/>
  <c r="CI32" i="60"/>
  <c r="CG32" i="60"/>
  <c r="CF32" i="60"/>
  <c r="CC311" i="60"/>
  <c r="AT311" i="60" s="1"/>
  <c r="DH247" i="60"/>
  <c r="DH242" i="60"/>
  <c r="DE195" i="60"/>
  <c r="CE195" i="60" s="1"/>
  <c r="DD195" i="60"/>
  <c r="CD195" i="60" s="1"/>
  <c r="DC195" i="60"/>
  <c r="CC195" i="60" s="1"/>
  <c r="DF232" i="60"/>
  <c r="CE231" i="60"/>
  <c r="DG125" i="60"/>
  <c r="CE100" i="60"/>
  <c r="DE59" i="60"/>
  <c r="CE59" i="60" s="1"/>
  <c r="DG92" i="60"/>
  <c r="DC197" i="60"/>
  <c r="CC197" i="60" s="1"/>
  <c r="DE197" i="60"/>
  <c r="CE197" i="60" s="1"/>
  <c r="DD197" i="60"/>
  <c r="CD197" i="60" s="1"/>
  <c r="DH42" i="60"/>
  <c r="CI131" i="60"/>
  <c r="DI131" i="60"/>
  <c r="CH131" i="60"/>
  <c r="CG131" i="60"/>
  <c r="CH104" i="60"/>
  <c r="CG104" i="60"/>
  <c r="CI104" i="60"/>
  <c r="DI104" i="60"/>
  <c r="DF184" i="60"/>
  <c r="CF184" i="60" s="1"/>
  <c r="DE184" i="60"/>
  <c r="CE184" i="60" s="1"/>
  <c r="DD184" i="60"/>
  <c r="CD184" i="60" s="1"/>
  <c r="DC184" i="60"/>
  <c r="CC184" i="60" s="1"/>
  <c r="DG53" i="60"/>
  <c r="CI53" i="60"/>
  <c r="CH123" i="60"/>
  <c r="CG123" i="60"/>
  <c r="CI123" i="60"/>
  <c r="DI123" i="60"/>
  <c r="DG41" i="60"/>
  <c r="DF41" i="60"/>
  <c r="CI41" i="60"/>
  <c r="DG22" i="60"/>
  <c r="DC22" i="60"/>
  <c r="CC22" i="60" s="1"/>
  <c r="CG22" i="60"/>
  <c r="CI22" i="60"/>
  <c r="DH22" i="60"/>
  <c r="CF22" i="60"/>
  <c r="DF22" i="60"/>
  <c r="DE22" i="60"/>
  <c r="CE22" i="60" s="1"/>
  <c r="DG19" i="60"/>
  <c r="DC19" i="60"/>
  <c r="CC19" i="60" s="1"/>
  <c r="DH19" i="60"/>
  <c r="CI19" i="60"/>
  <c r="DF19" i="60"/>
  <c r="DE19" i="60"/>
  <c r="CE19" i="60" s="1"/>
  <c r="CG19" i="60"/>
  <c r="CF19" i="60"/>
  <c r="DC191" i="60"/>
  <c r="CC191" i="60" s="1"/>
  <c r="DE191" i="60"/>
  <c r="CE191" i="60" s="1"/>
  <c r="DD191" i="60"/>
  <c r="CD191" i="60" s="1"/>
  <c r="DG27" i="60"/>
  <c r="DC27" i="60"/>
  <c r="CC27" i="60" s="1"/>
  <c r="CI27" i="60"/>
  <c r="CG27" i="60"/>
  <c r="DH27" i="60"/>
  <c r="CF27" i="60"/>
  <c r="DF27" i="60"/>
  <c r="DE27" i="60"/>
  <c r="CE27" i="60" s="1"/>
  <c r="CH128" i="60"/>
  <c r="CG128" i="60"/>
  <c r="CI128" i="60"/>
  <c r="DI128" i="60"/>
  <c r="DC48" i="60"/>
  <c r="CC48" i="60" s="1"/>
  <c r="CI48" i="60"/>
  <c r="DI103" i="60"/>
  <c r="CH103" i="60"/>
  <c r="CG103" i="60"/>
  <c r="CI103" i="60"/>
  <c r="DE196" i="60"/>
  <c r="CE196" i="60" s="1"/>
  <c r="DD196" i="60"/>
  <c r="CD196" i="60" s="1"/>
  <c r="DC196" i="60"/>
  <c r="CC196" i="60" s="1"/>
  <c r="CF59" i="60"/>
  <c r="CI59" i="60"/>
  <c r="DC20" i="60"/>
  <c r="CC20" i="60" s="1"/>
  <c r="CI20" i="60"/>
  <c r="DG20" i="60"/>
  <c r="DH20" i="60"/>
  <c r="CG20" i="60"/>
  <c r="DF20" i="60"/>
  <c r="CF20" i="60"/>
  <c r="DE20" i="60"/>
  <c r="CE20" i="60" s="1"/>
  <c r="DF265" i="60"/>
  <c r="DC247" i="60"/>
  <c r="CC247" i="60" s="1"/>
  <c r="DF205" i="60"/>
  <c r="CF205" i="60" s="1"/>
  <c r="DE192" i="60"/>
  <c r="CE192" i="60" s="1"/>
  <c r="DD192" i="60"/>
  <c r="CD192" i="60" s="1"/>
  <c r="DC192" i="60"/>
  <c r="CC192" i="60" s="1"/>
  <c r="AY174" i="60"/>
  <c r="DC181" i="60"/>
  <c r="CC181" i="60" s="1"/>
  <c r="DE181" i="60"/>
  <c r="CE181" i="60" s="1"/>
  <c r="DD181" i="60"/>
  <c r="CD181" i="60" s="1"/>
  <c r="CF231" i="60"/>
  <c r="AY172" i="60"/>
  <c r="AY169" i="60"/>
  <c r="DE125" i="60"/>
  <c r="AY171" i="60"/>
  <c r="DC42" i="60"/>
  <c r="CC42" i="60" s="1"/>
  <c r="DF196" i="60"/>
  <c r="CF196" i="60" s="1"/>
  <c r="DD103" i="60"/>
  <c r="CD103" i="60" s="1"/>
  <c r="DH103" i="60"/>
  <c r="AY173" i="60"/>
  <c r="DF100" i="60"/>
  <c r="DC59" i="60"/>
  <c r="CC59" i="60" s="1"/>
  <c r="AY177" i="60"/>
  <c r="DD90" i="60"/>
  <c r="CD90" i="60" s="1"/>
  <c r="DI90" i="60"/>
  <c r="CI90" i="60"/>
  <c r="CG90" i="60"/>
  <c r="CH90" i="60"/>
  <c r="CF265" i="60"/>
  <c r="CH105" i="60"/>
  <c r="CG105" i="60"/>
  <c r="CI105" i="60"/>
  <c r="DI105" i="60"/>
  <c r="CH135" i="60"/>
  <c r="CG135" i="60"/>
  <c r="CI135" i="60"/>
  <c r="DI135" i="60"/>
  <c r="CE99" i="60"/>
  <c r="CH99" i="60"/>
  <c r="CG99" i="60"/>
  <c r="CI99" i="60"/>
  <c r="DI99" i="60"/>
  <c r="DG24" i="60"/>
  <c r="DC24" i="60"/>
  <c r="CC24" i="60" s="1"/>
  <c r="CF24" i="60"/>
  <c r="CG24" i="60"/>
  <c r="DH24" i="60"/>
  <c r="DF24" i="60"/>
  <c r="CI24" i="60"/>
  <c r="DE24" i="60"/>
  <c r="CE24" i="60" s="1"/>
  <c r="DG42" i="60"/>
  <c r="DD93" i="60"/>
  <c r="CD93" i="60" s="1"/>
  <c r="CH93" i="60"/>
  <c r="CG93" i="60"/>
  <c r="CI93" i="60"/>
  <c r="DI93" i="60"/>
  <c r="DH34" i="60"/>
  <c r="DF34" i="60"/>
  <c r="DE34" i="60"/>
  <c r="CE34" i="60" s="1"/>
  <c r="DG34" i="60"/>
  <c r="DC34" i="60"/>
  <c r="CC34" i="60" s="1"/>
  <c r="CF34" i="60"/>
  <c r="CG34" i="60"/>
  <c r="CI34" i="60"/>
  <c r="DF182" i="60"/>
  <c r="CF182" i="60" s="1"/>
  <c r="DC182" i="60"/>
  <c r="CC182" i="60" s="1"/>
  <c r="DE182" i="60"/>
  <c r="CE182" i="60" s="1"/>
  <c r="DD182" i="60"/>
  <c r="CD182" i="60" s="1"/>
  <c r="CF56" i="60"/>
  <c r="CI56" i="60"/>
  <c r="AY176" i="60"/>
  <c r="DF126" i="60"/>
  <c r="CI126" i="60"/>
  <c r="DI126" i="60"/>
  <c r="CH126" i="60"/>
  <c r="CG126" i="60"/>
  <c r="DG21" i="60"/>
  <c r="DC21" i="60"/>
  <c r="CC21" i="60" s="1"/>
  <c r="CG21" i="60"/>
  <c r="DH21" i="60"/>
  <c r="CF21" i="60"/>
  <c r="CI21" i="60"/>
  <c r="DF21" i="60"/>
  <c r="DE21" i="60"/>
  <c r="CE21" i="60" s="1"/>
  <c r="DC26" i="60"/>
  <c r="CC26" i="60" s="1"/>
  <c r="CI26" i="60"/>
  <c r="DG26" i="60"/>
  <c r="DH26" i="60"/>
  <c r="CG26" i="60"/>
  <c r="DF26" i="60"/>
  <c r="CF26" i="60"/>
  <c r="DE26" i="60"/>
  <c r="CE26" i="60" s="1"/>
  <c r="CH141" i="60"/>
  <c r="CG141" i="60"/>
  <c r="CI141" i="60"/>
  <c r="DI141" i="60"/>
  <c r="CI125" i="60"/>
  <c r="DI125" i="60"/>
  <c r="CH125" i="60"/>
  <c r="CG125" i="60"/>
  <c r="DH265" i="60"/>
  <c r="CH247" i="60"/>
  <c r="AZ262" i="60"/>
  <c r="DE183" i="60"/>
  <c r="CE183" i="60" s="1"/>
  <c r="DD183" i="60"/>
  <c r="CD183" i="60" s="1"/>
  <c r="DC183" i="60"/>
  <c r="CC183" i="60" s="1"/>
  <c r="DD205" i="60"/>
  <c r="CD205" i="60" s="1"/>
  <c r="DE186" i="60"/>
  <c r="CE186" i="60" s="1"/>
  <c r="DD186" i="60"/>
  <c r="CD186" i="60" s="1"/>
  <c r="DC186" i="60"/>
  <c r="CC186" i="60" s="1"/>
  <c r="DE232" i="60"/>
  <c r="AY170" i="60"/>
  <c r="DH231" i="60"/>
  <c r="DD125" i="60"/>
  <c r="CD125" i="60" s="1"/>
  <c r="CE103" i="60"/>
  <c r="DD100" i="60"/>
  <c r="CD100" i="60" s="1"/>
  <c r="DH100" i="60"/>
  <c r="DH59" i="60"/>
  <c r="DH92" i="60"/>
  <c r="CH92" i="60"/>
  <c r="CG92" i="60"/>
  <c r="CI92" i="60"/>
  <c r="DI92" i="60"/>
  <c r="DI133" i="60"/>
  <c r="CH133" i="60"/>
  <c r="CG133" i="60"/>
  <c r="CI133" i="60"/>
  <c r="CH106" i="60"/>
  <c r="CG106" i="60"/>
  <c r="CI106" i="60"/>
  <c r="DI106" i="60"/>
  <c r="CI113" i="60"/>
  <c r="DI113" i="60"/>
  <c r="CG113" i="60"/>
  <c r="CH113" i="60"/>
  <c r="CF97" i="60"/>
  <c r="DI97" i="60"/>
  <c r="CH97" i="60"/>
  <c r="CG97" i="60"/>
  <c r="CI97" i="60"/>
  <c r="DF125" i="60"/>
  <c r="DC179" i="60"/>
  <c r="CC179" i="60" s="1"/>
  <c r="DE179" i="60"/>
  <c r="CE179" i="60" s="1"/>
  <c r="DD179" i="60"/>
  <c r="CD179" i="60" s="1"/>
  <c r="CF52" i="60"/>
  <c r="CI52" i="60"/>
  <c r="DG25" i="60"/>
  <c r="DC25" i="60"/>
  <c r="CC25" i="60" s="1"/>
  <c r="CI25" i="60"/>
  <c r="DH25" i="60"/>
  <c r="DF25" i="60"/>
  <c r="CG25" i="60"/>
  <c r="DE25" i="60"/>
  <c r="CE25" i="60" s="1"/>
  <c r="CF25" i="60"/>
  <c r="DE45" i="60"/>
  <c r="CE45" i="60" s="1"/>
  <c r="CI45" i="60"/>
  <c r="DG31" i="60"/>
  <c r="DH31" i="60"/>
  <c r="DF31" i="60"/>
  <c r="DE31" i="60"/>
  <c r="CE31" i="60" s="1"/>
  <c r="CI31" i="60"/>
  <c r="CF31" i="60"/>
  <c r="DC31" i="60"/>
  <c r="CC31" i="60" s="1"/>
  <c r="CG31" i="60"/>
  <c r="CI119" i="60"/>
  <c r="DI119" i="60"/>
  <c r="CG119" i="60"/>
  <c r="CH119" i="60"/>
  <c r="DD91" i="60"/>
  <c r="CD91" i="60" s="1"/>
  <c r="DI91" i="60"/>
  <c r="CH91" i="60"/>
  <c r="CG91" i="60"/>
  <c r="CI91" i="60"/>
  <c r="DG13" i="60"/>
  <c r="CG13" i="60"/>
  <c r="CI13" i="60"/>
  <c r="DG15" i="60"/>
  <c r="CI15" i="60"/>
  <c r="CG15" i="60"/>
  <c r="DC194" i="60"/>
  <c r="CC194" i="60" s="1"/>
  <c r="DE194" i="60"/>
  <c r="CE194" i="60" s="1"/>
  <c r="DD194" i="60"/>
  <c r="CD194" i="60" s="1"/>
  <c r="DC265" i="60"/>
  <c r="CC265" i="60" s="1"/>
  <c r="CE242" i="60"/>
  <c r="DB205" i="60"/>
  <c r="CB205" i="60" s="1"/>
  <c r="CF232" i="60"/>
  <c r="AY168" i="60"/>
  <c r="CH231" i="60"/>
  <c r="DE103" i="60"/>
  <c r="CI14" i="60"/>
  <c r="DG14" i="60"/>
  <c r="CG14" i="60"/>
  <c r="DE100" i="60"/>
  <c r="E36" i="60"/>
  <c r="DG29" i="60"/>
  <c r="DE29" i="60"/>
  <c r="CE29" i="60" s="1"/>
  <c r="DC29" i="60"/>
  <c r="CC29" i="60" s="1"/>
  <c r="CI29" i="60"/>
  <c r="CF29" i="60"/>
  <c r="DH29" i="60"/>
  <c r="DF29" i="60"/>
  <c r="CG29" i="60"/>
  <c r="DF92" i="60"/>
  <c r="CI102" i="60"/>
  <c r="DI102" i="60"/>
  <c r="CH102" i="60"/>
  <c r="CG102" i="60"/>
  <c r="CF62" i="60"/>
  <c r="CI62" i="60"/>
  <c r="CH110" i="60"/>
  <c r="CG110" i="60"/>
  <c r="CI110" i="60"/>
  <c r="DI110" i="60"/>
  <c r="DB188" i="60"/>
  <c r="CB188" i="60" s="1"/>
  <c r="DC188" i="60"/>
  <c r="CC188" i="60" s="1"/>
  <c r="DE188" i="60"/>
  <c r="CE188" i="60" s="1"/>
  <c r="DD188" i="60"/>
  <c r="CD188" i="60" s="1"/>
  <c r="CH129" i="60"/>
  <c r="CG129" i="60"/>
  <c r="CI129" i="60"/>
  <c r="DI129" i="60"/>
  <c r="CF125" i="60"/>
  <c r="CI138" i="60"/>
  <c r="DI138" i="60"/>
  <c r="CH138" i="60"/>
  <c r="CG138" i="60"/>
  <c r="DE190" i="60"/>
  <c r="CE190" i="60" s="1"/>
  <c r="DD190" i="60"/>
  <c r="CD190" i="60" s="1"/>
  <c r="DC190" i="60"/>
  <c r="CC190" i="60" s="1"/>
  <c r="DH30" i="60"/>
  <c r="DG30" i="60"/>
  <c r="DE30" i="60"/>
  <c r="CE30" i="60" s="1"/>
  <c r="CF30" i="60"/>
  <c r="DC30" i="60"/>
  <c r="CC30" i="60" s="1"/>
  <c r="CI30" i="60"/>
  <c r="CG30" i="60"/>
  <c r="DF30" i="60"/>
  <c r="CI120" i="60"/>
  <c r="DI120" i="60"/>
  <c r="CH120" i="60"/>
  <c r="CG120" i="60"/>
  <c r="CE142" i="60"/>
  <c r="CH142" i="60"/>
  <c r="CG142" i="60"/>
  <c r="CI142" i="60"/>
  <c r="DI142" i="60"/>
  <c r="DC61" i="60"/>
  <c r="CC61" i="60" s="1"/>
  <c r="CI61" i="60"/>
  <c r="DH35" i="60"/>
  <c r="DF35" i="60"/>
  <c r="DG35" i="60"/>
  <c r="DE35" i="60"/>
  <c r="CE35" i="60" s="1"/>
  <c r="CI35" i="60"/>
  <c r="CF35" i="60"/>
  <c r="DC35" i="60"/>
  <c r="CC35" i="60" s="1"/>
  <c r="CG35" i="60"/>
  <c r="DG23" i="60"/>
  <c r="DC23" i="60"/>
  <c r="CC23" i="60" s="1"/>
  <c r="CG23" i="60"/>
  <c r="DH23" i="60"/>
  <c r="CF23" i="60"/>
  <c r="DF23" i="60"/>
  <c r="CI23" i="60"/>
  <c r="DE23" i="60"/>
  <c r="CE23" i="60" s="1"/>
  <c r="DE198" i="60"/>
  <c r="CE198" i="60" s="1"/>
  <c r="DD198" i="60"/>
  <c r="CD198" i="60" s="1"/>
  <c r="DC198" i="60"/>
  <c r="CC198" i="60" s="1"/>
  <c r="CE265" i="60"/>
  <c r="CH242" i="60"/>
  <c r="DC205" i="60"/>
  <c r="CC205" i="60" s="1"/>
  <c r="DH232" i="60"/>
  <c r="AY163" i="60"/>
  <c r="AY175" i="60"/>
  <c r="DE42" i="60"/>
  <c r="CE42" i="60" s="1"/>
  <c r="AY162" i="60"/>
  <c r="CG42" i="60"/>
  <c r="CF103" i="60"/>
  <c r="DG100" i="60"/>
  <c r="CG59" i="60"/>
  <c r="DC187" i="60"/>
  <c r="CC187" i="60" s="1"/>
  <c r="DE187" i="60"/>
  <c r="CE187" i="60" s="1"/>
  <c r="DD187" i="60"/>
  <c r="CD187" i="60" s="1"/>
  <c r="CF101" i="60"/>
  <c r="CI101" i="60"/>
  <c r="DI101" i="60"/>
  <c r="CH101" i="60"/>
  <c r="CG101" i="60"/>
  <c r="CH265" i="60"/>
  <c r="DH139" i="60"/>
  <c r="DI139" i="60"/>
  <c r="CH139" i="60"/>
  <c r="CG139" i="60"/>
  <c r="CI139" i="60"/>
  <c r="CE125" i="60"/>
  <c r="DI127" i="60"/>
  <c r="CH127" i="60"/>
  <c r="CG127" i="60"/>
  <c r="CI127" i="60"/>
  <c r="E303" i="60"/>
  <c r="DI115" i="60"/>
  <c r="CH115" i="60"/>
  <c r="CG115" i="60"/>
  <c r="CI115" i="60"/>
  <c r="DG12" i="60"/>
  <c r="DF43" i="60"/>
  <c r="CI43" i="60"/>
  <c r="CF43" i="60"/>
  <c r="DG28" i="60"/>
  <c r="DC28" i="60"/>
  <c r="CC28" i="60" s="1"/>
  <c r="CF28" i="60"/>
  <c r="DH28" i="60"/>
  <c r="DF28" i="60"/>
  <c r="CI28" i="60"/>
  <c r="CG28" i="60"/>
  <c r="DE28" i="60"/>
  <c r="CE28" i="60" s="1"/>
  <c r="DC63" i="60"/>
  <c r="CC63" i="60" s="1"/>
  <c r="CI63" i="60"/>
  <c r="AY164" i="60"/>
  <c r="DH33" i="60"/>
  <c r="DF33" i="60"/>
  <c r="DE33" i="60"/>
  <c r="CE33" i="60" s="1"/>
  <c r="DG33" i="60"/>
  <c r="CG33" i="60"/>
  <c r="CF33" i="60"/>
  <c r="DC33" i="60"/>
  <c r="CC33" i="60" s="1"/>
  <c r="CI33" i="60"/>
  <c r="AZ148" i="60"/>
  <c r="DC12" i="60"/>
  <c r="CG12" i="60"/>
  <c r="CI12" i="60"/>
  <c r="DE12" i="60"/>
  <c r="CE12" i="60" s="1"/>
  <c r="DG57" i="60"/>
  <c r="CG57" i="60"/>
  <c r="CH251" i="60"/>
  <c r="AZ251" i="60" s="1"/>
  <c r="DG90" i="60"/>
  <c r="AZ278" i="60"/>
  <c r="DG123" i="60"/>
  <c r="DD123" i="60"/>
  <c r="CD123" i="60" s="1"/>
  <c r="CF127" i="60"/>
  <c r="CF115" i="60"/>
  <c r="CE115" i="60"/>
  <c r="CF221" i="60"/>
  <c r="CF129" i="60"/>
  <c r="DD110" i="60"/>
  <c r="CD110" i="60" s="1"/>
  <c r="DD139" i="60"/>
  <c r="CD139" i="60" s="1"/>
  <c r="CE90" i="60"/>
  <c r="DF90" i="60"/>
  <c r="CE92" i="60"/>
  <c r="DF129" i="60"/>
  <c r="DD247" i="60"/>
  <c r="CD247" i="60" s="1"/>
  <c r="DG113" i="60"/>
  <c r="DF113" i="60"/>
  <c r="CE105" i="60"/>
  <c r="DH105" i="60"/>
  <c r="DF105" i="60"/>
  <c r="CH221" i="60"/>
  <c r="DH129" i="60"/>
  <c r="DH106" i="60"/>
  <c r="E306" i="60"/>
  <c r="AZ274" i="60"/>
  <c r="DC221" i="60"/>
  <c r="CC221" i="60" s="1"/>
  <c r="DD129" i="60"/>
  <c r="CD129" i="60" s="1"/>
  <c r="DG129" i="60"/>
  <c r="CG47" i="60"/>
  <c r="DF47" i="60"/>
  <c r="DE221" i="60"/>
  <c r="CE129" i="60"/>
  <c r="CF90" i="60"/>
  <c r="DF245" i="60"/>
  <c r="CH245" i="60"/>
  <c r="DH221" i="60"/>
  <c r="DD222" i="60"/>
  <c r="CD222" i="60" s="1"/>
  <c r="CE222" i="60"/>
  <c r="DC222" i="60"/>
  <c r="CC222" i="60" s="1"/>
  <c r="DH222" i="60"/>
  <c r="DF222" i="60"/>
  <c r="DE222" i="60"/>
  <c r="CH222" i="60"/>
  <c r="CF222" i="60"/>
  <c r="DF181" i="60"/>
  <c r="CF181" i="60" s="1"/>
  <c r="DB181" i="60"/>
  <c r="CB181" i="60" s="1"/>
  <c r="DH55" i="60"/>
  <c r="DG55" i="60"/>
  <c r="DF55" i="60"/>
  <c r="CG55" i="60"/>
  <c r="DE55" i="60"/>
  <c r="CE55" i="60" s="1"/>
  <c r="CF55" i="60"/>
  <c r="DC55" i="60"/>
  <c r="CC55" i="60" s="1"/>
  <c r="CH236" i="60"/>
  <c r="DH236" i="60"/>
  <c r="CF236" i="60"/>
  <c r="DF236" i="60"/>
  <c r="DE236" i="60"/>
  <c r="CE236" i="60"/>
  <c r="DF198" i="60"/>
  <c r="CF198" i="60" s="1"/>
  <c r="DB198" i="60"/>
  <c r="CB198" i="60" s="1"/>
  <c r="DD223" i="60"/>
  <c r="CD223" i="60" s="1"/>
  <c r="CE223" i="60"/>
  <c r="DC223" i="60"/>
  <c r="CC223" i="60" s="1"/>
  <c r="CF223" i="60"/>
  <c r="DE223" i="60"/>
  <c r="CH223" i="60"/>
  <c r="DH223" i="60"/>
  <c r="DF223" i="60"/>
  <c r="E305" i="60"/>
  <c r="CF252" i="60"/>
  <c r="DH252" i="60"/>
  <c r="DF252" i="60"/>
  <c r="CH252" i="60"/>
  <c r="DD241" i="60"/>
  <c r="CD241" i="60" s="1"/>
  <c r="DE241" i="60"/>
  <c r="DC241" i="60"/>
  <c r="CC241" i="60" s="1"/>
  <c r="DF241" i="60"/>
  <c r="CF241" i="60"/>
  <c r="CH241" i="60"/>
  <c r="CE241" i="60"/>
  <c r="DH241" i="60"/>
  <c r="CH225" i="60"/>
  <c r="DH225" i="60"/>
  <c r="CF225" i="60"/>
  <c r="DF225" i="60"/>
  <c r="DE225" i="60"/>
  <c r="CE225" i="60"/>
  <c r="DF195" i="60"/>
  <c r="CF195" i="60" s="1"/>
  <c r="DB195" i="60"/>
  <c r="CB195" i="60" s="1"/>
  <c r="DF237" i="60"/>
  <c r="CE237" i="60"/>
  <c r="DH237" i="60"/>
  <c r="CF237" i="60"/>
  <c r="CH237" i="60"/>
  <c r="DE237" i="60"/>
  <c r="CF249" i="60"/>
  <c r="DH249" i="60"/>
  <c r="DF249" i="60"/>
  <c r="CH249" i="60"/>
  <c r="DF192" i="60"/>
  <c r="CF192" i="60" s="1"/>
  <c r="DB192" i="60"/>
  <c r="CB192" i="60" s="1"/>
  <c r="DF235" i="60"/>
  <c r="DC235" i="60"/>
  <c r="CC235" i="60" s="1"/>
  <c r="DH235" i="60"/>
  <c r="CF235" i="60"/>
  <c r="DE235" i="60"/>
  <c r="DD235" i="60"/>
  <c r="CD235" i="60" s="1"/>
  <c r="CE235" i="60"/>
  <c r="CH235" i="60"/>
  <c r="CH240" i="60"/>
  <c r="CE240" i="60"/>
  <c r="DF240" i="60"/>
  <c r="DH240" i="60"/>
  <c r="DE240" i="60"/>
  <c r="CF240" i="60"/>
  <c r="CH244" i="60"/>
  <c r="DF244" i="60"/>
  <c r="CF244" i="60"/>
  <c r="CE244" i="60"/>
  <c r="DH244" i="60"/>
  <c r="DE244" i="60"/>
  <c r="DF256" i="60"/>
  <c r="DH256" i="60"/>
  <c r="CH256" i="60"/>
  <c r="CF256" i="60"/>
  <c r="DF239" i="60"/>
  <c r="CE239" i="60"/>
  <c r="DH239" i="60"/>
  <c r="CF239" i="60"/>
  <c r="CH239" i="60"/>
  <c r="DE239" i="60"/>
  <c r="DF183" i="60"/>
  <c r="CF183" i="60" s="1"/>
  <c r="DB183" i="60"/>
  <c r="CB183" i="60" s="1"/>
  <c r="DF186" i="60"/>
  <c r="CF186" i="60" s="1"/>
  <c r="DB186" i="60"/>
  <c r="CB186" i="60" s="1"/>
  <c r="E301" i="60"/>
  <c r="CF228" i="60"/>
  <c r="DF228" i="60"/>
  <c r="CE228" i="60"/>
  <c r="CH228" i="60"/>
  <c r="DH228" i="60"/>
  <c r="DE228" i="60"/>
  <c r="DF246" i="60"/>
  <c r="CH246" i="60"/>
  <c r="CF246" i="60"/>
  <c r="DH246" i="60"/>
  <c r="CE246" i="60"/>
  <c r="DE246" i="60"/>
  <c r="DF234" i="60"/>
  <c r="CE234" i="60"/>
  <c r="DE234" i="60"/>
  <c r="CH234" i="60"/>
  <c r="CF234" i="60"/>
  <c r="DH234" i="60"/>
  <c r="DC203" i="60"/>
  <c r="CC203" i="60" s="1"/>
  <c r="DB203" i="60"/>
  <c r="CB203" i="60" s="1"/>
  <c r="DF203" i="60"/>
  <c r="CF203" i="60" s="1"/>
  <c r="DE203" i="60"/>
  <c r="CE203" i="60" s="1"/>
  <c r="DD203" i="60"/>
  <c r="CD203" i="60" s="1"/>
  <c r="DC14" i="60"/>
  <c r="CC14" i="60" s="1"/>
  <c r="DH14" i="60"/>
  <c r="DF14" i="60"/>
  <c r="DE14" i="60"/>
  <c r="CE14" i="60" s="1"/>
  <c r="CF14" i="60"/>
  <c r="DG44" i="60"/>
  <c r="DE44" i="60"/>
  <c r="CE44" i="60" s="1"/>
  <c r="DC44" i="60"/>
  <c r="CC44" i="60" s="1"/>
  <c r="CF44" i="60"/>
  <c r="DH44" i="60"/>
  <c r="DF44" i="60"/>
  <c r="CG44" i="60"/>
  <c r="AZ53" i="60" l="1"/>
  <c r="AZ285" i="60"/>
  <c r="AZ282" i="60"/>
  <c r="AZ298" i="60"/>
  <c r="AZ296" i="60"/>
  <c r="AZ267" i="60"/>
  <c r="AZ288" i="60"/>
  <c r="AZ291" i="60"/>
  <c r="AY137" i="60"/>
  <c r="AZ43" i="60"/>
  <c r="AZ286" i="60"/>
  <c r="AZ268" i="60"/>
  <c r="AZ45" i="60"/>
  <c r="AZ58" i="60"/>
  <c r="AZ51" i="60"/>
  <c r="AZ224" i="60"/>
  <c r="AY185" i="60"/>
  <c r="AZ63" i="60"/>
  <c r="AZ255" i="60"/>
  <c r="AI206" i="60"/>
  <c r="AY112" i="60"/>
  <c r="AY134" i="60"/>
  <c r="AY109" i="60"/>
  <c r="AZ44" i="60"/>
  <c r="AZ280" i="60"/>
  <c r="AZ48" i="60"/>
  <c r="AZ272" i="60"/>
  <c r="AZ258" i="60"/>
  <c r="AZ42" i="60"/>
  <c r="AZ62" i="60"/>
  <c r="AZ52" i="60"/>
  <c r="AZ49" i="60"/>
  <c r="AZ226" i="60"/>
  <c r="AZ259" i="60"/>
  <c r="AZ261" i="60"/>
  <c r="AZ55" i="60"/>
  <c r="AZ61" i="60"/>
  <c r="AZ41" i="60"/>
  <c r="AZ59" i="60"/>
  <c r="AZ57" i="60"/>
  <c r="AZ47" i="60"/>
  <c r="AZ56" i="60"/>
  <c r="AZ243" i="60"/>
  <c r="AZ50" i="60"/>
  <c r="AZ290" i="60"/>
  <c r="AZ279" i="60"/>
  <c r="AY116" i="60"/>
  <c r="AZ238" i="60"/>
  <c r="AZ299" i="60"/>
  <c r="AZ270" i="60"/>
  <c r="AY118" i="60"/>
  <c r="AZ283" i="60"/>
  <c r="AY122" i="60"/>
  <c r="AY189" i="60"/>
  <c r="AZ254" i="60"/>
  <c r="AZ276" i="60"/>
  <c r="AZ271" i="60"/>
  <c r="AY191" i="60"/>
  <c r="AY124" i="60"/>
  <c r="AZ295" i="60"/>
  <c r="AZ263" i="60"/>
  <c r="AY193" i="60"/>
  <c r="AY121" i="60"/>
  <c r="AZ277" i="60"/>
  <c r="AZ300" i="60"/>
  <c r="AY140" i="60"/>
  <c r="AZ227" i="60"/>
  <c r="AZ293" i="60"/>
  <c r="AZ297" i="60"/>
  <c r="AY130" i="60"/>
  <c r="AY108" i="60"/>
  <c r="AY105" i="60"/>
  <c r="AZ242" i="60"/>
  <c r="AZ264" i="60"/>
  <c r="AZ281" i="60"/>
  <c r="AZ260" i="60"/>
  <c r="AY98" i="60"/>
  <c r="AZ229" i="60"/>
  <c r="AI204" i="60"/>
  <c r="AZ265" i="60"/>
  <c r="AZ15" i="60"/>
  <c r="AY117" i="60"/>
  <c r="AY96" i="60"/>
  <c r="AY95" i="60"/>
  <c r="AZ250" i="60"/>
  <c r="AY136" i="60"/>
  <c r="C363" i="60"/>
  <c r="AZ245" i="60"/>
  <c r="AZ31" i="60"/>
  <c r="AY182" i="60"/>
  <c r="AY107" i="60"/>
  <c r="AY198" i="60"/>
  <c r="AZ253" i="60"/>
  <c r="AZ257" i="60"/>
  <c r="AZ287" i="60"/>
  <c r="AZ232" i="60"/>
  <c r="AZ13" i="60"/>
  <c r="AY119" i="60"/>
  <c r="AZ294" i="60"/>
  <c r="AY132" i="60"/>
  <c r="AZ292" i="60"/>
  <c r="AZ284" i="60"/>
  <c r="AZ289" i="60"/>
  <c r="AY196" i="60"/>
  <c r="AY126" i="60"/>
  <c r="AY195" i="60"/>
  <c r="AY120" i="60"/>
  <c r="AY190" i="60"/>
  <c r="AY127" i="60"/>
  <c r="AY114" i="60"/>
  <c r="AY180" i="60"/>
  <c r="AZ247" i="60"/>
  <c r="AY179" i="60"/>
  <c r="AY111" i="60"/>
  <c r="AY113" i="60"/>
  <c r="AY141" i="60"/>
  <c r="AY135" i="60"/>
  <c r="AY133" i="60"/>
  <c r="AY100" i="60"/>
  <c r="AY101" i="60"/>
  <c r="AY97" i="60"/>
  <c r="AY92" i="60"/>
  <c r="AY93" i="60"/>
  <c r="B363" i="60"/>
  <c r="AZ19" i="60"/>
  <c r="AY139" i="60"/>
  <c r="AY110" i="60"/>
  <c r="AY115" i="60"/>
  <c r="AY102" i="60"/>
  <c r="B332" i="60"/>
  <c r="F16" i="28" s="1"/>
  <c r="AY187" i="60"/>
  <c r="AY142" i="60"/>
  <c r="AY104" i="60"/>
  <c r="AZ231" i="60"/>
  <c r="AY184" i="60"/>
  <c r="AY197" i="60"/>
  <c r="AY106" i="60"/>
  <c r="AY131" i="60"/>
  <c r="AY91" i="60"/>
  <c r="AY99" i="60"/>
  <c r="AY138" i="60"/>
  <c r="AY188" i="60"/>
  <c r="AI205" i="60"/>
  <c r="AY194" i="60"/>
  <c r="AY123" i="60"/>
  <c r="AZ28" i="60"/>
  <c r="AZ35" i="60"/>
  <c r="AZ20" i="60"/>
  <c r="AZ32" i="60"/>
  <c r="AZ14" i="60"/>
  <c r="AZ236" i="60"/>
  <c r="AY125" i="60"/>
  <c r="AZ24" i="60"/>
  <c r="AY90" i="60"/>
  <c r="AY186" i="60"/>
  <c r="AY192" i="60"/>
  <c r="CC12" i="60"/>
  <c r="AZ12" i="60" s="1"/>
  <c r="C332" i="60"/>
  <c r="D16" i="28" s="1"/>
  <c r="AZ33" i="60"/>
  <c r="AZ25" i="60"/>
  <c r="AZ26" i="60"/>
  <c r="AZ34" i="60"/>
  <c r="AY128" i="60"/>
  <c r="AZ22" i="60"/>
  <c r="AZ23" i="60"/>
  <c r="AZ30" i="60"/>
  <c r="AZ21" i="60"/>
  <c r="AY103" i="60"/>
  <c r="AY183" i="60"/>
  <c r="AY181" i="60"/>
  <c r="AY129" i="60"/>
  <c r="AZ29" i="60"/>
  <c r="AZ27" i="60"/>
  <c r="AZ221" i="60"/>
  <c r="AZ246" i="60"/>
  <c r="AZ252" i="60"/>
  <c r="AZ234" i="60"/>
  <c r="AZ228" i="60"/>
  <c r="AZ235" i="60"/>
  <c r="AZ249" i="60"/>
  <c r="AZ239" i="60"/>
  <c r="AZ237" i="60"/>
  <c r="AZ256" i="60"/>
  <c r="AZ240" i="60"/>
  <c r="AI203" i="60"/>
  <c r="AZ225" i="60"/>
  <c r="AZ223" i="60"/>
  <c r="AZ244" i="60"/>
  <c r="AZ241" i="60"/>
  <c r="AZ222" i="60"/>
  <c r="T136" i="8" l="1"/>
  <c r="U136" i="8"/>
  <c r="S136" i="8"/>
  <c r="CD15" i="59" l="1"/>
  <c r="T35" i="39"/>
  <c r="U35" i="39"/>
  <c r="F11" i="53" l="1"/>
  <c r="D35" i="39" l="1"/>
  <c r="K125" i="50" l="1"/>
  <c r="J125" i="50"/>
  <c r="I125" i="50"/>
  <c r="Q125" i="50"/>
  <c r="P125" i="50"/>
  <c r="O125" i="50"/>
  <c r="N125" i="50"/>
  <c r="M125" i="50"/>
  <c r="L125" i="50"/>
  <c r="O134" i="50"/>
  <c r="N134" i="50"/>
  <c r="M134" i="50"/>
  <c r="L134" i="50"/>
  <c r="K134" i="50"/>
  <c r="J134" i="50"/>
  <c r="X17" i="50"/>
  <c r="AW23" i="46" l="1"/>
  <c r="U70" i="43"/>
  <c r="CG16" i="58"/>
  <c r="CE31" i="58"/>
  <c r="C134" i="50"/>
  <c r="V76" i="37"/>
  <c r="W76" i="37"/>
  <c r="X76" i="37"/>
  <c r="Y76" i="37"/>
  <c r="Z76" i="37"/>
  <c r="AA76" i="37"/>
  <c r="U76" i="37"/>
  <c r="AA68" i="37"/>
  <c r="Z68" i="37"/>
  <c r="Y68" i="37"/>
  <c r="X68" i="37"/>
  <c r="W68" i="37"/>
  <c r="V68" i="37"/>
  <c r="U68" i="37"/>
  <c r="Z48" i="31"/>
  <c r="C300" i="55"/>
  <c r="D291" i="55"/>
  <c r="E278" i="55"/>
  <c r="D278" i="55"/>
  <c r="C278" i="55"/>
  <c r="E272" i="55"/>
  <c r="F242" i="55"/>
  <c r="E242" i="55"/>
  <c r="F237" i="55"/>
  <c r="E237" i="55"/>
  <c r="D237" i="55"/>
  <c r="E209" i="55"/>
  <c r="D209" i="55"/>
  <c r="C209" i="55"/>
  <c r="E203" i="55"/>
  <c r="D203" i="55"/>
  <c r="J189" i="55"/>
  <c r="I189" i="55"/>
  <c r="H189" i="55"/>
  <c r="I103" i="55"/>
  <c r="H103" i="55"/>
  <c r="G103" i="55"/>
  <c r="F103" i="55"/>
  <c r="E103" i="55"/>
  <c r="D103" i="55"/>
  <c r="I93" i="55"/>
  <c r="H93" i="55"/>
  <c r="G93" i="55"/>
  <c r="F93" i="55"/>
  <c r="E93" i="55"/>
  <c r="D93" i="55"/>
  <c r="C67" i="55"/>
  <c r="AL135" i="54"/>
  <c r="F95" i="54"/>
  <c r="E95" i="54"/>
  <c r="V155" i="8"/>
  <c r="AG71" i="8"/>
  <c r="AF71" i="8"/>
  <c r="CE32" i="31" l="1"/>
  <c r="CD32" i="31"/>
  <c r="CC32" i="31"/>
  <c r="CE21" i="31"/>
  <c r="CD21" i="31"/>
  <c r="CC21" i="31"/>
  <c r="CE33" i="31"/>
  <c r="CD33" i="31"/>
  <c r="CC33" i="31"/>
  <c r="CE39" i="31"/>
  <c r="CD39" i="31"/>
  <c r="CC39" i="31"/>
  <c r="CE38" i="31"/>
  <c r="CD38" i="31"/>
  <c r="CC38" i="31"/>
  <c r="D272" i="55"/>
  <c r="CE22" i="31"/>
  <c r="CD22" i="31"/>
  <c r="CC22" i="31"/>
  <c r="CE34" i="31"/>
  <c r="CD34" i="31"/>
  <c r="CC34" i="31"/>
  <c r="CE40" i="31"/>
  <c r="CD40" i="31"/>
  <c r="CC40" i="31"/>
  <c r="CE23" i="31"/>
  <c r="CD23" i="31"/>
  <c r="CC23" i="31"/>
  <c r="CE29" i="31"/>
  <c r="CD29" i="31"/>
  <c r="CC29" i="31"/>
  <c r="CE24" i="31"/>
  <c r="CD24" i="31"/>
  <c r="CC24" i="31"/>
  <c r="CE30" i="31"/>
  <c r="CD30" i="31"/>
  <c r="CC30" i="31"/>
  <c r="CE36" i="31"/>
  <c r="CD36" i="31"/>
  <c r="CC36" i="31"/>
  <c r="CE46" i="31"/>
  <c r="CD46" i="31"/>
  <c r="CC46" i="31"/>
  <c r="CE19" i="31"/>
  <c r="CD19" i="31"/>
  <c r="CC19" i="31"/>
  <c r="CE25" i="31"/>
  <c r="CD25" i="31"/>
  <c r="CC25" i="31"/>
  <c r="CE31" i="31"/>
  <c r="CD31" i="31"/>
  <c r="CC31" i="31"/>
  <c r="CE37" i="31"/>
  <c r="CD37" i="31"/>
  <c r="CC37" i="31"/>
  <c r="CF26" i="58"/>
  <c r="CF24" i="58"/>
  <c r="CE47" i="31"/>
  <c r="CD47" i="31"/>
  <c r="CC47" i="31"/>
  <c r="CE41" i="31"/>
  <c r="CD41" i="31"/>
  <c r="CC41" i="31"/>
  <c r="CE35" i="31"/>
  <c r="CD35" i="31"/>
  <c r="CC35" i="31"/>
  <c r="CE26" i="31"/>
  <c r="CD26" i="31"/>
  <c r="CC26" i="31"/>
  <c r="CE27" i="31"/>
  <c r="CD27" i="31"/>
  <c r="CC27" i="31"/>
  <c r="CE28" i="31"/>
  <c r="CD28" i="31"/>
  <c r="CC28" i="31"/>
  <c r="CE20" i="31"/>
  <c r="CD20" i="31"/>
  <c r="CC20" i="31"/>
  <c r="CD18" i="31"/>
  <c r="CC18" i="31"/>
  <c r="CE18" i="31"/>
  <c r="CE17" i="31"/>
  <c r="CD17" i="31"/>
  <c r="CC17" i="31"/>
  <c r="CE16" i="31"/>
  <c r="CD16" i="31"/>
  <c r="CC16" i="31"/>
  <c r="CE15" i="31"/>
  <c r="CD15" i="31"/>
  <c r="CC15" i="31"/>
  <c r="CE14" i="31"/>
  <c r="CD14" i="31"/>
  <c r="CC14" i="31"/>
  <c r="CC13" i="31"/>
  <c r="CE13" i="31"/>
  <c r="CD13" i="31"/>
  <c r="CE12" i="31"/>
  <c r="CD12" i="31"/>
  <c r="CC12" i="31"/>
  <c r="CE11" i="31"/>
  <c r="CD11" i="31"/>
  <c r="CC11" i="31"/>
  <c r="G28" i="55"/>
  <c r="CF25" i="58"/>
  <c r="D95" i="54"/>
  <c r="G189" i="55"/>
  <c r="F28" i="55"/>
  <c r="CK102" i="59"/>
  <c r="CB102" i="59" s="1"/>
  <c r="AY102" i="59" s="1"/>
  <c r="CL137" i="58"/>
  <c r="CB137" i="58" s="1"/>
  <c r="CN132" i="58"/>
  <c r="CD132" i="58" s="1"/>
  <c r="CN131" i="58"/>
  <c r="CD131" i="58" s="1"/>
  <c r="CM132" i="58"/>
  <c r="CM131" i="58"/>
  <c r="CM130" i="58"/>
  <c r="CN130" i="58"/>
  <c r="CD130" i="58" s="1"/>
  <c r="CQ123" i="58"/>
  <c r="CR118" i="58"/>
  <c r="CH118" i="58" s="1"/>
  <c r="CR117" i="58"/>
  <c r="CH117" i="58" s="1"/>
  <c r="CR116" i="58"/>
  <c r="CH116" i="58" s="1"/>
  <c r="CQ118" i="58"/>
  <c r="CG118" i="58" s="1"/>
  <c r="CQ117" i="58"/>
  <c r="CG117" i="58" s="1"/>
  <c r="CQ116" i="58"/>
  <c r="CG116" i="58" s="1"/>
  <c r="CP118" i="58"/>
  <c r="CP117" i="58"/>
  <c r="CP116" i="58"/>
  <c r="CN116" i="58"/>
  <c r="CM116" i="58"/>
  <c r="CR123" i="58"/>
  <c r="CH123" i="58" s="1"/>
  <c r="CR124" i="58"/>
  <c r="CH124" i="58" s="1"/>
  <c r="CQ124" i="58"/>
  <c r="CQ96" i="58"/>
  <c r="CG96" i="58" s="1"/>
  <c r="CP96" i="58"/>
  <c r="CF96" i="58" s="1"/>
  <c r="CQ95" i="58"/>
  <c r="CG95" i="58" s="1"/>
  <c r="CP95" i="58"/>
  <c r="CF95" i="58" s="1"/>
  <c r="CQ94" i="58"/>
  <c r="CG94" i="58" s="1"/>
  <c r="CP94" i="58"/>
  <c r="CF94" i="58" s="1"/>
  <c r="CQ93" i="58"/>
  <c r="CG93" i="58" s="1"/>
  <c r="CP93" i="58"/>
  <c r="CF93" i="58" s="1"/>
  <c r="CQ92" i="58"/>
  <c r="CG92" i="58" s="1"/>
  <c r="CF92" i="58"/>
  <c r="CQ91" i="58"/>
  <c r="CG91" i="58" s="1"/>
  <c r="CP91" i="58"/>
  <c r="CF91" i="58" s="1"/>
  <c r="CQ90" i="58"/>
  <c r="CG90" i="58" s="1"/>
  <c r="CP90" i="58"/>
  <c r="CF90" i="58" s="1"/>
  <c r="CQ89" i="58"/>
  <c r="CG89" i="58" s="1"/>
  <c r="CP89" i="58"/>
  <c r="CF89" i="58" s="1"/>
  <c r="CQ88" i="58"/>
  <c r="CG88" i="58" s="1"/>
  <c r="CP88" i="58"/>
  <c r="CF88" i="58" s="1"/>
  <c r="CQ87" i="58"/>
  <c r="CG87" i="58" s="1"/>
  <c r="CP87" i="58"/>
  <c r="CF87" i="58" s="1"/>
  <c r="CQ86" i="58"/>
  <c r="CG86" i="58" s="1"/>
  <c r="CP86" i="58"/>
  <c r="CF86" i="58" s="1"/>
  <c r="CQ85" i="58"/>
  <c r="CG85" i="58" s="1"/>
  <c r="CP85" i="58"/>
  <c r="CF85" i="58" s="1"/>
  <c r="CQ84" i="58"/>
  <c r="CG84" i="58" s="1"/>
  <c r="CP84" i="58"/>
  <c r="CF84" i="58" s="1"/>
  <c r="CQ83" i="58"/>
  <c r="CG83" i="58" s="1"/>
  <c r="CP83" i="58"/>
  <c r="CF83" i="58" s="1"/>
  <c r="CQ82" i="58"/>
  <c r="CG82" i="58" s="1"/>
  <c r="CP82" i="58"/>
  <c r="CF82" i="58" s="1"/>
  <c r="CQ81" i="58"/>
  <c r="CG81" i="58" s="1"/>
  <c r="CP81" i="58"/>
  <c r="CQ80" i="58"/>
  <c r="CG80" i="58" s="1"/>
  <c r="CP80" i="58"/>
  <c r="CF80" i="58" s="1"/>
  <c r="CQ79" i="58"/>
  <c r="CG79" i="58" s="1"/>
  <c r="CP79" i="58"/>
  <c r="CF79" i="58" s="1"/>
  <c r="CQ78" i="58"/>
  <c r="CG78" i="58" s="1"/>
  <c r="CP78" i="58"/>
  <c r="CF78" i="58" s="1"/>
  <c r="CQ77" i="58"/>
  <c r="CG77" i="58" s="1"/>
  <c r="CP77" i="58"/>
  <c r="CF77" i="58" s="1"/>
  <c r="CQ76" i="58"/>
  <c r="CG76" i="58" s="1"/>
  <c r="CP76" i="58"/>
  <c r="CF76" i="58" s="1"/>
  <c r="CQ75" i="58"/>
  <c r="CG75" i="58" s="1"/>
  <c r="CP75" i="58"/>
  <c r="CF75" i="58" s="1"/>
  <c r="CQ74" i="58"/>
  <c r="CG74" i="58" s="1"/>
  <c r="CP74" i="58"/>
  <c r="CF74" i="58" s="1"/>
  <c r="CQ73" i="58"/>
  <c r="CG73" i="58" s="1"/>
  <c r="CP73" i="58"/>
  <c r="CF73" i="58" s="1"/>
  <c r="CQ72" i="58"/>
  <c r="CG72" i="58" s="1"/>
  <c r="CP72" i="58"/>
  <c r="CF72" i="58" s="1"/>
  <c r="CQ71" i="58"/>
  <c r="CG71" i="58" s="1"/>
  <c r="CP71" i="58"/>
  <c r="CF71" i="58" s="1"/>
  <c r="CQ70" i="58"/>
  <c r="CG70" i="58" s="1"/>
  <c r="CP70" i="58"/>
  <c r="CF70" i="58" s="1"/>
  <c r="CQ69" i="58"/>
  <c r="CG69" i="58" s="1"/>
  <c r="CP69" i="58"/>
  <c r="CF69" i="58" s="1"/>
  <c r="CQ68" i="58"/>
  <c r="CG68" i="58" s="1"/>
  <c r="CP68" i="58"/>
  <c r="CF68" i="58" s="1"/>
  <c r="CQ67" i="58"/>
  <c r="CG67" i="58" s="1"/>
  <c r="CP67" i="58"/>
  <c r="CF67" i="58" s="1"/>
  <c r="CQ66" i="58"/>
  <c r="CG66" i="58" s="1"/>
  <c r="CP66" i="58"/>
  <c r="CF66" i="58" s="1"/>
  <c r="CQ65" i="58"/>
  <c r="CG65" i="58" s="1"/>
  <c r="CP65" i="58"/>
  <c r="CF65" i="58" s="1"/>
  <c r="CQ64" i="58"/>
  <c r="CG64" i="58" s="1"/>
  <c r="CP64" i="58"/>
  <c r="CF64" i="58" s="1"/>
  <c r="CQ63" i="58"/>
  <c r="CG63" i="58" s="1"/>
  <c r="CP63" i="58"/>
  <c r="CF63" i="58" s="1"/>
  <c r="CQ62" i="58"/>
  <c r="CG62" i="58" s="1"/>
  <c r="CP62" i="58"/>
  <c r="CF62" i="58" s="1"/>
  <c r="CQ61" i="58"/>
  <c r="CG61" i="58" s="1"/>
  <c r="CF61" i="58"/>
  <c r="CQ60" i="58"/>
  <c r="CG60" i="58" s="1"/>
  <c r="CP60" i="58"/>
  <c r="CF60" i="58" s="1"/>
  <c r="CQ59" i="58"/>
  <c r="CG59" i="58" s="1"/>
  <c r="CP59" i="58"/>
  <c r="CF59" i="58" s="1"/>
  <c r="CQ58" i="58"/>
  <c r="CG58" i="58" s="1"/>
  <c r="CP58" i="58"/>
  <c r="CF58" i="58" s="1"/>
  <c r="CQ57" i="58"/>
  <c r="CG57" i="58" s="1"/>
  <c r="CP57" i="58"/>
  <c r="CF57" i="58" s="1"/>
  <c r="CQ56" i="58"/>
  <c r="CG56" i="58" s="1"/>
  <c r="CP56" i="58"/>
  <c r="CF56" i="58" s="1"/>
  <c r="CQ55" i="58"/>
  <c r="CG55" i="58" s="1"/>
  <c r="CP55" i="58"/>
  <c r="CF55" i="58" s="1"/>
  <c r="CQ54" i="58"/>
  <c r="CG54" i="58" s="1"/>
  <c r="CP54" i="58"/>
  <c r="CF54" i="58" s="1"/>
  <c r="CQ53" i="58"/>
  <c r="CG53" i="58" s="1"/>
  <c r="CP53" i="58"/>
  <c r="CF53" i="58" s="1"/>
  <c r="CQ52" i="58"/>
  <c r="CG52" i="58" s="1"/>
  <c r="CP52" i="58"/>
  <c r="CF52" i="58" s="1"/>
  <c r="CQ51" i="58"/>
  <c r="CG51" i="58" s="1"/>
  <c r="CP51" i="58"/>
  <c r="CF51" i="58" s="1"/>
  <c r="CQ50" i="58"/>
  <c r="CG50" i="58" s="1"/>
  <c r="CP50" i="58"/>
  <c r="CF50" i="58" s="1"/>
  <c r="CQ49" i="58"/>
  <c r="CG49" i="58" s="1"/>
  <c r="CP49" i="58"/>
  <c r="CF49" i="58" s="1"/>
  <c r="CQ48" i="58"/>
  <c r="CG48" i="58" s="1"/>
  <c r="CP48" i="58"/>
  <c r="CF48" i="58" s="1"/>
  <c r="CQ47" i="58"/>
  <c r="CG47" i="58" s="1"/>
  <c r="CP47" i="58"/>
  <c r="CF47" i="58" s="1"/>
  <c r="CQ46" i="58"/>
  <c r="CG46" i="58" s="1"/>
  <c r="CP46" i="58"/>
  <c r="CF46" i="58" s="1"/>
  <c r="CQ45" i="58"/>
  <c r="CG45" i="58" s="1"/>
  <c r="CP45" i="58"/>
  <c r="CF45" i="58" s="1"/>
  <c r="CQ44" i="58"/>
  <c r="CG44" i="58" s="1"/>
  <c r="CP44" i="58"/>
  <c r="CF44" i="58" s="1"/>
  <c r="CQ43" i="58"/>
  <c r="CG43" i="58" s="1"/>
  <c r="CP43" i="58"/>
  <c r="CF43" i="58" s="1"/>
  <c r="CQ42" i="58"/>
  <c r="CG42" i="58" s="1"/>
  <c r="CP42" i="58"/>
  <c r="CF42" i="58" s="1"/>
  <c r="CQ41" i="58"/>
  <c r="CG41" i="58" s="1"/>
  <c r="CP41" i="58"/>
  <c r="CF41" i="58" s="1"/>
  <c r="CQ40" i="58"/>
  <c r="CG40" i="58" s="1"/>
  <c r="CP40" i="58"/>
  <c r="CF40" i="58" s="1"/>
  <c r="CP39" i="58"/>
  <c r="CF39" i="58" s="1"/>
  <c r="CQ38" i="58"/>
  <c r="CG38" i="58" s="1"/>
  <c r="CP38" i="58"/>
  <c r="CF38" i="58" s="1"/>
  <c r="CF81" i="58"/>
  <c r="CN18" i="58"/>
  <c r="CD18" i="58" s="1"/>
  <c r="CM18" i="58"/>
  <c r="CN17" i="58"/>
  <c r="CD17" i="58" s="1"/>
  <c r="CM17" i="58"/>
  <c r="CN16" i="58"/>
  <c r="CD16" i="58" s="1"/>
  <c r="CM16" i="58"/>
  <c r="CN15" i="58"/>
  <c r="CD15" i="58" s="1"/>
  <c r="CM15" i="58"/>
  <c r="CN14" i="58"/>
  <c r="CD14" i="58" s="1"/>
  <c r="CM14" i="58"/>
  <c r="U19" i="58"/>
  <c r="B5" i="37"/>
  <c r="B4" i="37"/>
  <c r="B3" i="37"/>
  <c r="B2" i="37"/>
  <c r="B5" i="54"/>
  <c r="B4" i="54"/>
  <c r="B3" i="54"/>
  <c r="B2" i="54"/>
  <c r="CK106" i="59" l="1"/>
  <c r="CB106" i="59" s="1"/>
  <c r="AY106" i="59" s="1"/>
  <c r="C27" i="58"/>
  <c r="CK101" i="59"/>
  <c r="CB101" i="59" s="1"/>
  <c r="AY101" i="59" s="1"/>
  <c r="E28" i="55"/>
  <c r="CK98" i="59"/>
  <c r="CB98" i="59" s="1"/>
  <c r="AY98" i="59" s="1"/>
  <c r="CK104" i="59"/>
  <c r="CB104" i="59" s="1"/>
  <c r="AY104" i="59" s="1"/>
  <c r="CK97" i="59"/>
  <c r="CB97" i="59" s="1"/>
  <c r="AY97" i="59" s="1"/>
  <c r="CK105" i="59"/>
  <c r="CB105" i="59" s="1"/>
  <c r="AY105" i="59" s="1"/>
  <c r="CK95" i="59"/>
  <c r="CB95" i="59" s="1"/>
  <c r="AY95" i="59" s="1"/>
  <c r="CK99" i="59"/>
  <c r="CB99" i="59" s="1"/>
  <c r="AY99" i="59" s="1"/>
  <c r="CK103" i="59"/>
  <c r="CB103" i="59" s="1"/>
  <c r="AY103" i="59" s="1"/>
  <c r="CK96" i="59"/>
  <c r="CB96" i="59" s="1"/>
  <c r="AY96" i="59" s="1"/>
  <c r="CK100" i="59"/>
  <c r="CB100" i="59" s="1"/>
  <c r="AY100" i="59" s="1"/>
  <c r="CL29" i="37" l="1"/>
  <c r="CF29" i="37" s="1"/>
  <c r="CK29" i="37"/>
  <c r="CE29" i="37" s="1"/>
  <c r="CJ29" i="37"/>
  <c r="CD29" i="37" s="1"/>
  <c r="CI29" i="37"/>
  <c r="CC29" i="37" s="1"/>
  <c r="CB52" i="37"/>
  <c r="CB51" i="37"/>
  <c r="CH364" i="37"/>
  <c r="CB364" i="37" s="1"/>
  <c r="CH363" i="37"/>
  <c r="CB363" i="37" s="1"/>
  <c r="CH362" i="37"/>
  <c r="CB362" i="37" s="1"/>
  <c r="CH361" i="37"/>
  <c r="CB361" i="37" s="1"/>
  <c r="CH356" i="37"/>
  <c r="CB356" i="37" s="1"/>
  <c r="CH355" i="37"/>
  <c r="CB355" i="37" s="1"/>
  <c r="CH354" i="37"/>
  <c r="CB354" i="37" s="1"/>
  <c r="CH353" i="37"/>
  <c r="CB353" i="37" s="1"/>
  <c r="CH352" i="37"/>
  <c r="CB352" i="37" s="1"/>
  <c r="CH351" i="37"/>
  <c r="CB351" i="37" s="1"/>
  <c r="CH350" i="37"/>
  <c r="CB350" i="37" s="1"/>
  <c r="CH349" i="37"/>
  <c r="CB349" i="37" s="1"/>
  <c r="CH348" i="37"/>
  <c r="CB348" i="37" s="1"/>
  <c r="CH347" i="37"/>
  <c r="CB347" i="37" s="1"/>
  <c r="CH346" i="37"/>
  <c r="CB346" i="37" s="1"/>
  <c r="CH345" i="37"/>
  <c r="CB345" i="37" s="1"/>
  <c r="CH340" i="37"/>
  <c r="CB340" i="37" s="1"/>
  <c r="CH339" i="37"/>
  <c r="CB339" i="37" s="1"/>
  <c r="CH338" i="37"/>
  <c r="CB338" i="37" s="1"/>
  <c r="CH337" i="37"/>
  <c r="CB337" i="37" s="1"/>
  <c r="CH336" i="37"/>
  <c r="CB336" i="37" s="1"/>
  <c r="CH335" i="37"/>
  <c r="CB335" i="37" s="1"/>
  <c r="CH334" i="37"/>
  <c r="CB334" i="37" s="1"/>
  <c r="CH333" i="37"/>
  <c r="CB333" i="37" s="1"/>
  <c r="CH332" i="37"/>
  <c r="CB332" i="37" s="1"/>
  <c r="CH331" i="37"/>
  <c r="CB331" i="37" s="1"/>
  <c r="CH330" i="37"/>
  <c r="CB330" i="37" s="1"/>
  <c r="CH329" i="37"/>
  <c r="CB329" i="37" s="1"/>
  <c r="CA56" i="37"/>
  <c r="CA55" i="37"/>
  <c r="F19" i="37"/>
  <c r="AT19" i="37"/>
  <c r="AS19" i="37"/>
  <c r="AR19" i="37"/>
  <c r="AQ19" i="37"/>
  <c r="AP19" i="37"/>
  <c r="AO19" i="37"/>
  <c r="AN19" i="37"/>
  <c r="AM19" i="37"/>
  <c r="AL19" i="37"/>
  <c r="AK19" i="37"/>
  <c r="AJ19" i="37"/>
  <c r="AI19" i="37"/>
  <c r="AH19" i="37"/>
  <c r="AG19" i="37"/>
  <c r="AF19" i="37"/>
  <c r="AE19" i="37"/>
  <c r="AD19" i="37"/>
  <c r="AC19" i="37"/>
  <c r="AB19" i="37"/>
  <c r="AA19" i="37"/>
  <c r="Z19" i="37"/>
  <c r="Y19" i="37"/>
  <c r="X19" i="37"/>
  <c r="W19" i="37"/>
  <c r="V19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CJ24" i="37"/>
  <c r="CD24" i="37" s="1"/>
  <c r="CK23" i="37"/>
  <c r="CE23" i="37" s="1"/>
  <c r="CJ23" i="37"/>
  <c r="CD23" i="37" s="1"/>
  <c r="CK22" i="37"/>
  <c r="CE22" i="37" s="1"/>
  <c r="CK21" i="37"/>
  <c r="CE21" i="37" s="1"/>
  <c r="CK20" i="37"/>
  <c r="CE20" i="37" s="1"/>
  <c r="CJ20" i="37"/>
  <c r="CD20" i="37" s="1"/>
  <c r="CK18" i="37"/>
  <c r="CE18" i="37" s="1"/>
  <c r="CK17" i="37"/>
  <c r="CE17" i="37" s="1"/>
  <c r="CK16" i="37"/>
  <c r="CE16" i="37" s="1"/>
  <c r="CJ16" i="37"/>
  <c r="CD16" i="37" s="1"/>
  <c r="CK15" i="37"/>
  <c r="CE15" i="37" s="1"/>
  <c r="CJ15" i="37"/>
  <c r="CD15" i="37" s="1"/>
  <c r="CK14" i="37"/>
  <c r="CE14" i="37" s="1"/>
  <c r="CK13" i="37"/>
  <c r="CE13" i="37" s="1"/>
  <c r="CB32" i="49"/>
  <c r="C207" i="42"/>
  <c r="D19" i="28" s="1"/>
  <c r="DD126" i="43"/>
  <c r="CD126" i="43" s="1"/>
  <c r="DC126" i="43"/>
  <c r="CC126" i="43" s="1"/>
  <c r="DB126" i="43"/>
  <c r="CB126" i="43" s="1"/>
  <c r="CB125" i="43"/>
  <c r="CD125" i="43"/>
  <c r="CC125" i="43"/>
  <c r="DD108" i="43"/>
  <c r="CD108" i="43" s="1"/>
  <c r="DE108" i="43"/>
  <c r="CE108" i="43" s="1"/>
  <c r="DD109" i="43"/>
  <c r="CD109" i="43" s="1"/>
  <c r="DE109" i="43"/>
  <c r="CE109" i="43" s="1"/>
  <c r="DD110" i="43"/>
  <c r="CD110" i="43" s="1"/>
  <c r="DE110" i="43"/>
  <c r="CE110" i="43" s="1"/>
  <c r="DD111" i="43"/>
  <c r="CD111" i="43" s="1"/>
  <c r="DE111" i="43"/>
  <c r="CE111" i="43" s="1"/>
  <c r="DE107" i="43"/>
  <c r="CE107" i="43" s="1"/>
  <c r="DD107" i="43"/>
  <c r="DC111" i="43"/>
  <c r="CC111" i="43" s="1"/>
  <c r="DC110" i="43"/>
  <c r="CC110" i="43" s="1"/>
  <c r="DC109" i="43"/>
  <c r="CC109" i="43" s="1"/>
  <c r="DC108" i="43"/>
  <c r="CC108" i="43" s="1"/>
  <c r="DC107" i="43"/>
  <c r="CC107" i="43" s="1"/>
  <c r="DB104" i="43"/>
  <c r="CB104" i="43" s="1"/>
  <c r="Q104" i="43" s="1"/>
  <c r="DB103" i="43"/>
  <c r="CB103" i="43" s="1"/>
  <c r="Q103" i="43" s="1"/>
  <c r="DB102" i="43"/>
  <c r="CB102" i="43" s="1"/>
  <c r="Q102" i="43" s="1"/>
  <c r="DC72" i="43"/>
  <c r="CC72" i="43" s="1"/>
  <c r="DD72" i="43"/>
  <c r="CD72" i="43" s="1"/>
  <c r="DE72" i="43"/>
  <c r="CE72" i="43" s="1"/>
  <c r="DF72" i="43"/>
  <c r="CF72" i="43" s="1"/>
  <c r="DC73" i="43"/>
  <c r="CC73" i="43" s="1"/>
  <c r="DD73" i="43"/>
  <c r="CD73" i="43" s="1"/>
  <c r="DE73" i="43"/>
  <c r="CE73" i="43" s="1"/>
  <c r="DF73" i="43"/>
  <c r="CF73" i="43" s="1"/>
  <c r="DD71" i="43"/>
  <c r="CD71" i="43" s="1"/>
  <c r="DE71" i="43"/>
  <c r="CE71" i="43" s="1"/>
  <c r="DF71" i="43"/>
  <c r="CF71" i="43" s="1"/>
  <c r="DC71" i="43"/>
  <c r="CC71" i="43" s="1"/>
  <c r="DB72" i="43"/>
  <c r="CB72" i="43" s="1"/>
  <c r="DB73" i="43"/>
  <c r="CB73" i="43" s="1"/>
  <c r="DB71" i="43"/>
  <c r="CB71" i="43" s="1"/>
  <c r="CA72" i="43"/>
  <c r="DA73" i="43"/>
  <c r="CA73" i="43" s="1"/>
  <c r="CH45" i="31" l="1"/>
  <c r="CB45" i="31" s="1"/>
  <c r="CE45" i="31"/>
  <c r="CD45" i="31"/>
  <c r="CC45" i="31"/>
  <c r="CH44" i="31"/>
  <c r="CB44" i="31" s="1"/>
  <c r="CE44" i="31"/>
  <c r="CD44" i="31"/>
  <c r="CC44" i="31"/>
  <c r="CI20" i="37"/>
  <c r="CC20" i="37" s="1"/>
  <c r="CH17" i="37"/>
  <c r="CB17" i="37" s="1"/>
  <c r="CH13" i="37"/>
  <c r="CB13" i="37" s="1"/>
  <c r="CI22" i="37"/>
  <c r="CC22" i="37" s="1"/>
  <c r="D19" i="37"/>
  <c r="CI15" i="37"/>
  <c r="CC15" i="37" s="1"/>
  <c r="O126" i="43"/>
  <c r="G110" i="43"/>
  <c r="CI14" i="37"/>
  <c r="CC14" i="37" s="1"/>
  <c r="CH18" i="37"/>
  <c r="CB18" i="37" s="1"/>
  <c r="CJ22" i="37"/>
  <c r="CD22" i="37" s="1"/>
  <c r="CI24" i="37"/>
  <c r="CC24" i="37" s="1"/>
  <c r="E19" i="37"/>
  <c r="CJ18" i="37"/>
  <c r="CD18" i="37" s="1"/>
  <c r="CK24" i="37"/>
  <c r="CE24" i="37" s="1"/>
  <c r="CJ13" i="37"/>
  <c r="CD13" i="37" s="1"/>
  <c r="CJ14" i="37"/>
  <c r="CD14" i="37" s="1"/>
  <c r="CJ17" i="37"/>
  <c r="CD17" i="37" s="1"/>
  <c r="CJ21" i="37"/>
  <c r="CD21" i="37" s="1"/>
  <c r="G111" i="43"/>
  <c r="G109" i="43"/>
  <c r="G108" i="43"/>
  <c r="CI17" i="37" l="1"/>
  <c r="CC17" i="37" s="1"/>
  <c r="AU17" i="37" s="1"/>
  <c r="C19" i="37"/>
  <c r="CH22" i="37"/>
  <c r="CB22" i="37" s="1"/>
  <c r="AU22" i="37" s="1"/>
  <c r="CI13" i="37"/>
  <c r="CC13" i="37" s="1"/>
  <c r="AU13" i="37" s="1"/>
  <c r="CI18" i="37"/>
  <c r="CC18" i="37" s="1"/>
  <c r="AU18" i="37" s="1"/>
  <c r="CH15" i="37"/>
  <c r="CB15" i="37" s="1"/>
  <c r="AU15" i="37" s="1"/>
  <c r="CH20" i="37"/>
  <c r="CB20" i="37" s="1"/>
  <c r="AU20" i="37" s="1"/>
  <c r="CH14" i="37"/>
  <c r="CB14" i="37" s="1"/>
  <c r="AU14" i="37" s="1"/>
  <c r="CH24" i="37"/>
  <c r="CB24" i="37" s="1"/>
  <c r="AU24" i="37" s="1"/>
  <c r="CI23" i="37"/>
  <c r="CC23" i="37" s="1"/>
  <c r="CH23" i="37"/>
  <c r="CB23" i="37" s="1"/>
  <c r="AU23" i="37" s="1"/>
  <c r="CI21" i="37"/>
  <c r="CC21" i="37" s="1"/>
  <c r="CH21" i="37"/>
  <c r="CB21" i="37" s="1"/>
  <c r="CH16" i="37"/>
  <c r="CB16" i="37" s="1"/>
  <c r="CI16" i="37"/>
  <c r="CC16" i="37" s="1"/>
  <c r="AU21" i="37" l="1"/>
  <c r="AU16" i="37"/>
  <c r="DB27" i="43"/>
  <c r="CB27" i="43" s="1"/>
  <c r="H27" i="43" s="1"/>
  <c r="DB28" i="43"/>
  <c r="CB28" i="43" s="1"/>
  <c r="H28" i="43" s="1"/>
  <c r="DB29" i="43"/>
  <c r="CB29" i="43" s="1"/>
  <c r="H29" i="43" s="1"/>
  <c r="DB30" i="43"/>
  <c r="CB30" i="43" s="1"/>
  <c r="H30" i="43" s="1"/>
  <c r="DB31" i="43"/>
  <c r="CB31" i="43" s="1"/>
  <c r="H31" i="43" s="1"/>
  <c r="DB32" i="43"/>
  <c r="CB32" i="43" s="1"/>
  <c r="H32" i="43" s="1"/>
  <c r="DB33" i="43"/>
  <c r="CB33" i="43" s="1"/>
  <c r="H33" i="43" s="1"/>
  <c r="DB34" i="43"/>
  <c r="CB34" i="43" s="1"/>
  <c r="H34" i="43" s="1"/>
  <c r="DB35" i="43"/>
  <c r="CB35" i="43" s="1"/>
  <c r="H35" i="43" s="1"/>
  <c r="DB36" i="43"/>
  <c r="CB36" i="43" s="1"/>
  <c r="H36" i="43" s="1"/>
  <c r="DB26" i="43"/>
  <c r="CB26" i="43" s="1"/>
  <c r="H26" i="43" s="1"/>
  <c r="DG22" i="43"/>
  <c r="CG22" i="43" s="1"/>
  <c r="DF22" i="43"/>
  <c r="CF22" i="43" s="1"/>
  <c r="DE22" i="43"/>
  <c r="CE22" i="43" s="1"/>
  <c r="DG21" i="43"/>
  <c r="CG21" i="43" s="1"/>
  <c r="DF21" i="43"/>
  <c r="CF21" i="43" s="1"/>
  <c r="DE21" i="43"/>
  <c r="CE21" i="43" s="1"/>
  <c r="DG20" i="43"/>
  <c r="CG20" i="43" s="1"/>
  <c r="DF20" i="43"/>
  <c r="CF20" i="43" s="1"/>
  <c r="DE20" i="43"/>
  <c r="CE20" i="43" s="1"/>
  <c r="DG19" i="43"/>
  <c r="CG19" i="43" s="1"/>
  <c r="DF19" i="43"/>
  <c r="CF19" i="43" s="1"/>
  <c r="DE19" i="43"/>
  <c r="CE19" i="43" s="1"/>
  <c r="DG18" i="43"/>
  <c r="CG18" i="43" s="1"/>
  <c r="DF18" i="43"/>
  <c r="CF18" i="43" s="1"/>
  <c r="DE18" i="43"/>
  <c r="CE18" i="43" s="1"/>
  <c r="DG17" i="43"/>
  <c r="CG17" i="43" s="1"/>
  <c r="DF17" i="43"/>
  <c r="CF17" i="43" s="1"/>
  <c r="DE17" i="43"/>
  <c r="CE17" i="43" s="1"/>
  <c r="DG16" i="43"/>
  <c r="CG16" i="43" s="1"/>
  <c r="DF16" i="43"/>
  <c r="CF16" i="43" s="1"/>
  <c r="DE16" i="43"/>
  <c r="CE16" i="43" s="1"/>
  <c r="DG15" i="43"/>
  <c r="CG15" i="43" s="1"/>
  <c r="DF15" i="43"/>
  <c r="CF15" i="43" s="1"/>
  <c r="DE15" i="43"/>
  <c r="CE15" i="43" s="1"/>
  <c r="DG14" i="43"/>
  <c r="CG14" i="43" s="1"/>
  <c r="DF14" i="43"/>
  <c r="CF14" i="43" s="1"/>
  <c r="DE14" i="43"/>
  <c r="CE14" i="43" s="1"/>
  <c r="DF13" i="43"/>
  <c r="CF13" i="43" s="1"/>
  <c r="DG13" i="43"/>
  <c r="CG13" i="43" s="1"/>
  <c r="DE13" i="43"/>
  <c r="CE13" i="43" s="1"/>
  <c r="CD13" i="43"/>
  <c r="DD22" i="43"/>
  <c r="CD22" i="43" s="1"/>
  <c r="DD21" i="43"/>
  <c r="CD21" i="43" s="1"/>
  <c r="DD20" i="43"/>
  <c r="CD20" i="43" s="1"/>
  <c r="DD19" i="43"/>
  <c r="CD19" i="43" s="1"/>
  <c r="DD18" i="43"/>
  <c r="CD18" i="43" s="1"/>
  <c r="DD17" i="43"/>
  <c r="CD17" i="43" s="1"/>
  <c r="DD16" i="43"/>
  <c r="CD16" i="43" s="1"/>
  <c r="DD15" i="43"/>
  <c r="CD15" i="43" s="1"/>
  <c r="DD14" i="43"/>
  <c r="CD14" i="43" s="1"/>
  <c r="DC14" i="43"/>
  <c r="CC14" i="43" s="1"/>
  <c r="DC15" i="43"/>
  <c r="CC15" i="43" s="1"/>
  <c r="DC16" i="43"/>
  <c r="CC16" i="43" s="1"/>
  <c r="DC17" i="43"/>
  <c r="CC17" i="43" s="1"/>
  <c r="DC18" i="43"/>
  <c r="CC18" i="43" s="1"/>
  <c r="CC19" i="43"/>
  <c r="DC20" i="43"/>
  <c r="CC20" i="43" s="1"/>
  <c r="DC21" i="43"/>
  <c r="CC21" i="43" s="1"/>
  <c r="DC22" i="43"/>
  <c r="CC22" i="43" s="1"/>
  <c r="C248" i="37"/>
  <c r="Y214" i="37"/>
  <c r="X214" i="37"/>
  <c r="W214" i="37"/>
  <c r="V214" i="37"/>
  <c r="U214" i="37"/>
  <c r="T214" i="37"/>
  <c r="S214" i="37"/>
  <c r="R214" i="37"/>
  <c r="Q214" i="37"/>
  <c r="P214" i="37"/>
  <c r="O214" i="37"/>
  <c r="N214" i="37"/>
  <c r="M214" i="37"/>
  <c r="L214" i="37"/>
  <c r="K214" i="37"/>
  <c r="J214" i="37"/>
  <c r="I214" i="37"/>
  <c r="H214" i="37"/>
  <c r="G214" i="37"/>
  <c r="F214" i="37"/>
  <c r="E214" i="37"/>
  <c r="D214" i="37"/>
  <c r="CH213" i="37"/>
  <c r="CB213" i="37" s="1"/>
  <c r="Z213" i="37" s="1"/>
  <c r="CH212" i="37"/>
  <c r="CB212" i="37" s="1"/>
  <c r="Z212" i="37" s="1"/>
  <c r="CH211" i="37"/>
  <c r="CB211" i="37" s="1"/>
  <c r="Z211" i="37" s="1"/>
  <c r="CH210" i="37"/>
  <c r="CB210" i="37" s="1"/>
  <c r="Z210" i="37" s="1"/>
  <c r="Y205" i="37"/>
  <c r="X205" i="37"/>
  <c r="W205" i="37"/>
  <c r="V205" i="37"/>
  <c r="U205" i="37"/>
  <c r="T205" i="37"/>
  <c r="S205" i="37"/>
  <c r="R205" i="37"/>
  <c r="Q205" i="37"/>
  <c r="P205" i="37"/>
  <c r="O205" i="37"/>
  <c r="N205" i="37"/>
  <c r="M205" i="37"/>
  <c r="L205" i="37"/>
  <c r="K205" i="37"/>
  <c r="J205" i="37"/>
  <c r="I205" i="37"/>
  <c r="H205" i="37"/>
  <c r="G205" i="37"/>
  <c r="F205" i="37"/>
  <c r="E205" i="37"/>
  <c r="D205" i="37"/>
  <c r="CH204" i="37"/>
  <c r="CB204" i="37" s="1"/>
  <c r="Z204" i="37" s="1"/>
  <c r="CH203" i="37"/>
  <c r="CB203" i="37" s="1"/>
  <c r="Z203" i="37" s="1"/>
  <c r="CH202" i="37"/>
  <c r="CB202" i="37" s="1"/>
  <c r="Z202" i="37" s="1"/>
  <c r="CH201" i="37"/>
  <c r="CB201" i="37" s="1"/>
  <c r="Z201" i="37" s="1"/>
  <c r="CH199" i="37"/>
  <c r="CB199" i="37" s="1"/>
  <c r="Z199" i="37" s="1"/>
  <c r="Y194" i="37"/>
  <c r="X194" i="37"/>
  <c r="W194" i="37"/>
  <c r="V194" i="37"/>
  <c r="U194" i="37"/>
  <c r="T194" i="37"/>
  <c r="S194" i="37"/>
  <c r="R194" i="37"/>
  <c r="Q194" i="37"/>
  <c r="P194" i="37"/>
  <c r="O194" i="37"/>
  <c r="N194" i="37"/>
  <c r="M194" i="37"/>
  <c r="L194" i="37"/>
  <c r="K194" i="37"/>
  <c r="J194" i="37"/>
  <c r="I194" i="37"/>
  <c r="H194" i="37"/>
  <c r="G194" i="37"/>
  <c r="F194" i="37"/>
  <c r="E194" i="37"/>
  <c r="D194" i="37"/>
  <c r="CH193" i="37"/>
  <c r="CB193" i="37" s="1"/>
  <c r="Z193" i="37" s="1"/>
  <c r="CH192" i="37"/>
  <c r="CB192" i="37" s="1"/>
  <c r="Z192" i="37" s="1"/>
  <c r="CH191" i="37"/>
  <c r="CB191" i="37" s="1"/>
  <c r="Z191" i="37" s="1"/>
  <c r="CH190" i="37"/>
  <c r="CB190" i="37" s="1"/>
  <c r="Z190" i="37" s="1"/>
  <c r="CH189" i="37"/>
  <c r="CB189" i="37" s="1"/>
  <c r="Z189" i="37" s="1"/>
  <c r="CH188" i="37"/>
  <c r="CB188" i="37" s="1"/>
  <c r="Z188" i="37" s="1"/>
  <c r="CH187" i="37"/>
  <c r="CB187" i="37" s="1"/>
  <c r="Z187" i="37" s="1"/>
  <c r="DA182" i="37"/>
  <c r="CU182" i="37" s="1"/>
  <c r="AQ182" i="37" s="1"/>
  <c r="DA181" i="37"/>
  <c r="CU181" i="37" s="1"/>
  <c r="AQ181" i="37" s="1"/>
  <c r="DA180" i="37"/>
  <c r="CU180" i="37" s="1"/>
  <c r="AQ180" i="37" s="1"/>
  <c r="DA179" i="37"/>
  <c r="CU179" i="37" s="1"/>
  <c r="AQ179" i="37" s="1"/>
  <c r="AP177" i="37"/>
  <c r="AO177" i="37"/>
  <c r="AN177" i="37"/>
  <c r="DA176" i="37"/>
  <c r="CU176" i="37" s="1"/>
  <c r="AQ176" i="37" s="1"/>
  <c r="DA175" i="37"/>
  <c r="CU175" i="37" s="1"/>
  <c r="AQ175" i="37" s="1"/>
  <c r="DA174" i="37"/>
  <c r="CU174" i="37" s="1"/>
  <c r="AQ174" i="37" s="1"/>
  <c r="DA173" i="37"/>
  <c r="CU173" i="37" s="1"/>
  <c r="AQ173" i="37" s="1"/>
  <c r="DA172" i="37"/>
  <c r="CU172" i="37" s="1"/>
  <c r="AQ172" i="37" s="1"/>
  <c r="DA171" i="37"/>
  <c r="CU171" i="37" s="1"/>
  <c r="AQ171" i="37" s="1"/>
  <c r="DA170" i="37"/>
  <c r="CU170" i="37" s="1"/>
  <c r="AQ170" i="37" s="1"/>
  <c r="DA169" i="37"/>
  <c r="CU169" i="37" s="1"/>
  <c r="AQ169" i="37" s="1"/>
  <c r="DA168" i="37"/>
  <c r="CU168" i="37" s="1"/>
  <c r="AQ168" i="37" s="1"/>
  <c r="DA167" i="37"/>
  <c r="CU167" i="37" s="1"/>
  <c r="AQ167" i="37" s="1"/>
  <c r="DA166" i="37"/>
  <c r="CU166" i="37" s="1"/>
  <c r="AQ166" i="37" s="1"/>
  <c r="DA165" i="37"/>
  <c r="CU165" i="37" s="1"/>
  <c r="AQ165" i="37" s="1"/>
  <c r="DA164" i="37"/>
  <c r="CU164" i="37" s="1"/>
  <c r="AQ164" i="37" s="1"/>
  <c r="DA163" i="37"/>
  <c r="CU163" i="37" s="1"/>
  <c r="AQ163" i="37" s="1"/>
  <c r="DA162" i="37"/>
  <c r="CU162" i="37" s="1"/>
  <c r="AQ162" i="37" s="1"/>
  <c r="DA161" i="37"/>
  <c r="CU161" i="37" s="1"/>
  <c r="AQ161" i="37" s="1"/>
  <c r="DA160" i="37"/>
  <c r="CU160" i="37" s="1"/>
  <c r="AQ160" i="37" s="1"/>
  <c r="DA159" i="37"/>
  <c r="CU159" i="37" s="1"/>
  <c r="AQ159" i="37" s="1"/>
  <c r="DA158" i="37"/>
  <c r="CU158" i="37" s="1"/>
  <c r="AQ158" i="37" s="1"/>
  <c r="DA157" i="37"/>
  <c r="CU157" i="37" s="1"/>
  <c r="AQ157" i="37" s="1"/>
  <c r="DA156" i="37"/>
  <c r="CU156" i="37" s="1"/>
  <c r="AQ156" i="37" s="1"/>
  <c r="DA155" i="37"/>
  <c r="CU155" i="37" s="1"/>
  <c r="AQ155" i="37" s="1"/>
  <c r="DA154" i="37"/>
  <c r="CU154" i="37" s="1"/>
  <c r="DA153" i="37"/>
  <c r="CU153" i="37" s="1"/>
  <c r="AQ153" i="37" s="1"/>
  <c r="DA152" i="37"/>
  <c r="CU152" i="37" s="1"/>
  <c r="AQ152" i="37" s="1"/>
  <c r="DA151" i="37"/>
  <c r="CU151" i="37" s="1"/>
  <c r="AQ151" i="37" s="1"/>
  <c r="DA150" i="37"/>
  <c r="CU150" i="37" s="1"/>
  <c r="AQ150" i="37" s="1"/>
  <c r="DA149" i="37"/>
  <c r="CU149" i="37" s="1"/>
  <c r="AQ149" i="37" s="1"/>
  <c r="DA148" i="37"/>
  <c r="CU148" i="37" s="1"/>
  <c r="AQ148" i="37" s="1"/>
  <c r="CH123" i="37"/>
  <c r="CB123" i="37" s="1"/>
  <c r="M123" i="37" s="1"/>
  <c r="CH122" i="37"/>
  <c r="CB122" i="37" s="1"/>
  <c r="M122" i="37" s="1"/>
  <c r="CH121" i="37"/>
  <c r="CB121" i="37" s="1"/>
  <c r="M121" i="37" s="1"/>
  <c r="F112" i="37"/>
  <c r="E112" i="37"/>
  <c r="D112" i="37"/>
  <c r="C112" i="37"/>
  <c r="F104" i="37"/>
  <c r="E104" i="37"/>
  <c r="D104" i="37"/>
  <c r="C104" i="37"/>
  <c r="F96" i="37"/>
  <c r="E96" i="37"/>
  <c r="D96" i="37"/>
  <c r="C96" i="37"/>
  <c r="T76" i="37"/>
  <c r="S76" i="37"/>
  <c r="R76" i="37"/>
  <c r="Q76" i="37"/>
  <c r="P76" i="37"/>
  <c r="O76" i="37"/>
  <c r="N76" i="37"/>
  <c r="M76" i="37"/>
  <c r="L76" i="37"/>
  <c r="K76" i="37"/>
  <c r="J76" i="37"/>
  <c r="I76" i="37"/>
  <c r="H76" i="37"/>
  <c r="G76" i="37"/>
  <c r="F76" i="37"/>
  <c r="E76" i="37"/>
  <c r="D76" i="37"/>
  <c r="T68" i="37"/>
  <c r="S68" i="37"/>
  <c r="R68" i="37"/>
  <c r="Q68" i="37"/>
  <c r="P68" i="37"/>
  <c r="O68" i="37"/>
  <c r="N68" i="37"/>
  <c r="M68" i="37"/>
  <c r="L68" i="37"/>
  <c r="K68" i="37"/>
  <c r="J68" i="37"/>
  <c r="I68" i="37"/>
  <c r="H68" i="37"/>
  <c r="G68" i="37"/>
  <c r="F68" i="37"/>
  <c r="E68" i="37"/>
  <c r="D68" i="37"/>
  <c r="I60" i="37"/>
  <c r="H60" i="37"/>
  <c r="G60" i="37"/>
  <c r="E158" i="54"/>
  <c r="D158" i="54"/>
  <c r="AK147" i="54"/>
  <c r="AJ147" i="54"/>
  <c r="AI147" i="54"/>
  <c r="AH147" i="54"/>
  <c r="AG147" i="54"/>
  <c r="AF147" i="54"/>
  <c r="AE147" i="54"/>
  <c r="AD147" i="54"/>
  <c r="AC147" i="54"/>
  <c r="AB147" i="54"/>
  <c r="AA147" i="54"/>
  <c r="Z147" i="54"/>
  <c r="Y147" i="54"/>
  <c r="X147" i="54"/>
  <c r="W147" i="54"/>
  <c r="V147" i="54"/>
  <c r="U147" i="54"/>
  <c r="T147" i="54"/>
  <c r="S147" i="54"/>
  <c r="R147" i="54"/>
  <c r="Q147" i="54"/>
  <c r="P147" i="54"/>
  <c r="O147" i="54"/>
  <c r="N147" i="54"/>
  <c r="M147" i="54"/>
  <c r="L147" i="54"/>
  <c r="K147" i="54"/>
  <c r="J147" i="54"/>
  <c r="I147" i="54"/>
  <c r="H147" i="54"/>
  <c r="G147" i="54"/>
  <c r="F147" i="54"/>
  <c r="AK135" i="54"/>
  <c r="AJ135" i="54"/>
  <c r="AI135" i="54"/>
  <c r="AH135" i="54"/>
  <c r="AG135" i="54"/>
  <c r="AF135" i="54"/>
  <c r="AE135" i="54"/>
  <c r="AD135" i="54"/>
  <c r="AC135" i="54"/>
  <c r="AB135" i="54"/>
  <c r="AA135" i="54"/>
  <c r="Z135" i="54"/>
  <c r="Y135" i="54"/>
  <c r="X135" i="54"/>
  <c r="W135" i="54"/>
  <c r="V135" i="54"/>
  <c r="U135" i="54"/>
  <c r="T135" i="54"/>
  <c r="S135" i="54"/>
  <c r="R135" i="54"/>
  <c r="Q135" i="54"/>
  <c r="P135" i="54"/>
  <c r="O135" i="54"/>
  <c r="N135" i="54"/>
  <c r="M135" i="54"/>
  <c r="L135" i="54"/>
  <c r="K135" i="54"/>
  <c r="J135" i="54"/>
  <c r="I135" i="54"/>
  <c r="H135" i="54"/>
  <c r="G135" i="54"/>
  <c r="F135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AO43" i="54"/>
  <c r="AN43" i="54"/>
  <c r="AM43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AN24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AJ136" i="8"/>
  <c r="AI136" i="8"/>
  <c r="AH136" i="8"/>
  <c r="AG136" i="8"/>
  <c r="AF136" i="8"/>
  <c r="AE136" i="8"/>
  <c r="AD136" i="8"/>
  <c r="AC136" i="8"/>
  <c r="AB136" i="8"/>
  <c r="AA136" i="8"/>
  <c r="Z136" i="8"/>
  <c r="Y136" i="8"/>
  <c r="X136" i="8"/>
  <c r="W136" i="8"/>
  <c r="V136" i="8"/>
  <c r="R136" i="8"/>
  <c r="Q136" i="8"/>
  <c r="P136" i="8"/>
  <c r="N136" i="8"/>
  <c r="M136" i="8"/>
  <c r="L136" i="8"/>
  <c r="J136" i="8"/>
  <c r="I136" i="8"/>
  <c r="H136" i="8"/>
  <c r="F136" i="8"/>
  <c r="E136" i="8"/>
  <c r="D136" i="8"/>
  <c r="AQ154" i="37" l="1"/>
  <c r="CH36" i="37"/>
  <c r="CH45" i="37"/>
  <c r="K136" i="8"/>
  <c r="D147" i="54"/>
  <c r="DA178" i="37"/>
  <c r="CU178" i="37" s="1"/>
  <c r="AQ178" i="37" s="1"/>
  <c r="C177" i="37"/>
  <c r="CH37" i="37"/>
  <c r="CH43" i="37"/>
  <c r="E77" i="54"/>
  <c r="D24" i="54"/>
  <c r="G136" i="8"/>
  <c r="C76" i="37"/>
  <c r="CH35" i="37"/>
  <c r="E88" i="54"/>
  <c r="D135" i="54"/>
  <c r="E135" i="54"/>
  <c r="D88" i="54"/>
  <c r="E43" i="54"/>
  <c r="O136" i="8"/>
  <c r="E24" i="54"/>
  <c r="D77" i="54"/>
  <c r="C205" i="37"/>
  <c r="CH200" i="37"/>
  <c r="CB200" i="37" s="1"/>
  <c r="Z200" i="37" s="1"/>
  <c r="CC13" i="43"/>
  <c r="CH39" i="37"/>
  <c r="CH49" i="37"/>
  <c r="CH46" i="37"/>
  <c r="C214" i="37"/>
  <c r="CH33" i="37"/>
  <c r="CH40" i="37"/>
  <c r="CH50" i="37"/>
  <c r="C194" i="37"/>
  <c r="CH30" i="37"/>
  <c r="CH44" i="37"/>
  <c r="CH47" i="37"/>
  <c r="CH34" i="37"/>
  <c r="CH41" i="37"/>
  <c r="CH48" i="37"/>
  <c r="CH38" i="37"/>
  <c r="CH32" i="37"/>
  <c r="CH42" i="37"/>
  <c r="C68" i="37"/>
  <c r="C136" i="8"/>
  <c r="F43" i="54"/>
  <c r="E147" i="54"/>
  <c r="C77" i="54" l="1"/>
  <c r="C147" i="54"/>
  <c r="C88" i="54"/>
  <c r="C24" i="54"/>
  <c r="C135" i="54"/>
  <c r="D43" i="54"/>
  <c r="CH31" i="37"/>
  <c r="CH29" i="37"/>
  <c r="CB29" i="37" l="1"/>
  <c r="C346" i="37"/>
  <c r="B206" i="54"/>
  <c r="C411" i="39"/>
  <c r="D12" i="28" s="1"/>
  <c r="C195" i="51" l="1"/>
  <c r="C193" i="38" l="1"/>
  <c r="DB94" i="43"/>
  <c r="CB94" i="43" l="1"/>
  <c r="C266" i="43"/>
  <c r="G44" i="53"/>
  <c r="CH151" i="31"/>
  <c r="CB151" i="31" s="1"/>
  <c r="R151" i="31" s="1"/>
  <c r="CH139" i="31"/>
  <c r="CB139" i="31" s="1"/>
  <c r="R139" i="31" s="1"/>
  <c r="CH138" i="31"/>
  <c r="CB138" i="31" s="1"/>
  <c r="R138" i="31" s="1"/>
  <c r="CH137" i="31"/>
  <c r="CB137" i="31" s="1"/>
  <c r="R137" i="31" s="1"/>
  <c r="CH136" i="31"/>
  <c r="CB136" i="31" s="1"/>
  <c r="R136" i="31" s="1"/>
  <c r="B5" i="49"/>
  <c r="B4" i="49"/>
  <c r="B3" i="49"/>
  <c r="B2" i="49"/>
  <c r="D119" i="49"/>
  <c r="CB104" i="49"/>
  <c r="W104" i="49" s="1"/>
  <c r="CB109" i="49"/>
  <c r="W109" i="49" s="1"/>
  <c r="DD33" i="49" l="1"/>
  <c r="CD33" i="49" s="1"/>
  <c r="DC33" i="49"/>
  <c r="CC33" i="49" s="1"/>
  <c r="DE33" i="49"/>
  <c r="CE33" i="49" s="1"/>
  <c r="DB65" i="49"/>
  <c r="CB65" i="49" s="1"/>
  <c r="DE65" i="49"/>
  <c r="CE65" i="49" s="1"/>
  <c r="DD65" i="49"/>
  <c r="CD65" i="49" s="1"/>
  <c r="DC65" i="49"/>
  <c r="CC65" i="49" s="1"/>
  <c r="DB70" i="49"/>
  <c r="CB70" i="49" s="1"/>
  <c r="DE70" i="49"/>
  <c r="CE70" i="49" s="1"/>
  <c r="DD70" i="49"/>
  <c r="CD70" i="49" s="1"/>
  <c r="DC70" i="49"/>
  <c r="CC70" i="49" s="1"/>
  <c r="DB77" i="49"/>
  <c r="CB77" i="49" s="1"/>
  <c r="DE77" i="49"/>
  <c r="CE77" i="49" s="1"/>
  <c r="DD77" i="49"/>
  <c r="CD77" i="49" s="1"/>
  <c r="DC77" i="49"/>
  <c r="CC77" i="49" s="1"/>
  <c r="DB73" i="49"/>
  <c r="CB73" i="49" s="1"/>
  <c r="DE73" i="49"/>
  <c r="CE73" i="49" s="1"/>
  <c r="DD73" i="49"/>
  <c r="CD73" i="49" s="1"/>
  <c r="DC73" i="49"/>
  <c r="CC73" i="49" s="1"/>
  <c r="DE13" i="49"/>
  <c r="CE13" i="49" s="1"/>
  <c r="DD13" i="49"/>
  <c r="CD13" i="49" s="1"/>
  <c r="DD34" i="49"/>
  <c r="CD34" i="49" s="1"/>
  <c r="DB34" i="49"/>
  <c r="CB34" i="49" s="1"/>
  <c r="DE34" i="49"/>
  <c r="CE34" i="49" s="1"/>
  <c r="DC34" i="49"/>
  <c r="CC34" i="49" s="1"/>
  <c r="DB66" i="49"/>
  <c r="CB66" i="49" s="1"/>
  <c r="DE66" i="49"/>
  <c r="CE66" i="49" s="1"/>
  <c r="DD66" i="49"/>
  <c r="CD66" i="49" s="1"/>
  <c r="DC66" i="49"/>
  <c r="CC66" i="49" s="1"/>
  <c r="DB74" i="49"/>
  <c r="CB74" i="49" s="1"/>
  <c r="DE74" i="49"/>
  <c r="CE74" i="49" s="1"/>
  <c r="DD74" i="49"/>
  <c r="CD74" i="49" s="1"/>
  <c r="DC74" i="49"/>
  <c r="CC74" i="49" s="1"/>
  <c r="DB69" i="49"/>
  <c r="CB69" i="49" s="1"/>
  <c r="DE69" i="49"/>
  <c r="CE69" i="49" s="1"/>
  <c r="DD69" i="49"/>
  <c r="CD69" i="49" s="1"/>
  <c r="DC69" i="49"/>
  <c r="CC69" i="49" s="1"/>
  <c r="DD31" i="49"/>
  <c r="CD31" i="49" s="1"/>
  <c r="DE31" i="49"/>
  <c r="CE31" i="49" s="1"/>
  <c r="DC35" i="49"/>
  <c r="CC35" i="49" s="1"/>
  <c r="DB35" i="49"/>
  <c r="CB35" i="49" s="1"/>
  <c r="DD35" i="49"/>
  <c r="CD35" i="49" s="1"/>
  <c r="DE35" i="49"/>
  <c r="CE35" i="49" s="1"/>
  <c r="DB67" i="49"/>
  <c r="CB67" i="49" s="1"/>
  <c r="DE67" i="49"/>
  <c r="CE67" i="49" s="1"/>
  <c r="DD67" i="49"/>
  <c r="CD67" i="49" s="1"/>
  <c r="DC67" i="49"/>
  <c r="CC67" i="49" s="1"/>
  <c r="DB75" i="49"/>
  <c r="CB75" i="49" s="1"/>
  <c r="DE75" i="49"/>
  <c r="CE75" i="49" s="1"/>
  <c r="DD75" i="49"/>
  <c r="CD75" i="49" s="1"/>
  <c r="DC75" i="49"/>
  <c r="CC75" i="49" s="1"/>
  <c r="DB71" i="49"/>
  <c r="CB71" i="49" s="1"/>
  <c r="DE71" i="49"/>
  <c r="CE71" i="49" s="1"/>
  <c r="DD71" i="49"/>
  <c r="CD71" i="49" s="1"/>
  <c r="DC71" i="49"/>
  <c r="CC71" i="49" s="1"/>
  <c r="DD32" i="49"/>
  <c r="CD32" i="49" s="1"/>
  <c r="DE32" i="49"/>
  <c r="CE32" i="49" s="1"/>
  <c r="DC32" i="49"/>
  <c r="CC32" i="49" s="1"/>
  <c r="DB60" i="49"/>
  <c r="CB60" i="49" s="1"/>
  <c r="DE60" i="49"/>
  <c r="CE60" i="49" s="1"/>
  <c r="DD60" i="49"/>
  <c r="CD60" i="49" s="1"/>
  <c r="DC60" i="49"/>
  <c r="CC60" i="49" s="1"/>
  <c r="DB68" i="49"/>
  <c r="CB68" i="49" s="1"/>
  <c r="DE68" i="49"/>
  <c r="CE68" i="49" s="1"/>
  <c r="DD68" i="49"/>
  <c r="CD68" i="49" s="1"/>
  <c r="DC68" i="49"/>
  <c r="CC68" i="49" s="1"/>
  <c r="DB76" i="49"/>
  <c r="CB76" i="49" s="1"/>
  <c r="DE76" i="49"/>
  <c r="CE76" i="49" s="1"/>
  <c r="DD76" i="49"/>
  <c r="CD76" i="49" s="1"/>
  <c r="DC76" i="49"/>
  <c r="CC76" i="49" s="1"/>
  <c r="DB72" i="49"/>
  <c r="CB72" i="49" s="1"/>
  <c r="DE72" i="49"/>
  <c r="CE72" i="49" s="1"/>
  <c r="DD72" i="49"/>
  <c r="CD72" i="49" s="1"/>
  <c r="DC72" i="49"/>
  <c r="CC72" i="49" s="1"/>
  <c r="S125" i="58"/>
  <c r="U119" i="58"/>
  <c r="W119" i="58"/>
  <c r="CR119" i="58" s="1"/>
  <c r="CH119" i="58" s="1"/>
  <c r="X19" i="58"/>
  <c r="O44" i="53"/>
  <c r="N44" i="53"/>
  <c r="D44" i="53"/>
  <c r="D11" i="53"/>
  <c r="E11" i="53"/>
  <c r="G11" i="53"/>
  <c r="H11" i="53"/>
  <c r="D71" i="8"/>
  <c r="DC110" i="46" l="1"/>
  <c r="CD110" i="46" s="1"/>
  <c r="CC110" i="46"/>
  <c r="CB110" i="46"/>
  <c r="R32" i="49"/>
  <c r="DD110" i="46"/>
  <c r="CE110" i="46" s="1"/>
  <c r="O60" i="49"/>
  <c r="R35" i="49"/>
  <c r="R34" i="49"/>
  <c r="C11" i="53"/>
  <c r="R110" i="46" l="1"/>
  <c r="I28" i="55"/>
  <c r="H28" i="55"/>
  <c r="E359" i="39" l="1"/>
  <c r="D359" i="39"/>
  <c r="C78" i="45"/>
  <c r="CH197" i="31" l="1"/>
  <c r="CB197" i="31" s="1"/>
  <c r="CI195" i="31"/>
  <c r="CC195" i="31" s="1"/>
  <c r="CH194" i="31"/>
  <c r="CB194" i="31" s="1"/>
  <c r="CI193" i="31"/>
  <c r="CC193" i="31" s="1"/>
  <c r="CI192" i="31"/>
  <c r="CC192" i="31" s="1"/>
  <c r="CH192" i="31"/>
  <c r="CB192" i="31" s="1"/>
  <c r="CI197" i="31"/>
  <c r="CC197" i="31" s="1"/>
  <c r="CH195" i="31" l="1"/>
  <c r="CB195" i="31" s="1"/>
  <c r="CH193" i="31"/>
  <c r="CB193" i="31" s="1"/>
  <c r="CI194" i="31"/>
  <c r="CC194" i="31" s="1"/>
  <c r="AJ194" i="31" s="1"/>
  <c r="AJ192" i="31"/>
  <c r="AJ195" i="31"/>
  <c r="AJ197" i="31"/>
  <c r="AJ193" i="31"/>
  <c r="CI191" i="31"/>
  <c r="CC191" i="31" s="1"/>
  <c r="CH191" i="31"/>
  <c r="CB191" i="31" s="1"/>
  <c r="D59" i="39"/>
  <c r="I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H155" i="8"/>
  <c r="G155" i="8"/>
  <c r="F155" i="8"/>
  <c r="E155" i="8"/>
  <c r="D155" i="8"/>
  <c r="C127" i="44"/>
  <c r="I134" i="50"/>
  <c r="H134" i="50"/>
  <c r="G134" i="50"/>
  <c r="F134" i="50"/>
  <c r="E134" i="50"/>
  <c r="D134" i="50"/>
  <c r="C125" i="50"/>
  <c r="AB108" i="50"/>
  <c r="AC108" i="50"/>
  <c r="AA108" i="50"/>
  <c r="Z108" i="50"/>
  <c r="Y108" i="50"/>
  <c r="X108" i="50"/>
  <c r="W108" i="50"/>
  <c r="V108" i="50"/>
  <c r="U108" i="50"/>
  <c r="N108" i="50"/>
  <c r="M108" i="50"/>
  <c r="L108" i="50"/>
  <c r="K108" i="50"/>
  <c r="J108" i="50"/>
  <c r="I108" i="50"/>
  <c r="H108" i="50"/>
  <c r="G108" i="50"/>
  <c r="F108" i="50"/>
  <c r="E108" i="50"/>
  <c r="D108" i="50"/>
  <c r="C108" i="50"/>
  <c r="C90" i="50"/>
  <c r="V90" i="50"/>
  <c r="U90" i="50"/>
  <c r="AG17" i="50"/>
  <c r="AR97" i="58"/>
  <c r="CO96" i="58"/>
  <c r="CE96" i="58" s="1"/>
  <c r="CO95" i="58"/>
  <c r="CE95" i="58" s="1"/>
  <c r="CO94" i="58"/>
  <c r="CE94" i="58" s="1"/>
  <c r="CO93" i="58"/>
  <c r="CE93" i="58" s="1"/>
  <c r="CO92" i="58"/>
  <c r="CE92" i="58" s="1"/>
  <c r="CO91" i="58"/>
  <c r="CE91" i="58" s="1"/>
  <c r="CO90" i="58"/>
  <c r="CE90" i="58" s="1"/>
  <c r="CO89" i="58"/>
  <c r="CE89" i="58" s="1"/>
  <c r="CO88" i="58"/>
  <c r="CE88" i="58" s="1"/>
  <c r="CO87" i="58"/>
  <c r="CE87" i="58" s="1"/>
  <c r="CO86" i="58"/>
  <c r="CE86" i="58" s="1"/>
  <c r="CO85" i="58"/>
  <c r="CE85" i="58" s="1"/>
  <c r="CO84" i="58"/>
  <c r="CE84" i="58" s="1"/>
  <c r="CO83" i="58"/>
  <c r="CE83" i="58" s="1"/>
  <c r="CO82" i="58"/>
  <c r="CE82" i="58" s="1"/>
  <c r="CO81" i="58"/>
  <c r="CE81" i="58" s="1"/>
  <c r="CO80" i="58"/>
  <c r="CE80" i="58" s="1"/>
  <c r="CO79" i="58"/>
  <c r="CE79" i="58" s="1"/>
  <c r="CO78" i="58"/>
  <c r="CE78" i="58" s="1"/>
  <c r="CO77" i="58"/>
  <c r="CE77" i="58" s="1"/>
  <c r="CO76" i="58"/>
  <c r="CE76" i="58" s="1"/>
  <c r="CO75" i="58"/>
  <c r="CE75" i="58" s="1"/>
  <c r="CO74" i="58"/>
  <c r="CE74" i="58" s="1"/>
  <c r="CO73" i="58"/>
  <c r="CE73" i="58" s="1"/>
  <c r="CO72" i="58"/>
  <c r="CE72" i="58" s="1"/>
  <c r="CO71" i="58"/>
  <c r="CE71" i="58" s="1"/>
  <c r="CO70" i="58"/>
  <c r="CE70" i="58" s="1"/>
  <c r="CO69" i="58"/>
  <c r="CE69" i="58" s="1"/>
  <c r="CO68" i="58"/>
  <c r="CE68" i="58" s="1"/>
  <c r="CO67" i="58"/>
  <c r="CE67" i="58" s="1"/>
  <c r="CO66" i="58"/>
  <c r="CE66" i="58" s="1"/>
  <c r="CO65" i="58"/>
  <c r="CE65" i="58" s="1"/>
  <c r="CO64" i="58"/>
  <c r="CE64" i="58" s="1"/>
  <c r="CO63" i="58"/>
  <c r="CE63" i="58" s="1"/>
  <c r="CO62" i="58"/>
  <c r="CE62" i="58" s="1"/>
  <c r="CO61" i="58"/>
  <c r="CE61" i="58" s="1"/>
  <c r="CO60" i="58"/>
  <c r="CE60" i="58" s="1"/>
  <c r="CO59" i="58"/>
  <c r="CE59" i="58" s="1"/>
  <c r="CO58" i="58"/>
  <c r="CE58" i="58" s="1"/>
  <c r="CO57" i="58"/>
  <c r="CE57" i="58" s="1"/>
  <c r="CO56" i="58"/>
  <c r="CE56" i="58" s="1"/>
  <c r="CO55" i="58"/>
  <c r="CE55" i="58" s="1"/>
  <c r="CO54" i="58"/>
  <c r="CE54" i="58" s="1"/>
  <c r="CO53" i="58"/>
  <c r="CE53" i="58" s="1"/>
  <c r="CO52" i="58"/>
  <c r="CE52" i="58" s="1"/>
  <c r="CO51" i="58"/>
  <c r="CE51" i="58" s="1"/>
  <c r="CO50" i="58"/>
  <c r="CE50" i="58" s="1"/>
  <c r="CO49" i="58"/>
  <c r="CE49" i="58" s="1"/>
  <c r="CO48" i="58"/>
  <c r="CE48" i="58" s="1"/>
  <c r="CO47" i="58"/>
  <c r="CE47" i="58" s="1"/>
  <c r="CO46" i="58"/>
  <c r="CE46" i="58" s="1"/>
  <c r="CO45" i="58"/>
  <c r="CE45" i="58" s="1"/>
  <c r="CO44" i="58"/>
  <c r="CE44" i="58" s="1"/>
  <c r="CO43" i="58"/>
  <c r="CE43" i="58" s="1"/>
  <c r="CO42" i="58"/>
  <c r="CE42" i="58" s="1"/>
  <c r="CO41" i="58"/>
  <c r="CE41" i="58" s="1"/>
  <c r="CO40" i="58"/>
  <c r="CE40" i="58" s="1"/>
  <c r="CO39" i="58"/>
  <c r="CE39" i="58" s="1"/>
  <c r="CO38" i="58"/>
  <c r="CE38" i="58" s="1"/>
  <c r="CN96" i="58"/>
  <c r="CD96" i="58" s="1"/>
  <c r="CN95" i="58"/>
  <c r="CD95" i="58" s="1"/>
  <c r="CN94" i="58"/>
  <c r="CD94" i="58" s="1"/>
  <c r="CN93" i="58"/>
  <c r="CD93" i="58" s="1"/>
  <c r="CN92" i="58"/>
  <c r="CD92" i="58" s="1"/>
  <c r="CN91" i="58"/>
  <c r="CD91" i="58" s="1"/>
  <c r="CN90" i="58"/>
  <c r="CD90" i="58" s="1"/>
  <c r="CN89" i="58"/>
  <c r="CD89" i="58" s="1"/>
  <c r="CN88" i="58"/>
  <c r="CD88" i="58" s="1"/>
  <c r="CN87" i="58"/>
  <c r="CD87" i="58" s="1"/>
  <c r="CN86" i="58"/>
  <c r="CD86" i="58" s="1"/>
  <c r="CN85" i="58"/>
  <c r="CD85" i="58" s="1"/>
  <c r="CN84" i="58"/>
  <c r="CD84" i="58" s="1"/>
  <c r="CN83" i="58"/>
  <c r="CD83" i="58" s="1"/>
  <c r="CN82" i="58"/>
  <c r="CD82" i="58" s="1"/>
  <c r="CN81" i="58"/>
  <c r="CD81" i="58" s="1"/>
  <c r="CN80" i="58"/>
  <c r="CD80" i="58" s="1"/>
  <c r="CN79" i="58"/>
  <c r="CD79" i="58" s="1"/>
  <c r="CN78" i="58"/>
  <c r="CD78" i="58" s="1"/>
  <c r="CN77" i="58"/>
  <c r="CD77" i="58" s="1"/>
  <c r="CN76" i="58"/>
  <c r="CD76" i="58" s="1"/>
  <c r="CN75" i="58"/>
  <c r="CD75" i="58" s="1"/>
  <c r="CN74" i="58"/>
  <c r="CD74" i="58" s="1"/>
  <c r="CN73" i="58"/>
  <c r="CD73" i="58" s="1"/>
  <c r="CN72" i="58"/>
  <c r="CD72" i="58" s="1"/>
  <c r="CN71" i="58"/>
  <c r="CD71" i="58" s="1"/>
  <c r="CN70" i="58"/>
  <c r="CD70" i="58" s="1"/>
  <c r="CN69" i="58"/>
  <c r="CD69" i="58" s="1"/>
  <c r="CN68" i="58"/>
  <c r="CD68" i="58" s="1"/>
  <c r="CN67" i="58"/>
  <c r="CD67" i="58" s="1"/>
  <c r="CN66" i="58"/>
  <c r="CD66" i="58" s="1"/>
  <c r="CN65" i="58"/>
  <c r="CD65" i="58" s="1"/>
  <c r="CN64" i="58"/>
  <c r="CD64" i="58" s="1"/>
  <c r="CN63" i="58"/>
  <c r="CD63" i="58" s="1"/>
  <c r="CN62" i="58"/>
  <c r="CD62" i="58" s="1"/>
  <c r="CN61" i="58"/>
  <c r="CD61" i="58" s="1"/>
  <c r="CN60" i="58"/>
  <c r="CD60" i="58" s="1"/>
  <c r="CN59" i="58"/>
  <c r="CD59" i="58" s="1"/>
  <c r="CN58" i="58"/>
  <c r="CD58" i="58" s="1"/>
  <c r="CN57" i="58"/>
  <c r="CD57" i="58" s="1"/>
  <c r="CN56" i="58"/>
  <c r="CD56" i="58" s="1"/>
  <c r="CN55" i="58"/>
  <c r="CD55" i="58" s="1"/>
  <c r="CN54" i="58"/>
  <c r="CD54" i="58" s="1"/>
  <c r="CN53" i="58"/>
  <c r="CD53" i="58" s="1"/>
  <c r="CN52" i="58"/>
  <c r="CD52" i="58" s="1"/>
  <c r="CN51" i="58"/>
  <c r="CD51" i="58" s="1"/>
  <c r="CN50" i="58"/>
  <c r="CD50" i="58" s="1"/>
  <c r="CN49" i="58"/>
  <c r="CD49" i="58" s="1"/>
  <c r="CN48" i="58"/>
  <c r="CD48" i="58" s="1"/>
  <c r="CN47" i="58"/>
  <c r="CD47" i="58" s="1"/>
  <c r="CN46" i="58"/>
  <c r="CD46" i="58" s="1"/>
  <c r="CN45" i="58"/>
  <c r="CD45" i="58" s="1"/>
  <c r="CN44" i="58"/>
  <c r="CD44" i="58" s="1"/>
  <c r="CN43" i="58"/>
  <c r="CD43" i="58" s="1"/>
  <c r="CN42" i="58"/>
  <c r="CD42" i="58" s="1"/>
  <c r="CN41" i="58"/>
  <c r="CD41" i="58" s="1"/>
  <c r="CN40" i="58"/>
  <c r="CD40" i="58" s="1"/>
  <c r="CN39" i="58"/>
  <c r="CD39" i="58" s="1"/>
  <c r="CN38" i="58"/>
  <c r="CD38" i="58" s="1"/>
  <c r="D97" i="58"/>
  <c r="E97" i="58"/>
  <c r="F27" i="58"/>
  <c r="E220" i="58"/>
  <c r="D220" i="58"/>
  <c r="CH150" i="31"/>
  <c r="CB150" i="31" s="1"/>
  <c r="R150" i="31" s="1"/>
  <c r="CH149" i="31"/>
  <c r="CB149" i="31" s="1"/>
  <c r="R149" i="31" s="1"/>
  <c r="CH148" i="31"/>
  <c r="CB148" i="31" s="1"/>
  <c r="R148" i="31" s="1"/>
  <c r="CH147" i="31"/>
  <c r="CB147" i="31" s="1"/>
  <c r="R147" i="31" s="1"/>
  <c r="CH146" i="31"/>
  <c r="CB146" i="31" s="1"/>
  <c r="R146" i="31" s="1"/>
  <c r="CH145" i="31"/>
  <c r="CB145" i="31" s="1"/>
  <c r="R145" i="31" s="1"/>
  <c r="CH144" i="31"/>
  <c r="CB144" i="31" s="1"/>
  <c r="R144" i="31" s="1"/>
  <c r="CH143" i="31"/>
  <c r="CB143" i="31" s="1"/>
  <c r="R143" i="31" s="1"/>
  <c r="CH142" i="31"/>
  <c r="CB142" i="31" s="1"/>
  <c r="R142" i="31" s="1"/>
  <c r="CH141" i="31"/>
  <c r="CB141" i="31" s="1"/>
  <c r="R141" i="31" s="1"/>
  <c r="CH140" i="31"/>
  <c r="CB140" i="31" s="1"/>
  <c r="R140" i="31" s="1"/>
  <c r="CD73" i="59"/>
  <c r="CK56" i="59"/>
  <c r="CB56" i="59" s="1"/>
  <c r="AY56" i="59" s="1"/>
  <c r="CK55" i="59"/>
  <c r="CB55" i="59" s="1"/>
  <c r="AY55" i="59" s="1"/>
  <c r="CK54" i="59"/>
  <c r="CB54" i="59" s="1"/>
  <c r="AY54" i="59" s="1"/>
  <c r="CK50" i="59"/>
  <c r="CB50" i="59" s="1"/>
  <c r="AY50" i="59" s="1"/>
  <c r="CK48" i="59"/>
  <c r="CB48" i="59" s="1"/>
  <c r="AY48" i="59" s="1"/>
  <c r="CB47" i="59"/>
  <c r="CK49" i="59" l="1"/>
  <c r="CB49" i="59" s="1"/>
  <c r="AY49" i="59" s="1"/>
  <c r="DD153" i="8"/>
  <c r="CD153" i="8" s="1"/>
  <c r="DE153" i="8"/>
  <c r="CE153" i="8" s="1"/>
  <c r="DB153" i="8"/>
  <c r="CB153" i="8" s="1"/>
  <c r="DC153" i="8"/>
  <c r="CC153" i="8" s="1"/>
  <c r="DB154" i="8"/>
  <c r="CB154" i="8" s="1"/>
  <c r="DC154" i="8"/>
  <c r="CC154" i="8" s="1"/>
  <c r="W154" i="8" s="1"/>
  <c r="DD154" i="8"/>
  <c r="CD154" i="8" s="1"/>
  <c r="DE154" i="8"/>
  <c r="CE154" i="8" s="1"/>
  <c r="DE139" i="8"/>
  <c r="DD139" i="8"/>
  <c r="CD139" i="8" s="1"/>
  <c r="DB139" i="8"/>
  <c r="CB139" i="8" s="1"/>
  <c r="DC139" i="8"/>
  <c r="CB46" i="59"/>
  <c r="CK53" i="59"/>
  <c r="CB53" i="59" s="1"/>
  <c r="AY53" i="59" s="1"/>
  <c r="CD79" i="59"/>
  <c r="CK51" i="59"/>
  <c r="CB51" i="59" s="1"/>
  <c r="AY51" i="59" s="1"/>
  <c r="CD85" i="59"/>
  <c r="CK52" i="59"/>
  <c r="CB52" i="59" s="1"/>
  <c r="AY52" i="59" s="1"/>
  <c r="CD21" i="59"/>
  <c r="CD27" i="59"/>
  <c r="CD33" i="59"/>
  <c r="CD39" i="59"/>
  <c r="CD68" i="59"/>
  <c r="CD74" i="59"/>
  <c r="CD80" i="59"/>
  <c r="CD86" i="59"/>
  <c r="CD69" i="59"/>
  <c r="CD81" i="59"/>
  <c r="CD87" i="59"/>
  <c r="CD66" i="59"/>
  <c r="CD72" i="59"/>
  <c r="CD78" i="59"/>
  <c r="CD84" i="59"/>
  <c r="CK57" i="59"/>
  <c r="CB57" i="59" s="1"/>
  <c r="AY57" i="59" s="1"/>
  <c r="CD17" i="59"/>
  <c r="CD23" i="59"/>
  <c r="CD29" i="59"/>
  <c r="CD35" i="59"/>
  <c r="CD64" i="59"/>
  <c r="CD70" i="59"/>
  <c r="CD76" i="59"/>
  <c r="CD82" i="59"/>
  <c r="CD88" i="59"/>
  <c r="CD65" i="59"/>
  <c r="CD71" i="59"/>
  <c r="CD77" i="59"/>
  <c r="T108" i="50"/>
  <c r="CD19" i="59"/>
  <c r="CD25" i="59"/>
  <c r="CD31" i="59"/>
  <c r="CD37" i="59"/>
  <c r="AJ191" i="31"/>
  <c r="CD26" i="59"/>
  <c r="CD89" i="59"/>
  <c r="CC62" i="44"/>
  <c r="CB62" i="44"/>
  <c r="CC61" i="44"/>
  <c r="CB61" i="44"/>
  <c r="CC58" i="44"/>
  <c r="CB58" i="44"/>
  <c r="P108" i="50"/>
  <c r="S108" i="50"/>
  <c r="CD41" i="59"/>
  <c r="R108" i="50"/>
  <c r="CD18" i="59"/>
  <c r="CD34" i="59"/>
  <c r="Q108" i="50"/>
  <c r="O108" i="50"/>
  <c r="CD63" i="59"/>
  <c r="CK78" i="59"/>
  <c r="CB78" i="59" s="1"/>
  <c r="CL78" i="59"/>
  <c r="CC78" i="59" s="1"/>
  <c r="CL86" i="59"/>
  <c r="CC86" i="59" s="1"/>
  <c r="CL21" i="59"/>
  <c r="CC21" i="59" s="1"/>
  <c r="CK21" i="59"/>
  <c r="CB21" i="59" s="1"/>
  <c r="CK72" i="59"/>
  <c r="CB72" i="59" s="1"/>
  <c r="CL72" i="59"/>
  <c r="CC72" i="59" s="1"/>
  <c r="CK80" i="59"/>
  <c r="CB80" i="59" s="1"/>
  <c r="CK88" i="59"/>
  <c r="CB88" i="59" s="1"/>
  <c r="CL88" i="59"/>
  <c r="CC88" i="59" s="1"/>
  <c r="CK68" i="59"/>
  <c r="CB68" i="59" s="1"/>
  <c r="CL68" i="59"/>
  <c r="CC68" i="59" s="1"/>
  <c r="CL27" i="59"/>
  <c r="CC27" i="59" s="1"/>
  <c r="CK27" i="59"/>
  <c r="CB27" i="59" s="1"/>
  <c r="CK69" i="59"/>
  <c r="CB69" i="59" s="1"/>
  <c r="CL73" i="59"/>
  <c r="CC73" i="59" s="1"/>
  <c r="CK73" i="59"/>
  <c r="CB73" i="59" s="1"/>
  <c r="CL81" i="59"/>
  <c r="CC81" i="59" s="1"/>
  <c r="CK81" i="59"/>
  <c r="CB81" i="59" s="1"/>
  <c r="Q17" i="50"/>
  <c r="CD16" i="59"/>
  <c r="CD20" i="59"/>
  <c r="CD22" i="59"/>
  <c r="CD24" i="59"/>
  <c r="CD28" i="59"/>
  <c r="CD30" i="59"/>
  <c r="CD32" i="59"/>
  <c r="CD36" i="59"/>
  <c r="CD38" i="59"/>
  <c r="CD40" i="59"/>
  <c r="CL79" i="59"/>
  <c r="CC79" i="59" s="1"/>
  <c r="CK79" i="59"/>
  <c r="CB79" i="59" s="1"/>
  <c r="CD67" i="59"/>
  <c r="CD75" i="59"/>
  <c r="CD83" i="59"/>
  <c r="O17" i="50"/>
  <c r="P17" i="50"/>
  <c r="CR37" i="58"/>
  <c r="CH37" i="58" s="1"/>
  <c r="CS37" i="58"/>
  <c r="CI37" i="58" s="1"/>
  <c r="CN31" i="58"/>
  <c r="CD31" i="58" s="1"/>
  <c r="CM31" i="58"/>
  <c r="CC31" i="58" s="1"/>
  <c r="W153" i="8"/>
  <c r="C203" i="55"/>
  <c r="CK35" i="59" l="1"/>
  <c r="CB35" i="59" s="1"/>
  <c r="CK17" i="59"/>
  <c r="CB17" i="59" s="1"/>
  <c r="CL17" i="59"/>
  <c r="CC17" i="59" s="1"/>
  <c r="AQ17" i="59" s="1"/>
  <c r="CK76" i="59"/>
  <c r="CB76" i="59" s="1"/>
  <c r="CL25" i="59"/>
  <c r="CC25" i="59" s="1"/>
  <c r="CK85" i="59"/>
  <c r="CB85" i="59" s="1"/>
  <c r="CL85" i="59"/>
  <c r="CC85" i="59" s="1"/>
  <c r="CL80" i="59"/>
  <c r="CC80" i="59" s="1"/>
  <c r="CK87" i="59"/>
  <c r="CB87" i="59" s="1"/>
  <c r="CL31" i="59"/>
  <c r="CC31" i="59" s="1"/>
  <c r="CL35" i="59"/>
  <c r="CC35" i="59" s="1"/>
  <c r="AQ35" i="59" s="1"/>
  <c r="CL87" i="59"/>
  <c r="CC87" i="59" s="1"/>
  <c r="CK86" i="59"/>
  <c r="CB86" i="59" s="1"/>
  <c r="AQ86" i="59" s="1"/>
  <c r="CL29" i="59"/>
  <c r="CC29" i="59" s="1"/>
  <c r="CK39" i="59"/>
  <c r="CB39" i="59" s="1"/>
  <c r="CK33" i="59"/>
  <c r="CB33" i="59" s="1"/>
  <c r="CL26" i="59"/>
  <c r="CC26" i="59" s="1"/>
  <c r="CK25" i="59"/>
  <c r="CB25" i="59" s="1"/>
  <c r="CK29" i="59"/>
  <c r="CB29" i="59" s="1"/>
  <c r="CL82" i="59"/>
  <c r="CC82" i="59" s="1"/>
  <c r="CK89" i="59"/>
  <c r="CB89" i="59" s="1"/>
  <c r="CK82" i="59"/>
  <c r="CB82" i="59" s="1"/>
  <c r="AQ82" i="59" s="1"/>
  <c r="CL89" i="59"/>
  <c r="CC89" i="59" s="1"/>
  <c r="CK19" i="59"/>
  <c r="CB19" i="59" s="1"/>
  <c r="CL74" i="59"/>
  <c r="CC74" i="59" s="1"/>
  <c r="CK74" i="59"/>
  <c r="CB74" i="59" s="1"/>
  <c r="CL19" i="59"/>
  <c r="CC19" i="59" s="1"/>
  <c r="CK23" i="59"/>
  <c r="CB23" i="59" s="1"/>
  <c r="CL69" i="59"/>
  <c r="CC69" i="59" s="1"/>
  <c r="AQ69" i="59" s="1"/>
  <c r="CL33" i="59"/>
  <c r="CC33" i="59" s="1"/>
  <c r="CL34" i="59"/>
  <c r="CC34" i="59" s="1"/>
  <c r="CL66" i="59"/>
  <c r="CC66" i="59" s="1"/>
  <c r="CL23" i="59"/>
  <c r="CC23" i="59" s="1"/>
  <c r="CK34" i="59"/>
  <c r="CB34" i="59" s="1"/>
  <c r="CK66" i="59"/>
  <c r="CB66" i="59" s="1"/>
  <c r="CK77" i="59"/>
  <c r="CB77" i="59" s="1"/>
  <c r="CL39" i="59"/>
  <c r="CC39" i="59" s="1"/>
  <c r="CL18" i="59"/>
  <c r="CC18" i="59" s="1"/>
  <c r="CL77" i="59"/>
  <c r="CC77" i="59" s="1"/>
  <c r="CK70" i="59"/>
  <c r="CB70" i="59" s="1"/>
  <c r="CL84" i="59"/>
  <c r="CC84" i="59" s="1"/>
  <c r="CL70" i="59"/>
  <c r="CC70" i="59" s="1"/>
  <c r="CK84" i="59"/>
  <c r="CB84" i="59" s="1"/>
  <c r="CL76" i="59"/>
  <c r="CC76" i="59" s="1"/>
  <c r="AQ76" i="59" s="1"/>
  <c r="AQ80" i="59"/>
  <c r="CK71" i="59"/>
  <c r="CB71" i="59" s="1"/>
  <c r="CL71" i="59"/>
  <c r="CC71" i="59" s="1"/>
  <c r="AQ68" i="59"/>
  <c r="CL64" i="59"/>
  <c r="CC64" i="59" s="1"/>
  <c r="AQ78" i="59"/>
  <c r="AQ81" i="59"/>
  <c r="AQ88" i="59"/>
  <c r="CK64" i="59"/>
  <c r="CB64" i="59" s="1"/>
  <c r="CK37" i="59"/>
  <c r="CB37" i="59" s="1"/>
  <c r="AQ37" i="59" s="1"/>
  <c r="CK41" i="59"/>
  <c r="CB41" i="59" s="1"/>
  <c r="CL41" i="59"/>
  <c r="CC41" i="59" s="1"/>
  <c r="CL37" i="59"/>
  <c r="CC37" i="59" s="1"/>
  <c r="AQ21" i="59"/>
  <c r="AQ79" i="59"/>
  <c r="CK65" i="59"/>
  <c r="CB65" i="59" s="1"/>
  <c r="CL65" i="59"/>
  <c r="CC65" i="59" s="1"/>
  <c r="AQ72" i="59"/>
  <c r="CK18" i="59"/>
  <c r="CB18" i="59" s="1"/>
  <c r="CK26" i="59"/>
  <c r="CB26" i="59" s="1"/>
  <c r="AQ26" i="59" s="1"/>
  <c r="AQ73" i="59"/>
  <c r="AQ27" i="59"/>
  <c r="CK31" i="59"/>
  <c r="CB31" i="59" s="1"/>
  <c r="AQ31" i="59" s="1"/>
  <c r="CL63" i="59"/>
  <c r="CC63" i="59" s="1"/>
  <c r="CK63" i="59"/>
  <c r="CB63" i="59" s="1"/>
  <c r="CL83" i="59"/>
  <c r="CC83" i="59" s="1"/>
  <c r="CK83" i="59"/>
  <c r="CB83" i="59" s="1"/>
  <c r="CL38" i="59"/>
  <c r="CC38" i="59" s="1"/>
  <c r="CK38" i="59"/>
  <c r="CB38" i="59" s="1"/>
  <c r="CL28" i="59"/>
  <c r="CC28" i="59" s="1"/>
  <c r="CK28" i="59"/>
  <c r="CB28" i="59" s="1"/>
  <c r="CL16" i="59"/>
  <c r="CC16" i="59" s="1"/>
  <c r="CK16" i="59"/>
  <c r="CB16" i="59" s="1"/>
  <c r="CL75" i="59"/>
  <c r="CC75" i="59" s="1"/>
  <c r="CK75" i="59"/>
  <c r="CB75" i="59" s="1"/>
  <c r="CL36" i="59"/>
  <c r="CC36" i="59" s="1"/>
  <c r="CK36" i="59"/>
  <c r="CB36" i="59" s="1"/>
  <c r="CL24" i="59"/>
  <c r="CC24" i="59" s="1"/>
  <c r="CK24" i="59"/>
  <c r="CB24" i="59" s="1"/>
  <c r="CL67" i="59"/>
  <c r="CC67" i="59" s="1"/>
  <c r="CK67" i="59"/>
  <c r="CB67" i="59" s="1"/>
  <c r="CL32" i="59"/>
  <c r="CC32" i="59" s="1"/>
  <c r="CK32" i="59"/>
  <c r="CB32" i="59" s="1"/>
  <c r="CL22" i="59"/>
  <c r="CC22" i="59" s="1"/>
  <c r="CK22" i="59"/>
  <c r="CB22" i="59" s="1"/>
  <c r="CL40" i="59"/>
  <c r="CC40" i="59" s="1"/>
  <c r="CK40" i="59"/>
  <c r="CB40" i="59" s="1"/>
  <c r="CK30" i="59"/>
  <c r="CB30" i="59" s="1"/>
  <c r="CL30" i="59"/>
  <c r="CC30" i="59" s="1"/>
  <c r="CL20" i="59"/>
  <c r="CC20" i="59" s="1"/>
  <c r="CK20" i="59"/>
  <c r="CB20" i="59" s="1"/>
  <c r="B140" i="59"/>
  <c r="F33" i="28" s="1"/>
  <c r="CL15" i="59"/>
  <c r="CC15" i="59" s="1"/>
  <c r="CK15" i="59"/>
  <c r="D242" i="55"/>
  <c r="AE28" i="55"/>
  <c r="AD28" i="55"/>
  <c r="AB15" i="55"/>
  <c r="AC15" i="55"/>
  <c r="AQ85" i="59" l="1"/>
  <c r="AQ29" i="59"/>
  <c r="AQ25" i="59"/>
  <c r="AQ87" i="59"/>
  <c r="AQ19" i="59"/>
  <c r="AQ84" i="59"/>
  <c r="AQ33" i="59"/>
  <c r="AQ74" i="59"/>
  <c r="AQ71" i="59"/>
  <c r="AQ39" i="59"/>
  <c r="AQ77" i="59"/>
  <c r="AQ66" i="59"/>
  <c r="AQ70" i="59"/>
  <c r="AQ34" i="59"/>
  <c r="AQ23" i="59"/>
  <c r="AQ89" i="59"/>
  <c r="AQ18" i="59"/>
  <c r="AQ64" i="59"/>
  <c r="AQ65" i="59"/>
  <c r="AQ30" i="59"/>
  <c r="AQ41" i="59"/>
  <c r="AQ40" i="59"/>
  <c r="AQ67" i="59"/>
  <c r="AQ75" i="59"/>
  <c r="AQ38" i="59"/>
  <c r="AQ20" i="59"/>
  <c r="AQ22" i="59"/>
  <c r="AQ24" i="59"/>
  <c r="AQ16" i="59"/>
  <c r="AQ83" i="59"/>
  <c r="AQ32" i="59"/>
  <c r="AQ36" i="59"/>
  <c r="AQ28" i="59"/>
  <c r="AQ63" i="59"/>
  <c r="C140" i="59"/>
  <c r="D33" i="28" s="1"/>
  <c r="CB15" i="59"/>
  <c r="AQ15" i="59" s="1"/>
  <c r="Q359" i="39"/>
  <c r="AW264" i="45"/>
  <c r="J186" i="31"/>
  <c r="I186" i="31"/>
  <c r="H186" i="31"/>
  <c r="G186" i="31"/>
  <c r="F186" i="31"/>
  <c r="Q383" i="39"/>
  <c r="P383" i="39"/>
  <c r="O383" i="39"/>
  <c r="N383" i="39"/>
  <c r="M383" i="39"/>
  <c r="L383" i="39"/>
  <c r="K383" i="39"/>
  <c r="J383" i="39"/>
  <c r="I383" i="39"/>
  <c r="H383" i="39"/>
  <c r="G383" i="39"/>
  <c r="F383" i="39"/>
  <c r="E383" i="39"/>
  <c r="D383" i="39"/>
  <c r="AP373" i="39"/>
  <c r="AO373" i="39"/>
  <c r="AN373" i="39"/>
  <c r="AM373" i="39"/>
  <c r="AL373" i="39"/>
  <c r="AK373" i="39"/>
  <c r="AJ373" i="39"/>
  <c r="AI373" i="39"/>
  <c r="AH373" i="39"/>
  <c r="AG373" i="39"/>
  <c r="AF373" i="39"/>
  <c r="AE373" i="39"/>
  <c r="AD373" i="39"/>
  <c r="AC373" i="39"/>
  <c r="AB373" i="39"/>
  <c r="AA373" i="39"/>
  <c r="Z373" i="39"/>
  <c r="Y373" i="39"/>
  <c r="X373" i="39"/>
  <c r="W373" i="39"/>
  <c r="V373" i="39"/>
  <c r="U373" i="39"/>
  <c r="T373" i="39"/>
  <c r="S373" i="39"/>
  <c r="R373" i="39"/>
  <c r="Q373" i="39"/>
  <c r="P373" i="39"/>
  <c r="O373" i="39"/>
  <c r="N373" i="39"/>
  <c r="M373" i="39"/>
  <c r="L373" i="39"/>
  <c r="K373" i="39"/>
  <c r="J373" i="39"/>
  <c r="I373" i="39"/>
  <c r="H373" i="39"/>
  <c r="G373" i="39"/>
  <c r="P359" i="39"/>
  <c r="O359" i="39"/>
  <c r="N359" i="39"/>
  <c r="M359" i="39"/>
  <c r="L359" i="39"/>
  <c r="K359" i="39"/>
  <c r="J359" i="39"/>
  <c r="I359" i="39"/>
  <c r="H359" i="39"/>
  <c r="G359" i="39"/>
  <c r="F359" i="39"/>
  <c r="E186" i="31" l="1"/>
  <c r="E373" i="39"/>
  <c r="F373" i="39"/>
  <c r="C359" i="39"/>
  <c r="C383" i="39"/>
  <c r="D373" i="39" l="1"/>
  <c r="M27" i="58"/>
  <c r="L27" i="58"/>
  <c r="K27" i="58"/>
  <c r="J27" i="58"/>
  <c r="I27" i="58"/>
  <c r="H27" i="58"/>
  <c r="G27" i="58"/>
  <c r="O75" i="38"/>
  <c r="N75" i="38"/>
  <c r="AN309" i="45"/>
  <c r="AM309" i="45"/>
  <c r="AL309" i="45"/>
  <c r="AK309" i="45"/>
  <c r="AJ309" i="45"/>
  <c r="AI309" i="45"/>
  <c r="AH309" i="45"/>
  <c r="AG309" i="45"/>
  <c r="AF309" i="45"/>
  <c r="AE309" i="45"/>
  <c r="AD309" i="45"/>
  <c r="AC309" i="45"/>
  <c r="AB309" i="45"/>
  <c r="AA309" i="45"/>
  <c r="Z309" i="45"/>
  <c r="Y309" i="45"/>
  <c r="X309" i="45"/>
  <c r="W309" i="45"/>
  <c r="V309" i="45"/>
  <c r="U309" i="45"/>
  <c r="T309" i="45"/>
  <c r="S309" i="45"/>
  <c r="R309" i="45"/>
  <c r="Q309" i="45"/>
  <c r="P309" i="45"/>
  <c r="O309" i="45"/>
  <c r="N309" i="45"/>
  <c r="M309" i="45"/>
  <c r="L309" i="45"/>
  <c r="K309" i="45"/>
  <c r="J309" i="45"/>
  <c r="I309" i="45"/>
  <c r="H309" i="45"/>
  <c r="G309" i="45"/>
  <c r="AN302" i="45"/>
  <c r="AM302" i="45"/>
  <c r="AL302" i="45"/>
  <c r="AK302" i="45"/>
  <c r="AJ302" i="45"/>
  <c r="AI302" i="45"/>
  <c r="AH302" i="45"/>
  <c r="AG302" i="45"/>
  <c r="AF302" i="45"/>
  <c r="AE302" i="45"/>
  <c r="AD302" i="45"/>
  <c r="AC302" i="45"/>
  <c r="AB302" i="45"/>
  <c r="AA302" i="45"/>
  <c r="Z302" i="45"/>
  <c r="Y302" i="45"/>
  <c r="X302" i="45"/>
  <c r="W302" i="45"/>
  <c r="V302" i="45"/>
  <c r="U302" i="45"/>
  <c r="T302" i="45"/>
  <c r="S302" i="45"/>
  <c r="R302" i="45"/>
  <c r="Q302" i="45"/>
  <c r="P302" i="45"/>
  <c r="O302" i="45"/>
  <c r="N302" i="45"/>
  <c r="M302" i="45"/>
  <c r="L302" i="45"/>
  <c r="K302" i="45"/>
  <c r="J302" i="45"/>
  <c r="I302" i="45"/>
  <c r="H302" i="45"/>
  <c r="G302" i="45"/>
  <c r="AN290" i="45"/>
  <c r="AM290" i="45"/>
  <c r="AL290" i="45"/>
  <c r="AK290" i="45"/>
  <c r="AJ290" i="45"/>
  <c r="AI290" i="45"/>
  <c r="AH290" i="45"/>
  <c r="AG290" i="45"/>
  <c r="AF290" i="45"/>
  <c r="AE290" i="45"/>
  <c r="AD290" i="45"/>
  <c r="AC290" i="45"/>
  <c r="AB290" i="45"/>
  <c r="AA290" i="45"/>
  <c r="Z290" i="45"/>
  <c r="Y290" i="45"/>
  <c r="X290" i="45"/>
  <c r="W290" i="45"/>
  <c r="V290" i="45"/>
  <c r="U290" i="45"/>
  <c r="T290" i="45"/>
  <c r="S290" i="45"/>
  <c r="R290" i="45"/>
  <c r="Q290" i="45"/>
  <c r="P290" i="45"/>
  <c r="O290" i="45"/>
  <c r="N290" i="45"/>
  <c r="M290" i="45"/>
  <c r="L290" i="45"/>
  <c r="K290" i="45"/>
  <c r="J290" i="45"/>
  <c r="I290" i="45"/>
  <c r="H290" i="45"/>
  <c r="G290" i="45"/>
  <c r="AN278" i="45"/>
  <c r="AM278" i="45"/>
  <c r="AL278" i="45"/>
  <c r="AK278" i="45"/>
  <c r="AJ278" i="45"/>
  <c r="AI278" i="45"/>
  <c r="AH278" i="45"/>
  <c r="AG278" i="45"/>
  <c r="AF278" i="45"/>
  <c r="AE278" i="45"/>
  <c r="AD278" i="45"/>
  <c r="AC278" i="45"/>
  <c r="AB278" i="45"/>
  <c r="AA278" i="45"/>
  <c r="Z278" i="45"/>
  <c r="Y278" i="45"/>
  <c r="X278" i="45"/>
  <c r="W278" i="45"/>
  <c r="V278" i="45"/>
  <c r="U278" i="45"/>
  <c r="T278" i="45"/>
  <c r="S278" i="45"/>
  <c r="R278" i="45"/>
  <c r="Q278" i="45"/>
  <c r="P278" i="45"/>
  <c r="O278" i="45"/>
  <c r="N278" i="45"/>
  <c r="M278" i="45"/>
  <c r="L278" i="45"/>
  <c r="K278" i="45"/>
  <c r="J278" i="45"/>
  <c r="I278" i="45"/>
  <c r="H278" i="45"/>
  <c r="G278" i="45"/>
  <c r="AN271" i="45"/>
  <c r="AM271" i="45"/>
  <c r="AL271" i="45"/>
  <c r="AK271" i="45"/>
  <c r="AJ271" i="45"/>
  <c r="AI271" i="45"/>
  <c r="AH271" i="45"/>
  <c r="AG271" i="45"/>
  <c r="AF271" i="45"/>
  <c r="AE271" i="45"/>
  <c r="AD271" i="45"/>
  <c r="AC271" i="45"/>
  <c r="AB271" i="45"/>
  <c r="AA271" i="45"/>
  <c r="Z271" i="45"/>
  <c r="Y271" i="45"/>
  <c r="X271" i="45"/>
  <c r="W271" i="45"/>
  <c r="V271" i="45"/>
  <c r="U271" i="45"/>
  <c r="T271" i="45"/>
  <c r="S271" i="45"/>
  <c r="R271" i="45"/>
  <c r="Q271" i="45"/>
  <c r="P271" i="45"/>
  <c r="O271" i="45"/>
  <c r="N271" i="45"/>
  <c r="M271" i="45"/>
  <c r="L271" i="45"/>
  <c r="K271" i="45"/>
  <c r="J271" i="45"/>
  <c r="I271" i="45"/>
  <c r="H271" i="45"/>
  <c r="G271" i="45"/>
  <c r="AX264" i="45"/>
  <c r="AX310" i="45" s="1"/>
  <c r="AW310" i="45"/>
  <c r="AV264" i="45"/>
  <c r="AV310" i="45" s="1"/>
  <c r="AU264" i="45"/>
  <c r="AU310" i="45" s="1"/>
  <c r="AT264" i="45"/>
  <c r="AT310" i="45" s="1"/>
  <c r="AS264" i="45"/>
  <c r="AS310" i="45" s="1"/>
  <c r="AR264" i="45"/>
  <c r="AR310" i="45" s="1"/>
  <c r="AQ264" i="45"/>
  <c r="AQ310" i="45" s="1"/>
  <c r="AN264" i="45"/>
  <c r="AM264" i="45"/>
  <c r="AM310" i="45" s="1"/>
  <c r="AL264" i="45"/>
  <c r="AK264" i="45"/>
  <c r="AJ264" i="45"/>
  <c r="AJ310" i="45" s="1"/>
  <c r="AI264" i="45"/>
  <c r="AI310" i="45" s="1"/>
  <c r="AH264" i="45"/>
  <c r="AG264" i="45"/>
  <c r="AF264" i="45"/>
  <c r="AE264" i="45"/>
  <c r="AE310" i="45" s="1"/>
  <c r="AD264" i="45"/>
  <c r="AC264" i="45"/>
  <c r="AB264" i="45"/>
  <c r="AB310" i="45" s="1"/>
  <c r="AA264" i="45"/>
  <c r="AA310" i="45" s="1"/>
  <c r="Z264" i="45"/>
  <c r="Y264" i="45"/>
  <c r="X264" i="45"/>
  <c r="W264" i="45"/>
  <c r="W310" i="45" s="1"/>
  <c r="V264" i="45"/>
  <c r="U264" i="45"/>
  <c r="T264" i="45"/>
  <c r="T310" i="45" s="1"/>
  <c r="S264" i="45"/>
  <c r="S310" i="45" s="1"/>
  <c r="R264" i="45"/>
  <c r="Q264" i="45"/>
  <c r="P264" i="45"/>
  <c r="O264" i="45"/>
  <c r="O310" i="45" s="1"/>
  <c r="N264" i="45"/>
  <c r="M264" i="45"/>
  <c r="L264" i="45"/>
  <c r="L310" i="45" s="1"/>
  <c r="K264" i="45"/>
  <c r="K310" i="45" s="1"/>
  <c r="J264" i="45"/>
  <c r="I264" i="45"/>
  <c r="H264" i="45"/>
  <c r="G264" i="45"/>
  <c r="G310" i="45" s="1"/>
  <c r="AO264" i="45"/>
  <c r="AO310" i="45" s="1"/>
  <c r="M310" i="45" l="1"/>
  <c r="U310" i="45"/>
  <c r="AC310" i="45"/>
  <c r="AK310" i="45"/>
  <c r="N310" i="45"/>
  <c r="V310" i="45"/>
  <c r="AD310" i="45"/>
  <c r="AL310" i="45"/>
  <c r="H310" i="45"/>
  <c r="P310" i="45"/>
  <c r="AF310" i="45"/>
  <c r="I310" i="45"/>
  <c r="Q310" i="45"/>
  <c r="Y310" i="45"/>
  <c r="AG310" i="45"/>
  <c r="X310" i="45"/>
  <c r="AN310" i="45"/>
  <c r="J310" i="45"/>
  <c r="R310" i="45"/>
  <c r="Z310" i="45"/>
  <c r="AH310" i="45"/>
  <c r="E302" i="45"/>
  <c r="CR45" i="58"/>
  <c r="CH45" i="58" s="1"/>
  <c r="CS45" i="58"/>
  <c r="CI45" i="58" s="1"/>
  <c r="CM45" i="58"/>
  <c r="CC45" i="58" s="1"/>
  <c r="CR53" i="58"/>
  <c r="CH53" i="58" s="1"/>
  <c r="CS53" i="58"/>
  <c r="CI53" i="58" s="1"/>
  <c r="CM53" i="58"/>
  <c r="CC53" i="58" s="1"/>
  <c r="CR61" i="58"/>
  <c r="CH61" i="58" s="1"/>
  <c r="CS61" i="58"/>
  <c r="CI61" i="58" s="1"/>
  <c r="CM61" i="58"/>
  <c r="CC61" i="58" s="1"/>
  <c r="CR69" i="58"/>
  <c r="CH69" i="58" s="1"/>
  <c r="CM69" i="58"/>
  <c r="CC69" i="58" s="1"/>
  <c r="CS69" i="58"/>
  <c r="CI69" i="58" s="1"/>
  <c r="CR77" i="58"/>
  <c r="CH77" i="58" s="1"/>
  <c r="CS77" i="58"/>
  <c r="CI77" i="58" s="1"/>
  <c r="CM77" i="58"/>
  <c r="CC77" i="58" s="1"/>
  <c r="CR85" i="58"/>
  <c r="CH85" i="58" s="1"/>
  <c r="CS85" i="58"/>
  <c r="CI85" i="58" s="1"/>
  <c r="CM85" i="58"/>
  <c r="CC85" i="58" s="1"/>
  <c r="CR93" i="58"/>
  <c r="CH93" i="58" s="1"/>
  <c r="CS93" i="58"/>
  <c r="CI93" i="58" s="1"/>
  <c r="CM93" i="58"/>
  <c r="CC93" i="58" s="1"/>
  <c r="CM92" i="58"/>
  <c r="CC92" i="58" s="1"/>
  <c r="CS92" i="58"/>
  <c r="CI92" i="58" s="1"/>
  <c r="CR92" i="58"/>
  <c r="CH92" i="58" s="1"/>
  <c r="CS38" i="58"/>
  <c r="CI38" i="58" s="1"/>
  <c r="CR38" i="58"/>
  <c r="CH38" i="58" s="1"/>
  <c r="CM38" i="58"/>
  <c r="CC38" i="58" s="1"/>
  <c r="CS46" i="58"/>
  <c r="CI46" i="58" s="1"/>
  <c r="CR46" i="58"/>
  <c r="CH46" i="58" s="1"/>
  <c r="CM46" i="58"/>
  <c r="CC46" i="58" s="1"/>
  <c r="CS54" i="58"/>
  <c r="CI54" i="58" s="1"/>
  <c r="CR54" i="58"/>
  <c r="CH54" i="58" s="1"/>
  <c r="CM54" i="58"/>
  <c r="CC54" i="58" s="1"/>
  <c r="CS62" i="58"/>
  <c r="CI62" i="58" s="1"/>
  <c r="CR62" i="58"/>
  <c r="CH62" i="58" s="1"/>
  <c r="CM62" i="58"/>
  <c r="CC62" i="58" s="1"/>
  <c r="CS70" i="58"/>
  <c r="CI70" i="58" s="1"/>
  <c r="CR70" i="58"/>
  <c r="CH70" i="58" s="1"/>
  <c r="CM70" i="58"/>
  <c r="CC70" i="58" s="1"/>
  <c r="CS78" i="58"/>
  <c r="CI78" i="58" s="1"/>
  <c r="CR78" i="58"/>
  <c r="CH78" i="58" s="1"/>
  <c r="CM78" i="58"/>
  <c r="CC78" i="58" s="1"/>
  <c r="CS86" i="58"/>
  <c r="CI86" i="58" s="1"/>
  <c r="CR86" i="58"/>
  <c r="CH86" i="58" s="1"/>
  <c r="CM86" i="58"/>
  <c r="CC86" i="58" s="1"/>
  <c r="CS94" i="58"/>
  <c r="CI94" i="58" s="1"/>
  <c r="CR94" i="58"/>
  <c r="CH94" i="58" s="1"/>
  <c r="CM94" i="58"/>
  <c r="CC94" i="58" s="1"/>
  <c r="CS68" i="58"/>
  <c r="CI68" i="58" s="1"/>
  <c r="CR68" i="58"/>
  <c r="CH68" i="58" s="1"/>
  <c r="CM68" i="58"/>
  <c r="CC68" i="58" s="1"/>
  <c r="CS39" i="58"/>
  <c r="CI39" i="58" s="1"/>
  <c r="CR39" i="58"/>
  <c r="CH39" i="58" s="1"/>
  <c r="CM39" i="58"/>
  <c r="CC39" i="58" s="1"/>
  <c r="CS47" i="58"/>
  <c r="CI47" i="58" s="1"/>
  <c r="CR47" i="58"/>
  <c r="CH47" i="58" s="1"/>
  <c r="CM47" i="58"/>
  <c r="CC47" i="58" s="1"/>
  <c r="CS55" i="58"/>
  <c r="CI55" i="58" s="1"/>
  <c r="CR55" i="58"/>
  <c r="CH55" i="58" s="1"/>
  <c r="CM55" i="58"/>
  <c r="CC55" i="58" s="1"/>
  <c r="CS63" i="58"/>
  <c r="CI63" i="58" s="1"/>
  <c r="CR63" i="58"/>
  <c r="CH63" i="58" s="1"/>
  <c r="CM63" i="58"/>
  <c r="CC63" i="58" s="1"/>
  <c r="CS71" i="58"/>
  <c r="CI71" i="58" s="1"/>
  <c r="CR71" i="58"/>
  <c r="CH71" i="58" s="1"/>
  <c r="CM71" i="58"/>
  <c r="CC71" i="58" s="1"/>
  <c r="CS79" i="58"/>
  <c r="CI79" i="58" s="1"/>
  <c r="CR79" i="58"/>
  <c r="CH79" i="58" s="1"/>
  <c r="CM79" i="58"/>
  <c r="CC79" i="58" s="1"/>
  <c r="CS87" i="58"/>
  <c r="CI87" i="58" s="1"/>
  <c r="CR87" i="58"/>
  <c r="CH87" i="58" s="1"/>
  <c r="CM87" i="58"/>
  <c r="CC87" i="58" s="1"/>
  <c r="CS95" i="58"/>
  <c r="CI95" i="58" s="1"/>
  <c r="CR95" i="58"/>
  <c r="CH95" i="58" s="1"/>
  <c r="CM95" i="58"/>
  <c r="CC95" i="58" s="1"/>
  <c r="CS84" i="58"/>
  <c r="CI84" i="58" s="1"/>
  <c r="CR84" i="58"/>
  <c r="CH84" i="58" s="1"/>
  <c r="CM84" i="58"/>
  <c r="CC84" i="58" s="1"/>
  <c r="CM40" i="58"/>
  <c r="CC40" i="58" s="1"/>
  <c r="CS40" i="58"/>
  <c r="CI40" i="58" s="1"/>
  <c r="CR40" i="58"/>
  <c r="CH40" i="58" s="1"/>
  <c r="CM48" i="58"/>
  <c r="CC48" i="58" s="1"/>
  <c r="CS48" i="58"/>
  <c r="CI48" i="58" s="1"/>
  <c r="CR48" i="58"/>
  <c r="CH48" i="58" s="1"/>
  <c r="CM56" i="58"/>
  <c r="CC56" i="58" s="1"/>
  <c r="CS56" i="58"/>
  <c r="CI56" i="58" s="1"/>
  <c r="CR56" i="58"/>
  <c r="CH56" i="58" s="1"/>
  <c r="CM64" i="58"/>
  <c r="CC64" i="58" s="1"/>
  <c r="CS64" i="58"/>
  <c r="CI64" i="58" s="1"/>
  <c r="CR64" i="58"/>
  <c r="CH64" i="58" s="1"/>
  <c r="CM72" i="58"/>
  <c r="CC72" i="58" s="1"/>
  <c r="CS72" i="58"/>
  <c r="CI72" i="58" s="1"/>
  <c r="CR72" i="58"/>
  <c r="CH72" i="58" s="1"/>
  <c r="CM80" i="58"/>
  <c r="CC80" i="58" s="1"/>
  <c r="CS80" i="58"/>
  <c r="CI80" i="58" s="1"/>
  <c r="CR80" i="58"/>
  <c r="CH80" i="58" s="1"/>
  <c r="CM88" i="58"/>
  <c r="CC88" i="58" s="1"/>
  <c r="CS88" i="58"/>
  <c r="CI88" i="58" s="1"/>
  <c r="CR88" i="58"/>
  <c r="CH88" i="58" s="1"/>
  <c r="CM96" i="58"/>
  <c r="CC96" i="58" s="1"/>
  <c r="CS96" i="58"/>
  <c r="CI96" i="58" s="1"/>
  <c r="CR96" i="58"/>
  <c r="CH96" i="58" s="1"/>
  <c r="CM44" i="58"/>
  <c r="CC44" i="58" s="1"/>
  <c r="CS44" i="58"/>
  <c r="CI44" i="58" s="1"/>
  <c r="CR44" i="58"/>
  <c r="CH44" i="58" s="1"/>
  <c r="CM60" i="58"/>
  <c r="CC60" i="58" s="1"/>
  <c r="CS60" i="58"/>
  <c r="CI60" i="58" s="1"/>
  <c r="CR60" i="58"/>
  <c r="CH60" i="58" s="1"/>
  <c r="CM41" i="58"/>
  <c r="CC41" i="58" s="1"/>
  <c r="CS41" i="58"/>
  <c r="CI41" i="58" s="1"/>
  <c r="CR41" i="58"/>
  <c r="CH41" i="58" s="1"/>
  <c r="CM49" i="58"/>
  <c r="CC49" i="58" s="1"/>
  <c r="CS49" i="58"/>
  <c r="CI49" i="58" s="1"/>
  <c r="CR49" i="58"/>
  <c r="CH49" i="58" s="1"/>
  <c r="CM57" i="58"/>
  <c r="CC57" i="58" s="1"/>
  <c r="CS57" i="58"/>
  <c r="CI57" i="58" s="1"/>
  <c r="CR57" i="58"/>
  <c r="CH57" i="58" s="1"/>
  <c r="CM65" i="58"/>
  <c r="CC65" i="58" s="1"/>
  <c r="CS65" i="58"/>
  <c r="CI65" i="58" s="1"/>
  <c r="CR65" i="58"/>
  <c r="CH65" i="58" s="1"/>
  <c r="CM73" i="58"/>
  <c r="CC73" i="58" s="1"/>
  <c r="CS73" i="58"/>
  <c r="CI73" i="58" s="1"/>
  <c r="CR73" i="58"/>
  <c r="CH73" i="58" s="1"/>
  <c r="CM81" i="58"/>
  <c r="CC81" i="58" s="1"/>
  <c r="CS81" i="58"/>
  <c r="CI81" i="58" s="1"/>
  <c r="CR81" i="58"/>
  <c r="CH81" i="58" s="1"/>
  <c r="CM89" i="58"/>
  <c r="CC89" i="58" s="1"/>
  <c r="CS89" i="58"/>
  <c r="CI89" i="58" s="1"/>
  <c r="CR89" i="58"/>
  <c r="CH89" i="58" s="1"/>
  <c r="CS52" i="58"/>
  <c r="CI52" i="58" s="1"/>
  <c r="CR52" i="58"/>
  <c r="CH52" i="58" s="1"/>
  <c r="CM52" i="58"/>
  <c r="CC52" i="58" s="1"/>
  <c r="CM42" i="58"/>
  <c r="CC42" i="58" s="1"/>
  <c r="CR42" i="58"/>
  <c r="CH42" i="58" s="1"/>
  <c r="CS42" i="58"/>
  <c r="CI42" i="58" s="1"/>
  <c r="CM50" i="58"/>
  <c r="CC50" i="58" s="1"/>
  <c r="CS50" i="58"/>
  <c r="CI50" i="58" s="1"/>
  <c r="CR50" i="58"/>
  <c r="CH50" i="58" s="1"/>
  <c r="CM58" i="58"/>
  <c r="CC58" i="58" s="1"/>
  <c r="CR58" i="58"/>
  <c r="CH58" i="58" s="1"/>
  <c r="CS58" i="58"/>
  <c r="CI58" i="58" s="1"/>
  <c r="CM66" i="58"/>
  <c r="CC66" i="58" s="1"/>
  <c r="CS66" i="58"/>
  <c r="CI66" i="58" s="1"/>
  <c r="CR66" i="58"/>
  <c r="CH66" i="58" s="1"/>
  <c r="CM74" i="58"/>
  <c r="CC74" i="58" s="1"/>
  <c r="CR74" i="58"/>
  <c r="CH74" i="58" s="1"/>
  <c r="CS74" i="58"/>
  <c r="CI74" i="58" s="1"/>
  <c r="CM82" i="58"/>
  <c r="CC82" i="58" s="1"/>
  <c r="CS82" i="58"/>
  <c r="CI82" i="58" s="1"/>
  <c r="CR82" i="58"/>
  <c r="CH82" i="58" s="1"/>
  <c r="CM90" i="58"/>
  <c r="CC90" i="58" s="1"/>
  <c r="CR90" i="58"/>
  <c r="CH90" i="58" s="1"/>
  <c r="CS90" i="58"/>
  <c r="CI90" i="58" s="1"/>
  <c r="CM76" i="58"/>
  <c r="CC76" i="58" s="1"/>
  <c r="CS76" i="58"/>
  <c r="CI76" i="58" s="1"/>
  <c r="CR76" i="58"/>
  <c r="CH76" i="58" s="1"/>
  <c r="CM43" i="58"/>
  <c r="CC43" i="58" s="1"/>
  <c r="CS43" i="58"/>
  <c r="CI43" i="58" s="1"/>
  <c r="CR43" i="58"/>
  <c r="CH43" i="58" s="1"/>
  <c r="CM51" i="58"/>
  <c r="CC51" i="58" s="1"/>
  <c r="CR51" i="58"/>
  <c r="CH51" i="58" s="1"/>
  <c r="CS51" i="58"/>
  <c r="CI51" i="58" s="1"/>
  <c r="CM59" i="58"/>
  <c r="CC59" i="58" s="1"/>
  <c r="CS59" i="58"/>
  <c r="CI59" i="58" s="1"/>
  <c r="CR59" i="58"/>
  <c r="CH59" i="58" s="1"/>
  <c r="CM67" i="58"/>
  <c r="CC67" i="58" s="1"/>
  <c r="CR67" i="58"/>
  <c r="CH67" i="58" s="1"/>
  <c r="CS67" i="58"/>
  <c r="CI67" i="58" s="1"/>
  <c r="CM75" i="58"/>
  <c r="CC75" i="58" s="1"/>
  <c r="CS75" i="58"/>
  <c r="CI75" i="58" s="1"/>
  <c r="CR75" i="58"/>
  <c r="CH75" i="58" s="1"/>
  <c r="CM83" i="58"/>
  <c r="CC83" i="58" s="1"/>
  <c r="CR83" i="58"/>
  <c r="CH83" i="58" s="1"/>
  <c r="CS83" i="58"/>
  <c r="CI83" i="58" s="1"/>
  <c r="CM91" i="58"/>
  <c r="CC91" i="58" s="1"/>
  <c r="CS91" i="58"/>
  <c r="CI91" i="58" s="1"/>
  <c r="CR91" i="58"/>
  <c r="CH91" i="58" s="1"/>
  <c r="D27" i="58"/>
  <c r="E27" i="58"/>
  <c r="F309" i="45"/>
  <c r="E309" i="45"/>
  <c r="E290" i="45"/>
  <c r="F264" i="45"/>
  <c r="F290" i="45"/>
  <c r="E278" i="45"/>
  <c r="E264" i="45"/>
  <c r="F271" i="45"/>
  <c r="AP264" i="45"/>
  <c r="AP310" i="45" s="1"/>
  <c r="E271" i="45"/>
  <c r="F302" i="45"/>
  <c r="F278" i="45"/>
  <c r="AS84" i="58" l="1"/>
  <c r="AS39" i="58"/>
  <c r="AS46" i="58"/>
  <c r="AS53" i="58"/>
  <c r="AS79" i="58"/>
  <c r="AS67" i="58"/>
  <c r="AS51" i="58"/>
  <c r="AS50" i="58"/>
  <c r="AS49" i="58"/>
  <c r="AS64" i="58"/>
  <c r="AS87" i="58"/>
  <c r="AS94" i="58"/>
  <c r="D264" i="45"/>
  <c r="AS95" i="58"/>
  <c r="AS68" i="58"/>
  <c r="AS38" i="58"/>
  <c r="AS69" i="58"/>
  <c r="AS45" i="58"/>
  <c r="AS91" i="58"/>
  <c r="AS90" i="58"/>
  <c r="AS89" i="58"/>
  <c r="AS44" i="58"/>
  <c r="AS40" i="58"/>
  <c r="AS63" i="58"/>
  <c r="AS70" i="58"/>
  <c r="AS77" i="58"/>
  <c r="AS65" i="58"/>
  <c r="AS80" i="58"/>
  <c r="AS92" i="58"/>
  <c r="AS41" i="58"/>
  <c r="AS56" i="58"/>
  <c r="AS86" i="58"/>
  <c r="AS93" i="58"/>
  <c r="AS42" i="58"/>
  <c r="CN25" i="58"/>
  <c r="CD25" i="58" s="1"/>
  <c r="CO25" i="58"/>
  <c r="CE25" i="58" s="1"/>
  <c r="CM25" i="58"/>
  <c r="CC25" i="58" s="1"/>
  <c r="CL25" i="58"/>
  <c r="CB25" i="58" s="1"/>
  <c r="AS83" i="58"/>
  <c r="AS82" i="58"/>
  <c r="AS52" i="58"/>
  <c r="AS81" i="58"/>
  <c r="AS96" i="58"/>
  <c r="AS55" i="58"/>
  <c r="AS62" i="58"/>
  <c r="AS66" i="58"/>
  <c r="AS59" i="58"/>
  <c r="AS58" i="58"/>
  <c r="AS57" i="58"/>
  <c r="AS72" i="58"/>
  <c r="AS43" i="58"/>
  <c r="AS60" i="58"/>
  <c r="AS48" i="58"/>
  <c r="AS71" i="58"/>
  <c r="AS78" i="58"/>
  <c r="AS85" i="58"/>
  <c r="CM24" i="58"/>
  <c r="CC24" i="58" s="1"/>
  <c r="CL24" i="58"/>
  <c r="CB24" i="58" s="1"/>
  <c r="CO24" i="58"/>
  <c r="CE24" i="58" s="1"/>
  <c r="CN24" i="58"/>
  <c r="CD24" i="58" s="1"/>
  <c r="CM26" i="58"/>
  <c r="CC26" i="58" s="1"/>
  <c r="CO26" i="58"/>
  <c r="CE26" i="58" s="1"/>
  <c r="CN26" i="58"/>
  <c r="CD26" i="58" s="1"/>
  <c r="CL26" i="58"/>
  <c r="CB26" i="58" s="1"/>
  <c r="AS76" i="58"/>
  <c r="AS75" i="58"/>
  <c r="AS74" i="58"/>
  <c r="AS73" i="58"/>
  <c r="AS88" i="58"/>
  <c r="AS47" i="58"/>
  <c r="AS54" i="58"/>
  <c r="AS61" i="58"/>
  <c r="D290" i="45"/>
  <c r="D309" i="45"/>
  <c r="D278" i="45"/>
  <c r="D271" i="45"/>
  <c r="F310" i="45"/>
  <c r="D302" i="45"/>
  <c r="E310" i="45"/>
  <c r="B5" i="59"/>
  <c r="B4" i="59"/>
  <c r="B3" i="59"/>
  <c r="B2" i="59"/>
  <c r="N25" i="58" l="1"/>
  <c r="N26" i="58"/>
  <c r="N24" i="58"/>
  <c r="D310" i="45"/>
  <c r="AK97" i="58"/>
  <c r="AF13" i="48" l="1"/>
  <c r="AE13" i="48"/>
  <c r="AD13" i="48" l="1"/>
  <c r="T70" i="43" l="1"/>
  <c r="F89" i="40" l="1"/>
  <c r="E89" i="40"/>
  <c r="D89" i="40"/>
  <c r="B5" i="40"/>
  <c r="B4" i="40"/>
  <c r="B3" i="40"/>
  <c r="B2" i="40"/>
  <c r="AV23" i="46"/>
  <c r="G23" i="46"/>
  <c r="E33" i="46"/>
  <c r="D33" i="46"/>
  <c r="D39" i="46"/>
  <c r="E39" i="46"/>
  <c r="G104" i="46"/>
  <c r="F104" i="46"/>
  <c r="E104" i="46"/>
  <c r="D104" i="46"/>
  <c r="C104" i="46"/>
  <c r="G134" i="46"/>
  <c r="C39" i="46" l="1"/>
  <c r="F12" i="32"/>
  <c r="D58" i="32"/>
  <c r="D107" i="32"/>
  <c r="CE23" i="38"/>
  <c r="CE22" i="38"/>
  <c r="CE21" i="38"/>
  <c r="CE20" i="38"/>
  <c r="N61" i="49"/>
  <c r="M61" i="49"/>
  <c r="DC193" i="40" l="1"/>
  <c r="CC193" i="40" s="1"/>
  <c r="DB193" i="40"/>
  <c r="CB193" i="40" s="1"/>
  <c r="C55" i="32"/>
  <c r="DE52" i="46"/>
  <c r="CE52" i="46" s="1"/>
  <c r="DD52" i="46"/>
  <c r="CD52" i="46" s="1"/>
  <c r="DC52" i="46"/>
  <c r="CC52" i="46" s="1"/>
  <c r="DB52" i="46"/>
  <c r="CB52" i="46" s="1"/>
  <c r="C58" i="32"/>
  <c r="DD131" i="46"/>
  <c r="CD131" i="46" s="1"/>
  <c r="DC131" i="46"/>
  <c r="CC131" i="46" s="1"/>
  <c r="DB131" i="46"/>
  <c r="DG131" i="46"/>
  <c r="CG131" i="46" s="1"/>
  <c r="DF131" i="46"/>
  <c r="CF131" i="46" s="1"/>
  <c r="DE131" i="46"/>
  <c r="CE131" i="46" s="1"/>
  <c r="DD57" i="46"/>
  <c r="CD57" i="46" s="1"/>
  <c r="DB57" i="46"/>
  <c r="CB57" i="46" s="1"/>
  <c r="DC57" i="46"/>
  <c r="CC57" i="46" s="1"/>
  <c r="DC51" i="46"/>
  <c r="CC51" i="46" s="1"/>
  <c r="DE51" i="46"/>
  <c r="CE51" i="46" s="1"/>
  <c r="DB51" i="46"/>
  <c r="CB51" i="46" s="1"/>
  <c r="DD51" i="46"/>
  <c r="CD51" i="46" s="1"/>
  <c r="E12" i="32"/>
  <c r="AP193" i="40" l="1"/>
  <c r="AQ57" i="46"/>
  <c r="AT12" i="32"/>
  <c r="AQ134" i="46" l="1"/>
  <c r="AV33" i="46"/>
  <c r="AQ23" i="46"/>
  <c r="AS12" i="32"/>
  <c r="AH206" i="45"/>
  <c r="AG206" i="45"/>
  <c r="AS158" i="58" l="1"/>
  <c r="AS147" i="58"/>
  <c r="AA19" i="58"/>
  <c r="AF48" i="31"/>
  <c r="G11" i="51"/>
  <c r="F11" i="51"/>
  <c r="E11" i="51"/>
  <c r="D11" i="51"/>
  <c r="H75" i="38"/>
  <c r="AU33" i="46"/>
  <c r="AR33" i="46"/>
  <c r="AQ33" i="46"/>
  <c r="M90" i="50" l="1"/>
  <c r="L90" i="50"/>
  <c r="AH17" i="50"/>
  <c r="Y17" i="50"/>
  <c r="J17" i="50"/>
  <c r="I17" i="50"/>
  <c r="CH81" i="31"/>
  <c r="CH30" i="48"/>
  <c r="G107" i="32"/>
  <c r="F107" i="32"/>
  <c r="E107" i="32"/>
  <c r="C107" i="32" s="1"/>
  <c r="H125" i="50" l="1"/>
  <c r="G125" i="50"/>
  <c r="H90" i="50"/>
  <c r="G90" i="50"/>
  <c r="H17" i="50"/>
  <c r="G17" i="50"/>
  <c r="AQ97" i="58" l="1"/>
  <c r="AP97" i="58"/>
  <c r="B5" i="8" l="1"/>
  <c r="B4" i="8"/>
  <c r="B3" i="8"/>
  <c r="B2" i="8"/>
  <c r="D125" i="50"/>
  <c r="E125" i="50"/>
  <c r="F125" i="50"/>
  <c r="U125" i="58" l="1"/>
  <c r="X119" i="58"/>
  <c r="L61" i="49"/>
  <c r="R173" i="39" l="1"/>
  <c r="Q173" i="39"/>
  <c r="S165" i="39"/>
  <c r="R165" i="39"/>
  <c r="S160" i="39"/>
  <c r="R160" i="39"/>
  <c r="P152" i="39"/>
  <c r="O152" i="39"/>
  <c r="P147" i="39"/>
  <c r="O147" i="39"/>
  <c r="Y58" i="32"/>
  <c r="X58" i="32"/>
  <c r="Y55" i="32"/>
  <c r="X55" i="32"/>
  <c r="P153" i="39" l="1"/>
  <c r="S166" i="39"/>
  <c r="O153" i="39"/>
  <c r="R166" i="39"/>
  <c r="AJ206" i="45"/>
  <c r="AI206" i="45"/>
  <c r="AH21" i="51"/>
  <c r="M75" i="38"/>
  <c r="L75" i="38"/>
  <c r="G75" i="38"/>
  <c r="J75" i="38"/>
  <c r="K75" i="38"/>
  <c r="Q119" i="49"/>
  <c r="P119" i="49"/>
  <c r="O119" i="49"/>
  <c r="N119" i="49"/>
  <c r="M119" i="49"/>
  <c r="L119" i="49"/>
  <c r="K119" i="49"/>
  <c r="J119" i="49"/>
  <c r="I119" i="49"/>
  <c r="H119" i="49"/>
  <c r="G119" i="49"/>
  <c r="F119" i="49"/>
  <c r="E119" i="49"/>
  <c r="CB118" i="49"/>
  <c r="W118" i="49" s="1"/>
  <c r="CB117" i="49"/>
  <c r="W117" i="49" s="1"/>
  <c r="CB116" i="49"/>
  <c r="W116" i="49" s="1"/>
  <c r="CB115" i="49"/>
  <c r="W115" i="49" s="1"/>
  <c r="CB114" i="49"/>
  <c r="W114" i="49" s="1"/>
  <c r="CB113" i="49"/>
  <c r="W113" i="49" s="1"/>
  <c r="CB112" i="49"/>
  <c r="W112" i="49" s="1"/>
  <c r="CB111" i="49"/>
  <c r="W111" i="49" s="1"/>
  <c r="CB110" i="49"/>
  <c r="W110" i="49" s="1"/>
  <c r="CB108" i="49"/>
  <c r="W108" i="49" s="1"/>
  <c r="CB107" i="49"/>
  <c r="W107" i="49" s="1"/>
  <c r="CB106" i="49"/>
  <c r="W106" i="49" s="1"/>
  <c r="CB105" i="49"/>
  <c r="W105" i="49" s="1"/>
  <c r="Z19" i="58"/>
  <c r="Y19" i="58"/>
  <c r="C119" i="49" l="1"/>
  <c r="I75" i="38"/>
  <c r="AE48" i="31"/>
  <c r="AD48" i="31"/>
  <c r="E222" i="58" l="1"/>
  <c r="D222" i="58"/>
  <c r="E221" i="58"/>
  <c r="D221" i="58"/>
  <c r="C222" i="58" l="1"/>
  <c r="C221" i="58"/>
  <c r="C220" i="58"/>
  <c r="DB33" i="49" l="1"/>
  <c r="CB33" i="49" s="1"/>
  <c r="R33" i="49" s="1"/>
  <c r="AC13" i="48" l="1"/>
  <c r="N125" i="58" l="1"/>
  <c r="H189" i="45"/>
  <c r="I189" i="45"/>
  <c r="J189" i="45"/>
  <c r="K189" i="45"/>
  <c r="L189" i="45"/>
  <c r="M189" i="45"/>
  <c r="N189" i="45"/>
  <c r="O189" i="45"/>
  <c r="P189" i="45"/>
  <c r="Q189" i="45"/>
  <c r="R189" i="45"/>
  <c r="G189" i="45"/>
  <c r="AP33" i="46" l="1"/>
  <c r="AO33" i="46"/>
  <c r="AN33" i="46"/>
  <c r="AM33" i="46"/>
  <c r="AL33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DW228" i="52" l="1"/>
  <c r="CW228" i="52"/>
  <c r="DV228" i="52"/>
  <c r="CV228" i="52"/>
  <c r="DU228" i="52"/>
  <c r="CU228" i="52"/>
  <c r="DT228" i="52"/>
  <c r="CT228" i="52"/>
  <c r="DS228" i="52"/>
  <c r="CS228" i="52"/>
  <c r="DR228" i="52"/>
  <c r="CR228" i="52"/>
  <c r="DQ228" i="52"/>
  <c r="CQ228" i="52"/>
  <c r="DP228" i="52"/>
  <c r="CP228" i="52"/>
  <c r="DO228" i="52"/>
  <c r="CO228" i="52"/>
  <c r="DN228" i="52"/>
  <c r="CN228" i="52"/>
  <c r="DM228" i="52"/>
  <c r="CM228" i="52"/>
  <c r="DL228" i="52"/>
  <c r="CL228" i="52"/>
  <c r="DK228" i="52"/>
  <c r="CK228" i="52"/>
  <c r="DJ228" i="52"/>
  <c r="CJ228" i="52"/>
  <c r="DI228" i="52"/>
  <c r="CI228" i="52"/>
  <c r="DH228" i="52"/>
  <c r="CH228" i="52"/>
  <c r="DG228" i="52"/>
  <c r="CG228" i="52"/>
  <c r="DW227" i="52"/>
  <c r="CW227" i="52"/>
  <c r="DV227" i="52"/>
  <c r="CV227" i="52"/>
  <c r="DU227" i="52"/>
  <c r="CU227" i="52"/>
  <c r="DT227" i="52"/>
  <c r="CT227" i="52"/>
  <c r="DS227" i="52"/>
  <c r="CS227" i="52"/>
  <c r="DR227" i="52"/>
  <c r="CR227" i="52"/>
  <c r="DQ227" i="52"/>
  <c r="CQ227" i="52"/>
  <c r="DP227" i="52"/>
  <c r="CP227" i="52"/>
  <c r="DO227" i="52"/>
  <c r="CO227" i="52"/>
  <c r="DN227" i="52"/>
  <c r="CN227" i="52"/>
  <c r="DM227" i="52"/>
  <c r="CM227" i="52"/>
  <c r="DL227" i="52"/>
  <c r="CL227" i="52"/>
  <c r="DK227" i="52"/>
  <c r="CK227" i="52"/>
  <c r="DJ227" i="52"/>
  <c r="CJ227" i="52"/>
  <c r="DI227" i="52"/>
  <c r="CI227" i="52"/>
  <c r="DH227" i="52"/>
  <c r="CH227" i="52"/>
  <c r="DG227" i="52"/>
  <c r="CG227" i="52"/>
  <c r="I4" i="27" l="1"/>
  <c r="AG4" i="27" s="1"/>
  <c r="CQ37" i="58" l="1"/>
  <c r="CG37" i="58" s="1"/>
  <c r="CP37" i="58"/>
  <c r="CF37" i="58" s="1"/>
  <c r="CP64" i="44"/>
  <c r="CH132" i="31" l="1"/>
  <c r="CB132" i="31" s="1"/>
  <c r="CI132" i="31"/>
  <c r="CC132" i="31" s="1"/>
  <c r="CJ132" i="31"/>
  <c r="CD132" i="31" s="1"/>
  <c r="CK132" i="31"/>
  <c r="CE132" i="31" s="1"/>
  <c r="J132" i="31" l="1"/>
  <c r="CB96" i="57"/>
  <c r="CC96" i="57"/>
  <c r="CC95" i="57"/>
  <c r="CB95" i="57"/>
  <c r="CH96" i="57"/>
  <c r="CI96" i="57"/>
  <c r="CI95" i="57"/>
  <c r="CH95" i="57"/>
  <c r="CB92" i="57"/>
  <c r="CC92" i="57"/>
  <c r="CH92" i="57"/>
  <c r="CI92" i="57"/>
  <c r="CI91" i="57"/>
  <c r="CH91" i="57"/>
  <c r="CC91" i="57"/>
  <c r="CB91" i="57"/>
  <c r="CC59" i="57"/>
  <c r="CC58" i="57"/>
  <c r="CC57" i="57"/>
  <c r="CC56" i="57"/>
  <c r="CC53" i="57"/>
  <c r="CC52" i="57"/>
  <c r="CC51" i="57"/>
  <c r="CC50" i="57"/>
  <c r="CC36" i="57"/>
  <c r="CC35" i="57"/>
  <c r="CC23" i="57"/>
  <c r="CC22" i="57"/>
  <c r="CI59" i="57"/>
  <c r="CH59" i="57"/>
  <c r="CB59" i="57"/>
  <c r="CI58" i="57"/>
  <c r="CH58" i="57"/>
  <c r="CB58" i="57"/>
  <c r="F58" i="57" s="1"/>
  <c r="CI57" i="57"/>
  <c r="CH57" i="57"/>
  <c r="CB57" i="57"/>
  <c r="CI56" i="57"/>
  <c r="CH56" i="57"/>
  <c r="CB56" i="57"/>
  <c r="CB51" i="57"/>
  <c r="CH51" i="57"/>
  <c r="CI51" i="57"/>
  <c r="CB52" i="57"/>
  <c r="CH52" i="57"/>
  <c r="CI52" i="57"/>
  <c r="CB53" i="57"/>
  <c r="CH53" i="57"/>
  <c r="CI53" i="57"/>
  <c r="CI50" i="57"/>
  <c r="CH50" i="57"/>
  <c r="CB50" i="57"/>
  <c r="CB36" i="57"/>
  <c r="CH36" i="57"/>
  <c r="CI36" i="57"/>
  <c r="CI35" i="57"/>
  <c r="CH35" i="57"/>
  <c r="CB35" i="57"/>
  <c r="CH23" i="57"/>
  <c r="CI23" i="57"/>
  <c r="CB23" i="57"/>
  <c r="CB22" i="57"/>
  <c r="CI22" i="57"/>
  <c r="CH22" i="57"/>
  <c r="CC14" i="57"/>
  <c r="CC17" i="57"/>
  <c r="CB14" i="57"/>
  <c r="CB17" i="57"/>
  <c r="CC66" i="57"/>
  <c r="CC69" i="57"/>
  <c r="CC72" i="57"/>
  <c r="CC63" i="57"/>
  <c r="CB66" i="57"/>
  <c r="CB69" i="57"/>
  <c r="CB72" i="57"/>
  <c r="CB63" i="57"/>
  <c r="CB81" i="57"/>
  <c r="CC81" i="57"/>
  <c r="CH81" i="57"/>
  <c r="CI81" i="57"/>
  <c r="CB85" i="57"/>
  <c r="CC85" i="57"/>
  <c r="CH85" i="57"/>
  <c r="CI85" i="57"/>
  <c r="CC77" i="57"/>
  <c r="CB77" i="57"/>
  <c r="CI77" i="57"/>
  <c r="CH77" i="57"/>
  <c r="CH66" i="57"/>
  <c r="CI66" i="57"/>
  <c r="CH69" i="57"/>
  <c r="CI69" i="57"/>
  <c r="CH72" i="57"/>
  <c r="CI72" i="57"/>
  <c r="CI63" i="57"/>
  <c r="CH63" i="57"/>
  <c r="CH14" i="57"/>
  <c r="CI14" i="57"/>
  <c r="CH17" i="57"/>
  <c r="CI17" i="57"/>
  <c r="F23" i="57" l="1"/>
  <c r="F36" i="57"/>
  <c r="F35" i="57"/>
  <c r="F51" i="57"/>
  <c r="F57" i="57"/>
  <c r="F50" i="57"/>
  <c r="F56" i="57"/>
  <c r="F96" i="57"/>
  <c r="F95" i="57"/>
  <c r="F92" i="57"/>
  <c r="F91" i="57"/>
  <c r="F52" i="57"/>
  <c r="F53" i="57"/>
  <c r="F59" i="57"/>
  <c r="F22" i="57"/>
  <c r="CG236" i="52"/>
  <c r="DG236" i="52"/>
  <c r="DH236" i="52"/>
  <c r="CH236" i="52" s="1"/>
  <c r="DI236" i="52"/>
  <c r="CI236" i="52" s="1"/>
  <c r="DJ236" i="52"/>
  <c r="CJ236" i="52" s="1"/>
  <c r="DK236" i="52"/>
  <c r="CK236" i="52" s="1"/>
  <c r="DL236" i="52"/>
  <c r="CL236" i="52" s="1"/>
  <c r="DM236" i="52"/>
  <c r="CM236" i="52" s="1"/>
  <c r="DN236" i="52"/>
  <c r="CN236" i="52" s="1"/>
  <c r="DO236" i="52"/>
  <c r="CO236" i="52" s="1"/>
  <c r="DP236" i="52"/>
  <c r="CP236" i="52" s="1"/>
  <c r="DQ236" i="52"/>
  <c r="CQ236" i="52" s="1"/>
  <c r="DR236" i="52"/>
  <c r="CR236" i="52" s="1"/>
  <c r="DS236" i="52"/>
  <c r="CS236" i="52" s="1"/>
  <c r="DT236" i="52"/>
  <c r="CT236" i="52" s="1"/>
  <c r="DU236" i="52"/>
  <c r="CU236" i="52" s="1"/>
  <c r="DV236" i="52"/>
  <c r="CV236" i="52" s="1"/>
  <c r="DW236" i="52"/>
  <c r="CW236" i="52" s="1"/>
  <c r="CG86" i="45" l="1"/>
  <c r="CA86" i="45" s="1"/>
  <c r="BU86" i="45" s="1"/>
  <c r="CH86" i="45"/>
  <c r="CB86" i="45" s="1"/>
  <c r="BV86" i="45" s="1"/>
  <c r="CI86" i="45"/>
  <c r="CC86" i="45" s="1"/>
  <c r="BW86" i="45" s="1"/>
  <c r="CI85" i="45"/>
  <c r="CC85" i="45" s="1"/>
  <c r="BW85" i="45" s="1"/>
  <c r="CH85" i="45"/>
  <c r="CB85" i="45" s="1"/>
  <c r="BV85" i="45" s="1"/>
  <c r="CG85" i="45"/>
  <c r="CA85" i="45" s="1"/>
  <c r="BU85" i="45" s="1"/>
  <c r="G86" i="45" l="1"/>
  <c r="G85" i="45"/>
  <c r="CD210" i="58" l="1"/>
  <c r="W210" i="58" s="1"/>
  <c r="CD209" i="58"/>
  <c r="W209" i="58" s="1"/>
  <c r="CD208" i="58"/>
  <c r="W208" i="58" s="1"/>
  <c r="AS160" i="58"/>
  <c r="AR158" i="58"/>
  <c r="AQ158" i="58"/>
  <c r="AP158" i="58"/>
  <c r="AO158" i="58"/>
  <c r="AN158" i="58"/>
  <c r="AM158" i="58"/>
  <c r="AL158" i="58"/>
  <c r="AK158" i="58"/>
  <c r="AJ158" i="58"/>
  <c r="AI158" i="58"/>
  <c r="AH158" i="58"/>
  <c r="AG158" i="58"/>
  <c r="AF158" i="58"/>
  <c r="AE158" i="58"/>
  <c r="AD158" i="58"/>
  <c r="AC158" i="58"/>
  <c r="AB158" i="58"/>
  <c r="AA158" i="58"/>
  <c r="Z158" i="58"/>
  <c r="Y158" i="58"/>
  <c r="X158" i="58"/>
  <c r="W158" i="58"/>
  <c r="V158" i="58"/>
  <c r="U158" i="58"/>
  <c r="T158" i="58"/>
  <c r="S158" i="58"/>
  <c r="R158" i="58"/>
  <c r="Q158" i="58"/>
  <c r="P158" i="58"/>
  <c r="O158" i="58"/>
  <c r="N158" i="58"/>
  <c r="M158" i="58"/>
  <c r="L158" i="58"/>
  <c r="K158" i="58"/>
  <c r="J158" i="58"/>
  <c r="I158" i="58"/>
  <c r="H158" i="58"/>
  <c r="G158" i="58"/>
  <c r="AR147" i="58"/>
  <c r="AQ147" i="58"/>
  <c r="AP147" i="58"/>
  <c r="AO147" i="58"/>
  <c r="AN147" i="58"/>
  <c r="AM147" i="58"/>
  <c r="AL147" i="58"/>
  <c r="AK147" i="58"/>
  <c r="AJ147" i="58"/>
  <c r="AI147" i="58"/>
  <c r="AH147" i="58"/>
  <c r="AG147" i="58"/>
  <c r="AF147" i="58"/>
  <c r="AE147" i="58"/>
  <c r="AD147" i="58"/>
  <c r="AC147" i="58"/>
  <c r="AB147" i="58"/>
  <c r="AA147" i="58"/>
  <c r="Z147" i="58"/>
  <c r="Y147" i="58"/>
  <c r="X147" i="58"/>
  <c r="W147" i="58"/>
  <c r="V147" i="58"/>
  <c r="U147" i="58"/>
  <c r="T147" i="58"/>
  <c r="S147" i="58"/>
  <c r="R147" i="58"/>
  <c r="Q147" i="58"/>
  <c r="P147" i="58"/>
  <c r="O147" i="58"/>
  <c r="N147" i="58"/>
  <c r="M147" i="58"/>
  <c r="L147" i="58"/>
  <c r="K147" i="58"/>
  <c r="J147" i="58"/>
  <c r="I147" i="58"/>
  <c r="H147" i="58"/>
  <c r="G147" i="58"/>
  <c r="CL157" i="58"/>
  <c r="CB157" i="58" s="1"/>
  <c r="CL156" i="58"/>
  <c r="CB156" i="58" s="1"/>
  <c r="CL155" i="58"/>
  <c r="CB155" i="58" s="1"/>
  <c r="CL154" i="58"/>
  <c r="CB154" i="58" s="1"/>
  <c r="CL153" i="58"/>
  <c r="CB153" i="58" s="1"/>
  <c r="CL152" i="58"/>
  <c r="CB152" i="58" s="1"/>
  <c r="CL151" i="58"/>
  <c r="CB151" i="58" s="1"/>
  <c r="CL150" i="58"/>
  <c r="CB150" i="58" s="1"/>
  <c r="CL149" i="58"/>
  <c r="CB149" i="58" s="1"/>
  <c r="CL148" i="58"/>
  <c r="CB148" i="58" s="1"/>
  <c r="CL146" i="58"/>
  <c r="CB146" i="58" s="1"/>
  <c r="CL145" i="58"/>
  <c r="CB145" i="58" s="1"/>
  <c r="CL144" i="58"/>
  <c r="CB144" i="58" s="1"/>
  <c r="CH130" i="58"/>
  <c r="CL143" i="58"/>
  <c r="CB143" i="58" s="1"/>
  <c r="CL142" i="58"/>
  <c r="CB142" i="58" s="1"/>
  <c r="CL141" i="58"/>
  <c r="CB141" i="58" s="1"/>
  <c r="CL140" i="58"/>
  <c r="CB140" i="58" s="1"/>
  <c r="CL139" i="58"/>
  <c r="CB139" i="58" s="1"/>
  <c r="CL138" i="58"/>
  <c r="CB138" i="58" s="1"/>
  <c r="T125" i="58"/>
  <c r="R125" i="58"/>
  <c r="Q125" i="58"/>
  <c r="P125" i="58"/>
  <c r="O125" i="58"/>
  <c r="M125" i="58"/>
  <c r="L125" i="58"/>
  <c r="K125" i="58"/>
  <c r="J125" i="58"/>
  <c r="I125" i="58"/>
  <c r="H125" i="58"/>
  <c r="G125" i="58"/>
  <c r="F125" i="58"/>
  <c r="E125" i="58"/>
  <c r="D125" i="58"/>
  <c r="CK124" i="58"/>
  <c r="CK123" i="58"/>
  <c r="CC132" i="58"/>
  <c r="CC131" i="58"/>
  <c r="CC130" i="58"/>
  <c r="V119" i="58"/>
  <c r="T119" i="58"/>
  <c r="S119" i="58"/>
  <c r="R119" i="58"/>
  <c r="Q119" i="58"/>
  <c r="P119" i="58"/>
  <c r="O119" i="58"/>
  <c r="N119" i="58"/>
  <c r="M119" i="58"/>
  <c r="L119" i="58"/>
  <c r="K119" i="58"/>
  <c r="J119" i="58"/>
  <c r="I119" i="58"/>
  <c r="H119" i="58"/>
  <c r="G119" i="58"/>
  <c r="F119" i="58"/>
  <c r="E119" i="58"/>
  <c r="D119" i="58"/>
  <c r="CK118" i="58"/>
  <c r="CK117" i="58"/>
  <c r="CK116" i="58"/>
  <c r="CG124" i="58"/>
  <c r="CO124" i="58"/>
  <c r="CE124" i="58" s="1"/>
  <c r="CM124" i="58"/>
  <c r="CC124" i="58" s="1"/>
  <c r="CG123" i="58"/>
  <c r="CO123" i="58"/>
  <c r="CE123" i="58" s="1"/>
  <c r="CM123" i="58"/>
  <c r="CC123" i="58" s="1"/>
  <c r="AV111" i="58"/>
  <c r="AU111" i="58"/>
  <c r="AT111" i="58"/>
  <c r="AS111" i="58"/>
  <c r="AR111" i="58"/>
  <c r="AQ111" i="58"/>
  <c r="AN111" i="58"/>
  <c r="AM111" i="58"/>
  <c r="AL111" i="58"/>
  <c r="AK111" i="58"/>
  <c r="AJ111" i="58"/>
  <c r="AI111" i="58"/>
  <c r="AH111" i="58"/>
  <c r="AG111" i="58"/>
  <c r="AF111" i="58"/>
  <c r="AE111" i="58"/>
  <c r="AD111" i="58"/>
  <c r="AC111" i="58"/>
  <c r="AB111" i="58"/>
  <c r="AA111" i="58"/>
  <c r="Z111" i="58"/>
  <c r="Y111" i="58"/>
  <c r="X111" i="58"/>
  <c r="W111" i="58"/>
  <c r="V111" i="58"/>
  <c r="U111" i="58"/>
  <c r="T111" i="58"/>
  <c r="S111" i="58"/>
  <c r="R111" i="58"/>
  <c r="Q111" i="58"/>
  <c r="P111" i="58"/>
  <c r="O111" i="58"/>
  <c r="N111" i="58"/>
  <c r="M111" i="58"/>
  <c r="L111" i="58"/>
  <c r="K111" i="58"/>
  <c r="J111" i="58"/>
  <c r="I111" i="58"/>
  <c r="H111" i="58"/>
  <c r="G111" i="58"/>
  <c r="CF118" i="58"/>
  <c r="CN118" i="58"/>
  <c r="CD118" i="58" s="1"/>
  <c r="CM118" i="58"/>
  <c r="CC118" i="58" s="1"/>
  <c r="CF117" i="58"/>
  <c r="CN117" i="58"/>
  <c r="CD117" i="58" s="1"/>
  <c r="CM117" i="58"/>
  <c r="CC117" i="58" s="1"/>
  <c r="CF116" i="58"/>
  <c r="CD116" i="58"/>
  <c r="CC116" i="58"/>
  <c r="AO97" i="58"/>
  <c r="AN97" i="58"/>
  <c r="AJ97" i="58"/>
  <c r="AI97" i="58"/>
  <c r="AH97" i="58"/>
  <c r="AG97" i="58"/>
  <c r="AE97" i="58"/>
  <c r="AD97" i="58"/>
  <c r="AC97" i="58"/>
  <c r="AB97" i="58"/>
  <c r="Z97" i="58"/>
  <c r="Y97" i="58"/>
  <c r="X97" i="58"/>
  <c r="W97" i="58"/>
  <c r="V97" i="58"/>
  <c r="U97" i="58"/>
  <c r="T97" i="58"/>
  <c r="S97" i="58"/>
  <c r="R97" i="58"/>
  <c r="Q97" i="58"/>
  <c r="P97" i="58"/>
  <c r="O97" i="58"/>
  <c r="N97" i="58"/>
  <c r="M97" i="58"/>
  <c r="L97" i="58"/>
  <c r="K97" i="58"/>
  <c r="J97" i="58"/>
  <c r="I97" i="58"/>
  <c r="H97" i="58"/>
  <c r="G97" i="58"/>
  <c r="F97" i="58"/>
  <c r="CO37" i="58"/>
  <c r="CE37" i="58" s="1"/>
  <c r="CN37" i="58"/>
  <c r="CD37" i="58" s="1"/>
  <c r="W19" i="58"/>
  <c r="V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C18" i="58"/>
  <c r="CG18" i="58"/>
  <c r="CC17" i="58"/>
  <c r="CG17" i="58"/>
  <c r="CC16" i="58"/>
  <c r="CC15" i="58"/>
  <c r="CG15" i="58"/>
  <c r="CC14" i="58"/>
  <c r="CG14" i="58"/>
  <c r="B5" i="58"/>
  <c r="B4" i="58"/>
  <c r="B3" i="58"/>
  <c r="B2" i="58"/>
  <c r="CL131" i="58" l="1"/>
  <c r="CB131" i="58" s="1"/>
  <c r="CH131" i="58"/>
  <c r="CO132" i="58"/>
  <c r="CE132" i="58" s="1"/>
  <c r="CH132" i="58"/>
  <c r="CL176" i="58"/>
  <c r="CB176" i="58" s="1"/>
  <c r="CM176" i="58"/>
  <c r="CC176" i="58" s="1"/>
  <c r="CQ130" i="58"/>
  <c r="CG130" i="58" s="1"/>
  <c r="CO130" i="58"/>
  <c r="CE130" i="58" s="1"/>
  <c r="CP130" i="58"/>
  <c r="CF130" i="58" s="1"/>
  <c r="CL175" i="58"/>
  <c r="CB175" i="58" s="1"/>
  <c r="CM175" i="58"/>
  <c r="CC175" i="58" s="1"/>
  <c r="CM177" i="58"/>
  <c r="CC177" i="58" s="1"/>
  <c r="CL177" i="58"/>
  <c r="CB177" i="58" s="1"/>
  <c r="CS118" i="58"/>
  <c r="CI118" i="58" s="1"/>
  <c r="CQ119" i="58"/>
  <c r="CG119" i="58" s="1"/>
  <c r="CL14" i="58"/>
  <c r="CB14" i="58" s="1"/>
  <c r="CO14" i="58"/>
  <c r="CE14" i="58" s="1"/>
  <c r="CP14" i="58"/>
  <c r="CF14" i="58" s="1"/>
  <c r="CL15" i="58"/>
  <c r="CB15" i="58" s="1"/>
  <c r="CO15" i="58"/>
  <c r="CE15" i="58" s="1"/>
  <c r="CP15" i="58"/>
  <c r="CF15" i="58" s="1"/>
  <c r="CP119" i="58"/>
  <c r="CF119" i="58" s="1"/>
  <c r="CR125" i="58"/>
  <c r="CH125" i="58" s="1"/>
  <c r="CL18" i="58"/>
  <c r="CB18" i="58" s="1"/>
  <c r="CP18" i="58"/>
  <c r="CF18" i="58" s="1"/>
  <c r="CO18" i="58"/>
  <c r="CE18" i="58" s="1"/>
  <c r="CL16" i="58"/>
  <c r="CB16" i="58" s="1"/>
  <c r="CP16" i="58"/>
  <c r="CF16" i="58" s="1"/>
  <c r="CO16" i="58"/>
  <c r="CE16" i="58" s="1"/>
  <c r="CS116" i="58"/>
  <c r="CI116" i="58" s="1"/>
  <c r="CO116" i="58"/>
  <c r="CE116" i="58" s="1"/>
  <c r="CL116" i="58"/>
  <c r="CB116" i="58" s="1"/>
  <c r="CP123" i="58"/>
  <c r="CF123" i="58" s="1"/>
  <c r="CS123" i="58"/>
  <c r="CI123" i="58" s="1"/>
  <c r="CT123" i="58"/>
  <c r="CJ123" i="58" s="1"/>
  <c r="CQ125" i="58"/>
  <c r="CG125" i="58" s="1"/>
  <c r="CL17" i="58"/>
  <c r="CB17" i="58" s="1"/>
  <c r="CP17" i="58"/>
  <c r="CF17" i="58" s="1"/>
  <c r="CO17" i="58"/>
  <c r="CE17" i="58" s="1"/>
  <c r="CS117" i="58"/>
  <c r="CI117" i="58" s="1"/>
  <c r="CS124" i="58"/>
  <c r="CI124" i="58" s="1"/>
  <c r="CT124" i="58"/>
  <c r="CJ124" i="58" s="1"/>
  <c r="C97" i="58"/>
  <c r="CM37" i="58"/>
  <c r="CC37" i="58" s="1"/>
  <c r="AS37" i="58" s="1"/>
  <c r="CD175" i="58"/>
  <c r="CQ132" i="58"/>
  <c r="CG132" i="58" s="1"/>
  <c r="CL132" i="58"/>
  <c r="CB132" i="58" s="1"/>
  <c r="CP132" i="58"/>
  <c r="CF132" i="58" s="1"/>
  <c r="CD167" i="58"/>
  <c r="CD169" i="58"/>
  <c r="CL124" i="58"/>
  <c r="CB124" i="58" s="1"/>
  <c r="CP124" i="58"/>
  <c r="CF124" i="58" s="1"/>
  <c r="CO117" i="58"/>
  <c r="CE117" i="58" s="1"/>
  <c r="CQ103" i="58"/>
  <c r="CG103" i="58" s="1"/>
  <c r="CN103" i="58"/>
  <c r="CD103" i="58" s="1"/>
  <c r="CP103" i="58"/>
  <c r="CF103" i="58" s="1"/>
  <c r="CO103" i="58"/>
  <c r="CE103" i="58" s="1"/>
  <c r="CL31" i="58"/>
  <c r="CB31" i="58" s="1"/>
  <c r="Y31" i="58" s="1"/>
  <c r="CD164" i="58"/>
  <c r="CM125" i="58"/>
  <c r="CC125" i="58" s="1"/>
  <c r="CD163" i="58"/>
  <c r="CD177" i="58"/>
  <c r="CD165" i="58"/>
  <c r="CD176" i="58"/>
  <c r="F147" i="58"/>
  <c r="CL118" i="58"/>
  <c r="CB118" i="58" s="1"/>
  <c r="CD166" i="58"/>
  <c r="CO118" i="58"/>
  <c r="CE118" i="58" s="1"/>
  <c r="CD170" i="58"/>
  <c r="CM119" i="58"/>
  <c r="CC119" i="58" s="1"/>
  <c r="CO125" i="58"/>
  <c r="CE125" i="58" s="1"/>
  <c r="CN119" i="58"/>
  <c r="CD119" i="58" s="1"/>
  <c r="CL130" i="58"/>
  <c r="CB130" i="58" s="1"/>
  <c r="CD168" i="58"/>
  <c r="AF97" i="58"/>
  <c r="CN124" i="58"/>
  <c r="CD124" i="58" s="1"/>
  <c r="CH137" i="58"/>
  <c r="E158" i="58"/>
  <c r="C19" i="58"/>
  <c r="F111" i="58"/>
  <c r="F158" i="58"/>
  <c r="AA97" i="58"/>
  <c r="E111" i="58"/>
  <c r="C119" i="58"/>
  <c r="CN123" i="58"/>
  <c r="CD123" i="58" s="1"/>
  <c r="CP131" i="58"/>
  <c r="CF131" i="58" s="1"/>
  <c r="CO131" i="58"/>
  <c r="CE131" i="58" s="1"/>
  <c r="CL117" i="58"/>
  <c r="CB117" i="58" s="1"/>
  <c r="CL123" i="58"/>
  <c r="CB123" i="58" s="1"/>
  <c r="CQ131" i="58"/>
  <c r="CG131" i="58" s="1"/>
  <c r="C125" i="58"/>
  <c r="CT125" i="58" s="1"/>
  <c r="E147" i="58"/>
  <c r="CH149" i="58"/>
  <c r="CH148" i="58"/>
  <c r="Y117" i="58" l="1"/>
  <c r="Y116" i="58"/>
  <c r="AC130" i="58"/>
  <c r="AC131" i="58"/>
  <c r="V124" i="58"/>
  <c r="CO155" i="58"/>
  <c r="CE155" i="58" s="1"/>
  <c r="CH155" i="58"/>
  <c r="CN139" i="58"/>
  <c r="CD139" i="58" s="1"/>
  <c r="CH139" i="58"/>
  <c r="CM141" i="58"/>
  <c r="CC141" i="58" s="1"/>
  <c r="CH141" i="58"/>
  <c r="Y118" i="58"/>
  <c r="CM157" i="58"/>
  <c r="CC157" i="58" s="1"/>
  <c r="CH157" i="58"/>
  <c r="CM151" i="58"/>
  <c r="CC151" i="58" s="1"/>
  <c r="CH151" i="58"/>
  <c r="CM146" i="58"/>
  <c r="CC146" i="58" s="1"/>
  <c r="CH146" i="58"/>
  <c r="CM150" i="58"/>
  <c r="CC150" i="58" s="1"/>
  <c r="CH150" i="58"/>
  <c r="CN146" i="58"/>
  <c r="CD146" i="58" s="1"/>
  <c r="CM152" i="58"/>
  <c r="CC152" i="58" s="1"/>
  <c r="CH152" i="58"/>
  <c r="CM145" i="58"/>
  <c r="CC145" i="58" s="1"/>
  <c r="CH145" i="58"/>
  <c r="CN144" i="58"/>
  <c r="CD144" i="58" s="1"/>
  <c r="CH144" i="58"/>
  <c r="CM153" i="58"/>
  <c r="CC153" i="58" s="1"/>
  <c r="CH153" i="58"/>
  <c r="CM142" i="58"/>
  <c r="CC142" i="58" s="1"/>
  <c r="CH142" i="58"/>
  <c r="CM154" i="58"/>
  <c r="CC154" i="58" s="1"/>
  <c r="CH154" i="58"/>
  <c r="CN143" i="58"/>
  <c r="CD143" i="58" s="1"/>
  <c r="CH143" i="58"/>
  <c r="CM140" i="58"/>
  <c r="CC140" i="58" s="1"/>
  <c r="CH140" i="58"/>
  <c r="CM138" i="58"/>
  <c r="CC138" i="58" s="1"/>
  <c r="CH138" i="58"/>
  <c r="CM156" i="58"/>
  <c r="CC156" i="58" s="1"/>
  <c r="CH156" i="58"/>
  <c r="AB14" i="58"/>
  <c r="AK177" i="58"/>
  <c r="AC132" i="58"/>
  <c r="CM166" i="58"/>
  <c r="CC166" i="58" s="1"/>
  <c r="CL166" i="58"/>
  <c r="CB166" i="58" s="1"/>
  <c r="CL165" i="58"/>
  <c r="CB165" i="58" s="1"/>
  <c r="CM165" i="58"/>
  <c r="CC165" i="58" s="1"/>
  <c r="CM164" i="58"/>
  <c r="CC164" i="58" s="1"/>
  <c r="CL164" i="58"/>
  <c r="CB164" i="58" s="1"/>
  <c r="CO137" i="58"/>
  <c r="CE137" i="58" s="1"/>
  <c r="CN137" i="58"/>
  <c r="CD137" i="58" s="1"/>
  <c r="CM137" i="58"/>
  <c r="CC137" i="58" s="1"/>
  <c r="CM168" i="58"/>
  <c r="CC168" i="58" s="1"/>
  <c r="CL168" i="58"/>
  <c r="CB168" i="58" s="1"/>
  <c r="CM163" i="58"/>
  <c r="CC163" i="58" s="1"/>
  <c r="CL163" i="58"/>
  <c r="CB163" i="58" s="1"/>
  <c r="CL169" i="58"/>
  <c r="CB169" i="58" s="1"/>
  <c r="CM169" i="58"/>
  <c r="CC169" i="58" s="1"/>
  <c r="AK175" i="58"/>
  <c r="CM170" i="58"/>
  <c r="CC170" i="58" s="1"/>
  <c r="CL170" i="58"/>
  <c r="CB170" i="58" s="1"/>
  <c r="CL167" i="58"/>
  <c r="CB167" i="58" s="1"/>
  <c r="CM167" i="58"/>
  <c r="CC167" i="58" s="1"/>
  <c r="AK176" i="58"/>
  <c r="AB16" i="58"/>
  <c r="AB15" i="58"/>
  <c r="CO119" i="58"/>
  <c r="CE119" i="58" s="1"/>
  <c r="CS119" i="58"/>
  <c r="CI119" i="58" s="1"/>
  <c r="Y124" i="58"/>
  <c r="AB18" i="58"/>
  <c r="CS125" i="58"/>
  <c r="CI125" i="58" s="1"/>
  <c r="AB17" i="58"/>
  <c r="CO146" i="58"/>
  <c r="CE146" i="58" s="1"/>
  <c r="CN142" i="58"/>
  <c r="CD142" i="58" s="1"/>
  <c r="CO142" i="58"/>
  <c r="CE142" i="58" s="1"/>
  <c r="D147" i="58"/>
  <c r="CO139" i="58"/>
  <c r="CE139" i="58" s="1"/>
  <c r="CM139" i="58"/>
  <c r="CC139" i="58" s="1"/>
  <c r="CN150" i="58"/>
  <c r="CD150" i="58" s="1"/>
  <c r="CO156" i="58"/>
  <c r="CE156" i="58" s="1"/>
  <c r="CN154" i="58"/>
  <c r="CD154" i="58" s="1"/>
  <c r="CN156" i="58"/>
  <c r="CD156" i="58" s="1"/>
  <c r="CO154" i="58"/>
  <c r="CE154" i="58" s="1"/>
  <c r="CN151" i="58"/>
  <c r="CD151" i="58" s="1"/>
  <c r="CO157" i="58"/>
  <c r="CE157" i="58" s="1"/>
  <c r="CO150" i="58"/>
  <c r="CE150" i="58" s="1"/>
  <c r="CN153" i="58"/>
  <c r="CD153" i="58" s="1"/>
  <c r="CO153" i="58"/>
  <c r="CE153" i="58" s="1"/>
  <c r="CO151" i="58"/>
  <c r="CE151" i="58" s="1"/>
  <c r="CN157" i="58"/>
  <c r="CD157" i="58" s="1"/>
  <c r="CN138" i="58"/>
  <c r="CD138" i="58" s="1"/>
  <c r="CO138" i="58"/>
  <c r="CE138" i="58" s="1"/>
  <c r="CO105" i="58"/>
  <c r="CE105" i="58" s="1"/>
  <c r="CQ105" i="58"/>
  <c r="CG105" i="58" s="1"/>
  <c r="CN105" i="58"/>
  <c r="CD105" i="58" s="1"/>
  <c r="CP105" i="58"/>
  <c r="CF105" i="58" s="1"/>
  <c r="AW103" i="58"/>
  <c r="CO107" i="58"/>
  <c r="CE107" i="58" s="1"/>
  <c r="CN107" i="58"/>
  <c r="CD107" i="58" s="1"/>
  <c r="CP107" i="58"/>
  <c r="CF107" i="58" s="1"/>
  <c r="CQ107" i="58"/>
  <c r="CG107" i="58" s="1"/>
  <c r="CP110" i="58"/>
  <c r="CF110" i="58" s="1"/>
  <c r="CO110" i="58"/>
  <c r="CE110" i="58" s="1"/>
  <c r="CQ110" i="58"/>
  <c r="CG110" i="58" s="1"/>
  <c r="CN110" i="58"/>
  <c r="CD110" i="58" s="1"/>
  <c r="CP109" i="58"/>
  <c r="CF109" i="58" s="1"/>
  <c r="CQ109" i="58"/>
  <c r="CG109" i="58" s="1"/>
  <c r="CN109" i="58"/>
  <c r="CD109" i="58" s="1"/>
  <c r="CO109" i="58"/>
  <c r="CE109" i="58" s="1"/>
  <c r="CP106" i="58"/>
  <c r="CF106" i="58" s="1"/>
  <c r="CO106" i="58"/>
  <c r="CE106" i="58" s="1"/>
  <c r="CN106" i="58"/>
  <c r="CD106" i="58" s="1"/>
  <c r="CQ106" i="58"/>
  <c r="CG106" i="58" s="1"/>
  <c r="CP108" i="58"/>
  <c r="CF108" i="58" s="1"/>
  <c r="CN108" i="58"/>
  <c r="CD108" i="58" s="1"/>
  <c r="CQ108" i="58"/>
  <c r="CG108" i="58" s="1"/>
  <c r="CO108" i="58"/>
  <c r="CE108" i="58" s="1"/>
  <c r="CQ104" i="58"/>
  <c r="CG104" i="58" s="1"/>
  <c r="CO104" i="58"/>
  <c r="CE104" i="58" s="1"/>
  <c r="CP104" i="58"/>
  <c r="CF104" i="58" s="1"/>
  <c r="CN104" i="58"/>
  <c r="CD104" i="58" s="1"/>
  <c r="CN102" i="58"/>
  <c r="CD102" i="58" s="1"/>
  <c r="CP102" i="58"/>
  <c r="CF102" i="58" s="1"/>
  <c r="CQ102" i="58"/>
  <c r="CG102" i="58" s="1"/>
  <c r="CO102" i="58"/>
  <c r="CE102" i="58" s="1"/>
  <c r="D158" i="58"/>
  <c r="CO145" i="58"/>
  <c r="CE145" i="58" s="1"/>
  <c r="CO143" i="58"/>
  <c r="CE143" i="58" s="1"/>
  <c r="CO152" i="58"/>
  <c r="CE152" i="58" s="1"/>
  <c r="CO140" i="58"/>
  <c r="CE140" i="58" s="1"/>
  <c r="CM155" i="58"/>
  <c r="CC155" i="58" s="1"/>
  <c r="CM143" i="58"/>
  <c r="CC143" i="58" s="1"/>
  <c r="CO141" i="58"/>
  <c r="CE141" i="58" s="1"/>
  <c r="CN140" i="58"/>
  <c r="CD140" i="58" s="1"/>
  <c r="CN141" i="58"/>
  <c r="CD141" i="58" s="1"/>
  <c r="CN145" i="58"/>
  <c r="CD145" i="58" s="1"/>
  <c r="CN155" i="58"/>
  <c r="CD155" i="58" s="1"/>
  <c r="CN152" i="58"/>
  <c r="CD152" i="58" s="1"/>
  <c r="CO144" i="58"/>
  <c r="CE144" i="58" s="1"/>
  <c r="CM144" i="58"/>
  <c r="CC144" i="58" s="1"/>
  <c r="CJ125" i="58"/>
  <c r="CN125" i="58"/>
  <c r="CD125" i="58" s="1"/>
  <c r="CP125" i="58"/>
  <c r="CF125" i="58" s="1"/>
  <c r="CL119" i="58"/>
  <c r="CB119" i="58" s="1"/>
  <c r="CO149" i="58"/>
  <c r="CE149" i="58" s="1"/>
  <c r="CN149" i="58"/>
  <c r="CD149" i="58" s="1"/>
  <c r="CM149" i="58"/>
  <c r="CC149" i="58" s="1"/>
  <c r="D111" i="58"/>
  <c r="CO148" i="58"/>
  <c r="CE148" i="58" s="1"/>
  <c r="CN148" i="58"/>
  <c r="CD148" i="58" s="1"/>
  <c r="CM148" i="58"/>
  <c r="CC148" i="58" s="1"/>
  <c r="CL125" i="58"/>
  <c r="CB125" i="58" s="1"/>
  <c r="AK170" i="58" l="1"/>
  <c r="AT145" i="58"/>
  <c r="AT144" i="58"/>
  <c r="AT146" i="58"/>
  <c r="AT157" i="58"/>
  <c r="AK168" i="58"/>
  <c r="AT140" i="58"/>
  <c r="AT139" i="58"/>
  <c r="AT152" i="58"/>
  <c r="AT141" i="58"/>
  <c r="AT153" i="58"/>
  <c r="AK166" i="58"/>
  <c r="AT143" i="58"/>
  <c r="AT151" i="58"/>
  <c r="AT138" i="58"/>
  <c r="AT156" i="58"/>
  <c r="AK165" i="58"/>
  <c r="AT154" i="58"/>
  <c r="B256" i="58"/>
  <c r="F32" i="28" s="1"/>
  <c r="AT142" i="58"/>
  <c r="AK163" i="58"/>
  <c r="AT150" i="58"/>
  <c r="AK164" i="58"/>
  <c r="C256" i="58"/>
  <c r="D32" i="28" s="1"/>
  <c r="AT137" i="58"/>
  <c r="AK169" i="58"/>
  <c r="AT148" i="58"/>
  <c r="AT149" i="58"/>
  <c r="AT155" i="58"/>
  <c r="AK167" i="58"/>
  <c r="AW105" i="58"/>
  <c r="AW106" i="58"/>
  <c r="AW109" i="58"/>
  <c r="AW108" i="58"/>
  <c r="AW107" i="58"/>
  <c r="AW110" i="58"/>
  <c r="AW104" i="58"/>
  <c r="AW102" i="58"/>
  <c r="AM30" i="36"/>
  <c r="AG48" i="36"/>
  <c r="AH68" i="36"/>
  <c r="V87" i="36"/>
  <c r="CH80" i="31" l="1"/>
  <c r="CB80" i="31" s="1"/>
  <c r="K80" i="31" s="1"/>
  <c r="CE43" i="31"/>
  <c r="CD43" i="31"/>
  <c r="CC43" i="31"/>
  <c r="CH43" i="31"/>
  <c r="CB43" i="31" s="1"/>
  <c r="CB81" i="31"/>
  <c r="K81" i="31" s="1"/>
  <c r="CH41" i="31"/>
  <c r="CB41" i="31" s="1"/>
  <c r="CH40" i="31"/>
  <c r="CB40" i="31" s="1"/>
  <c r="CH39" i="31"/>
  <c r="CB39" i="31" s="1"/>
  <c r="CH33" i="31"/>
  <c r="CB33" i="31" s="1"/>
  <c r="CH32" i="31"/>
  <c r="CB32" i="31" s="1"/>
  <c r="CH31" i="31"/>
  <c r="CB31" i="31" s="1"/>
  <c r="CH30" i="31" l="1"/>
  <c r="CB30" i="31" s="1"/>
  <c r="CH29" i="31"/>
  <c r="CB29" i="31" s="1"/>
  <c r="CH28" i="31"/>
  <c r="CB28" i="31" s="1"/>
  <c r="CH27" i="31"/>
  <c r="CB27" i="31" s="1"/>
  <c r="CH26" i="31"/>
  <c r="CB26" i="31" s="1"/>
  <c r="CH25" i="31"/>
  <c r="CB25" i="31" s="1"/>
  <c r="CH24" i="31"/>
  <c r="CB24" i="31" s="1"/>
  <c r="CH23" i="31"/>
  <c r="CB23" i="31" s="1"/>
  <c r="CH22" i="31"/>
  <c r="CB22" i="31" s="1"/>
  <c r="CH12" i="31"/>
  <c r="CB12" i="31" s="1"/>
  <c r="CH11" i="31"/>
  <c r="CB11" i="31" l="1"/>
  <c r="C66" i="48"/>
  <c r="N39" i="46" l="1"/>
  <c r="M39" i="46"/>
  <c r="L39" i="46"/>
  <c r="K39" i="46"/>
  <c r="J39" i="46"/>
  <c r="I39" i="46"/>
  <c r="H39" i="46"/>
  <c r="G39" i="46"/>
  <c r="DF31" i="46" l="1"/>
  <c r="CI31" i="46" s="1"/>
  <c r="DE31" i="46"/>
  <c r="CH31" i="46" s="1"/>
  <c r="DH31" i="46"/>
  <c r="CK31" i="46" s="1"/>
  <c r="DG31" i="46"/>
  <c r="CJ31" i="46" s="1"/>
  <c r="E206" i="45"/>
  <c r="AW31" i="46" l="1"/>
  <c r="CI42" i="57" l="1"/>
  <c r="CC42" i="57"/>
  <c r="CB42" i="57"/>
  <c r="CH42" i="57"/>
  <c r="CI43" i="57"/>
  <c r="CC43" i="57"/>
  <c r="CH43" i="57"/>
  <c r="CB43" i="57"/>
  <c r="CB41" i="57"/>
  <c r="CI41" i="57"/>
  <c r="CC41" i="57"/>
  <c r="CH41" i="57"/>
  <c r="CI46" i="57"/>
  <c r="CC46" i="57"/>
  <c r="CB46" i="57"/>
  <c r="CH46" i="57"/>
  <c r="CC40" i="57"/>
  <c r="CB40" i="57"/>
  <c r="CI40" i="57"/>
  <c r="CH40" i="57"/>
  <c r="CC64" i="57"/>
  <c r="CI64" i="57"/>
  <c r="CB64" i="57"/>
  <c r="CH64" i="57"/>
  <c r="CB47" i="57"/>
  <c r="CI47" i="57"/>
  <c r="CC47" i="57"/>
  <c r="CH47" i="57"/>
  <c r="CC65" i="57"/>
  <c r="CH65" i="57"/>
  <c r="CI65" i="57"/>
  <c r="CB65" i="57"/>
  <c r="CC45" i="57"/>
  <c r="CH45" i="57"/>
  <c r="CB45" i="57"/>
  <c r="CI45" i="57"/>
  <c r="CI67" i="57"/>
  <c r="CC67" i="57"/>
  <c r="CB67" i="57"/>
  <c r="CH67" i="57"/>
  <c r="CH44" i="57"/>
  <c r="CC44" i="57"/>
  <c r="CI44" i="57"/>
  <c r="CB44" i="57"/>
  <c r="CB68" i="57"/>
  <c r="CH68" i="57"/>
  <c r="CI68" i="57"/>
  <c r="CC68" i="57"/>
  <c r="O42" i="57" l="1"/>
  <c r="O46" i="57"/>
  <c r="O41" i="57"/>
  <c r="O45" i="57"/>
  <c r="O47" i="57"/>
  <c r="O67" i="57"/>
  <c r="O64" i="57"/>
  <c r="O68" i="57"/>
  <c r="O65" i="57"/>
  <c r="O44" i="57"/>
  <c r="O43" i="57"/>
  <c r="O40" i="57"/>
  <c r="CC31" i="57" l="1"/>
  <c r="CH31" i="57"/>
  <c r="CI31" i="57"/>
  <c r="CB31" i="57"/>
  <c r="CI30" i="57"/>
  <c r="CH30" i="57"/>
  <c r="CB30" i="57"/>
  <c r="CC30" i="57"/>
  <c r="CB32" i="57"/>
  <c r="CH32" i="57"/>
  <c r="CC32" i="57"/>
  <c r="CI32" i="57"/>
  <c r="CH12" i="57"/>
  <c r="CC12" i="57"/>
  <c r="CB12" i="57"/>
  <c r="CI12" i="57"/>
  <c r="CI13" i="57"/>
  <c r="CC13" i="57"/>
  <c r="CB13" i="57"/>
  <c r="CH13" i="57"/>
  <c r="CI15" i="57"/>
  <c r="CH15" i="57"/>
  <c r="CC15" i="57"/>
  <c r="CB15" i="57"/>
  <c r="CC16" i="57"/>
  <c r="CB16" i="57"/>
  <c r="CH16" i="57"/>
  <c r="CI16" i="57"/>
  <c r="CH18" i="57"/>
  <c r="CC18" i="57"/>
  <c r="CB18" i="57"/>
  <c r="CI18" i="57"/>
  <c r="CB78" i="57"/>
  <c r="CC78" i="57"/>
  <c r="CH78" i="57"/>
  <c r="CI78" i="57"/>
  <c r="CH19" i="57"/>
  <c r="CC19" i="57"/>
  <c r="CB19" i="57"/>
  <c r="CI19" i="57"/>
  <c r="CC79" i="57"/>
  <c r="CI79" i="57"/>
  <c r="CH79" i="57"/>
  <c r="CB79" i="57"/>
  <c r="CI29" i="57"/>
  <c r="CB29" i="57"/>
  <c r="CC29" i="57"/>
  <c r="CH29" i="57"/>
  <c r="CB27" i="57"/>
  <c r="CH27" i="57"/>
  <c r="CC27" i="57"/>
  <c r="CI27" i="57"/>
  <c r="CB28" i="57"/>
  <c r="CC28" i="57"/>
  <c r="CH28" i="57"/>
  <c r="CI28" i="57"/>
  <c r="CB80" i="57"/>
  <c r="CC80" i="57"/>
  <c r="CH80" i="57"/>
  <c r="CI80" i="57"/>
  <c r="CH63" i="31"/>
  <c r="CB63" i="31" s="1"/>
  <c r="K63" i="31" s="1"/>
  <c r="O79" i="57" l="1"/>
  <c r="O31" i="57"/>
  <c r="O29" i="57"/>
  <c r="O16" i="57"/>
  <c r="O15" i="57"/>
  <c r="O19" i="57"/>
  <c r="O12" i="57"/>
  <c r="O18" i="57"/>
  <c r="O80" i="57"/>
  <c r="O78" i="57"/>
  <c r="O30" i="57"/>
  <c r="O28" i="57"/>
  <c r="O27" i="57"/>
  <c r="O32" i="57"/>
  <c r="O13" i="57"/>
  <c r="B5" i="57" l="1"/>
  <c r="B4" i="57"/>
  <c r="B3" i="57"/>
  <c r="B2" i="57"/>
  <c r="CB86" i="57" l="1"/>
  <c r="CC86" i="57"/>
  <c r="CH86" i="57"/>
  <c r="CI86" i="57"/>
  <c r="CC87" i="57"/>
  <c r="CI87" i="57"/>
  <c r="CH87" i="57"/>
  <c r="CB87" i="57"/>
  <c r="CC70" i="57"/>
  <c r="CB70" i="57"/>
  <c r="CH70" i="57"/>
  <c r="CI70" i="57"/>
  <c r="B101" i="57"/>
  <c r="F18" i="28" s="1"/>
  <c r="CC88" i="57"/>
  <c r="CI88" i="57"/>
  <c r="CH88" i="57"/>
  <c r="CB88" i="57"/>
  <c r="CB84" i="57"/>
  <c r="CC84" i="57"/>
  <c r="CH84" i="57"/>
  <c r="CI84" i="57"/>
  <c r="CI71" i="57"/>
  <c r="CC71" i="57"/>
  <c r="CB71" i="57"/>
  <c r="CH71" i="57"/>
  <c r="CI73" i="57"/>
  <c r="CC73" i="57"/>
  <c r="CB73" i="57"/>
  <c r="CH73" i="57"/>
  <c r="CB82" i="57"/>
  <c r="CC82" i="57"/>
  <c r="CH82" i="57"/>
  <c r="CI82" i="57"/>
  <c r="CC83" i="57"/>
  <c r="CI83" i="57"/>
  <c r="CB83" i="57"/>
  <c r="CH83" i="57"/>
  <c r="O71" i="57" l="1"/>
  <c r="O73" i="57"/>
  <c r="O83" i="57"/>
  <c r="O87" i="57"/>
  <c r="O70" i="57"/>
  <c r="O88" i="57"/>
  <c r="O86" i="57"/>
  <c r="O82" i="57"/>
  <c r="O84" i="57"/>
  <c r="C101" i="57"/>
  <c r="D18" i="28" s="1"/>
  <c r="DB143" i="8" l="1"/>
  <c r="CB143" i="8" s="1"/>
  <c r="DC143" i="8"/>
  <c r="CC143" i="8" s="1"/>
  <c r="DD143" i="8"/>
  <c r="CD143" i="8" s="1"/>
  <c r="DE143" i="8"/>
  <c r="CE143" i="8" s="1"/>
  <c r="DE162" i="8"/>
  <c r="CE162" i="8" s="1"/>
  <c r="DB162" i="8"/>
  <c r="CB162" i="8" s="1"/>
  <c r="DC162" i="8"/>
  <c r="CC162" i="8" s="1"/>
  <c r="DD162" i="8"/>
  <c r="CD162" i="8" s="1"/>
  <c r="W143" i="8" l="1"/>
  <c r="AS162" i="8"/>
  <c r="G152" i="39" l="1"/>
  <c r="G165" i="39"/>
  <c r="G160" i="39"/>
  <c r="G173" i="39"/>
  <c r="D12" i="32" l="1"/>
  <c r="D55" i="32"/>
  <c r="P107" i="32"/>
  <c r="O107" i="32"/>
  <c r="N107" i="32"/>
  <c r="M107" i="32"/>
  <c r="G150" i="45"/>
  <c r="G96" i="45"/>
  <c r="AE206" i="45"/>
  <c r="AF206" i="45"/>
  <c r="G206" i="45"/>
  <c r="F21" i="51"/>
  <c r="E75" i="38"/>
  <c r="F75" i="38"/>
  <c r="DB45" i="45" l="1"/>
  <c r="F206" i="45"/>
  <c r="D206" i="45" s="1"/>
  <c r="CB45" i="45" l="1"/>
  <c r="R45" i="45" s="1"/>
  <c r="DC273" i="52" l="1"/>
  <c r="CB273" i="52"/>
  <c r="CC273" i="52"/>
  <c r="DB273" i="52"/>
  <c r="CB271" i="52"/>
  <c r="CC271" i="52"/>
  <c r="DB271" i="52"/>
  <c r="DC271" i="52"/>
  <c r="CB272" i="52"/>
  <c r="DB272" i="52"/>
  <c r="CC272" i="52"/>
  <c r="DC272" i="52"/>
  <c r="CB262" i="52"/>
  <c r="CC262" i="52"/>
  <c r="DB263" i="52"/>
  <c r="DC263" i="52"/>
  <c r="CB263" i="52"/>
  <c r="CC263" i="52"/>
  <c r="CC274" i="52"/>
  <c r="DB274" i="52"/>
  <c r="DC274" i="52"/>
  <c r="CB274" i="52"/>
  <c r="CB264" i="52"/>
  <c r="CC264" i="52"/>
  <c r="DB264" i="52"/>
  <c r="DC264" i="52"/>
  <c r="CB265" i="52"/>
  <c r="DC265" i="52"/>
  <c r="CC265" i="52"/>
  <c r="DB265" i="52"/>
  <c r="DC270" i="52"/>
  <c r="DB270" i="52"/>
  <c r="CC270" i="52"/>
  <c r="CB270" i="52"/>
  <c r="CB298" i="52"/>
  <c r="CC298" i="52"/>
  <c r="DB298" i="52"/>
  <c r="DC298" i="52"/>
  <c r="CB266" i="52"/>
  <c r="DC266" i="52"/>
  <c r="CC266" i="52"/>
  <c r="DB266" i="52"/>
  <c r="DC262" i="52"/>
  <c r="DB262" i="52"/>
  <c r="P266" i="52" l="1"/>
  <c r="P265" i="52"/>
  <c r="P264" i="52"/>
  <c r="P263" i="52"/>
  <c r="P262" i="52"/>
  <c r="AN298" i="52"/>
  <c r="V274" i="52"/>
  <c r="V273" i="52"/>
  <c r="V272" i="52"/>
  <c r="V271" i="52"/>
  <c r="V270" i="52"/>
  <c r="DB297" i="52"/>
  <c r="CC297" i="52"/>
  <c r="CB297" i="52"/>
  <c r="DC297" i="52"/>
  <c r="DB290" i="52"/>
  <c r="CC290" i="52"/>
  <c r="CB290" i="52"/>
  <c r="DC290" i="52"/>
  <c r="CB291" i="52"/>
  <c r="CC291" i="52"/>
  <c r="DB291" i="52"/>
  <c r="DC291" i="52"/>
  <c r="F39" i="46"/>
  <c r="AD206" i="45"/>
  <c r="AC206" i="45"/>
  <c r="AB206" i="45"/>
  <c r="AA206" i="45"/>
  <c r="Z206" i="45"/>
  <c r="Y206" i="45"/>
  <c r="X206" i="45"/>
  <c r="W206" i="45"/>
  <c r="V206" i="45"/>
  <c r="U206" i="45"/>
  <c r="T206" i="45"/>
  <c r="S206" i="45"/>
  <c r="R206" i="45"/>
  <c r="Q206" i="45"/>
  <c r="P206" i="45"/>
  <c r="O206" i="45"/>
  <c r="N206" i="45"/>
  <c r="M206" i="45"/>
  <c r="L206" i="45"/>
  <c r="K206" i="45"/>
  <c r="J206" i="45"/>
  <c r="I206" i="45"/>
  <c r="H206" i="45"/>
  <c r="AN297" i="52" l="1"/>
  <c r="AF290" i="52"/>
  <c r="AF291" i="52"/>
  <c r="AB48" i="31" l="1"/>
  <c r="CH21" i="31" l="1"/>
  <c r="CB21" i="31" s="1"/>
  <c r="CH20" i="31"/>
  <c r="CB20" i="31" s="1"/>
  <c r="C33" i="46" l="1"/>
  <c r="DG32" i="46"/>
  <c r="CJ32" i="46" s="1"/>
  <c r="DF32" i="46"/>
  <c r="CI32" i="46" s="1"/>
  <c r="DE32" i="46"/>
  <c r="CH32" i="46" s="1"/>
  <c r="DH32" i="46"/>
  <c r="CK32" i="46" s="1"/>
  <c r="G33" i="46"/>
  <c r="H33" i="46"/>
  <c r="F33" i="46" l="1"/>
  <c r="AW32" i="46" l="1"/>
  <c r="F66" i="48" l="1"/>
  <c r="E66" i="48"/>
  <c r="D66" i="48"/>
  <c r="J107" i="32" l="1"/>
  <c r="K107" i="32"/>
  <c r="L107" i="32" l="1"/>
  <c r="I107" i="32"/>
  <c r="H107" i="32"/>
  <c r="CC48" i="44" l="1"/>
  <c r="CB48" i="44"/>
  <c r="CC47" i="44"/>
  <c r="CB47" i="44"/>
  <c r="CC46" i="44"/>
  <c r="CB46" i="44"/>
  <c r="CC15" i="44" l="1"/>
  <c r="CB15" i="44"/>
  <c r="CC14" i="44"/>
  <c r="CB14" i="44"/>
  <c r="DB12" i="8" l="1"/>
  <c r="DB13" i="8"/>
  <c r="DB14" i="8"/>
  <c r="DB15" i="8"/>
  <c r="DB16" i="8"/>
  <c r="DB17" i="8"/>
  <c r="DB18" i="8"/>
  <c r="DB19" i="8"/>
  <c r="DB20" i="8"/>
  <c r="DB21" i="8"/>
  <c r="DB22" i="8"/>
  <c r="DB23" i="8"/>
  <c r="DB24" i="8"/>
  <c r="DB25" i="8"/>
  <c r="DB26" i="8"/>
  <c r="DB27" i="8"/>
  <c r="DB28" i="8"/>
  <c r="DB29" i="8"/>
  <c r="DB30" i="8"/>
  <c r="DB31" i="8"/>
  <c r="DB32" i="8"/>
  <c r="DB33" i="8"/>
  <c r="DB34" i="8"/>
  <c r="DB36" i="8"/>
  <c r="DB37" i="8"/>
  <c r="DB38" i="8"/>
  <c r="DB39" i="8"/>
  <c r="DB40" i="8"/>
  <c r="DB41" i="8"/>
  <c r="DB42" i="8"/>
  <c r="DB43" i="8"/>
  <c r="DB44" i="8"/>
  <c r="DB45" i="8"/>
  <c r="DB46" i="8"/>
  <c r="DB47" i="8"/>
  <c r="DB48" i="8"/>
  <c r="DB49" i="8"/>
  <c r="DB50" i="8"/>
  <c r="DB51" i="8"/>
  <c r="DB52" i="8"/>
  <c r="DB53" i="8"/>
  <c r="DB54" i="8"/>
  <c r="DB55" i="8"/>
  <c r="DB56" i="8"/>
  <c r="DB57" i="8"/>
  <c r="DB58" i="8"/>
  <c r="DB59" i="8"/>
  <c r="DB60" i="8"/>
  <c r="DB61" i="8"/>
  <c r="DB62" i="8"/>
  <c r="DB63" i="8"/>
  <c r="DB64" i="8"/>
  <c r="DB65" i="8"/>
  <c r="DB67" i="8"/>
  <c r="DB68" i="8"/>
  <c r="DB69" i="8"/>
  <c r="DB70" i="8"/>
  <c r="J48" i="36" l="1"/>
  <c r="CC249" i="52" l="1"/>
  <c r="DC249" i="52"/>
  <c r="DC16" i="8" l="1"/>
  <c r="DC15" i="8"/>
  <c r="DC14" i="8"/>
  <c r="DC13" i="8"/>
  <c r="H61" i="49"/>
  <c r="E61" i="49"/>
  <c r="DE11" i="49" l="1"/>
  <c r="CE11" i="49" s="1"/>
  <c r="DD11" i="49"/>
  <c r="CD11" i="49" s="1"/>
  <c r="DB52" i="49"/>
  <c r="CB52" i="49" s="1"/>
  <c r="DE52" i="49"/>
  <c r="CE52" i="49" s="1"/>
  <c r="DD52" i="49"/>
  <c r="CD52" i="49" s="1"/>
  <c r="DC52" i="49"/>
  <c r="CC52" i="49" s="1"/>
  <c r="DB59" i="49"/>
  <c r="CB59" i="49" s="1"/>
  <c r="DE59" i="49"/>
  <c r="CE59" i="49" s="1"/>
  <c r="DD59" i="49"/>
  <c r="CD59" i="49" s="1"/>
  <c r="DC59" i="49"/>
  <c r="CC59" i="49" s="1"/>
  <c r="DC35" i="8"/>
  <c r="DB35" i="8"/>
  <c r="DC66" i="8"/>
  <c r="DB66" i="8"/>
  <c r="DC11" i="8"/>
  <c r="DB11" i="8"/>
  <c r="AW30" i="36"/>
  <c r="O59" i="49" l="1"/>
  <c r="O52" i="49"/>
  <c r="D87" i="36"/>
  <c r="H87" i="36"/>
  <c r="DB11" i="49" l="1"/>
  <c r="CB11" i="49" s="1"/>
  <c r="DB13" i="49"/>
  <c r="CB13" i="49" s="1"/>
  <c r="DB21" i="49" l="1"/>
  <c r="CB21" i="49" s="1"/>
  <c r="DD21" i="49"/>
  <c r="CD21" i="49" s="1"/>
  <c r="DE21" i="49"/>
  <c r="CE21" i="49" s="1"/>
  <c r="DE10" i="49"/>
  <c r="CE10" i="49" s="1"/>
  <c r="DD10" i="49"/>
  <c r="CD10" i="49" s="1"/>
  <c r="DB10" i="49"/>
  <c r="DB17" i="49"/>
  <c r="CB17" i="49" s="1"/>
  <c r="DE17" i="49"/>
  <c r="CE17" i="49" s="1"/>
  <c r="DD17" i="49"/>
  <c r="CD17" i="49" s="1"/>
  <c r="DB26" i="49"/>
  <c r="CB26" i="49" s="1"/>
  <c r="DD26" i="49"/>
  <c r="CD26" i="49" s="1"/>
  <c r="DE26" i="49"/>
  <c r="CE26" i="49" s="1"/>
  <c r="DD30" i="49"/>
  <c r="CD30" i="49" s="1"/>
  <c r="DE30" i="49"/>
  <c r="CE30" i="49" s="1"/>
  <c r="DB14" i="49"/>
  <c r="CB14" i="49" s="1"/>
  <c r="DE14" i="49"/>
  <c r="CE14" i="49" s="1"/>
  <c r="DD14" i="49"/>
  <c r="CD14" i="49" s="1"/>
  <c r="DC18" i="49"/>
  <c r="DD18" i="49"/>
  <c r="CD18" i="49" s="1"/>
  <c r="DE18" i="49"/>
  <c r="CE18" i="49" s="1"/>
  <c r="DD22" i="49"/>
  <c r="CD22" i="49" s="1"/>
  <c r="DE22" i="49"/>
  <c r="CE22" i="49" s="1"/>
  <c r="DB27" i="49"/>
  <c r="CB27" i="49" s="1"/>
  <c r="DD27" i="49"/>
  <c r="CD27" i="49" s="1"/>
  <c r="DE27" i="49"/>
  <c r="CE27" i="49" s="1"/>
  <c r="DB15" i="49"/>
  <c r="CB15" i="49" s="1"/>
  <c r="DE15" i="49"/>
  <c r="CE15" i="49" s="1"/>
  <c r="DD15" i="49"/>
  <c r="CD15" i="49" s="1"/>
  <c r="DD19" i="49"/>
  <c r="CD19" i="49" s="1"/>
  <c r="DE19" i="49"/>
  <c r="CE19" i="49" s="1"/>
  <c r="DD23" i="49"/>
  <c r="CD23" i="49" s="1"/>
  <c r="DE23" i="49"/>
  <c r="CE23" i="49" s="1"/>
  <c r="DB28" i="49"/>
  <c r="CB28" i="49" s="1"/>
  <c r="DD28" i="49"/>
  <c r="CD28" i="49" s="1"/>
  <c r="DE28" i="49"/>
  <c r="CE28" i="49" s="1"/>
  <c r="DB12" i="49"/>
  <c r="CB12" i="49" s="1"/>
  <c r="DE12" i="49"/>
  <c r="CE12" i="49" s="1"/>
  <c r="DD12" i="49"/>
  <c r="CD12" i="49" s="1"/>
  <c r="DB16" i="49"/>
  <c r="CB16" i="49" s="1"/>
  <c r="DE16" i="49"/>
  <c r="CE16" i="49" s="1"/>
  <c r="DD16" i="49"/>
  <c r="CD16" i="49" s="1"/>
  <c r="DD20" i="49"/>
  <c r="CD20" i="49" s="1"/>
  <c r="DE20" i="49"/>
  <c r="CE20" i="49" s="1"/>
  <c r="DD24" i="49"/>
  <c r="CD24" i="49" s="1"/>
  <c r="DE24" i="49"/>
  <c r="CE24" i="49" s="1"/>
  <c r="DD29" i="49"/>
  <c r="CD29" i="49" s="1"/>
  <c r="DE29" i="49"/>
  <c r="CE29" i="49" s="1"/>
  <c r="DD25" i="49"/>
  <c r="CD25" i="49" s="1"/>
  <c r="DE25" i="49"/>
  <c r="CE25" i="49" s="1"/>
  <c r="DB23" i="49"/>
  <c r="CB23" i="49" s="1"/>
  <c r="DC23" i="49"/>
  <c r="DB24" i="49"/>
  <c r="CB24" i="49" s="1"/>
  <c r="DC24" i="49"/>
  <c r="DB18" i="49"/>
  <c r="CB18" i="49" s="1"/>
  <c r="DB19" i="49"/>
  <c r="CB19" i="49" s="1"/>
  <c r="DC19" i="49"/>
  <c r="DB20" i="49"/>
  <c r="CB20" i="49" s="1"/>
  <c r="DC20" i="49"/>
  <c r="DB29" i="49"/>
  <c r="CB29" i="49" s="1"/>
  <c r="DC29" i="49"/>
  <c r="DB30" i="49"/>
  <c r="CB30" i="49" s="1"/>
  <c r="DC30" i="49"/>
  <c r="DB31" i="49"/>
  <c r="CB31" i="49" s="1"/>
  <c r="DC31" i="49"/>
  <c r="DB25" i="49"/>
  <c r="CB25" i="49" s="1"/>
  <c r="DC25" i="49"/>
  <c r="DB22" i="49"/>
  <c r="CB22" i="49" s="1"/>
  <c r="CB10" i="49" l="1"/>
  <c r="Q104" i="32" l="1"/>
  <c r="B5" i="36"/>
  <c r="B4" i="36"/>
  <c r="B3" i="36"/>
  <c r="B2" i="36"/>
  <c r="B5" i="50"/>
  <c r="B4" i="50"/>
  <c r="B3" i="50"/>
  <c r="B2" i="50"/>
  <c r="B5" i="44"/>
  <c r="B4" i="44"/>
  <c r="B3" i="44"/>
  <c r="B2" i="44"/>
  <c r="B5" i="31"/>
  <c r="B4" i="31"/>
  <c r="B3" i="31"/>
  <c r="B2" i="31"/>
  <c r="B5" i="55"/>
  <c r="B4" i="55"/>
  <c r="B3" i="55"/>
  <c r="B2" i="55"/>
  <c r="B5" i="43"/>
  <c r="B4" i="43"/>
  <c r="B3" i="43"/>
  <c r="B2" i="43"/>
  <c r="B5" i="48"/>
  <c r="B4" i="48"/>
  <c r="B3" i="48"/>
  <c r="B2" i="48"/>
  <c r="B5" i="53"/>
  <c r="B4" i="53"/>
  <c r="B3" i="53"/>
  <c r="B2" i="53"/>
  <c r="B5" i="42"/>
  <c r="B4" i="42"/>
  <c r="B3" i="42"/>
  <c r="B2" i="42"/>
  <c r="B5" i="52"/>
  <c r="B4" i="52"/>
  <c r="B3" i="52"/>
  <c r="B2" i="52"/>
  <c r="B5" i="46"/>
  <c r="B4" i="46"/>
  <c r="B3" i="46"/>
  <c r="B2" i="46"/>
  <c r="B5" i="39"/>
  <c r="B4" i="39"/>
  <c r="B3" i="39"/>
  <c r="B2" i="39"/>
  <c r="B5" i="45"/>
  <c r="B4" i="45"/>
  <c r="B3" i="45"/>
  <c r="B2" i="45"/>
  <c r="B5" i="32"/>
  <c r="B4" i="32"/>
  <c r="B3" i="32"/>
  <c r="B2" i="32"/>
  <c r="B5" i="51"/>
  <c r="B4" i="51"/>
  <c r="B3" i="51"/>
  <c r="B2" i="51"/>
  <c r="B5" i="38"/>
  <c r="B4" i="38"/>
  <c r="B3" i="38"/>
  <c r="B2" i="38"/>
  <c r="D29" i="28"/>
  <c r="C335" i="55" l="1"/>
  <c r="D24" i="28" s="1"/>
  <c r="AC28" i="55"/>
  <c r="AB28" i="55"/>
  <c r="AA28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AA15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C195" i="53"/>
  <c r="D20" i="28" s="1"/>
  <c r="BX48" i="53"/>
  <c r="L44" i="53"/>
  <c r="K44" i="53"/>
  <c r="J44" i="53"/>
  <c r="F44" i="53"/>
  <c r="E44" i="53"/>
  <c r="L11" i="53"/>
  <c r="K11" i="53"/>
  <c r="J11" i="53"/>
  <c r="I11" i="53"/>
  <c r="DW258" i="52"/>
  <c r="CW258" i="52" s="1"/>
  <c r="DV258" i="52"/>
  <c r="CV258" i="52" s="1"/>
  <c r="DU258" i="52"/>
  <c r="CU258" i="52" s="1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/>
  <c r="DW257" i="52"/>
  <c r="CW257" i="52" s="1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/>
  <c r="DW256" i="52"/>
  <c r="CW256" i="52" s="1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/>
  <c r="DW255" i="52"/>
  <c r="CW255" i="52" s="1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/>
  <c r="DY255" i="52"/>
  <c r="CY255" i="52" s="1"/>
  <c r="DW254" i="52"/>
  <c r="CW254" i="52" s="1"/>
  <c r="DV254" i="52"/>
  <c r="CV254" i="52" s="1"/>
  <c r="DU254" i="52"/>
  <c r="CU254" i="52" s="1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/>
  <c r="DY254" i="52"/>
  <c r="CY254" i="52" s="1"/>
  <c r="DW253" i="52"/>
  <c r="CW253" i="52" s="1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/>
  <c r="DW252" i="52"/>
  <c r="CW252" i="52" s="1"/>
  <c r="DV252" i="52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V252" i="52"/>
  <c r="CG252" i="52"/>
  <c r="DY252" i="52"/>
  <c r="CY252" i="52" s="1"/>
  <c r="DW251" i="52"/>
  <c r="CW251" i="52" s="1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/>
  <c r="DW250" i="52"/>
  <c r="CW250" i="52" s="1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/>
  <c r="DY250" i="52"/>
  <c r="CY250" i="52" s="1"/>
  <c r="DW249" i="52"/>
  <c r="CW249" i="52" s="1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/>
  <c r="DW248" i="52"/>
  <c r="CW248" i="52" s="1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/>
  <c r="DW247" i="52"/>
  <c r="CW247" i="52" s="1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/>
  <c r="DY247" i="52"/>
  <c r="CY247" i="52" s="1"/>
  <c r="DW246" i="52"/>
  <c r="CW246" i="52" s="1"/>
  <c r="DV246" i="52"/>
  <c r="CV246" i="52" s="1"/>
  <c r="DU246" i="52"/>
  <c r="CU246" i="52" s="1"/>
  <c r="DT246" i="52"/>
  <c r="CT246" i="52" s="1"/>
  <c r="DS246" i="52"/>
  <c r="CS246" i="52" s="1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/>
  <c r="DY246" i="52"/>
  <c r="CY246" i="52" s="1"/>
  <c r="DW245" i="52"/>
  <c r="CW245" i="52" s="1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/>
  <c r="DY245" i="52"/>
  <c r="CY245" i="52" s="1"/>
  <c r="DW244" i="52"/>
  <c r="CW244" i="52" s="1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/>
  <c r="DW243" i="52"/>
  <c r="CW243" i="52" s="1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/>
  <c r="DW242" i="52"/>
  <c r="CW242" i="52" s="1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/>
  <c r="DY242" i="52"/>
  <c r="CY242" i="52" s="1"/>
  <c r="DW241" i="52"/>
  <c r="CW241" i="52" s="1"/>
  <c r="DV241" i="52"/>
  <c r="CV241" i="52" s="1"/>
  <c r="DU241" i="52"/>
  <c r="CU241" i="52" s="1"/>
  <c r="DT241" i="52"/>
  <c r="CT241" i="52" s="1"/>
  <c r="DS241" i="52"/>
  <c r="CS241" i="52" s="1"/>
  <c r="DR241" i="52"/>
  <c r="CR241" i="52" s="1"/>
  <c r="DQ241" i="52"/>
  <c r="CQ241" i="52" s="1"/>
  <c r="DP241" i="52"/>
  <c r="CP241" i="52" s="1"/>
  <c r="DO241" i="52"/>
  <c r="CO241" i="52" s="1"/>
  <c r="DN241" i="52"/>
  <c r="CN241" i="52" s="1"/>
  <c r="DM241" i="52"/>
  <c r="CM241" i="52" s="1"/>
  <c r="DL241" i="52"/>
  <c r="CL241" i="52" s="1"/>
  <c r="DK241" i="52"/>
  <c r="CK241" i="52" s="1"/>
  <c r="DJ241" i="52"/>
  <c r="CJ241" i="52" s="1"/>
  <c r="DI241" i="52"/>
  <c r="CI241" i="52" s="1"/>
  <c r="DH241" i="52"/>
  <c r="CH241" i="52" s="1"/>
  <c r="DG241" i="52"/>
  <c r="CG241" i="52"/>
  <c r="DW240" i="52"/>
  <c r="CW240" i="52" s="1"/>
  <c r="DV240" i="52"/>
  <c r="CV240" i="52" s="1"/>
  <c r="DU240" i="52"/>
  <c r="CU240" i="52" s="1"/>
  <c r="DT240" i="52"/>
  <c r="CT240" i="52" s="1"/>
  <c r="DS240" i="52"/>
  <c r="CS240" i="52" s="1"/>
  <c r="DR240" i="52"/>
  <c r="CR240" i="52" s="1"/>
  <c r="DQ240" i="52"/>
  <c r="CQ240" i="52" s="1"/>
  <c r="DP240" i="52"/>
  <c r="CP240" i="52" s="1"/>
  <c r="DO240" i="52"/>
  <c r="CO240" i="52" s="1"/>
  <c r="DN240" i="52"/>
  <c r="CN240" i="52" s="1"/>
  <c r="DM240" i="52"/>
  <c r="CM240" i="52" s="1"/>
  <c r="DL240" i="52"/>
  <c r="CL240" i="52" s="1"/>
  <c r="DK240" i="52"/>
  <c r="CK240" i="52" s="1"/>
  <c r="DJ240" i="52"/>
  <c r="CJ240" i="52" s="1"/>
  <c r="DI240" i="52"/>
  <c r="CI240" i="52" s="1"/>
  <c r="DH240" i="52"/>
  <c r="CH240" i="52" s="1"/>
  <c r="DG240" i="52"/>
  <c r="CG240" i="52"/>
  <c r="DW239" i="52"/>
  <c r="CW239" i="52" s="1"/>
  <c r="DV239" i="52"/>
  <c r="CV239" i="52" s="1"/>
  <c r="DU239" i="52"/>
  <c r="CU239" i="52" s="1"/>
  <c r="DT239" i="52"/>
  <c r="CT239" i="52" s="1"/>
  <c r="DS239" i="52"/>
  <c r="CS239" i="52" s="1"/>
  <c r="DR239" i="52"/>
  <c r="CR239" i="52" s="1"/>
  <c r="DQ239" i="52"/>
  <c r="CQ239" i="52" s="1"/>
  <c r="DP239" i="52"/>
  <c r="CP239" i="52" s="1"/>
  <c r="DO239" i="52"/>
  <c r="CO239" i="52" s="1"/>
  <c r="DN239" i="52"/>
  <c r="CN239" i="52" s="1"/>
  <c r="DM239" i="52"/>
  <c r="CM239" i="52" s="1"/>
  <c r="DL239" i="52"/>
  <c r="CL239" i="52" s="1"/>
  <c r="DK239" i="52"/>
  <c r="CK239" i="52" s="1"/>
  <c r="DJ239" i="52"/>
  <c r="CJ239" i="52" s="1"/>
  <c r="DI239" i="52"/>
  <c r="CI239" i="52" s="1"/>
  <c r="DH239" i="52"/>
  <c r="CH239" i="52" s="1"/>
  <c r="DG239" i="52"/>
  <c r="CG239" i="52"/>
  <c r="DW238" i="52"/>
  <c r="CW238" i="52" s="1"/>
  <c r="DV238" i="52"/>
  <c r="CV238" i="52" s="1"/>
  <c r="DU238" i="52"/>
  <c r="CU238" i="52" s="1"/>
  <c r="DT238" i="52"/>
  <c r="CT238" i="52" s="1"/>
  <c r="DS238" i="52"/>
  <c r="CS238" i="52" s="1"/>
  <c r="DR238" i="52"/>
  <c r="CR238" i="52" s="1"/>
  <c r="DQ238" i="52"/>
  <c r="CQ238" i="52" s="1"/>
  <c r="DP238" i="52"/>
  <c r="CP238" i="52" s="1"/>
  <c r="DO238" i="52"/>
  <c r="CO238" i="52" s="1"/>
  <c r="DN238" i="52"/>
  <c r="CN238" i="52" s="1"/>
  <c r="DM238" i="52"/>
  <c r="CM238" i="52" s="1"/>
  <c r="DL238" i="52"/>
  <c r="CL238" i="52" s="1"/>
  <c r="DK238" i="52"/>
  <c r="CK238" i="52" s="1"/>
  <c r="DJ238" i="52"/>
  <c r="CJ238" i="52" s="1"/>
  <c r="DI238" i="52"/>
  <c r="CI238" i="52" s="1"/>
  <c r="DH238" i="52"/>
  <c r="CH238" i="52" s="1"/>
  <c r="DG238" i="52"/>
  <c r="CG238" i="52"/>
  <c r="DY238" i="52"/>
  <c r="CY238" i="52" s="1"/>
  <c r="DW237" i="52"/>
  <c r="CW237" i="52" s="1"/>
  <c r="DV237" i="52"/>
  <c r="CV237" i="52" s="1"/>
  <c r="DU237" i="52"/>
  <c r="CU237" i="52" s="1"/>
  <c r="DT237" i="52"/>
  <c r="CT237" i="52" s="1"/>
  <c r="DS237" i="52"/>
  <c r="CS237" i="52" s="1"/>
  <c r="DR237" i="52"/>
  <c r="CR237" i="52" s="1"/>
  <c r="DQ237" i="52"/>
  <c r="CQ237" i="52" s="1"/>
  <c r="DP237" i="52"/>
  <c r="CP237" i="52" s="1"/>
  <c r="DO237" i="52"/>
  <c r="CO237" i="52" s="1"/>
  <c r="DN237" i="52"/>
  <c r="CN237" i="52" s="1"/>
  <c r="DM237" i="52"/>
  <c r="CM237" i="52" s="1"/>
  <c r="DL237" i="52"/>
  <c r="CL237" i="52" s="1"/>
  <c r="DK237" i="52"/>
  <c r="CK237" i="52" s="1"/>
  <c r="DJ237" i="52"/>
  <c r="CJ237" i="52" s="1"/>
  <c r="DI237" i="52"/>
  <c r="CI237" i="52" s="1"/>
  <c r="DH237" i="52"/>
  <c r="CH237" i="52" s="1"/>
  <c r="DG237" i="52"/>
  <c r="CG237" i="52"/>
  <c r="DY237" i="52"/>
  <c r="CY237" i="52" s="1"/>
  <c r="DW231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CW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D231" i="52"/>
  <c r="DW230" i="52"/>
  <c r="DV230" i="52"/>
  <c r="DU230" i="52"/>
  <c r="DT230" i="52"/>
  <c r="DS230" i="52"/>
  <c r="DR230" i="52"/>
  <c r="DQ230" i="52"/>
  <c r="DP230" i="52"/>
  <c r="DO230" i="52"/>
  <c r="DN230" i="52"/>
  <c r="DM230" i="52"/>
  <c r="DL230" i="52"/>
  <c r="DK230" i="52"/>
  <c r="DJ230" i="52"/>
  <c r="DI230" i="52"/>
  <c r="DH230" i="52"/>
  <c r="DG230" i="52"/>
  <c r="CW230" i="52"/>
  <c r="CV230" i="52"/>
  <c r="CU230" i="52"/>
  <c r="CT230" i="52"/>
  <c r="CS230" i="52"/>
  <c r="CR230" i="52"/>
  <c r="CQ230" i="52"/>
  <c r="CP230" i="52"/>
  <c r="CO230" i="52"/>
  <c r="CN230" i="52"/>
  <c r="CM230" i="52"/>
  <c r="CL230" i="52"/>
  <c r="CK230" i="52"/>
  <c r="CJ230" i="52"/>
  <c r="CI230" i="52"/>
  <c r="CH230" i="52"/>
  <c r="CG230" i="52"/>
  <c r="DW229" i="52"/>
  <c r="DV229" i="52"/>
  <c r="DU229" i="52"/>
  <c r="DT229" i="52"/>
  <c r="DS229" i="52"/>
  <c r="DR229" i="52"/>
  <c r="DQ229" i="52"/>
  <c r="DP229" i="52"/>
  <c r="DO229" i="52"/>
  <c r="DN229" i="52"/>
  <c r="DM229" i="52"/>
  <c r="DL229" i="52"/>
  <c r="DK229" i="52"/>
  <c r="DJ229" i="52"/>
  <c r="DI229" i="52"/>
  <c r="DH229" i="52"/>
  <c r="DG229" i="52"/>
  <c r="CW229" i="52"/>
  <c r="CV229" i="52"/>
  <c r="CU229" i="52"/>
  <c r="CT229" i="52"/>
  <c r="CS229" i="52"/>
  <c r="CR229" i="52"/>
  <c r="CQ229" i="52"/>
  <c r="CP229" i="52"/>
  <c r="CO229" i="52"/>
  <c r="CN229" i="52"/>
  <c r="CM229" i="52"/>
  <c r="CL229" i="52"/>
  <c r="CK229" i="52"/>
  <c r="CJ229" i="52"/>
  <c r="CI229" i="52"/>
  <c r="CH229" i="52"/>
  <c r="CG229" i="52"/>
  <c r="CD229" i="52"/>
  <c r="DW220" i="52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CW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DD220" i="52"/>
  <c r="DW219" i="52"/>
  <c r="DV219" i="52"/>
  <c r="DU219" i="52"/>
  <c r="DT219" i="52"/>
  <c r="DS219" i="52"/>
  <c r="DR219" i="52"/>
  <c r="DQ219" i="52"/>
  <c r="DP219" i="52"/>
  <c r="DO219" i="52"/>
  <c r="DN219" i="52"/>
  <c r="DM219" i="52"/>
  <c r="DL219" i="52"/>
  <c r="DK219" i="52"/>
  <c r="DJ219" i="52"/>
  <c r="DI219" i="52"/>
  <c r="DH219" i="52"/>
  <c r="DG219" i="52"/>
  <c r="CW219" i="52"/>
  <c r="CV219" i="52"/>
  <c r="CU219" i="52"/>
  <c r="CT219" i="52"/>
  <c r="CS219" i="52"/>
  <c r="CR219" i="52"/>
  <c r="CQ219" i="52"/>
  <c r="CP219" i="52"/>
  <c r="CO219" i="52"/>
  <c r="CN219" i="52"/>
  <c r="CM219" i="52"/>
  <c r="CL219" i="52"/>
  <c r="CK219" i="52"/>
  <c r="CJ219" i="52"/>
  <c r="CI219" i="52"/>
  <c r="CH219" i="52"/>
  <c r="CG219" i="52"/>
  <c r="DW218" i="52"/>
  <c r="DV218" i="52"/>
  <c r="DU218" i="52"/>
  <c r="DT218" i="52"/>
  <c r="DS218" i="52"/>
  <c r="DR218" i="52"/>
  <c r="DQ218" i="52"/>
  <c r="DP218" i="52"/>
  <c r="DO218" i="52"/>
  <c r="DN218" i="52"/>
  <c r="DM218" i="52"/>
  <c r="DL218" i="52"/>
  <c r="DK218" i="52"/>
  <c r="DJ218" i="52"/>
  <c r="DI218" i="52"/>
  <c r="DH218" i="52"/>
  <c r="DG218" i="52"/>
  <c r="CW218" i="52"/>
  <c r="CV218" i="52"/>
  <c r="CU218" i="52"/>
  <c r="CT218" i="52"/>
  <c r="CS218" i="52"/>
  <c r="CR218" i="52"/>
  <c r="CQ218" i="52"/>
  <c r="CP218" i="52"/>
  <c r="CO218" i="52"/>
  <c r="CN218" i="52"/>
  <c r="CM218" i="52"/>
  <c r="CL218" i="52"/>
  <c r="CK218" i="52"/>
  <c r="CJ218" i="52"/>
  <c r="CI218" i="52"/>
  <c r="CH218" i="52"/>
  <c r="CG218" i="52"/>
  <c r="DF218" i="52"/>
  <c r="DW217" i="52"/>
  <c r="DV217" i="52"/>
  <c r="DU217" i="52"/>
  <c r="DT217" i="52"/>
  <c r="DS217" i="52"/>
  <c r="DR217" i="52"/>
  <c r="DQ217" i="52"/>
  <c r="DP217" i="52"/>
  <c r="DO217" i="52"/>
  <c r="DN217" i="52"/>
  <c r="DM217" i="52"/>
  <c r="DL217" i="52"/>
  <c r="DK217" i="52"/>
  <c r="DJ217" i="52"/>
  <c r="DI217" i="52"/>
  <c r="DH217" i="52"/>
  <c r="DG217" i="52"/>
  <c r="CW217" i="52"/>
  <c r="CV217" i="52"/>
  <c r="CU217" i="52"/>
  <c r="CT217" i="52"/>
  <c r="CS217" i="52"/>
  <c r="CR217" i="52"/>
  <c r="CQ217" i="52"/>
  <c r="CP217" i="52"/>
  <c r="CO217" i="52"/>
  <c r="CN217" i="52"/>
  <c r="CM217" i="52"/>
  <c r="CL217" i="52"/>
  <c r="CK217" i="52"/>
  <c r="CJ217" i="52"/>
  <c r="CI217" i="52"/>
  <c r="CH217" i="52"/>
  <c r="CG217" i="52"/>
  <c r="DF217" i="52"/>
  <c r="DW216" i="52"/>
  <c r="DV216" i="52"/>
  <c r="DU216" i="52"/>
  <c r="DT216" i="52"/>
  <c r="DS216" i="52"/>
  <c r="DR216" i="52"/>
  <c r="DQ216" i="52"/>
  <c r="DP216" i="52"/>
  <c r="DO216" i="52"/>
  <c r="DN216" i="52"/>
  <c r="DM216" i="52"/>
  <c r="DL216" i="52"/>
  <c r="DK216" i="52"/>
  <c r="DJ216" i="52"/>
  <c r="DI216" i="52"/>
  <c r="DH216" i="52"/>
  <c r="DG216" i="52"/>
  <c r="CW216" i="52"/>
  <c r="CV216" i="52"/>
  <c r="CU216" i="52"/>
  <c r="CT216" i="52"/>
  <c r="CS216" i="52"/>
  <c r="CR216" i="52"/>
  <c r="CQ216" i="52"/>
  <c r="CP216" i="52"/>
  <c r="CO216" i="52"/>
  <c r="CN216" i="52"/>
  <c r="CM216" i="52"/>
  <c r="CL216" i="52"/>
  <c r="CK216" i="52"/>
  <c r="CJ216" i="52"/>
  <c r="CI216" i="52"/>
  <c r="CH216" i="52"/>
  <c r="CG216" i="52"/>
  <c r="DF216" i="52"/>
  <c r="DF155" i="52"/>
  <c r="DE155" i="52"/>
  <c r="DD155" i="52"/>
  <c r="DC155" i="52"/>
  <c r="DB155" i="52"/>
  <c r="CF155" i="52"/>
  <c r="CE155" i="52"/>
  <c r="CD155" i="52"/>
  <c r="CC155" i="52"/>
  <c r="CB155" i="52"/>
  <c r="DF154" i="52"/>
  <c r="DE154" i="52"/>
  <c r="DD154" i="52"/>
  <c r="DC154" i="52"/>
  <c r="DB154" i="52"/>
  <c r="CF154" i="52"/>
  <c r="CE154" i="52"/>
  <c r="CD154" i="52"/>
  <c r="CC154" i="52"/>
  <c r="CB154" i="52"/>
  <c r="DF153" i="52"/>
  <c r="DE153" i="52"/>
  <c r="DD153" i="52"/>
  <c r="DC153" i="52"/>
  <c r="DB153" i="52"/>
  <c r="CF153" i="52"/>
  <c r="CE153" i="52"/>
  <c r="CD153" i="52"/>
  <c r="CC153" i="52"/>
  <c r="CB153" i="52"/>
  <c r="DF152" i="52"/>
  <c r="DE152" i="52"/>
  <c r="DD152" i="52"/>
  <c r="DC152" i="52"/>
  <c r="DB152" i="52"/>
  <c r="CF152" i="52"/>
  <c r="CE152" i="52"/>
  <c r="CD152" i="52"/>
  <c r="CC152" i="52"/>
  <c r="CB152" i="52"/>
  <c r="DF151" i="52"/>
  <c r="DE151" i="52"/>
  <c r="DD151" i="52"/>
  <c r="DC151" i="52"/>
  <c r="DB151" i="52"/>
  <c r="CF151" i="52"/>
  <c r="CE151" i="52"/>
  <c r="CD151" i="52"/>
  <c r="CC151" i="52"/>
  <c r="CB151" i="52"/>
  <c r="DF147" i="52"/>
  <c r="DE147" i="52"/>
  <c r="DD147" i="52"/>
  <c r="DC147" i="52"/>
  <c r="DB147" i="52"/>
  <c r="CF147" i="52"/>
  <c r="CE147" i="52"/>
  <c r="CD147" i="52"/>
  <c r="CC147" i="52"/>
  <c r="CB147" i="52"/>
  <c r="DF146" i="52"/>
  <c r="DE146" i="52"/>
  <c r="DD146" i="52"/>
  <c r="DC146" i="52"/>
  <c r="DB146" i="52"/>
  <c r="CF146" i="52"/>
  <c r="CE146" i="52"/>
  <c r="CD146" i="52"/>
  <c r="CC146" i="52"/>
  <c r="CB146" i="52"/>
  <c r="DF145" i="52"/>
  <c r="DE145" i="52"/>
  <c r="DD145" i="52"/>
  <c r="DC145" i="52"/>
  <c r="DB145" i="52"/>
  <c r="CF145" i="52"/>
  <c r="CE145" i="52"/>
  <c r="CD145" i="52"/>
  <c r="CC145" i="52"/>
  <c r="CB145" i="52"/>
  <c r="DF144" i="52"/>
  <c r="DE144" i="52"/>
  <c r="DD144" i="52"/>
  <c r="DC144" i="52"/>
  <c r="DB144" i="52"/>
  <c r="CF144" i="52"/>
  <c r="CE144" i="52"/>
  <c r="CD144" i="52"/>
  <c r="CC144" i="52"/>
  <c r="CB144" i="52"/>
  <c r="DF143" i="52"/>
  <c r="DE143" i="52"/>
  <c r="DD143" i="52"/>
  <c r="DC143" i="52"/>
  <c r="DB143" i="52"/>
  <c r="CF143" i="52"/>
  <c r="CE143" i="52"/>
  <c r="CD143" i="52"/>
  <c r="CC143" i="52"/>
  <c r="CB143" i="52"/>
  <c r="DZ139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CZ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DZ138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CZ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DE138" i="52"/>
  <c r="DZ137" i="52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CZ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DA137" i="52"/>
  <c r="DZ136" i="52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CZ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DZ135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CZ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DE135" i="52"/>
  <c r="DZ134" i="52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CZ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DE134" i="52"/>
  <c r="DZ133" i="52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CZ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DA133" i="52"/>
  <c r="DZ132" i="52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CZ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DZ131" i="52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CZ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DE131" i="52"/>
  <c r="DZ130" i="52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CZ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DZ129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CZ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DZ128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CZ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E128" i="52"/>
  <c r="DZ127" i="52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CZ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DE127" i="52"/>
  <c r="DZ126" i="52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CZ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EA126" i="52"/>
  <c r="DZ125" i="52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CZ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DA125" i="52"/>
  <c r="DZ124" i="52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CZ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DE124" i="52"/>
  <c r="DZ123" i="52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CZ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DC123" i="52"/>
  <c r="DZ122" i="52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CZ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DF122" i="52"/>
  <c r="DZ117" i="52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CZ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DZ116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CZ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E116" i="52"/>
  <c r="DZ115" i="52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CZ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DE115" i="52"/>
  <c r="DZ114" i="52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CZ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D114" i="52"/>
  <c r="DZ113" i="52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CZ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C113" i="52"/>
  <c r="DZ112" i="52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CZ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DE112" i="52"/>
  <c r="DZ111" i="52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CZ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DC111" i="52"/>
  <c r="DZ110" i="52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CZ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DF110" i="52"/>
  <c r="DZ109" i="52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CZ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DE109" i="52"/>
  <c r="DZ108" i="52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CZ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E108" i="52"/>
  <c r="DZ107" i="52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CZ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DE107" i="52"/>
  <c r="DZ106" i="52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CZ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D106" i="52"/>
  <c r="DZ105" i="52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CZ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DA105" i="52"/>
  <c r="DZ104" i="52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CZ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DE104" i="52"/>
  <c r="DZ103" i="52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CZ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EA103" i="52"/>
  <c r="DZ102" i="52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CZ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DZ101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CZ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DE101" i="52"/>
  <c r="DZ100" i="52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CZ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DF100" i="52"/>
  <c r="DZ95" i="52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CZ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DC95" i="52"/>
  <c r="DZ94" i="52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CZ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DZ93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CZ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C93" i="52"/>
  <c r="DZ92" i="52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CZ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DZ91" i="52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CZ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DE91" i="52"/>
  <c r="DZ90" i="52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CZ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DZ89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CZ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C89" i="52"/>
  <c r="DZ88" i="52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CZ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DE88" i="52"/>
  <c r="DZ87" i="52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CZ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DE87" i="52"/>
  <c r="DZ86" i="52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CZ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DF86" i="52"/>
  <c r="DZ85" i="52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CZ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DA85" i="52"/>
  <c r="DZ84" i="52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CZ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DE84" i="52"/>
  <c r="DZ83" i="52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CZ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DE83" i="52"/>
  <c r="DZ82" i="52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CZ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DF82" i="52"/>
  <c r="DZ81" i="52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CZ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DA81" i="52"/>
  <c r="DZ80" i="52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CZ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DE80" i="52"/>
  <c r="DZ79" i="52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CZ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DE79" i="52"/>
  <c r="DZ78" i="52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CZ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DF78" i="52"/>
  <c r="DZ73" i="52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CZ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DA73" i="52"/>
  <c r="DZ72" i="52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CZ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DE72" i="52"/>
  <c r="DZ71" i="52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CZ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DE71" i="52"/>
  <c r="DZ70" i="52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CZ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DF70" i="52"/>
  <c r="DZ69" i="52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CZ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C69" i="52"/>
  <c r="DZ68" i="52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CZ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DE68" i="52"/>
  <c r="DZ67" i="52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CZ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DE67" i="52"/>
  <c r="DZ66" i="52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CZ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C66" i="52"/>
  <c r="DZ65" i="52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CZ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DA65" i="52"/>
  <c r="DZ64" i="52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CZ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DE64" i="52"/>
  <c r="DZ63" i="52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CZ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EA63" i="52"/>
  <c r="DZ62" i="52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CZ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DE62" i="52"/>
  <c r="DZ61" i="52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CZ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DD61" i="52"/>
  <c r="DZ60" i="52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CZ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DE60" i="52"/>
  <c r="DZ59" i="52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CZ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DD59" i="52"/>
  <c r="DZ58" i="52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CZ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DF58" i="52"/>
  <c r="DZ57" i="52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CZ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DE57" i="52"/>
  <c r="DZ56" i="52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CZ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DD56" i="52"/>
  <c r="DZ51" i="52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CZ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EA51" i="52"/>
  <c r="DZ50" i="52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CZ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DF50" i="52"/>
  <c r="DZ49" i="52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CZ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DE49" i="52"/>
  <c r="DZ48" i="52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CZ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DD48" i="52"/>
  <c r="DZ47" i="52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CZ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EA47" i="52"/>
  <c r="DZ46" i="52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CZ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DF46" i="52"/>
  <c r="DZ45" i="52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CZ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DE45" i="52"/>
  <c r="DZ44" i="52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CZ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DD44" i="52"/>
  <c r="DZ43" i="52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CZ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EA43" i="52"/>
  <c r="DZ42" i="52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CZ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DF42" i="52"/>
  <c r="DZ41" i="52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CZ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DE41" i="52"/>
  <c r="DZ40" i="52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CZ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DD40" i="52"/>
  <c r="DZ39" i="52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CZ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EA39" i="52"/>
  <c r="DZ38" i="52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CZ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DF38" i="52"/>
  <c r="DZ37" i="52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CZ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DE37" i="52"/>
  <c r="DZ36" i="52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CZ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DD36" i="52"/>
  <c r="DZ35" i="52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CZ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EA35" i="52"/>
  <c r="DZ34" i="52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CZ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DF34" i="52"/>
  <c r="DZ29" i="52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CZ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DE29" i="52"/>
  <c r="DZ28" i="52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CZ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DD28" i="52"/>
  <c r="DZ27" i="52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CZ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EA27" i="52"/>
  <c r="DZ26" i="52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CZ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DF26" i="52"/>
  <c r="DZ25" i="52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CZ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DE25" i="52"/>
  <c r="DZ24" i="52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CZ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DD24" i="52"/>
  <c r="DZ23" i="52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CZ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EA23" i="52"/>
  <c r="DZ22" i="52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CZ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DF22" i="52"/>
  <c r="DZ21" i="52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CZ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DE21" i="52"/>
  <c r="DZ20" i="52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CZ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DD20" i="52"/>
  <c r="DZ19" i="52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CZ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EA19" i="52"/>
  <c r="DZ18" i="52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CZ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DF18" i="52"/>
  <c r="DZ17" i="52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CZ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DE17" i="52"/>
  <c r="DZ16" i="52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CZ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DD16" i="52"/>
  <c r="DZ15" i="52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CZ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EA15" i="52"/>
  <c r="DZ14" i="52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CZ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DF14" i="52"/>
  <c r="DZ13" i="52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CZ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DE13" i="52"/>
  <c r="DZ12" i="52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CZ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D9" i="28"/>
  <c r="AG21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D21" i="51" l="1"/>
  <c r="CF214" i="52"/>
  <c r="DF214" i="52"/>
  <c r="DE215" i="52"/>
  <c r="CD215" i="52"/>
  <c r="DD215" i="52"/>
  <c r="CC215" i="52"/>
  <c r="DB215" i="52"/>
  <c r="CF215" i="52"/>
  <c r="DF215" i="52"/>
  <c r="CE215" i="52"/>
  <c r="DC215" i="52"/>
  <c r="CB215" i="52"/>
  <c r="CF226" i="52"/>
  <c r="CE226" i="52"/>
  <c r="CD226" i="52"/>
  <c r="CC226" i="52"/>
  <c r="CB226" i="52"/>
  <c r="F15" i="55"/>
  <c r="G15" i="55"/>
  <c r="CB225" i="52"/>
  <c r="CF225" i="52"/>
  <c r="CE225" i="52"/>
  <c r="CD225" i="52"/>
  <c r="CC225" i="52"/>
  <c r="E21" i="51"/>
  <c r="C11" i="51"/>
  <c r="M44" i="53"/>
  <c r="B195" i="53" s="1"/>
  <c r="B308" i="52"/>
  <c r="F17" i="28" s="1"/>
  <c r="CF227" i="52"/>
  <c r="CE227" i="52"/>
  <c r="CD227" i="52"/>
  <c r="CC227" i="52"/>
  <c r="CB227" i="52"/>
  <c r="CF228" i="52"/>
  <c r="CE228" i="52"/>
  <c r="CD228" i="52"/>
  <c r="CC228" i="52"/>
  <c r="CB228" i="52"/>
  <c r="DF236" i="52"/>
  <c r="DY236" i="52"/>
  <c r="CY236" i="52" s="1"/>
  <c r="DD236" i="52"/>
  <c r="CC236" i="52"/>
  <c r="DE236" i="52"/>
  <c r="CD236" i="52"/>
  <c r="CE236" i="52"/>
  <c r="CF236" i="52"/>
  <c r="DX236" i="52"/>
  <c r="CX236" i="52" s="1"/>
  <c r="DB236" i="52"/>
  <c r="CB236" i="52" s="1"/>
  <c r="DC236" i="52"/>
  <c r="DY161" i="52"/>
  <c r="CY161" i="52" s="1"/>
  <c r="DF161" i="52"/>
  <c r="CF161" i="52" s="1"/>
  <c r="DH161" i="52"/>
  <c r="CH161" i="52" s="1"/>
  <c r="DJ161" i="52"/>
  <c r="CJ161" i="52" s="1"/>
  <c r="DD161" i="52"/>
  <c r="CD161" i="52" s="1"/>
  <c r="DY165" i="52"/>
  <c r="CY165" i="52" s="1"/>
  <c r="DH165" i="52"/>
  <c r="CH165" i="52" s="1"/>
  <c r="DF165" i="52"/>
  <c r="CF165" i="52" s="1"/>
  <c r="DJ165" i="52"/>
  <c r="CJ165" i="52" s="1"/>
  <c r="DD165" i="52"/>
  <c r="CD165" i="52" s="1"/>
  <c r="DY169" i="52"/>
  <c r="CY169" i="52" s="1"/>
  <c r="DJ169" i="52"/>
  <c r="CJ169" i="52" s="1"/>
  <c r="DH169" i="52"/>
  <c r="CH169" i="52" s="1"/>
  <c r="DF169" i="52"/>
  <c r="CF169" i="52" s="1"/>
  <c r="DD169" i="52"/>
  <c r="CD169" i="52" s="1"/>
  <c r="DY173" i="52"/>
  <c r="CY173" i="52" s="1"/>
  <c r="DH173" i="52"/>
  <c r="CH173" i="52" s="1"/>
  <c r="DF173" i="52"/>
  <c r="CF173" i="52" s="1"/>
  <c r="DJ173" i="52"/>
  <c r="CJ173" i="52" s="1"/>
  <c r="DD173" i="52"/>
  <c r="CD173" i="52" s="1"/>
  <c r="DY177" i="52"/>
  <c r="CY177" i="52" s="1"/>
  <c r="DJ177" i="52"/>
  <c r="CJ177" i="52" s="1"/>
  <c r="DH177" i="52"/>
  <c r="CH177" i="52" s="1"/>
  <c r="DF177" i="52"/>
  <c r="CF177" i="52" s="1"/>
  <c r="DD177" i="52"/>
  <c r="CD177" i="52" s="1"/>
  <c r="DY181" i="52"/>
  <c r="CY181" i="52" s="1"/>
  <c r="DH181" i="52"/>
  <c r="CH181" i="52" s="1"/>
  <c r="DF181" i="52"/>
  <c r="CF181" i="52" s="1"/>
  <c r="DJ181" i="52"/>
  <c r="CJ181" i="52" s="1"/>
  <c r="DD181" i="52"/>
  <c r="CD181" i="52" s="1"/>
  <c r="DY189" i="52"/>
  <c r="CY189" i="52" s="1"/>
  <c r="DJ189" i="52"/>
  <c r="CJ189" i="52" s="1"/>
  <c r="DH189" i="52"/>
  <c r="CH189" i="52" s="1"/>
  <c r="DF189" i="52"/>
  <c r="CF189" i="52" s="1"/>
  <c r="DD189" i="52"/>
  <c r="CD189" i="52" s="1"/>
  <c r="DY193" i="52"/>
  <c r="CY193" i="52" s="1"/>
  <c r="DF193" i="52"/>
  <c r="CF193" i="52" s="1"/>
  <c r="DD193" i="52"/>
  <c r="CD193" i="52" s="1"/>
  <c r="DJ193" i="52"/>
  <c r="CJ193" i="52" s="1"/>
  <c r="DH193" i="52"/>
  <c r="CH193" i="52" s="1"/>
  <c r="DY197" i="52"/>
  <c r="CY197" i="52" s="1"/>
  <c r="DJ197" i="52"/>
  <c r="CJ197" i="52" s="1"/>
  <c r="DH197" i="52"/>
  <c r="CH197" i="52" s="1"/>
  <c r="DD197" i="52"/>
  <c r="CD197" i="52" s="1"/>
  <c r="DF197" i="52"/>
  <c r="CF197" i="52" s="1"/>
  <c r="DY201" i="52"/>
  <c r="CY201" i="52" s="1"/>
  <c r="DF201" i="52"/>
  <c r="CF201" i="52" s="1"/>
  <c r="DD201" i="52"/>
  <c r="CD201" i="52" s="1"/>
  <c r="DH201" i="52"/>
  <c r="CH201" i="52" s="1"/>
  <c r="DJ201" i="52"/>
  <c r="CJ201" i="52" s="1"/>
  <c r="DX205" i="52"/>
  <c r="CX205" i="52" s="1"/>
  <c r="DC205" i="52"/>
  <c r="CC205" i="52" s="1"/>
  <c r="DB205" i="52"/>
  <c r="CB205" i="52" s="1"/>
  <c r="DI205" i="52"/>
  <c r="CI205" i="52" s="1"/>
  <c r="DG205" i="52"/>
  <c r="CG205" i="52" s="1"/>
  <c r="DE205" i="52"/>
  <c r="CE205" i="52" s="1"/>
  <c r="DX209" i="52"/>
  <c r="CX209" i="52" s="1"/>
  <c r="DG209" i="52"/>
  <c r="CG209" i="52" s="1"/>
  <c r="DE209" i="52"/>
  <c r="CE209" i="52" s="1"/>
  <c r="DC209" i="52"/>
  <c r="CC209" i="52" s="1"/>
  <c r="DI209" i="52"/>
  <c r="CI209" i="52" s="1"/>
  <c r="DB209" i="52"/>
  <c r="CB209" i="52" s="1"/>
  <c r="CC242" i="52"/>
  <c r="DC242" i="52"/>
  <c r="DX247" i="52"/>
  <c r="CX247" i="52" s="1"/>
  <c r="CC247" i="52"/>
  <c r="DC247" i="52"/>
  <c r="CC251" i="52"/>
  <c r="DC251" i="52"/>
  <c r="DC254" i="52"/>
  <c r="CC254" i="52"/>
  <c r="DX162" i="52"/>
  <c r="CX162" i="52" s="1"/>
  <c r="DG162" i="52"/>
  <c r="CG162" i="52" s="1"/>
  <c r="DI162" i="52"/>
  <c r="CI162" i="52" s="1"/>
  <c r="DC162" i="52"/>
  <c r="CC162" i="52" s="1"/>
  <c r="DB162" i="52"/>
  <c r="CB162" i="52" s="1"/>
  <c r="DE162" i="52"/>
  <c r="CE162" i="52" s="1"/>
  <c r="DX166" i="52"/>
  <c r="CX166" i="52" s="1"/>
  <c r="DI166" i="52"/>
  <c r="CI166" i="52" s="1"/>
  <c r="DE166" i="52"/>
  <c r="CE166" i="52" s="1"/>
  <c r="DC166" i="52"/>
  <c r="CC166" i="52" s="1"/>
  <c r="DG166" i="52"/>
  <c r="CG166" i="52" s="1"/>
  <c r="DB166" i="52"/>
  <c r="CB166" i="52" s="1"/>
  <c r="DX170" i="52"/>
  <c r="CX170" i="52" s="1"/>
  <c r="DE170" i="52"/>
  <c r="CE170" i="52" s="1"/>
  <c r="DG170" i="52"/>
  <c r="CG170" i="52" s="1"/>
  <c r="DC170" i="52"/>
  <c r="CC170" i="52" s="1"/>
  <c r="DB170" i="52"/>
  <c r="CB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B174" i="52"/>
  <c r="CB174" i="52" s="1"/>
  <c r="DX178" i="52"/>
  <c r="CX178" i="52" s="1"/>
  <c r="DE178" i="52"/>
  <c r="CE178" i="52" s="1"/>
  <c r="DC178" i="52"/>
  <c r="CC178" i="52" s="1"/>
  <c r="DB178" i="52"/>
  <c r="CB178" i="52" s="1"/>
  <c r="DG178" i="52"/>
  <c r="CG178" i="52" s="1"/>
  <c r="DI178" i="52"/>
  <c r="CI178" i="52" s="1"/>
  <c r="DX182" i="52"/>
  <c r="CX182" i="52" s="1"/>
  <c r="DG182" i="52"/>
  <c r="CG182" i="52" s="1"/>
  <c r="DI182" i="52"/>
  <c r="CI182" i="52" s="1"/>
  <c r="DC182" i="52"/>
  <c r="CC182" i="52" s="1"/>
  <c r="DE182" i="52"/>
  <c r="CE182" i="52" s="1"/>
  <c r="DB182" i="52"/>
  <c r="CB182" i="52" s="1"/>
  <c r="DX190" i="52"/>
  <c r="CX190" i="52" s="1"/>
  <c r="DB190" i="52"/>
  <c r="CB190" i="52" s="1"/>
  <c r="DI190" i="52"/>
  <c r="CI190" i="52" s="1"/>
  <c r="DG190" i="52"/>
  <c r="CG190" i="52" s="1"/>
  <c r="DC190" i="52"/>
  <c r="CC190" i="52" s="1"/>
  <c r="DE190" i="52"/>
  <c r="CE190" i="52" s="1"/>
  <c r="DX194" i="52"/>
  <c r="CX194" i="52" s="1"/>
  <c r="DE194" i="52"/>
  <c r="CE194" i="52" s="1"/>
  <c r="DC194" i="52"/>
  <c r="CC194" i="52" s="1"/>
  <c r="DB194" i="52"/>
  <c r="CB194" i="52" s="1"/>
  <c r="DG194" i="52"/>
  <c r="CG194" i="52" s="1"/>
  <c r="DI194" i="52"/>
  <c r="CI194" i="52" s="1"/>
  <c r="DX198" i="52"/>
  <c r="CX198" i="52" s="1"/>
  <c r="DB198" i="52"/>
  <c r="CB198" i="52" s="1"/>
  <c r="DI198" i="52"/>
  <c r="CI198" i="52" s="1"/>
  <c r="DG198" i="52"/>
  <c r="CG198" i="52" s="1"/>
  <c r="DE198" i="52"/>
  <c r="CE198" i="52" s="1"/>
  <c r="DC198" i="52"/>
  <c r="CC198" i="52" s="1"/>
  <c r="DY205" i="52"/>
  <c r="CY205" i="52" s="1"/>
  <c r="DJ205" i="52"/>
  <c r="CJ205" i="52" s="1"/>
  <c r="DH205" i="52"/>
  <c r="CH205" i="52" s="1"/>
  <c r="DF205" i="52"/>
  <c r="CF205" i="52" s="1"/>
  <c r="DD205" i="52"/>
  <c r="CD205" i="52" s="1"/>
  <c r="DY209" i="52"/>
  <c r="CY209" i="52" s="1"/>
  <c r="DF209" i="52"/>
  <c r="CF209" i="52" s="1"/>
  <c r="DD209" i="52"/>
  <c r="CD209" i="52" s="1"/>
  <c r="DJ209" i="52"/>
  <c r="CJ209" i="52" s="1"/>
  <c r="DH209" i="52"/>
  <c r="CH209" i="52" s="1"/>
  <c r="CC244" i="52"/>
  <c r="DC244" i="52"/>
  <c r="CC256" i="52"/>
  <c r="DC256" i="52"/>
  <c r="CB116" i="52"/>
  <c r="DY162" i="52"/>
  <c r="CY162" i="52" s="1"/>
  <c r="DF162" i="52"/>
  <c r="CF162" i="52" s="1"/>
  <c r="DJ162" i="52"/>
  <c r="CJ162" i="52" s="1"/>
  <c r="DD162" i="52"/>
  <c r="CD162" i="52" s="1"/>
  <c r="DH162" i="52"/>
  <c r="CH162" i="52" s="1"/>
  <c r="DY166" i="52"/>
  <c r="CY166" i="52" s="1"/>
  <c r="DH166" i="52"/>
  <c r="CH166" i="52" s="1"/>
  <c r="DJ166" i="52"/>
  <c r="CJ166" i="52" s="1"/>
  <c r="DD166" i="52"/>
  <c r="CD166" i="52" s="1"/>
  <c r="DF166" i="52"/>
  <c r="CF166" i="52" s="1"/>
  <c r="DY170" i="52"/>
  <c r="CY170" i="52" s="1"/>
  <c r="DF170" i="52"/>
  <c r="CF170" i="52" s="1"/>
  <c r="DD170" i="52"/>
  <c r="CD170" i="52" s="1"/>
  <c r="DH170" i="52"/>
  <c r="CH170" i="52" s="1"/>
  <c r="DJ170" i="52"/>
  <c r="CJ170" i="52" s="1"/>
  <c r="DY174" i="52"/>
  <c r="CY174" i="52" s="1"/>
  <c r="DH174" i="52"/>
  <c r="CH174" i="52" s="1"/>
  <c r="DJ174" i="52"/>
  <c r="CJ174" i="52" s="1"/>
  <c r="DD174" i="52"/>
  <c r="CD174" i="52" s="1"/>
  <c r="DF174" i="52"/>
  <c r="CF174" i="52" s="1"/>
  <c r="DY178" i="52"/>
  <c r="CY178" i="52" s="1"/>
  <c r="DF178" i="52"/>
  <c r="CF178" i="52" s="1"/>
  <c r="DH178" i="52"/>
  <c r="CH178" i="52" s="1"/>
  <c r="DD178" i="52"/>
  <c r="CD178" i="52" s="1"/>
  <c r="DJ178" i="52"/>
  <c r="CJ178" i="52" s="1"/>
  <c r="DY182" i="52"/>
  <c r="CY182" i="52" s="1"/>
  <c r="DF182" i="52"/>
  <c r="CF182" i="52" s="1"/>
  <c r="DH182" i="52"/>
  <c r="CH182" i="52" s="1"/>
  <c r="DJ182" i="52"/>
  <c r="CJ182" i="52" s="1"/>
  <c r="DD182" i="52"/>
  <c r="CD182" i="52" s="1"/>
  <c r="DY190" i="52"/>
  <c r="CY190" i="52" s="1"/>
  <c r="DJ190" i="52"/>
  <c r="CJ190" i="52" s="1"/>
  <c r="DH190" i="52"/>
  <c r="CH190" i="52" s="1"/>
  <c r="DF190" i="52"/>
  <c r="CF190" i="52" s="1"/>
  <c r="DD190" i="52"/>
  <c r="CD190" i="52" s="1"/>
  <c r="DY194" i="52"/>
  <c r="CY194" i="52" s="1"/>
  <c r="DF194" i="52"/>
  <c r="CF194" i="52" s="1"/>
  <c r="DD194" i="52"/>
  <c r="CD194" i="52" s="1"/>
  <c r="DJ194" i="52"/>
  <c r="CJ194" i="52" s="1"/>
  <c r="DH194" i="52"/>
  <c r="CH194" i="52" s="1"/>
  <c r="DY198" i="52"/>
  <c r="CY198" i="52" s="1"/>
  <c r="DJ198" i="52"/>
  <c r="CJ198" i="52" s="1"/>
  <c r="DH198" i="52"/>
  <c r="CH198" i="52" s="1"/>
  <c r="DF198" i="52"/>
  <c r="CF198" i="52" s="1"/>
  <c r="DD198" i="52"/>
  <c r="CD198" i="52" s="1"/>
  <c r="DX202" i="52"/>
  <c r="CX202" i="52" s="1"/>
  <c r="DE202" i="52"/>
  <c r="CE202" i="52" s="1"/>
  <c r="DC202" i="52"/>
  <c r="CC202" i="52" s="1"/>
  <c r="DB202" i="52"/>
  <c r="CB202" i="52" s="1"/>
  <c r="DI202" i="52"/>
  <c r="CI202" i="52" s="1"/>
  <c r="DG202" i="52"/>
  <c r="CG202" i="52" s="1"/>
  <c r="DX206" i="52"/>
  <c r="CX206" i="52" s="1"/>
  <c r="DB206" i="52"/>
  <c r="CB206" i="52" s="1"/>
  <c r="DI206" i="52"/>
  <c r="CI206" i="52" s="1"/>
  <c r="DG206" i="52"/>
  <c r="CG206" i="52" s="1"/>
  <c r="DE206" i="52"/>
  <c r="CE206" i="52" s="1"/>
  <c r="DC206" i="52"/>
  <c r="CC206" i="52" s="1"/>
  <c r="DC238" i="52"/>
  <c r="CC238" i="52"/>
  <c r="DX246" i="52"/>
  <c r="CX246" i="52" s="1"/>
  <c r="DC246" i="52"/>
  <c r="CC246" i="52"/>
  <c r="DC253" i="52"/>
  <c r="CC253" i="52"/>
  <c r="CC258" i="52"/>
  <c r="DC258" i="52"/>
  <c r="DX163" i="52"/>
  <c r="CX163" i="52" s="1"/>
  <c r="DI163" i="52"/>
  <c r="CI163" i="52" s="1"/>
  <c r="DG163" i="52"/>
  <c r="CG163" i="52" s="1"/>
  <c r="DC163" i="52"/>
  <c r="CC163" i="52" s="1"/>
  <c r="DB163" i="52"/>
  <c r="CB163" i="52" s="1"/>
  <c r="DE163" i="52"/>
  <c r="CE163" i="52" s="1"/>
  <c r="DX167" i="52"/>
  <c r="CX167" i="52" s="1"/>
  <c r="DE167" i="52"/>
  <c r="CE167" i="52" s="1"/>
  <c r="DG167" i="52"/>
  <c r="CG167" i="52" s="1"/>
  <c r="DB167" i="52"/>
  <c r="CB167" i="52" s="1"/>
  <c r="DC167" i="52"/>
  <c r="CC167" i="52" s="1"/>
  <c r="DI167" i="52"/>
  <c r="CI167" i="52" s="1"/>
  <c r="DX171" i="52"/>
  <c r="CX171" i="52" s="1"/>
  <c r="DG171" i="52"/>
  <c r="CG171" i="52" s="1"/>
  <c r="DI171" i="52"/>
  <c r="CI171" i="52" s="1"/>
  <c r="DC171" i="52"/>
  <c r="CC171" i="52" s="1"/>
  <c r="DB171" i="52"/>
  <c r="CB171" i="52" s="1"/>
  <c r="DE171" i="52"/>
  <c r="CE171" i="52" s="1"/>
  <c r="DX175" i="52"/>
  <c r="CX175" i="52" s="1"/>
  <c r="DE175" i="52"/>
  <c r="CE175" i="52" s="1"/>
  <c r="DI175" i="52"/>
  <c r="CI175" i="52" s="1"/>
  <c r="DB175" i="52"/>
  <c r="CB175" i="52" s="1"/>
  <c r="DC175" i="52"/>
  <c r="CC175" i="52" s="1"/>
  <c r="DG175" i="52"/>
  <c r="CG175" i="52" s="1"/>
  <c r="DX179" i="52"/>
  <c r="CX179" i="52" s="1"/>
  <c r="DE179" i="52"/>
  <c r="CE179" i="52" s="1"/>
  <c r="DG179" i="52"/>
  <c r="CG179" i="52" s="1"/>
  <c r="DI179" i="52"/>
  <c r="CI179" i="52" s="1"/>
  <c r="DC179" i="52"/>
  <c r="CC179" i="52" s="1"/>
  <c r="DB179" i="52"/>
  <c r="CB179" i="52" s="1"/>
  <c r="DX187" i="52"/>
  <c r="CX187" i="52" s="1"/>
  <c r="DE187" i="52"/>
  <c r="CE187" i="52" s="1"/>
  <c r="DC187" i="52"/>
  <c r="CC187" i="52" s="1"/>
  <c r="DB187" i="52"/>
  <c r="CB187" i="52" s="1"/>
  <c r="DI187" i="52"/>
  <c r="CI187" i="52" s="1"/>
  <c r="DG187" i="52"/>
  <c r="CG187" i="52" s="1"/>
  <c r="DX191" i="52"/>
  <c r="CX191" i="52" s="1"/>
  <c r="DI191" i="52"/>
  <c r="CI191" i="52" s="1"/>
  <c r="DG191" i="52"/>
  <c r="CG191" i="52" s="1"/>
  <c r="DE191" i="52"/>
  <c r="CE191" i="52" s="1"/>
  <c r="DC191" i="52"/>
  <c r="CC191" i="52" s="1"/>
  <c r="DB191" i="52"/>
  <c r="CB191" i="52" s="1"/>
  <c r="DX195" i="52"/>
  <c r="CX195" i="52" s="1"/>
  <c r="DE195" i="52"/>
  <c r="CE195" i="52" s="1"/>
  <c r="DC195" i="52"/>
  <c r="CC195" i="52" s="1"/>
  <c r="DB195" i="52"/>
  <c r="CB195" i="52" s="1"/>
  <c r="DI195" i="52"/>
  <c r="CI195" i="52" s="1"/>
  <c r="DG195" i="52"/>
  <c r="CG195" i="52" s="1"/>
  <c r="DX199" i="52"/>
  <c r="CX199" i="52" s="1"/>
  <c r="DI199" i="52"/>
  <c r="CI199" i="52" s="1"/>
  <c r="DG199" i="52"/>
  <c r="CG199" i="52" s="1"/>
  <c r="DE199" i="52"/>
  <c r="CE199" i="52" s="1"/>
  <c r="DC199" i="52"/>
  <c r="CC199" i="52" s="1"/>
  <c r="DB199" i="52"/>
  <c r="CB199" i="52" s="1"/>
  <c r="DY202" i="52"/>
  <c r="CY202" i="52" s="1"/>
  <c r="DF202" i="52"/>
  <c r="CF202" i="52" s="1"/>
  <c r="DD202" i="52"/>
  <c r="CD202" i="52" s="1"/>
  <c r="DJ202" i="52"/>
  <c r="CJ202" i="52" s="1"/>
  <c r="DH202" i="52"/>
  <c r="CH202" i="52" s="1"/>
  <c r="DY206" i="52"/>
  <c r="CY206" i="52" s="1"/>
  <c r="DJ206" i="52"/>
  <c r="CJ206" i="52" s="1"/>
  <c r="DH206" i="52"/>
  <c r="CH206" i="52" s="1"/>
  <c r="DF206" i="52"/>
  <c r="CF206" i="52" s="1"/>
  <c r="DD206" i="52"/>
  <c r="CD206" i="52" s="1"/>
  <c r="DY163" i="52"/>
  <c r="CY163" i="52" s="1"/>
  <c r="DJ163" i="52"/>
  <c r="CJ163" i="52" s="1"/>
  <c r="DH163" i="52"/>
  <c r="CH163" i="52" s="1"/>
  <c r="DD163" i="52"/>
  <c r="CD163" i="52" s="1"/>
  <c r="DF163" i="52"/>
  <c r="CF163" i="52" s="1"/>
  <c r="DY167" i="52"/>
  <c r="CY167" i="52" s="1"/>
  <c r="DH167" i="52"/>
  <c r="CH167" i="52" s="1"/>
  <c r="DF167" i="52"/>
  <c r="CF167" i="52" s="1"/>
  <c r="DJ167" i="52"/>
  <c r="CJ167" i="52" s="1"/>
  <c r="DD167" i="52"/>
  <c r="CD167" i="52" s="1"/>
  <c r="DY171" i="52"/>
  <c r="CY171" i="52" s="1"/>
  <c r="DF171" i="52"/>
  <c r="CF171" i="52" s="1"/>
  <c r="DJ171" i="52"/>
  <c r="CJ171" i="52" s="1"/>
  <c r="DD171" i="52"/>
  <c r="CD171" i="52" s="1"/>
  <c r="DH171" i="52"/>
  <c r="CH171" i="52" s="1"/>
  <c r="DY175" i="52"/>
  <c r="CY175" i="52" s="1"/>
  <c r="DJ175" i="52"/>
  <c r="CJ175" i="52" s="1"/>
  <c r="DH175" i="52"/>
  <c r="CH175" i="52" s="1"/>
  <c r="DD175" i="52"/>
  <c r="CD175" i="52" s="1"/>
  <c r="DF175" i="52"/>
  <c r="CF175" i="52" s="1"/>
  <c r="DY179" i="52"/>
  <c r="CY179" i="52" s="1"/>
  <c r="DF179" i="52"/>
  <c r="CF179" i="52" s="1"/>
  <c r="DJ179" i="52"/>
  <c r="CJ179" i="52" s="1"/>
  <c r="DH179" i="52"/>
  <c r="CH179" i="52" s="1"/>
  <c r="DD179" i="52"/>
  <c r="CD179" i="52" s="1"/>
  <c r="DY187" i="52"/>
  <c r="CY187" i="52" s="1"/>
  <c r="DD187" i="52"/>
  <c r="CD187" i="52" s="1"/>
  <c r="DJ187" i="52"/>
  <c r="CJ187" i="52" s="1"/>
  <c r="DF187" i="52"/>
  <c r="CF187" i="52" s="1"/>
  <c r="DH187" i="52"/>
  <c r="CH187" i="52" s="1"/>
  <c r="DY191" i="52"/>
  <c r="CY191" i="52" s="1"/>
  <c r="DH191" i="52"/>
  <c r="CH191" i="52" s="1"/>
  <c r="DF191" i="52"/>
  <c r="CF191" i="52" s="1"/>
  <c r="DJ191" i="52"/>
  <c r="CJ191" i="52" s="1"/>
  <c r="DD191" i="52"/>
  <c r="CD191" i="52" s="1"/>
  <c r="DY195" i="52"/>
  <c r="CY195" i="52" s="1"/>
  <c r="DD195" i="52"/>
  <c r="CD195" i="52" s="1"/>
  <c r="DJ195" i="52"/>
  <c r="CJ195" i="52" s="1"/>
  <c r="DH195" i="52"/>
  <c r="CH195" i="52" s="1"/>
  <c r="DF195" i="52"/>
  <c r="CF195" i="52" s="1"/>
  <c r="DY199" i="52"/>
  <c r="CY199" i="52" s="1"/>
  <c r="DH199" i="52"/>
  <c r="CH199" i="52" s="1"/>
  <c r="DF199" i="52"/>
  <c r="CF199" i="52" s="1"/>
  <c r="DD199" i="52"/>
  <c r="CD199" i="52" s="1"/>
  <c r="DJ199" i="52"/>
  <c r="CJ199" i="52" s="1"/>
  <c r="DX203" i="52"/>
  <c r="CX203" i="52" s="1"/>
  <c r="DE203" i="52"/>
  <c r="CE203" i="52" s="1"/>
  <c r="DC203" i="52"/>
  <c r="CC203" i="52" s="1"/>
  <c r="DB203" i="52"/>
  <c r="CB203" i="52" s="1"/>
  <c r="DI203" i="52"/>
  <c r="CI203" i="52" s="1"/>
  <c r="DG203" i="52"/>
  <c r="CG203" i="52" s="1"/>
  <c r="DX207" i="52"/>
  <c r="CX207" i="52" s="1"/>
  <c r="DI207" i="52"/>
  <c r="CI207" i="52" s="1"/>
  <c r="DG207" i="52"/>
  <c r="CG207" i="52" s="1"/>
  <c r="DE207" i="52"/>
  <c r="CE207" i="52" s="1"/>
  <c r="DC207" i="52"/>
  <c r="CC207" i="52" s="1"/>
  <c r="DB207" i="52"/>
  <c r="CB207" i="52" s="1"/>
  <c r="CC240" i="52"/>
  <c r="DC240" i="52"/>
  <c r="CC241" i="52"/>
  <c r="DC241" i="52"/>
  <c r="CC250" i="52"/>
  <c r="DC250" i="52"/>
  <c r="DB90" i="52"/>
  <c r="DX160" i="52"/>
  <c r="CX160" i="52" s="1"/>
  <c r="DI160" i="52"/>
  <c r="CI160" i="52" s="1"/>
  <c r="DB160" i="52"/>
  <c r="CB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G164" i="52"/>
  <c r="CG164" i="52" s="1"/>
  <c r="DI164" i="52"/>
  <c r="CI164" i="52" s="1"/>
  <c r="DC164" i="52"/>
  <c r="CC164" i="52" s="1"/>
  <c r="DB164" i="52"/>
  <c r="CB164" i="52" s="1"/>
  <c r="DX168" i="52"/>
  <c r="CX168" i="52" s="1"/>
  <c r="DG168" i="52"/>
  <c r="CG168" i="52" s="1"/>
  <c r="DI168" i="52"/>
  <c r="CI168" i="52" s="1"/>
  <c r="DE168" i="52"/>
  <c r="CE168" i="52" s="1"/>
  <c r="DB168" i="52"/>
  <c r="CB168" i="52" s="1"/>
  <c r="DC168" i="52"/>
  <c r="CC168" i="52" s="1"/>
  <c r="DX172" i="52"/>
  <c r="CX172" i="52" s="1"/>
  <c r="DE172" i="52"/>
  <c r="CE172" i="52" s="1"/>
  <c r="DG172" i="52"/>
  <c r="CG172" i="52" s="1"/>
  <c r="DI172" i="52"/>
  <c r="CI172" i="52" s="1"/>
  <c r="DC172" i="52"/>
  <c r="CC172" i="52" s="1"/>
  <c r="DB172" i="52"/>
  <c r="CB172" i="52" s="1"/>
  <c r="DX176" i="52"/>
  <c r="CX176" i="52" s="1"/>
  <c r="DE176" i="52"/>
  <c r="CE176" i="52" s="1"/>
  <c r="DG176" i="52"/>
  <c r="CG176" i="52" s="1"/>
  <c r="DI176" i="52"/>
  <c r="CI176" i="52" s="1"/>
  <c r="DB176" i="52"/>
  <c r="CB176" i="52" s="1"/>
  <c r="DC176" i="52"/>
  <c r="CC176" i="52" s="1"/>
  <c r="DX180" i="52"/>
  <c r="CX180" i="52" s="1"/>
  <c r="DI180" i="52"/>
  <c r="CI180" i="52" s="1"/>
  <c r="DG180" i="52"/>
  <c r="CG180" i="52" s="1"/>
  <c r="DC180" i="52"/>
  <c r="CC180" i="52" s="1"/>
  <c r="DB180" i="52"/>
  <c r="CB180" i="52" s="1"/>
  <c r="DE180" i="52"/>
  <c r="CE180" i="52" s="1"/>
  <c r="DX188" i="52"/>
  <c r="CX188" i="52" s="1"/>
  <c r="DC188" i="52"/>
  <c r="CC188" i="52" s="1"/>
  <c r="DB188" i="52"/>
  <c r="CB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B192" i="52"/>
  <c r="CB192" i="52" s="1"/>
  <c r="DI192" i="52"/>
  <c r="CI192" i="52" s="1"/>
  <c r="DX196" i="52"/>
  <c r="CX196" i="52" s="1"/>
  <c r="DC196" i="52"/>
  <c r="CC196" i="52" s="1"/>
  <c r="DB196" i="52"/>
  <c r="CB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I200" i="52"/>
  <c r="CI200" i="52" s="1"/>
  <c r="DC200" i="52"/>
  <c r="CC200" i="52" s="1"/>
  <c r="DB200" i="52"/>
  <c r="CB200" i="52" s="1"/>
  <c r="DY203" i="52"/>
  <c r="CY203" i="52" s="1"/>
  <c r="DD203" i="52"/>
  <c r="CD203" i="52" s="1"/>
  <c r="DJ203" i="52"/>
  <c r="CJ203" i="52" s="1"/>
  <c r="DH203" i="52"/>
  <c r="CH203" i="52" s="1"/>
  <c r="DF203" i="52"/>
  <c r="CF203" i="52" s="1"/>
  <c r="DY207" i="52"/>
  <c r="CY207" i="52" s="1"/>
  <c r="DH207" i="52"/>
  <c r="CH207" i="52" s="1"/>
  <c r="DF207" i="52"/>
  <c r="CF207" i="52" s="1"/>
  <c r="DJ207" i="52"/>
  <c r="CJ207" i="52" s="1"/>
  <c r="DD207" i="52"/>
  <c r="CD207" i="52" s="1"/>
  <c r="CC243" i="52"/>
  <c r="DC243" i="52"/>
  <c r="DC245" i="52"/>
  <c r="CC245" i="52"/>
  <c r="DX248" i="52"/>
  <c r="CX248" i="52" s="1"/>
  <c r="CC248" i="52"/>
  <c r="DC248" i="52"/>
  <c r="CC252" i="52"/>
  <c r="DC252" i="52"/>
  <c r="CC255" i="52"/>
  <c r="DC255" i="52"/>
  <c r="DX257" i="52"/>
  <c r="CX257" i="52" s="1"/>
  <c r="CC257" i="52"/>
  <c r="DC257" i="52"/>
  <c r="DY160" i="52"/>
  <c r="CY160" i="52" s="1"/>
  <c r="DJ160" i="52"/>
  <c r="CJ160" i="52" s="1"/>
  <c r="DH160" i="52"/>
  <c r="CH160" i="52" s="1"/>
  <c r="DD160" i="52"/>
  <c r="CD160" i="52" s="1"/>
  <c r="DF160" i="52"/>
  <c r="CF160" i="52" s="1"/>
  <c r="DY164" i="52"/>
  <c r="CY164" i="52" s="1"/>
  <c r="DF164" i="52"/>
  <c r="CF164" i="52" s="1"/>
  <c r="DJ164" i="52"/>
  <c r="CJ164" i="52" s="1"/>
  <c r="DH164" i="52"/>
  <c r="CH164" i="52" s="1"/>
  <c r="DD164" i="52"/>
  <c r="CD164" i="52" s="1"/>
  <c r="DY168" i="52"/>
  <c r="CY168" i="52" s="1"/>
  <c r="DF168" i="52"/>
  <c r="CF168" i="52" s="1"/>
  <c r="DH168" i="52"/>
  <c r="CH168" i="52" s="1"/>
  <c r="DJ168" i="52"/>
  <c r="CJ168" i="52" s="1"/>
  <c r="DD168" i="52"/>
  <c r="CD168" i="52" s="1"/>
  <c r="DY172" i="52"/>
  <c r="CY172" i="52" s="1"/>
  <c r="DJ172" i="52"/>
  <c r="CJ172" i="52" s="1"/>
  <c r="DF172" i="52"/>
  <c r="CF172" i="52" s="1"/>
  <c r="DD172" i="52"/>
  <c r="CD172" i="52" s="1"/>
  <c r="DH172" i="52"/>
  <c r="CH172" i="52" s="1"/>
  <c r="DY176" i="52"/>
  <c r="CY176" i="52" s="1"/>
  <c r="DF176" i="52"/>
  <c r="CF176" i="52" s="1"/>
  <c r="DH176" i="52"/>
  <c r="CH176" i="52" s="1"/>
  <c r="DJ176" i="52"/>
  <c r="CJ176" i="52" s="1"/>
  <c r="DD176" i="52"/>
  <c r="CD176" i="52" s="1"/>
  <c r="DY180" i="52"/>
  <c r="CY180" i="52" s="1"/>
  <c r="DJ180" i="52"/>
  <c r="CJ180" i="52" s="1"/>
  <c r="DF180" i="52"/>
  <c r="CF180" i="52" s="1"/>
  <c r="DH180" i="52"/>
  <c r="CH180" i="52" s="1"/>
  <c r="DD180" i="52"/>
  <c r="CD180" i="52" s="1"/>
  <c r="DY188" i="52"/>
  <c r="CY188" i="52" s="1"/>
  <c r="DD188" i="52"/>
  <c r="CD188" i="52" s="1"/>
  <c r="DJ188" i="52"/>
  <c r="CJ188" i="52" s="1"/>
  <c r="DH188" i="52"/>
  <c r="CH188" i="52" s="1"/>
  <c r="DF188" i="52"/>
  <c r="CF188" i="52" s="1"/>
  <c r="DY192" i="52"/>
  <c r="CY192" i="52" s="1"/>
  <c r="DH192" i="52"/>
  <c r="CH192" i="52" s="1"/>
  <c r="DF192" i="52"/>
  <c r="CF192" i="52" s="1"/>
  <c r="DD192" i="52"/>
  <c r="CD192" i="52" s="1"/>
  <c r="DJ192" i="52"/>
  <c r="CJ192" i="52" s="1"/>
  <c r="DY196" i="52"/>
  <c r="CY196" i="52" s="1"/>
  <c r="DD196" i="52"/>
  <c r="CD196" i="52" s="1"/>
  <c r="DJ196" i="52"/>
  <c r="CJ196" i="52" s="1"/>
  <c r="DH196" i="52"/>
  <c r="CH196" i="52" s="1"/>
  <c r="DF196" i="52"/>
  <c r="CF196" i="52" s="1"/>
  <c r="DY200" i="52"/>
  <c r="CY200" i="52" s="1"/>
  <c r="DH200" i="52"/>
  <c r="CH200" i="52" s="1"/>
  <c r="DF200" i="52"/>
  <c r="CF200" i="52" s="1"/>
  <c r="DD200" i="52"/>
  <c r="CD200" i="52" s="1"/>
  <c r="DJ200" i="52"/>
  <c r="CJ200" i="52" s="1"/>
  <c r="DX204" i="52"/>
  <c r="CX204" i="52" s="1"/>
  <c r="DC204" i="52"/>
  <c r="CC204" i="52" s="1"/>
  <c r="DB204" i="52"/>
  <c r="CB204" i="52" s="1"/>
  <c r="DI204" i="52"/>
  <c r="CI204" i="52" s="1"/>
  <c r="DE204" i="52"/>
  <c r="CE204" i="52" s="1"/>
  <c r="DG204" i="52"/>
  <c r="CG204" i="52" s="1"/>
  <c r="DX208" i="52"/>
  <c r="CX208" i="52" s="1"/>
  <c r="DG208" i="52"/>
  <c r="CG208" i="52" s="1"/>
  <c r="DE208" i="52"/>
  <c r="CE208" i="52" s="1"/>
  <c r="DI208" i="52"/>
  <c r="CI208" i="52" s="1"/>
  <c r="DC208" i="52"/>
  <c r="CC208" i="52" s="1"/>
  <c r="DB208" i="52"/>
  <c r="CB208" i="52" s="1"/>
  <c r="DC237" i="52"/>
  <c r="CC237" i="52"/>
  <c r="DX239" i="52"/>
  <c r="CX239" i="52" s="1"/>
  <c r="CC239" i="52"/>
  <c r="DC239" i="52"/>
  <c r="DE139" i="52"/>
  <c r="CC139" i="52"/>
  <c r="DX161" i="52"/>
  <c r="CX161" i="52" s="1"/>
  <c r="DE161" i="52"/>
  <c r="CE161" i="52" s="1"/>
  <c r="DG161" i="52"/>
  <c r="CG161" i="52" s="1"/>
  <c r="DB161" i="52"/>
  <c r="CB161" i="52" s="1"/>
  <c r="DI161" i="52"/>
  <c r="CI161" i="52" s="1"/>
  <c r="DC161" i="52"/>
  <c r="CC161" i="52" s="1"/>
  <c r="DX165" i="52"/>
  <c r="CX165" i="52" s="1"/>
  <c r="DG165" i="52"/>
  <c r="CG165" i="52" s="1"/>
  <c r="DI165" i="52"/>
  <c r="CI165" i="52" s="1"/>
  <c r="DE165" i="52"/>
  <c r="CE165" i="52" s="1"/>
  <c r="DC165" i="52"/>
  <c r="CC165" i="52" s="1"/>
  <c r="DB165" i="52"/>
  <c r="CB165" i="52" s="1"/>
  <c r="DX169" i="52"/>
  <c r="CX169" i="52" s="1"/>
  <c r="DE169" i="52"/>
  <c r="CE169" i="52" s="1"/>
  <c r="DB169" i="52"/>
  <c r="CB169" i="52" s="1"/>
  <c r="DG169" i="52"/>
  <c r="CG169" i="52" s="1"/>
  <c r="DI169" i="52"/>
  <c r="CI169" i="52" s="1"/>
  <c r="DC169" i="52"/>
  <c r="CC169" i="52" s="1"/>
  <c r="DX173" i="52"/>
  <c r="CX173" i="52" s="1"/>
  <c r="DE173" i="52"/>
  <c r="CE173" i="52" s="1"/>
  <c r="DG173" i="52"/>
  <c r="CG173" i="52" s="1"/>
  <c r="DI173" i="52"/>
  <c r="CI173" i="52" s="1"/>
  <c r="DB173" i="52"/>
  <c r="CB173" i="52" s="1"/>
  <c r="DC173" i="52"/>
  <c r="CC173" i="52" s="1"/>
  <c r="DX177" i="52"/>
  <c r="CX177" i="52" s="1"/>
  <c r="DG177" i="52"/>
  <c r="CG177" i="52" s="1"/>
  <c r="DI177" i="52"/>
  <c r="CI177" i="52" s="1"/>
  <c r="DE177" i="52"/>
  <c r="CE177" i="52" s="1"/>
  <c r="DB177" i="52"/>
  <c r="CB177" i="52" s="1"/>
  <c r="DC177" i="52"/>
  <c r="CC177" i="52" s="1"/>
  <c r="DX181" i="52"/>
  <c r="CX181" i="52" s="1"/>
  <c r="DE181" i="52"/>
  <c r="CE181" i="52" s="1"/>
  <c r="DG181" i="52"/>
  <c r="CG181" i="52" s="1"/>
  <c r="DI181" i="52"/>
  <c r="CI181" i="52" s="1"/>
  <c r="DC181" i="52"/>
  <c r="CC181" i="52" s="1"/>
  <c r="DB181" i="52"/>
  <c r="CB181" i="52" s="1"/>
  <c r="DX189" i="52"/>
  <c r="CX189" i="52" s="1"/>
  <c r="DC189" i="52"/>
  <c r="CC189" i="52" s="1"/>
  <c r="DB189" i="52"/>
  <c r="CB189" i="52" s="1"/>
  <c r="DI189" i="52"/>
  <c r="CI189" i="52" s="1"/>
  <c r="DG189" i="52"/>
  <c r="CG189" i="52" s="1"/>
  <c r="DE189" i="52"/>
  <c r="CE189" i="52" s="1"/>
  <c r="DX193" i="52"/>
  <c r="CX193" i="52" s="1"/>
  <c r="DG193" i="52"/>
  <c r="CG193" i="52" s="1"/>
  <c r="DE193" i="52"/>
  <c r="CE193" i="52" s="1"/>
  <c r="DC193" i="52"/>
  <c r="CC193" i="52" s="1"/>
  <c r="DI193" i="52"/>
  <c r="CI193" i="52" s="1"/>
  <c r="DB193" i="52"/>
  <c r="CB193" i="52" s="1"/>
  <c r="DX197" i="52"/>
  <c r="CX197" i="52" s="1"/>
  <c r="DC197" i="52"/>
  <c r="CC197" i="52" s="1"/>
  <c r="DB197" i="52"/>
  <c r="CB197" i="52" s="1"/>
  <c r="DI197" i="52"/>
  <c r="CI197" i="52" s="1"/>
  <c r="DG197" i="52"/>
  <c r="CG197" i="52" s="1"/>
  <c r="DE197" i="52"/>
  <c r="CE197" i="52" s="1"/>
  <c r="DX201" i="52"/>
  <c r="CX201" i="52" s="1"/>
  <c r="DG201" i="52"/>
  <c r="CG201" i="52" s="1"/>
  <c r="DE201" i="52"/>
  <c r="CE201" i="52" s="1"/>
  <c r="DC201" i="52"/>
  <c r="CC201" i="52" s="1"/>
  <c r="DI201" i="52"/>
  <c r="CI201" i="52" s="1"/>
  <c r="DB201" i="52"/>
  <c r="CB201" i="52" s="1"/>
  <c r="DY204" i="52"/>
  <c r="CY204" i="52" s="1"/>
  <c r="DD204" i="52"/>
  <c r="CD204" i="52" s="1"/>
  <c r="DJ204" i="52"/>
  <c r="CJ204" i="52" s="1"/>
  <c r="DH204" i="52"/>
  <c r="CH204" i="52" s="1"/>
  <c r="DF204" i="52"/>
  <c r="CF204" i="52" s="1"/>
  <c r="DY208" i="52"/>
  <c r="CY208" i="52" s="1"/>
  <c r="DH208" i="52"/>
  <c r="CH208" i="52" s="1"/>
  <c r="DF208" i="52"/>
  <c r="CF208" i="52" s="1"/>
  <c r="DD208" i="52"/>
  <c r="CD208" i="52" s="1"/>
  <c r="DJ208" i="52"/>
  <c r="CJ208" i="52" s="1"/>
  <c r="CD82" i="52"/>
  <c r="CE126" i="52"/>
  <c r="DE243" i="52"/>
  <c r="CD111" i="52"/>
  <c r="CB23" i="52"/>
  <c r="CB43" i="52"/>
  <c r="CB46" i="52"/>
  <c r="CB58" i="52"/>
  <c r="CF43" i="52"/>
  <c r="CB59" i="52"/>
  <c r="CD79" i="52"/>
  <c r="CB18" i="52"/>
  <c r="CE22" i="52"/>
  <c r="CB34" i="52"/>
  <c r="CB38" i="52"/>
  <c r="CD45" i="52"/>
  <c r="CD123" i="52"/>
  <c r="CE229" i="52"/>
  <c r="CB15" i="52"/>
  <c r="DC34" i="52"/>
  <c r="EA58" i="52"/>
  <c r="CD80" i="52"/>
  <c r="DB124" i="52"/>
  <c r="CF15" i="52"/>
  <c r="CF47" i="52"/>
  <c r="DC68" i="52"/>
  <c r="CE216" i="52"/>
  <c r="CF88" i="52"/>
  <c r="CB108" i="52"/>
  <c r="DA126" i="52"/>
  <c r="CD255" i="52"/>
  <c r="DD17" i="52"/>
  <c r="CE34" i="52"/>
  <c r="CE115" i="52"/>
  <c r="DF116" i="52"/>
  <c r="DE73" i="52"/>
  <c r="CD112" i="52"/>
  <c r="DB219" i="52"/>
  <c r="CD254" i="52"/>
  <c r="CD17" i="52"/>
  <c r="DF131" i="52"/>
  <c r="CB14" i="52"/>
  <c r="CB35" i="52"/>
  <c r="CE38" i="52"/>
  <c r="CB42" i="52"/>
  <c r="DF49" i="52"/>
  <c r="CB51" i="52"/>
  <c r="CE58" i="52"/>
  <c r="CC73" i="52"/>
  <c r="CE91" i="52"/>
  <c r="DB95" i="52"/>
  <c r="CF124" i="52"/>
  <c r="R151" i="52"/>
  <c r="CF220" i="52"/>
  <c r="DE238" i="52"/>
  <c r="CE14" i="52"/>
  <c r="EA26" i="52"/>
  <c r="CD29" i="52"/>
  <c r="DF37" i="52"/>
  <c r="CE42" i="52"/>
  <c r="CF51" i="52"/>
  <c r="CE61" i="52"/>
  <c r="DF90" i="52"/>
  <c r="CE95" i="52"/>
  <c r="CD131" i="52"/>
  <c r="CE241" i="52"/>
  <c r="CF245" i="52"/>
  <c r="CB27" i="52"/>
  <c r="DA63" i="52"/>
  <c r="CB65" i="52"/>
  <c r="CE71" i="52"/>
  <c r="DB84" i="52"/>
  <c r="DE105" i="52"/>
  <c r="DB107" i="52"/>
  <c r="DF114" i="52"/>
  <c r="DB217" i="52"/>
  <c r="CF257" i="52"/>
  <c r="DD84" i="52"/>
  <c r="DC22" i="52"/>
  <c r="CF27" i="52"/>
  <c r="EA65" i="52"/>
  <c r="CD78" i="52"/>
  <c r="CB84" i="52"/>
  <c r="DC88" i="52"/>
  <c r="CD107" i="52"/>
  <c r="EA14" i="52"/>
  <c r="CF131" i="52"/>
  <c r="DC58" i="52"/>
  <c r="CD84" i="52"/>
  <c r="EA107" i="52"/>
  <c r="EA139" i="52"/>
  <c r="CE246" i="52"/>
  <c r="EA42" i="52"/>
  <c r="CE18" i="52"/>
  <c r="CB22" i="52"/>
  <c r="DF29" i="52"/>
  <c r="CB47" i="52"/>
  <c r="DE61" i="52"/>
  <c r="DB70" i="52"/>
  <c r="CC105" i="52"/>
  <c r="CB216" i="52"/>
  <c r="DD239" i="52"/>
  <c r="DD50" i="52"/>
  <c r="DF62" i="52"/>
  <c r="DD104" i="52"/>
  <c r="DD13" i="52"/>
  <c r="EA22" i="52"/>
  <c r="CD25" i="52"/>
  <c r="CE29" i="52"/>
  <c r="EA34" i="52"/>
  <c r="CD37" i="52"/>
  <c r="DF41" i="52"/>
  <c r="DD45" i="52"/>
  <c r="CE46" i="52"/>
  <c r="CB50" i="52"/>
  <c r="DD58" i="52"/>
  <c r="CF59" i="52"/>
  <c r="DE65" i="52"/>
  <c r="CB66" i="52"/>
  <c r="CB68" i="52"/>
  <c r="DB83" i="52"/>
  <c r="DB104" i="52"/>
  <c r="DF106" i="52"/>
  <c r="CE107" i="52"/>
  <c r="DD112" i="52"/>
  <c r="EA124" i="52"/>
  <c r="DE125" i="52"/>
  <c r="DB135" i="52"/>
  <c r="DC138" i="52"/>
  <c r="CF139" i="52"/>
  <c r="DC216" i="52"/>
  <c r="CC231" i="52"/>
  <c r="DE241" i="52"/>
  <c r="DY241" i="52"/>
  <c r="CY241" i="52" s="1"/>
  <c r="DD135" i="52"/>
  <c r="EA18" i="52"/>
  <c r="CD21" i="52"/>
  <c r="DC26" i="52"/>
  <c r="CE37" i="52"/>
  <c r="EA38" i="52"/>
  <c r="CD41" i="52"/>
  <c r="DF45" i="52"/>
  <c r="DD49" i="52"/>
  <c r="CE50" i="52"/>
  <c r="CC62" i="52"/>
  <c r="DB67" i="52"/>
  <c r="CD68" i="52"/>
  <c r="CD83" i="52"/>
  <c r="DB88" i="52"/>
  <c r="CD104" i="52"/>
  <c r="DC127" i="52"/>
  <c r="DC134" i="52"/>
  <c r="CD135" i="52"/>
  <c r="DF138" i="52"/>
  <c r="DD216" i="52"/>
  <c r="CB218" i="52"/>
  <c r="CF231" i="52"/>
  <c r="DD238" i="52"/>
  <c r="DF243" i="52"/>
  <c r="DF246" i="52"/>
  <c r="CD13" i="52"/>
  <c r="DC18" i="52"/>
  <c r="CB19" i="52"/>
  <c r="DD22" i="52"/>
  <c r="CF23" i="52"/>
  <c r="CB26" i="52"/>
  <c r="DD34" i="52"/>
  <c r="CF35" i="52"/>
  <c r="DC38" i="52"/>
  <c r="CB39" i="52"/>
  <c r="CE45" i="52"/>
  <c r="EA46" i="52"/>
  <c r="CD49" i="52"/>
  <c r="DF57" i="52"/>
  <c r="CF65" i="52"/>
  <c r="DE69" i="52"/>
  <c r="CE79" i="52"/>
  <c r="CC81" i="52"/>
  <c r="EA83" i="52"/>
  <c r="DE89" i="52"/>
  <c r="DB102" i="52"/>
  <c r="CD110" i="52"/>
  <c r="CF112" i="52"/>
  <c r="DF115" i="52"/>
  <c r="DD124" i="52"/>
  <c r="CC125" i="52"/>
  <c r="EA131" i="52"/>
  <c r="CD138" i="52"/>
  <c r="CF218" i="52"/>
  <c r="DX238" i="52"/>
  <c r="CX238" i="52" s="1"/>
  <c r="DD41" i="52"/>
  <c r="DD26" i="52"/>
  <c r="CE41" i="52"/>
  <c r="CF104" i="52"/>
  <c r="CF135" i="52"/>
  <c r="CC218" i="52"/>
  <c r="DC14" i="52"/>
  <c r="DD18" i="52"/>
  <c r="CF19" i="52"/>
  <c r="CE26" i="52"/>
  <c r="DD38" i="52"/>
  <c r="CF39" i="52"/>
  <c r="DC42" i="52"/>
  <c r="CE49" i="52"/>
  <c r="EA50" i="52"/>
  <c r="CD57" i="52"/>
  <c r="EA68" i="52"/>
  <c r="EA79" i="52"/>
  <c r="DD80" i="52"/>
  <c r="DC84" i="52"/>
  <c r="EA88" i="52"/>
  <c r="EA104" i="52"/>
  <c r="DE113" i="52"/>
  <c r="CE127" i="52"/>
  <c r="CE134" i="52"/>
  <c r="EA135" i="52"/>
  <c r="R154" i="52"/>
  <c r="CD247" i="52"/>
  <c r="DD57" i="52"/>
  <c r="DD14" i="52"/>
  <c r="DD25" i="52"/>
  <c r="DD29" i="52"/>
  <c r="DD42" i="52"/>
  <c r="DC46" i="52"/>
  <c r="CE57" i="52"/>
  <c r="DF107" i="52"/>
  <c r="EA112" i="52"/>
  <c r="DB115" i="52"/>
  <c r="CD124" i="52"/>
  <c r="DF126" i="52"/>
  <c r="DC131" i="52"/>
  <c r="DB133" i="52"/>
  <c r="DC139" i="52"/>
  <c r="R143" i="52"/>
  <c r="R144" i="52"/>
  <c r="R147" i="52"/>
  <c r="CC216" i="52"/>
  <c r="DC218" i="52"/>
  <c r="CF62" i="52"/>
  <c r="DF127" i="52"/>
  <c r="DD21" i="52"/>
  <c r="DD37" i="52"/>
  <c r="DD46" i="52"/>
  <c r="DC50" i="52"/>
  <c r="DB66" i="52"/>
  <c r="DF66" i="52"/>
  <c r="DB68" i="52"/>
  <c r="DF83" i="52"/>
  <c r="EA134" i="52"/>
  <c r="DE218" i="52"/>
  <c r="DF237" i="52"/>
  <c r="CE254" i="52"/>
  <c r="DD257" i="52"/>
  <c r="CF60" i="52"/>
  <c r="CE72" i="52"/>
  <c r="DF72" i="52"/>
  <c r="CF100" i="52"/>
  <c r="DC103" i="52"/>
  <c r="DB129" i="52"/>
  <c r="DA129" i="52"/>
  <c r="DF129" i="52"/>
  <c r="DB130" i="52"/>
  <c r="DF130" i="52"/>
  <c r="CE130" i="52"/>
  <c r="CE13" i="52"/>
  <c r="DF13" i="52"/>
  <c r="CE17" i="52"/>
  <c r="DF17" i="52"/>
  <c r="CE21" i="52"/>
  <c r="DF21" i="52"/>
  <c r="CE25" i="52"/>
  <c r="DF25" i="52"/>
  <c r="DB60" i="52"/>
  <c r="DC60" i="52"/>
  <c r="CF61" i="52"/>
  <c r="EA61" i="52"/>
  <c r="DB63" i="52"/>
  <c r="CF64" i="52"/>
  <c r="DF64" i="52"/>
  <c r="EA67" i="52"/>
  <c r="DC71" i="52"/>
  <c r="DB72" i="52"/>
  <c r="CF72" i="52"/>
  <c r="EA72" i="52"/>
  <c r="CE80" i="52"/>
  <c r="DF80" i="52"/>
  <c r="DB87" i="52"/>
  <c r="DF87" i="52"/>
  <c r="CB88" i="52"/>
  <c r="DC91" i="52"/>
  <c r="DB92" i="52"/>
  <c r="DB100" i="52"/>
  <c r="DC100" i="52"/>
  <c r="DA117" i="52"/>
  <c r="DE117" i="52"/>
  <c r="EA130" i="52"/>
  <c r="DA132" i="52"/>
  <c r="CE132" i="52"/>
  <c r="DE132" i="52"/>
  <c r="DF219" i="52"/>
  <c r="CD219" i="52"/>
  <c r="DC219" i="52"/>
  <c r="CE252" i="52"/>
  <c r="CF252" i="52"/>
  <c r="DE252" i="52"/>
  <c r="DD252" i="52"/>
  <c r="DB256" i="52"/>
  <c r="CB256" i="52" s="1"/>
  <c r="DY256" i="52"/>
  <c r="CY256" i="52" s="1"/>
  <c r="EA60" i="52"/>
  <c r="DC87" i="52"/>
  <c r="DE92" i="52"/>
  <c r="DF92" i="52"/>
  <c r="DB94" i="52"/>
  <c r="CD94" i="52"/>
  <c r="DE103" i="52"/>
  <c r="DF103" i="52"/>
  <c r="DB112" i="52"/>
  <c r="CB112" i="52"/>
  <c r="DE130" i="52"/>
  <c r="CF17" i="52"/>
  <c r="EA17" i="52"/>
  <c r="CF21" i="52"/>
  <c r="CF29" i="52"/>
  <c r="EA29" i="52"/>
  <c r="CF37" i="52"/>
  <c r="EA37" i="52"/>
  <c r="CF41" i="52"/>
  <c r="EA41" i="52"/>
  <c r="CF45" i="52"/>
  <c r="EA45" i="52"/>
  <c r="CF49" i="52"/>
  <c r="EA49" i="52"/>
  <c r="CF57" i="52"/>
  <c r="EA57" i="52"/>
  <c r="CD60" i="52"/>
  <c r="DD60" i="52"/>
  <c r="DA61" i="52"/>
  <c r="DA62" i="52"/>
  <c r="DF63" i="52"/>
  <c r="CB64" i="52"/>
  <c r="DB64" i="52"/>
  <c r="EA64" i="52"/>
  <c r="DA66" i="52"/>
  <c r="CE68" i="52"/>
  <c r="DD68" i="52"/>
  <c r="DB71" i="52"/>
  <c r="DF71" i="52"/>
  <c r="CB72" i="52"/>
  <c r="DC72" i="52"/>
  <c r="DC79" i="52"/>
  <c r="DB80" i="52"/>
  <c r="CF80" i="52"/>
  <c r="EA80" i="52"/>
  <c r="DE81" i="52"/>
  <c r="CE83" i="52"/>
  <c r="CE84" i="52"/>
  <c r="DF84" i="52"/>
  <c r="CC85" i="52"/>
  <c r="CD86" i="52"/>
  <c r="CD87" i="52"/>
  <c r="EA87" i="52"/>
  <c r="CD88" i="52"/>
  <c r="DD88" i="52"/>
  <c r="DB91" i="52"/>
  <c r="DF91" i="52"/>
  <c r="CB92" i="52"/>
  <c r="DC92" i="52"/>
  <c r="DF94" i="52"/>
  <c r="CB100" i="52"/>
  <c r="CC101" i="52"/>
  <c r="CD102" i="52"/>
  <c r="CD103" i="52"/>
  <c r="DE108" i="52"/>
  <c r="EA108" i="52"/>
  <c r="CF108" i="52"/>
  <c r="DD108" i="52"/>
  <c r="CD108" i="52"/>
  <c r="DC108" i="52"/>
  <c r="CC109" i="52"/>
  <c r="DE111" i="52"/>
  <c r="CE111" i="52"/>
  <c r="DF111" i="52"/>
  <c r="EA111" i="52"/>
  <c r="CD122" i="52"/>
  <c r="CF129" i="52"/>
  <c r="CC130" i="52"/>
  <c r="DB139" i="52"/>
  <c r="CB139" i="52"/>
  <c r="DF250" i="52"/>
  <c r="CD250" i="52"/>
  <c r="DE250" i="52"/>
  <c r="CE64" i="52"/>
  <c r="DD64" i="52"/>
  <c r="CE92" i="52"/>
  <c r="EA92" i="52"/>
  <c r="DE100" i="52"/>
  <c r="DD100" i="52"/>
  <c r="CD100" i="52"/>
  <c r="EA128" i="52"/>
  <c r="DE128" i="52"/>
  <c r="CF128" i="52"/>
  <c r="R146" i="52"/>
  <c r="CF13" i="52"/>
  <c r="EA13" i="52"/>
  <c r="EA21" i="52"/>
  <c r="CF25" i="52"/>
  <c r="EA25" i="52"/>
  <c r="DB13" i="52"/>
  <c r="DC13" i="52"/>
  <c r="CF14" i="52"/>
  <c r="DD15" i="52"/>
  <c r="CB17" i="52"/>
  <c r="DC17" i="52"/>
  <c r="CF18" i="52"/>
  <c r="DD19" i="52"/>
  <c r="CB21" i="52"/>
  <c r="DC21" i="52"/>
  <c r="CF22" i="52"/>
  <c r="DD23" i="52"/>
  <c r="DB25" i="52"/>
  <c r="DC25" i="52"/>
  <c r="CF26" i="52"/>
  <c r="DD27" i="52"/>
  <c r="DB29" i="52"/>
  <c r="DC29" i="52"/>
  <c r="CF34" i="52"/>
  <c r="DD35" i="52"/>
  <c r="DB37" i="52"/>
  <c r="DC37" i="52"/>
  <c r="CF38" i="52"/>
  <c r="DD39" i="52"/>
  <c r="CB41" i="52"/>
  <c r="DC41" i="52"/>
  <c r="CF42" i="52"/>
  <c r="DD43" i="52"/>
  <c r="CB45" i="52"/>
  <c r="DC45" i="52"/>
  <c r="CF46" i="52"/>
  <c r="DD47" i="52"/>
  <c r="CB49" i="52"/>
  <c r="DC49" i="52"/>
  <c r="CF50" i="52"/>
  <c r="DD51" i="52"/>
  <c r="DB57" i="52"/>
  <c r="DC57" i="52"/>
  <c r="CF58" i="52"/>
  <c r="DE59" i="52"/>
  <c r="CE60" i="52"/>
  <c r="DF60" i="52"/>
  <c r="CB61" i="52"/>
  <c r="DB62" i="52"/>
  <c r="CC63" i="52"/>
  <c r="CD64" i="52"/>
  <c r="DC64" i="52"/>
  <c r="CC67" i="52"/>
  <c r="CF68" i="52"/>
  <c r="DF68" i="52"/>
  <c r="CD70" i="52"/>
  <c r="CD71" i="52"/>
  <c r="EA71" i="52"/>
  <c r="CD72" i="52"/>
  <c r="DD72" i="52"/>
  <c r="DB79" i="52"/>
  <c r="DF79" i="52"/>
  <c r="CB80" i="52"/>
  <c r="DC80" i="52"/>
  <c r="DC83" i="52"/>
  <c r="CF84" i="52"/>
  <c r="EA84" i="52"/>
  <c r="DE85" i="52"/>
  <c r="CE87" i="52"/>
  <c r="CE88" i="52"/>
  <c r="DF88" i="52"/>
  <c r="CD90" i="52"/>
  <c r="CD91" i="52"/>
  <c r="EA91" i="52"/>
  <c r="CD92" i="52"/>
  <c r="DD92" i="52"/>
  <c r="DE93" i="52"/>
  <c r="DE95" i="52"/>
  <c r="EA95" i="52"/>
  <c r="CD95" i="52"/>
  <c r="DF95" i="52"/>
  <c r="CE100" i="52"/>
  <c r="EA100" i="52"/>
  <c r="DF102" i="52"/>
  <c r="CE103" i="52"/>
  <c r="DF108" i="52"/>
  <c r="DE116" i="52"/>
  <c r="DD116" i="52"/>
  <c r="CD116" i="52"/>
  <c r="EA116" i="52"/>
  <c r="CF116" i="52"/>
  <c r="DC116" i="52"/>
  <c r="CC117" i="52"/>
  <c r="DE123" i="52"/>
  <c r="DF123" i="52"/>
  <c r="CE123" i="52"/>
  <c r="EA123" i="52"/>
  <c r="DD128" i="52"/>
  <c r="DE129" i="52"/>
  <c r="DA130" i="52"/>
  <c r="DB131" i="52"/>
  <c r="CB131" i="52"/>
  <c r="CB132" i="52"/>
  <c r="DY244" i="52"/>
  <c r="CY244" i="52" s="1"/>
  <c r="DD244" i="52"/>
  <c r="DY249" i="52"/>
  <c r="CY249" i="52" s="1"/>
  <c r="CE249" i="52"/>
  <c r="DF249" i="52"/>
  <c r="DB249" i="52"/>
  <c r="CB249" i="52" s="1"/>
  <c r="CE104" i="52"/>
  <c r="DF104" i="52"/>
  <c r="DB111" i="52"/>
  <c r="DC112" i="52"/>
  <c r="DC115" i="52"/>
  <c r="DB116" i="52"/>
  <c r="CE124" i="52"/>
  <c r="DF124" i="52"/>
  <c r="CF127" i="52"/>
  <c r="EA127" i="52"/>
  <c r="CB129" i="52"/>
  <c r="DB134" i="52"/>
  <c r="CE135" i="52"/>
  <c r="DF135" i="52"/>
  <c r="CF216" i="52"/>
  <c r="DE216" i="52"/>
  <c r="CD217" i="52"/>
  <c r="CE218" i="52"/>
  <c r="DD218" i="52"/>
  <c r="CB220" i="52"/>
  <c r="DE239" i="52"/>
  <c r="DB239" i="52"/>
  <c r="CB239" i="52" s="1"/>
  <c r="CF239" i="52"/>
  <c r="CD242" i="52"/>
  <c r="CF243" i="52"/>
  <c r="CE245" i="52"/>
  <c r="DD245" i="52"/>
  <c r="DE245" i="52"/>
  <c r="DF248" i="52"/>
  <c r="DY248" i="52"/>
  <c r="CY248" i="52" s="1"/>
  <c r="DD248" i="52"/>
  <c r="DE255" i="52"/>
  <c r="CE138" i="52"/>
  <c r="EA138" i="52"/>
  <c r="CD139" i="52"/>
  <c r="DD139" i="52"/>
  <c r="R155" i="52"/>
  <c r="CC220" i="52"/>
  <c r="DY243" i="52"/>
  <c r="CY243" i="52" s="1"/>
  <c r="DD253" i="52"/>
  <c r="CE253" i="52"/>
  <c r="DX253" i="52"/>
  <c r="CX253" i="52" s="1"/>
  <c r="DB103" i="52"/>
  <c r="CB104" i="52"/>
  <c r="DC104" i="52"/>
  <c r="DB106" i="52"/>
  <c r="DC107" i="52"/>
  <c r="DB108" i="52"/>
  <c r="CE112" i="52"/>
  <c r="DF112" i="52"/>
  <c r="CD115" i="52"/>
  <c r="EA115" i="52"/>
  <c r="DB123" i="52"/>
  <c r="CB124" i="52"/>
  <c r="DC124" i="52"/>
  <c r="DE126" i="52"/>
  <c r="CD127" i="52"/>
  <c r="DD127" i="52"/>
  <c r="CE131" i="52"/>
  <c r="DD131" i="52"/>
  <c r="CD134" i="52"/>
  <c r="DF134" i="52"/>
  <c r="CB135" i="52"/>
  <c r="DC135" i="52"/>
  <c r="DB138" i="52"/>
  <c r="CE139" i="52"/>
  <c r="DF139" i="52"/>
  <c r="R152" i="52"/>
  <c r="DC217" i="52"/>
  <c r="DF220" i="52"/>
  <c r="DC220" i="52"/>
  <c r="CE220" i="52"/>
  <c r="DE220" i="52"/>
  <c r="DF241" i="52"/>
  <c r="CD241" i="52"/>
  <c r="CB231" i="52"/>
  <c r="DE246" i="52"/>
  <c r="CD248" i="52"/>
  <c r="DB248" i="52"/>
  <c r="CB248" i="52" s="1"/>
  <c r="DF252" i="52"/>
  <c r="DF255" i="52"/>
  <c r="DF257" i="52"/>
  <c r="CE231" i="52"/>
  <c r="DF238" i="52"/>
  <c r="DF239" i="52"/>
  <c r="CD243" i="52"/>
  <c r="DB243" i="52"/>
  <c r="CB243" i="52" s="1"/>
  <c r="DF245" i="52"/>
  <c r="DB246" i="52"/>
  <c r="CB246" i="52" s="1"/>
  <c r="CE248" i="52"/>
  <c r="DE248" i="52"/>
  <c r="DE249" i="52"/>
  <c r="DX249" i="52"/>
  <c r="CX249" i="52" s="1"/>
  <c r="CD256" i="52"/>
  <c r="CC12" i="52"/>
  <c r="DA12" i="52"/>
  <c r="DE16" i="52"/>
  <c r="DB17" i="52"/>
  <c r="CC20" i="52"/>
  <c r="DA20" i="52"/>
  <c r="DE20" i="52"/>
  <c r="DB21" i="52"/>
  <c r="DE24" i="52"/>
  <c r="CC28" i="52"/>
  <c r="DA28" i="52"/>
  <c r="DE36" i="52"/>
  <c r="DB41" i="52"/>
  <c r="CC44" i="52"/>
  <c r="DA44" i="52"/>
  <c r="DB45" i="52"/>
  <c r="CC48" i="52"/>
  <c r="DB49" i="52"/>
  <c r="DA56" i="52"/>
  <c r="EA136" i="52"/>
  <c r="DC136" i="52"/>
  <c r="CE136" i="52"/>
  <c r="DF136" i="52"/>
  <c r="DB136" i="52"/>
  <c r="CD136" i="52"/>
  <c r="DE136" i="52"/>
  <c r="CC136" i="52"/>
  <c r="DD136" i="52"/>
  <c r="CB136" i="52"/>
  <c r="CD12" i="52"/>
  <c r="DB12" i="52"/>
  <c r="DE15" i="52"/>
  <c r="DB16" i="52"/>
  <c r="CC19" i="52"/>
  <c r="DA19" i="52"/>
  <c r="DE19" i="52"/>
  <c r="DB20" i="52"/>
  <c r="CC23" i="52"/>
  <c r="DA23" i="52"/>
  <c r="DE23" i="52"/>
  <c r="DF24" i="52"/>
  <c r="CC27" i="52"/>
  <c r="DA27" i="52"/>
  <c r="CD28" i="52"/>
  <c r="DB28" i="52"/>
  <c r="DA35" i="52"/>
  <c r="DF36" i="52"/>
  <c r="DE39" i="52"/>
  <c r="DF40" i="52"/>
  <c r="CD44" i="52"/>
  <c r="DB44" i="52"/>
  <c r="CC47" i="52"/>
  <c r="DA47" i="52"/>
  <c r="DE47" i="52"/>
  <c r="CD48" i="52"/>
  <c r="DB48" i="52"/>
  <c r="DF48" i="52"/>
  <c r="CD56" i="52"/>
  <c r="DB56" i="52"/>
  <c r="DF59" i="52"/>
  <c r="CB62" i="52"/>
  <c r="DC67" i="52"/>
  <c r="EA69" i="52"/>
  <c r="DC69" i="52"/>
  <c r="CE69" i="52"/>
  <c r="DF69" i="52"/>
  <c r="DB69" i="52"/>
  <c r="CD69" i="52"/>
  <c r="CF73" i="52"/>
  <c r="DD78" i="52"/>
  <c r="CF78" i="52"/>
  <c r="CB78" i="52"/>
  <c r="EA78" i="52"/>
  <c r="DC78" i="52"/>
  <c r="CE78" i="52"/>
  <c r="DA78" i="52"/>
  <c r="DD82" i="52"/>
  <c r="CF82" i="52"/>
  <c r="CB82" i="52"/>
  <c r="EA82" i="52"/>
  <c r="DC82" i="52"/>
  <c r="CE82" i="52"/>
  <c r="DA82" i="52"/>
  <c r="DD86" i="52"/>
  <c r="CF86" i="52"/>
  <c r="CB86" i="52"/>
  <c r="EA86" i="52"/>
  <c r="DC86" i="52"/>
  <c r="CE86" i="52"/>
  <c r="DA86" i="52"/>
  <c r="EA89" i="52"/>
  <c r="DC89" i="52"/>
  <c r="CE89" i="52"/>
  <c r="DF89" i="52"/>
  <c r="DB89" i="52"/>
  <c r="CD89" i="52"/>
  <c r="CF89" i="52"/>
  <c r="EA93" i="52"/>
  <c r="DC93" i="52"/>
  <c r="CE93" i="52"/>
  <c r="DF93" i="52"/>
  <c r="DB93" i="52"/>
  <c r="CD93" i="52"/>
  <c r="CF93" i="52"/>
  <c r="EA101" i="52"/>
  <c r="DC101" i="52"/>
  <c r="CE101" i="52"/>
  <c r="DF101" i="52"/>
  <c r="DB101" i="52"/>
  <c r="CD101" i="52"/>
  <c r="CF101" i="52"/>
  <c r="EA109" i="52"/>
  <c r="DC109" i="52"/>
  <c r="CE109" i="52"/>
  <c r="DF109" i="52"/>
  <c r="DB109" i="52"/>
  <c r="CD109" i="52"/>
  <c r="DD110" i="52"/>
  <c r="CF110" i="52"/>
  <c r="CB110" i="52"/>
  <c r="EA110" i="52"/>
  <c r="DC110" i="52"/>
  <c r="CE110" i="52"/>
  <c r="DA110" i="52"/>
  <c r="EA113" i="52"/>
  <c r="DC113" i="52"/>
  <c r="CE113" i="52"/>
  <c r="DF113" i="52"/>
  <c r="DB113" i="52"/>
  <c r="CD113" i="52"/>
  <c r="CF113" i="52"/>
  <c r="DD114" i="52"/>
  <c r="CF114" i="52"/>
  <c r="CB114" i="52"/>
  <c r="EA114" i="52"/>
  <c r="DC114" i="52"/>
  <c r="CE114" i="52"/>
  <c r="DA114" i="52"/>
  <c r="DD122" i="52"/>
  <c r="CF122" i="52"/>
  <c r="CB122" i="52"/>
  <c r="EA122" i="52"/>
  <c r="DC122" i="52"/>
  <c r="CE122" i="52"/>
  <c r="DA122" i="52"/>
  <c r="DB127" i="52"/>
  <c r="CB127" i="52"/>
  <c r="CE12" i="52"/>
  <c r="EA12" i="52"/>
  <c r="CB13" i="52"/>
  <c r="CC14" i="52"/>
  <c r="DA14" i="52"/>
  <c r="DE14" i="52"/>
  <c r="CD15" i="52"/>
  <c r="DB15" i="52"/>
  <c r="DF15" i="52"/>
  <c r="CE16" i="52"/>
  <c r="DC16" i="52"/>
  <c r="EA16" i="52"/>
  <c r="CC18" i="52"/>
  <c r="DA18" i="52"/>
  <c r="DE18" i="52"/>
  <c r="CD19" i="52"/>
  <c r="DB19" i="52"/>
  <c r="DF19" i="52"/>
  <c r="CE20" i="52"/>
  <c r="DC20" i="52"/>
  <c r="EA20" i="52"/>
  <c r="CC22" i="52"/>
  <c r="DA22" i="52"/>
  <c r="DE22" i="52"/>
  <c r="CD23" i="52"/>
  <c r="DB23" i="52"/>
  <c r="DF23" i="52"/>
  <c r="CE24" i="52"/>
  <c r="DC24" i="52"/>
  <c r="EA24" i="52"/>
  <c r="CB25" i="52"/>
  <c r="CC26" i="52"/>
  <c r="DA26" i="52"/>
  <c r="DE26" i="52"/>
  <c r="CD27" i="52"/>
  <c r="DB27" i="52"/>
  <c r="DF27" i="52"/>
  <c r="CE28" i="52"/>
  <c r="DC28" i="52"/>
  <c r="EA28" i="52"/>
  <c r="CB29" i="52"/>
  <c r="CC34" i="52"/>
  <c r="DA34" i="52"/>
  <c r="DE34" i="52"/>
  <c r="CD35" i="52"/>
  <c r="DB35" i="52"/>
  <c r="DF35" i="52"/>
  <c r="CE36" i="52"/>
  <c r="DC36" i="52"/>
  <c r="EA36" i="52"/>
  <c r="CB37" i="52"/>
  <c r="CC38" i="52"/>
  <c r="DA38" i="52"/>
  <c r="DE38" i="52"/>
  <c r="CD39" i="52"/>
  <c r="DB39" i="52"/>
  <c r="DF39" i="52"/>
  <c r="CE40" i="52"/>
  <c r="DC40" i="52"/>
  <c r="EA40" i="52"/>
  <c r="CC42" i="52"/>
  <c r="DA42" i="52"/>
  <c r="DE42" i="52"/>
  <c r="CD43" i="52"/>
  <c r="DB43" i="52"/>
  <c r="DF43" i="52"/>
  <c r="CE44" i="52"/>
  <c r="DC44" i="52"/>
  <c r="EA44" i="52"/>
  <c r="CC46" i="52"/>
  <c r="DA46" i="52"/>
  <c r="DE46" i="52"/>
  <c r="CD47" i="52"/>
  <c r="DB47" i="52"/>
  <c r="DF47" i="52"/>
  <c r="CE48" i="52"/>
  <c r="DC48" i="52"/>
  <c r="EA48" i="52"/>
  <c r="CC50" i="52"/>
  <c r="DA50" i="52"/>
  <c r="DE50" i="52"/>
  <c r="CD51" i="52"/>
  <c r="DB51" i="52"/>
  <c r="DF51" i="52"/>
  <c r="CE56" i="52"/>
  <c r="DC56" i="52"/>
  <c r="EA56" i="52"/>
  <c r="CB57" i="52"/>
  <c r="CC58" i="52"/>
  <c r="DA58" i="52"/>
  <c r="DE58" i="52"/>
  <c r="CD59" i="52"/>
  <c r="DB59" i="52"/>
  <c r="EA59" i="52"/>
  <c r="CB60" i="52"/>
  <c r="DD63" i="52"/>
  <c r="CF63" i="52"/>
  <c r="CB63" i="52"/>
  <c r="CD63" i="52"/>
  <c r="DC63" i="52"/>
  <c r="DF65" i="52"/>
  <c r="DB65" i="52"/>
  <c r="CD65" i="52"/>
  <c r="CC65" i="52"/>
  <c r="DC65" i="52"/>
  <c r="EA66" i="52"/>
  <c r="DC66" i="52"/>
  <c r="CE66" i="52"/>
  <c r="CD66" i="52"/>
  <c r="DD66" i="52"/>
  <c r="CE67" i="52"/>
  <c r="DA69" i="52"/>
  <c r="DB78" i="52"/>
  <c r="DB82" i="52"/>
  <c r="DB86" i="52"/>
  <c r="DA89" i="52"/>
  <c r="DA93" i="52"/>
  <c r="DA101" i="52"/>
  <c r="DA109" i="52"/>
  <c r="DB110" i="52"/>
  <c r="DA113" i="52"/>
  <c r="DB114" i="52"/>
  <c r="DB122" i="52"/>
  <c r="DD133" i="52"/>
  <c r="CF133" i="52"/>
  <c r="CB133" i="52"/>
  <c r="EA133" i="52"/>
  <c r="DC133" i="52"/>
  <c r="CE133" i="52"/>
  <c r="DF133" i="52"/>
  <c r="CD133" i="52"/>
  <c r="DE133" i="52"/>
  <c r="CC133" i="52"/>
  <c r="CF136" i="52"/>
  <c r="DE240" i="52"/>
  <c r="DF251" i="52"/>
  <c r="DY251" i="52"/>
  <c r="CY251" i="52" s="1"/>
  <c r="DE251" i="52"/>
  <c r="DE12" i="52"/>
  <c r="CC16" i="52"/>
  <c r="DA16" i="52"/>
  <c r="CC24" i="52"/>
  <c r="DA24" i="52"/>
  <c r="DE28" i="52"/>
  <c r="CC36" i="52"/>
  <c r="DA36" i="52"/>
  <c r="CC40" i="52"/>
  <c r="DA40" i="52"/>
  <c r="DE40" i="52"/>
  <c r="DE44" i="52"/>
  <c r="DA48" i="52"/>
  <c r="DE48" i="52"/>
  <c r="CC56" i="52"/>
  <c r="DE56" i="52"/>
  <c r="DD137" i="52"/>
  <c r="CF137" i="52"/>
  <c r="CB137" i="52"/>
  <c r="EA137" i="52"/>
  <c r="DC137" i="52"/>
  <c r="CE137" i="52"/>
  <c r="DF137" i="52"/>
  <c r="CD137" i="52"/>
  <c r="DE137" i="52"/>
  <c r="CC137" i="52"/>
  <c r="DF12" i="52"/>
  <c r="CC15" i="52"/>
  <c r="DA15" i="52"/>
  <c r="CD16" i="52"/>
  <c r="DF16" i="52"/>
  <c r="CD20" i="52"/>
  <c r="DF20" i="52"/>
  <c r="CD24" i="52"/>
  <c r="DB24" i="52"/>
  <c r="DE27" i="52"/>
  <c r="DF28" i="52"/>
  <c r="CC35" i="52"/>
  <c r="DE35" i="52"/>
  <c r="CD36" i="52"/>
  <c r="DB36" i="52"/>
  <c r="CC39" i="52"/>
  <c r="DA39" i="52"/>
  <c r="CD40" i="52"/>
  <c r="DB40" i="52"/>
  <c r="CC43" i="52"/>
  <c r="DA43" i="52"/>
  <c r="DE43" i="52"/>
  <c r="DF44" i="52"/>
  <c r="CC51" i="52"/>
  <c r="DA51" i="52"/>
  <c r="DE51" i="52"/>
  <c r="DF56" i="52"/>
  <c r="CC59" i="52"/>
  <c r="DA59" i="52"/>
  <c r="DD67" i="52"/>
  <c r="CF67" i="52"/>
  <c r="CB67" i="52"/>
  <c r="CD67" i="52"/>
  <c r="CF69" i="52"/>
  <c r="DD70" i="52"/>
  <c r="CF70" i="52"/>
  <c r="CB70" i="52"/>
  <c r="EA70" i="52"/>
  <c r="DC70" i="52"/>
  <c r="CE70" i="52"/>
  <c r="DA70" i="52"/>
  <c r="EA73" i="52"/>
  <c r="DC73" i="52"/>
  <c r="CE73" i="52"/>
  <c r="DF73" i="52"/>
  <c r="DB73" i="52"/>
  <c r="CD73" i="52"/>
  <c r="EA81" i="52"/>
  <c r="DC81" i="52"/>
  <c r="CE81" i="52"/>
  <c r="DF81" i="52"/>
  <c r="DB81" i="52"/>
  <c r="CD81" i="52"/>
  <c r="CF81" i="52"/>
  <c r="EA85" i="52"/>
  <c r="DC85" i="52"/>
  <c r="CE85" i="52"/>
  <c r="DF85" i="52"/>
  <c r="DB85" i="52"/>
  <c r="CD85" i="52"/>
  <c r="CF85" i="52"/>
  <c r="DD90" i="52"/>
  <c r="CF90" i="52"/>
  <c r="CB90" i="52"/>
  <c r="EA90" i="52"/>
  <c r="DC90" i="52"/>
  <c r="CE90" i="52"/>
  <c r="DA90" i="52"/>
  <c r="DD94" i="52"/>
  <c r="CF94" i="52"/>
  <c r="CB94" i="52"/>
  <c r="EA94" i="52"/>
  <c r="DC94" i="52"/>
  <c r="CE94" i="52"/>
  <c r="DA94" i="52"/>
  <c r="DD102" i="52"/>
  <c r="CF102" i="52"/>
  <c r="CB102" i="52"/>
  <c r="EA102" i="52"/>
  <c r="DC102" i="52"/>
  <c r="CE102" i="52"/>
  <c r="DA102" i="52"/>
  <c r="EA105" i="52"/>
  <c r="DC105" i="52"/>
  <c r="CE105" i="52"/>
  <c r="DF105" i="52"/>
  <c r="DB105" i="52"/>
  <c r="CD105" i="52"/>
  <c r="CF105" i="52"/>
  <c r="DD106" i="52"/>
  <c r="CF106" i="52"/>
  <c r="CB106" i="52"/>
  <c r="EA106" i="52"/>
  <c r="DC106" i="52"/>
  <c r="CE106" i="52"/>
  <c r="DA106" i="52"/>
  <c r="CF109" i="52"/>
  <c r="EA117" i="52"/>
  <c r="DC117" i="52"/>
  <c r="CE117" i="52"/>
  <c r="DF117" i="52"/>
  <c r="DB117" i="52"/>
  <c r="CD117" i="52"/>
  <c r="CF117" i="52"/>
  <c r="EA125" i="52"/>
  <c r="DC125" i="52"/>
  <c r="CE125" i="52"/>
  <c r="DF125" i="52"/>
  <c r="DB125" i="52"/>
  <c r="CD125" i="52"/>
  <c r="CF125" i="52"/>
  <c r="DC12" i="52"/>
  <c r="CB12" i="52"/>
  <c r="CF12" i="52"/>
  <c r="DD12" i="52"/>
  <c r="CC13" i="52"/>
  <c r="DA13" i="52"/>
  <c r="CD14" i="52"/>
  <c r="DB14" i="52"/>
  <c r="CE15" i="52"/>
  <c r="DC15" i="52"/>
  <c r="CB16" i="52"/>
  <c r="CF16" i="52"/>
  <c r="CC17" i="52"/>
  <c r="DA17" i="52"/>
  <c r="CD18" i="52"/>
  <c r="DB18" i="52"/>
  <c r="CE19" i="52"/>
  <c r="DC19" i="52"/>
  <c r="CB20" i="52"/>
  <c r="CF20" i="52"/>
  <c r="CC21" i="52"/>
  <c r="DA21" i="52"/>
  <c r="CD22" i="52"/>
  <c r="DB22" i="52"/>
  <c r="CE23" i="52"/>
  <c r="DC23" i="52"/>
  <c r="CB24" i="52"/>
  <c r="CF24" i="52"/>
  <c r="CC25" i="52"/>
  <c r="DA25" i="52"/>
  <c r="CD26" i="52"/>
  <c r="DB26" i="52"/>
  <c r="CE27" i="52"/>
  <c r="DC27" i="52"/>
  <c r="CB28" i="52"/>
  <c r="CF28" i="52"/>
  <c r="CC29" i="52"/>
  <c r="DA29" i="52"/>
  <c r="CD34" i="52"/>
  <c r="DB34" i="52"/>
  <c r="CE35" i="52"/>
  <c r="DC35" i="52"/>
  <c r="CB36" i="52"/>
  <c r="CF36" i="52"/>
  <c r="CC37" i="52"/>
  <c r="DA37" i="52"/>
  <c r="CD38" i="52"/>
  <c r="DB38" i="52"/>
  <c r="CE39" i="52"/>
  <c r="DC39" i="52"/>
  <c r="CB40" i="52"/>
  <c r="CF40" i="52"/>
  <c r="CC41" i="52"/>
  <c r="DA41" i="52"/>
  <c r="CD42" i="52"/>
  <c r="DB42" i="52"/>
  <c r="CE43" i="52"/>
  <c r="DC43" i="52"/>
  <c r="CB44" i="52"/>
  <c r="CF44" i="52"/>
  <c r="CC45" i="52"/>
  <c r="DA45" i="52"/>
  <c r="CD46" i="52"/>
  <c r="DB46" i="52"/>
  <c r="CE47" i="52"/>
  <c r="DC47" i="52"/>
  <c r="CB48" i="52"/>
  <c r="CF48" i="52"/>
  <c r="CC49" i="52"/>
  <c r="DA49" i="52"/>
  <c r="CD50" i="52"/>
  <c r="DB50" i="52"/>
  <c r="CE51" i="52"/>
  <c r="DC51" i="52"/>
  <c r="CB56" i="52"/>
  <c r="CF56" i="52"/>
  <c r="CC57" i="52"/>
  <c r="DA57" i="52"/>
  <c r="CD58" i="52"/>
  <c r="DB58" i="52"/>
  <c r="CE59" i="52"/>
  <c r="DC59" i="52"/>
  <c r="DF61" i="52"/>
  <c r="DB61" i="52"/>
  <c r="CD61" i="52"/>
  <c r="CC61" i="52"/>
  <c r="DC61" i="52"/>
  <c r="EA62" i="52"/>
  <c r="DC62" i="52"/>
  <c r="CE62" i="52"/>
  <c r="CD62" i="52"/>
  <c r="DD62" i="52"/>
  <c r="CE63" i="52"/>
  <c r="DE63" i="52"/>
  <c r="CE65" i="52"/>
  <c r="DD65" i="52"/>
  <c r="CF66" i="52"/>
  <c r="DE66" i="52"/>
  <c r="DA67" i="52"/>
  <c r="DF67" i="52"/>
  <c r="CB69" i="52"/>
  <c r="DD69" i="52"/>
  <c r="CC70" i="52"/>
  <c r="DE70" i="52"/>
  <c r="CB73" i="52"/>
  <c r="DD73" i="52"/>
  <c r="CC78" i="52"/>
  <c r="DE78" i="52"/>
  <c r="CB81" i="52"/>
  <c r="DD81" i="52"/>
  <c r="CC82" i="52"/>
  <c r="DE82" i="52"/>
  <c r="CB85" i="52"/>
  <c r="DD85" i="52"/>
  <c r="CC86" i="52"/>
  <c r="DE86" i="52"/>
  <c r="CB89" i="52"/>
  <c r="DD89" i="52"/>
  <c r="CC90" i="52"/>
  <c r="DE90" i="52"/>
  <c r="CB93" i="52"/>
  <c r="DD93" i="52"/>
  <c r="CC94" i="52"/>
  <c r="DE94" i="52"/>
  <c r="CB101" i="52"/>
  <c r="DD101" i="52"/>
  <c r="CC102" i="52"/>
  <c r="DE102" i="52"/>
  <c r="CB105" i="52"/>
  <c r="DD105" i="52"/>
  <c r="CC106" i="52"/>
  <c r="DE106" i="52"/>
  <c r="CB109" i="52"/>
  <c r="DD109" i="52"/>
  <c r="CC110" i="52"/>
  <c r="DE110" i="52"/>
  <c r="CB113" i="52"/>
  <c r="DD113" i="52"/>
  <c r="CC114" i="52"/>
  <c r="DE114" i="52"/>
  <c r="CB117" i="52"/>
  <c r="DD117" i="52"/>
  <c r="CC122" i="52"/>
  <c r="DE122" i="52"/>
  <c r="CB125" i="52"/>
  <c r="DD125" i="52"/>
  <c r="DA136" i="52"/>
  <c r="DB137" i="52"/>
  <c r="DY240" i="52"/>
  <c r="CY240" i="52" s="1"/>
  <c r="DB240" i="52"/>
  <c r="CB240" i="52" s="1"/>
  <c r="CE240" i="52"/>
  <c r="DF240" i="52"/>
  <c r="CF240" i="52"/>
  <c r="CC60" i="52"/>
  <c r="DA60" i="52"/>
  <c r="CC64" i="52"/>
  <c r="DA64" i="52"/>
  <c r="CC68" i="52"/>
  <c r="DA68" i="52"/>
  <c r="CB71" i="52"/>
  <c r="CF71" i="52"/>
  <c r="DD71" i="52"/>
  <c r="CC72" i="52"/>
  <c r="DA72" i="52"/>
  <c r="CB79" i="52"/>
  <c r="CF79" i="52"/>
  <c r="DD79" i="52"/>
  <c r="CC80" i="52"/>
  <c r="DA80" i="52"/>
  <c r="CB83" i="52"/>
  <c r="CF83" i="52"/>
  <c r="DD83" i="52"/>
  <c r="CC84" i="52"/>
  <c r="DA84" i="52"/>
  <c r="CB87" i="52"/>
  <c r="CF87" i="52"/>
  <c r="DD87" i="52"/>
  <c r="CC88" i="52"/>
  <c r="DA88" i="52"/>
  <c r="CB91" i="52"/>
  <c r="CF91" i="52"/>
  <c r="DD91" i="52"/>
  <c r="CC92" i="52"/>
  <c r="DA92" i="52"/>
  <c r="CB95" i="52"/>
  <c r="CF95" i="52"/>
  <c r="DD95" i="52"/>
  <c r="CC100" i="52"/>
  <c r="DA100" i="52"/>
  <c r="CB103" i="52"/>
  <c r="CF103" i="52"/>
  <c r="DD103" i="52"/>
  <c r="CC104" i="52"/>
  <c r="DA104" i="52"/>
  <c r="CB107" i="52"/>
  <c r="CF107" i="52"/>
  <c r="DD107" i="52"/>
  <c r="CC108" i="52"/>
  <c r="DA108" i="52"/>
  <c r="CB111" i="52"/>
  <c r="CF111" i="52"/>
  <c r="DD111" i="52"/>
  <c r="CC112" i="52"/>
  <c r="DA112" i="52"/>
  <c r="CB115" i="52"/>
  <c r="CF115" i="52"/>
  <c r="DD115" i="52"/>
  <c r="CC116" i="52"/>
  <c r="DA116" i="52"/>
  <c r="CB123" i="52"/>
  <c r="CF123" i="52"/>
  <c r="DD123" i="52"/>
  <c r="CC124" i="52"/>
  <c r="DA124" i="52"/>
  <c r="CC126" i="52"/>
  <c r="DB126" i="52"/>
  <c r="CB128" i="52"/>
  <c r="DA128" i="52"/>
  <c r="CC129" i="52"/>
  <c r="DD130" i="52"/>
  <c r="CF130" i="52"/>
  <c r="CB130" i="52"/>
  <c r="CD130" i="52"/>
  <c r="DC130" i="52"/>
  <c r="EA132" i="52"/>
  <c r="DC132" i="52"/>
  <c r="DF132" i="52"/>
  <c r="DB132" i="52"/>
  <c r="CD132" i="52"/>
  <c r="CC132" i="52"/>
  <c r="DD132" i="52"/>
  <c r="R145" i="52"/>
  <c r="R153" i="52"/>
  <c r="CF230" i="52"/>
  <c r="CB230" i="52"/>
  <c r="CE230" i="52"/>
  <c r="CD230" i="52"/>
  <c r="CC230" i="52"/>
  <c r="DX237" i="52"/>
  <c r="CX237" i="52" s="1"/>
  <c r="DD237" i="52"/>
  <c r="DB237" i="52"/>
  <c r="CB237" i="52" s="1"/>
  <c r="CF237" i="52"/>
  <c r="DE237" i="52"/>
  <c r="CE237" i="52"/>
  <c r="CD237" i="52"/>
  <c r="DB258" i="52"/>
  <c r="CB258" i="52" s="1"/>
  <c r="CF258" i="52"/>
  <c r="DX258" i="52"/>
  <c r="CX258" i="52" s="1"/>
  <c r="DD258" i="52"/>
  <c r="DE258" i="52"/>
  <c r="CE258" i="52"/>
  <c r="CD258" i="52"/>
  <c r="CC71" i="52"/>
  <c r="DA71" i="52"/>
  <c r="CC79" i="52"/>
  <c r="DA79" i="52"/>
  <c r="CC83" i="52"/>
  <c r="DA83" i="52"/>
  <c r="CC87" i="52"/>
  <c r="DA87" i="52"/>
  <c r="CC91" i="52"/>
  <c r="DA91" i="52"/>
  <c r="CC95" i="52"/>
  <c r="DA95" i="52"/>
  <c r="CC103" i="52"/>
  <c r="DA103" i="52"/>
  <c r="CC107" i="52"/>
  <c r="DA107" i="52"/>
  <c r="CC111" i="52"/>
  <c r="DA111" i="52"/>
  <c r="CC115" i="52"/>
  <c r="DA115" i="52"/>
  <c r="CC123" i="52"/>
  <c r="DA123" i="52"/>
  <c r="DD126" i="52"/>
  <c r="CF126" i="52"/>
  <c r="CB126" i="52"/>
  <c r="CD126" i="52"/>
  <c r="DC126" i="52"/>
  <c r="DF128" i="52"/>
  <c r="DB128" i="52"/>
  <c r="CD128" i="52"/>
  <c r="CC128" i="52"/>
  <c r="DC128" i="52"/>
  <c r="EA129" i="52"/>
  <c r="DC129" i="52"/>
  <c r="CE129" i="52"/>
  <c r="CD129" i="52"/>
  <c r="DD129" i="52"/>
  <c r="DE242" i="52"/>
  <c r="DD242" i="52"/>
  <c r="CF242" i="52"/>
  <c r="DX242" i="52"/>
  <c r="CX242" i="52" s="1"/>
  <c r="DB242" i="52"/>
  <c r="CB242" i="52" s="1"/>
  <c r="CE242" i="52"/>
  <c r="DF242" i="52"/>
  <c r="DB244" i="52"/>
  <c r="CB244" i="52" s="1"/>
  <c r="CF244" i="52"/>
  <c r="DF244" i="52"/>
  <c r="DE244" i="52"/>
  <c r="CE244" i="52"/>
  <c r="DX244" i="52"/>
  <c r="CX244" i="52" s="1"/>
  <c r="CD244" i="52"/>
  <c r="CC127" i="52"/>
  <c r="DA127" i="52"/>
  <c r="CC131" i="52"/>
  <c r="DA131" i="52"/>
  <c r="CB134" i="52"/>
  <c r="CF134" i="52"/>
  <c r="DD134" i="52"/>
  <c r="CC135" i="52"/>
  <c r="DA135" i="52"/>
  <c r="CB138" i="52"/>
  <c r="CF138" i="52"/>
  <c r="DD138" i="52"/>
  <c r="DA139" i="52"/>
  <c r="CE217" i="52"/>
  <c r="CE219" i="52"/>
  <c r="CC229" i="52"/>
  <c r="CF229" i="52"/>
  <c r="CB229" i="52"/>
  <c r="CD238" i="52"/>
  <c r="DX241" i="52"/>
  <c r="CX241" i="52" s="1"/>
  <c r="DD241" i="52"/>
  <c r="DB241" i="52"/>
  <c r="CB241" i="52" s="1"/>
  <c r="CF241" i="52"/>
  <c r="DY258" i="52"/>
  <c r="CY258" i="52" s="1"/>
  <c r="DF258" i="52"/>
  <c r="CC134" i="52"/>
  <c r="DA134" i="52"/>
  <c r="CC138" i="52"/>
  <c r="DA138" i="52"/>
  <c r="DE217" i="52"/>
  <c r="CC217" i="52"/>
  <c r="DD217" i="52"/>
  <c r="CF217" i="52"/>
  <c r="CB217" i="52"/>
  <c r="DE219" i="52"/>
  <c r="CC219" i="52"/>
  <c r="DD219" i="52"/>
  <c r="CF219" i="52"/>
  <c r="CB219" i="52"/>
  <c r="DB238" i="52"/>
  <c r="CB238" i="52" s="1"/>
  <c r="CF238" i="52"/>
  <c r="CE238" i="52"/>
  <c r="DB251" i="52"/>
  <c r="CB251" i="52" s="1"/>
  <c r="CF251" i="52"/>
  <c r="DX251" i="52"/>
  <c r="CX251" i="52" s="1"/>
  <c r="CE251" i="52"/>
  <c r="CD251" i="52"/>
  <c r="DD251" i="52"/>
  <c r="DY253" i="52"/>
  <c r="CY253" i="52" s="1"/>
  <c r="DF253" i="52"/>
  <c r="DB253" i="52"/>
  <c r="CB253" i="52" s="1"/>
  <c r="CF253" i="52"/>
  <c r="CD216" i="52"/>
  <c r="DB216" i="52"/>
  <c r="CD218" i="52"/>
  <c r="DB218" i="52"/>
  <c r="CD220" i="52"/>
  <c r="DB220" i="52"/>
  <c r="CD239" i="52"/>
  <c r="DY239" i="52"/>
  <c r="CY239" i="52" s="1"/>
  <c r="DD240" i="52"/>
  <c r="DX240" i="52"/>
  <c r="CX240" i="52" s="1"/>
  <c r="CF246" i="52"/>
  <c r="DD246" i="52"/>
  <c r="DB247" i="52"/>
  <c r="CB247" i="52" s="1"/>
  <c r="DE247" i="52"/>
  <c r="CE247" i="52"/>
  <c r="DD247" i="52"/>
  <c r="CF248" i="52"/>
  <c r="CF250" i="52"/>
  <c r="DY257" i="52"/>
  <c r="CY257" i="52" s="1"/>
  <c r="DB257" i="52"/>
  <c r="CB257" i="52" s="1"/>
  <c r="CE257" i="52"/>
  <c r="CE239" i="52"/>
  <c r="CD240" i="52"/>
  <c r="DX243" i="52"/>
  <c r="CX243" i="52" s="1"/>
  <c r="DD243" i="52"/>
  <c r="CE243" i="52"/>
  <c r="CD245" i="52"/>
  <c r="DB245" i="52"/>
  <c r="CB245" i="52" s="1"/>
  <c r="DX245" i="52"/>
  <c r="CX245" i="52" s="1"/>
  <c r="CF247" i="52"/>
  <c r="DF247" i="52"/>
  <c r="DB250" i="52"/>
  <c r="CB250" i="52" s="1"/>
  <c r="DE253" i="52"/>
  <c r="DX254" i="52"/>
  <c r="CX254" i="52" s="1"/>
  <c r="DD254" i="52"/>
  <c r="DE254" i="52"/>
  <c r="DB254" i="52"/>
  <c r="CB254" i="52" s="1"/>
  <c r="CF254" i="52"/>
  <c r="DF254" i="52"/>
  <c r="CE256" i="52"/>
  <c r="DE256" i="52"/>
  <c r="DD256" i="52"/>
  <c r="CF256" i="52"/>
  <c r="DX256" i="52"/>
  <c r="CX256" i="52" s="1"/>
  <c r="CD246" i="52"/>
  <c r="CF249" i="52"/>
  <c r="DD249" i="52"/>
  <c r="DX250" i="52"/>
  <c r="CX250" i="52" s="1"/>
  <c r="DD250" i="52"/>
  <c r="CE250" i="52"/>
  <c r="CD252" i="52"/>
  <c r="DB252" i="52"/>
  <c r="CB252" i="52" s="1"/>
  <c r="DX252" i="52"/>
  <c r="CX252" i="52" s="1"/>
  <c r="DF256" i="52"/>
  <c r="DB255" i="52"/>
  <c r="CB255" i="52" s="1"/>
  <c r="CF255" i="52"/>
  <c r="CE255" i="52"/>
  <c r="DD255" i="52"/>
  <c r="DX255" i="52"/>
  <c r="CX255" i="52" s="1"/>
  <c r="DE257" i="52"/>
  <c r="CD249" i="52"/>
  <c r="CD253" i="52"/>
  <c r="CD257" i="52"/>
  <c r="C21" i="51" l="1"/>
  <c r="E15" i="55"/>
  <c r="B195" i="51"/>
  <c r="F9" i="28" s="1"/>
  <c r="C308" i="52"/>
  <c r="D17" i="28" s="1"/>
  <c r="AZ162" i="52"/>
  <c r="AZ191" i="52"/>
  <c r="AZ204" i="52"/>
  <c r="AZ177" i="52"/>
  <c r="AZ161" i="52"/>
  <c r="AZ203" i="52"/>
  <c r="AZ168" i="52"/>
  <c r="AZ198" i="52"/>
  <c r="AZ178" i="52"/>
  <c r="AZ209" i="52"/>
  <c r="AZ189" i="52"/>
  <c r="AZ208" i="52"/>
  <c r="AZ197" i="52"/>
  <c r="AZ181" i="52"/>
  <c r="AZ173" i="52"/>
  <c r="AZ165" i="52"/>
  <c r="AZ207" i="52"/>
  <c r="AZ200" i="52"/>
  <c r="AZ196" i="52"/>
  <c r="AZ192" i="52"/>
  <c r="AZ180" i="52"/>
  <c r="AZ176" i="52"/>
  <c r="AZ172" i="52"/>
  <c r="AZ164" i="52"/>
  <c r="AZ160" i="52"/>
  <c r="AZ199" i="52"/>
  <c r="AZ171" i="52"/>
  <c r="AZ195" i="52"/>
  <c r="AZ187" i="52"/>
  <c r="AZ179" i="52"/>
  <c r="AZ175" i="52"/>
  <c r="AZ167" i="52"/>
  <c r="AZ163" i="52"/>
  <c r="AZ206" i="52"/>
  <c r="AZ202" i="52"/>
  <c r="AZ166" i="52"/>
  <c r="AZ190" i="52"/>
  <c r="AZ182" i="52"/>
  <c r="AZ174" i="52"/>
  <c r="AZ170" i="52"/>
  <c r="AZ205" i="52"/>
  <c r="AZ193" i="52"/>
  <c r="AZ201" i="52"/>
  <c r="AZ169" i="52"/>
  <c r="AZ188" i="52"/>
  <c r="AZ194" i="52"/>
  <c r="AY100" i="52"/>
  <c r="AY27" i="52"/>
  <c r="F20" i="28"/>
  <c r="AY64" i="52"/>
  <c r="AZ246" i="52"/>
  <c r="AZ248" i="52"/>
  <c r="AY49" i="52"/>
  <c r="AY45" i="52"/>
  <c r="AY21" i="52"/>
  <c r="AZ247" i="52"/>
  <c r="AZ249" i="52"/>
  <c r="AZ254" i="52"/>
  <c r="AZ236" i="52"/>
  <c r="AY116" i="52"/>
  <c r="AY80" i="52"/>
  <c r="AY56" i="52"/>
  <c r="AY48" i="52"/>
  <c r="AY44" i="52"/>
  <c r="AY40" i="52"/>
  <c r="AY36" i="52"/>
  <c r="AY28" i="52"/>
  <c r="AY24" i="52"/>
  <c r="AY132" i="52"/>
  <c r="AY68" i="52"/>
  <c r="AY105" i="52"/>
  <c r="AY85" i="52"/>
  <c r="AZ243" i="52"/>
  <c r="AZ239" i="52"/>
  <c r="AY131" i="52"/>
  <c r="AY59" i="52"/>
  <c r="AY51" i="52"/>
  <c r="AY39" i="52"/>
  <c r="AY35" i="52"/>
  <c r="AY23" i="52"/>
  <c r="AZ253" i="52"/>
  <c r="AY138" i="52"/>
  <c r="AY20" i="52"/>
  <c r="AY16" i="52"/>
  <c r="AY19" i="52"/>
  <c r="AZ241" i="52"/>
  <c r="AZ256" i="52"/>
  <c r="AY139" i="52"/>
  <c r="AY135" i="52"/>
  <c r="AY129" i="52"/>
  <c r="AY112" i="52"/>
  <c r="AY92" i="52"/>
  <c r="AY72" i="52"/>
  <c r="AY61" i="52"/>
  <c r="AY41" i="52"/>
  <c r="AY17" i="52"/>
  <c r="AY15" i="52"/>
  <c r="AY66" i="52"/>
  <c r="AY57" i="52"/>
  <c r="AY43" i="52"/>
  <c r="AY47" i="52"/>
  <c r="AY87" i="52"/>
  <c r="AY65" i="52"/>
  <c r="AY110" i="52"/>
  <c r="AZ252" i="52"/>
  <c r="AZ250" i="52"/>
  <c r="AZ258" i="52"/>
  <c r="AY123" i="52"/>
  <c r="AY102" i="52"/>
  <c r="AY37" i="52"/>
  <c r="AY13" i="52"/>
  <c r="AY127" i="52"/>
  <c r="AY82" i="52"/>
  <c r="AZ255" i="52"/>
  <c r="AZ257" i="52"/>
  <c r="AZ244" i="52"/>
  <c r="AZ242" i="52"/>
  <c r="AY126" i="52"/>
  <c r="AZ237" i="52"/>
  <c r="AY128" i="52"/>
  <c r="AY124" i="52"/>
  <c r="AY115" i="52"/>
  <c r="AY104" i="52"/>
  <c r="AY95" i="52"/>
  <c r="AY84" i="52"/>
  <c r="AY79" i="52"/>
  <c r="AZ240" i="52"/>
  <c r="AY125" i="52"/>
  <c r="AY117" i="52"/>
  <c r="AY113" i="52"/>
  <c r="AY109" i="52"/>
  <c r="AY101" i="52"/>
  <c r="AY93" i="52"/>
  <c r="AY89" i="52"/>
  <c r="AY81" i="52"/>
  <c r="AY73" i="52"/>
  <c r="AY69" i="52"/>
  <c r="AY70" i="52"/>
  <c r="AY137" i="52"/>
  <c r="AY133" i="52"/>
  <c r="AY63" i="52"/>
  <c r="AY46" i="52"/>
  <c r="AY34" i="52"/>
  <c r="AY22" i="52"/>
  <c r="AY114" i="52"/>
  <c r="AY86" i="52"/>
  <c r="AZ251" i="52"/>
  <c r="AY107" i="52"/>
  <c r="AY94" i="52"/>
  <c r="AY38" i="52"/>
  <c r="AY26" i="52"/>
  <c r="AY14" i="52"/>
  <c r="AY78" i="52"/>
  <c r="AZ245" i="52"/>
  <c r="AY134" i="52"/>
  <c r="AY130" i="52"/>
  <c r="AY108" i="52"/>
  <c r="AY103" i="52"/>
  <c r="AY88" i="52"/>
  <c r="AY83" i="52"/>
  <c r="AY12" i="52"/>
  <c r="AY60" i="52"/>
  <c r="AY50" i="52"/>
  <c r="AY25" i="52"/>
  <c r="AZ238" i="52"/>
  <c r="AY111" i="52"/>
  <c r="AY91" i="52"/>
  <c r="AY71" i="52"/>
  <c r="AY106" i="52"/>
  <c r="AY90" i="52"/>
  <c r="AY67" i="52"/>
  <c r="AY58" i="52"/>
  <c r="AY42" i="52"/>
  <c r="AY29" i="52"/>
  <c r="AY18" i="52"/>
  <c r="AY122" i="52"/>
  <c r="AY62" i="52"/>
  <c r="AY136" i="52"/>
  <c r="B335" i="55" l="1"/>
  <c r="F24" i="28" s="1"/>
  <c r="F22" i="28"/>
  <c r="CH61" i="31"/>
  <c r="CB61" i="31" s="1"/>
  <c r="K61" i="31" s="1"/>
  <c r="C17" i="50" l="1"/>
  <c r="D17" i="50"/>
  <c r="E17" i="50"/>
  <c r="F17" i="50"/>
  <c r="K17" i="50"/>
  <c r="L17" i="50"/>
  <c r="M17" i="50"/>
  <c r="N17" i="50"/>
  <c r="U17" i="50"/>
  <c r="V17" i="50"/>
  <c r="W17" i="50"/>
  <c r="Z17" i="50"/>
  <c r="AA17" i="50"/>
  <c r="AB17" i="50"/>
  <c r="AC17" i="50"/>
  <c r="AD17" i="50"/>
  <c r="AE17" i="50"/>
  <c r="AF17" i="50"/>
  <c r="AI17" i="50"/>
  <c r="AJ17" i="50"/>
  <c r="AK17" i="50"/>
  <c r="AL17" i="50"/>
  <c r="D90" i="50"/>
  <c r="E90" i="50"/>
  <c r="F90" i="50"/>
  <c r="I90" i="50"/>
  <c r="J90" i="50"/>
  <c r="K90" i="50"/>
  <c r="N90" i="50"/>
  <c r="O90" i="50"/>
  <c r="P90" i="50"/>
  <c r="Q90" i="50"/>
  <c r="R90" i="50"/>
  <c r="S90" i="50"/>
  <c r="T90" i="50"/>
  <c r="CC10" i="49"/>
  <c r="R10" i="49" s="1"/>
  <c r="CC11" i="49"/>
  <c r="R11" i="49" s="1"/>
  <c r="CC12" i="49"/>
  <c r="R12" i="49" s="1"/>
  <c r="CC13" i="49"/>
  <c r="R13" i="49" s="1"/>
  <c r="CC14" i="49"/>
  <c r="R14" i="49" s="1"/>
  <c r="CC15" i="49"/>
  <c r="R15" i="49" s="1"/>
  <c r="CC16" i="49"/>
  <c r="R16" i="49" s="1"/>
  <c r="CC17" i="49"/>
  <c r="R17" i="49" s="1"/>
  <c r="CC18" i="49"/>
  <c r="R18" i="49" s="1"/>
  <c r="CC19" i="49"/>
  <c r="R19" i="49" s="1"/>
  <c r="CC20" i="49"/>
  <c r="R20" i="49" s="1"/>
  <c r="CC21" i="49"/>
  <c r="R21" i="49" s="1"/>
  <c r="CC23" i="49"/>
  <c r="R23" i="49" s="1"/>
  <c r="CC24" i="49"/>
  <c r="R24" i="49" s="1"/>
  <c r="CC25" i="49"/>
  <c r="R25" i="49" s="1"/>
  <c r="CC26" i="49"/>
  <c r="R26" i="49" s="1"/>
  <c r="CC27" i="49"/>
  <c r="R27" i="49" s="1"/>
  <c r="CC28" i="49"/>
  <c r="R28" i="49" s="1"/>
  <c r="CC29" i="49"/>
  <c r="R29" i="49" s="1"/>
  <c r="CC30" i="49"/>
  <c r="R30" i="49" s="1"/>
  <c r="CC31" i="49"/>
  <c r="R31" i="49" s="1"/>
  <c r="F61" i="49"/>
  <c r="G61" i="49"/>
  <c r="I61" i="49"/>
  <c r="J61" i="49"/>
  <c r="K61" i="49"/>
  <c r="C13" i="48"/>
  <c r="D13" i="48"/>
  <c r="E13" i="48"/>
  <c r="F13" i="48"/>
  <c r="G13" i="48"/>
  <c r="I13" i="48"/>
  <c r="J13" i="48"/>
  <c r="K13" i="48"/>
  <c r="M13" i="48"/>
  <c r="N13" i="48"/>
  <c r="O13" i="48"/>
  <c r="P13" i="48"/>
  <c r="R13" i="48"/>
  <c r="S13" i="48"/>
  <c r="T13" i="48"/>
  <c r="U13" i="48"/>
  <c r="W13" i="48"/>
  <c r="X13" i="48"/>
  <c r="Y13" i="48"/>
  <c r="Z13" i="48"/>
  <c r="CB30" i="48"/>
  <c r="CH31" i="48"/>
  <c r="CB31" i="48" s="1"/>
  <c r="CH32" i="48"/>
  <c r="CB32" i="48" s="1"/>
  <c r="CH33" i="48"/>
  <c r="CB33" i="48" s="1"/>
  <c r="CH34" i="48"/>
  <c r="CB34" i="48" s="1"/>
  <c r="CH35" i="48"/>
  <c r="CB35" i="48" s="1"/>
  <c r="CH36" i="48"/>
  <c r="CB36" i="48" s="1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R23" i="46"/>
  <c r="AS23" i="46"/>
  <c r="AT23" i="46"/>
  <c r="H134" i="46"/>
  <c r="I134" i="46"/>
  <c r="J134" i="46"/>
  <c r="K134" i="46"/>
  <c r="L134" i="46"/>
  <c r="M134" i="46"/>
  <c r="N134" i="46"/>
  <c r="O134" i="46"/>
  <c r="P134" i="46"/>
  <c r="Q134" i="46"/>
  <c r="R134" i="46"/>
  <c r="S134" i="46"/>
  <c r="T134" i="46"/>
  <c r="U134" i="46"/>
  <c r="V134" i="46"/>
  <c r="W134" i="46"/>
  <c r="X134" i="46"/>
  <c r="Y134" i="46"/>
  <c r="Z134" i="46"/>
  <c r="AA134" i="46"/>
  <c r="AB134" i="46"/>
  <c r="AC134" i="46"/>
  <c r="AD134" i="46"/>
  <c r="AE134" i="46"/>
  <c r="AF134" i="46"/>
  <c r="AG134" i="46"/>
  <c r="AH134" i="46"/>
  <c r="AI134" i="46"/>
  <c r="AJ134" i="46"/>
  <c r="AK134" i="46"/>
  <c r="AL134" i="46"/>
  <c r="AM134" i="46"/>
  <c r="AN134" i="46"/>
  <c r="AO134" i="46"/>
  <c r="AP134" i="46"/>
  <c r="AR134" i="46"/>
  <c r="AS134" i="46"/>
  <c r="H96" i="45"/>
  <c r="I96" i="45"/>
  <c r="J96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AB150" i="45"/>
  <c r="H161" i="45"/>
  <c r="I161" i="45"/>
  <c r="J161" i="45"/>
  <c r="K161" i="45"/>
  <c r="L161" i="45"/>
  <c r="M161" i="45"/>
  <c r="N161" i="45"/>
  <c r="O161" i="45"/>
  <c r="P161" i="45"/>
  <c r="Q161" i="45"/>
  <c r="R161" i="45"/>
  <c r="S161" i="45"/>
  <c r="T161" i="45"/>
  <c r="U161" i="45"/>
  <c r="V161" i="45"/>
  <c r="W161" i="45"/>
  <c r="X161" i="45"/>
  <c r="Y161" i="45"/>
  <c r="Z161" i="45"/>
  <c r="AA161" i="45"/>
  <c r="AB161" i="45"/>
  <c r="B346" i="45"/>
  <c r="F10" i="28" s="1"/>
  <c r="E150" i="45" l="1"/>
  <c r="DB56" i="49"/>
  <c r="CB56" i="49" s="1"/>
  <c r="DE56" i="49"/>
  <c r="CE56" i="49" s="1"/>
  <c r="DD56" i="49"/>
  <c r="CD56" i="49" s="1"/>
  <c r="DC56" i="49"/>
  <c r="CC56" i="49" s="1"/>
  <c r="DB55" i="49"/>
  <c r="CB55" i="49" s="1"/>
  <c r="DE55" i="49"/>
  <c r="CE55" i="49" s="1"/>
  <c r="DD55" i="49"/>
  <c r="CD55" i="49" s="1"/>
  <c r="DC55" i="49"/>
  <c r="CC55" i="49" s="1"/>
  <c r="DB58" i="49"/>
  <c r="CB58" i="49" s="1"/>
  <c r="DE58" i="49"/>
  <c r="CE58" i="49" s="1"/>
  <c r="DD58" i="49"/>
  <c r="CD58" i="49" s="1"/>
  <c r="DC58" i="49"/>
  <c r="CC58" i="49" s="1"/>
  <c r="DB54" i="49"/>
  <c r="CB54" i="49" s="1"/>
  <c r="DE54" i="49"/>
  <c r="CE54" i="49" s="1"/>
  <c r="DD54" i="49"/>
  <c r="CD54" i="49" s="1"/>
  <c r="DC54" i="49"/>
  <c r="CC54" i="49" s="1"/>
  <c r="DB57" i="49"/>
  <c r="CB57" i="49" s="1"/>
  <c r="DE57" i="49"/>
  <c r="CE57" i="49" s="1"/>
  <c r="DD57" i="49"/>
  <c r="CD57" i="49" s="1"/>
  <c r="DC57" i="49"/>
  <c r="CC57" i="49" s="1"/>
  <c r="DB53" i="49"/>
  <c r="DE53" i="49"/>
  <c r="CE53" i="49" s="1"/>
  <c r="DD53" i="49"/>
  <c r="CD53" i="49" s="1"/>
  <c r="DC53" i="49"/>
  <c r="CC53" i="49" s="1"/>
  <c r="F199" i="45"/>
  <c r="E134" i="46"/>
  <c r="F134" i="46"/>
  <c r="E199" i="45"/>
  <c r="AA13" i="48"/>
  <c r="E189" i="45"/>
  <c r="F189" i="45"/>
  <c r="F161" i="45"/>
  <c r="F150" i="45"/>
  <c r="E161" i="45"/>
  <c r="R17" i="50"/>
  <c r="S17" i="50"/>
  <c r="F23" i="46"/>
  <c r="V13" i="48"/>
  <c r="CC22" i="49"/>
  <c r="R22" i="49" s="1"/>
  <c r="E96" i="45"/>
  <c r="E23" i="46"/>
  <c r="F96" i="45"/>
  <c r="T17" i="50"/>
  <c r="H13" i="48"/>
  <c r="D61" i="49"/>
  <c r="B198" i="49" s="1"/>
  <c r="Q13" i="48"/>
  <c r="L13" i="48"/>
  <c r="B180" i="50" l="1"/>
  <c r="F29" i="28" s="1"/>
  <c r="B162" i="48"/>
  <c r="F21" i="28" s="1"/>
  <c r="DS22" i="46"/>
  <c r="CS22" i="46" s="1"/>
  <c r="DM22" i="46"/>
  <c r="CM22" i="46" s="1"/>
  <c r="DR22" i="46"/>
  <c r="CR22" i="46" s="1"/>
  <c r="DL22" i="46"/>
  <c r="CL22" i="46" s="1"/>
  <c r="DP22" i="46"/>
  <c r="CP22" i="46" s="1"/>
  <c r="DQ22" i="46"/>
  <c r="CQ22" i="46" s="1"/>
  <c r="DK22" i="46"/>
  <c r="CK22" i="46" s="1"/>
  <c r="DO22" i="46"/>
  <c r="CO22" i="46" s="1"/>
  <c r="DN22" i="46"/>
  <c r="CN22" i="46" s="1"/>
  <c r="CB26" i="46"/>
  <c r="DS26" i="46"/>
  <c r="CS26" i="46" s="1"/>
  <c r="DM26" i="46"/>
  <c r="CM26" i="46" s="1"/>
  <c r="CG26" i="46"/>
  <c r="DR26" i="46"/>
  <c r="CR26" i="46" s="1"/>
  <c r="DL26" i="46"/>
  <c r="CL26" i="46" s="1"/>
  <c r="CE26" i="46"/>
  <c r="DP26" i="46"/>
  <c r="CP26" i="46" s="1"/>
  <c r="CF26" i="46"/>
  <c r="DQ26" i="46"/>
  <c r="CQ26" i="46" s="1"/>
  <c r="DK26" i="46"/>
  <c r="CK26" i="46" s="1"/>
  <c r="CJ26" i="46"/>
  <c r="CD26" i="46"/>
  <c r="DO26" i="46"/>
  <c r="CO26" i="46" s="1"/>
  <c r="CI26" i="46"/>
  <c r="CC26" i="46"/>
  <c r="DN26" i="46"/>
  <c r="CN26" i="46" s="1"/>
  <c r="CB111" i="46"/>
  <c r="CC111" i="46"/>
  <c r="DS18" i="46"/>
  <c r="CS18" i="46" s="1"/>
  <c r="DM18" i="46"/>
  <c r="CM18" i="46" s="1"/>
  <c r="CD18" i="46"/>
  <c r="CJ18" i="46"/>
  <c r="DR18" i="46"/>
  <c r="CR18" i="46" s="1"/>
  <c r="DL18" i="46"/>
  <c r="CL18" i="46" s="1"/>
  <c r="CE18" i="46"/>
  <c r="DP18" i="46"/>
  <c r="CP18" i="46" s="1"/>
  <c r="CG18" i="46"/>
  <c r="DO18" i="46"/>
  <c r="CO18" i="46" s="1"/>
  <c r="CB18" i="46"/>
  <c r="DN18" i="46"/>
  <c r="CN18" i="46" s="1"/>
  <c r="CC18" i="46"/>
  <c r="CI18" i="46"/>
  <c r="DQ18" i="46"/>
  <c r="CQ18" i="46" s="1"/>
  <c r="DK18" i="46"/>
  <c r="CK18" i="46" s="1"/>
  <c r="CF18" i="46"/>
  <c r="CB25" i="46"/>
  <c r="DP25" i="46"/>
  <c r="CP25" i="46" s="1"/>
  <c r="CG25" i="46"/>
  <c r="DO25" i="46"/>
  <c r="CO25" i="46" s="1"/>
  <c r="CE25" i="46"/>
  <c r="DS25" i="46"/>
  <c r="CS25" i="46" s="1"/>
  <c r="DM25" i="46"/>
  <c r="CM25" i="46" s="1"/>
  <c r="CF25" i="46"/>
  <c r="DN25" i="46"/>
  <c r="CN25" i="46" s="1"/>
  <c r="CJ25" i="46"/>
  <c r="CD25" i="46"/>
  <c r="DR25" i="46"/>
  <c r="CR25" i="46" s="1"/>
  <c r="DL25" i="46"/>
  <c r="CL25" i="46" s="1"/>
  <c r="CI25" i="46"/>
  <c r="CC25" i="46"/>
  <c r="DQ25" i="46"/>
  <c r="CQ25" i="46" s="1"/>
  <c r="DK25" i="46"/>
  <c r="CK25" i="46" s="1"/>
  <c r="DS16" i="46"/>
  <c r="CS16" i="46" s="1"/>
  <c r="DM16" i="46"/>
  <c r="CM16" i="46" s="1"/>
  <c r="CD16" i="46"/>
  <c r="CJ16" i="46"/>
  <c r="DR16" i="46"/>
  <c r="CR16" i="46" s="1"/>
  <c r="DL16" i="46"/>
  <c r="CL16" i="46" s="1"/>
  <c r="CE16" i="46"/>
  <c r="DP16" i="46"/>
  <c r="CP16" i="46" s="1"/>
  <c r="CG16" i="46"/>
  <c r="DO16" i="46"/>
  <c r="CO16" i="46" s="1"/>
  <c r="CB16" i="46"/>
  <c r="DN16" i="46"/>
  <c r="CN16" i="46" s="1"/>
  <c r="CC16" i="46"/>
  <c r="CI16" i="46"/>
  <c r="DK16" i="46"/>
  <c r="CK16" i="46" s="1"/>
  <c r="DQ16" i="46"/>
  <c r="CQ16" i="46" s="1"/>
  <c r="CF16" i="46"/>
  <c r="DP19" i="46"/>
  <c r="CP19" i="46" s="1"/>
  <c r="CG19" i="46"/>
  <c r="DO19" i="46"/>
  <c r="CO19" i="46" s="1"/>
  <c r="CB19" i="46"/>
  <c r="DS19" i="46"/>
  <c r="CS19" i="46" s="1"/>
  <c r="DM19" i="46"/>
  <c r="CM19" i="46" s="1"/>
  <c r="CD19" i="46"/>
  <c r="CJ19" i="46"/>
  <c r="DR19" i="46"/>
  <c r="CR19" i="46" s="1"/>
  <c r="DL19" i="46"/>
  <c r="CL19" i="46" s="1"/>
  <c r="CE19" i="46"/>
  <c r="DQ19" i="46"/>
  <c r="CQ19" i="46" s="1"/>
  <c r="DK19" i="46"/>
  <c r="CK19" i="46" s="1"/>
  <c r="CF19" i="46"/>
  <c r="CC19" i="46"/>
  <c r="CI19" i="46"/>
  <c r="DN19" i="46"/>
  <c r="CN19" i="46" s="1"/>
  <c r="CB27" i="46"/>
  <c r="DP27" i="46"/>
  <c r="CP27" i="46" s="1"/>
  <c r="CG27" i="46"/>
  <c r="DO27" i="46"/>
  <c r="CO27" i="46" s="1"/>
  <c r="CE27" i="46"/>
  <c r="DS27" i="46"/>
  <c r="CS27" i="46" s="1"/>
  <c r="DM27" i="46"/>
  <c r="CM27" i="46" s="1"/>
  <c r="CF27" i="46"/>
  <c r="DN27" i="46"/>
  <c r="CN27" i="46" s="1"/>
  <c r="CJ27" i="46"/>
  <c r="CD27" i="46"/>
  <c r="DR27" i="46"/>
  <c r="CR27" i="46" s="1"/>
  <c r="DL27" i="46"/>
  <c r="CL27" i="46" s="1"/>
  <c r="CI27" i="46"/>
  <c r="CC27" i="46"/>
  <c r="DQ27" i="46"/>
  <c r="CQ27" i="46" s="1"/>
  <c r="DK27" i="46"/>
  <c r="CK27" i="46" s="1"/>
  <c r="DP17" i="46"/>
  <c r="CP17" i="46" s="1"/>
  <c r="CG17" i="46"/>
  <c r="DO17" i="46"/>
  <c r="CO17" i="46" s="1"/>
  <c r="CB17" i="46"/>
  <c r="DS17" i="46"/>
  <c r="CS17" i="46" s="1"/>
  <c r="DM17" i="46"/>
  <c r="CM17" i="46" s="1"/>
  <c r="CD17" i="46"/>
  <c r="CJ17" i="46"/>
  <c r="DR17" i="46"/>
  <c r="CR17" i="46" s="1"/>
  <c r="DL17" i="46"/>
  <c r="CL17" i="46" s="1"/>
  <c r="CE17" i="46"/>
  <c r="DQ17" i="46"/>
  <c r="CQ17" i="46" s="1"/>
  <c r="DK17" i="46"/>
  <c r="CK17" i="46" s="1"/>
  <c r="CF17" i="46"/>
  <c r="CC17" i="46"/>
  <c r="CI17" i="46"/>
  <c r="DN17" i="46"/>
  <c r="CN17" i="46" s="1"/>
  <c r="DS14" i="46"/>
  <c r="CS14" i="46" s="1"/>
  <c r="DM14" i="46"/>
  <c r="CM14" i="46" s="1"/>
  <c r="CD14" i="46"/>
  <c r="CJ14" i="46"/>
  <c r="DR14" i="46"/>
  <c r="CR14" i="46" s="1"/>
  <c r="DL14" i="46"/>
  <c r="CL14" i="46" s="1"/>
  <c r="CE14" i="46"/>
  <c r="DP14" i="46"/>
  <c r="CP14" i="46" s="1"/>
  <c r="CG14" i="46"/>
  <c r="DO14" i="46"/>
  <c r="CO14" i="46" s="1"/>
  <c r="CB14" i="46"/>
  <c r="DN14" i="46"/>
  <c r="CN14" i="46" s="1"/>
  <c r="CC14" i="46"/>
  <c r="CI14" i="46"/>
  <c r="DQ14" i="46"/>
  <c r="CQ14" i="46" s="1"/>
  <c r="DK14" i="46"/>
  <c r="CK14" i="46" s="1"/>
  <c r="CF14" i="46"/>
  <c r="DS20" i="46"/>
  <c r="CS20" i="46" s="1"/>
  <c r="DM20" i="46"/>
  <c r="CM20" i="46" s="1"/>
  <c r="CD20" i="46"/>
  <c r="CJ20" i="46"/>
  <c r="DR20" i="46"/>
  <c r="CR20" i="46" s="1"/>
  <c r="DL20" i="46"/>
  <c r="CL20" i="46" s="1"/>
  <c r="CE20" i="46"/>
  <c r="DP20" i="46"/>
  <c r="CP20" i="46" s="1"/>
  <c r="CG20" i="46"/>
  <c r="DO20" i="46"/>
  <c r="CO20" i="46" s="1"/>
  <c r="CB20" i="46"/>
  <c r="DN20" i="46"/>
  <c r="CN20" i="46" s="1"/>
  <c r="CC20" i="46"/>
  <c r="CI20" i="46"/>
  <c r="DQ20" i="46"/>
  <c r="CQ20" i="46" s="1"/>
  <c r="DK20" i="46"/>
  <c r="CK20" i="46" s="1"/>
  <c r="CF20" i="46"/>
  <c r="DP15" i="46"/>
  <c r="CP15" i="46" s="1"/>
  <c r="CG15" i="46"/>
  <c r="DO15" i="46"/>
  <c r="CO15" i="46" s="1"/>
  <c r="CB15" i="46"/>
  <c r="DS15" i="46"/>
  <c r="CS15" i="46" s="1"/>
  <c r="DM15" i="46"/>
  <c r="CM15" i="46" s="1"/>
  <c r="CD15" i="46"/>
  <c r="CJ15" i="46"/>
  <c r="DR15" i="46"/>
  <c r="CR15" i="46" s="1"/>
  <c r="DL15" i="46"/>
  <c r="CL15" i="46" s="1"/>
  <c r="CE15" i="46"/>
  <c r="DQ15" i="46"/>
  <c r="CQ15" i="46" s="1"/>
  <c r="DK15" i="46"/>
  <c r="CK15" i="46" s="1"/>
  <c r="CF15" i="46"/>
  <c r="CC15" i="46"/>
  <c r="CI15" i="46"/>
  <c r="DN15" i="46"/>
  <c r="CN15" i="46" s="1"/>
  <c r="DP21" i="46"/>
  <c r="CP21" i="46" s="1"/>
  <c r="CG21" i="46"/>
  <c r="DO21" i="46"/>
  <c r="CO21" i="46" s="1"/>
  <c r="CB21" i="46"/>
  <c r="DS21" i="46"/>
  <c r="CS21" i="46" s="1"/>
  <c r="DM21" i="46"/>
  <c r="CM21" i="46" s="1"/>
  <c r="CD21" i="46"/>
  <c r="CJ21" i="46"/>
  <c r="DR21" i="46"/>
  <c r="CR21" i="46" s="1"/>
  <c r="DL21" i="46"/>
  <c r="CL21" i="46" s="1"/>
  <c r="CE21" i="46"/>
  <c r="DQ21" i="46"/>
  <c r="CQ21" i="46" s="1"/>
  <c r="DK21" i="46"/>
  <c r="CK21" i="46" s="1"/>
  <c r="CF21" i="46"/>
  <c r="CC21" i="46"/>
  <c r="CI21" i="46"/>
  <c r="DN21" i="46"/>
  <c r="CN21" i="46" s="1"/>
  <c r="D199" i="45"/>
  <c r="DN13" i="46"/>
  <c r="CN13" i="46" s="1"/>
  <c r="CC13" i="46"/>
  <c r="CE13" i="46"/>
  <c r="DO13" i="46"/>
  <c r="CO13" i="46" s="1"/>
  <c r="CD13" i="46"/>
  <c r="DP13" i="46"/>
  <c r="CP13" i="46" s="1"/>
  <c r="DQ13" i="46"/>
  <c r="CQ13" i="46" s="1"/>
  <c r="CF13" i="46"/>
  <c r="DR13" i="46"/>
  <c r="CR13" i="46" s="1"/>
  <c r="CG13" i="46"/>
  <c r="DL13" i="46"/>
  <c r="CL13" i="46" s="1"/>
  <c r="CB13" i="46"/>
  <c r="CJ13" i="46"/>
  <c r="CI13" i="46"/>
  <c r="DS13" i="46"/>
  <c r="CS13" i="46" s="1"/>
  <c r="DK13" i="46"/>
  <c r="DM13" i="46"/>
  <c r="CM13" i="46" s="1"/>
  <c r="CB109" i="46"/>
  <c r="CC109" i="46"/>
  <c r="CI24" i="46"/>
  <c r="CG24" i="46"/>
  <c r="CF24" i="46"/>
  <c r="CC24" i="46"/>
  <c r="CE24" i="46"/>
  <c r="CD24" i="46"/>
  <c r="CJ24" i="46"/>
  <c r="CB24" i="46"/>
  <c r="DP24" i="46"/>
  <c r="CP24" i="46" s="1"/>
  <c r="DN24" i="46"/>
  <c r="CN24" i="46" s="1"/>
  <c r="DO24" i="46"/>
  <c r="CO24" i="46" s="1"/>
  <c r="DM24" i="46"/>
  <c r="CM24" i="46" s="1"/>
  <c r="DL24" i="46"/>
  <c r="CL24" i="46" s="1"/>
  <c r="DR24" i="46"/>
  <c r="CR24" i="46" s="1"/>
  <c r="DS24" i="46"/>
  <c r="CS24" i="46" s="1"/>
  <c r="DK24" i="46"/>
  <c r="DQ24" i="46"/>
  <c r="CQ24" i="46" s="1"/>
  <c r="CB22" i="46"/>
  <c r="CJ22" i="46"/>
  <c r="CC22" i="46"/>
  <c r="CD22" i="46"/>
  <c r="CE22" i="46"/>
  <c r="CF22" i="46"/>
  <c r="CG22" i="46"/>
  <c r="CI22" i="46"/>
  <c r="D150" i="45"/>
  <c r="DC58" i="46"/>
  <c r="CC58" i="46" s="1"/>
  <c r="DB58" i="46"/>
  <c r="CB58" i="46" s="1"/>
  <c r="DD58" i="46"/>
  <c r="CD58" i="46" s="1"/>
  <c r="DD66" i="46"/>
  <c r="CD66" i="46" s="1"/>
  <c r="DC66" i="46"/>
  <c r="CC66" i="46" s="1"/>
  <c r="DB66" i="46"/>
  <c r="CB66" i="46" s="1"/>
  <c r="DD74" i="46"/>
  <c r="CD74" i="46" s="1"/>
  <c r="DC74" i="46"/>
  <c r="CC74" i="46" s="1"/>
  <c r="DB74" i="46"/>
  <c r="CB74" i="46" s="1"/>
  <c r="DB69" i="46"/>
  <c r="CB69" i="46" s="1"/>
  <c r="DD69" i="46"/>
  <c r="CD69" i="46" s="1"/>
  <c r="DC69" i="46"/>
  <c r="CC69" i="46" s="1"/>
  <c r="DB71" i="46"/>
  <c r="CB71" i="46" s="1"/>
  <c r="DD71" i="46"/>
  <c r="CD71" i="46" s="1"/>
  <c r="DC71" i="46"/>
  <c r="CC71" i="46" s="1"/>
  <c r="DD61" i="46"/>
  <c r="CD61" i="46" s="1"/>
  <c r="DC61" i="46"/>
  <c r="CC61" i="46" s="1"/>
  <c r="DB61" i="46"/>
  <c r="CB61" i="46" s="1"/>
  <c r="DD132" i="46"/>
  <c r="CD132" i="46" s="1"/>
  <c r="DG132" i="46"/>
  <c r="CG132" i="46" s="1"/>
  <c r="DC132" i="46"/>
  <c r="CC132" i="46" s="1"/>
  <c r="DF132" i="46"/>
  <c r="CF132" i="46" s="1"/>
  <c r="DB132" i="46"/>
  <c r="CB132" i="46" s="1"/>
  <c r="DE132" i="46"/>
  <c r="CE132" i="46" s="1"/>
  <c r="DD60" i="46"/>
  <c r="CD60" i="46" s="1"/>
  <c r="DC60" i="46"/>
  <c r="CC60" i="46" s="1"/>
  <c r="DB60" i="46"/>
  <c r="CB60" i="46" s="1"/>
  <c r="DB68" i="46"/>
  <c r="CB68" i="46" s="1"/>
  <c r="DC68" i="46"/>
  <c r="CC68" i="46" s="1"/>
  <c r="DD68" i="46"/>
  <c r="CD68" i="46" s="1"/>
  <c r="DB76" i="46"/>
  <c r="CB76" i="46" s="1"/>
  <c r="DD76" i="46"/>
  <c r="CD76" i="46" s="1"/>
  <c r="DC76" i="46"/>
  <c r="CC76" i="46" s="1"/>
  <c r="DB67" i="46"/>
  <c r="CB67" i="46" s="1"/>
  <c r="DD67" i="46"/>
  <c r="CD67" i="46" s="1"/>
  <c r="DC67" i="46"/>
  <c r="CC67" i="46" s="1"/>
  <c r="DB75" i="46"/>
  <c r="CB75" i="46" s="1"/>
  <c r="DD75" i="46"/>
  <c r="CD75" i="46" s="1"/>
  <c r="DC75" i="46"/>
  <c r="CC75" i="46" s="1"/>
  <c r="DD73" i="46"/>
  <c r="CD73" i="46" s="1"/>
  <c r="DC73" i="46"/>
  <c r="CC73" i="46" s="1"/>
  <c r="DB73" i="46"/>
  <c r="CB73" i="46" s="1"/>
  <c r="CB53" i="49"/>
  <c r="O53" i="49" s="1"/>
  <c r="C198" i="49"/>
  <c r="D25" i="28" s="1"/>
  <c r="O57" i="49"/>
  <c r="O54" i="49"/>
  <c r="O58" i="49"/>
  <c r="DB62" i="46"/>
  <c r="CB62" i="46" s="1"/>
  <c r="DD62" i="46"/>
  <c r="CD62" i="46" s="1"/>
  <c r="DC62" i="46"/>
  <c r="CC62" i="46" s="1"/>
  <c r="DB70" i="46"/>
  <c r="CB70" i="46" s="1"/>
  <c r="DD70" i="46"/>
  <c r="CD70" i="46" s="1"/>
  <c r="DC70" i="46"/>
  <c r="CC70" i="46" s="1"/>
  <c r="DD77" i="46"/>
  <c r="CD77" i="46" s="1"/>
  <c r="DC77" i="46"/>
  <c r="CC77" i="46" s="1"/>
  <c r="DB77" i="46"/>
  <c r="CB77" i="46" s="1"/>
  <c r="DB59" i="46"/>
  <c r="CB59" i="46" s="1"/>
  <c r="DD59" i="46"/>
  <c r="CD59" i="46" s="1"/>
  <c r="DC59" i="46"/>
  <c r="CC59" i="46" s="1"/>
  <c r="DB133" i="46"/>
  <c r="CB133" i="46" s="1"/>
  <c r="DE133" i="46"/>
  <c r="CE133" i="46" s="1"/>
  <c r="DD133" i="46"/>
  <c r="CD133" i="46" s="1"/>
  <c r="DG133" i="46"/>
  <c r="CG133" i="46" s="1"/>
  <c r="DC133" i="46"/>
  <c r="CC133" i="46" s="1"/>
  <c r="DF133" i="46"/>
  <c r="CF133" i="46" s="1"/>
  <c r="O55" i="49"/>
  <c r="O56" i="49"/>
  <c r="DC64" i="46"/>
  <c r="CC64" i="46" s="1"/>
  <c r="DD64" i="46"/>
  <c r="CD64" i="46" s="1"/>
  <c r="DB64" i="46"/>
  <c r="CB64" i="46" s="1"/>
  <c r="DC72" i="46"/>
  <c r="CC72" i="46" s="1"/>
  <c r="DD72" i="46"/>
  <c r="CD72" i="46" s="1"/>
  <c r="DB72" i="46"/>
  <c r="CB72" i="46" s="1"/>
  <c r="DC78" i="46"/>
  <c r="CC78" i="46" s="1"/>
  <c r="DB78" i="46"/>
  <c r="CB78" i="46" s="1"/>
  <c r="DD78" i="46"/>
  <c r="CD78" i="46" s="1"/>
  <c r="DD65" i="46"/>
  <c r="CD65" i="46" s="1"/>
  <c r="DC65" i="46"/>
  <c r="CC65" i="46" s="1"/>
  <c r="DB65" i="46"/>
  <c r="CB65" i="46" s="1"/>
  <c r="DC111" i="46"/>
  <c r="CD111" i="46" s="1"/>
  <c r="DD111" i="46"/>
  <c r="CE111" i="46" s="1"/>
  <c r="DB63" i="46"/>
  <c r="CB63" i="46" s="1"/>
  <c r="DD63" i="46"/>
  <c r="CD63" i="46" s="1"/>
  <c r="DC63" i="46"/>
  <c r="CC63" i="46" s="1"/>
  <c r="C162" i="48"/>
  <c r="D21" i="28" s="1"/>
  <c r="DD109" i="46"/>
  <c r="CE109" i="46" s="1"/>
  <c r="DC109" i="46"/>
  <c r="CD109" i="46" s="1"/>
  <c r="D134" i="46"/>
  <c r="D161" i="45"/>
  <c r="D189" i="45"/>
  <c r="D96" i="45"/>
  <c r="F25" i="28"/>
  <c r="D23" i="46"/>
  <c r="CK13" i="46" l="1"/>
  <c r="C171" i="46"/>
  <c r="AX19" i="46"/>
  <c r="AX20" i="46"/>
  <c r="AX16" i="46"/>
  <c r="AX22" i="46"/>
  <c r="AX14" i="46"/>
  <c r="AX18" i="46"/>
  <c r="R111" i="46"/>
  <c r="AX25" i="46"/>
  <c r="AX15" i="46"/>
  <c r="AX17" i="46"/>
  <c r="AX21" i="46"/>
  <c r="AX27" i="46"/>
  <c r="AX26" i="46"/>
  <c r="AX13" i="46"/>
  <c r="AT133" i="46"/>
  <c r="AT132" i="46"/>
  <c r="R109" i="46"/>
  <c r="CK24" i="46"/>
  <c r="AX24" i="46" s="1"/>
  <c r="AQ73" i="46"/>
  <c r="AQ64" i="46"/>
  <c r="AQ68" i="46"/>
  <c r="B171" i="46"/>
  <c r="F13" i="28" s="1"/>
  <c r="AQ60" i="46"/>
  <c r="AQ77" i="46"/>
  <c r="AQ62" i="46"/>
  <c r="AQ63" i="46"/>
  <c r="AQ65" i="46"/>
  <c r="AQ78" i="46"/>
  <c r="AQ70" i="46"/>
  <c r="AQ76" i="46"/>
  <c r="AQ67" i="46"/>
  <c r="AQ61" i="46"/>
  <c r="AQ69" i="46"/>
  <c r="AQ66" i="46"/>
  <c r="AQ58" i="46"/>
  <c r="AQ72" i="46"/>
  <c r="AQ59" i="46"/>
  <c r="AQ75" i="46"/>
  <c r="AQ71" i="46"/>
  <c r="AQ74" i="46"/>
  <c r="D13" i="28" l="1"/>
  <c r="Q70" i="43"/>
  <c r="R70" i="43"/>
  <c r="S70" i="43"/>
  <c r="N94" i="43"/>
  <c r="CK14" i="42"/>
  <c r="CE14" i="42" s="1"/>
  <c r="CK15" i="42"/>
  <c r="CE15" i="42" s="1"/>
  <c r="CK16" i="42"/>
  <c r="CE16" i="42" s="1"/>
  <c r="CK17" i="42"/>
  <c r="CE17" i="42" s="1"/>
  <c r="CK18" i="42"/>
  <c r="CE18" i="42" s="1"/>
  <c r="CK19" i="42"/>
  <c r="CE19" i="42" s="1"/>
  <c r="CK20" i="42"/>
  <c r="CE20" i="42" s="1"/>
  <c r="CK21" i="42"/>
  <c r="CE21" i="42" s="1"/>
  <c r="CK22" i="42"/>
  <c r="CE22" i="42" s="1"/>
  <c r="CK23" i="42"/>
  <c r="CE23" i="42" s="1"/>
  <c r="CK24" i="42"/>
  <c r="CE24" i="42" s="1"/>
  <c r="CK25" i="42"/>
  <c r="CE25" i="42" s="1"/>
  <c r="CK26" i="42"/>
  <c r="CE26" i="42" s="1"/>
  <c r="CK27" i="42"/>
  <c r="CE27" i="42" s="1"/>
  <c r="CK28" i="42"/>
  <c r="CE28" i="42" s="1"/>
  <c r="CK29" i="42"/>
  <c r="CE29" i="42" s="1"/>
  <c r="CK30" i="42"/>
  <c r="CE30" i="42" s="1"/>
  <c r="CK31" i="42"/>
  <c r="CE31" i="42" s="1"/>
  <c r="CK32" i="42"/>
  <c r="CE32" i="42" s="1"/>
  <c r="CK33" i="42"/>
  <c r="CE33" i="42" s="1"/>
  <c r="CK34" i="42"/>
  <c r="CE34" i="42" s="1"/>
  <c r="CK35" i="42"/>
  <c r="CE35" i="42" s="1"/>
  <c r="CK36" i="42"/>
  <c r="CE36" i="42" s="1"/>
  <c r="CK37" i="42"/>
  <c r="CE37" i="42" s="1"/>
  <c r="CK38" i="42"/>
  <c r="CE38" i="42" s="1"/>
  <c r="CK39" i="42"/>
  <c r="CE39" i="42" s="1"/>
  <c r="CK40" i="42"/>
  <c r="CE40" i="42" s="1"/>
  <c r="CK41" i="42"/>
  <c r="CE41" i="42" s="1"/>
  <c r="CK42" i="42"/>
  <c r="CE42" i="42" s="1"/>
  <c r="CK43" i="42"/>
  <c r="CE43" i="42" s="1"/>
  <c r="CK44" i="42"/>
  <c r="CE44" i="42" s="1"/>
  <c r="CK45" i="42"/>
  <c r="CE45" i="42" s="1"/>
  <c r="CK46" i="42"/>
  <c r="CE46" i="42" s="1"/>
  <c r="CK47" i="42"/>
  <c r="CE47" i="42" s="1"/>
  <c r="CK48" i="42"/>
  <c r="CE48" i="42" s="1"/>
  <c r="CK49" i="42"/>
  <c r="CE49" i="42" s="1"/>
  <c r="CK50" i="42"/>
  <c r="CE50" i="42" s="1"/>
  <c r="CK51" i="42"/>
  <c r="CE51" i="42" s="1"/>
  <c r="CK52" i="42"/>
  <c r="CE52" i="42" s="1"/>
  <c r="CK53" i="42"/>
  <c r="CE53" i="42" s="1"/>
  <c r="CK54" i="42"/>
  <c r="CE54" i="42" s="1"/>
  <c r="CK55" i="42"/>
  <c r="CE55" i="42" s="1"/>
  <c r="CK56" i="42"/>
  <c r="CE56" i="42" s="1"/>
  <c r="CK57" i="42"/>
  <c r="CE57" i="42" s="1"/>
  <c r="CK58" i="42"/>
  <c r="CE58" i="42" s="1"/>
  <c r="CK59" i="42"/>
  <c r="CE59" i="42" s="1"/>
  <c r="CK60" i="42"/>
  <c r="CE60" i="42" s="1"/>
  <c r="CK61" i="42"/>
  <c r="CE61" i="42" s="1"/>
  <c r="CK62" i="42"/>
  <c r="CE62" i="42" s="1"/>
  <c r="CK63" i="42"/>
  <c r="CE63" i="42" s="1"/>
  <c r="CK64" i="42"/>
  <c r="CE64" i="42" s="1"/>
  <c r="CK65" i="42"/>
  <c r="CE65" i="42" s="1"/>
  <c r="CK66" i="42"/>
  <c r="CE66" i="42" s="1"/>
  <c r="CK67" i="42"/>
  <c r="CE67" i="42" s="1"/>
  <c r="CK68" i="42"/>
  <c r="CE68" i="42" s="1"/>
  <c r="CK69" i="42"/>
  <c r="CE69" i="42" s="1"/>
  <c r="CB88" i="42"/>
  <c r="F88" i="42" s="1"/>
  <c r="CH88" i="42"/>
  <c r="CB89" i="42"/>
  <c r="F89" i="42" s="1"/>
  <c r="CH89" i="42"/>
  <c r="CB90" i="42"/>
  <c r="F90" i="42" s="1"/>
  <c r="CH90" i="42"/>
  <c r="CB93" i="42"/>
  <c r="F93" i="42" s="1"/>
  <c r="CH93" i="42"/>
  <c r="CB94" i="42"/>
  <c r="F94" i="42" s="1"/>
  <c r="CH94" i="42"/>
  <c r="CB95" i="42"/>
  <c r="F95" i="42" s="1"/>
  <c r="CH95" i="42"/>
  <c r="CB96" i="42"/>
  <c r="F96" i="42" s="1"/>
  <c r="CH96" i="42"/>
  <c r="F66" i="40"/>
  <c r="G66" i="40"/>
  <c r="H66" i="40"/>
  <c r="I66" i="40"/>
  <c r="J66" i="40"/>
  <c r="K66" i="40"/>
  <c r="L66" i="40"/>
  <c r="M66" i="40"/>
  <c r="N66" i="40"/>
  <c r="O66" i="40"/>
  <c r="P66" i="40"/>
  <c r="Q66" i="40"/>
  <c r="R66" i="40"/>
  <c r="S66" i="40"/>
  <c r="T66" i="40"/>
  <c r="U66" i="40"/>
  <c r="V66" i="40"/>
  <c r="W66" i="40"/>
  <c r="X66" i="40"/>
  <c r="Y66" i="40"/>
  <c r="Z66" i="40"/>
  <c r="AA66" i="40"/>
  <c r="AB66" i="40"/>
  <c r="AC66" i="40"/>
  <c r="AD66" i="40"/>
  <c r="AE66" i="40"/>
  <c r="AF66" i="40"/>
  <c r="AG66" i="40"/>
  <c r="AH66" i="40"/>
  <c r="AI66" i="40"/>
  <c r="AJ66" i="40"/>
  <c r="AK66" i="40"/>
  <c r="AL66" i="40"/>
  <c r="AM66" i="40"/>
  <c r="AN66" i="40"/>
  <c r="AO66" i="40"/>
  <c r="G94" i="40"/>
  <c r="H94" i="40"/>
  <c r="I94" i="40"/>
  <c r="J94" i="40"/>
  <c r="K94" i="40"/>
  <c r="L94" i="40"/>
  <c r="M94" i="40"/>
  <c r="N94" i="40"/>
  <c r="O94" i="40"/>
  <c r="P94" i="40"/>
  <c r="Q94" i="40"/>
  <c r="R94" i="40"/>
  <c r="S94" i="40"/>
  <c r="T94" i="40"/>
  <c r="U94" i="40"/>
  <c r="V94" i="40"/>
  <c r="W94" i="40"/>
  <c r="X94" i="40"/>
  <c r="Y94" i="40"/>
  <c r="Z94" i="40"/>
  <c r="AA94" i="40"/>
  <c r="AB94" i="40"/>
  <c r="AC94" i="40"/>
  <c r="AD94" i="40"/>
  <c r="AE94" i="40"/>
  <c r="AF94" i="40"/>
  <c r="AG94" i="40"/>
  <c r="AH94" i="40"/>
  <c r="AI94" i="40"/>
  <c r="AJ94" i="40"/>
  <c r="AK94" i="40"/>
  <c r="AL94" i="40"/>
  <c r="AM94" i="40"/>
  <c r="AN94" i="40"/>
  <c r="AO94" i="40"/>
  <c r="AP94" i="40"/>
  <c r="F198" i="40"/>
  <c r="G198" i="40"/>
  <c r="H198" i="40"/>
  <c r="I198" i="40"/>
  <c r="J198" i="40"/>
  <c r="K198" i="40"/>
  <c r="L198" i="40"/>
  <c r="M198" i="40"/>
  <c r="N198" i="40"/>
  <c r="O198" i="40"/>
  <c r="P198" i="40"/>
  <c r="G147" i="39"/>
  <c r="G153" i="39" s="1"/>
  <c r="H147" i="39"/>
  <c r="I147" i="39"/>
  <c r="J147" i="39"/>
  <c r="K147" i="39"/>
  <c r="L147" i="39"/>
  <c r="M147" i="39"/>
  <c r="N147" i="39"/>
  <c r="H152" i="39"/>
  <c r="I152" i="39"/>
  <c r="J152" i="39"/>
  <c r="K152" i="39"/>
  <c r="L152" i="39"/>
  <c r="M152" i="39"/>
  <c r="N152" i="39"/>
  <c r="H160" i="39"/>
  <c r="I160" i="39"/>
  <c r="J160" i="39"/>
  <c r="K160" i="39"/>
  <c r="L160" i="39"/>
  <c r="M160" i="39"/>
  <c r="N160" i="39"/>
  <c r="O160" i="39"/>
  <c r="P160" i="39"/>
  <c r="Q160" i="39"/>
  <c r="H165" i="39"/>
  <c r="I165" i="39"/>
  <c r="J165" i="39"/>
  <c r="K165" i="39"/>
  <c r="L165" i="39"/>
  <c r="M165" i="39"/>
  <c r="N165" i="39"/>
  <c r="O165" i="39"/>
  <c r="P165" i="39"/>
  <c r="Q165" i="39"/>
  <c r="H173" i="39"/>
  <c r="I173" i="39"/>
  <c r="J173" i="39"/>
  <c r="K173" i="39"/>
  <c r="L173" i="39"/>
  <c r="M173" i="39"/>
  <c r="N173" i="39"/>
  <c r="O173" i="39"/>
  <c r="P173" i="39"/>
  <c r="CB32" i="44" l="1"/>
  <c r="CC32" i="44"/>
  <c r="CC57" i="44"/>
  <c r="CB57" i="44"/>
  <c r="CC56" i="44"/>
  <c r="CB56" i="44"/>
  <c r="CC55" i="44"/>
  <c r="CB55" i="44"/>
  <c r="CC54" i="44"/>
  <c r="CB54" i="44"/>
  <c r="CC53" i="44"/>
  <c r="CB53" i="44"/>
  <c r="CC52" i="44"/>
  <c r="CB52" i="44"/>
  <c r="CC51" i="44"/>
  <c r="CB51" i="44"/>
  <c r="CC50" i="44"/>
  <c r="CB50" i="44"/>
  <c r="CC49" i="44"/>
  <c r="CB49" i="44"/>
  <c r="CC45" i="44"/>
  <c r="CB45" i="44"/>
  <c r="CC44" i="44"/>
  <c r="CB44" i="44"/>
  <c r="CC43" i="44"/>
  <c r="CB43" i="44"/>
  <c r="CC42" i="44"/>
  <c r="CB42" i="44"/>
  <c r="CB41" i="44"/>
  <c r="CC41" i="44"/>
  <c r="CC40" i="44"/>
  <c r="CB40" i="44"/>
  <c r="CC39" i="44"/>
  <c r="CB39" i="44"/>
  <c r="CC38" i="44"/>
  <c r="CB38" i="44"/>
  <c r="CC37" i="44"/>
  <c r="CB37" i="44"/>
  <c r="CC36" i="44"/>
  <c r="CB36" i="44"/>
  <c r="CC35" i="44"/>
  <c r="CB35" i="44"/>
  <c r="CC34" i="44"/>
  <c r="CB34" i="44"/>
  <c r="E147" i="39"/>
  <c r="F147" i="39"/>
  <c r="B266" i="43"/>
  <c r="F94" i="40"/>
  <c r="E94" i="40"/>
  <c r="C89" i="40"/>
  <c r="E198" i="40"/>
  <c r="D198" i="40"/>
  <c r="G112" i="43"/>
  <c r="CO56" i="44"/>
  <c r="CP56" i="44"/>
  <c r="CO50" i="44"/>
  <c r="CP50" i="44"/>
  <c r="CO44" i="44"/>
  <c r="CP44" i="44"/>
  <c r="CO41" i="44"/>
  <c r="CP41" i="44"/>
  <c r="E160" i="39"/>
  <c r="F160" i="39"/>
  <c r="E173" i="39"/>
  <c r="F173" i="39"/>
  <c r="D75" i="38"/>
  <c r="F165" i="39"/>
  <c r="E165" i="39"/>
  <c r="N153" i="39"/>
  <c r="I153" i="39"/>
  <c r="F152" i="39"/>
  <c r="H153" i="39"/>
  <c r="E152" i="39"/>
  <c r="CE112" i="43"/>
  <c r="CJ33" i="42"/>
  <c r="CD33" i="42" s="1"/>
  <c r="CH19" i="42"/>
  <c r="CB19" i="42" s="1"/>
  <c r="P166" i="39"/>
  <c r="H166" i="39"/>
  <c r="CJ52" i="42"/>
  <c r="CD52" i="42" s="1"/>
  <c r="CJ37" i="42"/>
  <c r="CD37" i="42" s="1"/>
  <c r="CJ29" i="42"/>
  <c r="CD29" i="42" s="1"/>
  <c r="CH16" i="42"/>
  <c r="CB16" i="42" s="1"/>
  <c r="CH21" i="42"/>
  <c r="CB21" i="42" s="1"/>
  <c r="Q166" i="39"/>
  <c r="CJ83" i="42"/>
  <c r="CD83" i="42" s="1"/>
  <c r="CJ79" i="42"/>
  <c r="CD79" i="42" s="1"/>
  <c r="M166" i="39"/>
  <c r="CI22" i="42"/>
  <c r="CC22" i="42" s="1"/>
  <c r="CH17" i="42"/>
  <c r="CB17" i="42" s="1"/>
  <c r="CH24" i="42"/>
  <c r="CB24" i="42" s="1"/>
  <c r="K166" i="39"/>
  <c r="CJ41" i="42"/>
  <c r="CD41" i="42" s="1"/>
  <c r="I166" i="39"/>
  <c r="J166" i="39"/>
  <c r="J153" i="39"/>
  <c r="CH23" i="42"/>
  <c r="CB23" i="42" s="1"/>
  <c r="CJ68" i="42"/>
  <c r="CD68" i="42" s="1"/>
  <c r="CI67" i="42"/>
  <c r="CC67" i="42" s="1"/>
  <c r="CI51" i="42"/>
  <c r="CC51" i="42" s="1"/>
  <c r="CI48" i="42"/>
  <c r="CC48" i="42" s="1"/>
  <c r="CI44" i="42"/>
  <c r="CC44" i="42" s="1"/>
  <c r="CI27" i="42"/>
  <c r="CC27" i="42" s="1"/>
  <c r="CJ26" i="42"/>
  <c r="CD26" i="42" s="1"/>
  <c r="CH20" i="42"/>
  <c r="CB20" i="42" s="1"/>
  <c r="CJ18" i="42"/>
  <c r="CD18" i="42" s="1"/>
  <c r="CH15" i="42"/>
  <c r="CB15" i="42" s="1"/>
  <c r="L153" i="39"/>
  <c r="O166" i="39"/>
  <c r="G166" i="39"/>
  <c r="M153" i="39"/>
  <c r="L166" i="39"/>
  <c r="K153" i="39"/>
  <c r="N166" i="39"/>
  <c r="CJ81" i="42"/>
  <c r="CD81" i="42" s="1"/>
  <c r="CI63" i="42"/>
  <c r="CC63" i="42" s="1"/>
  <c r="CH32" i="42"/>
  <c r="CB32" i="42" s="1"/>
  <c r="CI55" i="42"/>
  <c r="CC55" i="42" s="1"/>
  <c r="CI59" i="42"/>
  <c r="CC59" i="42" s="1"/>
  <c r="CI25" i="42"/>
  <c r="CC25" i="42" s="1"/>
  <c r="D66" i="40"/>
  <c r="E66" i="40"/>
  <c r="DB60" i="40"/>
  <c r="CI17" i="42"/>
  <c r="CC17" i="42" s="1"/>
  <c r="DB47" i="45" l="1"/>
  <c r="CB47" i="45"/>
  <c r="CB22" i="44"/>
  <c r="CC22" i="44"/>
  <c r="CC21" i="44"/>
  <c r="CB21" i="44"/>
  <c r="CC25" i="44"/>
  <c r="CB25" i="44"/>
  <c r="CC28" i="44"/>
  <c r="CB28" i="44"/>
  <c r="CB27" i="44"/>
  <c r="CC27" i="44"/>
  <c r="DB46" i="45"/>
  <c r="CB46" i="45"/>
  <c r="CB48" i="45"/>
  <c r="DB48" i="45"/>
  <c r="CC24" i="44"/>
  <c r="CB24" i="44"/>
  <c r="CC60" i="44"/>
  <c r="CB60" i="44"/>
  <c r="CC33" i="44"/>
  <c r="CB33" i="44"/>
  <c r="CC20" i="44"/>
  <c r="CB20" i="44"/>
  <c r="CC19" i="44"/>
  <c r="CB19" i="44"/>
  <c r="CC18" i="44"/>
  <c r="CB18" i="44"/>
  <c r="CC17" i="44"/>
  <c r="CB17" i="44"/>
  <c r="CC13" i="44"/>
  <c r="CB13" i="44"/>
  <c r="V13" i="44" s="1"/>
  <c r="CC12" i="44"/>
  <c r="CB12" i="44"/>
  <c r="D173" i="39"/>
  <c r="D147" i="39"/>
  <c r="CI14" i="42"/>
  <c r="CC14" i="42" s="1"/>
  <c r="B207" i="42"/>
  <c r="F19" i="28" s="1"/>
  <c r="DB61" i="40"/>
  <c r="CB61" i="40" s="1"/>
  <c r="AP61" i="40" s="1"/>
  <c r="CB60" i="40"/>
  <c r="AP60" i="40" s="1"/>
  <c r="DB64" i="40"/>
  <c r="CB64" i="40" s="1"/>
  <c r="AP64" i="40" s="1"/>
  <c r="DB63" i="40"/>
  <c r="CB63" i="40" s="1"/>
  <c r="AP63" i="40" s="1"/>
  <c r="DB62" i="40"/>
  <c r="CB62" i="40" s="1"/>
  <c r="AP62" i="40" s="1"/>
  <c r="CR64" i="44"/>
  <c r="CE64" i="44" s="1"/>
  <c r="CR62" i="44"/>
  <c r="CE62" i="44" s="1"/>
  <c r="CR60" i="44"/>
  <c r="CE60" i="44" s="1"/>
  <c r="CR58" i="44"/>
  <c r="CE58" i="44" s="1"/>
  <c r="CR56" i="44"/>
  <c r="CE56" i="44" s="1"/>
  <c r="CR54" i="44"/>
  <c r="CE54" i="44" s="1"/>
  <c r="CR52" i="44"/>
  <c r="CE52" i="44" s="1"/>
  <c r="CR50" i="44"/>
  <c r="CE50" i="44" s="1"/>
  <c r="CR48" i="44"/>
  <c r="CE48" i="44" s="1"/>
  <c r="CR46" i="44"/>
  <c r="CE46" i="44" s="1"/>
  <c r="B225" i="44"/>
  <c r="F28" i="28" s="1"/>
  <c r="CQ63" i="44"/>
  <c r="CD63" i="44" s="1"/>
  <c r="CQ60" i="44"/>
  <c r="CD60" i="44" s="1"/>
  <c r="CR57" i="44"/>
  <c r="CE57" i="44" s="1"/>
  <c r="CQ55" i="44"/>
  <c r="CD55" i="44" s="1"/>
  <c r="CQ52" i="44"/>
  <c r="CD52" i="44" s="1"/>
  <c r="CR49" i="44"/>
  <c r="CE49" i="44" s="1"/>
  <c r="CQ47" i="44"/>
  <c r="CD47" i="44" s="1"/>
  <c r="CR44" i="44"/>
  <c r="CE44" i="44" s="1"/>
  <c r="CR42" i="44"/>
  <c r="CE42" i="44" s="1"/>
  <c r="CR40" i="44"/>
  <c r="CE40" i="44" s="1"/>
  <c r="CR38" i="44"/>
  <c r="CE38" i="44" s="1"/>
  <c r="CR36" i="44"/>
  <c r="CE36" i="44" s="1"/>
  <c r="CR34" i="44"/>
  <c r="CE34" i="44" s="1"/>
  <c r="CR32" i="44"/>
  <c r="CE32" i="44" s="1"/>
  <c r="CQ28" i="44"/>
  <c r="CD28" i="44" s="1"/>
  <c r="CQ26" i="44"/>
  <c r="CD26" i="44" s="1"/>
  <c r="CQ24" i="44"/>
  <c r="CD24" i="44" s="1"/>
  <c r="CQ22" i="44"/>
  <c r="CD22" i="44" s="1"/>
  <c r="CQ20" i="44"/>
  <c r="CD20" i="44" s="1"/>
  <c r="CQ18" i="44"/>
  <c r="CD18" i="44" s="1"/>
  <c r="CQ16" i="44"/>
  <c r="CD16" i="44" s="1"/>
  <c r="CQ14" i="44"/>
  <c r="CD14" i="44" s="1"/>
  <c r="CQ12" i="44"/>
  <c r="CQ62" i="44"/>
  <c r="CD62" i="44" s="1"/>
  <c r="CR59" i="44"/>
  <c r="CE59" i="44" s="1"/>
  <c r="CQ57" i="44"/>
  <c r="CD57" i="44" s="1"/>
  <c r="CQ54" i="44"/>
  <c r="CD54" i="44" s="1"/>
  <c r="S54" i="44" s="1"/>
  <c r="CR51" i="44"/>
  <c r="CE51" i="44" s="1"/>
  <c r="CQ49" i="44"/>
  <c r="CD49" i="44" s="1"/>
  <c r="CQ46" i="44"/>
  <c r="CD46" i="44" s="1"/>
  <c r="CQ44" i="44"/>
  <c r="CD44" i="44" s="1"/>
  <c r="CQ42" i="44"/>
  <c r="CD42" i="44" s="1"/>
  <c r="CQ40" i="44"/>
  <c r="CD40" i="44" s="1"/>
  <c r="CQ38" i="44"/>
  <c r="CD38" i="44" s="1"/>
  <c r="CQ36" i="44"/>
  <c r="CD36" i="44" s="1"/>
  <c r="CQ34" i="44"/>
  <c r="CD34" i="44" s="1"/>
  <c r="CQ32" i="44"/>
  <c r="CD32" i="44" s="1"/>
  <c r="CR27" i="44"/>
  <c r="CE27" i="44" s="1"/>
  <c r="CR25" i="44"/>
  <c r="CE25" i="44" s="1"/>
  <c r="CR23" i="44"/>
  <c r="CE23" i="44" s="1"/>
  <c r="CR21" i="44"/>
  <c r="CE21" i="44" s="1"/>
  <c r="CR19" i="44"/>
  <c r="CE19" i="44" s="1"/>
  <c r="CR17" i="44"/>
  <c r="CE17" i="44" s="1"/>
  <c r="CR15" i="44"/>
  <c r="CE15" i="44" s="1"/>
  <c r="CR13" i="44"/>
  <c r="CE13" i="44" s="1"/>
  <c r="CQ64" i="44"/>
  <c r="CD64" i="44" s="1"/>
  <c r="CR61" i="44"/>
  <c r="CE61" i="44" s="1"/>
  <c r="CQ59" i="44"/>
  <c r="CD59" i="44" s="1"/>
  <c r="CQ56" i="44"/>
  <c r="CD56" i="44" s="1"/>
  <c r="CR53" i="44"/>
  <c r="CE53" i="44" s="1"/>
  <c r="CQ51" i="44"/>
  <c r="CD51" i="44" s="1"/>
  <c r="CQ48" i="44"/>
  <c r="CD48" i="44" s="1"/>
  <c r="CR45" i="44"/>
  <c r="CE45" i="44" s="1"/>
  <c r="CR43" i="44"/>
  <c r="CE43" i="44" s="1"/>
  <c r="CR41" i="44"/>
  <c r="CE41" i="44" s="1"/>
  <c r="CR39" i="44"/>
  <c r="CE39" i="44" s="1"/>
  <c r="CR37" i="44"/>
  <c r="CE37" i="44" s="1"/>
  <c r="CR35" i="44"/>
  <c r="CE35" i="44" s="1"/>
  <c r="CR33" i="44"/>
  <c r="CE33" i="44" s="1"/>
  <c r="CQ27" i="44"/>
  <c r="CD27" i="44" s="1"/>
  <c r="CQ25" i="44"/>
  <c r="CD25" i="44" s="1"/>
  <c r="CQ23" i="44"/>
  <c r="CD23" i="44" s="1"/>
  <c r="CQ21" i="44"/>
  <c r="CD21" i="44" s="1"/>
  <c r="CQ19" i="44"/>
  <c r="CD19" i="44" s="1"/>
  <c r="CQ17" i="44"/>
  <c r="CD17" i="44" s="1"/>
  <c r="CQ15" i="44"/>
  <c r="CD15" i="44" s="1"/>
  <c r="V15" i="44" s="1"/>
  <c r="CQ13" i="44"/>
  <c r="CD13" i="44" s="1"/>
  <c r="CR63" i="44"/>
  <c r="CE63" i="44" s="1"/>
  <c r="CQ61" i="44"/>
  <c r="CD61" i="44" s="1"/>
  <c r="CQ58" i="44"/>
  <c r="CD58" i="44" s="1"/>
  <c r="CR55" i="44"/>
  <c r="CE55" i="44" s="1"/>
  <c r="CQ53" i="44"/>
  <c r="CD53" i="44" s="1"/>
  <c r="CQ50" i="44"/>
  <c r="CD50" i="44" s="1"/>
  <c r="S50" i="44" s="1"/>
  <c r="CR47" i="44"/>
  <c r="CE47" i="44" s="1"/>
  <c r="CQ45" i="44"/>
  <c r="CD45" i="44" s="1"/>
  <c r="CQ43" i="44"/>
  <c r="CD43" i="44" s="1"/>
  <c r="CQ41" i="44"/>
  <c r="CD41" i="44" s="1"/>
  <c r="CQ39" i="44"/>
  <c r="CD39" i="44" s="1"/>
  <c r="CQ37" i="44"/>
  <c r="CD37" i="44" s="1"/>
  <c r="CQ35" i="44"/>
  <c r="CD35" i="44" s="1"/>
  <c r="CQ33" i="44"/>
  <c r="CD33" i="44" s="1"/>
  <c r="CR28" i="44"/>
  <c r="CE28" i="44" s="1"/>
  <c r="CR26" i="44"/>
  <c r="CE26" i="44" s="1"/>
  <c r="CR24" i="44"/>
  <c r="CE24" i="44" s="1"/>
  <c r="CR22" i="44"/>
  <c r="CE22" i="44" s="1"/>
  <c r="CR20" i="44"/>
  <c r="CE20" i="44" s="1"/>
  <c r="CR18" i="44"/>
  <c r="CE18" i="44" s="1"/>
  <c r="CR16" i="44"/>
  <c r="CE16" i="44" s="1"/>
  <c r="CR14" i="44"/>
  <c r="CE14" i="44" s="1"/>
  <c r="CR12" i="44"/>
  <c r="CE12" i="44" s="1"/>
  <c r="B193" i="38"/>
  <c r="F8" i="28" s="1"/>
  <c r="D94" i="40"/>
  <c r="C198" i="40"/>
  <c r="CH51" i="42"/>
  <c r="CB51" i="42" s="1"/>
  <c r="CH18" i="42"/>
  <c r="CB18" i="42" s="1"/>
  <c r="CI18" i="42"/>
  <c r="CC18" i="42" s="1"/>
  <c r="CO60" i="44"/>
  <c r="CP60" i="44"/>
  <c r="CO33" i="44"/>
  <c r="CP33" i="44"/>
  <c r="CH29" i="42"/>
  <c r="CB29" i="42" s="1"/>
  <c r="F153" i="39"/>
  <c r="CJ51" i="42"/>
  <c r="CD51" i="42" s="1"/>
  <c r="CI26" i="42"/>
  <c r="CC26" i="42" s="1"/>
  <c r="D152" i="39"/>
  <c r="E153" i="39"/>
  <c r="D160" i="39"/>
  <c r="D165" i="39"/>
  <c r="CI19" i="42"/>
  <c r="CC19" i="42" s="1"/>
  <c r="CJ19" i="42"/>
  <c r="CD19" i="42" s="1"/>
  <c r="D8" i="28"/>
  <c r="CJ32" i="42"/>
  <c r="CD32" i="42" s="1"/>
  <c r="CH52" i="42"/>
  <c r="CB52" i="42" s="1"/>
  <c r="CJ21" i="42"/>
  <c r="CD21" i="42" s="1"/>
  <c r="CJ27" i="42"/>
  <c r="CD27" i="42" s="1"/>
  <c r="CH48" i="42"/>
  <c r="CB48" i="42" s="1"/>
  <c r="CH27" i="42"/>
  <c r="CB27" i="42" s="1"/>
  <c r="CJ48" i="42"/>
  <c r="CD48" i="42" s="1"/>
  <c r="CH26" i="42"/>
  <c r="CB26" i="42" s="1"/>
  <c r="CI29" i="42"/>
  <c r="CC29" i="42" s="1"/>
  <c r="CH59" i="42"/>
  <c r="CB59" i="42" s="1"/>
  <c r="U112" i="43"/>
  <c r="CI21" i="42"/>
  <c r="CC21" i="42" s="1"/>
  <c r="CH33" i="42"/>
  <c r="CB33" i="42" s="1"/>
  <c r="CJ15" i="42"/>
  <c r="CD15" i="42" s="1"/>
  <c r="U111" i="43"/>
  <c r="CI79" i="42"/>
  <c r="CC79" i="42" s="1"/>
  <c r="AU79" i="42" s="1"/>
  <c r="CI52" i="42"/>
  <c r="CC52" i="42" s="1"/>
  <c r="CJ14" i="42"/>
  <c r="CD14" i="42" s="1"/>
  <c r="CI68" i="42"/>
  <c r="CC68" i="42" s="1"/>
  <c r="CJ17" i="42"/>
  <c r="CD17" i="42" s="1"/>
  <c r="CI33" i="42"/>
  <c r="CC33" i="42" s="1"/>
  <c r="CI15" i="42"/>
  <c r="CC15" i="42" s="1"/>
  <c r="F166" i="39"/>
  <c r="CJ22" i="42"/>
  <c r="CD22" i="42" s="1"/>
  <c r="CI41" i="42"/>
  <c r="CC41" i="42" s="1"/>
  <c r="CI81" i="42"/>
  <c r="CC81" i="42" s="1"/>
  <c r="AU81" i="42" s="1"/>
  <c r="CH41" i="42"/>
  <c r="CB41" i="42" s="1"/>
  <c r="CH25" i="42"/>
  <c r="CB25" i="42" s="1"/>
  <c r="CH68" i="42"/>
  <c r="CB68" i="42" s="1"/>
  <c r="CI16" i="42"/>
  <c r="CC16" i="42" s="1"/>
  <c r="CH14" i="42"/>
  <c r="CB14" i="42" s="1"/>
  <c r="CJ25" i="42"/>
  <c r="CD25" i="42" s="1"/>
  <c r="CJ16" i="42"/>
  <c r="CD16" i="42" s="1"/>
  <c r="CH67" i="42"/>
  <c r="CB67" i="42" s="1"/>
  <c r="CH37" i="42"/>
  <c r="CB37" i="42" s="1"/>
  <c r="CI20" i="42"/>
  <c r="CC20" i="42" s="1"/>
  <c r="CI83" i="42"/>
  <c r="CC83" i="42" s="1"/>
  <c r="AU83" i="42" s="1"/>
  <c r="CH22" i="42"/>
  <c r="CB22" i="42" s="1"/>
  <c r="CJ59" i="42"/>
  <c r="CD59" i="42" s="1"/>
  <c r="CI37" i="42"/>
  <c r="CC37" i="42" s="1"/>
  <c r="CJ23" i="42"/>
  <c r="CD23" i="42" s="1"/>
  <c r="CH44" i="42"/>
  <c r="CB44" i="42" s="1"/>
  <c r="CI23" i="42"/>
  <c r="CC23" i="42" s="1"/>
  <c r="CI32" i="42"/>
  <c r="CC32" i="42" s="1"/>
  <c r="CJ20" i="42"/>
  <c r="CD20" i="42" s="1"/>
  <c r="CI24" i="42"/>
  <c r="CC24" i="42" s="1"/>
  <c r="F23" i="28"/>
  <c r="CJ24" i="42"/>
  <c r="CD24" i="42" s="1"/>
  <c r="CJ44" i="42"/>
  <c r="CD44" i="42" s="1"/>
  <c r="CJ67" i="42"/>
  <c r="CD67" i="42" s="1"/>
  <c r="CH63" i="42"/>
  <c r="CB63" i="42" s="1"/>
  <c r="CH55" i="42"/>
  <c r="CB55" i="42" s="1"/>
  <c r="CJ63" i="42"/>
  <c r="CD63" i="42" s="1"/>
  <c r="C66" i="40"/>
  <c r="CJ55" i="42"/>
  <c r="CD55" i="42" s="1"/>
  <c r="CH30" i="42"/>
  <c r="CB30" i="42" s="1"/>
  <c r="CI30" i="42"/>
  <c r="CC30" i="42" s="1"/>
  <c r="CJ30" i="42"/>
  <c r="CD30" i="42" s="1"/>
  <c r="CH40" i="42"/>
  <c r="CB40" i="42" s="1"/>
  <c r="CJ40" i="42"/>
  <c r="CD40" i="42" s="1"/>
  <c r="CI40" i="42"/>
  <c r="CC40" i="42" s="1"/>
  <c r="CI82" i="42"/>
  <c r="CC82" i="42" s="1"/>
  <c r="CJ82" i="42"/>
  <c r="CD82" i="42" s="1"/>
  <c r="CH62" i="42"/>
  <c r="CB62" i="42" s="1"/>
  <c r="CJ62" i="42"/>
  <c r="CD62" i="42" s="1"/>
  <c r="CI62" i="42"/>
  <c r="CC62" i="42" s="1"/>
  <c r="CH45" i="42"/>
  <c r="CB45" i="42" s="1"/>
  <c r="CI45" i="42"/>
  <c r="CC45" i="42" s="1"/>
  <c r="CJ45" i="42"/>
  <c r="CD45" i="42" s="1"/>
  <c r="CH35" i="42"/>
  <c r="CB35" i="42" s="1"/>
  <c r="CJ35" i="42"/>
  <c r="CD35" i="42" s="1"/>
  <c r="CI35" i="42"/>
  <c r="CC35" i="42" s="1"/>
  <c r="CH34" i="42"/>
  <c r="CB34" i="42" s="1"/>
  <c r="CJ34" i="42"/>
  <c r="CD34" i="42" s="1"/>
  <c r="CI34" i="42"/>
  <c r="CC34" i="42" s="1"/>
  <c r="CH46" i="42"/>
  <c r="CB46" i="42" s="1"/>
  <c r="CI46" i="42"/>
  <c r="CC46" i="42" s="1"/>
  <c r="CJ46" i="42"/>
  <c r="CD46" i="42" s="1"/>
  <c r="CJ84" i="42"/>
  <c r="CD84" i="42" s="1"/>
  <c r="CI84" i="42"/>
  <c r="CC84" i="42" s="1"/>
  <c r="CH50" i="42"/>
  <c r="CB50" i="42" s="1"/>
  <c r="CJ50" i="42"/>
  <c r="CD50" i="42" s="1"/>
  <c r="CI50" i="42"/>
  <c r="CC50" i="42" s="1"/>
  <c r="CH28" i="42"/>
  <c r="CB28" i="42" s="1"/>
  <c r="CJ28" i="42"/>
  <c r="CD28" i="42" s="1"/>
  <c r="CI28" i="42"/>
  <c r="CC28" i="42" s="1"/>
  <c r="CJ85" i="42"/>
  <c r="CD85" i="42" s="1"/>
  <c r="CI85" i="42"/>
  <c r="CC85" i="42" s="1"/>
  <c r="E166" i="39"/>
  <c r="CH38" i="42"/>
  <c r="CB38" i="42" s="1"/>
  <c r="CJ38" i="42"/>
  <c r="CD38" i="42" s="1"/>
  <c r="CI38" i="42"/>
  <c r="CC38" i="42" s="1"/>
  <c r="CH42" i="42"/>
  <c r="CB42" i="42" s="1"/>
  <c r="CI42" i="42"/>
  <c r="CC42" i="42" s="1"/>
  <c r="CJ42" i="42"/>
  <c r="CD42" i="42" s="1"/>
  <c r="CH53" i="42"/>
  <c r="CB53" i="42" s="1"/>
  <c r="CI53" i="42"/>
  <c r="CC53" i="42" s="1"/>
  <c r="CJ53" i="42"/>
  <c r="CD53" i="42" s="1"/>
  <c r="CH69" i="42"/>
  <c r="CB69" i="42" s="1"/>
  <c r="CI69" i="42"/>
  <c r="CC69" i="42" s="1"/>
  <c r="CJ69" i="42"/>
  <c r="CD69" i="42" s="1"/>
  <c r="CI80" i="42"/>
  <c r="CC80" i="42" s="1"/>
  <c r="CJ80" i="42"/>
  <c r="CD80" i="42" s="1"/>
  <c r="CH43" i="42"/>
  <c r="CB43" i="42" s="1"/>
  <c r="CJ43" i="42"/>
  <c r="CD43" i="42" s="1"/>
  <c r="CI43" i="42"/>
  <c r="CC43" i="42" s="1"/>
  <c r="CH58" i="42"/>
  <c r="CB58" i="42" s="1"/>
  <c r="CJ58" i="42"/>
  <c r="CD58" i="42" s="1"/>
  <c r="CI58" i="42"/>
  <c r="CC58" i="42" s="1"/>
  <c r="CJ77" i="42"/>
  <c r="CD77" i="42" s="1"/>
  <c r="CI77" i="42"/>
  <c r="CC77" i="42" s="1"/>
  <c r="CH49" i="42"/>
  <c r="CB49" i="42" s="1"/>
  <c r="CI49" i="42"/>
  <c r="CC49" i="42" s="1"/>
  <c r="CJ49" i="42"/>
  <c r="CD49" i="42" s="1"/>
  <c r="CH31" i="42"/>
  <c r="CB31" i="42" s="1"/>
  <c r="CJ31" i="42"/>
  <c r="CD31" i="42" s="1"/>
  <c r="CI31" i="42"/>
  <c r="CC31" i="42" s="1"/>
  <c r="CH57" i="42"/>
  <c r="CB57" i="42" s="1"/>
  <c r="CI57" i="42"/>
  <c r="CC57" i="42" s="1"/>
  <c r="CJ57" i="42"/>
  <c r="CD57" i="42" s="1"/>
  <c r="CH47" i="42"/>
  <c r="CB47" i="42" s="1"/>
  <c r="CJ47" i="42"/>
  <c r="CD47" i="42" s="1"/>
  <c r="CI47" i="42"/>
  <c r="CC47" i="42" s="1"/>
  <c r="CJ74" i="42"/>
  <c r="CD74" i="42" s="1"/>
  <c r="CI74" i="42"/>
  <c r="CC74" i="42" s="1"/>
  <c r="CH56" i="42"/>
  <c r="CB56" i="42" s="1"/>
  <c r="CI56" i="42"/>
  <c r="CC56" i="42" s="1"/>
  <c r="CJ56" i="42"/>
  <c r="CD56" i="42" s="1"/>
  <c r="CH64" i="42"/>
  <c r="CB64" i="42" s="1"/>
  <c r="CI64" i="42"/>
  <c r="CC64" i="42" s="1"/>
  <c r="CJ64" i="42"/>
  <c r="CD64" i="42" s="1"/>
  <c r="CH61" i="42"/>
  <c r="CB61" i="42" s="1"/>
  <c r="CI61" i="42"/>
  <c r="CC61" i="42" s="1"/>
  <c r="CJ61" i="42"/>
  <c r="CD61" i="42" s="1"/>
  <c r="CH66" i="42"/>
  <c r="CB66" i="42" s="1"/>
  <c r="CJ66" i="42"/>
  <c r="CD66" i="42" s="1"/>
  <c r="CI66" i="42"/>
  <c r="CC66" i="42" s="1"/>
  <c r="CJ75" i="42"/>
  <c r="CD75" i="42" s="1"/>
  <c r="CI75" i="42"/>
  <c r="CC75" i="42" s="1"/>
  <c r="CH60" i="42"/>
  <c r="CB60" i="42" s="1"/>
  <c r="CI60" i="42"/>
  <c r="CC60" i="42" s="1"/>
  <c r="CJ60" i="42"/>
  <c r="CD60" i="42" s="1"/>
  <c r="CH39" i="42"/>
  <c r="CB39" i="42" s="1"/>
  <c r="CJ39" i="42"/>
  <c r="CD39" i="42" s="1"/>
  <c r="CI39" i="42"/>
  <c r="CC39" i="42" s="1"/>
  <c r="CH65" i="42"/>
  <c r="CB65" i="42" s="1"/>
  <c r="CI65" i="42"/>
  <c r="CC65" i="42" s="1"/>
  <c r="CJ65" i="42"/>
  <c r="CD65" i="42" s="1"/>
  <c r="CI78" i="42"/>
  <c r="CC78" i="42" s="1"/>
  <c r="CJ78" i="42"/>
  <c r="CD78" i="42" s="1"/>
  <c r="CH36" i="42"/>
  <c r="CB36" i="42" s="1"/>
  <c r="CJ36" i="42"/>
  <c r="CD36" i="42" s="1"/>
  <c r="CI36" i="42"/>
  <c r="CC36" i="42" s="1"/>
  <c r="CH54" i="42"/>
  <c r="CB54" i="42" s="1"/>
  <c r="CJ54" i="42"/>
  <c r="CD54" i="42" s="1"/>
  <c r="CI54" i="42"/>
  <c r="CC54" i="42" s="1"/>
  <c r="CJ76" i="42"/>
  <c r="CD76" i="42" s="1"/>
  <c r="CI76" i="42"/>
  <c r="CC76" i="42" s="1"/>
  <c r="V14" i="44" l="1"/>
  <c r="S41" i="44"/>
  <c r="S48" i="44"/>
  <c r="S62" i="44"/>
  <c r="S64" i="44"/>
  <c r="C346" i="45"/>
  <c r="D10" i="28" s="1"/>
  <c r="V25" i="44"/>
  <c r="B220" i="40"/>
  <c r="F15" i="28" s="1"/>
  <c r="S32" i="44"/>
  <c r="V27" i="44"/>
  <c r="V17" i="44"/>
  <c r="S60" i="44"/>
  <c r="S56" i="44"/>
  <c r="S40" i="44"/>
  <c r="S53" i="44"/>
  <c r="V22" i="44"/>
  <c r="V18" i="44"/>
  <c r="S57" i="44"/>
  <c r="S44" i="44"/>
  <c r="S52" i="44"/>
  <c r="S58" i="44"/>
  <c r="S35" i="44"/>
  <c r="S46" i="44"/>
  <c r="S49" i="44"/>
  <c r="S43" i="44"/>
  <c r="V19" i="44"/>
  <c r="S38" i="44"/>
  <c r="S61" i="44"/>
  <c r="V16" i="44"/>
  <c r="V24" i="44"/>
  <c r="S63" i="44"/>
  <c r="C220" i="40"/>
  <c r="D15" i="28" s="1"/>
  <c r="S59" i="44"/>
  <c r="S34" i="44"/>
  <c r="S42" i="44"/>
  <c r="V26" i="44"/>
  <c r="S55" i="44"/>
  <c r="S37" i="44"/>
  <c r="S45" i="44"/>
  <c r="V21" i="44"/>
  <c r="S51" i="44"/>
  <c r="S36" i="44"/>
  <c r="CD12" i="44"/>
  <c r="V12" i="44" s="1"/>
  <c r="C225" i="44"/>
  <c r="D28" i="28" s="1"/>
  <c r="V20" i="44"/>
  <c r="V28" i="44"/>
  <c r="S47" i="44"/>
  <c r="S39" i="44"/>
  <c r="V23" i="44"/>
  <c r="D153" i="39"/>
  <c r="S33" i="44"/>
  <c r="D166" i="39"/>
  <c r="D23" i="28"/>
  <c r="AU76" i="42"/>
  <c r="AU77" i="42"/>
  <c r="AU85" i="42"/>
  <c r="AU84" i="42"/>
  <c r="AU75" i="42"/>
  <c r="AU74" i="42"/>
  <c r="AU78" i="42"/>
  <c r="AU80" i="42"/>
  <c r="AU82" i="42"/>
  <c r="B411" i="39" l="1"/>
  <c r="F12" i="28" s="1"/>
  <c r="U87" i="36" l="1"/>
  <c r="S87" i="36"/>
  <c r="R87" i="36"/>
  <c r="Q87" i="36"/>
  <c r="P87" i="36"/>
  <c r="O87" i="36"/>
  <c r="N87" i="36"/>
  <c r="M87" i="36"/>
  <c r="L87" i="36"/>
  <c r="K87" i="36"/>
  <c r="J87" i="36"/>
  <c r="I87" i="36"/>
  <c r="G87" i="36"/>
  <c r="F87" i="36"/>
  <c r="AG68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AF48" i="36"/>
  <c r="AE48" i="36"/>
  <c r="AD48" i="36"/>
  <c r="AC48" i="36"/>
  <c r="AB48" i="36"/>
  <c r="AA48" i="36"/>
  <c r="Z48" i="36"/>
  <c r="Y48" i="36"/>
  <c r="X48" i="36"/>
  <c r="W48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I48" i="36"/>
  <c r="H48" i="36"/>
  <c r="G48" i="36"/>
  <c r="F48" i="36"/>
  <c r="E48" i="36"/>
  <c r="D48" i="36"/>
  <c r="AX30" i="36"/>
  <c r="AU30" i="36"/>
  <c r="AT30" i="36"/>
  <c r="AS30" i="36"/>
  <c r="AR30" i="36"/>
  <c r="AQ30" i="36"/>
  <c r="AP30" i="36"/>
  <c r="AO30" i="36"/>
  <c r="AN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W58" i="32"/>
  <c r="V58" i="32"/>
  <c r="U58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G58" i="32"/>
  <c r="F58" i="32"/>
  <c r="E58" i="32"/>
  <c r="W55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E55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CK131" i="31"/>
  <c r="CE131" i="31" s="1"/>
  <c r="CJ131" i="31"/>
  <c r="CD131" i="31" s="1"/>
  <c r="CI131" i="31"/>
  <c r="CC131" i="31" s="1"/>
  <c r="CH131" i="31"/>
  <c r="CB131" i="31" s="1"/>
  <c r="CH114" i="31"/>
  <c r="CB114" i="31" s="1"/>
  <c r="N114" i="31" s="1"/>
  <c r="CH113" i="31"/>
  <c r="CB113" i="31" s="1"/>
  <c r="N113" i="31" s="1"/>
  <c r="CH112" i="31"/>
  <c r="CB112" i="31" s="1"/>
  <c r="N112" i="31" s="1"/>
  <c r="CH111" i="31"/>
  <c r="CB111" i="31" s="1"/>
  <c r="N111" i="31" s="1"/>
  <c r="CH110" i="31"/>
  <c r="CB110" i="31" s="1"/>
  <c r="N110" i="31" s="1"/>
  <c r="CH109" i="31"/>
  <c r="CB109" i="31" s="1"/>
  <c r="N109" i="31" s="1"/>
  <c r="CH108" i="31"/>
  <c r="CB108" i="31" s="1"/>
  <c r="N108" i="31" s="1"/>
  <c r="CH107" i="31"/>
  <c r="CB107" i="31" s="1"/>
  <c r="N107" i="31" s="1"/>
  <c r="CH106" i="31"/>
  <c r="CB106" i="31" s="1"/>
  <c r="N106" i="31" s="1"/>
  <c r="J85" i="31"/>
  <c r="I85" i="31"/>
  <c r="H85" i="31"/>
  <c r="G85" i="31"/>
  <c r="F85" i="31"/>
  <c r="CH82" i="31"/>
  <c r="CH78" i="31"/>
  <c r="CH77" i="31"/>
  <c r="CH76" i="31"/>
  <c r="CH70" i="31"/>
  <c r="CB70" i="31" s="1"/>
  <c r="K70" i="31" s="1"/>
  <c r="CH69" i="31"/>
  <c r="CB69" i="31" s="1"/>
  <c r="K69" i="31" s="1"/>
  <c r="CH68" i="31"/>
  <c r="CB68" i="31" s="1"/>
  <c r="K68" i="31" s="1"/>
  <c r="CH67" i="31"/>
  <c r="CB67" i="31" s="1"/>
  <c r="K67" i="31" s="1"/>
  <c r="CH66" i="31"/>
  <c r="CB66" i="31" s="1"/>
  <c r="K66" i="31" s="1"/>
  <c r="CH65" i="31"/>
  <c r="CB65" i="31" s="1"/>
  <c r="K65" i="31" s="1"/>
  <c r="CH64" i="31"/>
  <c r="CB64" i="31" s="1"/>
  <c r="K64" i="31" s="1"/>
  <c r="CH62" i="31"/>
  <c r="CB62" i="31" s="1"/>
  <c r="K62" i="31" s="1"/>
  <c r="CH60" i="31"/>
  <c r="CB60" i="31" s="1"/>
  <c r="K60" i="31" s="1"/>
  <c r="CH52" i="31"/>
  <c r="CB52" i="31" s="1"/>
  <c r="K52" i="31" s="1"/>
  <c r="CH51" i="31"/>
  <c r="CB51" i="31" s="1"/>
  <c r="K51" i="31" s="1"/>
  <c r="AC48" i="31"/>
  <c r="AA48" i="31"/>
  <c r="Y48" i="31"/>
  <c r="X48" i="31"/>
  <c r="W48" i="31"/>
  <c r="V48" i="31"/>
  <c r="U48" i="31"/>
  <c r="T48" i="31"/>
  <c r="S48" i="31"/>
  <c r="R48" i="31"/>
  <c r="Q48" i="31"/>
  <c r="P48" i="31"/>
  <c r="O48" i="31"/>
  <c r="N48" i="31"/>
  <c r="M48" i="31"/>
  <c r="L48" i="31"/>
  <c r="K48" i="31"/>
  <c r="J48" i="31"/>
  <c r="I48" i="31"/>
  <c r="H48" i="31"/>
  <c r="G48" i="31"/>
  <c r="F48" i="31"/>
  <c r="CH46" i="31"/>
  <c r="CB46" i="31" s="1"/>
  <c r="CF70" i="8"/>
  <c r="CF69" i="8"/>
  <c r="CF68" i="8"/>
  <c r="CF67" i="8"/>
  <c r="CF66" i="8"/>
  <c r="CF65" i="8"/>
  <c r="CF64" i="8"/>
  <c r="CF63" i="8"/>
  <c r="CF62" i="8"/>
  <c r="CF61" i="8"/>
  <c r="CF60" i="8"/>
  <c r="CF59" i="8"/>
  <c r="CF58" i="8"/>
  <c r="CF57" i="8"/>
  <c r="CF56" i="8"/>
  <c r="CF55" i="8"/>
  <c r="CF54" i="8"/>
  <c r="CF53" i="8"/>
  <c r="CF52" i="8"/>
  <c r="CF51" i="8"/>
  <c r="CF50" i="8"/>
  <c r="CF49" i="8"/>
  <c r="CF48" i="8"/>
  <c r="CF47" i="8"/>
  <c r="CF46" i="8"/>
  <c r="CF45" i="8"/>
  <c r="CF44" i="8"/>
  <c r="CF43" i="8"/>
  <c r="CF42" i="8"/>
  <c r="CF41" i="8"/>
  <c r="CF40" i="8"/>
  <c r="CF39" i="8"/>
  <c r="CF38" i="8"/>
  <c r="CF37" i="8"/>
  <c r="CF36" i="8"/>
  <c r="CF35" i="8"/>
  <c r="CF34" i="8"/>
  <c r="CF33" i="8"/>
  <c r="CF32" i="8"/>
  <c r="CF31" i="8"/>
  <c r="CF30" i="8"/>
  <c r="CF29" i="8"/>
  <c r="CF28" i="8"/>
  <c r="CF27" i="8"/>
  <c r="CF26" i="8"/>
  <c r="CF25" i="8"/>
  <c r="CF24" i="8"/>
  <c r="CF23" i="8"/>
  <c r="CF22" i="8"/>
  <c r="CF21" i="8"/>
  <c r="CF20" i="8"/>
  <c r="CF19" i="8"/>
  <c r="CF18" i="8"/>
  <c r="CF17" i="8"/>
  <c r="CF16" i="8"/>
  <c r="CF15" i="8"/>
  <c r="CF14" i="8"/>
  <c r="CF12" i="8"/>
  <c r="CF13" i="8"/>
  <c r="CF11" i="8"/>
  <c r="DC69" i="8"/>
  <c r="E71" i="8"/>
  <c r="H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G71" i="8"/>
  <c r="F71" i="8"/>
  <c r="AA71" i="8"/>
  <c r="Z71" i="8"/>
  <c r="Y71" i="8"/>
  <c r="AE71" i="8"/>
  <c r="AD71" i="8"/>
  <c r="AC71" i="8"/>
  <c r="DC68" i="8"/>
  <c r="DC36" i="8"/>
  <c r="DC32" i="8"/>
  <c r="DC30" i="8"/>
  <c r="DC29" i="8"/>
  <c r="DC28" i="8"/>
  <c r="DC24" i="8"/>
  <c r="DC22" i="8"/>
  <c r="DC21" i="8"/>
  <c r="DC20" i="8"/>
  <c r="CB15" i="8"/>
  <c r="CB13" i="8"/>
  <c r="DC12" i="8"/>
  <c r="AR171" i="8"/>
  <c r="AQ171" i="8"/>
  <c r="AP171" i="8"/>
  <c r="AO171" i="8"/>
  <c r="AN171" i="8"/>
  <c r="AM171" i="8"/>
  <c r="AL171" i="8"/>
  <c r="AK171" i="8"/>
  <c r="AJ171" i="8"/>
  <c r="AI171" i="8"/>
  <c r="AH171" i="8"/>
  <c r="AG171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DC67" i="8"/>
  <c r="DC65" i="8"/>
  <c r="DC60" i="8"/>
  <c r="DC59" i="8"/>
  <c r="DC54" i="8"/>
  <c r="DC53" i="8"/>
  <c r="DC51" i="8"/>
  <c r="DC49" i="8"/>
  <c r="DC48" i="8"/>
  <c r="DC45" i="8"/>
  <c r="DC38" i="8"/>
  <c r="A3" i="29"/>
  <c r="I2" i="27"/>
  <c r="AG2" i="27" s="1"/>
  <c r="I3" i="27"/>
  <c r="AG3" i="27" s="1"/>
  <c r="I5" i="27"/>
  <c r="AG5" i="27" s="1"/>
  <c r="I6" i="27"/>
  <c r="AG6" i="27" s="1"/>
  <c r="DD161" i="8"/>
  <c r="CD161" i="8" s="1"/>
  <c r="CB14" i="8"/>
  <c r="CB38" i="8"/>
  <c r="CB35" i="8"/>
  <c r="CB30" i="8"/>
  <c r="CB22" i="8"/>
  <c r="CB51" i="8"/>
  <c r="CB12" i="8"/>
  <c r="CB21" i="8"/>
  <c r="CB29" i="8"/>
  <c r="CB16" i="8"/>
  <c r="CB32" i="8"/>
  <c r="DB148" i="8" l="1"/>
  <c r="CB148" i="8" s="1"/>
  <c r="DC148" i="8"/>
  <c r="CC148" i="8" s="1"/>
  <c r="DD148" i="8"/>
  <c r="CD148" i="8" s="1"/>
  <c r="DE148" i="8"/>
  <c r="CE148" i="8" s="1"/>
  <c r="DD142" i="8"/>
  <c r="CD142" i="8" s="1"/>
  <c r="DE142" i="8"/>
  <c r="CE142" i="8" s="1"/>
  <c r="DB142" i="8"/>
  <c r="CB142" i="8" s="1"/>
  <c r="DC142" i="8"/>
  <c r="CC142" i="8" s="1"/>
  <c r="DE151" i="8"/>
  <c r="CE151" i="8" s="1"/>
  <c r="DC151" i="8"/>
  <c r="CC151" i="8" s="1"/>
  <c r="DB151" i="8"/>
  <c r="CB151" i="8" s="1"/>
  <c r="DD151" i="8"/>
  <c r="CD151" i="8" s="1"/>
  <c r="DB150" i="8"/>
  <c r="CB150" i="8" s="1"/>
  <c r="DC150" i="8"/>
  <c r="CC150" i="8" s="1"/>
  <c r="DD150" i="8"/>
  <c r="CD150" i="8" s="1"/>
  <c r="DE150" i="8"/>
  <c r="CE150" i="8" s="1"/>
  <c r="DD144" i="8"/>
  <c r="CD144" i="8" s="1"/>
  <c r="DB144" i="8"/>
  <c r="CB144" i="8" s="1"/>
  <c r="DE144" i="8"/>
  <c r="CE144" i="8" s="1"/>
  <c r="DC144" i="8"/>
  <c r="CC144" i="8" s="1"/>
  <c r="DB152" i="8"/>
  <c r="CB152" i="8" s="1"/>
  <c r="DC152" i="8"/>
  <c r="CC152" i="8" s="1"/>
  <c r="DD152" i="8"/>
  <c r="CD152" i="8" s="1"/>
  <c r="DE152" i="8"/>
  <c r="CE152" i="8" s="1"/>
  <c r="DD146" i="8"/>
  <c r="CD146" i="8" s="1"/>
  <c r="DE146" i="8"/>
  <c r="CE146" i="8" s="1"/>
  <c r="DB146" i="8"/>
  <c r="CB146" i="8" s="1"/>
  <c r="DC146" i="8"/>
  <c r="CC146" i="8" s="1"/>
  <c r="DD149" i="8"/>
  <c r="CD149" i="8" s="1"/>
  <c r="DB149" i="8"/>
  <c r="CB149" i="8" s="1"/>
  <c r="DC149" i="8"/>
  <c r="CC149" i="8" s="1"/>
  <c r="DE149" i="8"/>
  <c r="CE149" i="8" s="1"/>
  <c r="DB141" i="8"/>
  <c r="CB141" i="8" s="1"/>
  <c r="DC141" i="8"/>
  <c r="CC141" i="8" s="1"/>
  <c r="DD141" i="8"/>
  <c r="CD141" i="8" s="1"/>
  <c r="W141" i="8" s="1"/>
  <c r="DE141" i="8"/>
  <c r="CE141" i="8" s="1"/>
  <c r="DB145" i="8"/>
  <c r="CB145" i="8" s="1"/>
  <c r="DC145" i="8"/>
  <c r="CC145" i="8" s="1"/>
  <c r="DD145" i="8"/>
  <c r="CD145" i="8" s="1"/>
  <c r="DE145" i="8"/>
  <c r="CE145" i="8" s="1"/>
  <c r="DB140" i="8"/>
  <c r="CB140" i="8" s="1"/>
  <c r="DC140" i="8"/>
  <c r="CC140" i="8" s="1"/>
  <c r="DD140" i="8"/>
  <c r="CD140" i="8" s="1"/>
  <c r="DE140" i="8"/>
  <c r="CE140" i="8" s="1"/>
  <c r="DB147" i="8"/>
  <c r="CB147" i="8" s="1"/>
  <c r="DC147" i="8"/>
  <c r="CC147" i="8" s="1"/>
  <c r="DD147" i="8"/>
  <c r="CD147" i="8" s="1"/>
  <c r="DE147" i="8"/>
  <c r="CE147" i="8" s="1"/>
  <c r="CJ28" i="36"/>
  <c r="CD28" i="36" s="1"/>
  <c r="E87" i="36"/>
  <c r="CH79" i="31"/>
  <c r="CB79" i="31" s="1"/>
  <c r="K79" i="31" s="1"/>
  <c r="CE42" i="31"/>
  <c r="CD42" i="31"/>
  <c r="CC42" i="31"/>
  <c r="B201" i="31"/>
  <c r="E48" i="31"/>
  <c r="E85" i="31"/>
  <c r="CH72" i="31"/>
  <c r="CB72" i="31" s="1"/>
  <c r="K72" i="31" s="1"/>
  <c r="CH83" i="31"/>
  <c r="CB83" i="31" s="1"/>
  <c r="K83" i="31" s="1"/>
  <c r="CH73" i="31"/>
  <c r="CB73" i="31" s="1"/>
  <c r="K73" i="31" s="1"/>
  <c r="CH74" i="31"/>
  <c r="CB74" i="31" s="1"/>
  <c r="K74" i="31" s="1"/>
  <c r="CH71" i="31"/>
  <c r="CB71" i="31" s="1"/>
  <c r="K71" i="31" s="1"/>
  <c r="CH75" i="31"/>
  <c r="CB75" i="31" s="1"/>
  <c r="K75" i="31" s="1"/>
  <c r="CH47" i="31"/>
  <c r="CB47" i="31" s="1"/>
  <c r="CH84" i="31"/>
  <c r="CB84" i="31" s="1"/>
  <c r="K84" i="31" s="1"/>
  <c r="CH42" i="31"/>
  <c r="CB42" i="31" s="1"/>
  <c r="CB82" i="31"/>
  <c r="K82" i="31" s="1"/>
  <c r="CH38" i="31"/>
  <c r="CB38" i="31" s="1"/>
  <c r="CB78" i="31"/>
  <c r="K78" i="31" s="1"/>
  <c r="CH37" i="31"/>
  <c r="CB37" i="31" s="1"/>
  <c r="CB77" i="31"/>
  <c r="K77" i="31" s="1"/>
  <c r="CB76" i="31"/>
  <c r="K76" i="31" s="1"/>
  <c r="CH36" i="31"/>
  <c r="CB36" i="31" s="1"/>
  <c r="CH35" i="31"/>
  <c r="CB35" i="31" s="1"/>
  <c r="CH34" i="31"/>
  <c r="CB34" i="31" s="1"/>
  <c r="CH19" i="31"/>
  <c r="CB19" i="31" s="1"/>
  <c r="CH59" i="31"/>
  <c r="CB59" i="31" s="1"/>
  <c r="K59" i="31" s="1"/>
  <c r="CH58" i="31"/>
  <c r="CB58" i="31" s="1"/>
  <c r="K58" i="31" s="1"/>
  <c r="CH18" i="31"/>
  <c r="CB18" i="31" s="1"/>
  <c r="CH57" i="31"/>
  <c r="CB57" i="31" s="1"/>
  <c r="K57" i="31" s="1"/>
  <c r="CH17" i="31"/>
  <c r="CB17" i="31" s="1"/>
  <c r="CH16" i="31"/>
  <c r="CB16" i="31" s="1"/>
  <c r="CH56" i="31"/>
  <c r="CB56" i="31" s="1"/>
  <c r="K56" i="31" s="1"/>
  <c r="CH15" i="31"/>
  <c r="CB15" i="31" s="1"/>
  <c r="CH55" i="31"/>
  <c r="CB55" i="31" s="1"/>
  <c r="K55" i="31" s="1"/>
  <c r="CH14" i="31"/>
  <c r="CB14" i="31" s="1"/>
  <c r="CH54" i="31"/>
  <c r="CB54" i="31" s="1"/>
  <c r="K54" i="31" s="1"/>
  <c r="CH53" i="31"/>
  <c r="CB53" i="31" s="1"/>
  <c r="K53" i="31" s="1"/>
  <c r="CH13" i="31"/>
  <c r="W148" i="8"/>
  <c r="C155" i="8"/>
  <c r="DE11" i="8"/>
  <c r="CE11" i="8" s="1"/>
  <c r="C48" i="36"/>
  <c r="CB64" i="8"/>
  <c r="DC64" i="8"/>
  <c r="CC64" i="8" s="1"/>
  <c r="CB63" i="8"/>
  <c r="DC63" i="8"/>
  <c r="CC63" i="8" s="1"/>
  <c r="CB44" i="8"/>
  <c r="DC44" i="8"/>
  <c r="CC44" i="8" s="1"/>
  <c r="CB23" i="8"/>
  <c r="DC23" i="8"/>
  <c r="CC23" i="8" s="1"/>
  <c r="CB31" i="8"/>
  <c r="DC31" i="8"/>
  <c r="CC31" i="8" s="1"/>
  <c r="CB37" i="8"/>
  <c r="DC37" i="8"/>
  <c r="CC37" i="8" s="1"/>
  <c r="CB70" i="8"/>
  <c r="DC70" i="8"/>
  <c r="CC70" i="8" s="1"/>
  <c r="CB56" i="8"/>
  <c r="DC56" i="8"/>
  <c r="CC56" i="8" s="1"/>
  <c r="CB25" i="8"/>
  <c r="DC25" i="8"/>
  <c r="CC25" i="8" s="1"/>
  <c r="CB41" i="8"/>
  <c r="DC41" i="8"/>
  <c r="CC41" i="8" s="1"/>
  <c r="CB52" i="8"/>
  <c r="DC52" i="8"/>
  <c r="CC52" i="8" s="1"/>
  <c r="CB47" i="8"/>
  <c r="DC47" i="8"/>
  <c r="CC47" i="8" s="1"/>
  <c r="CB55" i="8"/>
  <c r="DC55" i="8"/>
  <c r="CC55" i="8" s="1"/>
  <c r="CB58" i="8"/>
  <c r="DC58" i="8"/>
  <c r="CC58" i="8" s="1"/>
  <c r="CB18" i="8"/>
  <c r="DC18" i="8"/>
  <c r="CC18" i="8" s="1"/>
  <c r="CB26" i="8"/>
  <c r="DC26" i="8"/>
  <c r="CC26" i="8" s="1"/>
  <c r="CB34" i="8"/>
  <c r="DC34" i="8"/>
  <c r="CC34" i="8" s="1"/>
  <c r="CB57" i="8"/>
  <c r="DC57" i="8"/>
  <c r="CC57" i="8" s="1"/>
  <c r="CB39" i="8"/>
  <c r="DC39" i="8"/>
  <c r="CC39" i="8" s="1"/>
  <c r="CB42" i="8"/>
  <c r="DC42" i="8"/>
  <c r="CC42" i="8" s="1"/>
  <c r="CB50" i="8"/>
  <c r="DC50" i="8"/>
  <c r="CC50" i="8" s="1"/>
  <c r="CB61" i="8"/>
  <c r="DC61" i="8"/>
  <c r="CC61" i="8" s="1"/>
  <c r="CB46" i="8"/>
  <c r="DC46" i="8"/>
  <c r="CC46" i="8" s="1"/>
  <c r="CB33" i="8"/>
  <c r="DC33" i="8"/>
  <c r="CC33" i="8" s="1"/>
  <c r="CB19" i="8"/>
  <c r="DC19" i="8"/>
  <c r="CC19" i="8" s="1"/>
  <c r="CB27" i="8"/>
  <c r="DC27" i="8"/>
  <c r="CC27" i="8" s="1"/>
  <c r="CB17" i="8"/>
  <c r="DC17" i="8"/>
  <c r="CC17" i="8" s="1"/>
  <c r="CB40" i="8"/>
  <c r="DC40" i="8"/>
  <c r="CC40" i="8" s="1"/>
  <c r="CB43" i="8"/>
  <c r="DC43" i="8"/>
  <c r="CC43" i="8" s="1"/>
  <c r="CB62" i="8"/>
  <c r="DC62" i="8"/>
  <c r="CC62" i="8" s="1"/>
  <c r="DE56" i="8"/>
  <c r="CE56" i="8" s="1"/>
  <c r="DB166" i="8"/>
  <c r="CB166" i="8" s="1"/>
  <c r="DE41" i="8"/>
  <c r="CE41" i="8" s="1"/>
  <c r="DE38" i="8"/>
  <c r="CE38" i="8" s="1"/>
  <c r="DE63" i="8"/>
  <c r="CE63" i="8" s="1"/>
  <c r="DE168" i="8"/>
  <c r="CE168" i="8" s="1"/>
  <c r="CH102" i="31"/>
  <c r="CB102" i="31" s="1"/>
  <c r="CI102" i="31"/>
  <c r="CC102" i="31" s="1"/>
  <c r="CH101" i="31"/>
  <c r="CB101" i="31" s="1"/>
  <c r="CI101" i="31"/>
  <c r="CC101" i="31" s="1"/>
  <c r="CI74" i="36"/>
  <c r="CC74" i="36" s="1"/>
  <c r="CJ74" i="36"/>
  <c r="CD74" i="36" s="1"/>
  <c r="CI82" i="36"/>
  <c r="CC82" i="36" s="1"/>
  <c r="CJ82" i="36"/>
  <c r="CD82" i="36" s="1"/>
  <c r="CI75" i="36"/>
  <c r="CC75" i="36" s="1"/>
  <c r="CJ75" i="36"/>
  <c r="CD75" i="36" s="1"/>
  <c r="DE64" i="8"/>
  <c r="CE64" i="8" s="1"/>
  <c r="CI76" i="36"/>
  <c r="CC76" i="36" s="1"/>
  <c r="CJ76" i="36"/>
  <c r="CD76" i="36" s="1"/>
  <c r="CI84" i="36"/>
  <c r="CC84" i="36" s="1"/>
  <c r="CJ84" i="36"/>
  <c r="CD84" i="36" s="1"/>
  <c r="DE48" i="8"/>
  <c r="CE48" i="8" s="1"/>
  <c r="DE65" i="8"/>
  <c r="CE65" i="8" s="1"/>
  <c r="CI77" i="36"/>
  <c r="CC77" i="36" s="1"/>
  <c r="CJ77" i="36"/>
  <c r="CD77" i="36" s="1"/>
  <c r="CI85" i="36"/>
  <c r="CC85" i="36" s="1"/>
  <c r="CJ85" i="36"/>
  <c r="CD85" i="36" s="1"/>
  <c r="CJ78" i="36"/>
  <c r="CD78" i="36" s="1"/>
  <c r="CI78" i="36"/>
  <c r="CC78" i="36" s="1"/>
  <c r="CJ86" i="36"/>
  <c r="CD86" i="36" s="1"/>
  <c r="CI86" i="36"/>
  <c r="CC86" i="36" s="1"/>
  <c r="CJ79" i="36"/>
  <c r="CD79" i="36" s="1"/>
  <c r="CI79" i="36"/>
  <c r="CC79" i="36" s="1"/>
  <c r="DE13" i="8"/>
  <c r="CE13" i="8" s="1"/>
  <c r="DE16" i="8"/>
  <c r="CE16" i="8" s="1"/>
  <c r="CJ80" i="36"/>
  <c r="CD80" i="36" s="1"/>
  <c r="CI80" i="36"/>
  <c r="CC80" i="36" s="1"/>
  <c r="CI83" i="36"/>
  <c r="CC83" i="36" s="1"/>
  <c r="CJ83" i="36"/>
  <c r="CD83" i="36" s="1"/>
  <c r="DB164" i="8"/>
  <c r="CB164" i="8" s="1"/>
  <c r="CH100" i="31"/>
  <c r="CB100" i="31" s="1"/>
  <c r="CI100" i="31"/>
  <c r="CC100" i="31" s="1"/>
  <c r="CI81" i="36"/>
  <c r="CC81" i="36" s="1"/>
  <c r="CJ81" i="36"/>
  <c r="CD81" i="36" s="1"/>
  <c r="CJ73" i="36"/>
  <c r="CD73" i="36" s="1"/>
  <c r="CI73" i="36"/>
  <c r="CC73" i="36" s="1"/>
  <c r="DE47" i="8"/>
  <c r="CE47" i="8" s="1"/>
  <c r="DE53" i="8"/>
  <c r="CE53" i="8" s="1"/>
  <c r="DE58" i="8"/>
  <c r="CE58" i="8" s="1"/>
  <c r="DE25" i="8"/>
  <c r="CE25" i="8" s="1"/>
  <c r="DE24" i="8"/>
  <c r="CE24" i="8" s="1"/>
  <c r="CB11" i="8"/>
  <c r="CB53" i="8"/>
  <c r="DE161" i="8"/>
  <c r="CE161" i="8" s="1"/>
  <c r="F171" i="8"/>
  <c r="CB65" i="8"/>
  <c r="C5" i="28"/>
  <c r="DE37" i="8"/>
  <c r="CE37" i="8" s="1"/>
  <c r="CB48" i="8"/>
  <c r="DE44" i="8"/>
  <c r="CE44" i="8" s="1"/>
  <c r="DE52" i="8"/>
  <c r="CE52" i="8" s="1"/>
  <c r="DE17" i="8"/>
  <c r="CE17" i="8" s="1"/>
  <c r="DE22" i="8"/>
  <c r="CE22" i="8" s="1"/>
  <c r="DE30" i="8"/>
  <c r="CE30" i="8" s="1"/>
  <c r="DE33" i="8"/>
  <c r="CE33" i="8" s="1"/>
  <c r="DC161" i="8"/>
  <c r="CC161" i="8" s="1"/>
  <c r="DB161" i="8"/>
  <c r="CB161" i="8" s="1"/>
  <c r="DE21" i="8"/>
  <c r="CE21" i="8" s="1"/>
  <c r="DE29" i="8"/>
  <c r="CE29" i="8" s="1"/>
  <c r="DD39" i="8"/>
  <c r="CD39" i="8" s="1"/>
  <c r="DE39" i="8"/>
  <c r="CE39" i="8" s="1"/>
  <c r="DD42" i="8"/>
  <c r="CD42" i="8" s="1"/>
  <c r="DE42" i="8"/>
  <c r="CE42" i="8" s="1"/>
  <c r="DD46" i="8"/>
  <c r="CD46" i="8" s="1"/>
  <c r="DD50" i="8"/>
  <c r="CD50" i="8" s="1"/>
  <c r="DE50" i="8"/>
  <c r="CE50" i="8" s="1"/>
  <c r="DD54" i="8"/>
  <c r="CD54" i="8" s="1"/>
  <c r="CC54" i="8"/>
  <c r="CB54" i="8"/>
  <c r="DD57" i="8"/>
  <c r="CD57" i="8" s="1"/>
  <c r="DD61" i="8"/>
  <c r="CD61" i="8" s="1"/>
  <c r="CC13" i="8"/>
  <c r="DD13" i="8"/>
  <c r="CD13" i="8" s="1"/>
  <c r="DD16" i="8"/>
  <c r="CD16" i="8" s="1"/>
  <c r="CC16" i="8"/>
  <c r="DD20" i="8"/>
  <c r="CD20" i="8" s="1"/>
  <c r="CC20" i="8"/>
  <c r="DE20" i="8"/>
  <c r="CE20" i="8" s="1"/>
  <c r="CB20" i="8"/>
  <c r="DD24" i="8"/>
  <c r="CD24" i="8" s="1"/>
  <c r="CC24" i="8"/>
  <c r="CB24" i="8"/>
  <c r="DD28" i="8"/>
  <c r="CD28" i="8" s="1"/>
  <c r="CC28" i="8"/>
  <c r="DE28" i="8"/>
  <c r="CE28" i="8" s="1"/>
  <c r="CB28" i="8"/>
  <c r="DD32" i="8"/>
  <c r="CD32" i="8" s="1"/>
  <c r="CC32" i="8"/>
  <c r="DE32" i="8"/>
  <c r="CE32" i="8" s="1"/>
  <c r="DE61" i="8"/>
  <c r="CE61" i="8" s="1"/>
  <c r="DD36" i="8"/>
  <c r="CD36" i="8" s="1"/>
  <c r="CC36" i="8"/>
  <c r="CC69" i="8"/>
  <c r="DD69" i="8"/>
  <c r="CD69" i="8" s="1"/>
  <c r="DD66" i="8"/>
  <c r="CD66" i="8" s="1"/>
  <c r="CC66" i="8"/>
  <c r="CC45" i="8"/>
  <c r="DD45" i="8"/>
  <c r="CD45" i="8" s="1"/>
  <c r="DE46" i="8"/>
  <c r="CE46" i="8" s="1"/>
  <c r="DD49" i="8"/>
  <c r="CD49" i="8" s="1"/>
  <c r="CC53" i="8"/>
  <c r="DD53" i="8"/>
  <c r="CD53" i="8" s="1"/>
  <c r="DE54" i="8"/>
  <c r="CE54" i="8" s="1"/>
  <c r="DE57" i="8"/>
  <c r="CE57" i="8" s="1"/>
  <c r="DD60" i="8"/>
  <c r="CD60" i="8" s="1"/>
  <c r="DE62" i="8"/>
  <c r="CE62" i="8" s="1"/>
  <c r="DD67" i="8"/>
  <c r="CD67" i="8" s="1"/>
  <c r="CC67" i="8"/>
  <c r="DD11" i="8"/>
  <c r="DD15" i="8"/>
  <c r="CD15" i="8" s="1"/>
  <c r="CC15" i="8"/>
  <c r="DD19" i="8"/>
  <c r="CD19" i="8" s="1"/>
  <c r="DD23" i="8"/>
  <c r="CD23" i="8" s="1"/>
  <c r="DD27" i="8"/>
  <c r="CD27" i="8" s="1"/>
  <c r="DD31" i="8"/>
  <c r="CD31" i="8" s="1"/>
  <c r="DD35" i="8"/>
  <c r="CD35" i="8" s="1"/>
  <c r="CC35" i="8"/>
  <c r="DD68" i="8"/>
  <c r="CD68" i="8" s="1"/>
  <c r="CC68" i="8"/>
  <c r="DD64" i="8"/>
  <c r="CD64" i="8" s="1"/>
  <c r="DE36" i="8"/>
  <c r="CE36" i="8" s="1"/>
  <c r="DD38" i="8"/>
  <c r="CD38" i="8" s="1"/>
  <c r="CC38" i="8"/>
  <c r="DD41" i="8"/>
  <c r="CD41" i="8" s="1"/>
  <c r="DD44" i="8"/>
  <c r="CD44" i="8" s="1"/>
  <c r="DD48" i="8"/>
  <c r="CD48" i="8" s="1"/>
  <c r="CC48" i="8"/>
  <c r="DD52" i="8"/>
  <c r="CD52" i="8" s="1"/>
  <c r="DD59" i="8"/>
  <c r="CD59" i="8" s="1"/>
  <c r="CC59" i="8"/>
  <c r="CC65" i="8"/>
  <c r="DD65" i="8"/>
  <c r="CD65" i="8" s="1"/>
  <c r="DH181" i="8"/>
  <c r="CH181" i="8" s="1"/>
  <c r="DH185" i="8"/>
  <c r="CH185" i="8" s="1"/>
  <c r="DD12" i="8"/>
  <c r="CD12" i="8" s="1"/>
  <c r="CC12" i="8"/>
  <c r="DD14" i="8"/>
  <c r="CD14" i="8" s="1"/>
  <c r="CC14" i="8"/>
  <c r="DD18" i="8"/>
  <c r="CD18" i="8" s="1"/>
  <c r="DD22" i="8"/>
  <c r="CD22" i="8" s="1"/>
  <c r="CC22" i="8"/>
  <c r="DD26" i="8"/>
  <c r="CD26" i="8" s="1"/>
  <c r="DD30" i="8"/>
  <c r="CD30" i="8" s="1"/>
  <c r="CC30" i="8"/>
  <c r="DD34" i="8"/>
  <c r="CD34" i="8" s="1"/>
  <c r="DD70" i="8"/>
  <c r="CD70" i="8" s="1"/>
  <c r="DE66" i="8"/>
  <c r="CE66" i="8" s="1"/>
  <c r="DD63" i="8"/>
  <c r="CD63" i="8" s="1"/>
  <c r="CB36" i="8"/>
  <c r="CB45" i="8"/>
  <c r="DD40" i="8"/>
  <c r="CD40" i="8" s="1"/>
  <c r="DD43" i="8"/>
  <c r="CD43" i="8" s="1"/>
  <c r="DE45" i="8"/>
  <c r="CE45" i="8" s="1"/>
  <c r="DD47" i="8"/>
  <c r="CD47" i="8" s="1"/>
  <c r="DD51" i="8"/>
  <c r="CD51" i="8" s="1"/>
  <c r="CC51" i="8"/>
  <c r="DD55" i="8"/>
  <c r="CD55" i="8" s="1"/>
  <c r="DD58" i="8"/>
  <c r="CD58" i="8" s="1"/>
  <c r="DD62" i="8"/>
  <c r="CD62" i="8" s="1"/>
  <c r="DD17" i="8"/>
  <c r="CD17" i="8" s="1"/>
  <c r="DE18" i="8"/>
  <c r="CE18" i="8" s="1"/>
  <c r="CC21" i="8"/>
  <c r="DD21" i="8"/>
  <c r="CD21" i="8" s="1"/>
  <c r="DD25" i="8"/>
  <c r="CD25" i="8" s="1"/>
  <c r="DE26" i="8"/>
  <c r="CE26" i="8" s="1"/>
  <c r="DE27" i="8"/>
  <c r="CE27" i="8" s="1"/>
  <c r="CC29" i="8"/>
  <c r="AH29" i="8" s="1"/>
  <c r="DD29" i="8"/>
  <c r="CD29" i="8" s="1"/>
  <c r="DD33" i="8"/>
  <c r="CD33" i="8" s="1"/>
  <c r="DE34" i="8"/>
  <c r="CE34" i="8" s="1"/>
  <c r="DE35" i="8"/>
  <c r="CE35" i="8" s="1"/>
  <c r="DD37" i="8"/>
  <c r="CD37" i="8" s="1"/>
  <c r="CB66" i="8"/>
  <c r="AH66" i="8" s="1"/>
  <c r="DD56" i="8"/>
  <c r="CD56" i="8" s="1"/>
  <c r="CH77" i="36"/>
  <c r="CB77" i="36" s="1"/>
  <c r="CH81" i="36"/>
  <c r="CB81" i="36" s="1"/>
  <c r="CH85" i="36"/>
  <c r="CB85" i="36" s="1"/>
  <c r="CH74" i="36"/>
  <c r="CB74" i="36" s="1"/>
  <c r="CH78" i="36"/>
  <c r="CB78" i="36" s="1"/>
  <c r="CH82" i="36"/>
  <c r="CB82" i="36" s="1"/>
  <c r="CH86" i="36"/>
  <c r="CB86" i="36" s="1"/>
  <c r="CH75" i="36"/>
  <c r="CB75" i="36" s="1"/>
  <c r="CH79" i="36"/>
  <c r="CB79" i="36" s="1"/>
  <c r="CH83" i="36"/>
  <c r="CB83" i="36" s="1"/>
  <c r="CH76" i="36"/>
  <c r="CB76" i="36" s="1"/>
  <c r="CH80" i="36"/>
  <c r="CB80" i="36" s="1"/>
  <c r="CH84" i="36"/>
  <c r="CB84" i="36" s="1"/>
  <c r="CH73" i="36"/>
  <c r="CB73" i="36" s="1"/>
  <c r="AG7" i="27"/>
  <c r="D7" i="28" s="1"/>
  <c r="DE69" i="8"/>
  <c r="CE69" i="8" s="1"/>
  <c r="CB69" i="8"/>
  <c r="DE49" i="8"/>
  <c r="CE49" i="8" s="1"/>
  <c r="C71" i="8"/>
  <c r="CB49" i="8"/>
  <c r="DE60" i="8"/>
  <c r="CE60" i="8" s="1"/>
  <c r="CC60" i="8"/>
  <c r="CB60" i="8"/>
  <c r="DE67" i="8"/>
  <c r="CE67" i="8" s="1"/>
  <c r="CB67" i="8"/>
  <c r="DE167" i="8"/>
  <c r="CE167" i="8" s="1"/>
  <c r="E171" i="8"/>
  <c r="CC49" i="8"/>
  <c r="J131" i="31"/>
  <c r="D11" i="28"/>
  <c r="DE40" i="8"/>
  <c r="CE40" i="8" s="1"/>
  <c r="DE43" i="8"/>
  <c r="CE43" i="8" s="1"/>
  <c r="DE51" i="8"/>
  <c r="CE51" i="8" s="1"/>
  <c r="DE15" i="8"/>
  <c r="CE15" i="8" s="1"/>
  <c r="DE23" i="8"/>
  <c r="CE23" i="8" s="1"/>
  <c r="DE31" i="8"/>
  <c r="CE31" i="8" s="1"/>
  <c r="DE55" i="8"/>
  <c r="CE55" i="8" s="1"/>
  <c r="DE14" i="8"/>
  <c r="CE14" i="8" s="1"/>
  <c r="DE19" i="8"/>
  <c r="CE19" i="8" s="1"/>
  <c r="DE70" i="8"/>
  <c r="CE70" i="8" s="1"/>
  <c r="CJ25" i="36"/>
  <c r="CD25" i="36" s="1"/>
  <c r="E30" i="36"/>
  <c r="X71" i="8"/>
  <c r="DE12" i="8"/>
  <c r="CE12" i="8" s="1"/>
  <c r="AB71" i="8"/>
  <c r="DE164" i="8"/>
  <c r="CE164" i="8" s="1"/>
  <c r="CB68" i="8"/>
  <c r="DE68" i="8"/>
  <c r="CE68" i="8" s="1"/>
  <c r="CB59" i="8"/>
  <c r="DE59" i="8"/>
  <c r="CE59" i="8" s="1"/>
  <c r="D68" i="36"/>
  <c r="F30" i="36"/>
  <c r="W145" i="8" l="1"/>
  <c r="W149" i="8"/>
  <c r="W152" i="8"/>
  <c r="AH69" i="8"/>
  <c r="AH14" i="8"/>
  <c r="AH30" i="8"/>
  <c r="AH35" i="8"/>
  <c r="W150" i="8"/>
  <c r="AH21" i="8"/>
  <c r="W146" i="8"/>
  <c r="W144" i="8"/>
  <c r="W151" i="8"/>
  <c r="AH15" i="8"/>
  <c r="AH38" i="8"/>
  <c r="AH32" i="8"/>
  <c r="AH13" i="8"/>
  <c r="AH53" i="8"/>
  <c r="AH60" i="8"/>
  <c r="AH36" i="8"/>
  <c r="AH51" i="8"/>
  <c r="AH16" i="8"/>
  <c r="AH22" i="8"/>
  <c r="W140" i="8"/>
  <c r="W142" i="8"/>
  <c r="W147" i="8"/>
  <c r="AH20" i="8"/>
  <c r="AH65" i="8"/>
  <c r="AH62" i="8"/>
  <c r="AH40" i="8"/>
  <c r="AH27" i="8"/>
  <c r="AH33" i="8"/>
  <c r="AH61" i="8"/>
  <c r="AH42" i="8"/>
  <c r="AH57" i="8"/>
  <c r="AH26" i="8"/>
  <c r="AH58" i="8"/>
  <c r="AH47" i="8"/>
  <c r="AH41" i="8"/>
  <c r="AH56" i="8"/>
  <c r="AH37" i="8"/>
  <c r="AH23" i="8"/>
  <c r="AH63" i="8"/>
  <c r="AH67" i="8"/>
  <c r="AH28" i="8"/>
  <c r="AH24" i="8"/>
  <c r="AH48" i="8"/>
  <c r="AH59" i="8"/>
  <c r="AH68" i="8"/>
  <c r="AH49" i="8"/>
  <c r="AH45" i="8"/>
  <c r="AH54" i="8"/>
  <c r="AH43" i="8"/>
  <c r="AH17" i="8"/>
  <c r="AH19" i="8"/>
  <c r="AH46" i="8"/>
  <c r="AH50" i="8"/>
  <c r="AH39" i="8"/>
  <c r="AH34" i="8"/>
  <c r="AH18" i="8"/>
  <c r="AH55" i="8"/>
  <c r="AH52" i="8"/>
  <c r="AH25" i="8"/>
  <c r="AH70" i="8"/>
  <c r="AH31" i="8"/>
  <c r="AH44" i="8"/>
  <c r="AH64" i="8"/>
  <c r="AH12" i="8"/>
  <c r="C12" i="32"/>
  <c r="B186" i="32" s="1"/>
  <c r="F11" i="28" s="1"/>
  <c r="CB13" i="31"/>
  <c r="C201" i="31"/>
  <c r="D26" i="28" s="1"/>
  <c r="D30" i="36"/>
  <c r="B176" i="36" s="1"/>
  <c r="F31" i="28" s="1"/>
  <c r="F26" i="28"/>
  <c r="DF178" i="8"/>
  <c r="CF178" i="8" s="1"/>
  <c r="DH178" i="8"/>
  <c r="CH178" i="8" s="1"/>
  <c r="CD11" i="8"/>
  <c r="DE186" i="8"/>
  <c r="CE186" i="8" s="1"/>
  <c r="DH186" i="8"/>
  <c r="CH186" i="8" s="1"/>
  <c r="DD183" i="8"/>
  <c r="CD183" i="8" s="1"/>
  <c r="DH183" i="8"/>
  <c r="CH183" i="8" s="1"/>
  <c r="DB177" i="8"/>
  <c r="CB177" i="8" s="1"/>
  <c r="DH177" i="8"/>
  <c r="CH177" i="8" s="1"/>
  <c r="DC182" i="8"/>
  <c r="CC182" i="8" s="1"/>
  <c r="DH182" i="8"/>
  <c r="CH182" i="8" s="1"/>
  <c r="DE179" i="8"/>
  <c r="CE179" i="8" s="1"/>
  <c r="DH179" i="8"/>
  <c r="CH179" i="8" s="1"/>
  <c r="DE184" i="8"/>
  <c r="CE184" i="8" s="1"/>
  <c r="DH184" i="8"/>
  <c r="CH184" i="8" s="1"/>
  <c r="DG180" i="8"/>
  <c r="CG180" i="8" s="1"/>
  <c r="DH180" i="8"/>
  <c r="CH180" i="8" s="1"/>
  <c r="DD176" i="8"/>
  <c r="CD176" i="8" s="1"/>
  <c r="DH176" i="8"/>
  <c r="CH176" i="8" s="1"/>
  <c r="DF177" i="8"/>
  <c r="CF177" i="8" s="1"/>
  <c r="DE178" i="8"/>
  <c r="CE178" i="8" s="1"/>
  <c r="DC178" i="8"/>
  <c r="CC178" i="8" s="1"/>
  <c r="DD178" i="8"/>
  <c r="CD178" i="8" s="1"/>
  <c r="DB178" i="8"/>
  <c r="CB178" i="8" s="1"/>
  <c r="DG178" i="8"/>
  <c r="CG178" i="8" s="1"/>
  <c r="AS161" i="8"/>
  <c r="DC166" i="8"/>
  <c r="CC166" i="8" s="1"/>
  <c r="DD186" i="8"/>
  <c r="CD186" i="8" s="1"/>
  <c r="DF184" i="8"/>
  <c r="CF184" i="8" s="1"/>
  <c r="W85" i="36"/>
  <c r="DF186" i="8"/>
  <c r="CF186" i="8" s="1"/>
  <c r="W81" i="36"/>
  <c r="DD182" i="8"/>
  <c r="CD182" i="8" s="1"/>
  <c r="DC177" i="8"/>
  <c r="CC177" i="8" s="1"/>
  <c r="DB186" i="8"/>
  <c r="CB186" i="8" s="1"/>
  <c r="DG186" i="8"/>
  <c r="CG186" i="8" s="1"/>
  <c r="DE166" i="8"/>
  <c r="CE166" i="8" s="1"/>
  <c r="DD166" i="8"/>
  <c r="CD166" i="8" s="1"/>
  <c r="DG177" i="8"/>
  <c r="CG177" i="8" s="1"/>
  <c r="DE177" i="8"/>
  <c r="CE177" i="8" s="1"/>
  <c r="DC186" i="8"/>
  <c r="CC186" i="8" s="1"/>
  <c r="DD164" i="8"/>
  <c r="CD164" i="8" s="1"/>
  <c r="DC164" i="8"/>
  <c r="CC164" i="8" s="1"/>
  <c r="W79" i="36"/>
  <c r="DF183" i="8"/>
  <c r="CF183" i="8" s="1"/>
  <c r="DG183" i="8"/>
  <c r="CG183" i="8" s="1"/>
  <c r="W84" i="36"/>
  <c r="W82" i="36"/>
  <c r="DE182" i="8"/>
  <c r="CE182" i="8" s="1"/>
  <c r="W78" i="36"/>
  <c r="DF182" i="8"/>
  <c r="CF182" i="8" s="1"/>
  <c r="DG182" i="8"/>
  <c r="CG182" i="8" s="1"/>
  <c r="W80" i="36"/>
  <c r="DB182" i="8"/>
  <c r="CB182" i="8" s="1"/>
  <c r="W75" i="36"/>
  <c r="DC183" i="8"/>
  <c r="CC183" i="8" s="1"/>
  <c r="W76" i="36"/>
  <c r="DB168" i="8"/>
  <c r="CB168" i="8" s="1"/>
  <c r="DG176" i="8"/>
  <c r="CG176" i="8" s="1"/>
  <c r="DC168" i="8"/>
  <c r="CC168" i="8" s="1"/>
  <c r="W77" i="36"/>
  <c r="DD184" i="8"/>
  <c r="CD184" i="8" s="1"/>
  <c r="DB184" i="8"/>
  <c r="CB184" i="8" s="1"/>
  <c r="DC184" i="8"/>
  <c r="CC184" i="8" s="1"/>
  <c r="DD177" i="8"/>
  <c r="CD177" i="8" s="1"/>
  <c r="DB183" i="8"/>
  <c r="CB183" i="8" s="1"/>
  <c r="Y100" i="31"/>
  <c r="W83" i="36"/>
  <c r="W86" i="36"/>
  <c r="DD168" i="8"/>
  <c r="CD168" i="8" s="1"/>
  <c r="DB176" i="8"/>
  <c r="CB176" i="8" s="1"/>
  <c r="DG184" i="8"/>
  <c r="CG184" i="8" s="1"/>
  <c r="W73" i="36"/>
  <c r="W74" i="36"/>
  <c r="DE183" i="8"/>
  <c r="CE183" i="8" s="1"/>
  <c r="CI15" i="36"/>
  <c r="CC15" i="36" s="1"/>
  <c r="CJ15" i="36"/>
  <c r="CD15" i="36" s="1"/>
  <c r="CI26" i="36"/>
  <c r="CC26" i="36" s="1"/>
  <c r="CJ26" i="36"/>
  <c r="CD26" i="36" s="1"/>
  <c r="CH24" i="36"/>
  <c r="CB24" i="36" s="1"/>
  <c r="CJ24" i="36"/>
  <c r="CD24" i="36" s="1"/>
  <c r="CH22" i="36"/>
  <c r="CB22" i="36" s="1"/>
  <c r="CJ22" i="36"/>
  <c r="CD22" i="36" s="1"/>
  <c r="CI29" i="36"/>
  <c r="CC29" i="36" s="1"/>
  <c r="CJ29" i="36"/>
  <c r="CD29" i="36" s="1"/>
  <c r="CH20" i="36"/>
  <c r="CB20" i="36" s="1"/>
  <c r="CJ20" i="36"/>
  <c r="CD20" i="36" s="1"/>
  <c r="CH23" i="36"/>
  <c r="CB23" i="36" s="1"/>
  <c r="CJ23" i="36"/>
  <c r="CD23" i="36" s="1"/>
  <c r="CH18" i="36"/>
  <c r="CB18" i="36" s="1"/>
  <c r="CJ18" i="36"/>
  <c r="CD18" i="36" s="1"/>
  <c r="CH21" i="36"/>
  <c r="CB21" i="36" s="1"/>
  <c r="CJ21" i="36"/>
  <c r="CD21" i="36" s="1"/>
  <c r="CH16" i="36"/>
  <c r="CB16" i="36" s="1"/>
  <c r="CJ16" i="36"/>
  <c r="CD16" i="36" s="1"/>
  <c r="CH27" i="36"/>
  <c r="CB27" i="36" s="1"/>
  <c r="CJ27" i="36"/>
  <c r="CD27" i="36" s="1"/>
  <c r="Y101" i="31"/>
  <c r="CH19" i="36"/>
  <c r="CB19" i="36" s="1"/>
  <c r="CJ19" i="36"/>
  <c r="CD19" i="36" s="1"/>
  <c r="CI14" i="36"/>
  <c r="CC14" i="36" s="1"/>
  <c r="CJ14" i="36"/>
  <c r="CD14" i="36" s="1"/>
  <c r="CH17" i="36"/>
  <c r="CB17" i="36" s="1"/>
  <c r="CJ17" i="36"/>
  <c r="CD17" i="36" s="1"/>
  <c r="Y102" i="31"/>
  <c r="DC179" i="8"/>
  <c r="CC179" i="8" s="1"/>
  <c r="DD179" i="8"/>
  <c r="CD179" i="8" s="1"/>
  <c r="DB179" i="8"/>
  <c r="CB179" i="8" s="1"/>
  <c r="DG179" i="8"/>
  <c r="CG179" i="8" s="1"/>
  <c r="DF179" i="8"/>
  <c r="CF179" i="8" s="1"/>
  <c r="DC180" i="8"/>
  <c r="CC180" i="8" s="1"/>
  <c r="DC160" i="8"/>
  <c r="CC160" i="8" s="1"/>
  <c r="DE160" i="8"/>
  <c r="CE160" i="8" s="1"/>
  <c r="DD160" i="8"/>
  <c r="CD160" i="8" s="1"/>
  <c r="DB160" i="8"/>
  <c r="CB160" i="8" s="1"/>
  <c r="DF180" i="8"/>
  <c r="CF180" i="8" s="1"/>
  <c r="DD180" i="8"/>
  <c r="CD180" i="8" s="1"/>
  <c r="DB180" i="8"/>
  <c r="CB180" i="8" s="1"/>
  <c r="DE180" i="8"/>
  <c r="CE180" i="8" s="1"/>
  <c r="CI27" i="36"/>
  <c r="CC27" i="36" s="1"/>
  <c r="D171" i="8"/>
  <c r="B262" i="8" s="1"/>
  <c r="DE185" i="8"/>
  <c r="CE185" i="8" s="1"/>
  <c r="DB185" i="8"/>
  <c r="CB185" i="8" s="1"/>
  <c r="DG185" i="8"/>
  <c r="CG185" i="8" s="1"/>
  <c r="DD185" i="8"/>
  <c r="CD185" i="8" s="1"/>
  <c r="DF185" i="8"/>
  <c r="CF185" i="8" s="1"/>
  <c r="DC185" i="8"/>
  <c r="CC185" i="8" s="1"/>
  <c r="CC11" i="8"/>
  <c r="DE181" i="8"/>
  <c r="CE181" i="8" s="1"/>
  <c r="DC181" i="8"/>
  <c r="CC181" i="8" s="1"/>
  <c r="DF181" i="8"/>
  <c r="CF181" i="8" s="1"/>
  <c r="DD181" i="8"/>
  <c r="CD181" i="8" s="1"/>
  <c r="DB181" i="8"/>
  <c r="CB181" i="8" s="1"/>
  <c r="DG181" i="8"/>
  <c r="CG181" i="8" s="1"/>
  <c r="CI23" i="36"/>
  <c r="CC23" i="36" s="1"/>
  <c r="CH14" i="36"/>
  <c r="CB14" i="36" s="1"/>
  <c r="CI21" i="36"/>
  <c r="CC21" i="36" s="1"/>
  <c r="CI24" i="36"/>
  <c r="CC24" i="36" s="1"/>
  <c r="CI22" i="36"/>
  <c r="CC22" i="36" s="1"/>
  <c r="CI18" i="36"/>
  <c r="CC18" i="36" s="1"/>
  <c r="CH29" i="36"/>
  <c r="CB29" i="36" s="1"/>
  <c r="CH26" i="36"/>
  <c r="CB26" i="36" s="1"/>
  <c r="CI16" i="36"/>
  <c r="CC16" i="36" s="1"/>
  <c r="CH15" i="36"/>
  <c r="CB15" i="36" s="1"/>
  <c r="CI19" i="36"/>
  <c r="CC19" i="36" s="1"/>
  <c r="CI17" i="36"/>
  <c r="CC17" i="36" s="1"/>
  <c r="CI20" i="36"/>
  <c r="CC20" i="36" s="1"/>
  <c r="DF176" i="8"/>
  <c r="CF176" i="8" s="1"/>
  <c r="DE170" i="8"/>
  <c r="CE170" i="8" s="1"/>
  <c r="DC170" i="8"/>
  <c r="CC170" i="8" s="1"/>
  <c r="DD170" i="8"/>
  <c r="CD170" i="8" s="1"/>
  <c r="DB170" i="8"/>
  <c r="CB170" i="8" s="1"/>
  <c r="DD163" i="8"/>
  <c r="CD163" i="8" s="1"/>
  <c r="DB163" i="8"/>
  <c r="CB163" i="8" s="1"/>
  <c r="DC163" i="8"/>
  <c r="CC163" i="8" s="1"/>
  <c r="DE163" i="8"/>
  <c r="CE163" i="8" s="1"/>
  <c r="DE176" i="8"/>
  <c r="CE176" i="8" s="1"/>
  <c r="DD165" i="8"/>
  <c r="CD165" i="8" s="1"/>
  <c r="DB165" i="8"/>
  <c r="CB165" i="8" s="1"/>
  <c r="DE165" i="8"/>
  <c r="CE165" i="8" s="1"/>
  <c r="DC165" i="8"/>
  <c r="CC165" i="8" s="1"/>
  <c r="CI25" i="36"/>
  <c r="CC25" i="36" s="1"/>
  <c r="CH25" i="36"/>
  <c r="CB25" i="36" s="1"/>
  <c r="DC176" i="8"/>
  <c r="DB167" i="8"/>
  <c r="CB167" i="8" s="1"/>
  <c r="DD167" i="8"/>
  <c r="CD167" i="8" s="1"/>
  <c r="DC167" i="8"/>
  <c r="CC167" i="8" s="1"/>
  <c r="CH28" i="36"/>
  <c r="CB28" i="36" s="1"/>
  <c r="CI28" i="36"/>
  <c r="CC28" i="36" s="1"/>
  <c r="AS160" i="8" l="1"/>
  <c r="AH11" i="8"/>
  <c r="F14" i="28"/>
  <c r="AV183" i="8"/>
  <c r="AV178" i="8"/>
  <c r="AV185" i="8"/>
  <c r="AV184" i="8"/>
  <c r="AV182" i="8"/>
  <c r="AV186" i="8"/>
  <c r="AV180" i="8"/>
  <c r="AV179" i="8"/>
  <c r="CC176" i="8"/>
  <c r="AV176" i="8" s="1"/>
  <c r="AV181" i="8"/>
  <c r="AV177" i="8"/>
  <c r="AS168" i="8"/>
  <c r="AS164" i="8"/>
  <c r="AS163" i="8"/>
  <c r="AS166" i="8"/>
  <c r="AS170" i="8"/>
  <c r="AS165" i="8"/>
  <c r="AS167" i="8"/>
  <c r="AY14" i="36"/>
  <c r="AY15" i="36"/>
  <c r="AY29" i="36"/>
  <c r="AY26" i="36"/>
  <c r="AY19" i="36"/>
  <c r="AY27" i="36"/>
  <c r="AY25" i="36"/>
  <c r="AY16" i="36"/>
  <c r="AY18" i="36"/>
  <c r="AY20" i="36"/>
  <c r="AY22" i="36"/>
  <c r="AY28" i="36"/>
  <c r="AY17" i="36"/>
  <c r="AY21" i="36"/>
  <c r="AY23" i="36"/>
  <c r="AY24" i="36"/>
  <c r="T87" i="36"/>
  <c r="C176" i="36"/>
  <c r="D31" i="28" s="1"/>
  <c r="AV30" i="36"/>
  <c r="CB131" i="46" l="1"/>
  <c r="AT131" i="46" s="1"/>
  <c r="CD107" i="43"/>
  <c r="G107" i="43" s="1"/>
  <c r="C60" i="37"/>
  <c r="B346" i="37" s="1"/>
  <c r="F27" i="28" s="1"/>
  <c r="E60" i="37"/>
  <c r="F60" i="37"/>
  <c r="D60" i="37"/>
  <c r="CB30" i="37"/>
  <c r="CB38" i="37"/>
  <c r="CB33" i="37"/>
  <c r="CB46" i="37"/>
  <c r="CB43" i="37"/>
  <c r="CB35" i="37"/>
  <c r="CB42" i="37"/>
  <c r="CB40" i="37"/>
  <c r="CB50" i="37"/>
  <c r="CB47" i="37"/>
  <c r="CB44" i="37"/>
  <c r="CB41" i="37"/>
  <c r="CB48" i="37"/>
  <c r="CB37" i="37"/>
  <c r="CB36" i="37"/>
  <c r="CB39" i="37"/>
  <c r="CB32" i="37"/>
  <c r="CB31" i="37"/>
  <c r="D27" i="28"/>
  <c r="CB45" i="37"/>
  <c r="CB49" i="37"/>
  <c r="CB34" i="37"/>
  <c r="V123" i="58" l="1"/>
  <c r="CC139" i="8"/>
  <c r="CE139" i="8"/>
  <c r="C262" i="8"/>
  <c r="D14" i="28" s="1"/>
  <c r="D34" i="28" s="1"/>
  <c r="B7" i="29" s="1"/>
  <c r="W139" i="8" l="1"/>
</calcChain>
</file>

<file path=xl/sharedStrings.xml><?xml version="1.0" encoding="utf-8"?>
<sst xmlns="http://schemas.openxmlformats.org/spreadsheetml/2006/main" count="96597" uniqueCount="5495">
  <si>
    <t>PROFESIONAL</t>
  </si>
  <si>
    <t xml:space="preserve">TOTAL      </t>
  </si>
  <si>
    <t>POR EDAD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</si>
  <si>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</si>
  <si>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</si>
  <si>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</si>
  <si>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</si>
  <si>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</si>
  <si>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</si>
  <si>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</si>
  <si>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</si>
  <si>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</si>
  <si>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</si>
  <si>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</si>
  <si>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</si>
  <si>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</si>
  <si>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</si>
  <si>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</si>
  <si>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</si>
  <si>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</si>
  <si>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</si>
  <si>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</si>
  <si>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</si>
  <si>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</si>
  <si>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</si>
  <si>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</si>
  <si>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</si>
  <si>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</si>
  <si>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</si>
  <si>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</si>
  <si>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</si>
  <si>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</si>
  <si>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</si>
  <si>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</si>
  <si>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</si>
  <si>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</si>
  <si>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</si>
  <si>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</si>
  <si>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</si>
  <si>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</si>
  <si>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</si>
  <si>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</si>
  <si>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</si>
  <si>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</si>
  <si>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</si>
  <si>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</si>
  <si>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</si>
  <si>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</si>
  <si>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</si>
  <si>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</si>
  <si>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</si>
  <si>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</si>
  <si>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</si>
  <si>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</si>
  <si>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</si>
  <si>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</si>
  <si>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</si>
  <si>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</si>
  <si>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</si>
  <si>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</si>
  <si>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</si>
  <si>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</si>
  <si>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</si>
  <si>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OTROS PROFESIONALES</t>
  </si>
  <si>
    <t>SÁBADO, DOMINGO o FESTIVO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</si>
  <si>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</si>
  <si>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</si>
  <si>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</si>
  <si>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</si>
  <si>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</si>
  <si>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</si>
  <si>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</si>
  <si>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</si>
  <si>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</si>
  <si>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</si>
  <si>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</si>
  <si>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</si>
  <si>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</si>
  <si>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</si>
  <si>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</si>
  <si>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</si>
  <si>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</si>
  <si>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</si>
  <si>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</si>
  <si>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</si>
  <si>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</si>
  <si>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</si>
  <si>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</si>
  <si>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</si>
  <si>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</si>
  <si>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NUEVAS SEGÚN ORIGEN(*)</t>
  </si>
  <si>
    <t>Menos 15 años</t>
  </si>
  <si>
    <t>De 15 y más años</t>
  </si>
  <si>
    <t>Menos 
15 años</t>
  </si>
  <si>
    <t>15 y más 
años</t>
  </si>
  <si>
    <t>APS</t>
  </si>
  <si>
    <t>URGENCIA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</si>
  <si>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</si>
  <si>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</si>
  <si>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</si>
  <si>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</si>
  <si>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</si>
  <si>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</si>
  <si>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</si>
  <si>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</si>
  <si>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</si>
  <si>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</si>
  <si>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</si>
  <si>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</si>
  <si>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</si>
  <si>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</si>
  <si>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</si>
  <si>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</si>
  <si>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</si>
  <si>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</si>
  <si>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</si>
  <si>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</si>
  <si>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</si>
  <si>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</si>
  <si>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</si>
  <si>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</si>
  <si>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</si>
  <si>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</si>
  <si>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</si>
  <si>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</si>
  <si>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</si>
  <si>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</si>
  <si>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</si>
  <si>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</si>
  <si>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</si>
  <si>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</si>
  <si>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</si>
  <si>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</si>
  <si>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</si>
  <si>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</si>
  <si>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</si>
  <si>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</si>
  <si>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</si>
  <si>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AUTOCUIDADO SEGÚN PATOLOGÍA</t>
  </si>
  <si>
    <t>TIPO DE INGRESO</t>
  </si>
  <si>
    <t>INGRESOS CON PTI CUIDADOR</t>
  </si>
  <si>
    <t xml:space="preserve">TIPO DE ESTRATEGIA 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</si>
  <si>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</si>
  <si>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</si>
  <si>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</si>
  <si>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</si>
  <si>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</si>
  <si>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</si>
  <si>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</si>
  <si>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</si>
  <si>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</si>
  <si>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</si>
  <si>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</si>
  <si>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</si>
  <si>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</si>
  <si>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</si>
  <si>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</si>
  <si>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</si>
  <si>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</si>
  <si>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</si>
  <si>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</si>
  <si>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</si>
  <si>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</si>
  <si>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</si>
  <si>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</si>
  <si>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</si>
  <si>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</si>
  <si>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</si>
  <si>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</si>
  <si>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</si>
  <si>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</si>
  <si>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</si>
  <si>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</si>
  <si>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</si>
  <si>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</si>
  <si>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</si>
  <si>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</si>
  <si>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</si>
  <si>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</si>
  <si>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</si>
  <si>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</si>
  <si>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</si>
  <si>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</si>
  <si>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</si>
  <si>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</si>
  <si>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</si>
  <si>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</si>
  <si>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</si>
  <si>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</si>
  <si>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</si>
  <si>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</si>
  <si>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</si>
  <si>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ATENCIONES</t>
  </si>
  <si>
    <t>ITS</t>
  </si>
  <si>
    <t>VIH/SIDA</t>
  </si>
  <si>
    <t>SECCIÓN C: CONSULTAS Y CONTROLES POR OTROS PROFESIONALES EN ESPECIALIDAD (NIVEL SECUNDARIO)</t>
  </si>
  <si>
    <t xml:space="preserve">   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</si>
  <si>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</si>
  <si>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</si>
  <si>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</si>
  <si>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</si>
  <si>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</si>
  <si>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</si>
  <si>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</si>
  <si>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</si>
  <si>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</si>
  <si>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</si>
  <si>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</si>
  <si>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</si>
  <si>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</si>
  <si>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</si>
  <si>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</si>
  <si>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</si>
  <si>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</si>
  <si>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</si>
  <si>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</si>
  <si>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</si>
  <si>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</si>
  <si>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</si>
  <si>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</si>
  <si>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</si>
  <si>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</si>
  <si>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</si>
  <si>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</si>
  <si>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</si>
  <si>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</si>
  <si>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</si>
  <si>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</si>
  <si>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</si>
  <si>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</si>
  <si>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</si>
  <si>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</si>
  <si>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</si>
  <si>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</si>
  <si>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</si>
  <si>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</si>
  <si>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</si>
  <si>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</si>
  <si>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</si>
  <si>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</si>
  <si>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</si>
  <si>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</si>
  <si>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</si>
  <si>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</si>
  <si>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</si>
  <si>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</si>
  <si>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</si>
  <si>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</si>
  <si>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</si>
  <si>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</si>
  <si>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</si>
  <si>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</si>
  <si>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</si>
  <si>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</si>
  <si>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</si>
  <si>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</si>
  <si>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</si>
  <si>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</si>
  <si>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</si>
  <si>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</si>
  <si>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</si>
  <si>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</si>
  <si>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</si>
  <si>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</si>
  <si>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</si>
  <si>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</si>
  <si>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</si>
  <si>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</si>
  <si>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</si>
  <si>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</si>
  <si>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</si>
  <si>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</si>
  <si>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</si>
  <si>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</si>
  <si>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</si>
  <si>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</si>
  <si>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</si>
  <si>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</si>
  <si>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</si>
  <si>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</si>
  <si>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</si>
  <si>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</si>
  <si>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</si>
  <si>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</si>
  <si>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</si>
  <si>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</si>
  <si>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</si>
  <si>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</si>
  <si>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</si>
  <si>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</si>
  <si>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</si>
  <si>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</si>
  <si>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</si>
  <si>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</si>
  <si>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</si>
  <si>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</si>
  <si>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</si>
  <si>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</si>
  <si>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</si>
  <si>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</si>
  <si>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</si>
  <si>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</si>
  <si>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CONDICIÓN FÍSICA</t>
  </si>
  <si>
    <t>SECCIÓN A.4: EVALUACIÓN INTERMEDIA</t>
  </si>
  <si>
    <t>FISIOTERAPIA</t>
  </si>
  <si>
    <t>EJERCICIOS TERAPÉUTICOS</t>
  </si>
  <si>
    <t>CONFECCIÓN ÓRTESIS Y/O ADAPTACIONES</t>
  </si>
  <si>
    <t>ADAPTACIÓN DEL HOGAR</t>
  </si>
  <si>
    <t>ACTIVIDADES TERAPÉUTICAS</t>
  </si>
  <si>
    <t>ORIENTACIÓN Y MOVILIDAD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</si>
  <si>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</si>
  <si>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</si>
  <si>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</si>
  <si>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</si>
  <si>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PARÁLISIS CEREBRAL</t>
  </si>
  <si>
    <t>SENSORIALES AUDITIVOS</t>
  </si>
  <si>
    <t>SENSORIALES VISUALES</t>
  </si>
  <si>
    <t>TRAUMATOLÓGICOS</t>
  </si>
  <si>
    <t>CARDIOVASCULAR</t>
  </si>
  <si>
    <t>NEUROMUSCULARES AGUDAS</t>
  </si>
  <si>
    <t>NEUROMUSCULARES CRÓNICAS</t>
  </si>
  <si>
    <t>CERRADA</t>
  </si>
  <si>
    <t>TRATAMIENTO COMPRESIVO</t>
  </si>
  <si>
    <t>ESTIMULACIÓN COGNITIVA</t>
  </si>
  <si>
    <t>HABILITACIÓN Y REHABILITACIÓN EDUCACIONAL</t>
  </si>
  <si>
    <t>INTEGRACIÓN SENSORIAL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</si>
  <si>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</si>
  <si>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</si>
  <si>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</si>
  <si>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</si>
  <si>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</si>
  <si>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</si>
  <si>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</si>
  <si>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</si>
  <si>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</si>
  <si>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</si>
  <si>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</si>
  <si>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</si>
  <si>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</si>
  <si>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</si>
  <si>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</si>
  <si>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</si>
  <si>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</si>
  <si>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</si>
  <si>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</si>
  <si>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</si>
  <si>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</si>
  <si>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</si>
  <si>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</si>
  <si>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</si>
  <si>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</si>
  <si>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Urbano(CGU) con SAPU/SUR/SAR</t>
  </si>
  <si>
    <t>Consultorio General Rural (CGR)</t>
  </si>
  <si>
    <t>Consultorio General Rural (CGR) con SAPU/SAR/SUR</t>
  </si>
  <si>
    <t>Posta de Salud Rural (PSR)</t>
  </si>
  <si>
    <t>Consultorio de Salud Mental (COSAM)</t>
  </si>
  <si>
    <t>MUNICIPAL</t>
  </si>
  <si>
    <t>EGRESOS POR OTRAS CAUSAS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</si>
  <si>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</si>
  <si>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</si>
  <si>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</si>
  <si>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</si>
  <si>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</si>
  <si>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</si>
  <si>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</si>
  <si>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</si>
  <si>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</si>
  <si>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</si>
  <si>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</si>
  <si>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</si>
  <si>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</si>
  <si>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</si>
  <si>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</si>
  <si>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</si>
  <si>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</si>
  <si>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</si>
  <si>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</si>
  <si>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</si>
  <si>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</si>
  <si>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</si>
  <si>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</si>
  <si>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</si>
  <si>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</si>
  <si>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</si>
  <si>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</si>
  <si>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</si>
  <si>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</si>
  <si>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</si>
  <si>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</si>
  <si>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</si>
  <si>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</si>
  <si>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</si>
  <si>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</si>
  <si>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</si>
  <si>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</si>
  <si>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</si>
  <si>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</si>
  <si>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</si>
  <si>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</si>
  <si>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0 - 4 años</t>
  </si>
  <si>
    <t>35 - 39 años</t>
  </si>
  <si>
    <t>80  años y mas</t>
  </si>
  <si>
    <t>NUEVAS</t>
  </si>
  <si>
    <t>CONTROLES</t>
  </si>
  <si>
    <t xml:space="preserve">ONCOLÓGICOS </t>
  </si>
  <si>
    <t>ORTOPROTESISTA</t>
  </si>
  <si>
    <t>AYUDAS TÉCNICAS</t>
  </si>
  <si>
    <t>COLCHÓN ANTI ESCARAS</t>
  </si>
  <si>
    <t>BASTONES</t>
  </si>
  <si>
    <t>ANDADORES</t>
  </si>
  <si>
    <t>AYUDA TÉCNICA VISUALES LENTES</t>
  </si>
  <si>
    <t>SISTEMA COMPRESIVO</t>
  </si>
  <si>
    <t>NÚMERO DE PERSONAS CON AYUDA TÉCNICA ENTREGADA</t>
  </si>
  <si>
    <t>SENSORIAL AUDITIVO</t>
  </si>
  <si>
    <t>SENSORIAL VISUAL</t>
  </si>
  <si>
    <t>OTRAS CONDICIONES DE SALUD</t>
  </si>
  <si>
    <t>EVALUACIÓN</t>
  </si>
  <si>
    <t>Espacios Amigables</t>
  </si>
  <si>
    <t>IMAGENOLOGÍA</t>
  </si>
  <si>
    <t>RADIOTERAPIA ONCOLÓGICA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</si>
  <si>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</si>
  <si>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</si>
  <si>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</si>
  <si>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</si>
  <si>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</si>
  <si>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</si>
  <si>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</si>
  <si>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</si>
  <si>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</si>
  <si>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</si>
  <si>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</si>
  <si>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</si>
  <si>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</si>
  <si>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</si>
  <si>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</si>
  <si>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</si>
  <si>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</si>
  <si>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</si>
  <si>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</si>
  <si>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</si>
  <si>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</si>
  <si>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</si>
  <si>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</si>
  <si>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</si>
  <si>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</si>
  <si>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</si>
  <si>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</si>
  <si>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</si>
  <si>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</si>
  <si>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</si>
  <si>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</si>
  <si>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</si>
  <si>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</si>
  <si>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</si>
  <si>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</si>
  <si>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</si>
  <si>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</si>
  <si>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</si>
  <si>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</si>
  <si>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</si>
  <si>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</si>
  <si>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</si>
  <si>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</si>
  <si>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PLÁSTICA Y REPARADORA ADULTO</t>
  </si>
  <si>
    <t>GINECOLOGÍA ADULTO</t>
  </si>
  <si>
    <t>TRAUMATOLOGÍA Y ORTOPEDIA ADULTO</t>
  </si>
  <si>
    <t>UROLOGÍA ADULTO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</si>
  <si>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</si>
  <si>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</si>
  <si>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</si>
  <si>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</si>
  <si>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</si>
  <si>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</si>
  <si>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</si>
  <si>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</si>
  <si>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</si>
  <si>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</si>
  <si>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</si>
  <si>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Niños 12 a 23 meses</t>
  </si>
  <si>
    <t>Niños de 2 a 5 años</t>
  </si>
  <si>
    <t>Niños de 6 a 9 años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</si>
  <si>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</si>
  <si>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</si>
  <si>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</si>
  <si>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</si>
  <si>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</si>
  <si>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</si>
  <si>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</si>
  <si>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</si>
  <si>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</si>
  <si>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</si>
  <si>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</si>
  <si>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</si>
  <si>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</si>
  <si>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</si>
  <si>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</si>
  <si>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</si>
  <si>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</si>
  <si>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</si>
  <si>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</si>
  <si>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</si>
  <si>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</si>
  <si>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</si>
  <si>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</si>
  <si>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</si>
  <si>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</si>
  <si>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</si>
  <si>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</si>
  <si>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</si>
  <si>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</si>
  <si>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</si>
  <si>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</si>
  <si>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</si>
  <si>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</si>
  <si>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</si>
  <si>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</si>
  <si>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</si>
  <si>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</si>
  <si>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</si>
  <si>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TOTAL 
SESIONES</t>
  </si>
  <si>
    <t>PREPARACIÓN PARA EL PARTO</t>
  </si>
  <si>
    <t>TALLER DE EDUCACIÓN PRENATAL</t>
  </si>
  <si>
    <t>TALLER</t>
  </si>
  <si>
    <t>Nº DE SESIONES</t>
  </si>
  <si>
    <t>ESTIMULACIÓN DE FUNCIONES MOTORAS Y PREVENCIÓN DE CAÍDAS</t>
  </si>
  <si>
    <t>ESTIMULACIÓN DE FUNCIONES  COGNITIVA</t>
  </si>
  <si>
    <t>AUTOCUIDADO Y ESTILOS DE VIDA SALUDABLE</t>
  </si>
  <si>
    <t>Post Parto</t>
  </si>
  <si>
    <t>menor de 2 años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</si>
  <si>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</si>
  <si>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</si>
  <si>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</si>
  <si>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</si>
  <si>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</si>
  <si>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</si>
  <si>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</si>
  <si>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REFERENCIA ASISTIDA
(PERJUDICIAL O DEPENDENCIA)</t>
  </si>
  <si>
    <t>POR TIPO DE ORGANIZACIÓN</t>
  </si>
  <si>
    <t>POR TIPO DE SERVICIO</t>
  </si>
  <si>
    <t>Nº DE TALLERES</t>
  </si>
  <si>
    <t>GRUPO DE EDAD (En años)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</si>
  <si>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</si>
  <si>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</si>
  <si>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</si>
  <si>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</si>
  <si>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</si>
  <si>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</si>
  <si>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</si>
  <si>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</si>
  <si>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</si>
  <si>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</si>
  <si>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</si>
  <si>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</si>
  <si>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</si>
  <si>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</si>
  <si>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</si>
  <si>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</si>
  <si>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</si>
  <si>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</si>
  <si>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</si>
  <si>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CON ENTREGA ANTICONCEPCIÓN EMERGENCIA</t>
  </si>
  <si>
    <t>SIN ENTREGA ANTICONCEPCIÓN EMERGENCIA</t>
  </si>
  <si>
    <t>25 y más años</t>
  </si>
  <si>
    <t>TIPO JORNADA</t>
  </si>
  <si>
    <t>HORARIO CONTINUADO</t>
  </si>
  <si>
    <t>Menor de 2 años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</si>
  <si>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</si>
  <si>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</si>
  <si>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</si>
  <si>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</si>
  <si>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</si>
  <si>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</si>
  <si>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</si>
  <si>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</si>
  <si>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</si>
  <si>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</si>
  <si>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</si>
  <si>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</si>
  <si>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</si>
  <si>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TIPO DE RECETA</t>
  </si>
  <si>
    <t>RECETAS DESPACHADAS</t>
  </si>
  <si>
    <t>RECETAS DESPACHADAS CON OPORTUNIDAD  (Entregado el mismo día)</t>
  </si>
  <si>
    <t>DESPACHO TOTAL</t>
  </si>
  <si>
    <t>DESPACHO
PARCIAL</t>
  </si>
  <si>
    <t>CRÓNICA</t>
  </si>
  <si>
    <t>MORBILIDAD</t>
  </si>
  <si>
    <t>BAJO CONTROL LEGAL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</si>
  <si>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</si>
  <si>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</si>
  <si>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</si>
  <si>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</si>
  <si>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</si>
  <si>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</si>
  <si>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</si>
  <si>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AÉREA</t>
  </si>
  <si>
    <t>MARÍTIMA</t>
  </si>
  <si>
    <t>De 1 a 2 años</t>
  </si>
  <si>
    <t>CONSULTA DE LACTANCIA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</si>
  <si>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</si>
  <si>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</si>
  <si>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</si>
  <si>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</si>
  <si>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</si>
  <si>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</si>
  <si>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</si>
  <si>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</si>
  <si>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</si>
  <si>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</si>
  <si>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</si>
  <si>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</si>
  <si>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</si>
  <si>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</si>
  <si>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RECETAS DESPACHADAS A PACIENTES DEL PROGRAMA DE SALUD CARDIOVASCULAR</t>
  </si>
  <si>
    <t>PRESCRIPCIONES A PACIENTES DEL PROGRAMA DE SALUD CARDIOVASCULAR</t>
  </si>
  <si>
    <t>TIPO DE MEDICINA COMPLEMENTARIA O PRÁCTICA DE BIENESTAR DE LA SALUD</t>
  </si>
  <si>
    <t>OBSTÉTRICA</t>
  </si>
  <si>
    <t>NUTRICIONISTA MALNUTRICIÓN POR DÉFICIT</t>
  </si>
  <si>
    <t>ATENCIONES POR AGENTE MEDICINA INDÍGENA</t>
  </si>
  <si>
    <t>PRESTACIÓN</t>
  </si>
  <si>
    <t>PROFESIONAL DE LA ACTIVIDAD FÍSICA</t>
  </si>
  <si>
    <t xml:space="preserve">ATENCIÓN ABIERTA </t>
  </si>
  <si>
    <t>ATENCIÓN CERRADA</t>
  </si>
  <si>
    <t>RECHAZADAS</t>
  </si>
  <si>
    <t>CONSULTA ABREVIADA (Confección de recetas o lectura de exámenes)</t>
  </si>
  <si>
    <t>PREVENCIÓN ALCOHOL Y DROGAS</t>
  </si>
  <si>
    <t>CIRCULO DE ACTIVIDAD FÍSICA</t>
  </si>
  <si>
    <t>Nº DE INTERVENCIONES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</si>
  <si>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</si>
  <si>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</si>
  <si>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</si>
  <si>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</si>
  <si>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</si>
  <si>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</si>
  <si>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</si>
  <si>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</si>
  <si>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</si>
  <si>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</si>
  <si>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</si>
  <si>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</si>
  <si>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</si>
  <si>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</si>
  <si>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</si>
  <si>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</si>
  <si>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</si>
  <si>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SECCIÓN A.2: INGRESOS POR CONDICIÓN DE SALUD</t>
  </si>
  <si>
    <t xml:space="preserve">NÚMERO DE PERSONAS 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</si>
  <si>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</si>
  <si>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</si>
  <si>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</si>
  <si>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</si>
  <si>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</si>
  <si>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</si>
  <si>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</si>
  <si>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>CUARTO BÁSICO</t>
  </si>
  <si>
    <t>TERCERO BÁSICO</t>
  </si>
  <si>
    <t>SEGUNDO BÁSICO</t>
  </si>
  <si>
    <t xml:space="preserve">PRIMERO BÁSICO </t>
  </si>
  <si>
    <t>KÍNDER</t>
  </si>
  <si>
    <t>CURSO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</si>
  <si>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</si>
  <si>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</si>
  <si>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</si>
  <si>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</si>
  <si>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</si>
  <si>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</si>
  <si>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</si>
  <si>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</si>
  <si>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</si>
  <si>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</si>
  <si>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</si>
  <si>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</si>
  <si>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</si>
  <si>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</si>
  <si>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</si>
  <si>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</si>
  <si>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</si>
  <si>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</si>
  <si>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</si>
  <si>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</si>
  <si>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</si>
  <si>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</si>
  <si>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</si>
  <si>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</si>
  <si>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</si>
  <si>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</si>
  <si>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</si>
  <si>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</si>
  <si>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</si>
  <si>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</si>
  <si>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</si>
  <si>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</si>
  <si>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</si>
  <si>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SECCIÓN B: CONTROLES DE SALUD SEGÚN CICLO VITAL</t>
  </si>
  <si>
    <t>REGULACIÓN DE FECUNDIDAD</t>
  </si>
  <si>
    <t xml:space="preserve">CLIMATERIO </t>
  </si>
  <si>
    <t xml:space="preserve">GINECOLÓGICO </t>
  </si>
  <si>
    <t>PUÉRPERA CON RECIÉN NACIDO ENTRE 11 y 28 DÍAS</t>
  </si>
  <si>
    <t>PUÉRPERA CON RECIÉN NACIDO HASTA 10 DÍAS DE VIDA</t>
  </si>
  <si>
    <t>PRENATAL</t>
  </si>
  <si>
    <t xml:space="preserve"> PRE-
CONCEPCIONAL </t>
  </si>
  <si>
    <t>MUJERES</t>
  </si>
  <si>
    <t>HOMBRES</t>
  </si>
  <si>
    <t xml:space="preserve"> 10 - 14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</si>
  <si>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</si>
  <si>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</si>
  <si>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</si>
  <si>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</si>
  <si>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</si>
  <si>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</si>
  <si>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GRUPOS DE EDAD  (en años)</t>
  </si>
  <si>
    <t>INASISTENTES</t>
  </si>
  <si>
    <t>TOTAL EGRESOS</t>
  </si>
  <si>
    <t>INGRESOS AL PROGRAMA</t>
  </si>
  <si>
    <t>TRANS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</si>
  <si>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</si>
  <si>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</si>
  <si>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</si>
  <si>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</si>
  <si>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</si>
  <si>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</si>
  <si>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</si>
  <si>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</si>
  <si>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</si>
  <si>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</si>
  <si>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</si>
  <si>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POR EDAD (en meses - años)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</si>
  <si>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</si>
  <si>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</si>
  <si>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</si>
  <si>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</si>
  <si>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</si>
  <si>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</si>
  <si>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</si>
  <si>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</si>
  <si>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</si>
  <si>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</si>
  <si>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</si>
  <si>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</si>
  <si>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INGRESOS POR EDAD</t>
  </si>
  <si>
    <t>PATOLOGÍAS</t>
  </si>
  <si>
    <t>PROGRAMA DE REHABILITACIÓN TIPO II</t>
  </si>
  <si>
    <t>PROGRAMA DE REHABILITACIÓN TIPO I</t>
  </si>
  <si>
    <t>RUBRO</t>
  </si>
  <si>
    <t>TIPO DE PROGRAMA</t>
  </si>
  <si>
    <t>INGRESO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</si>
  <si>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</si>
  <si>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</si>
  <si>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</si>
  <si>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</si>
  <si>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</si>
  <si>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</si>
  <si>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</si>
  <si>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</si>
  <si>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</si>
  <si>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</si>
  <si>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</si>
  <si>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</si>
  <si>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</si>
  <si>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</si>
  <si>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</si>
  <si>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</si>
  <si>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</si>
  <si>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</si>
  <si>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</si>
  <si>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</si>
  <si>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</si>
  <si>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</si>
  <si>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</si>
  <si>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</si>
  <si>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</si>
  <si>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</si>
  <si>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</si>
  <si>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</si>
  <si>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</si>
  <si>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</si>
  <si>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</si>
  <si>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</si>
  <si>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</si>
  <si>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</si>
  <si>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</si>
  <si>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</si>
  <si>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</si>
  <si>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</si>
  <si>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</si>
  <si>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</si>
  <si>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</si>
  <si>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</si>
  <si>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</si>
  <si>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</si>
  <si>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</si>
  <si>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</si>
  <si>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</si>
  <si>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</si>
  <si>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</si>
  <si>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</si>
  <si>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</si>
  <si>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</si>
  <si>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</si>
  <si>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</si>
  <si>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</si>
  <si>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</si>
  <si>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</si>
  <si>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</si>
  <si>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</si>
  <si>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</si>
  <si>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</si>
  <si>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</si>
  <si>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</si>
  <si>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</si>
  <si>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</si>
  <si>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</si>
  <si>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</si>
  <si>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</si>
  <si>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</si>
  <si>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</si>
  <si>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</si>
  <si>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</si>
  <si>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</si>
  <si>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</si>
  <si>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</si>
  <si>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MODERADA</t>
  </si>
  <si>
    <t>DEPENDENCIA LEVE</t>
  </si>
  <si>
    <t>Abandono/
Traslado</t>
  </si>
  <si>
    <t>Altas</t>
  </si>
  <si>
    <t>TABAQUISMO</t>
  </si>
  <si>
    <t>DISLIPIDEMIA</t>
  </si>
  <si>
    <t>HIPERTENSIÓN ARTERIAL</t>
  </si>
  <si>
    <t>PROGRAMA DE SALUD CARDIOVASCULAR</t>
  </si>
  <si>
    <t>EGRESOS DEL PSCV</t>
  </si>
  <si>
    <t>SECCIÓN I: EGRESOS  DEL PSCV</t>
  </si>
  <si>
    <t>INGRESOS AL PSCV</t>
  </si>
  <si>
    <t>SECCIÓN H: INGRESOS AL PSCV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</si>
  <si>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</si>
  <si>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</si>
  <si>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</si>
  <si>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</si>
  <si>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</si>
  <si>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</si>
  <si>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</si>
  <si>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</si>
  <si>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</si>
  <si>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</si>
  <si>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</si>
  <si>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</si>
  <si>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</si>
  <si>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</si>
  <si>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</si>
  <si>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</si>
  <si>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</si>
  <si>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</si>
  <si>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</si>
  <si>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</si>
  <si>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</si>
  <si>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</si>
  <si>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</si>
  <si>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</si>
  <si>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</si>
  <si>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</si>
  <si>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</si>
  <si>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</si>
  <si>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</si>
  <si>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</si>
  <si>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</si>
  <si>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Gestantes que reciben preservativo</t>
  </si>
  <si>
    <t xml:space="preserve"> Método de Regulación de Fertilidad más Preservativos</t>
  </si>
  <si>
    <t>ESTERILIZACIÓN QUIRÚRGICA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</si>
  <si>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</si>
  <si>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</si>
  <si>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</si>
  <si>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</si>
  <si>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</si>
  <si>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</si>
  <si>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</si>
  <si>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</si>
  <si>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</si>
  <si>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</si>
  <si>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MÉTODOS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</si>
  <si>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</si>
  <si>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</si>
  <si>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</si>
  <si>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</si>
  <si>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</si>
  <si>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</si>
  <si>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</si>
  <si>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</si>
  <si>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</si>
  <si>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</si>
  <si>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</si>
  <si>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</si>
  <si>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</si>
  <si>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EMBARAZO NO PLANIFICADO</t>
  </si>
  <si>
    <t>GESTANTES INGRESADAS ANTES DE LAS 14 SEMANAS</t>
  </si>
  <si>
    <t>PRIMIGESTAS INGRESADAS</t>
  </si>
  <si>
    <t>GESTANTES INGRESADAS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</si>
  <si>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</si>
  <si>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</si>
  <si>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</si>
  <si>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</si>
  <si>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</si>
  <si>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</si>
  <si>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</si>
  <si>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</si>
  <si>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</si>
  <si>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</si>
  <si>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</si>
  <si>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</si>
  <si>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</si>
  <si>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</si>
  <si>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ATENCIÓN OTROS MÉDICOS</t>
  </si>
  <si>
    <t>ATENCIÓN POR  MÉDICO PERITO</t>
  </si>
  <si>
    <t>DE LLAMADA</t>
  </si>
  <si>
    <t>DE TURNO</t>
  </si>
  <si>
    <t>TIPO DE ATENCIÓN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</si>
  <si>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</si>
  <si>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</si>
  <si>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</si>
  <si>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</si>
  <si>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</si>
  <si>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</si>
  <si>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</si>
  <si>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</si>
  <si>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</si>
  <si>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</si>
  <si>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</si>
  <si>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</si>
  <si>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</si>
  <si>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>POLITRAUMATISMO</t>
  </si>
  <si>
    <t>PARO CARDIORESPIRATORIO</t>
  </si>
  <si>
    <t>SÍNDROME CORONARIO AGUDO</t>
  </si>
  <si>
    <t>TOTALES</t>
  </si>
  <si>
    <t>CAUSAS DE LA INTERVENCIÓN</t>
  </si>
  <si>
    <t>MARÍTIMO</t>
  </si>
  <si>
    <t>AÉREO</t>
  </si>
  <si>
    <t>NO CRÍTICO</t>
  </si>
  <si>
    <t>CRÍTICO</t>
  </si>
  <si>
    <t>NO SAMU</t>
  </si>
  <si>
    <t>SAMU</t>
  </si>
  <si>
    <t>Ambos</t>
  </si>
  <si>
    <t>TOTAL DE TRASLADOS</t>
  </si>
  <si>
    <t>TIPO DE ACCIÓN</t>
  </si>
  <si>
    <t>BÁSICO</t>
  </si>
  <si>
    <t>ENRUTADO</t>
  </si>
  <si>
    <t xml:space="preserve">TOTAL        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</si>
  <si>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</si>
  <si>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</si>
  <si>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</si>
  <si>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</si>
  <si>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</si>
  <si>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</si>
  <si>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</si>
  <si>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</si>
  <si>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</si>
  <si>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</si>
  <si>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</si>
  <si>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Nº LLAMADOS DE URGENCIA</t>
  </si>
  <si>
    <t>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</si>
  <si>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</si>
  <si>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</si>
  <si>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</si>
  <si>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</si>
  <si>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</si>
  <si>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</si>
  <si>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</si>
  <si>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</si>
  <si>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</si>
  <si>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</si>
  <si>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</si>
  <si>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SIN ENTREGA DE ANTICONCEPTIVO</t>
  </si>
  <si>
    <t>CON ENTREGA DE ANTICONCEPTIVO</t>
  </si>
  <si>
    <t xml:space="preserve">ATENCIÓN POR ANTICONCEPCIÓN DE EMERGENCIA </t>
  </si>
  <si>
    <t xml:space="preserve">OTRAS VIOLENCIAS </t>
  </si>
  <si>
    <t>VIOLENCIA INTRAFAMILIAR</t>
  </si>
  <si>
    <t>Por Arma</t>
  </si>
  <si>
    <t>Sin lesiones constatables</t>
  </si>
  <si>
    <t>LESIONES DE LA VÍCTIMA</t>
  </si>
  <si>
    <t>AGRESOR /A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</si>
  <si>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</si>
  <si>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</si>
  <si>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</si>
  <si>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</si>
  <si>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</si>
  <si>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</si>
  <si>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</si>
  <si>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</si>
  <si>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</si>
  <si>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</si>
  <si>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</si>
  <si>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</si>
  <si>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</si>
  <si>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</si>
  <si>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</si>
  <si>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</si>
  <si>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</si>
  <si>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</si>
  <si>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</si>
  <si>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</si>
  <si>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</si>
  <si>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</si>
  <si>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</si>
  <si>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</si>
  <si>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</si>
  <si>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</si>
  <si>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</si>
  <si>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</si>
  <si>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</si>
  <si>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</si>
  <si>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</si>
  <si>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</si>
  <si>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</si>
  <si>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</si>
  <si>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</si>
  <si>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</si>
  <si>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</si>
  <si>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</si>
  <si>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</si>
  <si>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</si>
  <si>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KINESIÓLOGO/A</t>
  </si>
  <si>
    <t>Demanda de Urgencia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</si>
  <si>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</si>
  <si>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</si>
  <si>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</si>
  <si>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</si>
  <si>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</si>
  <si>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</si>
  <si>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</si>
  <si>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</si>
  <si>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</si>
  <si>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</si>
  <si>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</si>
  <si>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</si>
  <si>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</si>
  <si>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</si>
  <si>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</si>
  <si>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</si>
  <si>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</si>
  <si>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</si>
  <si>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</si>
  <si>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</si>
  <si>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</si>
  <si>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</si>
  <si>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</si>
  <si>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</si>
  <si>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</si>
  <si>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</si>
  <si>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</si>
  <si>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</si>
  <si>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7 años</t>
  </si>
  <si>
    <t>6 años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</si>
  <si>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</si>
  <si>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</si>
  <si>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</si>
  <si>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</si>
  <si>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</si>
  <si>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</si>
  <si>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</si>
  <si>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</si>
  <si>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</si>
  <si>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</si>
  <si>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</si>
  <si>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CIRUGÍA BUCAL</t>
  </si>
  <si>
    <t>Según condición clínica</t>
  </si>
  <si>
    <t>Según Protocolo de Referencia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</si>
  <si>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</si>
  <si>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</si>
  <si>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</si>
  <si>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</si>
  <si>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</si>
  <si>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</si>
  <si>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</si>
  <si>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</si>
  <si>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</si>
  <si>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</si>
  <si>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</si>
  <si>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</si>
  <si>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</si>
  <si>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</si>
  <si>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5 años</t>
  </si>
  <si>
    <t>4 años</t>
  </si>
  <si>
    <t>2 años</t>
  </si>
  <si>
    <t>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</si>
  <si>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</si>
  <si>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</si>
  <si>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</si>
  <si>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</si>
  <si>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</si>
  <si>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</si>
  <si>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</si>
  <si>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</si>
  <si>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</si>
  <si>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</si>
  <si>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</si>
  <si>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</si>
  <si>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</si>
  <si>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</si>
  <si>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</si>
  <si>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</si>
  <si>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</si>
  <si>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</si>
  <si>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</si>
  <si>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</si>
  <si>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</si>
  <si>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</si>
  <si>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</si>
  <si>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</si>
  <si>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</si>
  <si>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</si>
  <si>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</si>
  <si>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</si>
  <si>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</si>
  <si>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</si>
  <si>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</si>
  <si>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</si>
  <si>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</si>
  <si>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</si>
  <si>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</si>
  <si>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</si>
  <si>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</si>
  <si>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</si>
  <si>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</si>
  <si>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</si>
  <si>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</si>
  <si>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</si>
  <si>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</si>
  <si>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</si>
  <si>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</si>
  <si>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ACTIVIDADES DE APOYO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</si>
  <si>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</si>
  <si>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</si>
  <si>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</si>
  <si>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</si>
  <si>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</si>
  <si>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</si>
  <si>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SIALOMETRÍA</t>
  </si>
  <si>
    <t>ESTUDIO HISTOPATOLÓGICO</t>
  </si>
  <si>
    <t>TOMA DE BIOPSIA</t>
  </si>
  <si>
    <t>IMPLANTOLOGÍA QUIRÚRGICA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</si>
  <si>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</si>
  <si>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</si>
  <si>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</si>
  <si>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</si>
  <si>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</si>
  <si>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RESTAURADOR (ODONTOPEDIATRÍA)</t>
  </si>
  <si>
    <t xml:space="preserve">ADAPTACIÓN A LA ATENCIÓN ODONTOLÓGICA </t>
  </si>
  <si>
    <t>CIRUGÍA APICAL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</si>
  <si>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</si>
  <si>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</si>
  <si>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</si>
  <si>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</si>
  <si>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</si>
  <si>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</si>
  <si>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</si>
  <si>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</si>
  <si>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</si>
  <si>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</si>
  <si>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MENOR AMBULATORIA</t>
  </si>
  <si>
    <t>CIRUGÍA TERCER MOLAR</t>
  </si>
  <si>
    <t>CONTRALORÍA CLÍNICA</t>
  </si>
  <si>
    <t>VISITA A SALA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</si>
  <si>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</si>
  <si>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</si>
  <si>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</si>
  <si>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</si>
  <si>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</si>
  <si>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</si>
  <si>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</si>
  <si>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</si>
  <si>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PRÓTESIS FIJA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</si>
  <si>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</si>
  <si>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</si>
  <si>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</si>
  <si>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</si>
  <si>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</si>
  <si>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</si>
  <si>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</si>
  <si>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</si>
  <si>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</si>
  <si>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</si>
  <si>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</si>
  <si>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</si>
  <si>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</si>
  <si>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</si>
  <si>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</si>
  <si>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</si>
  <si>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</si>
  <si>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</si>
  <si>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</si>
  <si>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</si>
  <si>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</si>
  <si>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EXODONCIA</t>
  </si>
  <si>
    <t>ACTIVIDAD INTERCEPTIVA DE ANOMALÍAS DENTO MAXILARES (OPI)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</si>
  <si>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</si>
  <si>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</si>
  <si>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</si>
  <si>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</si>
  <si>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</si>
  <si>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</si>
  <si>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</si>
  <si>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</si>
  <si>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</si>
  <si>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</si>
  <si>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</si>
  <si>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</si>
  <si>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</si>
  <si>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</si>
  <si>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</si>
  <si>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</si>
  <si>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</si>
  <si>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</si>
  <si>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</si>
  <si>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</si>
  <si>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</si>
  <si>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</si>
  <si>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</si>
  <si>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</si>
  <si>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</si>
  <si>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</si>
  <si>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</si>
  <si>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</si>
  <si>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</si>
  <si>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</si>
  <si>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</si>
  <si>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</si>
  <si>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</si>
  <si>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</si>
  <si>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</si>
  <si>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</si>
  <si>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</si>
  <si>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</si>
  <si>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</si>
  <si>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</si>
  <si>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</si>
  <si>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</si>
  <si>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</si>
  <si>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</si>
  <si>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</si>
  <si>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</si>
  <si>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</si>
  <si>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</si>
  <si>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</si>
  <si>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SEXOS</t>
  </si>
  <si>
    <t>55-59</t>
  </si>
  <si>
    <t xml:space="preserve">45-49 </t>
  </si>
  <si>
    <t>35-39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</si>
  <si>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</si>
  <si>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</si>
  <si>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</si>
  <si>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</si>
  <si>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</si>
  <si>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</si>
  <si>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</si>
  <si>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</si>
  <si>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</si>
  <si>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</si>
  <si>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</si>
  <si>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</si>
  <si>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</si>
  <si>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</si>
  <si>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</si>
  <si>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</si>
  <si>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</si>
  <si>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CONSEJERÍAS POST TEST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</si>
  <si>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</si>
  <si>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</si>
  <si>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</si>
  <si>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</si>
  <si>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</si>
  <si>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</si>
  <si>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</si>
  <si>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DESARROLLO INFANTIL INTEGRAL</t>
  </si>
  <si>
    <t>MATRONA /ÓN POST TEST</t>
  </si>
  <si>
    <t>CONSUMO DE DROGAS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</si>
  <si>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</si>
  <si>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</si>
  <si>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</si>
  <si>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</si>
  <si>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</si>
  <si>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</si>
  <si>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LACTANCIA MATERNA EXCLUSIVA</t>
  </si>
  <si>
    <t>TIPO DE ALIMENTACIÓN</t>
  </si>
  <si>
    <t xml:space="preserve">EGRESADOS CON LACTANCIA MATERNA EXCLUSIVA </t>
  </si>
  <si>
    <t>TOTAL DE EGRESOS</t>
  </si>
  <si>
    <t>MUJER</t>
  </si>
  <si>
    <t>EDAD (en años)</t>
  </si>
  <si>
    <t>NACIDOS VIVOS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</si>
  <si>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</si>
  <si>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</si>
  <si>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</si>
  <si>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</si>
  <si>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</si>
  <si>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</si>
  <si>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</si>
  <si>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</si>
  <si>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</si>
  <si>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</si>
  <si>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</si>
  <si>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</si>
  <si>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</si>
  <si>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</si>
  <si>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</si>
  <si>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</si>
  <si>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</si>
  <si>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</si>
  <si>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</si>
  <si>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</si>
  <si>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</si>
  <si>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</si>
  <si>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</si>
  <si>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</si>
  <si>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</si>
  <si>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</si>
  <si>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</si>
  <si>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EMBARAZO NO CONTROLADO</t>
  </si>
  <si>
    <t>ABORTOS</t>
  </si>
  <si>
    <t>CESÁREA URGENCIA</t>
  </si>
  <si>
    <t>CESÁREA ELECTIVA</t>
  </si>
  <si>
    <t>TOTAL PARTOS</t>
  </si>
  <si>
    <t>Lactancia materna en los primeros  60 minutos de vida  (RN con peso de 2.500 grs. o más)</t>
  </si>
  <si>
    <t>Local</t>
  </si>
  <si>
    <t>General</t>
  </si>
  <si>
    <t>Partos prematuros de 33 a 36 semanas</t>
  </si>
  <si>
    <t>Partos prematuros de 29 a 32 semanas</t>
  </si>
  <si>
    <t>Partos prematuros de 24 a 28 semanas</t>
  </si>
  <si>
    <t>Partos prematuros menos de 24 semanas</t>
  </si>
  <si>
    <t>AUDÍFONOS (Entregados)</t>
  </si>
  <si>
    <t>LENTES (Entregados)</t>
  </si>
  <si>
    <t>&lt; 65 Años</t>
  </si>
  <si>
    <t>SECCIÓN D: ENTREGA DE AYUDAS TÉCNICAS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</si>
  <si>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</si>
  <si>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</si>
  <si>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</si>
  <si>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</si>
  <si>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</si>
  <si>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</si>
  <si>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</si>
  <si>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</si>
  <si>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</si>
  <si>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</si>
  <si>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</si>
  <si>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</si>
  <si>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</si>
  <si>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</si>
  <si>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</si>
  <si>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</si>
  <si>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</si>
  <si>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</si>
  <si>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</si>
  <si>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</si>
  <si>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</si>
  <si>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</si>
  <si>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</si>
  <si>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</si>
  <si>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</si>
  <si>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</si>
  <si>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</si>
  <si>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</si>
  <si>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CONTROLES DE GLAUCOMA UAPO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</si>
  <si>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</si>
  <si>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</si>
  <si>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</si>
  <si>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</si>
  <si>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</si>
  <si>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</si>
  <si>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</si>
  <si>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>CONSULTAS OTROS PROFESIONALES</t>
  </si>
  <si>
    <t>OTORRINOLARINGOLOGÍA/UAPORRINO</t>
  </si>
  <si>
    <t>CONSULTAS MÉDICAS DE ESPECIALIDADES</t>
  </si>
  <si>
    <t>SECCIÓN A: PROGRAMA DE RESOLUTIVIDAD ATENCIÓN PRIMARIA DE SALUD</t>
  </si>
  <si>
    <t>REM-29.  PROGRAMA DE IMÁGENES DIAGNÓSTICAS Y/O RESOLUTIVIDAD EN ATENCIÓN PRIMARIA</t>
  </si>
  <si>
    <t>Niños/as con alteración de área Lenguaje y/o Social en Control de los 18 meses</t>
  </si>
  <si>
    <t>Niños/as con Control a los 18 meses</t>
  </si>
  <si>
    <t>ESCALA DE  RIESGO PSICOSOCIAL EN CONTROL DE SALUD INFANTIL</t>
  </si>
  <si>
    <t>Ambos sexos</t>
  </si>
  <si>
    <t>Derivado a Salud Mental 5 a 9 años</t>
  </si>
  <si>
    <t>Derivadas a equipos de cabecera</t>
  </si>
  <si>
    <t>Riesgo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</si>
  <si>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</si>
  <si>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</si>
  <si>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</si>
  <si>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</si>
  <si>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</si>
  <si>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</si>
  <si>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</si>
  <si>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</si>
  <si>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</si>
  <si>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</si>
  <si>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 xml:space="preserve">PAUTA CERO </t>
  </si>
  <si>
    <t>SECCIÓN D.7: APLICACIÓN Y RESULTADOS DE PAUTA DE EVALUACIÓN CON ENFOQUE DE RIESGO ODONTOLÓGICO (CERO)</t>
  </si>
  <si>
    <t>TOTAL CUIDADORES EVALUADOS</t>
  </si>
  <si>
    <t>ESCALA DE SOBRECARGA DEL CUIDADOR "ZARIT ABREVIADO"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</si>
  <si>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</si>
  <si>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</si>
  <si>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</si>
  <si>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</si>
  <si>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</si>
  <si>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</si>
  <si>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</si>
  <si>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</si>
  <si>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</si>
  <si>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</si>
  <si>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</si>
  <si>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</si>
  <si>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</si>
  <si>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</si>
  <si>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</si>
  <si>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</si>
  <si>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</si>
  <si>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</si>
  <si>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</si>
  <si>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</si>
  <si>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</si>
  <si>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</si>
  <si>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</si>
  <si>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</si>
  <si>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</si>
  <si>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</si>
  <si>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</si>
  <si>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</si>
  <si>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</si>
  <si>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</si>
  <si>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</si>
  <si>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</si>
  <si>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</si>
  <si>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</si>
  <si>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</si>
  <si>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</si>
  <si>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</si>
  <si>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</si>
  <si>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</si>
  <si>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</si>
  <si>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</si>
  <si>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</si>
  <si>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</si>
  <si>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</si>
  <si>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</si>
  <si>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</si>
  <si>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</si>
  <si>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</si>
  <si>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</si>
  <si>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</si>
  <si>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</si>
  <si>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</si>
  <si>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</si>
  <si>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</si>
  <si>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</si>
  <si>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</si>
  <si>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</si>
  <si>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</si>
  <si>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</si>
  <si>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</si>
  <si>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</si>
  <si>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</si>
  <si>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</si>
  <si>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</si>
  <si>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</si>
  <si>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</si>
  <si>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</si>
  <si>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</si>
  <si>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</si>
  <si>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</si>
  <si>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</si>
  <si>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</si>
  <si>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</si>
  <si>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</si>
  <si>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</si>
  <si>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</si>
  <si>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</si>
  <si>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</si>
  <si>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</si>
  <si>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</si>
  <si>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</si>
  <si>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</si>
  <si>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</si>
  <si>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</si>
  <si>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FORMULA LÁCTEA</t>
  </si>
  <si>
    <t>LACTANCIA MATERNA / FORMULA LÁCTEA</t>
  </si>
  <si>
    <t>Del 24° mes</t>
  </si>
  <si>
    <t>Del 12° mes</t>
  </si>
  <si>
    <t>Del 6° mes</t>
  </si>
  <si>
    <t>Del 3° mes</t>
  </si>
  <si>
    <t>Del 1° mes</t>
  </si>
  <si>
    <t>SEGÚN CONTROL PROGRAMÁTICO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</si>
  <si>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</si>
  <si>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</si>
  <si>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</si>
  <si>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</si>
  <si>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</si>
  <si>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</si>
  <si>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</si>
  <si>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</si>
  <si>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</si>
  <si>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</si>
  <si>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</si>
  <si>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</si>
  <si>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</si>
  <si>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</si>
  <si>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</si>
  <si>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</si>
  <si>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</si>
  <si>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</si>
  <si>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</si>
  <si>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</si>
  <si>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</si>
  <si>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</si>
  <si>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</si>
  <si>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</si>
  <si>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</si>
  <si>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</si>
  <si>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</si>
  <si>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</si>
  <si>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</si>
  <si>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TÉCNICO REHABILITACIÓN ALCOHOL Y DROGAS</t>
  </si>
  <si>
    <t>GESTOR COMUNITARIO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</si>
  <si>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</si>
  <si>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</si>
  <si>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</si>
  <si>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</si>
  <si>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</si>
  <si>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</si>
  <si>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</si>
  <si>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</si>
  <si>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</si>
  <si>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</si>
  <si>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</si>
  <si>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</si>
  <si>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</si>
  <si>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</si>
  <si>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3 PROFESIONALES</t>
  </si>
  <si>
    <t>2 PROFESIONALES</t>
  </si>
  <si>
    <t>1 PROFESIONAL</t>
  </si>
  <si>
    <t>N° CONFIRMACIONES DIAGNÓSTICAS</t>
  </si>
  <si>
    <t>REALIZADA POR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</si>
  <si>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</si>
  <si>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</si>
  <si>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</si>
  <si>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</si>
  <si>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</si>
  <si>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</si>
  <si>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</si>
  <si>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</si>
  <si>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</si>
  <si>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</si>
  <si>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</si>
  <si>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</si>
  <si>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</si>
  <si>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</si>
  <si>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</si>
  <si>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</si>
  <si>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</si>
  <si>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</si>
  <si>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</si>
  <si>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</si>
  <si>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</si>
  <si>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</si>
  <si>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</si>
  <si>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</si>
  <si>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</si>
  <si>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</si>
  <si>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</si>
  <si>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</si>
  <si>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</si>
  <si>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</si>
  <si>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</si>
  <si>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</si>
  <si>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</si>
  <si>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</si>
  <si>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</si>
  <si>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</si>
  <si>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</si>
  <si>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</si>
  <si>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</si>
  <si>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</si>
  <si>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</si>
  <si>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</si>
  <si>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</si>
  <si>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</si>
  <si>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</si>
  <si>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</si>
  <si>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</si>
  <si>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</si>
  <si>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</si>
  <si>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</si>
  <si>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</si>
  <si>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profesionales</t>
  </si>
  <si>
    <t>Médico Psiquiatría más dos Profesionales</t>
  </si>
  <si>
    <t>Médico Psiquiatría más un profesional</t>
  </si>
  <si>
    <t>PARTICIPANTES</t>
  </si>
  <si>
    <t>TOTAL Nº DE CASOS REVISADOS</t>
  </si>
  <si>
    <t>SECCIÓN A.3: CONSULTORÍAS DE SALUD MENTAL OTORGADA POR EL NIVEL DE ESPECIALIDAD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</si>
  <si>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</si>
  <si>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</si>
  <si>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</si>
  <si>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</si>
  <si>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</si>
  <si>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</si>
  <si>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</si>
  <si>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</si>
  <si>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</si>
  <si>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</si>
  <si>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</si>
  <si>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</si>
  <si>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</si>
  <si>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</si>
  <si>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</si>
  <si>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</si>
  <si>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</si>
  <si>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</si>
  <si>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</si>
  <si>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</si>
  <si>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</si>
  <si>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</si>
  <si>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</si>
  <si>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</si>
  <si>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</si>
  <si>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</si>
  <si>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</si>
  <si>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</si>
  <si>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</si>
  <si>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</si>
  <si>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</si>
  <si>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</si>
  <si>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</si>
  <si>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</si>
  <si>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</si>
  <si>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</si>
  <si>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</si>
  <si>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</si>
  <si>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</si>
  <si>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</si>
  <si>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</si>
  <si>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</si>
  <si>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TRABAJADOR SOCIAL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</si>
  <si>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</si>
  <si>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</si>
  <si>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</si>
  <si>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</si>
  <si>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</si>
  <si>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</si>
  <si>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</si>
  <si>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</si>
  <si>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</si>
  <si>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</si>
  <si>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</si>
  <si>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</si>
  <si>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</si>
  <si>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RECURSO DISPONIBLE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</si>
  <si>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</si>
  <si>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</si>
  <si>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</si>
  <si>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</si>
  <si>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</si>
  <si>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</si>
  <si>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</si>
  <si>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</si>
  <si>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</si>
  <si>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</si>
  <si>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</si>
  <si>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</si>
  <si>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</si>
  <si>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</si>
  <si>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</si>
  <si>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</si>
  <si>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</si>
  <si>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</si>
  <si>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</si>
  <si>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</si>
  <si>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</si>
  <si>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ACCIONES TELEFÓNICAS REALIZADAS (LLAMADAS O MENSAJERÍA)</t>
  </si>
  <si>
    <t>NÚMERO DE ACCIONES DE ACOMPAÑAMIENTO TELEFÓNICO</t>
  </si>
  <si>
    <t>TOTAL ACCIONES</t>
  </si>
  <si>
    <t>GRUPOS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</si>
  <si>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</si>
  <si>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</si>
  <si>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</si>
  <si>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</si>
  <si>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</si>
  <si>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Compra de servicio (*)</t>
  </si>
  <si>
    <t>Desde el establecimiento</t>
  </si>
  <si>
    <t>Otro</t>
  </si>
  <si>
    <t>Administrativo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</si>
  <si>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</si>
  <si>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</si>
  <si>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</si>
  <si>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</si>
  <si>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</si>
  <si>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</si>
  <si>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</si>
  <si>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</si>
  <si>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</si>
  <si>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</si>
  <si>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</si>
  <si>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CONCEPTOS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</si>
  <si>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</si>
  <si>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</si>
  <si>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</si>
  <si>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</si>
  <si>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</si>
  <si>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</si>
  <si>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</si>
  <si>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</si>
  <si>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</si>
  <si>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</si>
  <si>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</si>
  <si>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</si>
  <si>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</si>
  <si>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</si>
  <si>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</si>
  <si>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</si>
  <si>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</si>
  <si>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</si>
  <si>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</si>
  <si>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</si>
  <si>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</si>
  <si>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</si>
  <si>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</si>
  <si>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</si>
  <si>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</si>
  <si>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</si>
  <si>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</si>
  <si>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</si>
  <si>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</si>
  <si>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</si>
  <si>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</si>
  <si>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</si>
  <si>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</si>
  <si>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</si>
  <si>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</si>
  <si>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</si>
  <si>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</si>
  <si>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</si>
  <si>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</si>
  <si>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</si>
  <si>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</si>
  <si>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</si>
  <si>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</si>
  <si>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</si>
  <si>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</si>
  <si>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</si>
  <si>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</si>
  <si>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</si>
  <si>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</si>
  <si>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ECOGRAFÍA GINECO-OBSTÉTRICA</t>
  </si>
  <si>
    <t>TROMBOLISIS INTRACORONARIA (IAM)</t>
  </si>
  <si>
    <t>TROMBOLISIS DE URGENCIA INFARTO CEREBRAL (ACV)</t>
  </si>
  <si>
    <t>ECOCARDIOGRAMA</t>
  </si>
  <si>
    <t>ESTABLECIMIENTOS DE NIVEL SECUNDARIO Y TERCIARIO</t>
  </si>
  <si>
    <t>TELEPROCEDIMIENTOS</t>
  </si>
  <si>
    <t>SECCIÓN E: TELEPROCEDIMIENTOS EN ATENCIÓN SECUNDARIA Y TERCIARIA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</si>
  <si>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</si>
  <si>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</si>
  <si>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</si>
  <si>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</si>
  <si>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</si>
  <si>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</si>
  <si>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</si>
  <si>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</si>
  <si>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</si>
  <si>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</si>
  <si>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</si>
  <si>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</si>
  <si>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</si>
  <si>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</si>
  <si>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</si>
  <si>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</si>
  <si>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</si>
  <si>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</si>
  <si>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</si>
  <si>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ESPECIALIDADES  </t>
  </si>
  <si>
    <t>REM-30: ATENCIONES POR TELEMEDICINA EN LA RED ASISTENCIAL</t>
  </si>
  <si>
    <t xml:space="preserve">RESULTADOS DE LA REEVALUACIÓN POST EGRESO </t>
  </si>
  <si>
    <t>Con profilaxis Hepatitis B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</si>
  <si>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</si>
  <si>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</si>
  <si>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</si>
  <si>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</si>
  <si>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</si>
  <si>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</si>
  <si>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</si>
  <si>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</si>
  <si>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</si>
  <si>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</si>
  <si>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</si>
  <si>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</si>
  <si>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</si>
  <si>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</si>
  <si>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</si>
  <si>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</si>
  <si>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</si>
  <si>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</si>
  <si>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</si>
  <si>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</si>
  <si>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</si>
  <si>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</si>
  <si>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</si>
  <si>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</si>
  <si>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</si>
  <si>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</si>
  <si>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</si>
  <si>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</si>
  <si>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</si>
  <si>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</si>
  <si>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</si>
  <si>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</si>
  <si>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</si>
  <si>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A.4: EXAMEN RPR POR GRUPO DE USUARIOS (Uso exclusivo de establecimientos que Compran Servicio)</t>
  </si>
  <si>
    <t xml:space="preserve">                   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</si>
  <si>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</si>
  <si>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</si>
  <si>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</si>
  <si>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</si>
  <si>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</si>
  <si>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</si>
  <si>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</si>
  <si>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</si>
  <si>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</si>
  <si>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</si>
  <si>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</si>
  <si>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</si>
  <si>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</si>
  <si>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</si>
  <si>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</si>
  <si>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</si>
  <si>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</si>
  <si>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</si>
  <si>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</si>
  <si>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</si>
  <si>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</si>
  <si>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</si>
  <si>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</si>
  <si>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</si>
  <si>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</si>
  <si>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</si>
  <si>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</si>
  <si>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</si>
  <si>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</si>
  <si>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</si>
  <si>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</si>
  <si>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</si>
  <si>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</si>
  <si>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</si>
  <si>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</si>
  <si>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</si>
  <si>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</si>
  <si>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</si>
  <si>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</si>
  <si>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</si>
  <si>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</si>
  <si>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</si>
  <si>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</si>
  <si>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</si>
  <si>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</si>
  <si>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</si>
  <si>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</si>
  <si>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</si>
  <si>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</si>
  <si>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</si>
  <si>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</si>
  <si>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</si>
  <si>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</si>
  <si>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</si>
  <si>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</si>
  <si>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</si>
  <si>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</si>
  <si>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</si>
  <si>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</si>
  <si>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</si>
  <si>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</si>
  <si>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</si>
  <si>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</si>
  <si>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</si>
  <si>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</si>
  <si>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</si>
  <si>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</si>
  <si>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</si>
  <si>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</si>
  <si>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</si>
  <si>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</si>
  <si>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</si>
  <si>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</si>
  <si>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</si>
  <si>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</si>
  <si>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</si>
  <si>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</si>
  <si>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</si>
  <si>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</si>
  <si>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</si>
  <si>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</si>
  <si>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</si>
  <si>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</si>
  <si>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</si>
  <si>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</si>
  <si>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</si>
  <si>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</si>
  <si>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</si>
  <si>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</si>
  <si>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</si>
  <si>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</si>
  <si>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</si>
  <si>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</si>
  <si>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</si>
  <si>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</si>
  <si>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</si>
  <si>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</si>
  <si>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</si>
  <si>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</si>
  <si>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</si>
  <si>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</si>
  <si>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</si>
  <si>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</si>
  <si>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</si>
  <si>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</si>
  <si>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REM-23.   SALAS: IRA, ERA Y MIXTAS EN APS</t>
  </si>
  <si>
    <t>DIAGNÓSTICOS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</si>
  <si>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</si>
  <si>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</si>
  <si>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</si>
  <si>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</si>
  <si>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</si>
  <si>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</si>
  <si>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</si>
  <si>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</si>
  <si>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</si>
  <si>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</si>
  <si>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</si>
  <si>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</si>
  <si>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</si>
  <si>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</si>
  <si>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</si>
  <si>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</si>
  <si>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</si>
  <si>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</si>
  <si>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</si>
  <si>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</si>
  <si>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</si>
  <si>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</si>
  <si>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</si>
  <si>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</si>
  <si>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</si>
  <si>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</si>
  <si>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</si>
  <si>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</si>
  <si>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</si>
  <si>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</si>
  <si>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</si>
  <si>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</si>
  <si>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</si>
  <si>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PROGRAMAS</t>
  </si>
  <si>
    <t>SÍNDROME BRONQUIAL OBSTRUCTIVA RECURRENTE (SBOR)</t>
  </si>
  <si>
    <t>OXÍGENO DEPENDIENTE</t>
  </si>
  <si>
    <t>SECCIÓN G: INASISTENTES A CONTROL DE CRÓNICOS</t>
  </si>
  <si>
    <t>S.B.O. RECURRENTE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</si>
  <si>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</si>
  <si>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</si>
  <si>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</si>
  <si>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</si>
  <si>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</si>
  <si>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</si>
  <si>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</si>
  <si>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</si>
  <si>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</si>
  <si>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DESTINO</t>
  </si>
  <si>
    <t>UNIDAD EMERGENCIA HOSPITALARIA</t>
  </si>
  <si>
    <t>SAPU, SUR O SAR</t>
  </si>
  <si>
    <t>CAE / CDT / CRS</t>
  </si>
  <si>
    <t>SAPU , SUR O SAR</t>
  </si>
  <si>
    <t>EXTRASISTEMA</t>
  </si>
  <si>
    <t>BRONQUITIS OBSTRUCTIVA</t>
  </si>
  <si>
    <t>REAGUDIZACIÓN DE SBOR</t>
  </si>
  <si>
    <t>REAGUDIZACIÓN DE ASMA</t>
  </si>
  <si>
    <t>REAGUDIZACIÓN DE EPOC</t>
  </si>
  <si>
    <t>ANTITABACO</t>
  </si>
  <si>
    <t>USO DE TERAPIA INHALATORIA</t>
  </si>
  <si>
    <t xml:space="preserve">EDUCACION INTEGRAL EN SALUD RESPIRATORIA </t>
  </si>
  <si>
    <t>ESTILO DE VIDA SALUDABLES</t>
  </si>
  <si>
    <t>PACIENTES, PADRES O CUIDADORES</t>
  </si>
  <si>
    <t>SALAS CUNAS Y JARDINES INFANTILES</t>
  </si>
  <si>
    <t>INTERSECTOR</t>
  </si>
  <si>
    <t>REHABILITACION PULMONAR</t>
  </si>
  <si>
    <t>HOGAR LIBRE DEL HUMO DEL TABACO</t>
  </si>
  <si>
    <t>POR MUERTE DE NEUMONÍA EN DOMICILIO</t>
  </si>
  <si>
    <t>PROGRAMA OXIGENOTERAPIA AMBULATORIA, AVNI, AVI, AVNIA, AVIA</t>
  </si>
  <si>
    <t>OTRAS VISITAS</t>
  </si>
  <si>
    <t>CG5:CN157</t>
  </si>
  <si>
    <t>REM-25.  SERVICIOS DE SANGRE</t>
  </si>
  <si>
    <t>SECCIÓN A.1: POBLACIÓN DONANTE (CS-UMT-BS)</t>
  </si>
  <si>
    <t>DESCRIPCIÓN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</si>
  <si>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</si>
  <si>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</si>
  <si>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</si>
  <si>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</si>
  <si>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</si>
  <si>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</si>
  <si>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</si>
  <si>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</si>
  <si>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A.3: REACCIONES ADVERSAS A LA DONACIÓN (CS - UMT - BS)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</si>
  <si>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</si>
  <si>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</si>
  <si>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</si>
  <si>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</si>
  <si>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</si>
  <si>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</si>
  <si>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</si>
  <si>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</si>
  <si>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</si>
  <si>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</si>
  <si>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</si>
  <si>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</si>
  <si>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</si>
  <si>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</si>
  <si>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</si>
  <si>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</si>
  <si>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</si>
  <si>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</si>
  <si>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</si>
  <si>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</si>
  <si>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</si>
  <si>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</si>
  <si>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</si>
  <si>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</si>
  <si>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</si>
  <si>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</si>
  <si>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</si>
  <si>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</si>
  <si>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</si>
  <si>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</si>
  <si>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</si>
  <si>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</si>
  <si>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</si>
  <si>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</si>
  <si>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POOL*</t>
  </si>
  <si>
    <t>SECCIÓN C.4: COMPONENTES SANGUÍNEOS DISTRIBUÍBLES (CS)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</si>
  <si>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</si>
  <si>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</si>
  <si>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</si>
  <si>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</si>
  <si>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</si>
  <si>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</si>
  <si>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</si>
  <si>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</si>
  <si>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</si>
  <si>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</si>
  <si>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</si>
  <si>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</si>
  <si>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</si>
  <si>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</si>
  <si>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</si>
  <si>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</si>
  <si>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</si>
  <si>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</si>
  <si>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>Irradiados</t>
  </si>
  <si>
    <t>SECCIÓN E: DEMANDA GLÓBULOS ROJOS PARA TRANSFUSIÓN (UMT-BS)</t>
  </si>
  <si>
    <t>UNIDADES</t>
  </si>
  <si>
    <t>DESPACHADAS</t>
  </si>
  <si>
    <t xml:space="preserve"> REM-A9. ATENCIÓN DE SALUD BUCAL EN LA RED ASISTENCIAL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</si>
  <si>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</si>
  <si>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</si>
  <si>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</si>
  <si>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</si>
  <si>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PACIENTES QUE RECHAZAN HOSPITALIZACIÓN </t>
  </si>
  <si>
    <t>TERCERA O MÁS VISITAS DE SEGUIMIENTO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</si>
  <si>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</si>
  <si>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</si>
  <si>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</si>
  <si>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</si>
  <si>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</si>
  <si>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</si>
  <si>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</si>
  <si>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</si>
  <si>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</si>
  <si>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</si>
  <si>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</si>
  <si>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SECCIÓN F: CONTROLES INTEGRALES DE PERSONAS CON CONDICIONES CRÓNICAS (incluidos en Secciones B y C)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</si>
  <si>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</si>
  <si>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</si>
  <si>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</si>
  <si>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</si>
  <si>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</si>
  <si>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</si>
  <si>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</si>
  <si>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</si>
  <si>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</si>
  <si>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</si>
  <si>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</si>
  <si>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</si>
  <si>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</si>
  <si>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</si>
  <si>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</si>
  <si>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</si>
  <si>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</si>
  <si>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</si>
  <si>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</si>
  <si>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</si>
  <si>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</si>
  <si>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</si>
  <si>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</si>
  <si>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</si>
  <si>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</si>
  <si>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</si>
  <si>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</si>
  <si>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</si>
  <si>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</si>
  <si>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</si>
  <si>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</si>
  <si>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</si>
  <si>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</si>
  <si>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</si>
  <si>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</si>
  <si>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</si>
  <si>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</si>
  <si>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</si>
  <si>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SEGUIMIENTO A DISTANCIA CON RIESGO MODEADO (G2)</t>
  </si>
  <si>
    <t>SEGUIMIENTO A DISTANCIA CON RIESGO LEVE (G1)</t>
  </si>
  <si>
    <t>CANASTA INTEGRAL OFTALMOLOGICA</t>
  </si>
  <si>
    <t>TIPOS DE CONSULTA</t>
  </si>
  <si>
    <t>Químico Farmacéutico</t>
  </si>
  <si>
    <t>HIPOTIROIDISMO</t>
  </si>
  <si>
    <t>DIABETES GESTACIONAL</t>
  </si>
  <si>
    <t>HIPERTENSIÓN CRONICA</t>
  </si>
  <si>
    <t xml:space="preserve">* El número de profesionales NO DEBE ser mayor al N de sesiones. </t>
  </si>
  <si>
    <t>N° DIENTES TRATADOS POR  ENDODONCISTA</t>
  </si>
  <si>
    <t>N° DIENTES TRATADOS POR ODONTOLOGO GRAL</t>
  </si>
  <si>
    <t>N° DE SEXTANTES POR PERIODONCISTA</t>
  </si>
  <si>
    <t>N° PRÓTESIS REALIZADAS POR REHABILITADORES ORALES</t>
  </si>
  <si>
    <t>N° PRÓTESIS REALIZADAS POR ODONTOLOGO GRAL</t>
  </si>
  <si>
    <t>N° DE ESTABLECIMIENTOS DE EDUCACIÓN CON PROGRAMA IMPLEMENTADO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</si>
  <si>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</si>
  <si>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</si>
  <si>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</si>
  <si>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</si>
  <si>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</si>
  <si>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8 años</t>
  </si>
  <si>
    <t>9 años</t>
  </si>
  <si>
    <t>75 y más años</t>
  </si>
  <si>
    <t>60-64 años</t>
  </si>
  <si>
    <t>65-74 años</t>
  </si>
  <si>
    <t>SECCIÓN B: ACTIVIDADES DE ODONTOLOGÍA GENERAL  REALIZADOS EN NIVEL PRIMARIO Y SECUNDARIO DE SALUD.</t>
  </si>
  <si>
    <t>SECCIÓN F.1:  ACTIVIDADES DE IMAGENOLOGÍA ORAL Y MAXILOFACIAL.</t>
  </si>
  <si>
    <t>DESTARTRAJE SUPRAGINGIVAL Y PULIDO CORONARIO</t>
  </si>
  <si>
    <t>ACCESO CAVITARIO</t>
  </si>
  <si>
    <t>TRATAMIENTO RESTAURADOR ATRAUMÁTICO (ART)</t>
  </si>
  <si>
    <t>RADIOGRAFÍA INTRAORAL MEDIANTE TÉCNICAS RETROALVEOLARES (POR PLACA)</t>
  </si>
  <si>
    <t>CONTROL DE ESPECIALIDAD POST ALTA</t>
  </si>
  <si>
    <t>RESPUESTA A INTERCONSULTA PERSONAS HOSPITALIZADOS</t>
  </si>
  <si>
    <t>RETRATAMIENTO DE ENDODONCIA</t>
  </si>
  <si>
    <t>PROCEDIMIENTO PULPAR (ODONTOPEDIATRÍA)</t>
  </si>
  <si>
    <t>REHABILITACIÓN MEDIANTE PRÓTESIS FIJA IMPLANTOASISTIDA</t>
  </si>
  <si>
    <t>REHABILITACIÓN MEDIANTE PRÓTESIS MUCO-  IMPLANTOASISTIDA</t>
  </si>
  <si>
    <t>TERAPIA FARMACOLÓGICA DE LESIONES DEL TERRITORIO ORAL Y MAXILOFACIAL</t>
  </si>
  <si>
    <t>TERAPIA NO FARMACOLÓGICA DE LESIONES DEL TERRITORIO ORAL Y MAXILOFACIAL</t>
  </si>
  <si>
    <t>ESTUDIO CLÍNICO LESIONES DEL TERRITORIO ORAL MAXILOFACIAL</t>
  </si>
  <si>
    <t>REHABILITACIÓN DE PRÓTESIS MAXILOFACIAL</t>
  </si>
  <si>
    <t>CANASTA INTEGRAL DE OTORRINOLARINGOLÓGICA</t>
  </si>
  <si>
    <t>NÚMERO DE ACCIONES POR RANGOS DE EDAD</t>
  </si>
  <si>
    <t>EN DOMICILIO</t>
  </si>
  <si>
    <t>EN CENTRO DE SALUD</t>
  </si>
  <si>
    <t>SEGUIMIENTO TELEFONICO</t>
  </si>
  <si>
    <t>EVALUACIÓN AL TERCER TRIMESTRE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</si>
  <si>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</si>
  <si>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</si>
  <si>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</si>
  <si>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</si>
  <si>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</si>
  <si>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REINGRESOS POR ABANDONO</t>
  </si>
  <si>
    <t>INGRESOS POR TRASLADO</t>
  </si>
  <si>
    <t>EGRESOS POR TRASLADO</t>
  </si>
  <si>
    <t>DIAGNÓSTICO</t>
  </si>
  <si>
    <t>ENCUESTAS REALIZADAS</t>
  </si>
  <si>
    <t>EPOC</t>
  </si>
  <si>
    <t>REEVALUACIÓN ANUAL</t>
  </si>
  <si>
    <t>SESIONES EDUCATIVAS</t>
  </si>
  <si>
    <t>SESIONES ACTIVIDAD FISICA</t>
  </si>
  <si>
    <t>ARTICULACION CONTINUIDAD CON INTERSECTOR</t>
  </si>
  <si>
    <t>PLANES DE ACTIVIDAD FISICA</t>
  </si>
  <si>
    <t>DISEÑO PLAN DE TRABAJO</t>
  </si>
  <si>
    <t>SEGUIMIENTO PRESENCIAL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</si>
  <si>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</si>
  <si>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</si>
  <si>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</si>
  <si>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</si>
  <si>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</si>
  <si>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</si>
  <si>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</si>
  <si>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</si>
  <si>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</si>
  <si>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 xml:space="preserve">OXIGENOTERAPIA AMBULATORIO CRÓNICO RESPIRATORIO ADULTO </t>
  </si>
  <si>
    <t xml:space="preserve">PERSONAS EMP/EMPAM </t>
  </si>
  <si>
    <t>ATENCIÓN OBSTÉTRICA POR LEY IVE</t>
  </si>
  <si>
    <t>SECCIÓN D : INTERCONSULTAS GENERADAS EN ESTABLECIMIENTOS DE APS</t>
  </si>
  <si>
    <t>TOTAL CONSULTORÍAS Y TELECONSULTORÍAS RECIBIDAS</t>
  </si>
  <si>
    <t>CONSULTORÍAS Y TELECONSULTORÍAS RECIBIDAS</t>
  </si>
  <si>
    <t>CONSULTORÍAS Y TELECONSULTORÍAS DE SALUD MENTAL INFANTO ADOLESCENTE</t>
  </si>
  <si>
    <t>CONSULTORÍAS Y TELECONSULTORÍAS DE SALUD MENTAL ADULTO</t>
  </si>
  <si>
    <t>TELECONSULTORÍAS DE SALUD MENTAL</t>
  </si>
  <si>
    <t>PRÓTESIS IMPLANTOASISTIDA</t>
  </si>
  <si>
    <t xml:space="preserve">CIRUGÍA BUCAL </t>
  </si>
  <si>
    <t>APARATOLOGÍA REMOVIBLE</t>
  </si>
  <si>
    <t>SOMATOPRÓTESIS</t>
  </si>
  <si>
    <t>SERVICIOS FARMACÉUTICOS REALIZADOS EN DOMICILIO</t>
  </si>
  <si>
    <t>SERVICIOS FARMACÉUTICOS REALIZADOS EN ESTABLECIMIENTOS DE SALUD</t>
  </si>
  <si>
    <t>65-69 años</t>
  </si>
  <si>
    <t>70-79 años</t>
  </si>
  <si>
    <t>TOTAL INTERVENCIÓNES QUIRÚRGICAS</t>
  </si>
  <si>
    <t>HORMONA FOLICULOESTIMULANTE EN SANGRE</t>
  </si>
  <si>
    <t>RIESGO (desde normal con rezago)</t>
  </si>
  <si>
    <t>RETRASO (desde riesgo)</t>
  </si>
  <si>
    <t>RETRASO (desde normal con rezago)</t>
  </si>
  <si>
    <t>SECCIÓN C1: EGRESOS DE PROGRAMA DE REGULACIÓN DE FERTILIDAD Y SALUD SEXUAL.</t>
  </si>
  <si>
    <t xml:space="preserve">POST PARTO </t>
  </si>
  <si>
    <t>POST ABORTO</t>
  </si>
  <si>
    <t xml:space="preserve">Momento y condiciones de de aplicación </t>
  </si>
  <si>
    <t xml:space="preserve">Ingreso </t>
  </si>
  <si>
    <t>MRS Control</t>
  </si>
  <si>
    <t>Control sin THM</t>
  </si>
  <si>
    <t>Control con THM</t>
  </si>
  <si>
    <t>SECCIÓN G: APLICACIÓN ESCALA MRS EN MUJERES EN EDAD DE CLIMATERIO</t>
  </si>
  <si>
    <t xml:space="preserve">
TOTAL DE APLICACIONES SEGÚN AREA DE AFECTACIÓN 
</t>
  </si>
  <si>
    <t xml:space="preserve">TOTAL APLICACIONES  </t>
  </si>
  <si>
    <t>TOTAL MRS ALTO</t>
  </si>
  <si>
    <t xml:space="preserve">AFECTACIÓN PREDOMINIO SOMÁTICO </t>
  </si>
  <si>
    <t>AFECTACIÓN PREDOMINIO PSICOLÓGICO</t>
  </si>
  <si>
    <t xml:space="preserve">AFECTACIÓN PREDOMINIO UROGENITAL </t>
  </si>
  <si>
    <t>VISITA GUIADA A LA MATERNIDAD</t>
  </si>
  <si>
    <t>Nivel Secundario</t>
  </si>
  <si>
    <t>Nivel Terciario</t>
  </si>
  <si>
    <t>TOTAL CONSULTORÍAS Y TELECONSULTORÍAS OTORGADAS</t>
  </si>
  <si>
    <t>CONSULTORÍAS Y TELECONSULTORÍAS OTORGADAS</t>
  </si>
  <si>
    <t>Participantes</t>
  </si>
  <si>
    <t>Médico psiquiatra</t>
  </si>
  <si>
    <t>Médico Psiquiatría con más de dos Profesionales</t>
  </si>
  <si>
    <t>Más de dos profesionales</t>
  </si>
  <si>
    <t>Gestantes con examen de Chagas solicitado</t>
  </si>
  <si>
    <t>Gestantes con examen de Chagas informado</t>
  </si>
  <si>
    <t>Gestantes con examen de Chagas confirmado</t>
  </si>
  <si>
    <t>Mujeres en Control Preconcepcional</t>
  </si>
  <si>
    <t xml:space="preserve"> CONDICIÓN</t>
  </si>
  <si>
    <t>Menos de 1 mes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</si>
  <si>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</si>
  <si>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</si>
  <si>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</si>
  <si>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</si>
  <si>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</si>
  <si>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</si>
  <si>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</si>
  <si>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</si>
  <si>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</si>
  <si>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</si>
  <si>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</si>
  <si>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</si>
  <si>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</si>
  <si>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</si>
  <si>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</si>
  <si>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 xml:space="preserve">menor 1 </t>
  </si>
  <si>
    <t>1-4</t>
  </si>
  <si>
    <t>5-9</t>
  </si>
  <si>
    <t>10-14</t>
  </si>
  <si>
    <t>65-69</t>
  </si>
  <si>
    <t>mayor 70</t>
  </si>
  <si>
    <t>Donantes confirmados con enfermedad de Chagas en el periodo</t>
  </si>
  <si>
    <t>Donantes confirmados e  informados de su condición serologica para enfermedad de Chagas</t>
  </si>
  <si>
    <t>Casos contactos familiares confirmados por Infección por T cruzi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</si>
  <si>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</si>
  <si>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</si>
  <si>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</si>
  <si>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</si>
  <si>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</si>
  <si>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</si>
  <si>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Control de las personas con Chagas crónico en Atencion Primaria de Salud</t>
  </si>
  <si>
    <t>Estudio de  contactos familiares de un caso por Infección por T cruzi</t>
  </si>
  <si>
    <t>TIPOS DE ATENCION</t>
  </si>
  <si>
    <t>Tecnico Paramedico</t>
  </si>
  <si>
    <t>CONSULTA DE URGENCIA NO GES</t>
  </si>
  <si>
    <t>1-4 años</t>
  </si>
  <si>
    <t>5-9 años</t>
  </si>
  <si>
    <t>55-59 años</t>
  </si>
  <si>
    <t>mayor 70 años</t>
  </si>
  <si>
    <t>mayor a 70 años</t>
  </si>
  <si>
    <t xml:space="preserve">GRUPO DE EDAD </t>
  </si>
  <si>
    <t>GRUPO DE EDAD Y SEXO</t>
  </si>
  <si>
    <t>GRUPO DE EDAD y SEXO</t>
  </si>
  <si>
    <t>PLASTÍA DE PUNTOS LAGRIMALES</t>
  </si>
  <si>
    <t>ABSCESO, VACIAMIENTO Y/O DRENAJE DE</t>
  </si>
  <si>
    <t>TRABECULOPLASTÍA O IRIDOPLASTÍA</t>
  </si>
  <si>
    <t>IRIDOTOMÍA</t>
  </si>
  <si>
    <t>INTUBACIÓN LAGRIMAL</t>
  </si>
  <si>
    <t>ABSCESO, TRAT. QUIR. PÁRPADO O CEJA</t>
  </si>
  <si>
    <t>BIOPSIA DE PÁRPADO Y/O ANEXOS (PROC. AUT.)</t>
  </si>
  <si>
    <t>BLEFARORRAFIA CON BLEFAROTOMÍA POSTERIOR</t>
  </si>
  <si>
    <t>CANTOPLASTÍA</t>
  </si>
  <si>
    <t xml:space="preserve">CHALAZIÓN Y OTROS TUMORES BENIGNOS  </t>
  </si>
  <si>
    <t>XANTELASMA, TRAT. QUIR.</t>
  </si>
  <si>
    <t>HERIDA O DEHISCENCIA DE SUTURA DE PÁRPADO, REPARACIÓN</t>
  </si>
  <si>
    <t>SUTURA DE HERIDA O DEHISCENCIA DE LA CONJUNTIVA</t>
  </si>
  <si>
    <t>PTERIGIÓN Y/O PSEUDOPTERIGIÓN O SU RECIDIVA, EXTIRPACIÓN</t>
  </si>
  <si>
    <t>CRIOTERAPIA Y RECESIÓN CONJUNTIVAL</t>
  </si>
  <si>
    <t>EXTRACCIÓN QUIR. DE CUERPO EXTRAÑO EN CORNEA Y/O ESCLERA</t>
  </si>
  <si>
    <t>EXTIRPACIÓN DE TUMOR BENIGNO DE LA CONJUNTIVA</t>
  </si>
  <si>
    <t>SECCION A: TRATAMIENTO DE SIFILIS EN GESTANTES</t>
  </si>
  <si>
    <t>TRATAMIENTO DE SIFILIS EN GESTANTES EN ATENCIÓN PRIMARIA</t>
  </si>
  <si>
    <t>TRATAMIENTO DE  SIFILIS EN GESTANTES EN ESPECIALIDADES</t>
  </si>
  <si>
    <t>TRATAMIENTO SIFILIS EN GESTANTES AL MOMENTO DEL PARTO</t>
  </si>
  <si>
    <t>SECCIÓN B: NIÑOS Y NIÑAS EXPUESTOS A LA SIFILIS TRATADOS AL NACER</t>
  </si>
  <si>
    <t>SECCIÓN C: ABORTOS Y DEFUNCIONES FETALES ATRIBUIDAS A SIFILIS SEGÚN EDAD GESTACIONAL</t>
  </si>
  <si>
    <t>SECCION D: APLICACIÓN DE PROFILAXIS OCULAR PARA GONORREA EN RECIEN NACIDOS</t>
  </si>
  <si>
    <t xml:space="preserve">Recién nacidos vivos 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</si>
  <si>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</si>
  <si>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</si>
  <si>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</si>
  <si>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</si>
  <si>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ATENCIÓN PRIMARIA</t>
  </si>
  <si>
    <t>GESTANTES EVALUADAS PARA HEPATITIS B EN ESPECIALIDADES</t>
  </si>
  <si>
    <t>GESTANTES EVALUADAS PARA HEPATITIS B EN PARTOS</t>
  </si>
  <si>
    <t>Recién nacidos hijos de madre Hepatitis B positiva, nacidos en el periodo</t>
  </si>
  <si>
    <t>Recién nacidos hijos de madre Hepatitis B positiva que recibieron profilaxis completa, según la normativa vigente</t>
  </si>
  <si>
    <t>Niños/as  hijos de madre Hepatitis B positiva evaluados al año de vida</t>
  </si>
  <si>
    <t>Niños/as  hijos de madre Hepatitis B positiva, evaluados al año de vida, confirmado positivo de transmisión vertical para Hepatitis B</t>
  </si>
  <si>
    <t xml:space="preserve">Gestantes con Hepatitis B positivo derivada con especialista (Gastroenterólogo, hepatólogo u otro) </t>
  </si>
  <si>
    <t xml:space="preserve">Gestantes con estudio serológico positivo confirmado para Hepatitis B </t>
  </si>
  <si>
    <t xml:space="preserve">Gestantes con solicitud de estudio serológico para Hepatitis B </t>
  </si>
  <si>
    <t>Gestantes con profilaxis para  EGB (+) al parto.</t>
  </si>
  <si>
    <t xml:space="preserve">Gestantes estudiadas en nivel hospitalario con examen EGB (+) </t>
  </si>
  <si>
    <t>Gestantes estudiadas para EGB en nivel hospitalario</t>
  </si>
  <si>
    <t xml:space="preserve">Gestantes estudiadas en Especialidades con examen EGB (+) </t>
  </si>
  <si>
    <t>Gestantes estudiadas para EGB en Especialidades</t>
  </si>
  <si>
    <t xml:space="preserve">Gestantes estudiadas en APS con examen EGB (+) </t>
  </si>
  <si>
    <t>Gestantes estudiadas para EGB en APS</t>
  </si>
  <si>
    <t>Recien nacidos vivos hijos de mujer con serología VIH (+) no confirmada por el ISP</t>
  </si>
  <si>
    <t>Recien nacidos vivos hijos de mujer con serología VIH (+) no confirmada por el ISP  que recibieron leche maternizada al alta (para ser consumida en su casa)</t>
  </si>
  <si>
    <t>Recién nacidos vivos hijos de mujer VIH (+) confirmada por ISP</t>
  </si>
  <si>
    <t>Recién nacidos vivos hijos de mujer VIH (+) confirmada por ISP que recibieron leche maternizada al alta (para ser consumida en su casa)</t>
  </si>
  <si>
    <t>Recién nacidos vivos hijos de mujer con serología VIH (+) no confirmada por ISP</t>
  </si>
  <si>
    <t xml:space="preserve">Recién nacidos vivos hijos de mujer con serología VIH (+) no confirmada por ISP que iniciaron profilaxis para VIH durante las primeras 12 hrs de vida </t>
  </si>
  <si>
    <t xml:space="preserve">Recién nacidos vivos hijos de mujer VIH (+) confirmada por ISP que iniciaron profilaxis para VIH durante las primeras 12 hrs de vida </t>
  </si>
  <si>
    <t>Recién Nacidos  vivos que reciben profilaxis ocular para gonorrea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</si>
  <si>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</si>
  <si>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</si>
  <si>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</si>
  <si>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</si>
  <si>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</si>
  <si>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 xml:space="preserve">Mujeres con serología reactiva para sífilis con aborto entre las 20 y las 21+6 semanas o mayor a 500 grs </t>
  </si>
  <si>
    <t xml:space="preserve">Mujeres con aborto menor o igual a 19+6 semanas o menor a 500 grs </t>
  </si>
  <si>
    <t xml:space="preserve">Mujeres con serología reactiva para sífilis con aborto menor o igual a 19+6 semanas o menor a 500 grs </t>
  </si>
  <si>
    <t>SECCIÓN E: MUJERES VIH QUE RECIBE PROTOCOLO PREVENCIÓN TRANSMISIÓN VERTICAL  AL PARTO (PTV)</t>
  </si>
  <si>
    <t xml:space="preserve">SECCION H: GESTANTES ESTUDIADAS PARA ESTREPTOCOCCUS GRUPO B (EGB) </t>
  </si>
  <si>
    <t>SECCION I: GESTANTES EVALUADAS PARA HEPATITIS B</t>
  </si>
  <si>
    <t>SECCION J: PROFILAXIS DE TRANSMISIÓN VERTICAL APLICADA AL RECIEN NACIDO, HIJO DE MADRE HEPATITIS B POSITIVA</t>
  </si>
  <si>
    <t>REM-A11a.  TRANSMISIÓN VERTICAL MATERNO INFANTIL</t>
  </si>
  <si>
    <t>SECCÓN G: RECIEN NACIDOS EXPUESTOS AL VIH QUE RECIBEN LECHE MATERNIZADA AL ALTA</t>
  </si>
  <si>
    <t>PROCEDIMIENTO PULPAR</t>
  </si>
  <si>
    <t xml:space="preserve">OBTURACIÓN DE VIDRIO IONÓMERO </t>
  </si>
  <si>
    <t>TRANS FEMENINO</t>
  </si>
  <si>
    <t>TRANS MASCULINO</t>
  </si>
  <si>
    <t>SECCIÓN F: RECIEN NACIDOS EXPUESTOS AL VIH QUE RECIBE PROTOCOLO DE TRANSMISION VERTICAL</t>
  </si>
  <si>
    <t xml:space="preserve">SECCIÓN D: EXÁMENES DE GONORREA POR GRUPOS DE USUARIOS 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</si>
  <si>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</si>
  <si>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</si>
  <si>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SECCIÓN G: SCREENING ENFERMEDAD DE CHAGAS PARA EMABARAZADAS, PUERPERAS Y MUJERES EN EDAD FÉRTIL</t>
  </si>
  <si>
    <t xml:space="preserve">SECCIÓN H: DIAGNÓSTICO TRANSMISIÓN VERTICAL MADRE HIJO/A CON ENFERMEDAD DE CHAGAS </t>
  </si>
  <si>
    <t>SECCION I: TRATAMIENTOS FAMACOLÓGICOS</t>
  </si>
  <si>
    <t>SECCION J: DONANTES CONFIRMADOS ENFEMERDAD DE CHAGAS</t>
  </si>
  <si>
    <t>SECCIÓN K: SEGUIMIENTO DE CASOS</t>
  </si>
  <si>
    <t>SECCION K: SEGUIMIENTO DE NIÑOS Y NIÑAS AL AÑO DE VIDA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</si>
  <si>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</si>
  <si>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</si>
  <si>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</si>
  <si>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</si>
  <si>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</si>
  <si>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TOMA DE MUESTRA SECRECIÓN MUCOSA/BRONQUIAL</t>
  </si>
  <si>
    <t>SEGUIMIENTO TELEFÓNICO REALIZADO POR KINESIOLOGO SALA</t>
  </si>
  <si>
    <t>Total de sesiones grupales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</si>
  <si>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</si>
  <si>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</si>
  <si>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</si>
  <si>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TIPO DE ESTRATEGIA</t>
  </si>
  <si>
    <t xml:space="preserve"> SEXO</t>
  </si>
  <si>
    <t>Hombres y Mujeres Mayor a Total</t>
  </si>
  <si>
    <t>NNA Sename Mayor a Total</t>
  </si>
  <si>
    <t>Otros Profesionales</t>
  </si>
  <si>
    <t>Medicina General</t>
  </si>
  <si>
    <t>ATENCIONES REMOTAS DE CONSULTAS TOTALES DE ESPECIALIDAD</t>
  </si>
  <si>
    <t>NO CONTESTA</t>
  </si>
  <si>
    <t>Consultorías resueltas vía remota</t>
  </si>
  <si>
    <t>CAE/CDT/CRS</t>
  </si>
  <si>
    <t>Medicina Interna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</si>
  <si>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</si>
  <si>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</si>
  <si>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</si>
  <si>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</si>
  <si>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</si>
  <si>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</si>
  <si>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Diabetología</t>
  </si>
  <si>
    <t>Psiquiatría</t>
  </si>
  <si>
    <t>Oftalmología</t>
  </si>
  <si>
    <t>Otorrinolaringología</t>
  </si>
  <si>
    <t>Obstetricia y Ginecología</t>
  </si>
  <si>
    <t>Traumatología</t>
  </si>
  <si>
    <t>Otras Especialidades Adulto</t>
  </si>
  <si>
    <t>CONTROLES DE ESPECIALIDAD RESUELTOS POR VISITAS DOMICILIARIAS</t>
  </si>
  <si>
    <t>Pediatría (incluye totalidad de producción pediatrica de subespecialidades)</t>
  </si>
  <si>
    <t>Atención Remota consulta abreviada PNM : entrega de los resultados de exámenes o procedimiento (Confección de recetas o lectura de exámenes)</t>
  </si>
  <si>
    <t>Embarazadas Mayor a Total</t>
  </si>
  <si>
    <t>60 Años Mayor al Grupo 20-64</t>
  </si>
  <si>
    <t>Discapacitados Mayor al Total</t>
  </si>
  <si>
    <t>Migrantes Mayor a Total</t>
  </si>
  <si>
    <t>Beneficiarios Mayor a Total</t>
  </si>
  <si>
    <t xml:space="preserve">ACTIVIDADES 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</si>
  <si>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</si>
  <si>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</si>
  <si>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</si>
  <si>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</si>
  <si>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</si>
  <si>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</si>
  <si>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</si>
  <si>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</si>
  <si>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</si>
  <si>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15-19 
años</t>
  </si>
  <si>
    <t>20-64 
años</t>
  </si>
  <si>
    <t>65 y 
más años</t>
  </si>
  <si>
    <t>Seguimiento Clínico Remoto de Pacientes</t>
  </si>
  <si>
    <t>Educación, Promoción Remota en Salud Bucal</t>
  </si>
  <si>
    <t>Pauta CERO Remota</t>
  </si>
  <si>
    <t>0-5 
años</t>
  </si>
  <si>
    <t>NÚMERO DE ACCIONES TELEFÓNICAS Y DE SEGUIMIENTO POR RANGOS DE EDAD</t>
  </si>
  <si>
    <t>Llamadas Telefónicas</t>
  </si>
  <si>
    <t>Video llamadas</t>
  </si>
  <si>
    <t>Mensajería de Texto</t>
  </si>
  <si>
    <t>NÚMERO DE CONTROLES DE SALUD MENTAL REMOTOS POR RANGOS DE EDAD</t>
  </si>
  <si>
    <t>Psicólogo/a</t>
  </si>
  <si>
    <t>Enfermera/o</t>
  </si>
  <si>
    <t>Matrona/on</t>
  </si>
  <si>
    <t>Gestor Comunitario</t>
  </si>
  <si>
    <t>Técnico Rehabilitación Alcohol y Drogas</t>
  </si>
  <si>
    <t>Llamadas telefónicas o Video llamadas</t>
  </si>
  <si>
    <t>Mensajes de texto</t>
  </si>
  <si>
    <t>GRUPAL</t>
  </si>
  <si>
    <t xml:space="preserve">Familiares/Cuidadores de los pacientes </t>
  </si>
  <si>
    <t>PROFESIONALES</t>
  </si>
  <si>
    <t>ACCIONES</t>
  </si>
  <si>
    <t>TOTAL USUARIOS</t>
  </si>
  <si>
    <t xml:space="preserve">GRUPOS DE EDAD (en meses - años) </t>
  </si>
  <si>
    <t>7 a 11 meses</t>
  </si>
  <si>
    <t>18 a 23 meses</t>
  </si>
  <si>
    <t>24 a 35 meses</t>
  </si>
  <si>
    <t>36 a 41 meses</t>
  </si>
  <si>
    <t>42 a 47 meses</t>
  </si>
  <si>
    <t>48 a 59 meses</t>
  </si>
  <si>
    <t>60 a 71 meses</t>
  </si>
  <si>
    <t>6 a 9 años 11 meses</t>
  </si>
  <si>
    <t>Médico/a</t>
  </si>
  <si>
    <t>Otro/a</t>
  </si>
  <si>
    <t>GRUPOS DE EDAD (en meses - años)</t>
  </si>
  <si>
    <t>Menor de 7 meses</t>
  </si>
  <si>
    <t>Video Llamadas</t>
  </si>
  <si>
    <t>Trabajador/a Social</t>
  </si>
  <si>
    <t>TIPO DE ACCION PARA GENERAR ATENCIONES</t>
  </si>
  <si>
    <t>NÚMERO DE ACCIONES DE ATENCIONES POR RANGOS DE EDAD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</si>
  <si>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</si>
  <si>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</si>
  <si>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</si>
  <si>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</si>
  <si>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</si>
  <si>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</si>
  <si>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</si>
  <si>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ÁREAS TEMÁTICAS DE PROMOCIÓN Y PREVENCIÓN</t>
  </si>
  <si>
    <t>MADRE, PADRE O CUIDADOR DE:</t>
  </si>
  <si>
    <t>Acompañante de gestante</t>
  </si>
  <si>
    <t>Menores de 12 meses</t>
  </si>
  <si>
    <t>Niños de 12 a 23 meses</t>
  </si>
  <si>
    <t>Niños de 5 a 9 años</t>
  </si>
  <si>
    <t>Nadie es Perfecto Remoto A</t>
  </si>
  <si>
    <t>Nadie es Perfecto Remoto B</t>
  </si>
  <si>
    <t>Nadie es Perfecto Seminario</t>
  </si>
  <si>
    <t>Nadie es perfecto PASMI</t>
  </si>
  <si>
    <t>Nº de Mensajes</t>
  </si>
  <si>
    <t>Nº de Participantes</t>
  </si>
  <si>
    <t>Madre, Padre o Cuidador de</t>
  </si>
  <si>
    <t>N° de Participantes de Edad</t>
  </si>
  <si>
    <t>Información de actividades físicas enviadas por teléfono</t>
  </si>
  <si>
    <t>Información de Nutrición enviada por teléfono</t>
  </si>
  <si>
    <t>Información por Psicologos enviada por teléfono</t>
  </si>
  <si>
    <t>N° de Archivos Multimedia</t>
  </si>
  <si>
    <t xml:space="preserve">Madres, Padre o Cuidador de </t>
  </si>
  <si>
    <t>N° de Archivos Multimedia por Edad</t>
  </si>
  <si>
    <t>Videos de Actividad Física subido a las Redes Sociales</t>
  </si>
  <si>
    <t>Videos de Vida Sana subido a las Redes Sociales</t>
  </si>
  <si>
    <t>Reingresos</t>
  </si>
  <si>
    <t>Número de participantes de Talleres de Lactancia Materna en Atención Primaria a Menores de un año</t>
  </si>
  <si>
    <t>Número de Talleres de Lactancia Materna realziada en Atención Primaria a menores de un año</t>
  </si>
  <si>
    <t>Número de Talleres de Lactancia Materna realizada en Maternidades</t>
  </si>
  <si>
    <t>Número de Participantes de Talleres de Lactancia Materna realizada en Maternidades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</si>
  <si>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</si>
  <si>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</si>
  <si>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</si>
  <si>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</si>
  <si>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</si>
  <si>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</si>
  <si>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</si>
  <si>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</si>
  <si>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</si>
  <si>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</si>
  <si>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</si>
  <si>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Total de talleres</t>
  </si>
  <si>
    <t>Total de sesiones</t>
  </si>
  <si>
    <t>Total de Padres, Madres o Cuidadores de 5 a 9 años</t>
  </si>
  <si>
    <t>Taller Nadie es Perfecto (PASMI)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</si>
  <si>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</si>
  <si>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</si>
  <si>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</si>
  <si>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</si>
  <si>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</si>
  <si>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</si>
  <si>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</si>
  <si>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Total de Organizaciones</t>
  </si>
  <si>
    <t>Servicios Locales con oferta programatica para personas mayores (total o parcial)</t>
  </si>
  <si>
    <t>Servicios locales con planes intersectoriales para el fomento del autocuidado y estimulación funcionaldel desarrollo junto al programa mas adultos mayores autovalentes</t>
  </si>
  <si>
    <t>N° Total de Servicios</t>
  </si>
  <si>
    <t>Organizaciones con lideres comunitarios capcitados por el programa más adultos mayores autovalentes</t>
  </si>
  <si>
    <t xml:space="preserve">Organizaciones ingresadas al programa de estimilación funcional del programa más adultos mayores autovalentes 
</t>
  </si>
  <si>
    <t>Inasistente</t>
  </si>
  <si>
    <t>REMA11-a</t>
  </si>
  <si>
    <t>REMA32</t>
  </si>
  <si>
    <t>2 a 4 años</t>
  </si>
  <si>
    <t xml:space="preserve">SECCIÓN A: CONSULTAS Y CONTROLES ODONTOLÓGICOS REALIZADOS EN APS. </t>
  </si>
  <si>
    <t>SECCIÓN C : INGRESOS Y EGRESOS EN APS</t>
  </si>
  <si>
    <t>Total Usuarios</t>
  </si>
  <si>
    <t>Plataforma Digital</t>
  </si>
  <si>
    <t>Seminario-Radio</t>
  </si>
  <si>
    <t>Video llamada grupal</t>
  </si>
  <si>
    <t>Telefónico</t>
  </si>
  <si>
    <t>Total Acciones</t>
  </si>
  <si>
    <t>Mensajería</t>
  </si>
  <si>
    <t>OTRA INSTITUCION (Delegado)</t>
  </si>
  <si>
    <t>Control</t>
  </si>
  <si>
    <t>CON INFORME DE SOSPECHA DE PATOLIGÍA MALIGNA</t>
  </si>
  <si>
    <t>60 años (incluidos en grupos de 20-64 años)</t>
  </si>
  <si>
    <t>60 años (incluido en grupos de 60-64 años)</t>
  </si>
  <si>
    <t>12 años (incluidos en  grupo de 10-14 años)</t>
  </si>
  <si>
    <t>60 años incluidos en grupos de  60-64 años)</t>
  </si>
  <si>
    <t>Compra de Servicios</t>
  </si>
  <si>
    <t>60 años (incluido en grupos de  60-64 años)</t>
  </si>
  <si>
    <t>60 años</t>
  </si>
  <si>
    <t>12 años (incluido en el grupo de 10-14 años)</t>
  </si>
  <si>
    <t>ORTODONCIA Y ORTOPEDIA DENTOMAXILOFACIAL</t>
  </si>
  <si>
    <r>
      <t xml:space="preserve">SECCIÓN A.1: EXAMEN VDRL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</si>
  <si>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SECCIÓN A.3: EXAMEN RPR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</si>
  <si>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SECCIÓN A.5: EXAMEN MHA-TP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</si>
  <si>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recibieron protocolo PTV completo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</si>
  <si>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recibieron protocolo PTV incompleto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</si>
  <si>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no recibieron protocolo PTV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</si>
  <si>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por ISP atendidas por parto 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</si>
  <si>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por ISP que recibieron protocolo PTV completo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</si>
  <si>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 por ISP que recibieron protocolo PTV incompleto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</si>
  <si>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 por ISP que No recibieron protocolo PTV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</si>
  <si>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por ISP atendidas por parto  </t>
    </r>
  </si>
  <si>
    <t>CONSULTA DE URGENCIA GES</t>
  </si>
  <si>
    <t>Usuarios con Discapacidad</t>
  </si>
  <si>
    <t xml:space="preserve">Usuarios con Discapacidad </t>
  </si>
  <si>
    <t>Consulta nueva de especialidad odontológica (Teleconsulta)</t>
  </si>
  <si>
    <t>Control de especialidad odontológica (Teleconsulta)</t>
  </si>
  <si>
    <t>12 años</t>
  </si>
  <si>
    <t>Resto &lt; 15 años</t>
  </si>
  <si>
    <t>20-64 
 años (excluye 60 años)</t>
  </si>
  <si>
    <t>No Contesta</t>
  </si>
  <si>
    <t>** * El resultado que se consigna es la comparacion del indice de Barthel aplicado al Egreso de la Hospitalización</t>
  </si>
  <si>
    <t>PROGRAMA ODONTOLOGICO INTEGRAL, ESTRATEGIA ESTUDIANTES DE ENSEÑANZA MEDIA</t>
  </si>
  <si>
    <t>ALTAS INTEGRALES ESTUDIANTES DE ENSEÑANZA MEDIA</t>
  </si>
  <si>
    <t>Gestantes que ingresan a maternidad sin examen de enfermedad de Chagas</t>
  </si>
  <si>
    <t>18-19 años</t>
  </si>
  <si>
    <t xml:space="preserve">TIPO DE CONSULTA </t>
  </si>
  <si>
    <t>RADIOGRAFÍA INTRAORAL MEDIANTE TÉCNICAS BITE WING (POR PLACA)</t>
  </si>
  <si>
    <t>REALIZADO POR</t>
  </si>
  <si>
    <t>Profesional No Médico</t>
  </si>
  <si>
    <t>Realizado en domicilio</t>
  </si>
  <si>
    <t>FAMILIA CON INTEGRANTE CON MULTIMORBILIDAD CRONICA (excluye dependencia severa)</t>
  </si>
  <si>
    <t>Dupla (Medico + Profesional no médico)</t>
  </si>
  <si>
    <t>SECCIÓN D: CONSULTAS EN HORARIO CONTINUADO (Incluidas en las consultas de morbilidad de sección A o B)</t>
  </si>
  <si>
    <t>SECCIÓN E: CONSULTA  ABREVIADA</t>
  </si>
  <si>
    <t>No cumple criterio de inclusión</t>
  </si>
  <si>
    <t>EMPAM</t>
  </si>
  <si>
    <t>N° DE ENTREVISTAS</t>
  </si>
  <si>
    <t>ATENCIÓN MEDICA</t>
  </si>
  <si>
    <t>MATRONERÍA</t>
  </si>
  <si>
    <t>ODONTOLOGÍA</t>
  </si>
  <si>
    <t>SECCIÓN A: INGRESOS AGUDOS SEGÚN DIAGNOSTICO DERIVADOS A SALA</t>
  </si>
  <si>
    <t>UNIDAD TRAUMA OCULAR</t>
  </si>
  <si>
    <t xml:space="preserve">CONTROLES DE SALUD MENTAL POR LLAMADAS TELEFONICAS </t>
  </si>
  <si>
    <t xml:space="preserve">CONTROLES DE SALUD MENTAL POR VIDEO LLAMADAS  </t>
  </si>
  <si>
    <t>PREVENCIÓN DE LA TRANSMISIÓN VERTICAL DEL VIH (EMBARAZADAS) CON O SIN ENTREGA DE PRESERVATIVOS</t>
  </si>
  <si>
    <t>PREVENCIÓN VIH E INFECCIÓN DE TRANSMISIÓN SEXUAL (ITS) CON O SIN ENTREGA DE PRESERVATIVOS</t>
  </si>
  <si>
    <t>REGULACIÓN DE FERTILIDAD CON O SIN ENTREGA DE PRESERVATIVOS</t>
  </si>
  <si>
    <t>SALUD SEXUAL Y REPRODUCTIVA CON O SIN ENTREGA DE PRESERVATIVOS</t>
  </si>
  <si>
    <t>ACTIVIDAD FÍSICA Y ALIMENTACION SALUDABLE</t>
  </si>
  <si>
    <t>MÉDICO/A</t>
  </si>
  <si>
    <t>MATRONA/ÓN</t>
  </si>
  <si>
    <t>ENFERMERA/O</t>
  </si>
  <si>
    <t>FONOAUDIÓLOGO/A</t>
  </si>
  <si>
    <t>TECNÓLOGO/A MÉDICO/A (EXCLUYE UAPO)</t>
  </si>
  <si>
    <t>SECCIÓN C: CONSULTAS ANTICONCEPCIÓN DE EMERGENCIA (Incluidas en Sección A o B, respectivamente.)</t>
  </si>
  <si>
    <t>Método de Regulación de Fertilidad más Preservativos</t>
  </si>
  <si>
    <t>TRABAJADOR/A SOCIAL</t>
  </si>
  <si>
    <t>Familias en Riesgo</t>
  </si>
  <si>
    <t>Derivada a MADI  0 a  4 años</t>
  </si>
  <si>
    <t>MATRONA/ON</t>
  </si>
  <si>
    <t>MÉDICO/A PSIQUIATRA</t>
  </si>
  <si>
    <t>PSICÓLOGO/A (EXCLUYE SM)</t>
  </si>
  <si>
    <t>TECNÓLOGO/A MÉDICO/A</t>
  </si>
  <si>
    <t>MÉDICO/A POST TEST</t>
  </si>
  <si>
    <t>Usuarios en situación de discapacidad</t>
  </si>
  <si>
    <t>60 años (incluido en grupos de 20-64 años)</t>
  </si>
  <si>
    <t>ATENCIÓN</t>
  </si>
  <si>
    <t>ATENCIÓN POR MATRONA/ON</t>
  </si>
  <si>
    <t>ATENCIÓN POR ODONTÓLOGO/A</t>
  </si>
  <si>
    <t>Por compra de servicios</t>
  </si>
  <si>
    <t>SECCIÓN A : ATENCIONES MÉDICAS DE ESPECIALIDAD</t>
  </si>
  <si>
    <t>ATECIONES MÉDICAS</t>
  </si>
  <si>
    <t>Técnico en Enfermería y en Salud Mental</t>
  </si>
  <si>
    <t xml:space="preserve">Técnico en Enfermería </t>
  </si>
  <si>
    <t>Niños, Niñas, Adolescentes y Jóvenes Mejor Niñez</t>
  </si>
  <si>
    <t>OTROS PROFESIONALES DEBIDAMENTE CAPACITADOS</t>
  </si>
  <si>
    <t>Niños, Niñas, Adolescentes y Jóvenes Población Mejor Niñez</t>
  </si>
  <si>
    <t>Niños, Niñas, Adolescentes y Jóvenes  Mejor Niñez</t>
  </si>
  <si>
    <t>Total de Llamadas</t>
  </si>
  <si>
    <t>Llamadas Validas</t>
  </si>
  <si>
    <t>16 - 30 meses</t>
  </si>
  <si>
    <t xml:space="preserve">SECCIÓN F: TAMIZAJE TRASTORNO ESPECTRO AUTISTA  (MCHAT-RF) </t>
  </si>
  <si>
    <t>Niños/as con sospecha del Espectro Autista en otros controles o consultas.</t>
  </si>
  <si>
    <t>Riego Bajo</t>
  </si>
  <si>
    <t>Riesgo medio</t>
  </si>
  <si>
    <t>Riego Alto</t>
  </si>
  <si>
    <t>Riesgo Alto con derivación a especialista</t>
  </si>
  <si>
    <t>No requiere derivación</t>
  </si>
  <si>
    <t>Requiere derivación</t>
  </si>
  <si>
    <t>Resultado M-CHAT R/F 1° parte</t>
  </si>
  <si>
    <t>Resultado M-CHAT R/F 2° Parte</t>
  </si>
  <si>
    <t>Riesgo Medio en 1° parte</t>
  </si>
  <si>
    <t>SECCIÓN A.5:  LACTANCIA EN  NIÑOS Y NIÑAS CONTROLADOS</t>
  </si>
  <si>
    <t>POR EDAD EN AÑOS</t>
  </si>
  <si>
    <t>Pueblos No Originarios</t>
  </si>
  <si>
    <t>Total Participantes</t>
  </si>
  <si>
    <t>HOMBRE</t>
  </si>
  <si>
    <t>Re-Tamizaje</t>
  </si>
  <si>
    <t>EXAMENES REALIZADOS</t>
  </si>
  <si>
    <t>MATERNIDAD</t>
  </si>
  <si>
    <t>EOA</t>
  </si>
  <si>
    <t>PEATa</t>
  </si>
  <si>
    <t>FAMILIA CON NIÑOS CON NECESIDADES ESPECIALES (NANEAS)</t>
  </si>
  <si>
    <t>PROYECCIÓN COMPLEMENTARIA</t>
  </si>
  <si>
    <t>Inasistente a consulta médica (NSP)</t>
  </si>
  <si>
    <t xml:space="preserve">Nuevas </t>
  </si>
  <si>
    <t>Atención Especialista en Sala</t>
  </si>
  <si>
    <t>Consultas realizadas en APS e informadas (contenidas en sección A)</t>
  </si>
  <si>
    <t>Especialistas de Hospitales</t>
  </si>
  <si>
    <t>Contratados por el Establecimiento o Dirección del Servicio</t>
  </si>
  <si>
    <t>Consultas de Especialidades resueltas por Médico General</t>
  </si>
  <si>
    <t xml:space="preserve">Consultorías de Médicos Especialistas otorgadas </t>
  </si>
  <si>
    <t>Total Interconsultas generadas en APS para derivación Especialidad</t>
  </si>
  <si>
    <t>SECCIÓN B: ATENCIONES MEDICAS POR PROGRAMAS Y POLICLÍNICOS  (INCLUIDAS EN SECCION A Y A1)</t>
  </si>
  <si>
    <t xml:space="preserve">LACTANCIA MATERNA MAS ALIMENTACIÓN COMPLEMENTARIA </t>
  </si>
  <si>
    <t>LACTANCIA MATERNA/ FÓRMULA LÁCTEA/ ALIMENTACIÓN COMPLEMENTARIA</t>
  </si>
  <si>
    <t>FORMULA LÁCTEA ALIMENTACIÓN COMPLEMENTARIA</t>
  </si>
  <si>
    <t>Diada</t>
  </si>
  <si>
    <t>NÚMERO DE NIÑOS Y NIÑAS CONTROLADOS</t>
  </si>
  <si>
    <t>CONSULTA DE LACTANCIA MATERNA DE SEGUIMIENTO</t>
  </si>
  <si>
    <t>OTRAS CONSULTAS DE LACTANCIA MATERNA</t>
  </si>
  <si>
    <t>CONSEJERÍA PRENATAL EN LACTANCIA MATERNA</t>
  </si>
  <si>
    <t>CONSEJERÍA POSTNATAL EN LACTANCIA MATERNA</t>
  </si>
  <si>
    <t>CONSULTA LACTANCIA MATERNA DE ALERTA</t>
  </si>
  <si>
    <t>CONSEJERÍA DE LACTANCIA</t>
  </si>
  <si>
    <t>PROTOCOLO HEARTS</t>
  </si>
  <si>
    <t xml:space="preserve">TRASTORNO DE PÁNICO  </t>
  </si>
  <si>
    <t xml:space="preserve">Diversidad sexual </t>
  </si>
  <si>
    <t>Niños, Niñas, Adolescentes y Jovenes Mejor Niñez</t>
  </si>
  <si>
    <t>Menor de 18 años</t>
  </si>
  <si>
    <t>18 y más años</t>
  </si>
  <si>
    <t>Otras instancias de Participación Juvenil</t>
  </si>
  <si>
    <t>FAMILIA CON NNA TRANS FEMENINO/MASCULINO</t>
  </si>
  <si>
    <t>SECCIÓN A: TELEINTERCONSULTA DE ESPECIALIDAD (ATENCION REALIZADA DE MEDICO A MEDICO)</t>
  </si>
  <si>
    <t>TIPO DE TELEINTERCONSULTA DE URGENCIA</t>
  </si>
  <si>
    <t xml:space="preserve"> TELEINTERCONSULTA  MEDICA DE URGENCIA EN HOSPITALES DE ALTA Y MEDIANA COMPLEJIDAD </t>
  </si>
  <si>
    <t xml:space="preserve">TELEINTERCONSULTAS SOLICITADAS DESDE APS O NIVEL SECUNDARIO PATRA SER RESUELTAS POR OTRO ESTABLECIMIENTO </t>
  </si>
  <si>
    <t xml:space="preserve">TELEINFORMES  REALIZADOS  </t>
  </si>
  <si>
    <t>TOTAL TELEINFORMES REALIZADOS</t>
  </si>
  <si>
    <t>ESPECIALIDADES ODONTOLÓGICAS</t>
  </si>
  <si>
    <t>ORTODONCIA Y ORTOPEDIA DENTO MAXILOFACIAL</t>
  </si>
  <si>
    <t>CONSULTA NUEVA GLAUCOMA UAPO</t>
  </si>
  <si>
    <t>15 -19</t>
  </si>
  <si>
    <t>TOTAL DE RECIEN NACIDOS TAMIZADOS</t>
  </si>
  <si>
    <t>RECIEN NACIDOS VIVOS QUE PASAN</t>
  </si>
  <si>
    <t>RECIEN NACIDOS QUE REFIEREN</t>
  </si>
  <si>
    <t>Tamizaje</t>
  </si>
  <si>
    <t>RECIEN NACIDOS VIVOS TAMIZADOS</t>
  </si>
  <si>
    <t>SERVICIO OTORRINOLARINGOLOGÍA (realizado antes de los 6 meses de vida)</t>
  </si>
  <si>
    <t>Teleinformes realizados por Inteligencia Artificial</t>
  </si>
  <si>
    <t xml:space="preserve">Teleinformes realizados por Médico Especialista </t>
  </si>
  <si>
    <t xml:space="preserve">REM-32. ACTIVIDADES DE ATENCIÓN DE SALUD REMOTA </t>
  </si>
  <si>
    <t xml:space="preserve">  </t>
  </si>
  <si>
    <t>Niños, niñas, adolescentes y jovenes Mejor Niñez</t>
  </si>
  <si>
    <t>0 a 14 años</t>
  </si>
  <si>
    <t>20 y mas años</t>
  </si>
  <si>
    <t>Contusionales</t>
  </si>
  <si>
    <t>Odontologícas</t>
  </si>
  <si>
    <t>Traumatologicas</t>
  </si>
  <si>
    <t>Presencial</t>
  </si>
  <si>
    <t>Remoto</t>
  </si>
  <si>
    <t>PSICOLOGÍA</t>
  </si>
  <si>
    <t>TRABAJO SOCIAL</t>
  </si>
  <si>
    <t>EPOC B</t>
  </si>
  <si>
    <t>AUTO CUIDADO</t>
  </si>
  <si>
    <t>OTRAS TEMATICAS</t>
  </si>
  <si>
    <t>LUGAR DE ENTREGA</t>
  </si>
  <si>
    <t>DESPACHO COMPLETO</t>
  </si>
  <si>
    <t xml:space="preserve">PRESCRIPCIONES </t>
  </si>
  <si>
    <t>SECCIÓN D.6: APLICACIÓN DE ESCALA ZARIT ABREVIADO EN CUIDADORES</t>
  </si>
  <si>
    <t>CANASTA INTEGRAL</t>
  </si>
  <si>
    <t>COMPRA SERVICIOS</t>
  </si>
  <si>
    <t>PRESENCIAL</t>
  </si>
  <si>
    <t>REMOTA</t>
  </si>
  <si>
    <t>CONSULTA MEDICA GINECOLOGICA EN CLIMATERIO</t>
  </si>
  <si>
    <t>ECOGRAFIA TRANSVAGINAL O TRANSRECTAL</t>
  </si>
  <si>
    <t>SECCIÓN C: PROCEDIMIENTOS APOYO CLÍNICO Y TERAPÉUTICO</t>
  </si>
  <si>
    <t>PROCEDIMIENTOS</t>
  </si>
  <si>
    <t>MEDICO ESPECIALISTA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</si>
  <si>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</si>
  <si>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</si>
  <si>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</si>
  <si>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ESTRABISMO, ESTUDIO COMPLETO, AMBOS OJOS</t>
  </si>
  <si>
    <t>TONOMETRÍA APLANÁTICA C/OJO</t>
  </si>
  <si>
    <t>TRATAMIENTO ORTÓPTICO Y/O PLEÓPTICO (POR SESIÓN), AMBOS OJOS</t>
  </si>
  <si>
    <t>CUERPO EXTRAÑO CONJUNTIVAL Y/O CORNEAL</t>
  </si>
  <si>
    <t>CAMPIMETRÍA COMPUTARIZADA, C/OJO (EN UAPO)</t>
  </si>
  <si>
    <t>TOMOGRAFIA COHERENTE ÓPTICA, C/OJO</t>
  </si>
  <si>
    <t>AGUDEZA VISUAL AISLADA CADA OJO</t>
  </si>
  <si>
    <t>PAQUIMETRÍA</t>
  </si>
  <si>
    <t>AUTOREFRACTOMIA</t>
  </si>
  <si>
    <t>LENSOMETRIA</t>
  </si>
  <si>
    <t>EXTRACCIÓN CUERPO EXTRAÑO OJO (CONJUNTIVAL Y/O CORNEAL)</t>
  </si>
  <si>
    <t>HEMOGLUCOTEST PREVIO A CONSULTA VICIO DE REFRACCIÓN EN PACIENTE DIABÉTICO</t>
  </si>
  <si>
    <t>AUTORREFRACCIÓN BAJO CICLOPLEJIA</t>
  </si>
  <si>
    <t>IRRIGACIÓN DE LA VÍA LAGRIMAL</t>
  </si>
  <si>
    <t>PRUEBA DE PROVOCACIÓN OSCURIDAD MÁS PRONACIÓN</t>
  </si>
  <si>
    <t xml:space="preserve">OTORRINOLARINGOLOGÍA </t>
  </si>
  <si>
    <t>AUDIMETRÍAS (REALIZADAS)</t>
  </si>
  <si>
    <t>IMPEDANCIOMETRÍA</t>
  </si>
  <si>
    <t>EMISIONES OTOACUSTICAS</t>
  </si>
  <si>
    <t>EXAMEN FUNCIONAL VIII PAR</t>
  </si>
  <si>
    <t>OTROS PROCEDIMIENTOS (Lavado de Oidos u otros)</t>
  </si>
  <si>
    <t>RETINOGRAFÍA AMBOS OJOS PACIENTES SIN  DIABETES MELLITUS</t>
  </si>
  <si>
    <t>EXPLORACIÓN VITREORRETINAL PACIENTES SIN DIABETES MELLITUS</t>
  </si>
  <si>
    <t>CALIBRACION CONTROL PRUEBA DE AUDÍFONOS</t>
  </si>
  <si>
    <t>ATENCION ODONTOLOGICA</t>
  </si>
  <si>
    <t>ENTREGA FARMACOS/ALIMENTOS</t>
  </si>
  <si>
    <t>ATENCION NUTRICIONAL A PERSONAS CON INDICACION DE NED</t>
  </si>
  <si>
    <t>PODOLOGO</t>
  </si>
  <si>
    <t>MORBILIDAD MEDICA</t>
  </si>
  <si>
    <t xml:space="preserve">VISITAS CON OTROS FINES </t>
  </si>
  <si>
    <t>TELEMEDICINA/TELEASISTENCIA</t>
  </si>
  <si>
    <t>SEGUIMIENTO REMOTO</t>
  </si>
  <si>
    <t>NUMERO SESIONES TOTALES REALIZADAS</t>
  </si>
  <si>
    <t>NUMERO DE BENEFICIARIOS</t>
  </si>
  <si>
    <t>SESIONES REHABILITACION AUDITIVA INDIVIDUAL</t>
  </si>
  <si>
    <t>SESIONES REHABILITACION AUDITIVA GRUPAL</t>
  </si>
  <si>
    <t>EVALUACION ADHERENCIA</t>
  </si>
  <si>
    <t>SEGUIMIENTO ADHERENCIA</t>
  </si>
  <si>
    <t xml:space="preserve">SESIONES REHABILITACION VESTIBULAR </t>
  </si>
  <si>
    <t xml:space="preserve">SESIONES REHABILITACION DEGLUCION </t>
  </si>
  <si>
    <t>TRANS Femenino/
Masculino</t>
  </si>
  <si>
    <t>*no incluidos en REM A26 sección D.</t>
  </si>
  <si>
    <t>REHABILITACION PULMONAR POST COVID</t>
  </si>
  <si>
    <t>EPOC A</t>
  </si>
  <si>
    <t>Multimorbilidad Crónica</t>
  </si>
  <si>
    <t>Población ELEAM o Institucionalizada</t>
  </si>
  <si>
    <t>Tecnico en Enfermería</t>
  </si>
  <si>
    <t>Profesional</t>
  </si>
  <si>
    <t>TECNÓLOGO MÉDICO, FONOAUDIOLOGO O TERAPEUTA OCUPACIONAL</t>
  </si>
  <si>
    <t>PROCEDIMIENTO V-HIT</t>
  </si>
  <si>
    <t>PEATC</t>
  </si>
  <si>
    <t>MANIOBRAS DE REPOSICIÓN DE PARTÍCULAS</t>
  </si>
  <si>
    <t>NASOFIBROSCOPIA ADULTO / NIÑO</t>
  </si>
  <si>
    <t>PRUEBA DE FUNCIÓN TUBARIA</t>
  </si>
  <si>
    <t>VEMP (POTENCIALES EVOCADOS MIOGÉNICOS  VESTIBULARES)</t>
  </si>
  <si>
    <t>TOMA DE IMPRESIÓN DE MOLDE AUDITIVO</t>
  </si>
  <si>
    <t>RINOMANOMETRIA</t>
  </si>
  <si>
    <t>TELEINTERCONSULTAS SOLICITADAS</t>
  </si>
  <si>
    <t>TELEINTERCONSULTAS RESPONDIDAS</t>
  </si>
  <si>
    <t>INFORMACION ENTREGADA A USUARIO</t>
  </si>
  <si>
    <t>Hospital Digital</t>
  </si>
  <si>
    <t>Otra</t>
  </si>
  <si>
    <t>Medico interconsultor (vía de resolusión)</t>
  </si>
  <si>
    <t>Teleconsultorías</t>
  </si>
  <si>
    <t>Teleconsulta Abreviada  (Videollamada)/ Consulta Abreviada Telefónica Atención Remota: entrega de los resultados de exámenes o procedimiento (Confección de recetas o lectura de exámenes)</t>
  </si>
  <si>
    <t>TELECONSULTAS NUEVAS DE ESPECIALIDAD SEGÚN ORIGEN</t>
  </si>
  <si>
    <t>ALTA DE CONSULTA DE ESPECIALIDAD AMBULATORIA REMOTA</t>
  </si>
  <si>
    <t>GESTIÓN DE CASOS</t>
  </si>
  <si>
    <t>INGRESO INTEGRAL</t>
  </si>
  <si>
    <t>INGRESO RIESGO ALTO (G3)</t>
  </si>
  <si>
    <t>EGRESO RIESGO ALTO (G3)</t>
  </si>
  <si>
    <t xml:space="preserve">TÉCNICO EN ENFERMERÍA </t>
  </si>
  <si>
    <t>Control con Presencia del Padre</t>
  </si>
  <si>
    <t>Servicio Itinerante en  Centro de Salud</t>
  </si>
  <si>
    <t>OTROS PROFESIONALES CAPACITADOS (SALUD MENTAL)</t>
  </si>
  <si>
    <t xml:space="preserve"> CONTROL DE SALUD INTEGRAL</t>
  </si>
  <si>
    <t>Epuipo de espacio Amigable</t>
  </si>
  <si>
    <t>Otro Equipo de Salud</t>
  </si>
  <si>
    <t>CLASIFICACIÓN</t>
  </si>
  <si>
    <t>ESTADO NUTRICIONAL NORMAL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</si>
  <si>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</si>
  <si>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</si>
  <si>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</si>
  <si>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</si>
  <si>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</si>
  <si>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65 y más años</t>
  </si>
  <si>
    <t xml:space="preserve">MAL NUTRICIÓN POR RIESGO A DESNUTRIR/RIEGO BAJO PESO </t>
  </si>
  <si>
    <t>Nº Participantes</t>
  </si>
  <si>
    <t>Nº Sesiones</t>
  </si>
  <si>
    <t>OTRAS CRÓNICAS RESPIRATORIAS</t>
  </si>
  <si>
    <t>Niños, Niñas, Adolescentes y Jóvenes Población SENAME</t>
  </si>
  <si>
    <t>Personas con discapacidad (con RND)</t>
  </si>
  <si>
    <t>DOLOR CERVICAL AGUDO</t>
  </si>
  <si>
    <t>DOLOR LUMBAR AGUDO</t>
  </si>
  <si>
    <t xml:space="preserve">HOMBRO DOLOROSO AGUDO </t>
  </si>
  <si>
    <t>OTRO DOLOR MUSCULOESQUELÉTICO AGUDO</t>
  </si>
  <si>
    <t>ARTROSIS DE RODILLA Y CADERA</t>
  </si>
  <si>
    <t>ARTRITIS REUMATOIDEA</t>
  </si>
  <si>
    <t>OTRO DOLOR MUSCULOESQUELÉTICO CRÓNICO</t>
  </si>
  <si>
    <t>TRAUMATISMO ENCÉFALO CRANEANO (TEC)</t>
  </si>
  <si>
    <t>LESIÓN MEDULAR</t>
  </si>
  <si>
    <t>ENFERMEDADES NEUROMUSCULARES</t>
  </si>
  <si>
    <t>ALTERACIONES EN EL DESARROLLO PSICOMOTOR</t>
  </si>
  <si>
    <t>DISRAFIAS ESPINALES</t>
  </si>
  <si>
    <t>TRASTORNO ESPECTRO AUTISTA</t>
  </si>
  <si>
    <t xml:space="preserve">AMPUTACIÓN </t>
  </si>
  <si>
    <t>COVID-19</t>
  </si>
  <si>
    <t xml:space="preserve">Modalidad de rehabilitación </t>
  </si>
  <si>
    <t>Presencial (Establecimiento)</t>
  </si>
  <si>
    <t>A distancia</t>
  </si>
  <si>
    <t>Domiciliaria</t>
  </si>
  <si>
    <t>ACTIVIDAD FÍSICA</t>
  </si>
  <si>
    <t>INTERVENCIÓN EN ACTIVIDADES DE LA VIDA DIARIA, BÁSICAS, INSTRUMENTALES Y AVANZADAS</t>
  </si>
  <si>
    <t>REPARACIÓN DE ÓRTESIS Y/O ADAPTACIONES</t>
  </si>
  <si>
    <t>HABILITACIÓN Y REHABILITACIÓN SOCIO-LABORAL</t>
  </si>
  <si>
    <t xml:space="preserve">REHABILITACIÓN DE LA VOZ, HABLA Y/O LENGUAJE </t>
  </si>
  <si>
    <t>REHABILITACIÓN DE LA DEGLUCIÓN</t>
  </si>
  <si>
    <t xml:space="preserve">REHABILITACIÓN VESTIBULAR </t>
  </si>
  <si>
    <t>EDUCACIÓN A USUARIO/A, CUIDADOR/A Y/O FAMILIA</t>
  </si>
  <si>
    <t>ATENCIÓN PSICOTERAPÉUTICA</t>
  </si>
  <si>
    <t>OTRAS NEUROLÓGICAS</t>
  </si>
  <si>
    <t>RECIEN NACIDO DE ALTO RIESGO</t>
  </si>
  <si>
    <t>SÍNDROME POST-UCI</t>
  </si>
  <si>
    <t xml:space="preserve">ENFERMEDADES RESPIRATORIAS </t>
  </si>
  <si>
    <t>ENFERMEDADES CARDIACAS</t>
  </si>
  <si>
    <t>DOLOR MUSCULOESQUELÉTICO CRÓNICO</t>
  </si>
  <si>
    <t>OTRAS REUMATOLÓGICAS</t>
  </si>
  <si>
    <t xml:space="preserve"> OTROS PRE Y POST QUIRÚRGICOS</t>
  </si>
  <si>
    <t>GENITOURINARIAS</t>
  </si>
  <si>
    <t>INSTITUCIÓN CON CONVENIO</t>
  </si>
  <si>
    <t>CONFECCIÓN DE PRÓTESIS</t>
  </si>
  <si>
    <t>ESTIMULACIÓN SENSORIAL</t>
  </si>
  <si>
    <t xml:space="preserve">TOTAL AYUDA TÉCNICA POR CONDICIÓN DE SALUD </t>
  </si>
  <si>
    <t>ESCLEROSIS LATERAL AMIOTRÓFICA</t>
  </si>
  <si>
    <t xml:space="preserve">PERSONA MAYOR FRÁGIL </t>
  </si>
  <si>
    <t xml:space="preserve">SECCIÓN A.1: INGRESOS Y EGRESOS  A ATENCIONES DE REHABILITACIÓN EN EL NIVEL PRIMARIO </t>
  </si>
  <si>
    <t>EDUCACIÓN PERSONA USUARIO/A, CUIDADOR/A Y/O FAMILIARES</t>
  </si>
  <si>
    <t xml:space="preserve">Diversidad Sexual </t>
  </si>
  <si>
    <t>INFORME POR MEDICO LICITADO</t>
  </si>
  <si>
    <t>INFORMADA POR MEDICO HD</t>
  </si>
  <si>
    <t>EXPLORACIÓN VITREORRETINAL, AMBOS OJOS (FONDO DE OJO)</t>
  </si>
  <si>
    <t>SIN ALTERACION</t>
  </si>
  <si>
    <t>ALTERADOS</t>
  </si>
  <si>
    <t>IMÁGENES CAPTURADAS</t>
  </si>
  <si>
    <t>INFORMES RECIBIDOS SIN ALTERACION</t>
  </si>
  <si>
    <t>INFORMES RECIBIDOS CON SOSPECHA DE ALTERACION</t>
  </si>
  <si>
    <t>SUBIDAS A PLATAFORMA DE TELEINFORME LOCAL (NO CENTRALIZADA)</t>
  </si>
  <si>
    <t>ENTREGA RESULTADOS FONDO DE OJO AL USUARIO</t>
  </si>
  <si>
    <t>REMOTO</t>
  </si>
  <si>
    <t xml:space="preserve"> PROCEDIMIENTOS</t>
  </si>
  <si>
    <t>SECCIÓN E: INTERVENCIONES QUIRÚRGICAS MENORES QUE SE REALIZAN EN UAPO</t>
  </si>
  <si>
    <t>SECCION F: FONDOS DE OJO CONTROL DIABETES MELLITUS</t>
  </si>
  <si>
    <t>SECCION G: ACTIVIDADES DE REHABILITACION EN UAPORRINO</t>
  </si>
  <si>
    <t>SECCION H: CANASTA INTEGRAL DERMATOLOGIA</t>
  </si>
  <si>
    <t>SECCIÓN I : ATENCION INTEGRAL EN CLIMATERIO</t>
  </si>
  <si>
    <t xml:space="preserve">Presencial (Establecimiento) </t>
  </si>
  <si>
    <t xml:space="preserve">MODALIDAD DE REHABILITACIÓN  </t>
  </si>
  <si>
    <t xml:space="preserve">MODALIDAD DE REHABILITACIÓN   </t>
  </si>
  <si>
    <t xml:space="preserve">MODALIDAD DE REHABILITACIÓN </t>
  </si>
  <si>
    <t>Totales Rehabilitación Base Comunitaria (RBC)</t>
  </si>
  <si>
    <t>Totales Rehabilitación Integral  (RI)</t>
  </si>
  <si>
    <t>Totales Rehabilitación Rural (RR)</t>
  </si>
  <si>
    <t>Totales Rehabilitación Infantil</t>
  </si>
  <si>
    <t>NUMERO DE EVALUACIONES DE AYUDAS TÉCNICAS</t>
  </si>
  <si>
    <t>NUMERO DE ENTRENAMIENTO DE AYUDAS TÉCNICAS</t>
  </si>
  <si>
    <t>SITTING</t>
  </si>
  <si>
    <t xml:space="preserve">ÓRTESIS DE COLUMNA VERTEBRAL </t>
  </si>
  <si>
    <t xml:space="preserve">ÓRTESIS MIEMBRO INFERIOR </t>
  </si>
  <si>
    <t xml:space="preserve">OTRAS PRÓTESIS EXTREMIDAD INFERIOR </t>
  </si>
  <si>
    <t xml:space="preserve">PRÓTESIS EXTREMIDAD INFERIOR TRANSFERMORAL </t>
  </si>
  <si>
    <t xml:space="preserve">PRÓTESIS EXTREMIDAD INFERIOR TRANSTIBIAL </t>
  </si>
  <si>
    <t xml:space="preserve">ÓRTESIS MIEMBRO SUPERIOR </t>
  </si>
  <si>
    <t xml:space="preserve">COJINES Y RESPALDOS PARA LA ESTABILIZACIÓN Y POSICIONAMIENTO DEL CUERPO </t>
  </si>
  <si>
    <t xml:space="preserve">AYUDAS TÉCNICAS PARA ACTIVIDADES DE ALIMENTACIÓN, VESTUARIO E HIGIENE PERSONAL </t>
  </si>
  <si>
    <t xml:space="preserve">OTRAS NEUROLÓGICAS </t>
  </si>
  <si>
    <t>TRABADOR/A SOCIAL</t>
  </si>
  <si>
    <t xml:space="preserve">SECCIÓN A.9: INTERVENCIONES TERAPÉUTICAS GRUPALES </t>
  </si>
  <si>
    <t xml:space="preserve">SECCIÓN A.10: PERSONAS QUE LOGRAN PARTICIPACIÓN EN COMUNIDAD </t>
  </si>
  <si>
    <t>SECCIÓN A.11: ACTIVIDADES Y PARTICIPACIÓN</t>
  </si>
  <si>
    <t>Por Campaña de Invierno</t>
  </si>
  <si>
    <t>Niños, niñas, adolescentes y jóvenes Mejor Niñez</t>
  </si>
  <si>
    <t>Niños. Niñas, adolescentes y jóvenes Mejor Niñez</t>
  </si>
  <si>
    <t>Grupo de Edad</t>
  </si>
  <si>
    <t>20 - 64 años</t>
  </si>
  <si>
    <t>Recien Nacidos  Tamizados</t>
  </si>
  <si>
    <t xml:space="preserve">Recién  Nacidos referidos a Cardiología </t>
  </si>
  <si>
    <t>FIBROSIS QUISTICA</t>
  </si>
  <si>
    <t>Exámenes de 2a punción</t>
  </si>
  <si>
    <t>2a muestra en &lt;36 semanas</t>
  </si>
  <si>
    <t>Examenes alterados</t>
  </si>
  <si>
    <t>RN tamizados según piloto</t>
  </si>
  <si>
    <t>RECIEN NACIDOS TAMIZADOS</t>
  </si>
  <si>
    <t xml:space="preserve">EGRESADOS CON MADRES SEROLOGÍA POSITIVA (VIH) </t>
  </si>
  <si>
    <t>EGRESADOS CON MADRES SEROLOGÍA POSITIVA   (HTLV-1)</t>
  </si>
  <si>
    <t>EGRESADOS CON MADRES ACOGIDAS A LA LEY 21.155 (Derecho a no amamantar)</t>
  </si>
  <si>
    <t>ANOMALÍA CONGÉNITA</t>
  </si>
  <si>
    <t>ACOMPAÑAMIENTO INTEGRAL DUELO PERINATAL</t>
  </si>
  <si>
    <t>Atención en Sala Diferenciada</t>
  </si>
  <si>
    <t>Con acompañamiento psicosocial</t>
  </si>
  <si>
    <t xml:space="preserve">padre o familiar significativo </t>
  </si>
  <si>
    <t>MORTINATOS</t>
  </si>
  <si>
    <t>MORTINEONATOS</t>
  </si>
  <si>
    <t>Entrega de recuerdos de maternidad/
paternidad</t>
  </si>
  <si>
    <t>SECCIÓN D.2: ATENCION INMEDIATA DEL RECIEN NACIDO</t>
  </si>
  <si>
    <t>PROFILAXIS</t>
  </si>
  <si>
    <t xml:space="preserve">APGAR  </t>
  </si>
  <si>
    <t>SECCIÓN D: INFORMACIÓN DE RECIÉN NACIDOS</t>
  </si>
  <si>
    <t>SECCIÓN D.1: INFORMACION GENERAL DE RECIEN NACIDOS VIVOS</t>
  </si>
  <si>
    <t>INMADURA</t>
  </si>
  <si>
    <t>3 MESES</t>
  </si>
  <si>
    <t>4 MESES</t>
  </si>
  <si>
    <t>SECCIÓN A.6:  RESULTADOS RADIOGRAFÍA DE PELVIS (CADERA)</t>
  </si>
  <si>
    <t>Violencia Intrafamiliar</t>
  </si>
  <si>
    <t>Derivadas a equipo de cabecera</t>
  </si>
  <si>
    <t xml:space="preserve">Total de Aplicaciones </t>
  </si>
  <si>
    <t>EXAMENES</t>
  </si>
  <si>
    <t>SECCIÓN C: MÉTODO ANTICONCEPTIVO AL ALTA</t>
  </si>
  <si>
    <t>METODO ANTICONCEPTIVO</t>
  </si>
  <si>
    <t>POST IVE</t>
  </si>
  <si>
    <t>POST PARTO</t>
  </si>
  <si>
    <t xml:space="preserve">Edad en años </t>
  </si>
  <si>
    <t>DIU con Cobre</t>
  </si>
  <si>
    <t>DIU con Levonorgestrel</t>
  </si>
  <si>
    <t>Métodos de barrera</t>
  </si>
  <si>
    <t>Esterilización quirúrgica</t>
  </si>
  <si>
    <t>Alta sin método anticonceptivo</t>
  </si>
  <si>
    <t>TOTAL ALTAS</t>
  </si>
  <si>
    <t>50 y más años</t>
  </si>
  <si>
    <t xml:space="preserve">Presencial </t>
  </si>
  <si>
    <t>A Distancia</t>
  </si>
  <si>
    <t xml:space="preserve">Domiciliaria </t>
  </si>
  <si>
    <t>Cerrada</t>
  </si>
  <si>
    <t>Menor de 4 años</t>
  </si>
  <si>
    <t>Niños, Niñas, Adolescentes y Jóvenes SENAME</t>
  </si>
  <si>
    <t>Niños, Niñas, Adolescentes y Jóvenes  SENAME</t>
  </si>
  <si>
    <t>Niños, Niñas, Adolescentes y Jovenes SENAME</t>
  </si>
  <si>
    <t>Técnico en Enfermería</t>
  </si>
  <si>
    <t>65 a 79 años</t>
  </si>
  <si>
    <t>80  y más años</t>
  </si>
  <si>
    <t>N° de cupos Campaña de Invierno</t>
  </si>
  <si>
    <t>SECCION A.3: COMPLICACIONES</t>
  </si>
  <si>
    <t>Atención institucional</t>
  </si>
  <si>
    <t>Parto en Domicilio</t>
  </si>
  <si>
    <t>HEMORRAGIA POST PARTO</t>
  </si>
  <si>
    <t>INERCIA</t>
  </si>
  <si>
    <t>RESTOS</t>
  </si>
  <si>
    <t>TRAUMA</t>
  </si>
  <si>
    <t>DESGARROS III Y IV</t>
  </si>
  <si>
    <t>ALTERACIONES DE LA COAGULACIÓN</t>
  </si>
  <si>
    <t>SEPSIS O INFECCION SISTÉMICA GRAVE</t>
  </si>
  <si>
    <t>OTRO</t>
  </si>
  <si>
    <t>MANEJO QUIRURGICO DE LA INERCIA UTERINA</t>
  </si>
  <si>
    <t>HISTERECTOMÍA OBSTÉTRICA</t>
  </si>
  <si>
    <t>TRANSFUSION</t>
  </si>
  <si>
    <t>CLASIFICACIÓN SEGÚN MODELO DE ROBSON</t>
  </si>
  <si>
    <t>PROGRAMADA</t>
  </si>
  <si>
    <t xml:space="preserve">Total cesáreas grupo 2 </t>
  </si>
  <si>
    <t>Por requerimiento materno</t>
  </si>
  <si>
    <t>Acompañamiento durante la cesárea</t>
  </si>
  <si>
    <t>SECCION A.1: PARTOS VAGINALES*</t>
  </si>
  <si>
    <t>CARACTERISTICAS DEL MODELO DE ATENCION</t>
  </si>
  <si>
    <t>&lt;28 semanas</t>
  </si>
  <si>
    <t>28 a 37 semanas</t>
  </si>
  <si>
    <t>ESPONTANEO</t>
  </si>
  <si>
    <t>INDUCIDOS</t>
  </si>
  <si>
    <t>MECÁNICA</t>
  </si>
  <si>
    <t>FARMACOLÓGICA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</si>
  <si>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</si>
  <si>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</si>
  <si>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</si>
  <si>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</si>
  <si>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</si>
  <si>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EPISIOTOMIA</t>
  </si>
  <si>
    <t xml:space="preserve">ACOMPAÑAMIENTO  </t>
  </si>
  <si>
    <t>DURANTE EL TRABAJO DE PARTO</t>
  </si>
  <si>
    <t>SOLO EN EL EXPULSIVO</t>
  </si>
  <si>
    <t>(*) Partos de Término y Pre-Término</t>
  </si>
  <si>
    <t>SECCIÓN A.1: VISITAS DOMICILIARIAS INTEGRALES A PERSONAS CON DEPENDENCIA SEVERA Y SUS CUIDADORES</t>
  </si>
  <si>
    <t xml:space="preserve"> A PERSONAS CON DEPENDENCIA SEVERA EN PROGRAMA</t>
  </si>
  <si>
    <t>FAMILIA CON PERSONA CON DEMENCIA</t>
  </si>
  <si>
    <t>Niños, niñas, adolescentes y jóvenes SENAME</t>
  </si>
  <si>
    <t>Niños. Niñas, adolescentes y jóvenes SENAME</t>
  </si>
  <si>
    <t>Niños, niñas, adolescentes y jovenes SENAME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</si>
  <si>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</si>
  <si>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</si>
  <si>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</si>
  <si>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</si>
  <si>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</si>
  <si>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</si>
  <si>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</si>
  <si>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>Hepatitis B</t>
  </si>
  <si>
    <t xml:space="preserve">Reanimación Básica </t>
  </si>
  <si>
    <t xml:space="preserve">Reanimación Avanzada </t>
  </si>
  <si>
    <t>EHI                Grado II y III</t>
  </si>
  <si>
    <t>Anomalía Congénita</t>
  </si>
  <si>
    <t>Tipo de Complicación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</si>
  <si>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</si>
  <si>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</si>
  <si>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</si>
  <si>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</si>
  <si>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</si>
  <si>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Atención con pertinencia cultural</t>
  </si>
  <si>
    <t>Anestesia Neuroaxial</t>
  </si>
  <si>
    <t>Oxido nitroso</t>
  </si>
  <si>
    <t>Analgesia endovenosa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</si>
  <si>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</si>
  <si>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</si>
  <si>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</si>
  <si>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</si>
  <si>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</si>
  <si>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VAGINAL</t>
  </si>
  <si>
    <t>INSTRUMENTAL</t>
  </si>
  <si>
    <t>PARTO PREHOSPITALARIO (en establecimientos salud o ambulancias)</t>
  </si>
  <si>
    <t xml:space="preserve">ENTREGA DE PLACENTA A SOLICITUD </t>
  </si>
  <si>
    <t>PARTO EN DOMICILIO</t>
  </si>
  <si>
    <t>CON ATENCION PROFESIONAL</t>
  </si>
  <si>
    <t>SIN ATENCION PROFESIONAL</t>
  </si>
  <si>
    <t>SECCIÓN B: INTERRUPCIÓN VOLUNTARIA DEL EMBARAZO</t>
  </si>
  <si>
    <t>SECCIÓN F: CONSULTA DE LACTANCIA MATERNA EN SERVICIOS GINECO-OBSTÉTRICOS</t>
  </si>
  <si>
    <t>SECCIÓN G: TALLERES GRUPALES DE LACTANCIA MATERNA</t>
  </si>
  <si>
    <t xml:space="preserve">SECCIÓN H:  TAMIZAJES DEL RECIÉN NACIDO </t>
  </si>
  <si>
    <t>SECCION H.1: TAMIZAJE METABOLICO</t>
  </si>
  <si>
    <t>SECCIÓN H.2:  TAMIZAJE AUDITIVO</t>
  </si>
  <si>
    <t>SECCION H.3: TAMIZAJE CARDIOPATÍAS CONGÉNITAS</t>
  </si>
  <si>
    <t>Primera Visita</t>
  </si>
  <si>
    <t>Segunda Visita</t>
  </si>
  <si>
    <t xml:space="preserve">Tercera o másVisitas de Seguimiento </t>
  </si>
  <si>
    <t xml:space="preserve">Elaboración Plan de Cuidados a Personas Dependientes </t>
  </si>
  <si>
    <t>ENFERMERÍA</t>
  </si>
  <si>
    <t>Quimioterapia</t>
  </si>
  <si>
    <t>Hemodiálisis</t>
  </si>
  <si>
    <t xml:space="preserve">Coronariografía
</t>
  </si>
  <si>
    <t xml:space="preserve">Cirugía Mayor Ambulatoria
</t>
  </si>
  <si>
    <t>CDT/CAE/CRS/Hospitalizado</t>
  </si>
  <si>
    <t>Teleconsulta Nueva</t>
  </si>
  <si>
    <t>Teleconsulta Control</t>
  </si>
  <si>
    <t>SECCIÓN A1:  INGRESOS POR DIAGNÓSTICO Y EGRESO POR CAUSALES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</si>
  <si>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</si>
  <si>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</si>
  <si>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</si>
  <si>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</si>
  <si>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</si>
  <si>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</si>
  <si>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</si>
  <si>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</si>
  <si>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</si>
  <si>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</si>
  <si>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</si>
  <si>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</si>
  <si>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</si>
  <si>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</si>
  <si>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</si>
  <si>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</si>
  <si>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</si>
  <si>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</si>
  <si>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</si>
  <si>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</si>
  <si>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</si>
  <si>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</si>
  <si>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</si>
  <si>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</si>
  <si>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</si>
  <si>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</si>
  <si>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</si>
  <si>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TECNICO</t>
  </si>
  <si>
    <t>QF</t>
  </si>
  <si>
    <t xml:space="preserve">SECCIÓN B:  NIVEL ESPECIALIDAD  </t>
  </si>
  <si>
    <t>SECCIÓN B1:  INGRESOS POR DIAGNÓSTICO Y EGRESO POR CAUSALES</t>
  </si>
  <si>
    <t>Otras causal</t>
  </si>
  <si>
    <t xml:space="preserve">SECCIÓN B.2:  ACTIVIDADES NIVEL ESPECIALIDAD  </t>
  </si>
  <si>
    <t>SECCIÓN E:  REQUERIMIENTO DERIVACION Y/O ATENCION DE URGENCIA</t>
  </si>
  <si>
    <t>SAPU-SAR</t>
  </si>
  <si>
    <t>SUH</t>
  </si>
  <si>
    <t>SECCION C: CAPACITACIONES DE EQUIPOS (Intra y entre Equipos)</t>
  </si>
  <si>
    <t>SECCION D: TELECOMITES</t>
  </si>
  <si>
    <t>Otros profesionales</t>
  </si>
  <si>
    <t>menores de 15 años</t>
  </si>
  <si>
    <t>Entrega de resultados de exámenes</t>
  </si>
  <si>
    <t>Confección de recetas</t>
  </si>
  <si>
    <t>Renovación de licencias médicas</t>
  </si>
  <si>
    <t>SECCIÓN B: CONSULTA  ABREVIADA MEDIANTE TELESALUD</t>
  </si>
  <si>
    <t>SECCIÓN D1: ATENCIONES REMOTAS MEDICAS EN ESPECIALIDAD</t>
  </si>
  <si>
    <t>SECCIÓN D: ATENCIONES TELEFONICAS EN CONSULTAS Y CONTROLES</t>
  </si>
  <si>
    <t>SECCIÓN D.2: ATENCIONES REMOTAS CONSULTAS Y CONTROLES POR OTROS PROFESIONALES EN ESPECIALIDAD (NIVEL SECUNDARIO)</t>
  </si>
  <si>
    <t xml:space="preserve">SECCIÓN E: ATENCIÓN ODONTOLÓGICA </t>
  </si>
  <si>
    <t>SECCIÓN E1: ATENCIÓN ODONTOLÓGICA NIVEL PRIMARIO</t>
  </si>
  <si>
    <t>SECCIÓN E2: ATENCIÓN ODONTOLÓGICA ESTABLECIMIENTOS HOSPITALARIOS DE BAJA, MEDIANA Y ALTA COMPLEJIDAD</t>
  </si>
  <si>
    <t xml:space="preserve">SECCION F: ACCIONES DE SALUD MENTAL REMOTAS </t>
  </si>
  <si>
    <t>SECCIÓN F2: CONTROLES DE SALUD MENTAL REMOTOS (APS Y ESPECIALIDAD)</t>
  </si>
  <si>
    <t xml:space="preserve">SECCION G: ACCIONES DE SEGUIMIENTO REMOTO EN EL PROGRAMA DE SALUD CARDIOVASCULAR EN APS </t>
  </si>
  <si>
    <t>SECCIÓN H: ACTIVIDADES DE ACOMPAÑAMIENTO REMOTO A PERSONAS MAYORES Y SUS FAMILIAS POR PARTE DEL PROGRAMA MÁS ADULTOS MAYORES AUTOVALENTES</t>
  </si>
  <si>
    <t>SECCIÓN I: SEGUIMIENTO DE SALUD INFANTIL REMOTO</t>
  </si>
  <si>
    <t>SECCIÓN J: ATENCIÓN REMOTA ADOLESCENTE</t>
  </si>
  <si>
    <t>SECCION K: ATENCIONES REMOTAS EN MODALIDADES DE APOYO AL DESARROLLO INFANTIL (MADIS) EN APS</t>
  </si>
  <si>
    <t>SECCIÓN L:  EDUCACIÓN GRUPAL REMOTA SEGÚN ÁREAS TEMÁTICAS Y EDAD</t>
  </si>
  <si>
    <t xml:space="preserve">SECCIÓN M: ACTIVIDADES PROGRAMA ELIGE VIDA SANA POR LLAMADA TELEFÓNICA </t>
  </si>
  <si>
    <t>SECCIÓN N: ACTIVIDADES PROGRAMA ELIGE VIDA SANA POR REDES SOCIALES</t>
  </si>
  <si>
    <t>SECCIÓN O: SEGUIMIENTO DE PERSONAS CON CONDICIONES CRÓNICAS</t>
  </si>
  <si>
    <t>SECCIÓN P: APOYO TELEFÓNICO DEL PROGRAMA DE ACOMPAÑAMIENTO PSICOSOCIAL EN APS</t>
  </si>
  <si>
    <t>USUARIOS  ACREDITADOS POR PROFESIONAL/ES QUE ATIENDE/N
(Individual o en Dupla)</t>
  </si>
  <si>
    <t>ASISTENTE SOCIAL</t>
  </si>
  <si>
    <t>ASISTENTE SOCIAL, Y PSICÓLOGO/A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</si>
  <si>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</si>
  <si>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</si>
  <si>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</si>
  <si>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</si>
  <si>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</si>
  <si>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</si>
  <si>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</si>
  <si>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</si>
  <si>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</si>
  <si>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</si>
  <si>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</si>
  <si>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</si>
  <si>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</si>
  <si>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</si>
  <si>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</si>
  <si>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</si>
  <si>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</si>
  <si>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</si>
  <si>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 xml:space="preserve">SIN REGISTRO DE CALIDAD DE LA ACREDITACIÓN </t>
  </si>
  <si>
    <t xml:space="preserve">SIN NINGÚN TIPO DE INFORMACIÓN </t>
  </si>
  <si>
    <t>ORIGEN DE SOLICITUD</t>
  </si>
  <si>
    <t>TOTAL SESIÓN</t>
  </si>
  <si>
    <t>MÉDICO GENERAL</t>
  </si>
  <si>
    <t>MÉDICO PSIQUIATRA</t>
  </si>
  <si>
    <t>TOTAL EVALUACIONES INTEGRALES DE DAÑO</t>
  </si>
  <si>
    <t>Quimico Farmacéutico</t>
  </si>
  <si>
    <t>Kinesiólogo/a</t>
  </si>
  <si>
    <t>Fonoaudiólogo/a</t>
  </si>
  <si>
    <t>Terapeúta Ocupacional</t>
  </si>
  <si>
    <t>DERIVACIONES</t>
  </si>
  <si>
    <t>SECCIÓN E2: CONTROLES GRUPALES</t>
  </si>
  <si>
    <t>SECCIÓN E1: CONTROLES INDIVIDUALES</t>
  </si>
  <si>
    <t>TOTAL DE GRUPOS</t>
  </si>
  <si>
    <t>SECCIÓN E: CONTROLES DE SALUD EN ESTABLECIMIENTOS EDUCACIONALES</t>
  </si>
  <si>
    <t>CALIDAD DE LA ACREDITACIÓN (Acumulado)</t>
  </si>
  <si>
    <t>UNIVERSO</t>
  </si>
  <si>
    <t>POBLACIÓN USUARIA AL MES DE REPORTE (Acumulado)</t>
  </si>
  <si>
    <t>SECCIÓN P:  PROGRAMA DE REHABILITACIÓN (PERSONAS CON TRASTORNOS PSIQUIÁTRICOS)</t>
  </si>
  <si>
    <t>SECCIÓN Q: INGRESOS Y EGRESOS A PROGRAMA INFECCIÓN POR TRANSMISIÓN SEXUAL (Uso de establecimientos que realizan atención de ITS)</t>
  </si>
  <si>
    <t>SECCIÓN R: INGRESOS Y EGRESOS DEL PROGRAMA DE VIH/SIDA (Uso exclusivo Centros de Atención VIH-SIDA)</t>
  </si>
  <si>
    <t>SECCIÓN S: INGRESOS Y EGRESOS POR COMERCIO SEXUAL (Uso exclusivo de Unidades Control Comercio Sexual)</t>
  </si>
  <si>
    <t>SECCIÓN T. INGRESOS Y EGRESOS PROGRAMA DE ACOMPAÑAMIENTO PSICOSOCIAL EN ATENCIÓN PRIMARIA</t>
  </si>
  <si>
    <t>SECCIÓN U. INGRESOS  INTEGRALES DE PERSONAS CON CONDICIONES CRÓNICAS EN ATENCIÓN PRIMARIA</t>
  </si>
  <si>
    <t>MÉDICO/A GENERAL</t>
  </si>
  <si>
    <t>SECCIÓN A.2:  TIPO DE DONANTES CON CONTRAINDICACIÓN</t>
  </si>
  <si>
    <t>Contraindicación Transitoria</t>
  </si>
  <si>
    <t>Contraindicación Permanente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</si>
  <si>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</si>
  <si>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</si>
  <si>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</si>
  <si>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</si>
  <si>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</si>
  <si>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</si>
  <si>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</si>
  <si>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</si>
  <si>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Sección:H AFÉRESIS</t>
  </si>
  <si>
    <t>AFÉRESIS DE DONACIÓN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</si>
  <si>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</si>
  <si>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</si>
  <si>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</si>
  <si>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</si>
  <si>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</si>
  <si>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</si>
  <si>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</si>
  <si>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</si>
  <si>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</si>
  <si>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TOTAL DONANTES</t>
  </si>
  <si>
    <t>SECCIÓN:G.6 PRUEBA DE ANTIGLOBULINA DIRECTA EN PACIENTES (BS-UMT)</t>
  </si>
  <si>
    <t>PRUEBA DE ANTIGLOBULINA DIRECTA</t>
  </si>
  <si>
    <t>POSITIVO</t>
  </si>
  <si>
    <t>NEGATIVO</t>
  </si>
  <si>
    <t>INDETERMINADO</t>
  </si>
  <si>
    <t>SECCIÓN:G.5 FENOTIPO ERITROCITARIO (CS-BS-UMT)</t>
  </si>
  <si>
    <t>SISTEMA</t>
  </si>
  <si>
    <t>FENOTIPO</t>
  </si>
  <si>
    <t>PACIENTES</t>
  </si>
  <si>
    <t>Rh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</si>
  <si>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</si>
  <si>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</si>
  <si>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</si>
  <si>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</si>
  <si>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</si>
  <si>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</si>
  <si>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</si>
  <si>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</si>
  <si>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</si>
  <si>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</si>
  <si>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</si>
  <si>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</si>
  <si>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</si>
  <si>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</si>
  <si>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KELL</t>
  </si>
  <si>
    <t>K-k+</t>
  </si>
  <si>
    <t>K+k+</t>
  </si>
  <si>
    <t>K+k-</t>
  </si>
  <si>
    <t>Total Kell</t>
  </si>
  <si>
    <t>DUFFY</t>
  </si>
  <si>
    <t>Fy(a+b-)</t>
  </si>
  <si>
    <t>Fy(a+b+)</t>
  </si>
  <si>
    <t>Fy(a-b+)</t>
  </si>
  <si>
    <t>Fy(a-b-)</t>
  </si>
  <si>
    <t>Total Duffy</t>
  </si>
  <si>
    <t>KIDD</t>
  </si>
  <si>
    <t>Jk(a+b-)</t>
  </si>
  <si>
    <t>Jk(a+b+)</t>
  </si>
  <si>
    <t>Jk(a-b+)</t>
  </si>
  <si>
    <t>Total Kidd</t>
  </si>
  <si>
    <t>SECCIÓN:G.4 PRUEBAS CRUZADAS ERITROCITARIAS (BS - UMT)</t>
  </si>
  <si>
    <t>PRUEBAS CRUZADAS</t>
  </si>
  <si>
    <t>COMPATIBLE (NEGATIVO)</t>
  </si>
  <si>
    <t>INCOMPATIBLE (POSITIVO)</t>
  </si>
  <si>
    <t>SECCIÓN:G.3 IDENTIFICACIÓN DE ANTICUERPOS IRREGULARES (CS-BS-UMT)</t>
  </si>
  <si>
    <t>MNS</t>
  </si>
  <si>
    <t>M</t>
  </si>
  <si>
    <t>N</t>
  </si>
  <si>
    <t>S</t>
  </si>
  <si>
    <t>s</t>
  </si>
  <si>
    <t>P1PK</t>
  </si>
  <si>
    <t>P1</t>
  </si>
  <si>
    <t>D</t>
  </si>
  <si>
    <t>C</t>
  </si>
  <si>
    <t>E</t>
  </si>
  <si>
    <t>c</t>
  </si>
  <si>
    <t>e</t>
  </si>
  <si>
    <t>LUTHERAN</t>
  </si>
  <si>
    <t>LEWIS</t>
  </si>
  <si>
    <t>DIEGO</t>
  </si>
  <si>
    <t>NO CONCLUYENTE</t>
  </si>
  <si>
    <t>SECCIÓN:G.2 DETECCIÓN DE ANTICUERPOS IRREGULARES (CS-BS-UMT)</t>
  </si>
  <si>
    <t>DETECCIÓN</t>
  </si>
  <si>
    <t>SECCIÓN:G.1 CLASIFICACIÓN SANGUÍNEA ABO-RhD (CS-BS-UMT)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</si>
  <si>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</si>
  <si>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</si>
  <si>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</si>
  <si>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</si>
  <si>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</si>
  <si>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</si>
  <si>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</si>
  <si>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</si>
  <si>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</si>
  <si>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</si>
  <si>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 G INMUNOHEMATOLOGIA</t>
  </si>
  <si>
    <t>SECCIÓN F: REACCIONES ADVERSAS POR ACTO* TRANSFUSIONAL  (UMT-BS) (NUEVA)</t>
  </si>
  <si>
    <t>Tipo Complicación</t>
  </si>
  <si>
    <t>Origen</t>
  </si>
  <si>
    <t>Tipo</t>
  </si>
  <si>
    <t>COMPLICACIONES AGUDAS</t>
  </si>
  <si>
    <t>INMUNOLÓGICO</t>
  </si>
  <si>
    <t>Reacción hemolítica aguda</t>
  </si>
  <si>
    <t>Reacción febril no hemolítica</t>
  </si>
  <si>
    <t>Reacción alérgica</t>
  </si>
  <si>
    <t>Lesión pulmonar aguda relacionada con la transfusión (TRALI)</t>
  </si>
  <si>
    <t>Aloinmunización con destrucción plaquetaria inmediata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</si>
  <si>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</si>
  <si>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</si>
  <si>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</si>
  <si>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</si>
  <si>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</si>
  <si>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</si>
  <si>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</si>
  <si>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</si>
  <si>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</si>
  <si>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</si>
  <si>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</si>
  <si>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</si>
  <si>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>SECCIÓN C.5:INSATISFACCION OPTIMO (7 DÍAS) CS</t>
  </si>
  <si>
    <t>SECCIÓN C.6: INSATISFACCION STOCK MINIMO (3 DÍAS) UMT</t>
  </si>
  <si>
    <t>NÚMERO DÍAS BAJO STOCK MINIMO</t>
  </si>
  <si>
    <t xml:space="preserve">Anafilaxia/Hipersensibilidad </t>
  </si>
  <si>
    <t>Reacción Hemolítica aguda por inmunocompatibilidad ABO</t>
  </si>
  <si>
    <t xml:space="preserve">Reacción Hemolítica aguda por otra causa 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</si>
  <si>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</si>
  <si>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</si>
  <si>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</si>
  <si>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</si>
  <si>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</si>
  <si>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</si>
  <si>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</si>
  <si>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Filtrados</t>
  </si>
  <si>
    <t>FALLA POR CADENA DE FRÍO EN ALMACENAMIENTO</t>
  </si>
  <si>
    <t xml:space="preserve">FALLA POR CADENA DE FRÍO EN TRANSPORTE  </t>
  </si>
  <si>
    <t>Clasificación</t>
  </si>
  <si>
    <t>Subtipo</t>
  </si>
  <si>
    <t>A. Complicaciones con síntomas locales</t>
  </si>
  <si>
    <t>A.1 Sangre fuera de los vasos sanguíneos</t>
  </si>
  <si>
    <t>Hematoma</t>
  </si>
  <si>
    <t>Punción arterial</t>
  </si>
  <si>
    <t>Sangramiento posterior</t>
  </si>
  <si>
    <t>A.2 Dolor</t>
  </si>
  <si>
    <t>Irritación o injuria en un nervio</t>
  </si>
  <si>
    <t>Brazo doloroso</t>
  </si>
  <si>
    <t>A.3 Inflamación o infección localizada</t>
  </si>
  <si>
    <t>Tromboflebitis</t>
  </si>
  <si>
    <t>Celulitis</t>
  </si>
  <si>
    <t>A.4 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</si>
  <si>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</si>
  <si>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</si>
  <si>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</si>
  <si>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</si>
  <si>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B. Complicaciones con síntomas generalizados</t>
  </si>
  <si>
    <t>B.1 Reacción vasovagal (RVV)</t>
  </si>
  <si>
    <t>Sin pérdida de conciencia</t>
  </si>
  <si>
    <t>Con pérdida de conciencia</t>
  </si>
  <si>
    <t>&lt;60 segundos, sin complicaciones</t>
  </si>
  <si>
    <t>Con lesión</t>
  </si>
  <si>
    <t>Sin lesión</t>
  </si>
  <si>
    <t>En el sitio de recolección</t>
  </si>
  <si>
    <t>Fuera del sitio de recolección</t>
  </si>
  <si>
    <t>C. Complicaciones relacionadas a la aféresis</t>
  </si>
  <si>
    <t>C.1 Reacción al citrato</t>
  </si>
  <si>
    <t>C.2 Hemólisis</t>
  </si>
  <si>
    <t>C.3 Embolismo aéreo</t>
  </si>
  <si>
    <t>C.4 Infiltración</t>
  </si>
  <si>
    <t>D. Reacción alérgica</t>
  </si>
  <si>
    <t>D.1 Alergia local</t>
  </si>
  <si>
    <t>D.2 Reacción alérgica generalizada (anafilaxia)</t>
  </si>
  <si>
    <t>E. Otras complicaciones serias a la donación de sangre</t>
  </si>
  <si>
    <t>E.1 Evento mayor cardiovascular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</si>
  <si>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</si>
  <si>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</si>
  <si>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</si>
  <si>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</si>
  <si>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</si>
  <si>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</si>
  <si>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F. Otras complicaciones</t>
  </si>
  <si>
    <t>F.1 Otras no mencionadas</t>
  </si>
  <si>
    <t xml:space="preserve">Enfermera/a  </t>
  </si>
  <si>
    <t xml:space="preserve">Médico/a del Programa </t>
  </si>
  <si>
    <t>Psicologo/a</t>
  </si>
  <si>
    <t xml:space="preserve">Fonoaudiólogo </t>
  </si>
  <si>
    <t xml:space="preserve">Terapauta Ocupacional 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</si>
  <si>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</si>
  <si>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</si>
  <si>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</si>
  <si>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</si>
  <si>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</si>
  <si>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</si>
  <si>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>N° DE CUESTIONARIO PHQ-9 PARA ADULTOS</t>
  </si>
  <si>
    <t>N° DE ESCALA CAPE-P15</t>
  </si>
  <si>
    <t>N° DE ESCALA DE DEPRESIÓN GERIÁTRICA DE YESAVAGE GDS-15</t>
  </si>
  <si>
    <t>REFERENCIA ASISTIDA EN CONTEXTO DE TAMIZAJE</t>
  </si>
  <si>
    <t>PLAN DE ACOMPAÑAMIENTO CON MEJORÍA AL EGRESO DEL PROGRAMA</t>
  </si>
  <si>
    <t>TIEMPOS DE ESPERA ENTRE:</t>
  </si>
  <si>
    <t>EVALUACIÓN AL EGRESO</t>
  </si>
  <si>
    <t>ESCALA DE COLUMBIA</t>
  </si>
  <si>
    <t>RIESGO MEDIO</t>
  </si>
  <si>
    <t>Domicilio</t>
  </si>
  <si>
    <t>Atención Cerrada</t>
  </si>
  <si>
    <t>Urgencia Hospitalaria</t>
  </si>
  <si>
    <t>Nivel Hospitalario</t>
  </si>
  <si>
    <t>Atención Primaria de Salud</t>
  </si>
  <si>
    <t>Modalidad Remota</t>
  </si>
  <si>
    <t>Modalidad Presencial</t>
  </si>
  <si>
    <t xml:space="preserve">Nº Sesiones </t>
  </si>
  <si>
    <t xml:space="preserve">Nº Participantes </t>
  </si>
  <si>
    <t>Destino Hospitalario</t>
  </si>
  <si>
    <t>Entre Especialistas</t>
  </si>
  <si>
    <t>Con la RED</t>
  </si>
  <si>
    <t>Desde Especialidad</t>
  </si>
  <si>
    <t>Desde APS (atención primaria de salud)</t>
  </si>
  <si>
    <t xml:space="preserve">Derivación desde Especialidad </t>
  </si>
  <si>
    <t xml:space="preserve">Derivación desde APS (atención primaria de salud) </t>
  </si>
  <si>
    <t xml:space="preserve">Derivación desde Urgencia </t>
  </si>
  <si>
    <t>Consulta Nueva</t>
  </si>
  <si>
    <t>Consulta Control</t>
  </si>
  <si>
    <t>Visita Domiciliaria</t>
  </si>
  <si>
    <t>Inerconsulta en Sala</t>
  </si>
  <si>
    <t>Atención Farmacéutica</t>
  </si>
  <si>
    <t>Procedimientos</t>
  </si>
  <si>
    <t xml:space="preserve">Educación 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</si>
  <si>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</si>
  <si>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</si>
  <si>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</si>
  <si>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</si>
  <si>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</si>
  <si>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</si>
  <si>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</si>
  <si>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</si>
  <si>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</si>
  <si>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</si>
  <si>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 YESAVAGE GDS-15</t>
  </si>
  <si>
    <t xml:space="preserve">INGRESO Y EGRESO SEGÚN DIAGNÓSTICO </t>
  </si>
  <si>
    <t>SECCIÓN F: CONSULTA ABREVIADA PROFESIONALES NO MÉDICOS PRAIS</t>
  </si>
  <si>
    <t>SECCIÓN G: ATENCIONES DE MEDICINA INDÍGENA</t>
  </si>
  <si>
    <t>SECCIÓN H: INTERVENCIÓN INDIVIDUAL DEL USUARIO EN PROGRAMA ELIGE VIDA SANA</t>
  </si>
  <si>
    <t>SECCIÓN I: SERVICIOS FARMACÉUTICOS</t>
  </si>
  <si>
    <t>SECCIÓN J: DESPACHO DE RECETAS DE PACIENTES AMBULATORIOS</t>
  </si>
  <si>
    <t>SECCIÓN K: RONDAS POR TIPO Y PROFESIONAL</t>
  </si>
  <si>
    <t>SECCIÓN L: CLASIFICACIÓN DE CONSULTA NUTRICIONAL POR GRUPO DE EDAD (Incluidas en sección B)</t>
  </si>
  <si>
    <t>SECCIÓN M: CONSULTA DE LACTANCIA EN NIÑOS Y NIÑAS CONTROLADOS</t>
  </si>
  <si>
    <t xml:space="preserve">MAL NUTRICIÓN POR RIEGO OBESIDAD SOBREPESO </t>
  </si>
  <si>
    <t>ANTECEDENTES ENF. CARDIOVASCULAR (F.VENTRICULAR-IAM)</t>
  </si>
  <si>
    <t>ANTECEDENTES ENF. CEREBROVASCULAR (ACV)</t>
  </si>
  <si>
    <t>Traslado o Derivación</t>
  </si>
  <si>
    <t>TIPO DE EDUCACIÓN</t>
  </si>
  <si>
    <t>PROFESIONAL/OTROS</t>
  </si>
  <si>
    <t>INDIVIDUAL</t>
  </si>
  <si>
    <t>TALLER GRUPAL</t>
  </si>
  <si>
    <t>PODÓLOGA/O  CLINICO</t>
  </si>
  <si>
    <t>TÉCNICO EN ENFERMERÍA</t>
  </si>
  <si>
    <t>EQUIPO MULTIDISCIPLINARIO</t>
  </si>
  <si>
    <t>SECCIÓN: H.2 AFERESIS TERAPÉUTICA (UMT - BS)</t>
  </si>
  <si>
    <t>SECCIÓN: H.1 AFERESIS DE DONACIÓN (BS- UMT- CS)</t>
  </si>
  <si>
    <t>Monoespecífico IgG</t>
  </si>
  <si>
    <t>Monoespecífico  C3d</t>
  </si>
  <si>
    <t xml:space="preserve">Poliespecífico </t>
  </si>
  <si>
    <t>K</t>
  </si>
  <si>
    <t>k</t>
  </si>
  <si>
    <t>Emarazadas</t>
  </si>
  <si>
    <t>Donantes</t>
  </si>
  <si>
    <t>Anticuerpo</t>
  </si>
  <si>
    <t>Positivo</t>
  </si>
  <si>
    <t>Negativo</t>
  </si>
  <si>
    <t>Indeterminado</t>
  </si>
  <si>
    <t>Glóbulos Rojos</t>
  </si>
  <si>
    <t>Plasma</t>
  </si>
  <si>
    <t>Plaquetas</t>
  </si>
  <si>
    <t>Altruista</t>
  </si>
  <si>
    <t>Reposición</t>
  </si>
  <si>
    <t>Unidades Pediatricas</t>
  </si>
  <si>
    <t xml:space="preserve">Irradiación </t>
  </si>
  <si>
    <t xml:space="preserve">Reducción volumen </t>
  </si>
  <si>
    <t xml:space="preserve">Desplasmatización </t>
  </si>
  <si>
    <t xml:space="preserve">Filtrados </t>
  </si>
  <si>
    <t xml:space="preserve">Reconstitucón para uso pediátrico (recambio) </t>
  </si>
  <si>
    <t>SECCIÓN H: APLICACIÓN DE TAMIZAJE PARA EVALUAR RIESGO DE TRASTORNOS O PROBLEMAS DE SALUD MENTAL EN APS</t>
  </si>
  <si>
    <t>SECCIÓN I: APLICACIÓN Y RESULTADO DE PAUTA EVALUACIÓN PROGRAMA ACOMPAÑAMIENTO PSICOSOCIAL EN APS</t>
  </si>
  <si>
    <t>SECCIÓN G: INGRESOS DE NIÑOS NIÑAS Y ADOLESCENTES CON NECESIDADES ESPECIALES DE BAJA COMPLEJIDAD A CONTROL DE SALUD  EN APS</t>
  </si>
  <si>
    <t>SECCIÓN E: PERSONAS CON EVALUACIÓN Y CONFIRMACIÓN DIAGNOSTICA EN APS</t>
  </si>
  <si>
    <t>SECCIÓN F: EVALUACIONES PROGRAMA PLAN NACIONAL DE DEMENCIA</t>
  </si>
  <si>
    <t>SECCIÓN G: EVALUACIÓN PROGRAMA DE APOYO A LA SALUD MENTAL INFANTIL (PASMI)</t>
  </si>
  <si>
    <t>SECCIÓN H: CONSULTA DE SALUD MENTAL POR EL NIVEL DE ESPECIALIDAD</t>
  </si>
  <si>
    <t xml:space="preserve">SECCIÓN I: RESCATE DE PACIENTES PROGRAMA SALUD MENTAL </t>
  </si>
  <si>
    <t>SECCIÓN J: TIEMPOS DE ESPERA EN SALUD MENTAL DE APS</t>
  </si>
  <si>
    <t xml:space="preserve"> 0  -  4 años</t>
  </si>
  <si>
    <t xml:space="preserve"> 5  -  9 años</t>
  </si>
  <si>
    <t xml:space="preserve"> 10 - 14 años</t>
  </si>
  <si>
    <t>En consulta de ingreso a equipo PRAIS</t>
  </si>
  <si>
    <t xml:space="preserve">Demanda de usuario </t>
  </si>
  <si>
    <t xml:space="preserve">Solicitud de Tribunal </t>
  </si>
  <si>
    <t xml:space="preserve"> 0 - 4 años</t>
  </si>
  <si>
    <t xml:space="preserve"> 5 - 9 años</t>
  </si>
  <si>
    <t xml:space="preserve"> 10 -14 años</t>
  </si>
  <si>
    <t xml:space="preserve">Madre de hijo menor de 5 años </t>
  </si>
  <si>
    <t xml:space="preserve">Número de días </t>
  </si>
  <si>
    <t xml:space="preserve">Número de personas atendidas </t>
  </si>
  <si>
    <t xml:space="preserve">Urgencia </t>
  </si>
  <si>
    <t xml:space="preserve">CAE/CDT/CRS/Hospitalización </t>
  </si>
  <si>
    <t>Niños, Niñas, Adolescentes SENAME</t>
  </si>
  <si>
    <t>ARO por Ley IVE</t>
  </si>
  <si>
    <t xml:space="preserve">Ginecología y otros </t>
  </si>
  <si>
    <t xml:space="preserve">Infertilidad </t>
  </si>
  <si>
    <t>SECCIÓN A.1: ATRIBUTOS DE LAS ATENCIONES DE ESPECIALIDAD</t>
  </si>
  <si>
    <t xml:space="preserve">SECCIÓN K: CONSULTORÍAS DE ESPECIALIDADES ODONTOLÓGICAS. </t>
  </si>
  <si>
    <t xml:space="preserve">15-19 años </t>
  </si>
  <si>
    <t>25-29 años</t>
  </si>
  <si>
    <t>30-34 años</t>
  </si>
  <si>
    <t>35-39 años</t>
  </si>
  <si>
    <t>40-44 años</t>
  </si>
  <si>
    <t>45-49 años</t>
  </si>
  <si>
    <t>50-54 años</t>
  </si>
  <si>
    <t>70-74 años</t>
  </si>
  <si>
    <t>75- 79 años</t>
  </si>
  <si>
    <t>25 - 34 años</t>
  </si>
  <si>
    <t>35 - 44 años</t>
  </si>
  <si>
    <t>45 - 54 años</t>
  </si>
  <si>
    <t>15 - 17 años</t>
  </si>
  <si>
    <t>18 - 24 años</t>
  </si>
  <si>
    <t>25 - 44 años</t>
  </si>
  <si>
    <t>65 años y más años</t>
  </si>
  <si>
    <t>KINESIOLOGÍA</t>
  </si>
  <si>
    <t>Red Pública</t>
  </si>
  <si>
    <t>Privados</t>
  </si>
  <si>
    <t xml:space="preserve">SECCION A.2: CESÁREAS (responsabilidad del Médico Jefe del Servicio de Obstetricia) </t>
  </si>
  <si>
    <t>REINGRESO</t>
  </si>
  <si>
    <t>TRASLADO</t>
  </si>
  <si>
    <t>SECCIÓN F: VISITA A ESTABLECIMIENTO EDUCACIONAL PROGRAMA DE APOYO A LA SALUD MENTAL INFANTIL (PASMI) EN ATENCIÓN PRIMARIA</t>
  </si>
  <si>
    <t>SECCIÓN G: CONSULTAS Y CONTROLES  DE ESPECIALIDAD RESUELTAS POR VISITAS DOMICILIARIAS</t>
  </si>
  <si>
    <t>SECCIÓN A: SEGUIMIENTO EN ATENCIÓN PRIMARIA DE SALUD POR LLAMADA TELEFÓNICA O VIDEOLLAMADAS</t>
  </si>
  <si>
    <t>SECCIÓN C: CONSULTA MÉDICA EN ATENCIÓN PRIMARIA DE SALUD POR LLAMADA TELEFÓNICA O VIDEOLLAMADAS</t>
  </si>
  <si>
    <t>15 - 19  años</t>
  </si>
  <si>
    <t>Alta</t>
  </si>
  <si>
    <t>SECCIÓN C:  VISITAS CON FINES DE TRATAMIENTOS Y/O PROCEDIMIENTOS EN DOMICILIO A PERSONAS CON DEPENDENCIA</t>
  </si>
  <si>
    <t xml:space="preserve">Menor de  1 año </t>
  </si>
  <si>
    <t xml:space="preserve">10 a 14 años </t>
  </si>
  <si>
    <t xml:space="preserve">Técnico en enfermería </t>
  </si>
  <si>
    <t>SECCIÓN A.2: INGRESOS, EGRESOS Y TRASLADOS AL PROGRAMA DE ATENCION DOMICILIARIA PERSONAS CON DEPENDENCIA SEVERA</t>
  </si>
  <si>
    <t xml:space="preserve">SECCIÓN A:  ATENCIONES DE REHABILITACIÓN NIVEL PRIMARIO  </t>
  </si>
  <si>
    <t>Menor 
de 20 años</t>
  </si>
  <si>
    <t>20 - 34 años</t>
  </si>
  <si>
    <t>35 y más años</t>
  </si>
  <si>
    <t xml:space="preserve">Población Multimorbilidad Crónica </t>
  </si>
  <si>
    <t xml:space="preserve">Evaluación Zarit cuidador </t>
  </si>
  <si>
    <t xml:space="preserve">Población ELEAM o institucionalizada </t>
  </si>
  <si>
    <t xml:space="preserve">Evaluación Plan de Cuidados a Cuidador </t>
  </si>
  <si>
    <t>Elaboración plan de cuidados a cuidador</t>
  </si>
  <si>
    <t xml:space="preserve">Evaluación plan de cuidados a personas dependientes </t>
  </si>
  <si>
    <t>17 años</t>
  </si>
  <si>
    <t>Un Profesional</t>
  </si>
  <si>
    <t xml:space="preserve">Un profesional y un Técnico en Enfermería </t>
  </si>
  <si>
    <t xml:space="preserve">Facilitador/a Intercultural Pueblos Originarios </t>
  </si>
  <si>
    <t>&lt;15 años</t>
  </si>
  <si>
    <t xml:space="preserve">RETINOGRAFÍA, AMBOS OJOS (FONDO DE OJO) </t>
  </si>
  <si>
    <t>&lt; 35 años</t>
  </si>
  <si>
    <t>35 A 49 años</t>
  </si>
  <si>
    <t>Matrón/a</t>
  </si>
  <si>
    <t xml:space="preserve">Consulta de Lactancia Materna posterior al alta </t>
  </si>
  <si>
    <t xml:space="preserve">Consulta de Lactancia Materna durante la hospitalización </t>
  </si>
  <si>
    <t xml:space="preserve">SECCIÓN F: TELECOMITE DE ESPECIALIDAD </t>
  </si>
  <si>
    <t>Interconsultas pertinentes según Criterio Clínico</t>
  </si>
  <si>
    <t>Última sesión Término de Tratramiento</t>
  </si>
  <si>
    <t>10 A 14 años</t>
  </si>
  <si>
    <t>15 A 19 años</t>
  </si>
  <si>
    <t>65 o más años</t>
  </si>
  <si>
    <t xml:space="preserve">5 a 9 años </t>
  </si>
  <si>
    <t>Menor 
de 1 año</t>
  </si>
  <si>
    <t>Menor  de 1 año</t>
  </si>
  <si>
    <t>19 años</t>
  </si>
  <si>
    <t>15 a 18 años</t>
  </si>
  <si>
    <t>5 a 9  años</t>
  </si>
  <si>
    <t>Menor 
de 15 años</t>
  </si>
  <si>
    <t>70 y más años</t>
  </si>
  <si>
    <t xml:space="preserve"> 10 - 14  años</t>
  </si>
  <si>
    <t>Consultas pertinentes según tiempo establecido en Box</t>
  </si>
  <si>
    <t>Contrarreferencia inicial o retorno</t>
  </si>
  <si>
    <t>Contrarreferencia al alta</t>
  </si>
  <si>
    <t>Menor de 15 años</t>
  </si>
  <si>
    <t>15 A 64 años</t>
  </si>
  <si>
    <t>REM-28. REHABILITACIÓN INTEGRAL</t>
  </si>
  <si>
    <t>ATAQUE CEREBRO VASCULAR (ACV)</t>
  </si>
  <si>
    <t>SECCIÓN B.1: INGRESOS Y EGRESOS  A REHABILITACIÓN INTEGRAL</t>
  </si>
  <si>
    <t>TRASTORNOS DEL NEURODESARROLLO</t>
  </si>
  <si>
    <t>Total menor que suma por edad</t>
  </si>
  <si>
    <t>Total menor que suma prematuros</t>
  </si>
  <si>
    <t>Total menor que originarios</t>
  </si>
  <si>
    <t>Total menor que migrantes</t>
  </si>
  <si>
    <t>total menor que trans</t>
  </si>
  <si>
    <t>suma partos por cantidad de semanas igual a total</t>
  </si>
  <si>
    <t>NNA Mejor Niñez Mayor a Total</t>
  </si>
  <si>
    <t>Pueblos Originarios Mayor a Total</t>
  </si>
  <si>
    <t>REMA33</t>
  </si>
  <si>
    <t>Atenciones por profesional o Técnico Igual a Total</t>
  </si>
  <si>
    <t>Consultorio General Urbano (CGU) - CESFAM</t>
  </si>
  <si>
    <t>Consultorio General Urbano (CGU) - CESFAM con SAPU/SAR</t>
  </si>
  <si>
    <t>Consultorio General Rural (CGR) - CESFAM</t>
  </si>
  <si>
    <t>Consultorio General Rural (CGR) - CESFAM con SAPU/SAR/SUR</t>
  </si>
  <si>
    <t>Centro Comunitario de Salud Familiar (CECOF)</t>
  </si>
  <si>
    <t>RECIÉN NACIDO HASTA 10 DÍAS DE VIDA</t>
  </si>
  <si>
    <t>RECIÉN NACIDO ENTRE 11 y 28 DÍAS</t>
  </si>
  <si>
    <t>PRESIÓN ARTERIAL ELEVADA (= &gt;140/90 mmHg)</t>
  </si>
  <si>
    <t>CUIDADOR/A PACIENTE CON DEPENDENCIA SEVERA CON SOBRECARGA INTENSA</t>
  </si>
  <si>
    <t>CUIDADOR/A PACIENTE CON DEPENDENCIA SEVERA SIN SOBRECARGA INTENSA</t>
  </si>
  <si>
    <t>CUIDADOR/A PACIENTES NANEAS CON SOBRECARGA INTENSA</t>
  </si>
  <si>
    <t>CUIDADOR/A PACIENTES NANEAS SIN SOBRECARGA INTENSA</t>
  </si>
  <si>
    <r>
      <rPr>
        <b/>
        <sz val="8"/>
        <rFont val="Verdana"/>
        <family val="2"/>
      </rPr>
      <t>PRIMERA SESIÓN</t>
    </r>
    <r>
      <rPr>
        <sz val="8"/>
        <rFont val="Verdana"/>
        <family val="2"/>
      </rPr>
      <t xml:space="preserve">
(USUARIOS ATENDIDOS POR PROFESIONAL)</t>
    </r>
  </si>
  <si>
    <r>
      <rPr>
        <b/>
        <sz val="8"/>
        <rFont val="Verdana"/>
        <family val="2"/>
      </rPr>
      <t>SEGUNDA  SESIÓN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</si>
  <si>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</si>
  <si>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>CUARTA SESIÓN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</si>
  <si>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>QUINTA SESIÓN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</si>
  <si>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>SEXTA SESIÓN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</si>
  <si>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TRABAJADOR/A SOCIAL (EXCLUYE SM)</t>
  </si>
  <si>
    <t>COORDINACION TERRITORIAL</t>
  </si>
  <si>
    <t>Inicio precoz de MAC nivel secundario y terciario</t>
  </si>
  <si>
    <t>INGRESO RIESGO MODERADO (G2)</t>
  </si>
  <si>
    <t>EGRESO RIESGO MODERADO (G2)</t>
  </si>
  <si>
    <t>Consultas  pertinentes según Criterio Clínico en Box</t>
  </si>
  <si>
    <t>CIRUGÍA DIGESTIVA (ALTA)</t>
  </si>
  <si>
    <t>COLOPROCTOLOGÍA (CIRUGIA DIGESTIVA BAJA)</t>
  </si>
  <si>
    <t>MEDICINA FAMILIAR DEL NIÑO</t>
  </si>
  <si>
    <t>Trans Femenino</t>
  </si>
  <si>
    <t>Trans Masculino</t>
  </si>
  <si>
    <t>ODONTÓLOGO</t>
  </si>
  <si>
    <t>SECCIÓN D: PACIENTES CON INDICACIÓN DE HOSPITALIZACIÓN EN ESPERA DE CAMAS EN UEH (establecimientos de alta, mediana y baja complejidad)</t>
  </si>
  <si>
    <t>SECCIÓN E PACIENTES CON INDICACIÓN DE OBSERVACIÓN EN SAR Y SAPU</t>
  </si>
  <si>
    <t>SECCIÓN A.4: CONSEJERÍAS INDIVIDUALES  CON ENTREGA DE PRESERVATIVOS (INCLUIDAS EN SECCIÓN A.1)</t>
  </si>
  <si>
    <t xml:space="preserve">15-19 </t>
  </si>
  <si>
    <t xml:space="preserve">20-24 </t>
  </si>
  <si>
    <t xml:space="preserve">25-29 </t>
  </si>
  <si>
    <t xml:space="preserve">30-34 </t>
  </si>
  <si>
    <t xml:space="preserve">40-44 </t>
  </si>
  <si>
    <t xml:space="preserve">50-54 </t>
  </si>
  <si>
    <t xml:space="preserve">60-64 </t>
  </si>
  <si>
    <t xml:space="preserve">65-69 </t>
  </si>
  <si>
    <t xml:space="preserve">70-74 </t>
  </si>
  <si>
    <t>75- 79</t>
  </si>
  <si>
    <t>14 a 18</t>
  </si>
  <si>
    <t xml:space="preserve">CONSEJERÍA CON ENTREGA DE PRESERVATIVOS </t>
  </si>
  <si>
    <t>CONDONES MASCULINOS</t>
  </si>
  <si>
    <t>CONDONES FEMENINOS</t>
  </si>
  <si>
    <t>AMBOS TIPOS DE CONDONES</t>
  </si>
  <si>
    <t>SECCIÓN H: INASISTENTES A CITACIÓN AGENDADA</t>
  </si>
  <si>
    <t>Menor de 20 años</t>
  </si>
  <si>
    <t>De 20 años y más</t>
  </si>
  <si>
    <t>SECCIÓN I: PROCEDIMIENTOS REALIZADOS</t>
  </si>
  <si>
    <t>SECCIÓN J: DERIVACIÓN DE PACIENTES SEGÚN DESTINO</t>
  </si>
  <si>
    <t>SECCIÓN K: RECEPCIÓN DE PACIENTES SEGÚN ORIGEN</t>
  </si>
  <si>
    <t>SECCIÓN L: HOSPITALIZACION ABREVIADA / INTERVENCION EN CRISIS RESPIRATORIA</t>
  </si>
  <si>
    <t>SECCIÓN M: EDUCACIÓN EN SALAS</t>
  </si>
  <si>
    <t>SECCIÓN M.1: EDUCACION INDIVIDUAL EN SALA</t>
  </si>
  <si>
    <t>SECCIÓN M.2: EDUCACIÓN GRUPAL (AGENDADA Y PROGRAMADA)</t>
  </si>
  <si>
    <t xml:space="preserve">SECCIÓN N: VISITAS DOMICILIARIAS Y SEGUIMIENTO REALIZADOS POR EQUIPO IRA-ERA </t>
  </si>
  <si>
    <t xml:space="preserve">SECCIÓN O: REHABILITACION PULMONAR Y ACTIVIDAD FISICA </t>
  </si>
  <si>
    <t>SECCIÓN P: REHABILITACION PULMONAR POST COVID</t>
  </si>
  <si>
    <t>SECCIÓN Q: APLICACIÓN DE ENCUESTA CALIDAD DE VIDA</t>
  </si>
  <si>
    <t>TOTAL DE ACTIVIDADES POR DIAGNOSTICO</t>
  </si>
  <si>
    <t>Anestesia y/o Analgesia del párto (medidas farmacologicas y no farmacológica)</t>
  </si>
  <si>
    <t>Contacto inmediato piel a piel &gt;30 minutos</t>
  </si>
  <si>
    <t>Total**</t>
  </si>
  <si>
    <t>38 semanas y más</t>
  </si>
  <si>
    <t>≥ 60 segundos y/ o convulsiones o incontinencia</t>
  </si>
  <si>
    <t>SECCIÓN C: EDUCACIÓN GRUPAL A GESTANTES DE ALTO RIESGO OBSTÉTRICO (Nivel Secundario)</t>
  </si>
  <si>
    <t>SECCIÓN D: TALLERES PROGRAMA "MÁS A.M AUTOVALENTES"</t>
  </si>
  <si>
    <t>SECCIÓN E: TALLERES PROGRAMA ELIGE VIDA SANA</t>
  </si>
  <si>
    <t>SECCIÓN F: INTERVENCIONES POR PATRÓN DE CONSUMO DE ALCOHOL, TABACO Y OTRAS DROGAS</t>
  </si>
  <si>
    <t>SECCIÓN G: PERSONAS QUE INGRESAN A TALLERES PARA PADRES DEL PROGRAMA DE APOYO A LA SALUD MENTAL INFANTIL (PASMI)</t>
  </si>
  <si>
    <t>SECCIÓN H: ORGANIZACIONES SOCIALES DE LA RED DEL PROGRAMA MÁS ADULTOS MAYORES AUTOVALENTES</t>
  </si>
  <si>
    <t>SECCIÓN I: SERVICIOS DE LA RED DEL PROGRAMA MÁS ADULTOS MAYORES AUTOVALENTES</t>
  </si>
  <si>
    <t xml:space="preserve">SECCIÓN J: TALLERES GRUPALES  DE LACTANCIA MATERNA EN ATENCIÓN PRIMARIA </t>
  </si>
  <si>
    <t>SECCIÓN K: INTERVENCIONES POSTERIOR AL TAMIZAJE DE SALUD MENTAL</t>
  </si>
  <si>
    <t>SECCIÓN M: EDUCACIÓN PARA PROGRAMA DE SALUD CARDIOVASCULAR</t>
  </si>
  <si>
    <t>INTERVENCIÓN BREVE O MOTIVACIONAL
(RIESGO)</t>
  </si>
  <si>
    <t xml:space="preserve">Dos o más profesionales </t>
  </si>
  <si>
    <t>45 - 64 años</t>
  </si>
  <si>
    <t xml:space="preserve">TELECOMITE DE ESPECIALIDAD </t>
  </si>
  <si>
    <t>TELECOMITE REALIZADOS</t>
  </si>
  <si>
    <t xml:space="preserve">TELECOMITE SOLICITADOS DESDE  NIVEL SECUNDARIO Y TERCIARIO Y RESUELTOS POR OTRO ESTABLECIMIENTO </t>
  </si>
  <si>
    <t>TOTAL TELECOMITE REALIZADOS</t>
  </si>
  <si>
    <t>CUIDADOS PALIATIVOS ONCOLÓGICO</t>
  </si>
  <si>
    <t>CUIDADOS PALIATIVOS NO ONCOLÓGICO UNIVERSALES</t>
  </si>
  <si>
    <t>UNIDAD DE PACIENTE CRÍTICO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</si>
  <si>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</si>
  <si>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TELEINTERCONSULTA DE ESPECIALIDAD ODONTOLÓGICA AMBULATORIA  NUEVA</t>
  </si>
  <si>
    <t xml:space="preserve">TELEINTERCONSULTA DE ESPECIALIDAD ODONTOLÓGICA AMBULATORIA  CONTROL 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</si>
  <si>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</si>
  <si>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 xml:space="preserve">SOLICITUD DE TELEINTERCONSULTA DE ESPECIALIDAD ODONTOLÓGICA </t>
  </si>
  <si>
    <t>Niños, niñas, adolescentes y jóvenes población SENAME</t>
  </si>
  <si>
    <t>Paciente en Control Programa Salud Cardiovascular</t>
  </si>
  <si>
    <t>Menos de 1 año</t>
  </si>
  <si>
    <t>3 años</t>
  </si>
  <si>
    <t>8-9 años</t>
  </si>
  <si>
    <t xml:space="preserve">20-24 años </t>
  </si>
  <si>
    <t>25-34 años</t>
  </si>
  <si>
    <t>35-44 años</t>
  </si>
  <si>
    <t>45-59 años</t>
  </si>
  <si>
    <t>Pacientes en Control Programa Salud Cardiovascular</t>
  </si>
  <si>
    <t>Menos de 1 año - 1 año</t>
  </si>
  <si>
    <t>Egreso por Abandono</t>
  </si>
  <si>
    <t>Paciente Diabético en Control Programa Salud Cardiovascular</t>
  </si>
  <si>
    <t>Usuarios Oncológicos</t>
  </si>
  <si>
    <t>MATRONA /ÓN (PISO PELVICO)</t>
  </si>
  <si>
    <t>Contacto telefónico</t>
  </si>
  <si>
    <t>TELEINTERCONSULTA  MEDICA DE ESPECIALIDAD AMBULATORIA  NUEVA</t>
  </si>
  <si>
    <t xml:space="preserve">TELEINTERCONSULTA MEDICA  DE ESPECIALIDAD AMBULATORIA  CONTROL </t>
  </si>
  <si>
    <t xml:space="preserve">TOTAL TELEINTERCONSULTAS  MEDICAS AMBULATORIAS DE ESPECIALIDAD </t>
  </si>
  <si>
    <t xml:space="preserve">TELEINTERCONSULTA MEDICINA MEDICA DE ESPECIALIDAD REALIZADAS   A PACIENTES HOSPITALIZADOS </t>
  </si>
  <si>
    <t xml:space="preserve">TELEINTERCONSULTAS SOLICITADAS DESDE APS O NIVEL SECUNDARIO PARA SER RESUELTAS POR OTRO ESTABLECIMIENTO </t>
  </si>
  <si>
    <t>SECCIÓN B : TELEINTERCONSULTA  MÉDICA EN ESTABLECIMIENTOS DE ATENCIÓN SECUNDARIA DE URGENCIA (ATENCIÓN MEDICO A MÉDICO)</t>
  </si>
  <si>
    <t>Espacios Amigables/ Adolescente</t>
  </si>
  <si>
    <t xml:space="preserve">UN PROFESIONAL Y UN TÉCNICO EN ENFERMERÍA </t>
  </si>
  <si>
    <t xml:space="preserve">TRANS
</t>
  </si>
  <si>
    <t>TÉCNICO EN ENFERMERÍA EN SALUD MENTAL</t>
  </si>
  <si>
    <t>0 - 9</t>
  </si>
  <si>
    <t>10-17</t>
  </si>
  <si>
    <t>25-34</t>
  </si>
  <si>
    <t>35-44</t>
  </si>
  <si>
    <t>45-54</t>
  </si>
  <si>
    <t>55-64</t>
  </si>
  <si>
    <t>65 -74</t>
  </si>
  <si>
    <t>75 años y más</t>
  </si>
  <si>
    <t>18-19</t>
  </si>
  <si>
    <t>20 A 34 AÑOS</t>
  </si>
  <si>
    <t>Espacios amigables/ Adolescentes</t>
  </si>
  <si>
    <t>Espacios Amigables/ Adolescentes</t>
  </si>
  <si>
    <t xml:space="preserve">TELEPROCEDIMIENTOS SOLICITADOS DESDE  NIVEL SECUNDARIO Y TERCIARIO Y RESUELTOS POR OTRO ESTABLECIMIENTO </t>
  </si>
  <si>
    <t>N° DE INFORMES FONDO DE OJO (EXCLUYE RESOLUTIVIDAD)</t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</si>
  <si>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INHABIL</t>
    </r>
  </si>
  <si>
    <t>CIRUGIAS MENORES Y PROCEDIMIENTOS*</t>
  </si>
  <si>
    <t>0-9 años</t>
  </si>
  <si>
    <t>10 a 19 años</t>
  </si>
  <si>
    <t xml:space="preserve">ESTRATEGIA, ESPACIOS O LÍNEAS DE ACCIÓN </t>
  </si>
  <si>
    <t>FAMILIA CON INTEGRANTE DEPENDIENTE SEVERO EN PROGRAMA CON ENFERMEDAD TERMINAL</t>
  </si>
  <si>
    <t>ENFERMEDAD RENAL CRÓNICA</t>
  </si>
  <si>
    <t>Atenciones por profesionales  a Honorarios</t>
  </si>
  <si>
    <t>TRASTORNO ADAPTATIVO</t>
  </si>
  <si>
    <t xml:space="preserve">TECNÓLOGO/A MÉDICO/A CONSULTA POR VICIO DE REFRACCIÓN </t>
  </si>
  <si>
    <t>GLAUCOMA (por médico/a) (inlcuidas dentro de consultas de oftalmologia)</t>
  </si>
  <si>
    <t>ATENCION FARMACEUTICA</t>
  </si>
  <si>
    <t xml:space="preserve">UN PROFESIONAL Y 
UN TÉCNICO EN ENFERMERÍA </t>
  </si>
  <si>
    <t>OTRO PROFESIONAL (capacitados en EMP Y EMPAM)</t>
  </si>
  <si>
    <t xml:space="preserve">SECCIÓN C: INGRESOS A PROGRAMA DE REGULACIÓN DE FERTILIDAD Y SALUD SEXUAL.  </t>
  </si>
  <si>
    <t>EGRESADOS QUE MANTUVIERON LACTANCIA MATERNA EXCLUSIVA DURANTE LA HOSPITALIZACIÓN Y  AL ALTA *</t>
  </si>
  <si>
    <t>*Contenidos en egresos con lactancia materna exclusiva</t>
  </si>
  <si>
    <t>ATENCIÓN MÉDICA GINECO-OBSTETRA</t>
  </si>
  <si>
    <t xml:space="preserve">SECCIÓN B: CATEGORIZACIÓN DE PACIENTES, PREVIA A LA ATENCIÓN MÉDICA Y ODONTOLÓGICA (Establecimientos Alta, Mediana, Baja Complejidad, SAR y SAPU) </t>
  </si>
  <si>
    <r>
      <t xml:space="preserve">SECCIÓN F1: ACCIONES </t>
    </r>
    <r>
      <rPr>
        <b/>
        <sz val="8"/>
        <color theme="1"/>
        <rFont val="Verdana"/>
        <family val="2"/>
      </rPr>
      <t>REMOTAS DE SALUD MENTAL (APS Y ESPECIALIDAD)</t>
    </r>
  </si>
  <si>
    <t>ECOGRAFÍA TRANSVAGINAL O RECTAL (excluye Climaterio)</t>
  </si>
  <si>
    <t>Compra de Servicios (No incluidas en total de atenciones)</t>
  </si>
  <si>
    <t>Consultas Médicas por Operativos (no incluidas en produccion)</t>
  </si>
  <si>
    <t xml:space="preserve">Derivación desde Hospitalización </t>
  </si>
  <si>
    <t>ALTA DE CONSULTA DE ESPECIALIDAD AMBULATORIA</t>
  </si>
  <si>
    <t>QUIRÓFANOS CIRUGIA MAYOR</t>
  </si>
  <si>
    <r>
      <t xml:space="preserve">*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</si>
  <si>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Teleconsultas de especialidad resueltas por Médicos Generales</t>
  </si>
  <si>
    <t>MÉDICO/A ESPECIALIDAD-SUBESPECIALIDAD</t>
  </si>
  <si>
    <t>Anillo Vaginal</t>
  </si>
  <si>
    <t>Ingreso por cambio de Método Anticonceptivo</t>
  </si>
  <si>
    <t xml:space="preserve">20-29 años </t>
  </si>
  <si>
    <t>30-39 años</t>
  </si>
  <si>
    <t>40-49 años</t>
  </si>
  <si>
    <t>50-59 años</t>
  </si>
  <si>
    <t>Operatoria</t>
  </si>
  <si>
    <t>Contacto telefónico control</t>
  </si>
  <si>
    <t>Atenciones según modalidad de contacto</t>
  </si>
  <si>
    <t>Atenciones remotas según modalidad</t>
  </si>
  <si>
    <t xml:space="preserve"> Contacto Telefónico Control</t>
  </si>
  <si>
    <t>Teleconsulta Nueva /Control</t>
  </si>
  <si>
    <t xml:space="preserve">SECCIÓN G: TELEINTERCONSULTA MEDICINA ABREVIADA </t>
  </si>
  <si>
    <t xml:space="preserve">SECCIÓN Q: TELECONSULTA MEDICINA ABREVIADA </t>
  </si>
  <si>
    <t>MÉDICO/A PREVIO EXAMEN VIH</t>
  </si>
  <si>
    <t>MATRONA /ÓN PREVIO EXAMEN VIH</t>
  </si>
  <si>
    <t>ORIENTACIÓN E INFORMACIÓN PREVIA AL EXAMEN VIH</t>
  </si>
  <si>
    <t>SEGUIMIENTO A DISTANCIA CON RIESGO MODERADO (G2)</t>
  </si>
  <si>
    <t xml:space="preserve">
Trans
</t>
  </si>
  <si>
    <t>PARTOS FUERA DE LA RED DE SALUD</t>
  </si>
  <si>
    <t>CONDUCCIÓN OXITÓCICA</t>
  </si>
  <si>
    <t>TIPO DE PARTO</t>
  </si>
  <si>
    <t xml:space="preserve">SECCIÓN D.3: NACIDOS  FALLECIDOS </t>
  </si>
  <si>
    <t>SECCIÓN E: EGRESOS DE MATERNIDAD Y NEONATOLOGÍA, SEGÚN LACTANCIA MATERNA EXCLUSIVA</t>
  </si>
  <si>
    <t>Neonatología</t>
  </si>
  <si>
    <t>Maternidad</t>
  </si>
  <si>
    <t>REM-A24.   ATENCIÓN OBSTETRICA Y DEL RECIÉN NACIDO</t>
  </si>
  <si>
    <t>INTRACESÁREA</t>
  </si>
  <si>
    <t>Anillo de Progestágeno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</si>
  <si>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</si>
  <si>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PRESERVATIVO/PRACTICA SEXUAL SEGURA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</si>
  <si>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</t>
  </si>
  <si>
    <t>SECCION N: ATENCIONES AMBULATORIAS POR  EL PROGRAMA TUBERCULOSIS</t>
  </si>
  <si>
    <t>SECCION O: EXÁMENES BACTERIOLOGICOS PROCESADOS</t>
  </si>
  <si>
    <t>TIPO DE MUESTRA</t>
  </si>
  <si>
    <t xml:space="preserve">50-54 años </t>
  </si>
  <si>
    <t xml:space="preserve">80 y más </t>
  </si>
  <si>
    <t>SECCIÓN V: POBLACIÓN USUARIA PRAIS</t>
  </si>
  <si>
    <t>SECCIÓN V.1: POBLACIÓN USUARIA SEGÚN CALIDAD DE ACREDITACIÓN</t>
  </si>
  <si>
    <t>SECCIÓN V.2: POBLACIÓN USUARIA TOTAL (UNIVERSO)</t>
  </si>
  <si>
    <t>SECCIÓN W: ACREDITACIÓN PRAIS</t>
  </si>
  <si>
    <t>SECCIÓN W.1: ATENCIÓN PARA ACREDITACIÓN PRAIS</t>
  </si>
  <si>
    <t>SECCIÓN W.2: ACREDITACIÓN PRAIS SEGÚN LEY, NORMATIVA Y CALIDAD DE ACREDITACIÓN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</si>
  <si>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</si>
  <si>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</si>
  <si>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SECCIÓN G: ATENCIONES MÉDICAS ASOCIADAS A  VIOLENCIA POR GRUPO ETARIO</t>
  </si>
  <si>
    <t xml:space="preserve">SECCIÓN H: ATENCIONES  POR ANTICONCEPCIÓN DE EMERGENCIA </t>
  </si>
  <si>
    <t>SECCIÓN I: MOTIVOS DE ATENCIÓN POR EMERGENCIA OBSTÉTRICA AL SERVICIO DE  URGENCIA  (Establecimientos Alta y Mediana Complejidad).</t>
  </si>
  <si>
    <t>SECCIÓN J: LLAMADOS DE URGENCIA A CENTRO REGULADOR</t>
  </si>
  <si>
    <t>SECCIÓN K: INTERVENCIONES PRE HOSPITALARIAS (SAMU)</t>
  </si>
  <si>
    <t>SECCIÓN L: TRASLADOS PRIMARIOS A UNIDADES DE URGENCIA (Desde el lugar del evento a unidad de Emergencia)</t>
  </si>
  <si>
    <t>SECCIÓN M: TRASLADO SECUNDARIO (Desde un Establecimiento a Otro)</t>
  </si>
  <si>
    <t>SECCIÓN N: CLASIFICACIÓN DE LAS INTERVENCIONES POR GRANDES GRUPOS DE DIAGNÓSTICOS (SAMU)</t>
  </si>
  <si>
    <t xml:space="preserve">SECCIÓN O: ATENCIONES  EN URGENCIA POR VIOLENCIA SEXUAL  </t>
  </si>
  <si>
    <t xml:space="preserve">SECCIÓN P: ATENCIONES MÉDICAS POR VIOLENCIA SEXUAL CON REALIZACIÓN O INDICACIÓN DE PERITAJE </t>
  </si>
  <si>
    <t>SECCIÓN Q: ATENCIONES DE URGENCIA ASOCIADAS A LESIONES AUTOINFLIGIDAS</t>
  </si>
  <si>
    <t xml:space="preserve">SECCIÓN R: ATENCIONES EN SERVICIO DE URGENCIA DE LA RED, ASOCIADOS A MORDEDURA </t>
  </si>
  <si>
    <t xml:space="preserve">SECCIÓN C:  HOSPITALIZACIÓN DOMICILIARIA </t>
  </si>
  <si>
    <t>SECCIÓN C.1:  PERSONAS ATENDIDAS EN EL PROGRAMA</t>
  </si>
  <si>
    <t xml:space="preserve">SECCIÓN C.2:  VISITAS REALIZADAS </t>
  </si>
  <si>
    <t>SECCIÓN C.3:  CUPOS DISPONIBLES EN UNIDAD DE HOSPITALIZACIÓN DOMICILIARIA</t>
  </si>
  <si>
    <t>SECCIÓN C.4: ASISTENCIA VENTILATORIA Y OXÍGENO EN DOMICILIO</t>
  </si>
  <si>
    <t>SECCIÓN C.5: INGRESOS Y EGRESOS AL PROGRAMA</t>
  </si>
  <si>
    <t>SECCIÓN D: APOYO PSICOSOCIAL EN NIÑOS, NIÑAS Y ADOLESCENTES HOSPITALIZADOS</t>
  </si>
  <si>
    <t>SECCIÓN E: GESTIÓN DE PROCESOS DE PACIENTES QUIRÚRGICOS CON CIRUGÍA ELECTIVA</t>
  </si>
  <si>
    <t>SECCIÓN F: CAUSAS DE SUSPENSIÓN DE CIRUGÍAS ELECTIVAS</t>
  </si>
  <si>
    <t>SECCIÓN G: ESTERILIZACIONES QUIRÚRGICAS</t>
  </si>
  <si>
    <t xml:space="preserve">Total Talleres en Alimentación </t>
  </si>
  <si>
    <t>Total Talleres en Actividad Física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</si>
  <si>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</si>
  <si>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</si>
  <si>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</si>
  <si>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</si>
  <si>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</si>
  <si>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SECCIÓN A.1: ATENCIONES REALIZADAS EN UNIDADES DE EMERGENCIA HOSPITALARIA (Establecimientos de alta, mediana complejidad)</t>
  </si>
  <si>
    <t>SECCIÓN G.1: ATENCIONES MÉDICAS ASOCIADAS A  VIOLENCIA POR CONDICIÓN (incluidas en sección G)</t>
  </si>
  <si>
    <t>AUTOESTIMA Y AUTOCUIDADO</t>
  </si>
  <si>
    <t>MENTE SANA Y CUERPO SANO</t>
  </si>
  <si>
    <t>COMUNICACIÓN</t>
  </si>
  <si>
    <t>YO ME CUIDO</t>
  </si>
  <si>
    <t>SECCION C: EGRESOS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</si>
  <si>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</si>
  <si>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</si>
  <si>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</si>
  <si>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PROCEDIMIENTOS CUTANEOS QUIRURGICOS DE BAJA COMPLEJIDAD</t>
  </si>
  <si>
    <t>MEDICINA INTENSIVA</t>
  </si>
  <si>
    <t>Contacto individual  por mensaje electrónico</t>
  </si>
  <si>
    <t>Contacto grupal por mensaje electrónico</t>
  </si>
  <si>
    <t xml:space="preserve">Reconstitución para uso pediátrico (recambio) </t>
  </si>
  <si>
    <t>(ESTE REM SOLO ES LLENADO POR HOSPITAL DIGITAL, NIVEL CENTRAL)</t>
  </si>
  <si>
    <t xml:space="preserve">SECCION A: ATENCIONES POR TELEMEDICINA DE ESPECIALIDAD MEDICA </t>
  </si>
  <si>
    <t>SECCION A1: TELEINTERCONSULTA DE ESPECIALIDAD MEDICA POR HOSPITAL DIGITAL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</si>
  <si>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</si>
  <si>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</si>
  <si>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</si>
  <si>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</si>
  <si>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 xml:space="preserve">MENORES DE 15 AÑOS </t>
  </si>
  <si>
    <t>15 AÑOS Y MÁS</t>
  </si>
  <si>
    <t>PSIQUIATRÍA</t>
  </si>
  <si>
    <t xml:space="preserve">REUMATOLOGÍA </t>
  </si>
  <si>
    <t>ENDOCRINOLOGÍA</t>
  </si>
  <si>
    <t>GENETICA</t>
  </si>
  <si>
    <t>NEUROLOGIA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</si>
  <si>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</si>
  <si>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</si>
  <si>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</si>
  <si>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</si>
  <si>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</si>
  <si>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 xml:space="preserve">UROLOGIA </t>
  </si>
  <si>
    <t>ENFERMEDADES METABOLICAS</t>
  </si>
  <si>
    <t>GINECOLOGIA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</si>
  <si>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</si>
  <si>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</si>
  <si>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</si>
  <si>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</si>
  <si>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</si>
  <si>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</si>
  <si>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</si>
  <si>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</si>
  <si>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 xml:space="preserve">N° DE TELEINFORMES FONDO DE OJO </t>
  </si>
  <si>
    <t>N° DE TELEINFORMES DE RESONANCIA MAGNETICA</t>
  </si>
  <si>
    <t>N° DE TELEINFORMES MAMOGRAFIAS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</si>
  <si>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</si>
  <si>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</si>
  <si>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</si>
  <si>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</si>
  <si>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</si>
  <si>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</si>
  <si>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CIRUGIA BUCAL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</si>
  <si>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</si>
  <si>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</si>
  <si>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</si>
  <si>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</si>
  <si>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</si>
  <si>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</si>
  <si>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</si>
  <si>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QUIMICO FARMACEUTICA/O</t>
  </si>
  <si>
    <t>PSICOLOGA/O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</si>
  <si>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</si>
  <si>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</si>
  <si>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</si>
  <si>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</si>
  <si>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</si>
  <si>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</si>
  <si>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</si>
  <si>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</si>
  <si>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</si>
  <si>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</si>
  <si>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</si>
  <si>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</si>
  <si>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</si>
  <si>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 DIFERENCIADA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</si>
  <si>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</si>
  <si>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</si>
  <si>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</si>
  <si>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</si>
  <si>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</si>
  <si>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PRIMERA AYUDA PSICOLÓGICA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</si>
  <si>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</si>
  <si>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</si>
  <si>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</si>
  <si>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</si>
  <si>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 DIFERENCIADAS POR VÍA DE REALIZACIÓN </t>
  </si>
  <si>
    <t xml:space="preserve">SECCION F3: ALTA PROGRAMA DE ACOMPAÑAMIENTO EN SALUD MENTAL POR TELEMEDICINA A POBLACIÓN GENERAL (PASMET) </t>
  </si>
  <si>
    <t>TIPO DE ALTA PASMET</t>
  </si>
  <si>
    <t>ATENCIÓN L PSICOLOGICA A POBLACIÓN GENERAL</t>
  </si>
  <si>
    <t>ALTA TERAPEÚTICA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</si>
  <si>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</si>
  <si>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</si>
  <si>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</si>
  <si>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</si>
  <si>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</si>
  <si>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</si>
  <si>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TELECOMITE ONCOLOGICO CENTRAL</t>
  </si>
  <si>
    <t xml:space="preserve">TELECOMITE ONCOLOGICO DE APOYO CENTRAL </t>
  </si>
  <si>
    <t xml:space="preserve">TELECOMITE DE CUIDADOS PALIATIVOS </t>
  </si>
  <si>
    <t>TELECOMITE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</si>
  <si>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</si>
  <si>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</si>
  <si>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</si>
  <si>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</si>
  <si>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 xml:space="preserve">ORIENTACIÓN CLÍNICA POR PROFESIONAL NO MÉDICO </t>
  </si>
  <si>
    <t>ORIENTACIÓN ADMINISTRATIVA</t>
  </si>
  <si>
    <t xml:space="preserve">ORIENTACIÓN MÉDICA 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</si>
  <si>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</si>
  <si>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 xml:space="preserve">OTORRINOLARINGOLOGIA </t>
  </si>
  <si>
    <t>N° DE TELEINFORMES DE TOMOGRAFÍA AXIAL COMPUTARIZADA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</si>
  <si>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</si>
  <si>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</si>
  <si>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</si>
  <si>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 xml:space="preserve">DEPENDENCIA SEVERA  </t>
  </si>
  <si>
    <t xml:space="preserve">SECCIÓN J: INGRESOS Y EGRESOS AL PROGRAMA DE PACIENTES CON DEPENDENCIA LEVE, MODERADA Y SEVERA </t>
  </si>
  <si>
    <t>INGRESO TRATAMIENTO</t>
  </si>
  <si>
    <t>INGRESO QUIMIOPRÓFILAXIS</t>
  </si>
  <si>
    <t>CONTROL MENSUAL</t>
  </si>
  <si>
    <t>CONTROL DE SEGUIMIENTO</t>
  </si>
  <si>
    <t>CONSULTAS ESPONTÁNEAS</t>
  </si>
  <si>
    <t>RESCATE</t>
  </si>
  <si>
    <t>CONTROL DE LOS CONTACTOS</t>
  </si>
  <si>
    <t>ATENCIÓN DOMICILIARIA</t>
  </si>
  <si>
    <t>INGRESO DE TRATAMIENTO</t>
  </si>
  <si>
    <t>MUESTRAS PROCESADAS PARA DIAGNÓSTICO DE TUBERCULOSIS PULMONAR MEDIANTE BACTERIOLOGÍA</t>
  </si>
  <si>
    <t>EVALUACIÓN DIAGNOSTICA INTEGRAL (EDI)</t>
  </si>
  <si>
    <t>TAMIZAJE Y PRIMERA ATENCIÓN SALUD MENTAL EN APS (INDIVIDUAL O GRUPAL)</t>
  </si>
  <si>
    <t xml:space="preserve">TAMIZAJE Y CONFIRMACIÓN DIAGNÓSTICA </t>
  </si>
  <si>
    <t>SUBIDAS A PLATAFORMA DE TAMIZAJE A HOSPITAL DIGITAL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</si>
  <si>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</si>
  <si>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</si>
  <si>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</si>
  <si>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</si>
  <si>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</si>
  <si>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</si>
  <si>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</si>
  <si>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</si>
  <si>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</si>
  <si>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</si>
  <si>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</si>
  <si>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</si>
  <si>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>Atención Domiciliaria</t>
  </si>
  <si>
    <t>No olvide</t>
  </si>
  <si>
    <t>No Olvide</t>
  </si>
  <si>
    <t xml:space="preserve">* El total de aplicaciones de Pueblos Originarios debe ser IGUAL a los resultados de la totalidad de las aplicaciones de la primera evaluación y la reevaluación. </t>
  </si>
  <si>
    <t xml:space="preserve">* El total de aplicaciones de Migrantes debe ser IGUAL a los resultados de la totalidad de las aplicaciones de la primera evaluación y la reevaluación. </t>
  </si>
  <si>
    <t>REMA30AR</t>
  </si>
  <si>
    <t xml:space="preserve">* * No olvide digitar el campo Pueblos Originarios (Digite CEROS si no tiene). </t>
  </si>
  <si>
    <t xml:space="preserve">* * No olvide digitar el campo Migrantes (Digite CEROS si no tiene). </t>
  </si>
  <si>
    <t xml:space="preserve">SECCION E: ACCIONES REMOTAS DE MEDICINAS COMPLEMENTARIAS Y PRACTICAS DE BIENESTAR EN SALUD </t>
  </si>
  <si>
    <t>Centros de Diagnóstico Terapeutico (CDT)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</si>
  <si>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</si>
  <si>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</si>
  <si>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</si>
  <si>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</si>
  <si>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</si>
  <si>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</si>
  <si>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</si>
  <si>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</si>
  <si>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</si>
  <si>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</si>
  <si>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</si>
  <si>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</si>
  <si>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Víctima de Violencia de Género</t>
  </si>
  <si>
    <t>Ingresos por Traslado</t>
  </si>
  <si>
    <t>Ingresos con Control Precoz Extrasistema</t>
  </si>
  <si>
    <t>Servicio de Atención Primaria de Urgencia de Alta Resolutividad (SAR)</t>
  </si>
  <si>
    <t>DATOS DEL ESTABLECIMIENTO</t>
  </si>
  <si>
    <t xml:space="preserve">TRASTORNO ESPECTRO AUTISTA </t>
  </si>
  <si>
    <t>ESQUIZOFRENIA</t>
  </si>
  <si>
    <t xml:space="preserve">Rehabilitación NNA </t>
  </si>
  <si>
    <t>Rehabilitación NNA</t>
  </si>
  <si>
    <r>
      <rPr>
        <sz val="8"/>
        <color rgb="FFFF0000"/>
        <rFont val="Verdana"/>
        <family val="2"/>
      </rPr>
      <t xml:space="preserve">≥35 </t>
    </r>
    <r>
      <rPr>
        <sz val="8"/>
        <rFont val="Verdana"/>
        <family val="2"/>
      </rPr>
      <t>AÑOS</t>
    </r>
  </si>
  <si>
    <t>&lt; 15 AÑOS</t>
  </si>
  <si>
    <t xml:space="preserve">* * No olvide digitar el campo Pueblos Originarios (4 MESES) (Digite CEROS si no tiene). </t>
  </si>
  <si>
    <t xml:space="preserve">* * No olvide digitar el campo Migrantes (4 MESES) (Digite CEROS si no tiene). </t>
  </si>
  <si>
    <t xml:space="preserve">* * No olvide digitar el campo Pueblos Originarios (4 MESES) (Digite CEROS si no tiene). * * No olvide digitar el campo Migrantes (4 MESES) (Digite CEROS si no tiene). </t>
  </si>
  <si>
    <t xml:space="preserve">* * No olvide digitar el campo Pueblos Originarios (Digite CEROS si no tiene). * * No olvide digitar el campo Migrantes (Digite CEROS si no tiene). * * No olvide digitar el campo Niños, Niñas, Adolescentes y Jóvenes SENAME (Digite CEROS si no tiene). * * No olvide digitar el campo Niños, Niñas, Adolescentes y Jóvenes Mejor Niñez (Digite CEROS si no tiene). * * No olvide digitar el campo Por Campaña de Invierno (Digite CEROS si no tiene). </t>
  </si>
  <si>
    <t xml:space="preserve">* * No olvide digitar el campo Pueblos Originarios (Digite CEROS si no tiene). * * No olvide digitar el campo Niños, Niñas, Adolescentes y Jóvenes Mejor Niñez (Digite CEROS si no tiene). * * No olvide digitar el campo Por Campaña de Invierno (Digite CEROS si no tiene). </t>
  </si>
  <si>
    <t>SECCIÓN K : SALUD MENTAL EN SITUACIONES DE EMERGENCIA O DESASTRE</t>
  </si>
  <si>
    <t>Acciones no presenciales o remotas</t>
  </si>
  <si>
    <t>Atenciones a funcionarios de la salud</t>
  </si>
  <si>
    <t>CONSULTA DE SALUD MENTAL ASOCIADA A EMERGENCIA O DESASTRE</t>
  </si>
  <si>
    <t>TÉCNICO PARAMÉDICO y EN SALUD MENTAL</t>
  </si>
  <si>
    <t>INTERVENCIÓN PSICOSOCIAL GRUPAL</t>
  </si>
  <si>
    <r>
      <t xml:space="preserve">POR DE EDAD (en años) </t>
    </r>
    <r>
      <rPr>
        <sz val="8"/>
        <color rgb="FFFF0000"/>
        <rFont val="Verdana"/>
        <family val="2"/>
      </rPr>
      <t>Y SEXO</t>
    </r>
  </si>
  <si>
    <t>REM - A33. CUIDADOS PALIATIVOS NIVEL APS Y ESPECIALIDADES</t>
  </si>
  <si>
    <t>Personas con sospecha de demencia</t>
  </si>
  <si>
    <t>Personas con diagnóstico de demencia</t>
  </si>
  <si>
    <t xml:space="preserve">* No olvide digitar la columna Beneficiarios. </t>
  </si>
  <si>
    <r>
      <t xml:space="preserve">SECCIÓN F: </t>
    </r>
    <r>
      <rPr>
        <b/>
        <sz val="11"/>
        <color rgb="FFFF0000"/>
        <rFont val="Verdana"/>
        <family val="2"/>
      </rPr>
      <t>PACIENTES FALLECIDOS EN UNIDADES DE EMERGENCIA (Establecimientos Alta, Mediana o Baja Complejidad, SAR, SAPU y SUR)</t>
    </r>
  </si>
  <si>
    <t>SECCIÓN A.3: ATENCIONES DE URGENCIA REALIZADAS EN ESTABLECIMIENTOS DE BAJA COMPLEJIDAD</t>
  </si>
  <si>
    <r>
      <t xml:space="preserve">SECCIÓN A.2: ATENCIONES </t>
    </r>
    <r>
      <rPr>
        <b/>
        <sz val="11"/>
        <color rgb="FFFF0000"/>
        <rFont val="Verdana"/>
        <family val="2"/>
      </rPr>
      <t>Y ACTIVIDADES</t>
    </r>
    <r>
      <rPr>
        <b/>
        <sz val="11"/>
        <rFont val="Verdana"/>
        <family val="2"/>
      </rPr>
      <t xml:space="preserve"> DE URGENCIA REALIZADAS EN SAPU Y SAR</t>
    </r>
  </si>
  <si>
    <t>01010101</t>
  </si>
  <si>
    <t>01010103</t>
  </si>
  <si>
    <t>01010201</t>
  </si>
  <si>
    <t>01010203</t>
  </si>
  <si>
    <t>01501050</t>
  </si>
  <si>
    <t>01501060</t>
  </si>
  <si>
    <t>01501070</t>
  </si>
  <si>
    <t>01501080</t>
  </si>
  <si>
    <t>01110106</t>
  </si>
  <si>
    <t>01110107</t>
  </si>
  <si>
    <t>01080030</t>
  </si>
  <si>
    <t>01080040</t>
  </si>
  <si>
    <t>01501090</t>
  </si>
  <si>
    <t>01502000</t>
  </si>
  <si>
    <t>01502010</t>
  </si>
  <si>
    <t>01502020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</si>
  <si>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</si>
  <si>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</si>
  <si>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</si>
  <si>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</si>
  <si>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</si>
  <si>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</si>
  <si>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</si>
  <si>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</si>
  <si>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</si>
  <si>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</si>
  <si>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</si>
  <si>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</si>
  <si>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</si>
  <si>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</si>
  <si>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01030100A</t>
  </si>
  <si>
    <t>01030200B</t>
  </si>
  <si>
    <t>09600204</t>
  </si>
  <si>
    <t>01030300C</t>
  </si>
  <si>
    <t>01030400D</t>
  </si>
  <si>
    <t>09600205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</si>
  <si>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</si>
  <si>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</si>
  <si>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</si>
  <si>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</si>
  <si>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</si>
  <si>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</si>
  <si>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</si>
  <si>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</si>
  <si>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09600206</t>
  </si>
  <si>
    <t>01200031</t>
  </si>
  <si>
    <t>01200032</t>
  </si>
  <si>
    <t>01200033</t>
  </si>
  <si>
    <t>01200034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</si>
  <si>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</si>
  <si>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</si>
  <si>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</si>
  <si>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</si>
  <si>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</si>
  <si>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</si>
  <si>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</si>
  <si>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</si>
  <si>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</si>
  <si>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01501010</t>
  </si>
  <si>
    <t>01501020</t>
  </si>
  <si>
    <t>01501030</t>
  </si>
  <si>
    <t>01502030</t>
  </si>
  <si>
    <t>01502040</t>
  </si>
  <si>
    <t>01501040</t>
  </si>
  <si>
    <t>01031500</t>
  </si>
  <si>
    <t>01031600</t>
  </si>
  <si>
    <t>01031700</t>
  </si>
  <si>
    <t>01031800</t>
  </si>
  <si>
    <t>01031900</t>
  </si>
  <si>
    <t>CODIGOS NUEVOS</t>
  </si>
  <si>
    <t>CODIGOS ELIMINADOS</t>
  </si>
  <si>
    <t>01200035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</si>
  <si>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</si>
  <si>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</si>
  <si>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</si>
  <si>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</si>
  <si>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</si>
  <si>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</si>
  <si>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</si>
  <si>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</si>
  <si>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</si>
  <si>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</si>
  <si>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</si>
  <si>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</si>
  <si>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</si>
  <si>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</si>
  <si>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</si>
  <si>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</si>
  <si>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03600110</t>
  </si>
  <si>
    <t>02010422</t>
  </si>
  <si>
    <t>03600120</t>
  </si>
  <si>
    <t>03600130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</si>
  <si>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</si>
  <si>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</si>
  <si>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</si>
  <si>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</si>
  <si>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</si>
  <si>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</si>
  <si>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</si>
  <si>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</si>
  <si>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05225307</t>
  </si>
  <si>
    <t>02021760</t>
  </si>
  <si>
    <t>03500040</t>
  </si>
  <si>
    <t>03500050</t>
  </si>
  <si>
    <t>03500060</t>
  </si>
  <si>
    <t>A0200002</t>
  </si>
  <si>
    <t>03500359</t>
  </si>
  <si>
    <t>03500360</t>
  </si>
  <si>
    <t>A0200003</t>
  </si>
  <si>
    <t>03600140</t>
  </si>
  <si>
    <t>03600150</t>
  </si>
  <si>
    <t>A0200001</t>
  </si>
  <si>
    <t>09600207</t>
  </si>
  <si>
    <t>09600208</t>
  </si>
  <si>
    <t>09600209</t>
  </si>
  <si>
    <t>03500120</t>
  </si>
  <si>
    <t>03500130</t>
  </si>
  <si>
    <t>03500140</t>
  </si>
  <si>
    <t>03500150</t>
  </si>
  <si>
    <t>02021830</t>
  </si>
  <si>
    <t>03600160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</si>
  <si>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</si>
  <si>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</si>
  <si>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</si>
  <si>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</si>
  <si>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</si>
  <si>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</si>
  <si>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</si>
  <si>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</si>
  <si>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</si>
  <si>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</si>
  <si>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</si>
  <si>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03500402</t>
  </si>
  <si>
    <t>03500348</t>
  </si>
  <si>
    <t>03600100</t>
  </si>
  <si>
    <t>03500367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</si>
  <si>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</si>
  <si>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</si>
  <si>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</si>
  <si>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</si>
  <si>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</si>
  <si>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</si>
  <si>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</si>
  <si>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</si>
  <si>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</si>
  <si>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</si>
  <si>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</si>
  <si>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</si>
  <si>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</si>
  <si>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</si>
  <si>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</si>
  <si>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</si>
  <si>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</si>
  <si>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</si>
  <si>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</si>
  <si>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</si>
  <si>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</si>
  <si>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</si>
  <si>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</si>
  <si>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</si>
  <si>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</si>
  <si>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</si>
  <si>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</si>
  <si>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</si>
  <si>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</si>
  <si>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</si>
  <si>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</si>
  <si>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</si>
  <si>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</si>
  <si>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03500336</t>
  </si>
  <si>
    <t>03500337</t>
  </si>
  <si>
    <t>03500338</t>
  </si>
  <si>
    <t>03500339</t>
  </si>
  <si>
    <t>03500340</t>
  </si>
  <si>
    <t>03500341</t>
  </si>
  <si>
    <t>03500342</t>
  </si>
  <si>
    <t>03500343</t>
  </si>
  <si>
    <t>03500344</t>
  </si>
  <si>
    <t>03500345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</si>
  <si>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</si>
  <si>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</si>
  <si>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</si>
  <si>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</si>
  <si>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</si>
  <si>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</si>
  <si>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</si>
  <si>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</si>
  <si>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</si>
  <si>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</si>
  <si>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</si>
  <si>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</si>
  <si>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</si>
  <si>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</si>
  <si>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</si>
  <si>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</si>
  <si>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</si>
  <si>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09600210</t>
  </si>
  <si>
    <t>09600211</t>
  </si>
  <si>
    <t>03500364</t>
  </si>
  <si>
    <t>03500365</t>
  </si>
  <si>
    <t>03500403</t>
  </si>
  <si>
    <t>03500404</t>
  </si>
  <si>
    <t>03500405</t>
  </si>
  <si>
    <t>09600212</t>
  </si>
  <si>
    <t>09600213</t>
  </si>
  <si>
    <t>09600214</t>
  </si>
  <si>
    <t>09600215</t>
  </si>
  <si>
    <t>09600216</t>
  </si>
  <si>
    <t>09600217</t>
  </si>
  <si>
    <t>09600218</t>
  </si>
  <si>
    <t>09600219</t>
  </si>
  <si>
    <t>03600180</t>
  </si>
  <si>
    <t>03600190</t>
  </si>
  <si>
    <t>03600210</t>
  </si>
  <si>
    <t>03600220</t>
  </si>
  <si>
    <t>03600230</t>
  </si>
  <si>
    <t>09600220</t>
  </si>
  <si>
    <t>09600221</t>
  </si>
  <si>
    <t>09600222</t>
  </si>
  <si>
    <t>09600223</t>
  </si>
  <si>
    <t>09600224</t>
  </si>
  <si>
    <t>09600225</t>
  </si>
  <si>
    <t>09600226</t>
  </si>
  <si>
    <t>09600227</t>
  </si>
  <si>
    <t>09600228</t>
  </si>
  <si>
    <t>09600229</t>
  </si>
  <si>
    <t>09600230</t>
  </si>
  <si>
    <t>09600231</t>
  </si>
  <si>
    <t>09600232</t>
  </si>
  <si>
    <t>09600233</t>
  </si>
  <si>
    <t>09600234</t>
  </si>
  <si>
    <t>09600235</t>
  </si>
  <si>
    <t>09600236</t>
  </si>
  <si>
    <t>09600237</t>
  </si>
  <si>
    <t>09600238</t>
  </si>
  <si>
    <t>09600239</t>
  </si>
  <si>
    <t>09600240</t>
  </si>
  <si>
    <t>09600241</t>
  </si>
  <si>
    <t>09600242</t>
  </si>
  <si>
    <t>09600243</t>
  </si>
  <si>
    <t>09600244</t>
  </si>
  <si>
    <t>09600245</t>
  </si>
  <si>
    <t>09600246</t>
  </si>
  <si>
    <t>09600247</t>
  </si>
  <si>
    <t>09600248</t>
  </si>
  <si>
    <t>09600249</t>
  </si>
  <si>
    <t>09600250</t>
  </si>
  <si>
    <t>09600251</t>
  </si>
  <si>
    <t>09600252</t>
  </si>
  <si>
    <t>09600253</t>
  </si>
  <si>
    <t>09600254</t>
  </si>
  <si>
    <t>09600255</t>
  </si>
  <si>
    <t>09600256</t>
  </si>
  <si>
    <t>09600257</t>
  </si>
  <si>
    <t>09600258</t>
  </si>
  <si>
    <t>09600259</t>
  </si>
  <si>
    <t>09600260</t>
  </si>
  <si>
    <t>09600261</t>
  </si>
  <si>
    <t>09600262</t>
  </si>
  <si>
    <t>09600263</t>
  </si>
  <si>
    <t>09600264</t>
  </si>
  <si>
    <t>09600265</t>
  </si>
  <si>
    <t>09600266</t>
  </si>
  <si>
    <t>09600267</t>
  </si>
  <si>
    <t>09600268</t>
  </si>
  <si>
    <t>09600269</t>
  </si>
  <si>
    <t>09600270</t>
  </si>
  <si>
    <t>09600271</t>
  </si>
  <si>
    <t>09600272</t>
  </si>
  <si>
    <t>09600273</t>
  </si>
  <si>
    <t>09600274</t>
  </si>
  <si>
    <t>09600275</t>
  </si>
  <si>
    <t>09600276</t>
  </si>
  <si>
    <t>09600277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</si>
  <si>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</si>
  <si>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</si>
  <si>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</si>
  <si>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</si>
  <si>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</si>
  <si>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</si>
  <si>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</si>
  <si>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</si>
  <si>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</si>
  <si>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</si>
  <si>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</si>
  <si>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</si>
  <si>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</si>
  <si>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</si>
  <si>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</si>
  <si>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</si>
  <si>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04025040</t>
  </si>
  <si>
    <t>04040200</t>
  </si>
  <si>
    <t>04025050</t>
  </si>
  <si>
    <t>04050100</t>
  </si>
  <si>
    <t>09600278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</si>
  <si>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</si>
  <si>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</si>
  <si>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</si>
  <si>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</si>
  <si>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</si>
  <si>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</si>
  <si>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</si>
  <si>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</si>
  <si>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01080003</t>
  </si>
  <si>
    <t>01080004</t>
  </si>
  <si>
    <t>04021101</t>
  </si>
  <si>
    <t>04021103</t>
  </si>
  <si>
    <t>04021102</t>
  </si>
  <si>
    <t>04021104</t>
  </si>
  <si>
    <t>03030290</t>
  </si>
  <si>
    <t>04040400</t>
  </si>
  <si>
    <t>09600279</t>
  </si>
  <si>
    <t>09600280</t>
  </si>
  <si>
    <t>09600281</t>
  </si>
  <si>
    <t>09600282</t>
  </si>
  <si>
    <t>09600283</t>
  </si>
  <si>
    <t>09600284</t>
  </si>
  <si>
    <t>09600285</t>
  </si>
  <si>
    <t>09600286</t>
  </si>
  <si>
    <t>04025070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</si>
  <si>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</si>
  <si>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</si>
  <si>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</si>
  <si>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</si>
  <si>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</si>
  <si>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</si>
  <si>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</si>
  <si>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</si>
  <si>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</si>
  <si>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</si>
  <si>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</si>
  <si>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</si>
  <si>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04040412</t>
  </si>
  <si>
    <t>04040413</t>
  </si>
  <si>
    <t>04050210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</si>
  <si>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</si>
  <si>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</si>
  <si>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</si>
  <si>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</si>
  <si>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</si>
  <si>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</si>
  <si>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</si>
  <si>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</si>
  <si>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09600287</t>
  </si>
  <si>
    <t>09600288</t>
  </si>
  <si>
    <t>09600289</t>
  </si>
  <si>
    <t>04040423</t>
  </si>
  <si>
    <t>04040424</t>
  </si>
  <si>
    <t>04040425</t>
  </si>
  <si>
    <t>04040426</t>
  </si>
  <si>
    <t>04060130</t>
  </si>
  <si>
    <t>04060140</t>
  </si>
  <si>
    <t>04060150</t>
  </si>
  <si>
    <t>04060160</t>
  </si>
  <si>
    <t>04060170</t>
  </si>
  <si>
    <t>04060180</t>
  </si>
  <si>
    <t>04060190</t>
  </si>
  <si>
    <t>04060200</t>
  </si>
  <si>
    <t>04060210</t>
  </si>
  <si>
    <t>04060220</t>
  </si>
  <si>
    <t>04060230</t>
  </si>
  <si>
    <t>04060240</t>
  </si>
  <si>
    <t>04060250</t>
  </si>
  <si>
    <t>04060260</t>
  </si>
  <si>
    <t>04060270</t>
  </si>
  <si>
    <t>01080008</t>
  </si>
  <si>
    <t>01080010</t>
  </si>
  <si>
    <t>01080009</t>
  </si>
  <si>
    <t>01090050</t>
  </si>
  <si>
    <t>05810010</t>
  </si>
  <si>
    <t>01090040</t>
  </si>
  <si>
    <t>05810020</t>
  </si>
  <si>
    <t>01080017</t>
  </si>
  <si>
    <t>01080018</t>
  </si>
  <si>
    <t>01080019</t>
  </si>
  <si>
    <t>05810030</t>
  </si>
  <si>
    <t>05990000</t>
  </si>
  <si>
    <t>05990001</t>
  </si>
  <si>
    <t>05990002</t>
  </si>
  <si>
    <t>01080011</t>
  </si>
  <si>
    <t>05810443</t>
  </si>
  <si>
    <t>01080021</t>
  </si>
  <si>
    <t>01080022</t>
  </si>
  <si>
    <t>01080023</t>
  </si>
  <si>
    <t>01090060</t>
  </si>
  <si>
    <t>05970038</t>
  </si>
  <si>
    <t>05970039</t>
  </si>
  <si>
    <t>09600290</t>
  </si>
  <si>
    <t>01080013</t>
  </si>
  <si>
    <t>01080014</t>
  </si>
  <si>
    <t>05970040</t>
  </si>
  <si>
    <t>05970041</t>
  </si>
  <si>
    <t>05050100A</t>
  </si>
  <si>
    <t>05970042</t>
  </si>
  <si>
    <t>05970043</t>
  </si>
  <si>
    <t>05970044</t>
  </si>
  <si>
    <t>05970045</t>
  </si>
  <si>
    <t>05970046</t>
  </si>
  <si>
    <t>05970047</t>
  </si>
  <si>
    <t>05990003</t>
  </si>
  <si>
    <t>05990004</t>
  </si>
  <si>
    <t>05990005</t>
  </si>
  <si>
    <t>05990006</t>
  </si>
  <si>
    <t>05990007</t>
  </si>
  <si>
    <t>05990008</t>
  </si>
  <si>
    <t>05990009</t>
  </si>
  <si>
    <t>05990010</t>
  </si>
  <si>
    <t>09600291</t>
  </si>
  <si>
    <t>05990011</t>
  </si>
  <si>
    <t>05990012</t>
  </si>
  <si>
    <t>05990013</t>
  </si>
  <si>
    <t>05990014</t>
  </si>
  <si>
    <t>05990015</t>
  </si>
  <si>
    <t>05990016</t>
  </si>
  <si>
    <t>05990017</t>
  </si>
  <si>
    <t>05990018</t>
  </si>
  <si>
    <t>05990019</t>
  </si>
  <si>
    <t>05990020</t>
  </si>
  <si>
    <t>05990021</t>
  </si>
  <si>
    <t>01080090</t>
  </si>
  <si>
    <t>05225100</t>
  </si>
  <si>
    <t>06902601</t>
  </si>
  <si>
    <t>06902602</t>
  </si>
  <si>
    <t>06902603</t>
  </si>
  <si>
    <t>06902604</t>
  </si>
  <si>
    <t>05970010</t>
  </si>
  <si>
    <t>05970011</t>
  </si>
  <si>
    <t>05970012</t>
  </si>
  <si>
    <t>05970013</t>
  </si>
  <si>
    <t>05225102</t>
  </si>
  <si>
    <t>03030360</t>
  </si>
  <si>
    <t>03021106</t>
  </si>
  <si>
    <t>03021107</t>
  </si>
  <si>
    <t>03021108</t>
  </si>
  <si>
    <t>05810431</t>
  </si>
  <si>
    <t>09600292</t>
  </si>
  <si>
    <t>09600293</t>
  </si>
  <si>
    <t>05810432</t>
  </si>
  <si>
    <t>09600294</t>
  </si>
  <si>
    <t>05810040</t>
  </si>
  <si>
    <t>05225400</t>
  </si>
  <si>
    <t>05225401</t>
  </si>
  <si>
    <t>05225402</t>
  </si>
  <si>
    <t>05810433</t>
  </si>
  <si>
    <t>09600295</t>
  </si>
  <si>
    <t>09600296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</si>
  <si>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</si>
  <si>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</si>
  <si>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</si>
  <si>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</si>
  <si>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</si>
  <si>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</si>
  <si>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</si>
  <si>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</si>
  <si>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</si>
  <si>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</si>
  <si>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</si>
  <si>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</si>
  <si>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</si>
  <si>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</si>
  <si>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</si>
  <si>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</si>
  <si>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</si>
  <si>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</si>
  <si>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</si>
  <si>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</si>
  <si>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</si>
  <si>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</si>
  <si>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</si>
  <si>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</si>
  <si>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</si>
  <si>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</si>
  <si>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</si>
  <si>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</si>
  <si>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06900700</t>
  </si>
  <si>
    <t>06900800</t>
  </si>
  <si>
    <t>06901100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</si>
  <si>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</si>
  <si>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</si>
  <si>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</si>
  <si>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</si>
  <si>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</si>
  <si>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</si>
  <si>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</si>
  <si>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</si>
  <si>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</si>
  <si>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</si>
  <si>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</si>
  <si>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09600297</t>
  </si>
  <si>
    <t>09600298</t>
  </si>
  <si>
    <t>09600299</t>
  </si>
  <si>
    <t>05990035</t>
  </si>
  <si>
    <t>05990036</t>
  </si>
  <si>
    <t>06902200</t>
  </si>
  <si>
    <t>05051700</t>
  </si>
  <si>
    <t>05051800</t>
  </si>
  <si>
    <t>06902300</t>
  </si>
  <si>
    <t>05970016</t>
  </si>
  <si>
    <t>05990037</t>
  </si>
  <si>
    <t>05970019</t>
  </si>
  <si>
    <t>05970020</t>
  </si>
  <si>
    <t>05970021</t>
  </si>
  <si>
    <t>05901801</t>
  </si>
  <si>
    <t>05901802</t>
  </si>
  <si>
    <t>05901803</t>
  </si>
  <si>
    <t>05990038</t>
  </si>
  <si>
    <t>05990039</t>
  </si>
  <si>
    <t>06902100</t>
  </si>
  <si>
    <t>06902400</t>
  </si>
  <si>
    <t>06902500</t>
  </si>
  <si>
    <t>05990022</t>
  </si>
  <si>
    <t>05990023</t>
  </si>
  <si>
    <t>05990024</t>
  </si>
  <si>
    <t>05990025</t>
  </si>
  <si>
    <t>05990026</t>
  </si>
  <si>
    <t>05970022</t>
  </si>
  <si>
    <t>05810445</t>
  </si>
  <si>
    <t>05810140</t>
  </si>
  <si>
    <t>05223100</t>
  </si>
  <si>
    <t>05223200</t>
  </si>
  <si>
    <t>05223500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</si>
  <si>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</si>
  <si>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</si>
  <si>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</si>
  <si>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</si>
  <si>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</si>
  <si>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</si>
  <si>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</si>
  <si>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</si>
  <si>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</si>
  <si>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</si>
  <si>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</si>
  <si>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05990040</t>
  </si>
  <si>
    <t>05990041</t>
  </si>
  <si>
    <t>05990042</t>
  </si>
  <si>
    <t>05990043</t>
  </si>
  <si>
    <t>05990044</t>
  </si>
  <si>
    <t>05224600</t>
  </si>
  <si>
    <t>05052200</t>
  </si>
  <si>
    <t>05052300</t>
  </si>
  <si>
    <t>05224700</t>
  </si>
  <si>
    <t>05970025</t>
  </si>
  <si>
    <t>05990045</t>
  </si>
  <si>
    <t>05970028</t>
  </si>
  <si>
    <t>05970029</t>
  </si>
  <si>
    <t>05970030</t>
  </si>
  <si>
    <t>05224201</t>
  </si>
  <si>
    <t>05224202</t>
  </si>
  <si>
    <t>05224203</t>
  </si>
  <si>
    <t>05990046</t>
  </si>
  <si>
    <t>05990047</t>
  </si>
  <si>
    <t>05224500</t>
  </si>
  <si>
    <t>05224800</t>
  </si>
  <si>
    <t>05224900</t>
  </si>
  <si>
    <t>05990027</t>
  </si>
  <si>
    <t>05990028</t>
  </si>
  <si>
    <t>05990029</t>
  </si>
  <si>
    <t>05990030</t>
  </si>
  <si>
    <t>05990031</t>
  </si>
  <si>
    <t>05970031</t>
  </si>
  <si>
    <t>05810446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</si>
  <si>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</si>
  <si>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</si>
  <si>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</si>
  <si>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</si>
  <si>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</si>
  <si>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</si>
  <si>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</si>
  <si>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</si>
  <si>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</si>
  <si>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</si>
  <si>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</si>
  <si>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</si>
  <si>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</si>
  <si>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</si>
  <si>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</si>
  <si>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</si>
  <si>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</si>
  <si>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</si>
  <si>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</si>
  <si>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</si>
  <si>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</si>
  <si>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</si>
  <si>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</si>
  <si>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</si>
  <si>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05990032</t>
  </si>
  <si>
    <t>05810370</t>
  </si>
  <si>
    <t>05810410</t>
  </si>
  <si>
    <t>05052300A</t>
  </si>
  <si>
    <t>05052400</t>
  </si>
  <si>
    <t>05052500</t>
  </si>
  <si>
    <t>05052600</t>
  </si>
  <si>
    <t>05990033</t>
  </si>
  <si>
    <t>05990034</t>
  </si>
  <si>
    <t>05810420</t>
  </si>
  <si>
    <t>05810430</t>
  </si>
  <si>
    <t>05052700</t>
  </si>
  <si>
    <t>05052701</t>
  </si>
  <si>
    <t>05052702</t>
  </si>
  <si>
    <t>05980010</t>
  </si>
  <si>
    <t>05980020</t>
  </si>
  <si>
    <t>05980030</t>
  </si>
  <si>
    <t>05980040</t>
  </si>
  <si>
    <t>05980050</t>
  </si>
  <si>
    <t>05980060</t>
  </si>
  <si>
    <t>05990048</t>
  </si>
  <si>
    <t>05990049</t>
  </si>
  <si>
    <t>05990050</t>
  </si>
  <si>
    <t>05990051</t>
  </si>
  <si>
    <t>05990052</t>
  </si>
  <si>
    <t>05990053</t>
  </si>
  <si>
    <t>05990054</t>
  </si>
  <si>
    <t>05990055</t>
  </si>
  <si>
    <t>05990056</t>
  </si>
  <si>
    <t>05990057</t>
  </si>
  <si>
    <t>05990058</t>
  </si>
  <si>
    <t>05990059</t>
  </si>
  <si>
    <t>05990060</t>
  </si>
  <si>
    <t>05990061</t>
  </si>
  <si>
    <t>05990062</t>
  </si>
  <si>
    <t>05990063</t>
  </si>
  <si>
    <t>05990064</t>
  </si>
  <si>
    <t>09600330</t>
  </si>
  <si>
    <t>06901500</t>
  </si>
  <si>
    <t>06901600</t>
  </si>
  <si>
    <t>06901700</t>
  </si>
  <si>
    <t>05970017</t>
  </si>
  <si>
    <t>05970018</t>
  </si>
  <si>
    <t>06902000</t>
  </si>
  <si>
    <t>05223900</t>
  </si>
  <si>
    <t>05224000</t>
  </si>
  <si>
    <t>05224100</t>
  </si>
  <si>
    <t>05970026</t>
  </si>
  <si>
    <t>05970027</t>
  </si>
  <si>
    <t>05224400</t>
  </si>
  <si>
    <t>05970032</t>
  </si>
  <si>
    <t>05970033</t>
  </si>
  <si>
    <t>05970034</t>
  </si>
  <si>
    <t>05970035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</si>
  <si>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</si>
  <si>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</si>
  <si>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</si>
  <si>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</si>
  <si>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</si>
  <si>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</si>
  <si>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</si>
  <si>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</si>
  <si>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</si>
  <si>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</si>
  <si>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</si>
  <si>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</si>
  <si>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</si>
  <si>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</si>
  <si>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</si>
  <si>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06907017</t>
  </si>
  <si>
    <t>06907001</t>
  </si>
  <si>
    <t>06907018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</si>
  <si>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</si>
  <si>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</si>
  <si>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</si>
  <si>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</si>
  <si>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</si>
  <si>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</si>
  <si>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</si>
  <si>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</si>
  <si>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</si>
  <si>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</si>
  <si>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</si>
  <si>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</si>
  <si>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</si>
  <si>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</si>
  <si>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</si>
  <si>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</si>
  <si>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</si>
  <si>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</si>
  <si>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</si>
  <si>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</si>
  <si>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</si>
  <si>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</si>
  <si>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</si>
  <si>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</si>
  <si>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</si>
  <si>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</si>
  <si>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</si>
  <si>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</si>
  <si>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06900300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</si>
  <si>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</si>
  <si>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</si>
  <si>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</si>
  <si>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</si>
  <si>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</si>
  <si>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</si>
  <si>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</si>
  <si>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</si>
  <si>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</si>
  <si>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</si>
  <si>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06905500</t>
  </si>
  <si>
    <t>06905600</t>
  </si>
  <si>
    <t>06905700</t>
  </si>
  <si>
    <t>06905800</t>
  </si>
  <si>
    <t>06905900</t>
  </si>
  <si>
    <t>06905901</t>
  </si>
  <si>
    <t>06907019</t>
  </si>
  <si>
    <t>06905902</t>
  </si>
  <si>
    <t>06906105</t>
  </si>
  <si>
    <t>06906135</t>
  </si>
  <si>
    <t>06906140</t>
  </si>
  <si>
    <t>06906145</t>
  </si>
  <si>
    <t>06906150</t>
  </si>
  <si>
    <t>06907014</t>
  </si>
  <si>
    <t>06907015</t>
  </si>
  <si>
    <t>06907016</t>
  </si>
  <si>
    <t>06907020</t>
  </si>
  <si>
    <t>06907021</t>
  </si>
  <si>
    <t>06907022</t>
  </si>
  <si>
    <t>06907023</t>
  </si>
  <si>
    <t>06907024</t>
  </si>
  <si>
    <t>06907025</t>
  </si>
  <si>
    <t>06907026</t>
  </si>
  <si>
    <t>06907027</t>
  </si>
  <si>
    <t>09600340</t>
  </si>
  <si>
    <t>09600341</t>
  </si>
  <si>
    <t>06907002</t>
  </si>
  <si>
    <t>06907003</t>
  </si>
  <si>
    <t>06907004</t>
  </si>
  <si>
    <t>06907005</t>
  </si>
  <si>
    <t>06907006</t>
  </si>
  <si>
    <t>06907007</t>
  </si>
  <si>
    <t>06907008</t>
  </si>
  <si>
    <t>06907009</t>
  </si>
  <si>
    <t>06907010</t>
  </si>
  <si>
    <t>06907011</t>
  </si>
  <si>
    <t>06907012</t>
  </si>
  <si>
    <t>06907013</t>
  </si>
  <si>
    <t>07020130</t>
  </si>
  <si>
    <t>07020230</t>
  </si>
  <si>
    <t>07020330</t>
  </si>
  <si>
    <t>07020331</t>
  </si>
  <si>
    <t>07020332</t>
  </si>
  <si>
    <t>07024219</t>
  </si>
  <si>
    <t>07020500</t>
  </si>
  <si>
    <t>07020501</t>
  </si>
  <si>
    <t>07020600</t>
  </si>
  <si>
    <t>07020601</t>
  </si>
  <si>
    <t>07020700</t>
  </si>
  <si>
    <t>07020800</t>
  </si>
  <si>
    <t>07020801</t>
  </si>
  <si>
    <t>07020900</t>
  </si>
  <si>
    <t>07020901</t>
  </si>
  <si>
    <t>07021000</t>
  </si>
  <si>
    <t>07021001</t>
  </si>
  <si>
    <t>07021100</t>
  </si>
  <si>
    <t>07021101</t>
  </si>
  <si>
    <t>07021230</t>
  </si>
  <si>
    <t>07021300</t>
  </si>
  <si>
    <t>07021301</t>
  </si>
  <si>
    <t>07022000</t>
  </si>
  <si>
    <t>07022001</t>
  </si>
  <si>
    <t>07021531</t>
  </si>
  <si>
    <t>07022132</t>
  </si>
  <si>
    <t>07022133</t>
  </si>
  <si>
    <t>07022134</t>
  </si>
  <si>
    <t>07021700</t>
  </si>
  <si>
    <t>07021800</t>
  </si>
  <si>
    <t>07021801</t>
  </si>
  <si>
    <t>07021900</t>
  </si>
  <si>
    <t>07022130</t>
  </si>
  <si>
    <t>07022142</t>
  </si>
  <si>
    <t>07022143</t>
  </si>
  <si>
    <t>07022144</t>
  </si>
  <si>
    <t>07022135</t>
  </si>
  <si>
    <t>07022136</t>
  </si>
  <si>
    <t>07022137</t>
  </si>
  <si>
    <t>07022700</t>
  </si>
  <si>
    <t>07022800</t>
  </si>
  <si>
    <t>07022900</t>
  </si>
  <si>
    <t>07021701</t>
  </si>
  <si>
    <t>07023100</t>
  </si>
  <si>
    <t>07023200</t>
  </si>
  <si>
    <t>07023201</t>
  </si>
  <si>
    <t>07023202</t>
  </si>
  <si>
    <t>07023203</t>
  </si>
  <si>
    <t>07023700</t>
  </si>
  <si>
    <t>07023701</t>
  </si>
  <si>
    <t>07023702</t>
  </si>
  <si>
    <t>07023703</t>
  </si>
  <si>
    <t>07024000</t>
  </si>
  <si>
    <t>07024001</t>
  </si>
  <si>
    <t>07024200</t>
  </si>
  <si>
    <t>07030500</t>
  </si>
  <si>
    <t>07024201</t>
  </si>
  <si>
    <t>07024202</t>
  </si>
  <si>
    <t>07030501</t>
  </si>
  <si>
    <t>07030502</t>
  </si>
  <si>
    <t>09600342</t>
  </si>
  <si>
    <t>09600343</t>
  </si>
  <si>
    <t>09600344</t>
  </si>
  <si>
    <t>09600345</t>
  </si>
  <si>
    <t>09600346</t>
  </si>
  <si>
    <t>09600347</t>
  </si>
  <si>
    <t>09600348</t>
  </si>
  <si>
    <t>09600349</t>
  </si>
  <si>
    <t>09600350</t>
  </si>
  <si>
    <t>09600351</t>
  </si>
  <si>
    <t>09600352</t>
  </si>
  <si>
    <t>09600353</t>
  </si>
  <si>
    <t>09600354</t>
  </si>
  <si>
    <t>09600355</t>
  </si>
  <si>
    <t>09600356</t>
  </si>
  <si>
    <t>09600357</t>
  </si>
  <si>
    <t>09600358</t>
  </si>
  <si>
    <t>09600359</t>
  </si>
  <si>
    <t>09600360</t>
  </si>
  <si>
    <t>09600361</t>
  </si>
  <si>
    <t>09600362</t>
  </si>
  <si>
    <t>09600363</t>
  </si>
  <si>
    <t>09600364</t>
  </si>
  <si>
    <t>09600365</t>
  </si>
  <si>
    <t>09600366</t>
  </si>
  <si>
    <t>09600367</t>
  </si>
  <si>
    <t>09600368</t>
  </si>
  <si>
    <t>09600369</t>
  </si>
  <si>
    <t>09600370</t>
  </si>
  <si>
    <t>09600371</t>
  </si>
  <si>
    <t>09600372</t>
  </si>
  <si>
    <t>09600373</t>
  </si>
  <si>
    <t>09600374</t>
  </si>
  <si>
    <t>09600375</t>
  </si>
  <si>
    <t>09600376</t>
  </si>
  <si>
    <t>09600377</t>
  </si>
  <si>
    <t>09600378</t>
  </si>
  <si>
    <t>09600379</t>
  </si>
  <si>
    <t>09600380</t>
  </si>
  <si>
    <t>09600381</t>
  </si>
  <si>
    <t>09600382</t>
  </si>
  <si>
    <t>09600383</t>
  </si>
  <si>
    <t>09600384</t>
  </si>
  <si>
    <t>09600385</t>
  </si>
  <si>
    <t>09600386</t>
  </si>
  <si>
    <t>09600387</t>
  </si>
  <si>
    <t>09600388</t>
  </si>
  <si>
    <t>09600389</t>
  </si>
  <si>
    <t>09600390</t>
  </si>
  <si>
    <t>09600391</t>
  </si>
  <si>
    <t>09600392</t>
  </si>
  <si>
    <t>09600393</t>
  </si>
  <si>
    <t>09600394</t>
  </si>
  <si>
    <t>09600395</t>
  </si>
  <si>
    <t>09600396</t>
  </si>
  <si>
    <t>09600397</t>
  </si>
  <si>
    <t>09600398</t>
  </si>
  <si>
    <t>09600399</t>
  </si>
  <si>
    <t>09600400</t>
  </si>
  <si>
    <t>09600401</t>
  </si>
  <si>
    <t>07024203</t>
  </si>
  <si>
    <t>07024204</t>
  </si>
  <si>
    <t>07024205</t>
  </si>
  <si>
    <t>07024206</t>
  </si>
  <si>
    <t>07031110</t>
  </si>
  <si>
    <t>07024207</t>
  </si>
  <si>
    <t>07024208</t>
  </si>
  <si>
    <t>07024209</t>
  </si>
  <si>
    <t>07024211</t>
  </si>
  <si>
    <t>07024212</t>
  </si>
  <si>
    <t>07024213</t>
  </si>
  <si>
    <t>07024215</t>
  </si>
  <si>
    <t>07024216</t>
  </si>
  <si>
    <t>07024217</t>
  </si>
  <si>
    <t>07024218</t>
  </si>
  <si>
    <t>09600402</t>
  </si>
  <si>
    <t>07024900</t>
  </si>
  <si>
    <t>07024915</t>
  </si>
  <si>
    <t>07031120</t>
  </si>
  <si>
    <t>07024925</t>
  </si>
  <si>
    <t>07024935</t>
  </si>
  <si>
    <t>07024920</t>
  </si>
  <si>
    <t>07024816</t>
  </si>
  <si>
    <t>07024607</t>
  </si>
  <si>
    <t>07024705</t>
  </si>
  <si>
    <t>07024506</t>
  </si>
  <si>
    <t>09600403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</si>
  <si>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</si>
  <si>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</si>
  <si>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</si>
  <si>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</si>
  <si>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</si>
  <si>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</si>
  <si>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</si>
  <si>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</si>
  <si>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</si>
  <si>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</si>
  <si>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</si>
  <si>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08221000</t>
  </si>
  <si>
    <t>08221100</t>
  </si>
  <si>
    <t>08021403</t>
  </si>
  <si>
    <t>08241030</t>
  </si>
  <si>
    <t>08200001</t>
  </si>
  <si>
    <t>08200002</t>
  </si>
  <si>
    <t>08200003</t>
  </si>
  <si>
    <t>08180208</t>
  </si>
  <si>
    <t>09600404</t>
  </si>
  <si>
    <t>09600405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</si>
  <si>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</si>
  <si>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</si>
  <si>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</si>
  <si>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</si>
  <si>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</si>
  <si>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</si>
  <si>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</si>
  <si>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</si>
  <si>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</si>
  <si>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</si>
  <si>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</si>
  <si>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</si>
  <si>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08210001</t>
  </si>
  <si>
    <t>08210002</t>
  </si>
  <si>
    <t>08210003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</si>
  <si>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</si>
  <si>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</si>
  <si>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</si>
  <si>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</si>
  <si>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</si>
  <si>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</si>
  <si>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</si>
  <si>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</si>
  <si>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</si>
  <si>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</si>
  <si>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</si>
  <si>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</si>
  <si>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</si>
  <si>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</si>
  <si>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</si>
  <si>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</si>
  <si>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</si>
  <si>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</si>
  <si>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</si>
  <si>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</si>
  <si>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</si>
  <si>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</si>
  <si>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</si>
  <si>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</si>
  <si>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</si>
  <si>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</si>
  <si>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</si>
  <si>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</si>
  <si>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09600406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</si>
  <si>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</si>
  <si>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</si>
  <si>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</si>
  <si>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</si>
  <si>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</si>
  <si>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</si>
  <si>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</si>
  <si>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</si>
  <si>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</si>
  <si>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</si>
  <si>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</si>
  <si>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</si>
  <si>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</si>
  <si>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</si>
  <si>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</si>
  <si>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09600407</t>
  </si>
  <si>
    <t>09600408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</si>
  <si>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</si>
  <si>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</si>
  <si>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</si>
  <si>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</si>
  <si>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</si>
  <si>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</si>
  <si>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</si>
  <si>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</si>
  <si>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</si>
  <si>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</si>
  <si>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</si>
  <si>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</si>
  <si>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</si>
  <si>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</si>
  <si>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</si>
  <si>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</si>
  <si>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</si>
  <si>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</si>
  <si>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</si>
  <si>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</si>
  <si>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</si>
  <si>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</si>
  <si>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</si>
  <si>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</si>
  <si>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</si>
  <si>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</si>
  <si>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</si>
  <si>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</si>
  <si>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08241010</t>
  </si>
  <si>
    <t>08241020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</si>
  <si>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</si>
  <si>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</si>
  <si>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</si>
  <si>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</si>
  <si>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</si>
  <si>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</si>
  <si>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</si>
  <si>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</si>
  <si>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19191021</t>
  </si>
  <si>
    <t>19191022</t>
  </si>
  <si>
    <t>19191023</t>
  </si>
  <si>
    <t>19191024</t>
  </si>
  <si>
    <t>19191025</t>
  </si>
  <si>
    <t>19191026</t>
  </si>
  <si>
    <t>19191027</t>
  </si>
  <si>
    <t>19191028</t>
  </si>
  <si>
    <t>19191029</t>
  </si>
  <si>
    <t>19191030</t>
  </si>
  <si>
    <t>19191031</t>
  </si>
  <si>
    <t>19191032</t>
  </si>
  <si>
    <t>19191033</t>
  </si>
  <si>
    <t>19191034</t>
  </si>
  <si>
    <t>19191035</t>
  </si>
  <si>
    <t>19191036</t>
  </si>
  <si>
    <t>19191037</t>
  </si>
  <si>
    <t>19191038</t>
  </si>
  <si>
    <t>19191039</t>
  </si>
  <si>
    <t>19191040</t>
  </si>
  <si>
    <t>19191041</t>
  </si>
  <si>
    <t>19191042</t>
  </si>
  <si>
    <t>19191043</t>
  </si>
  <si>
    <t>19191044</t>
  </si>
  <si>
    <t>19191045</t>
  </si>
  <si>
    <t>19191046</t>
  </si>
  <si>
    <t>19191047</t>
  </si>
  <si>
    <t>19191048</t>
  </si>
  <si>
    <t>19191049</t>
  </si>
  <si>
    <t>19191050</t>
  </si>
  <si>
    <t>19191051</t>
  </si>
  <si>
    <t>19191052</t>
  </si>
  <si>
    <t>19191053</t>
  </si>
  <si>
    <t>19191054</t>
  </si>
  <si>
    <t xml:space="preserve">* Debe coincidir el total de EMP según Estado Nutricional con EMP realizado según profesional. 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</si>
  <si>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</si>
  <si>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</si>
  <si>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</si>
  <si>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</si>
  <si>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</si>
  <si>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</si>
  <si>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</si>
  <si>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</si>
  <si>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</si>
  <si>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</si>
  <si>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</si>
  <si>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</si>
  <si>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</si>
  <si>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</si>
  <si>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>23042000A</t>
  </si>
  <si>
    <t>23044400A</t>
  </si>
  <si>
    <t>01030100</t>
  </si>
  <si>
    <t>01030300</t>
  </si>
  <si>
    <t>01060100</t>
  </si>
  <si>
    <t>01030400</t>
  </si>
  <si>
    <r>
      <rPr>
        <b/>
        <sz val="8"/>
        <color rgb="FFFF0000"/>
        <rFont val="Verdana"/>
        <family val="2"/>
      </rPr>
      <t>GRUPO 1:</t>
    </r>
    <r>
      <rPr>
        <sz val="8"/>
        <color rgb="FFFF0000"/>
        <rFont val="Verdana"/>
        <family val="2"/>
      </rPr>
      <t xml:space="preserve"> Nulíparas, embarazo único, cefálica, ≥37 semanas en trabajo de parto espontáneo</t>
    </r>
  </si>
  <si>
    <r>
      <rPr>
        <b/>
        <sz val="8"/>
        <color rgb="FFFF0000"/>
        <rFont val="Verdana"/>
        <family val="2"/>
      </rPr>
      <t>GRUPO 2:</t>
    </r>
    <r>
      <rPr>
        <sz val="8"/>
        <color rgb="FFFF0000"/>
        <rFont val="Verdana"/>
        <family val="2"/>
      </rPr>
      <t xml:space="preserve"> Nulíparas, Embarazo único, cefálica, ≥37 semanas, cesárea programada o con inducción de trabajo de parto. </t>
    </r>
  </si>
  <si>
    <r>
      <rPr>
        <b/>
        <sz val="8"/>
        <color rgb="FFFF0000"/>
        <rFont val="Verdana"/>
        <family val="2"/>
      </rPr>
      <t>GRUPO 3:</t>
    </r>
    <r>
      <rPr>
        <sz val="8"/>
        <color rgb="FFFF0000"/>
        <rFont val="Verdana"/>
        <family val="2"/>
      </rPr>
      <t xml:space="preserve"> Multípara, sin cesárea previa, embarazo único, cefálica, ≥37 semanas en trabajo de parto espontáneo</t>
    </r>
  </si>
  <si>
    <r>
      <rPr>
        <b/>
        <sz val="8"/>
        <color rgb="FFFF0000"/>
        <rFont val="Verdana"/>
        <family val="2"/>
      </rPr>
      <t xml:space="preserve">GRUPO 4: </t>
    </r>
    <r>
      <rPr>
        <sz val="8"/>
        <color rgb="FFFF0000"/>
        <rFont val="Verdana"/>
        <family val="2"/>
      </rPr>
      <t xml:space="preserve">Multípara, sin cesárea previa, embarazo único, cefálica, ≥37 semanas, cesárea programada o con inducción de trabajo de parto. </t>
    </r>
  </si>
  <si>
    <r>
      <rPr>
        <b/>
        <sz val="8"/>
        <color rgb="FFFF0000"/>
        <rFont val="Verdana"/>
        <family val="2"/>
      </rPr>
      <t>GRUPO 5:</t>
    </r>
    <r>
      <rPr>
        <sz val="8"/>
        <color rgb="FFFF0000"/>
        <rFont val="Verdana"/>
        <family val="2"/>
      </rPr>
      <t xml:space="preserve"> Multíparas con al menos 1 cesárea previa, embarazo unico, cefálica, ≥37 semanas. </t>
    </r>
  </si>
  <si>
    <r>
      <rPr>
        <b/>
        <sz val="8"/>
        <color rgb="FFFF0000"/>
        <rFont val="Verdana"/>
        <family val="2"/>
      </rPr>
      <t>5.1:</t>
    </r>
    <r>
      <rPr>
        <sz val="8"/>
        <color rgb="FFFF0000"/>
        <rFont val="Verdana"/>
        <family val="2"/>
      </rPr>
      <t xml:space="preserve"> con 1 cesárea previa</t>
    </r>
  </si>
  <si>
    <r>
      <rPr>
        <b/>
        <sz val="8"/>
        <color rgb="FFFF0000"/>
        <rFont val="Verdana"/>
        <family val="2"/>
      </rPr>
      <t>5.2:</t>
    </r>
    <r>
      <rPr>
        <sz val="8"/>
        <color rgb="FFFF0000"/>
        <rFont val="Verdana"/>
        <family val="2"/>
      </rPr>
      <t xml:space="preserve"> 2 o más cesareas previas</t>
    </r>
  </si>
  <si>
    <r>
      <rPr>
        <b/>
        <sz val="8"/>
        <color rgb="FFFF0000"/>
        <rFont val="Verdana"/>
        <family val="2"/>
      </rPr>
      <t>GRUPO 6:</t>
    </r>
    <r>
      <rPr>
        <sz val="8"/>
        <color rgb="FFFF0000"/>
        <rFont val="Verdana"/>
        <family val="2"/>
      </rPr>
      <t xml:space="preserve"> Nulíparas, embarazo único, podálica</t>
    </r>
  </si>
  <si>
    <r>
      <rPr>
        <b/>
        <sz val="8"/>
        <color rgb="FFFF0000"/>
        <rFont val="Verdana"/>
        <family val="2"/>
      </rPr>
      <t>GRUPO 7:</t>
    </r>
    <r>
      <rPr>
        <sz val="8"/>
        <color rgb="FFFF0000"/>
        <rFont val="Verdana"/>
        <family val="2"/>
      </rPr>
      <t xml:space="preserve"> Multíparas, embarazo único, podálica, con 1 o más cesáreas previas. </t>
    </r>
  </si>
  <si>
    <r>
      <rPr>
        <b/>
        <sz val="8"/>
        <color rgb="FFFF0000"/>
        <rFont val="Verdana"/>
        <family val="2"/>
      </rPr>
      <t>GRUPO 8:</t>
    </r>
    <r>
      <rPr>
        <sz val="8"/>
        <color rgb="FFFF0000"/>
        <rFont val="Verdana"/>
        <family val="2"/>
      </rPr>
      <t xml:space="preserve"> Todas las mujeres con embarazo múltiple, incluidas las que tienen 1 o más cesáreas previas. </t>
    </r>
  </si>
  <si>
    <r>
      <rPr>
        <b/>
        <sz val="8"/>
        <color rgb="FFFF0000"/>
        <rFont val="Verdana"/>
        <family val="2"/>
      </rPr>
      <t>GRUPO 9:</t>
    </r>
    <r>
      <rPr>
        <sz val="8"/>
        <color rgb="FFFF0000"/>
        <rFont val="Verdana"/>
        <family val="2"/>
      </rPr>
      <t xml:space="preserve"> Embarazo único, transverso y oblicuo, incluidas las que tienen una o mas cesáreas previas. </t>
    </r>
  </si>
  <si>
    <r>
      <rPr>
        <b/>
        <sz val="8"/>
        <color rgb="FFFF0000"/>
        <rFont val="Verdana"/>
        <family val="2"/>
      </rPr>
      <t>GRUPO 10:</t>
    </r>
    <r>
      <rPr>
        <sz val="8"/>
        <color rgb="FFFF0000"/>
        <rFont val="Verdana"/>
        <family val="2"/>
      </rPr>
      <t xml:space="preserve"> Todas las mujeres con embarazo único, cefálica, &lt;37 semanas, incluidas las que tienen 1 o más cesáreas. </t>
    </r>
  </si>
  <si>
    <t>01030200</t>
  </si>
  <si>
    <t>01090010</t>
  </si>
  <si>
    <t>04040300</t>
  </si>
  <si>
    <t>02021707</t>
  </si>
  <si>
    <t>04060110</t>
  </si>
  <si>
    <t>04060120</t>
  </si>
  <si>
    <t>04040428</t>
  </si>
  <si>
    <t>25502200A</t>
  </si>
  <si>
    <r>
      <t>Lu</t>
    </r>
    <r>
      <rPr>
        <vertAlign val="superscript"/>
        <sz val="8"/>
        <color rgb="FFFF0000"/>
        <rFont val="Verdana"/>
        <family val="2"/>
      </rPr>
      <t>a</t>
    </r>
  </si>
  <si>
    <r>
      <t>Lu</t>
    </r>
    <r>
      <rPr>
        <vertAlign val="superscript"/>
        <sz val="8"/>
        <color rgb="FFFF0000"/>
        <rFont val="Verdana"/>
        <family val="2"/>
      </rPr>
      <t>b</t>
    </r>
  </si>
  <si>
    <r>
      <t>Kp</t>
    </r>
    <r>
      <rPr>
        <vertAlign val="superscript"/>
        <sz val="8"/>
        <color rgb="FFFF0000"/>
        <rFont val="Verdana"/>
        <family val="2"/>
      </rPr>
      <t>a</t>
    </r>
  </si>
  <si>
    <r>
      <t>Le</t>
    </r>
    <r>
      <rPr>
        <vertAlign val="superscript"/>
        <sz val="8"/>
        <color rgb="FFFF0000"/>
        <rFont val="Verdana"/>
        <family val="2"/>
      </rPr>
      <t>a</t>
    </r>
  </si>
  <si>
    <r>
      <t>Le</t>
    </r>
    <r>
      <rPr>
        <vertAlign val="superscript"/>
        <sz val="8"/>
        <color rgb="FFFF0000"/>
        <rFont val="Verdana"/>
        <family val="2"/>
      </rPr>
      <t>b</t>
    </r>
  </si>
  <si>
    <r>
      <t>Fy</t>
    </r>
    <r>
      <rPr>
        <vertAlign val="superscript"/>
        <sz val="8"/>
        <color rgb="FFFF0000"/>
        <rFont val="Verdana"/>
        <family val="2"/>
      </rPr>
      <t>a</t>
    </r>
  </si>
  <si>
    <r>
      <t>Fy</t>
    </r>
    <r>
      <rPr>
        <vertAlign val="superscript"/>
        <sz val="8"/>
        <color rgb="FFFF0000"/>
        <rFont val="Verdana"/>
        <family val="2"/>
      </rPr>
      <t>b</t>
    </r>
  </si>
  <si>
    <r>
      <t>Jk</t>
    </r>
    <r>
      <rPr>
        <vertAlign val="superscript"/>
        <sz val="8"/>
        <color rgb="FFFF0000"/>
        <rFont val="Verdana"/>
        <family val="2"/>
      </rPr>
      <t>a</t>
    </r>
  </si>
  <si>
    <r>
      <t>Jk</t>
    </r>
    <r>
      <rPr>
        <vertAlign val="superscript"/>
        <sz val="8"/>
        <color rgb="FFFF0000"/>
        <rFont val="Verdana"/>
        <family val="2"/>
      </rPr>
      <t>b</t>
    </r>
  </si>
  <si>
    <r>
      <t>Di</t>
    </r>
    <r>
      <rPr>
        <vertAlign val="superscript"/>
        <sz val="8"/>
        <color rgb="FFFF0000"/>
        <rFont val="Verdana"/>
        <family val="2"/>
      </rPr>
      <t>a</t>
    </r>
  </si>
  <si>
    <r>
      <t>Di</t>
    </r>
    <r>
      <rPr>
        <vertAlign val="superscript"/>
        <sz val="8"/>
        <color rgb="FFFF0000"/>
        <rFont val="Verdana"/>
        <family val="2"/>
      </rPr>
      <t>b</t>
    </r>
  </si>
  <si>
    <t>CODIGOE ELIMINADOS</t>
  </si>
  <si>
    <t>03500406</t>
  </si>
  <si>
    <t>03500407</t>
  </si>
  <si>
    <t>06906100</t>
  </si>
  <si>
    <t>09600331</t>
  </si>
  <si>
    <t>09600332</t>
  </si>
  <si>
    <t>09600333</t>
  </si>
  <si>
    <t>09600334</t>
  </si>
  <si>
    <t>09600335</t>
  </si>
  <si>
    <t>09600336</t>
  </si>
  <si>
    <t>09600337</t>
  </si>
  <si>
    <t>09600338</t>
  </si>
  <si>
    <t>09600339</t>
  </si>
  <si>
    <t>09400082</t>
  </si>
  <si>
    <t>09400081</t>
  </si>
  <si>
    <t>09230300</t>
  </si>
  <si>
    <t>09400084</t>
  </si>
  <si>
    <t>09204918</t>
  </si>
  <si>
    <t>09230500</t>
  </si>
  <si>
    <t>09200313</t>
  </si>
  <si>
    <t>09200513</t>
  </si>
  <si>
    <t>09204919</t>
  </si>
  <si>
    <t>09400085</t>
  </si>
  <si>
    <t>09600300</t>
  </si>
  <si>
    <t>09201225</t>
  </si>
  <si>
    <t>09600301</t>
  </si>
  <si>
    <t>09600302</t>
  </si>
  <si>
    <t>09400087</t>
  </si>
  <si>
    <t>09400088</t>
  </si>
  <si>
    <t>09600303</t>
  </si>
  <si>
    <t>09204924</t>
  </si>
  <si>
    <t>09600304</t>
  </si>
  <si>
    <t>09400089</t>
  </si>
  <si>
    <t>09201713</t>
  </si>
  <si>
    <t>09215013</t>
  </si>
  <si>
    <t>09215014</t>
  </si>
  <si>
    <t>09215015</t>
  </si>
  <si>
    <t>09215313</t>
  </si>
  <si>
    <t>09215413</t>
  </si>
  <si>
    <t>09300300</t>
  </si>
  <si>
    <t>09220100</t>
  </si>
  <si>
    <t>09220150</t>
  </si>
  <si>
    <t>09220250</t>
  </si>
  <si>
    <t>09220350</t>
  </si>
  <si>
    <t>09220450</t>
  </si>
  <si>
    <t>09220500</t>
  </si>
  <si>
    <t>09600305</t>
  </si>
  <si>
    <t>09600306</t>
  </si>
  <si>
    <t>09600307</t>
  </si>
  <si>
    <t>09600308</t>
  </si>
  <si>
    <t>09600309</t>
  </si>
  <si>
    <t>09600100</t>
  </si>
  <si>
    <t>09600101</t>
  </si>
  <si>
    <t>09600102</t>
  </si>
  <si>
    <t>09204926</t>
  </si>
  <si>
    <t>09260100</t>
  </si>
  <si>
    <t>09400030</t>
  </si>
  <si>
    <t>09600311</t>
  </si>
  <si>
    <t>09600312</t>
  </si>
  <si>
    <t>09204931</t>
  </si>
  <si>
    <t>09600313</t>
  </si>
  <si>
    <t>09600314</t>
  </si>
  <si>
    <t>09204934</t>
  </si>
  <si>
    <t>09305400</t>
  </si>
  <si>
    <t>09305500</t>
  </si>
  <si>
    <t>09310800</t>
  </si>
  <si>
    <t>09600315</t>
  </si>
  <si>
    <t>09230100</t>
  </si>
  <si>
    <t>09230200</t>
  </si>
  <si>
    <t>09204935</t>
  </si>
  <si>
    <t>09600110</t>
  </si>
  <si>
    <t>09600111</t>
  </si>
  <si>
    <t>09600112</t>
  </si>
  <si>
    <t>09600113</t>
  </si>
  <si>
    <t>09600114</t>
  </si>
  <si>
    <t>09600115</t>
  </si>
  <si>
    <t>09203813</t>
  </si>
  <si>
    <t>09600117</t>
  </si>
  <si>
    <t>09600118</t>
  </si>
  <si>
    <t>09203213</t>
  </si>
  <si>
    <t>09305700</t>
  </si>
  <si>
    <t>09305800</t>
  </si>
  <si>
    <t>09600119</t>
  </si>
  <si>
    <t>09600120</t>
  </si>
  <si>
    <t>09600121</t>
  </si>
  <si>
    <t>09202725</t>
  </si>
  <si>
    <t>09202735</t>
  </si>
  <si>
    <t>09202745</t>
  </si>
  <si>
    <t>09600122</t>
  </si>
  <si>
    <t>09600123</t>
  </si>
  <si>
    <t>09600124</t>
  </si>
  <si>
    <t>09600125</t>
  </si>
  <si>
    <t>09600126</t>
  </si>
  <si>
    <t>09600127</t>
  </si>
  <si>
    <t>09600128</t>
  </si>
  <si>
    <t>09305600</t>
  </si>
  <si>
    <t>09600129</t>
  </si>
  <si>
    <t>09600130</t>
  </si>
  <si>
    <t>09600131</t>
  </si>
  <si>
    <t>09600132</t>
  </si>
  <si>
    <t>09203425</t>
  </si>
  <si>
    <t>09203435</t>
  </si>
  <si>
    <t>09203313</t>
  </si>
  <si>
    <t>09600133</t>
  </si>
  <si>
    <t>09600134</t>
  </si>
  <si>
    <t>09306000</t>
  </si>
  <si>
    <t>09600135</t>
  </si>
  <si>
    <t>09600137</t>
  </si>
  <si>
    <t>09600138</t>
  </si>
  <si>
    <t>09600139</t>
  </si>
  <si>
    <t>09600140</t>
  </si>
  <si>
    <t>09600316</t>
  </si>
  <si>
    <t>09600317</t>
  </si>
  <si>
    <t>09600141</t>
  </si>
  <si>
    <t>09600142</t>
  </si>
  <si>
    <t>09600143</t>
  </si>
  <si>
    <t>09600144</t>
  </si>
  <si>
    <t>09600145</t>
  </si>
  <si>
    <t>09600146</t>
  </si>
  <si>
    <t>09600147</t>
  </si>
  <si>
    <t>09600148</t>
  </si>
  <si>
    <t>09600318</t>
  </si>
  <si>
    <t>09600149</t>
  </si>
  <si>
    <t>09600319</t>
  </si>
  <si>
    <t>09203913</t>
  </si>
  <si>
    <t>09306200</t>
  </si>
  <si>
    <t>09306300</t>
  </si>
  <si>
    <t>09306400</t>
  </si>
  <si>
    <t>09306500</t>
  </si>
  <si>
    <t>09204013</t>
  </si>
  <si>
    <t>09600150</t>
  </si>
  <si>
    <t>09306900</t>
  </si>
  <si>
    <t>09202313</t>
  </si>
  <si>
    <t>09600409</t>
  </si>
  <si>
    <t>09202413</t>
  </si>
  <si>
    <t>09260500</t>
  </si>
  <si>
    <t>09260600</t>
  </si>
  <si>
    <t>09600103</t>
  </si>
  <si>
    <t>09204944</t>
  </si>
  <si>
    <t>09400092</t>
  </si>
  <si>
    <t>09400093</t>
  </si>
  <si>
    <t>09500500</t>
  </si>
  <si>
    <t>09500503</t>
  </si>
  <si>
    <t>09500501</t>
  </si>
  <si>
    <t>09600410</t>
  </si>
  <si>
    <t>09500502</t>
  </si>
  <si>
    <t>09600151</t>
  </si>
  <si>
    <t>09600152</t>
  </si>
  <si>
    <t>09204947</t>
  </si>
  <si>
    <t>09600320</t>
  </si>
  <si>
    <t>09600321</t>
  </si>
  <si>
    <t>09600153</t>
  </si>
  <si>
    <t>09600154</t>
  </si>
  <si>
    <t>09204949</t>
  </si>
  <si>
    <t>09600322</t>
  </si>
  <si>
    <t>09600323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</si>
  <si>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</si>
  <si>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</si>
  <si>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</si>
  <si>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</si>
  <si>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</si>
  <si>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</si>
  <si>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</si>
  <si>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</si>
  <si>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</si>
  <si>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</si>
  <si>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09400090</t>
  </si>
  <si>
    <t>09400091</t>
  </si>
  <si>
    <t>09306600</t>
  </si>
  <si>
    <t>09306800</t>
  </si>
  <si>
    <t>09600105</t>
  </si>
  <si>
    <t>09600324</t>
  </si>
  <si>
    <t>09306801</t>
  </si>
  <si>
    <t>09600106</t>
  </si>
  <si>
    <t>09204213</t>
  </si>
  <si>
    <t>09204214</t>
  </si>
  <si>
    <t>09240700</t>
  </si>
  <si>
    <t>09600325</t>
  </si>
  <si>
    <t>09600155</t>
  </si>
  <si>
    <t>09600156</t>
  </si>
  <si>
    <t>09216113</t>
  </si>
  <si>
    <t>09216213</t>
  </si>
  <si>
    <t>09600326</t>
  </si>
  <si>
    <t>09600157</t>
  </si>
  <si>
    <t>09600158</t>
  </si>
  <si>
    <t>09600159</t>
  </si>
  <si>
    <t>09204953</t>
  </si>
  <si>
    <t>09204954</t>
  </si>
  <si>
    <t>09600327</t>
  </si>
  <si>
    <t>09600160</t>
  </si>
  <si>
    <t>09600161</t>
  </si>
  <si>
    <t>09600162</t>
  </si>
  <si>
    <t>09216513</t>
  </si>
  <si>
    <t>09216613</t>
  </si>
  <si>
    <t>09600328</t>
  </si>
  <si>
    <t>09600163</t>
  </si>
  <si>
    <t>09600164</t>
  </si>
  <si>
    <t>09600165</t>
  </si>
  <si>
    <t>09216913</t>
  </si>
  <si>
    <t>09217013</t>
  </si>
  <si>
    <t>09600329</t>
  </si>
  <si>
    <t>09600166</t>
  </si>
  <si>
    <t>09600170</t>
  </si>
  <si>
    <t>09600171</t>
  </si>
  <si>
    <t>09217913</t>
  </si>
  <si>
    <t>09218013</t>
  </si>
  <si>
    <t>09600172</t>
  </si>
  <si>
    <t>09600173</t>
  </si>
  <si>
    <t>09600174</t>
  </si>
  <si>
    <t>09600175</t>
  </si>
  <si>
    <t>09600176</t>
  </si>
  <si>
    <t>09600177</t>
  </si>
  <si>
    <t>09600178</t>
  </si>
  <si>
    <t>09600179</t>
  </si>
  <si>
    <t>09218313</t>
  </si>
  <si>
    <t>09218413</t>
  </si>
  <si>
    <t>09600180</t>
  </si>
  <si>
    <t>09600181</t>
  </si>
  <si>
    <t>09600182</t>
  </si>
  <si>
    <t>09218813</t>
  </si>
  <si>
    <t>09218913</t>
  </si>
  <si>
    <t>09600183</t>
  </si>
  <si>
    <t>09600184</t>
  </si>
  <si>
    <t>09600185</t>
  </si>
  <si>
    <t>09219213</t>
  </si>
  <si>
    <t>09219313</t>
  </si>
  <si>
    <t>09600186</t>
  </si>
  <si>
    <t>09600187</t>
  </si>
  <si>
    <t>09600188</t>
  </si>
  <si>
    <t>09600189</t>
  </si>
  <si>
    <t>09600190</t>
  </si>
  <si>
    <t>09600191</t>
  </si>
  <si>
    <t>09600192</t>
  </si>
  <si>
    <t>09600193</t>
  </si>
  <si>
    <t>09309000</t>
  </si>
  <si>
    <t>09309050</t>
  </si>
  <si>
    <t>09600194</t>
  </si>
  <si>
    <t>09600195</t>
  </si>
  <si>
    <t>09600196</t>
  </si>
  <si>
    <t>09309200</t>
  </si>
  <si>
    <t>09309250</t>
  </si>
  <si>
    <t>09600197</t>
  </si>
  <si>
    <t>09600198</t>
  </si>
  <si>
    <t>09600199</t>
  </si>
  <si>
    <t>09240500</t>
  </si>
  <si>
    <t>09240600</t>
  </si>
  <si>
    <t>09600200</t>
  </si>
  <si>
    <t>09204317</t>
  </si>
  <si>
    <t>09204417</t>
  </si>
  <si>
    <t>09204517</t>
  </si>
  <si>
    <t>09204717</t>
  </si>
  <si>
    <t>09400080</t>
  </si>
  <si>
    <t>09400200</t>
  </si>
  <si>
    <t>09400201</t>
  </si>
  <si>
    <t>09400202</t>
  </si>
  <si>
    <t>09400203</t>
  </si>
  <si>
    <t>09400204</t>
  </si>
  <si>
    <t>09400205</t>
  </si>
  <si>
    <t>09400206</t>
  </si>
  <si>
    <t>09600201</t>
  </si>
  <si>
    <t>09600202</t>
  </si>
  <si>
    <t>09600203</t>
  </si>
  <si>
    <t>09310700</t>
  </si>
  <si>
    <t>09600116</t>
  </si>
  <si>
    <t>09600167</t>
  </si>
  <si>
    <t>09600168</t>
  </si>
  <si>
    <t>09217413</t>
  </si>
  <si>
    <t>09217513</t>
  </si>
  <si>
    <t>09600169</t>
  </si>
  <si>
    <t>09400104</t>
  </si>
  <si>
    <t>09400101</t>
  </si>
  <si>
    <t>09400102</t>
  </si>
  <si>
    <t>09400103</t>
  </si>
  <si>
    <t>27281615A</t>
  </si>
  <si>
    <t>27281615B</t>
  </si>
  <si>
    <t>27281615C</t>
  </si>
  <si>
    <t>05226600</t>
  </si>
  <si>
    <t>05226700</t>
  </si>
  <si>
    <t>05226800</t>
  </si>
  <si>
    <t>29000002</t>
  </si>
  <si>
    <t>29000003</t>
  </si>
  <si>
    <t>29000004</t>
  </si>
  <si>
    <t>29000005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</si>
  <si>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</si>
  <si>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</si>
  <si>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</si>
  <si>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</si>
  <si>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</si>
  <si>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</si>
  <si>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</si>
  <si>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</si>
  <si>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</si>
  <si>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</si>
  <si>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</si>
  <si>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</si>
  <si>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</si>
  <si>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</si>
  <si>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</si>
  <si>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</si>
  <si>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</si>
  <si>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</si>
  <si>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</si>
  <si>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</si>
  <si>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</si>
  <si>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</si>
  <si>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</si>
  <si>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</si>
  <si>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</si>
  <si>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</si>
  <si>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</si>
  <si>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</si>
  <si>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</si>
  <si>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</si>
  <si>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</si>
  <si>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</si>
  <si>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</si>
  <si>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</si>
  <si>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</si>
  <si>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</si>
  <si>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</si>
  <si>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</si>
  <si>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</si>
  <si>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</si>
  <si>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</si>
  <si>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</si>
  <si>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</si>
  <si>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</si>
  <si>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</si>
  <si>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</si>
  <si>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</si>
  <si>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</si>
  <si>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 xml:space="preserve">* No olvide digitar el campo Pueblos Originarios (Digite CEROS si no tiene). </t>
  </si>
  <si>
    <t xml:space="preserve">* No olvide digitar el campo Migrantes (Digite CEROS si no tiene). </t>
  </si>
  <si>
    <t xml:space="preserve">* Niños, Niñas, Adolescentes y Jóvenes SENAME NO DEBE ser mayor al Total. </t>
  </si>
  <si>
    <t xml:space="preserve">* En Niños, Niñas, Adolescentes y Jóvenes Mejor Niñez NO DEBE ser mayor al Total. </t>
  </si>
  <si>
    <t xml:space="preserve">* Pueblos Originarios NO DEBE ser mayor al Total. </t>
  </si>
  <si>
    <t xml:space="preserve">* Migrantes NO DEBE ser mayor al Total. </t>
  </si>
  <si>
    <t xml:space="preserve">* El número de Sexo Hombres y mujeres debe ser igual al total. </t>
  </si>
  <si>
    <t xml:space="preserve">* El número de controles según sexo NO DEBE ser diferente al Total. </t>
  </si>
  <si>
    <t xml:space="preserve">* No olvide digitar el campo Niños, Niñas, Adolescentes y Jóvenes SENAME (Digite CEROS si no tiene). </t>
  </si>
  <si>
    <t xml:space="preserve">* No olvide digitar el campo Niños, Niñas, Adolescentes y Jóvenes Mejor Niñez (Digite CEROS si no tiene). </t>
  </si>
  <si>
    <t xml:space="preserve">* El número de controles con presencia de Padre para menor 1 año NO DEBE ser Mayor a la suma de controles del rango correspondiente. </t>
  </si>
  <si>
    <t xml:space="preserve">* El número de controles con presencia de Padre para menor entre 1 año y 3 años NO DEBE ser Mayor a la suma de controles del rango correspondiente. </t>
  </si>
  <si>
    <t xml:space="preserve">* Niños, Niñas, Adolescentes y Jóvenes Mejor Niñez NO DEBE ser mayor al Total. </t>
  </si>
  <si>
    <t xml:space="preserve">* Pueblos Originarios NO DEBE ser mayor al Total de controles de adolescentes de 10 a 14 años. </t>
  </si>
  <si>
    <t xml:space="preserve">* Migrantes NO DEBE ser mayor al Total de controles de adolescentes de 10 a 14 años. </t>
  </si>
  <si>
    <t xml:space="preserve">* Pueblos Originarios NO DEBE ser mayor al Total de controles de adolescentes de 15 a 19 años. </t>
  </si>
  <si>
    <t xml:space="preserve">* Migrantes NO DEBE ser mayor al Total de controles de adolescentes de 15 a 19 años. </t>
  </si>
  <si>
    <t xml:space="preserve">* El número consultas según sexo NO DEBE ser diferente a la suma de consultas por edad. </t>
  </si>
  <si>
    <t xml:space="preserve">* * El campo  NO PUEDE ser mayor al Total. </t>
  </si>
  <si>
    <t xml:space="preserve">* * El campo Pueblos Originarios NO PUEDE ser mayor al Total. </t>
  </si>
  <si>
    <t xml:space="preserve">* Las embarazadas NO DEBEN ser mayor al total de mujeres. </t>
  </si>
  <si>
    <t xml:space="preserve">* Aplicacion de Pauta Breve en Hombres Menor de 1 mes debe ser igual a la suma de resultados. </t>
  </si>
  <si>
    <t xml:space="preserve">* Aplicacion de Pauta Breve en Mujeres Menor de 1 mes debe ser igual a la suma de resultados. </t>
  </si>
  <si>
    <t xml:space="preserve">* Aplicacion de Pauta Breve en Hombres de 1 mes debe ser igual a la suma de resultados. </t>
  </si>
  <si>
    <t xml:space="preserve">* Aplicacion de Pauta Breve en Mujeres de 1 mes debe ser igual a la suma de resultados. </t>
  </si>
  <si>
    <t xml:space="preserve">* Aplicacion de Pauta Breve en Hombres de 2 meses debe ser igual a la suma de resultados. </t>
  </si>
  <si>
    <t xml:space="preserve">* Aplicacion de Pauta Breve en Mujeres de 2 meses debe ser igual a la suma de resultados. </t>
  </si>
  <si>
    <t xml:space="preserve">* Aplicacion de Pauta Breve en Hombres de 3 meses debe ser igual a la suma de resultados. </t>
  </si>
  <si>
    <t xml:space="preserve">* Aplicacion de Pauta Breve en Mujeres de 3 meses debe ser igual a la suma de resultados. </t>
  </si>
  <si>
    <t xml:space="preserve">* Aplicacion de Pauta Breve en Hombres de 4 meses debe ser igual a la suma de resultados. </t>
  </si>
  <si>
    <t xml:space="preserve">* Aplicacion de Pauta Breve en Mujeres de 4 meses debe ser igual a la suma de resultados. </t>
  </si>
  <si>
    <t xml:space="preserve">* Aplicacion de Pauta Breve en Hombres de 5 meses debe ser igual a la suma de resultados. </t>
  </si>
  <si>
    <t xml:space="preserve">* Aplicacion de Pauta Breve en Mujeres de 5 meses debe ser igual a la suma de resultados. </t>
  </si>
  <si>
    <t xml:space="preserve">* Aplicacion de Pauta Breve en Hombres de 6 meses debe ser igual a la suma de resultados. </t>
  </si>
  <si>
    <t xml:space="preserve">* Aplicacion de Pauta Breve en Mujeres de 6 meses debe ser igual a la suma de resultados. </t>
  </si>
  <si>
    <t xml:space="preserve">* Aplicacion de Pauta Breve en Hombres de 7 - 11 meses debe ser igual a la suma de resultados. </t>
  </si>
  <si>
    <t xml:space="preserve">* Aplicacion de Pauta Breve en Mujeres de 7 - 11 meses debe ser igual a la suma de resultados. </t>
  </si>
  <si>
    <t xml:space="preserve">* Aplicacion de Pauta Breve en Hombres de 12 - 17 meses debe ser igual a la suma de resultados. </t>
  </si>
  <si>
    <t xml:space="preserve">* Aplicacion de Pauta Breve en Mujeres de 12 - 17 meses debe ser igual a la suma de resultados. </t>
  </si>
  <si>
    <t xml:space="preserve">* Aplicacion de Pauta Breve en Hombres de 18 - 24 meses debe ser igual a la suma de resultados. </t>
  </si>
  <si>
    <t xml:space="preserve">* Aplicacion de Pauta Breve en Mujeres de 18 - 24 meses debe ser igual a la suma de resultados. </t>
  </si>
  <si>
    <t xml:space="preserve">* Aplicacion de Pauta Breve en Hombres Menor de 1 mes debe ser igual a la suma de resultados. * Aplicacion de Pauta Breve en Mujeres Menor de 1 mes debe ser igual a la suma de resultados. * Aplicacion de Pauta Breve en Hombres de 1 mes debe ser igual a la suma de resultados. * Aplicacion de Pauta Breve en Mujeres de 1 mes debe ser igual a la suma de resultados. * Aplicacion de Pauta Breve en Hombres de 2 meses debe ser igual a la suma de resultados. * Aplicacion de Pauta Breve en Mujeres de 2 meses debe ser igual a la suma de resultados. * Aplicacion de Pauta Breve en Hombres de 3 meses debe ser igual a la suma de resultados. * Aplicacion de Pauta Breve en Mujeres de 3 meses debe ser igual a la suma de resultados. * Aplicacion de Pauta Breve en Hombres de 4 meses debe ser igual a la suma de resultados. * Aplicacion de Pauta Breve en Mujeres de 4 meses debe ser igual a la suma de resultados. * Aplicacion de Pauta Breve en Hombres de 5 meses debe ser igual a la suma de resultados. * Aplicacion de Pauta Breve en Mujeres de 5 meses debe ser igual a la suma de resultados. * Aplicacion de Pauta Breve en Hombres de 6 meses debe ser igual a la suma de resultados. * Aplicacion de Pauta Breve en Mujeres de 6 meses debe ser igual a la suma de resultados. * Aplicacion de Pauta Breve en Hombres de 7 - 11 meses debe ser igual a la suma de resultados. * Aplicacion de Pauta Breve en Mujeres de 7 - 11 meses debe ser igual a la suma de resultados. * Aplicacion de Pauta Breve en Hombres de 12 - 17 meses debe ser igual a la suma de resultados. * Aplicacion de Pauta Breve en Mujeres de 12 - 17 meses debe ser igual a la suma de resultados. * Aplicacion de Pauta Breve en Hombres de 18 - 24 meses debe ser igual a la suma de resultados. * Aplicacion de Pauta Breve en Mujeres de 18 - 24 meses debe ser igual a la suma de resultados. </t>
  </si>
  <si>
    <t xml:space="preserve">* * El campo Víctima de Violencia de Género NO PUEDE ser mayor al Total. </t>
  </si>
  <si>
    <t xml:space="preserve">* * El campo Migrantes NO PUEDE ser mayor al Total. </t>
  </si>
  <si>
    <t xml:space="preserve">* * El campo Ingresos por Traslado NO PUEDE ser mayor al Total. </t>
  </si>
  <si>
    <t xml:space="preserve">* * El campo  NO PUEDE ser mayor al Total. * * El campo Víctima de Violencia de Género NO PUEDE ser mayor al Total. * * El campo Pueblos Originarios NO PUEDE ser mayor al Total. * * El campo Migrantes NO PUEDE ser mayor al Total. * * El campo Ingresos por Traslado NO PUEDE ser mayor al Total. </t>
  </si>
  <si>
    <t xml:space="preserve">* * El campo Nº de Ingreso a ARO NO PUEDE ser mayor al Total. </t>
  </si>
  <si>
    <t xml:space="preserve">* * El campo Victima de violencia de género NO PUEDE ser mayor al Total. </t>
  </si>
  <si>
    <t xml:space="preserve">* * El campo Nº de Ingreso a ARO NO PUEDE ser mayor al Total. * * El campo Victima de violencia de género NO PUEDE ser mayor al Total. * * El campo Pueblos Originarios NO PUEDE ser mayor al Total. </t>
  </si>
  <si>
    <t xml:space="preserve">* * El campo Ingreso por cambio de Método Anticonceptivo NO PUEDE ser mayor al Total. </t>
  </si>
  <si>
    <t xml:space="preserve">* * El campo Niños, Niñas, Adolescentes y Jóvenes Población SENAME NO PUEDE ser mayor al Total. </t>
  </si>
  <si>
    <t xml:space="preserve">* El Total de Ingresos de Hombres por Servicio Itinerante y/o Atención Domiciliaria NO DEBE ser mayor Al total de ingresos de Hombres. </t>
  </si>
  <si>
    <t xml:space="preserve">* El Total de Ingresos de Mujeres por Servicio Itinerante y/o Atención Domiciliaria NO DEBE ser mayor Al total de ingresos de Mujeres. </t>
  </si>
  <si>
    <t xml:space="preserve">* * El campo  NO PUEDE ser mayor al Total. * * El campo Pueblos Originarios NO PUEDE ser mayor al Total. </t>
  </si>
  <si>
    <t xml:space="preserve">* Egresos según causal NO DEBE ser mayor que total egresos. </t>
  </si>
  <si>
    <t xml:space="preserve">* Las gestantes ingresadas al Programa NO debe ser mayor al Total de Mujeres ingresadas. </t>
  </si>
  <si>
    <t xml:space="preserve">* Las madres de hijos menor de 5 años NO DEBE ser mayor al Total de Mujeres ingresadas al Programa. </t>
  </si>
  <si>
    <t xml:space="preserve">* Los ingresos de Pueblos Originarios (Hombre) NO DEBE ser mayor al Total de Hombres ingresados al Programa. </t>
  </si>
  <si>
    <t xml:space="preserve">* * El campo Niños, Niñas, Adolescentes y Jóvenes  SENAME NO PUEDE ser mayor al Total. </t>
  </si>
  <si>
    <t xml:space="preserve">* * El campo Niños, Niñas, Adolescentes y Jóvenes Mejor Niñez NO PUEDE ser mayor al Total. </t>
  </si>
  <si>
    <t xml:space="preserve">* Los ingresos de Pueblos Originarios (Mujer) NO DEBE ser mayor al Total de Mujeres ingresadas al Programa. </t>
  </si>
  <si>
    <t xml:space="preserve">* Los ingresos de personas Trans NO DEBE ser mayor al Total de personas ingresadas al Programa. </t>
  </si>
  <si>
    <t xml:space="preserve">* Los ingresos de Migrantes Hombre NO DEBE ser mayor al Total de personas ingresadas al Programa. </t>
  </si>
  <si>
    <t xml:space="preserve">* Los ingresos de Migrantes Mujer NO DEBE ser mayor al Total de personas ingresadas al Programa. </t>
  </si>
  <si>
    <t xml:space="preserve">* Los ingresos Trans Masculino NO DEBE ser mayor al Total de personas ingresadas al Programa. </t>
  </si>
  <si>
    <t xml:space="preserve">* Los ingresos Trans Femenino NO DEBE ser mayor al Total de personas ingresadas al Programa. </t>
  </si>
  <si>
    <t>05226300</t>
  </si>
  <si>
    <t>05226500</t>
  </si>
  <si>
    <t>05226900</t>
  </si>
  <si>
    <t>ATENCIÓN DE DONANTES DE SANGRE TOTAL Y AFÉRESIS</t>
  </si>
  <si>
    <t>BOLSA CON FILTRO</t>
  </si>
  <si>
    <t>Filtrados posterior a producción</t>
  </si>
  <si>
    <t>Estandar</t>
  </si>
  <si>
    <t>SECCIÓN J: ATENCIONES REALIZADAS POR PROFESIONALES EN EL PROCESO DE EVALUACION INTEGRAL DE DAÑO (PRAIS)</t>
  </si>
  <si>
    <t>SECCIÓN C: TRABAJO CON AGRUPACIONES DE USUARIOS, COMUNIDAD Y DERECHOS HUMANOS (PRAIS) (contenidas en Sección B.1)</t>
  </si>
  <si>
    <t>SECCIÓN D: TRABAJO INTERSECTORIAL PRAIS (Contenidas en REM A06, sección C.1)</t>
  </si>
  <si>
    <t xml:space="preserve">SECCIÓN L: ACTIVIDADES DE EDUCACIÓN PARA LA SALUD SEGÚN PERSONAL QUE LAS REALIZA (SESIONES) (PRAIS) (Contenidas en Sección B) </t>
  </si>
  <si>
    <t xml:space="preserve">Versión 1.4: Mayo 2023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</si>
</sst>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10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8"/>
      <color indexed="8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9"/>
      <name val="Arial"/>
      <family val="2"/>
    </font>
    <font>
      <sz val="11"/>
      <name val="Arial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8"/>
      <color rgb="FFFF0000"/>
      <name val="Verdan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Verdana"/>
      <family val="2"/>
    </font>
    <font>
      <sz val="11"/>
      <color rgb="FFFF0000"/>
      <name val="Verdana"/>
      <family val="2"/>
    </font>
    <font>
      <sz val="9"/>
      <color rgb="FFFF0000"/>
      <name val="Verdana"/>
      <family val="2"/>
    </font>
    <font>
      <b/>
      <i/>
      <sz val="11"/>
      <name val="Verdana"/>
      <family val="2"/>
    </font>
    <font>
      <sz val="12"/>
      <color theme="1"/>
      <name val="Calibri"/>
      <family val="2"/>
      <scheme val="minor"/>
    </font>
    <font>
      <b/>
      <sz val="11"/>
      <color theme="4"/>
      <name val="Verdana"/>
      <family val="2"/>
    </font>
    <font>
      <sz val="10"/>
      <color rgb="FFFF0000"/>
      <name val="Arial"/>
      <family val="2"/>
    </font>
    <font>
      <sz val="4"/>
      <name val="Verdana"/>
      <family val="2"/>
    </font>
    <font>
      <sz val="6"/>
      <name val="Verdana"/>
      <family val="2"/>
    </font>
    <font>
      <sz val="5"/>
      <name val="Verdana"/>
      <family val="2"/>
    </font>
    <font>
      <strike/>
      <sz val="8"/>
      <name val="Verdana"/>
      <family val="2"/>
    </font>
    <font>
      <b/>
      <sz val="11"/>
      <color theme="1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8"/>
      <color theme="1"/>
      <name val="Calibri"/>
      <family val="2"/>
      <scheme val="minor"/>
    </font>
    <font>
      <sz val="11"/>
      <color theme="1"/>
      <name val="Verdana"/>
      <family val="2"/>
    </font>
    <font>
      <sz val="12"/>
      <color theme="1"/>
      <name val="Verdana"/>
      <family val="2"/>
    </font>
    <font>
      <sz val="9"/>
      <color theme="1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color rgb="FF006100"/>
      <name val="Calibri"/>
      <family val="2"/>
      <scheme val="minor"/>
    </font>
    <font>
      <sz val="7"/>
      <color theme="1"/>
      <name val="Verdana"/>
      <family val="2"/>
    </font>
    <font>
      <b/>
      <sz val="20"/>
      <color theme="1"/>
      <name val="Verdana"/>
      <family val="2"/>
    </font>
    <font>
      <b/>
      <sz val="7"/>
      <color theme="1"/>
      <name val="Verdana"/>
      <family val="2"/>
    </font>
    <font>
      <b/>
      <sz val="14"/>
      <color rgb="FFFF0000"/>
      <name val="Verdana"/>
      <family val="2"/>
    </font>
    <font>
      <sz val="14"/>
      <color rgb="FFFF0000"/>
      <name val="Verdana"/>
      <family val="2"/>
    </font>
    <font>
      <sz val="11"/>
      <color rgb="FF0070C0"/>
      <name val="Verdana"/>
      <family val="2"/>
    </font>
    <font>
      <sz val="11"/>
      <color rgb="FF000000"/>
      <name val="Calibri"/>
      <family val="2"/>
    </font>
    <font>
      <sz val="9"/>
      <color theme="8"/>
      <name val="Verdana"/>
      <family val="2"/>
    </font>
    <font>
      <b/>
      <sz val="9"/>
      <color theme="3"/>
      <name val="Verdana"/>
      <family val="2"/>
    </font>
    <font>
      <b/>
      <sz val="11"/>
      <color theme="3"/>
      <name val="Calibri"/>
      <family val="2"/>
      <scheme val="minor"/>
    </font>
    <font>
      <sz val="9"/>
      <color rgb="FF00B050"/>
      <name val="Verdana"/>
      <family val="2"/>
    </font>
    <font>
      <b/>
      <sz val="9"/>
      <color rgb="FF00B050"/>
      <name val="Verdana"/>
      <family val="2"/>
    </font>
    <font>
      <sz val="9"/>
      <color rgb="FF4472C4"/>
      <name val="Verdana"/>
      <family val="2"/>
    </font>
    <font>
      <b/>
      <sz val="8"/>
      <color rgb="FFFF0000"/>
      <name val="Verdana"/>
      <family val="2"/>
    </font>
    <font>
      <b/>
      <sz val="10"/>
      <color rgb="FF00B050"/>
      <name val="Verdana"/>
      <family val="2"/>
    </font>
    <font>
      <b/>
      <sz val="10"/>
      <color theme="3"/>
      <name val="Verdana"/>
      <family val="2"/>
    </font>
    <font>
      <vertAlign val="superscript"/>
      <sz val="8"/>
      <color rgb="FFFF0000"/>
      <name val="Verdana"/>
      <family val="2"/>
    </font>
    <font>
      <b/>
      <sz val="12"/>
      <color theme="3"/>
      <name val="Calibri"/>
      <family val="2"/>
      <scheme val="minor"/>
    </font>
    <font>
      <b/>
      <sz val="9"/>
      <color rgb="FFFF0000"/>
      <name val="Verdana"/>
      <family val="2"/>
    </font>
    <font>
      <sz val="9"/>
      <color theme="3"/>
      <name val="Verdana"/>
      <family val="2"/>
    </font>
    <font>
      <b/>
      <sz val="11"/>
      <color rgb="FFFF0000"/>
      <name val="Calibri"/>
      <family val="2"/>
      <scheme val="minor"/>
    </font>
    <font>
      <sz val="10"/>
      <color theme="8"/>
      <name val="Verdana"/>
      <family val="2"/>
    </font>
    <font>
      <sz val="12"/>
      <color theme="3"/>
      <name val="Verdana"/>
      <family val="2"/>
    </font>
    <font>
      <sz val="12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Verdana"/>
      <family val="2"/>
    </font>
    <font>
      <b/>
      <sz val="12"/>
      <color rgb="FFFF0000"/>
      <name val="Verdana"/>
      <family val="2"/>
    </font>
    <font>
      <sz val="11"/>
      <color rgb="FFFF0000"/>
      <name val="Calibri"/>
      <family val="2"/>
    </font>
    <font>
      <sz val="9"/>
      <color rgb="FFFF0000"/>
      <name val="Calibri"/>
      <family val="2"/>
    </font>
    <font>
      <sz val="10"/>
      <color rgb="FFFF0000"/>
      <name val="Times New Roman"/>
      <family val="1"/>
    </font>
    <font>
      <sz val="11"/>
      <color rgb="FFFF000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FFFFCC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5" tint="0.39997558519241921"/>
        <bgColor indexed="64"/>
      </patternFill>
    </fill>
  </fills>
  <borders count="249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rgb="FF000000"/>
      </left>
      <right style="hair">
        <color rgb="FF000000"/>
      </right>
      <top style="dotted">
        <color rgb="FF000000"/>
      </top>
      <bottom style="dotted">
        <color rgb="FF000000"/>
      </bottom>
      <diagonal/>
    </border>
    <border>
      <left style="double">
        <color rgb="FF000000"/>
      </left>
      <right style="hair">
        <color rgb="FF000000"/>
      </right>
      <top style="dotted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thin">
        <color indexed="9"/>
      </right>
      <top/>
      <bottom style="hair">
        <color indexed="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/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auto="1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/>
      <diagonal/>
    </border>
  </borders>
  <cellStyleXfs count="2528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5" fillId="0" borderId="0" applyFont="0" applyBorder="0" applyAlignment="0" applyProtection="0"/>
    <xf numFmtId="0" fontId="12" fillId="9" borderId="117" applyNumberFormat="0">
      <protection locked="0"/>
    </xf>
    <xf numFmtId="0" fontId="12" fillId="9" borderId="14" applyBorder="0">
      <protection locked="0"/>
    </xf>
    <xf numFmtId="164" fontId="1" fillId="0" borderId="0" applyFont="0" applyFill="0" applyBorder="0" applyAlignment="0" applyProtection="0"/>
    <xf numFmtId="0" fontId="1" fillId="6" borderId="115" applyNumberFormat="0" applyFont="0" applyAlignment="0" applyProtection="0"/>
    <xf numFmtId="0" fontId="12" fillId="2" borderId="131" applyNumberFormat="0" applyFont="0" applyAlignment="0" applyProtection="0"/>
    <xf numFmtId="0" fontId="12" fillId="9" borderId="130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20" borderId="0" applyNumberFormat="0" applyBorder="0" applyAlignment="0" applyProtection="0"/>
    <xf numFmtId="0" fontId="12" fillId="2" borderId="389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430" applyNumberFormat="0" applyFont="0" applyAlignment="0" applyProtection="0"/>
    <xf numFmtId="0" fontId="14" fillId="0" borderId="0"/>
    <xf numFmtId="0" fontId="40" fillId="0" borderId="0"/>
    <xf numFmtId="0" fontId="42" fillId="27" borderId="501" applyNumberFormat="0" applyAlignment="0" applyProtection="0"/>
    <xf numFmtId="41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25" fillId="0" borderId="0" applyFont="0" applyBorder="0" applyAlignment="0" applyProtection="0"/>
    <xf numFmtId="0" fontId="25" fillId="0" borderId="0" applyFont="0" applyBorder="0" applyAlignment="0" applyProtection="0"/>
    <xf numFmtId="165" fontId="12" fillId="0" borderId="0" applyFont="0" applyFill="0" applyBorder="0" applyAlignment="0" applyProtection="0"/>
    <xf numFmtId="0" fontId="12" fillId="2" borderId="880" applyNumberFormat="0" applyFont="0" applyAlignment="0" applyProtection="0"/>
    <xf numFmtId="164" fontId="1" fillId="0" borderId="0" applyFont="0" applyFill="0" applyBorder="0" applyAlignment="0" applyProtection="0"/>
    <xf numFmtId="0" fontId="12" fillId="9" borderId="1071" applyNumberFormat="0">
      <protection locked="0"/>
    </xf>
    <xf numFmtId="0" fontId="12" fillId="9" borderId="1068" applyBorder="0">
      <protection locked="0"/>
    </xf>
    <xf numFmtId="0" fontId="12" fillId="9" borderId="1069" applyBorder="0">
      <protection locked="0"/>
    </xf>
    <xf numFmtId="0" fontId="12" fillId="2" borderId="1084" applyNumberFormat="0" applyFont="0" applyAlignment="0" applyProtection="0"/>
    <xf numFmtId="0" fontId="12" fillId="2" borderId="1032" applyNumberFormat="0" applyFont="0" applyAlignment="0" applyProtection="0"/>
    <xf numFmtId="0" fontId="12" fillId="9" borderId="1036" applyNumberFormat="0">
      <protection locked="0"/>
    </xf>
    <xf numFmtId="0" fontId="12" fillId="9" borderId="1033" applyBorder="0">
      <protection locked="0"/>
    </xf>
    <xf numFmtId="0" fontId="12" fillId="2" borderId="1032" applyNumberFormat="0" applyFont="0" applyAlignment="0" applyProtection="0"/>
    <xf numFmtId="0" fontId="12" fillId="9" borderId="1033" applyBorder="0">
      <protection locked="0"/>
    </xf>
    <xf numFmtId="0" fontId="12" fillId="2" borderId="1032" applyNumberFormat="0" applyFont="0" applyAlignment="0" applyProtection="0"/>
    <xf numFmtId="0" fontId="12" fillId="9" borderId="1080" applyNumberFormat="0">
      <protection locked="0"/>
    </xf>
    <xf numFmtId="0" fontId="12" fillId="2" borderId="1040" applyNumberFormat="0" applyFont="0" applyAlignment="0" applyProtection="0"/>
    <xf numFmtId="0" fontId="12" fillId="2" borderId="1041" applyNumberFormat="0" applyFont="0" applyAlignment="0" applyProtection="0"/>
    <xf numFmtId="0" fontId="12" fillId="2" borderId="1062" applyNumberFormat="0" applyFont="0" applyAlignment="0" applyProtection="0"/>
    <xf numFmtId="41" fontId="37" fillId="0" borderId="0" applyFont="0" applyFill="0" applyBorder="0" applyAlignment="0" applyProtection="0"/>
    <xf numFmtId="0" fontId="12" fillId="2" borderId="1073" applyNumberFormat="0" applyFont="0" applyAlignment="0" applyProtection="0"/>
    <xf numFmtId="0" fontId="12" fillId="2" borderId="1046" applyNumberFormat="0" applyFont="0" applyAlignment="0" applyProtection="0"/>
    <xf numFmtId="0" fontId="12" fillId="9" borderId="1063" applyNumberFormat="0">
      <protection locked="0"/>
    </xf>
    <xf numFmtId="0" fontId="12" fillId="9" borderId="1055" applyBorder="0">
      <protection locked="0"/>
    </xf>
    <xf numFmtId="0" fontId="12" fillId="2" borderId="1070" applyNumberFormat="0" applyFont="0" applyAlignment="0" applyProtection="0"/>
    <xf numFmtId="0" fontId="12" fillId="2" borderId="1062" applyNumberFormat="0" applyFont="0" applyAlignment="0" applyProtection="0"/>
    <xf numFmtId="0" fontId="12" fillId="9" borderId="1055" applyBorder="0">
      <protection locked="0"/>
    </xf>
    <xf numFmtId="0" fontId="12" fillId="2" borderId="1062" applyNumberFormat="0" applyFont="0" applyAlignment="0" applyProtection="0"/>
    <xf numFmtId="0" fontId="12" fillId="2" borderId="1076" applyNumberFormat="0" applyFont="0" applyAlignment="0" applyProtection="0"/>
    <xf numFmtId="0" fontId="12" fillId="2" borderId="1064" applyNumberFormat="0" applyFont="0" applyAlignment="0" applyProtection="0"/>
    <xf numFmtId="0" fontId="12" fillId="2" borderId="1070" applyNumberFormat="0" applyFont="0" applyAlignment="0" applyProtection="0"/>
    <xf numFmtId="0" fontId="12" fillId="9" borderId="1077" applyBorder="0">
      <protection locked="0"/>
    </xf>
    <xf numFmtId="0" fontId="12" fillId="2" borderId="1065" applyNumberFormat="0" applyFont="0" applyAlignment="0" applyProtection="0"/>
    <xf numFmtId="0" fontId="12" fillId="2" borderId="1076" applyNumberFormat="0" applyFont="0" applyAlignment="0" applyProtection="0"/>
    <xf numFmtId="0" fontId="12" fillId="2" borderId="1076" applyNumberFormat="0" applyFont="0" applyAlignment="0" applyProtection="0"/>
    <xf numFmtId="0" fontId="12" fillId="2" borderId="1083" applyNumberFormat="0" applyFont="0" applyAlignment="0" applyProtection="0"/>
    <xf numFmtId="0" fontId="12" fillId="2" borderId="1070" applyNumberFormat="0" applyFont="0" applyAlignment="0" applyProtection="0"/>
    <xf numFmtId="0" fontId="12" fillId="2" borderId="1067" applyNumberFormat="0" applyFont="0" applyAlignment="0" applyProtection="0"/>
    <xf numFmtId="0" fontId="12" fillId="2" borderId="1073" applyNumberFormat="0" applyFont="0" applyAlignment="0" applyProtection="0"/>
    <xf numFmtId="0" fontId="12" fillId="9" borderId="1077" applyBorder="0">
      <protection locked="0"/>
    </xf>
    <xf numFmtId="0" fontId="12" fillId="2" borderId="1073" applyNumberFormat="0" applyFont="0" applyAlignment="0" applyProtection="0"/>
    <xf numFmtId="0" fontId="12" fillId="2" borderId="1099" applyNumberFormat="0" applyFont="0" applyAlignment="0" applyProtection="0"/>
    <xf numFmtId="0" fontId="12" fillId="2" borderId="1271" applyNumberFormat="0" applyFont="0" applyAlignment="0" applyProtection="0"/>
    <xf numFmtId="0" fontId="12" fillId="9" borderId="1223" applyBorder="0">
      <protection locked="0"/>
    </xf>
    <xf numFmtId="0" fontId="12" fillId="2" borderId="1084" applyNumberFormat="0" applyFont="0" applyAlignment="0" applyProtection="0"/>
    <xf numFmtId="0" fontId="12" fillId="9" borderId="1223" applyBorder="0">
      <protection locked="0"/>
    </xf>
    <xf numFmtId="0" fontId="12" fillId="2" borderId="1271" applyNumberFormat="0" applyFont="0" applyAlignment="0" applyProtection="0"/>
    <xf numFmtId="0" fontId="12" fillId="2" borderId="1273" applyNumberFormat="0" applyFont="0" applyAlignment="0" applyProtection="0"/>
    <xf numFmtId="0" fontId="12" fillId="2" borderId="1273" applyNumberFormat="0" applyFont="0" applyAlignment="0" applyProtection="0"/>
    <xf numFmtId="41" fontId="37" fillId="0" borderId="0" applyFont="0" applyFill="0" applyBorder="0" applyAlignment="0" applyProtection="0"/>
    <xf numFmtId="0" fontId="12" fillId="2" borderId="1276" applyNumberFormat="0" applyFont="0" applyAlignment="0" applyProtection="0"/>
    <xf numFmtId="0" fontId="12" fillId="2" borderId="1295" applyNumberFormat="0" applyFont="0" applyAlignment="0" applyProtection="0"/>
    <xf numFmtId="0" fontId="12" fillId="2" borderId="1355" applyNumberFormat="0" applyFont="0" applyAlignment="0" applyProtection="0"/>
    <xf numFmtId="0" fontId="12" fillId="2" borderId="1355" applyNumberFormat="0" applyFont="0" applyAlignment="0" applyProtection="0"/>
    <xf numFmtId="0" fontId="12" fillId="9" borderId="1354" applyBorder="0">
      <protection locked="0"/>
    </xf>
    <xf numFmtId="0" fontId="12" fillId="9" borderId="1354" applyBorder="0">
      <protection locked="0"/>
    </xf>
    <xf numFmtId="0" fontId="12" fillId="9" borderId="1356" applyNumberFormat="0">
      <protection locked="0"/>
    </xf>
    <xf numFmtId="0" fontId="12" fillId="2" borderId="1347" applyNumberFormat="0" applyFont="0" applyAlignment="0" applyProtection="0"/>
    <xf numFmtId="0" fontId="12" fillId="9" borderId="1350" applyNumberFormat="0">
      <protection locked="0"/>
    </xf>
    <xf numFmtId="0" fontId="12" fillId="9" borderId="1348" applyBorder="0">
      <protection locked="0"/>
    </xf>
    <xf numFmtId="0" fontId="12" fillId="2" borderId="1352" applyNumberFormat="0" applyFont="0" applyAlignment="0" applyProtection="0"/>
    <xf numFmtId="0" fontId="12" fillId="9" borderId="1351" applyBorder="0">
      <protection locked="0"/>
    </xf>
    <xf numFmtId="0" fontId="12" fillId="2" borderId="1347" applyNumberFormat="0" applyFont="0" applyAlignment="0" applyProtection="0"/>
    <xf numFmtId="0" fontId="12" fillId="2" borderId="1352" applyNumberFormat="0" applyFont="0" applyAlignment="0" applyProtection="0"/>
    <xf numFmtId="0" fontId="12" fillId="2" borderId="1352" applyNumberFormat="0" applyFont="0" applyAlignment="0" applyProtection="0"/>
    <xf numFmtId="0" fontId="12" fillId="2" borderId="1361" applyNumberFormat="0" applyFont="0" applyAlignment="0" applyProtection="0"/>
    <xf numFmtId="0" fontId="12" fillId="9" borderId="1363" applyNumberFormat="0">
      <protection locked="0"/>
    </xf>
    <xf numFmtId="0" fontId="12" fillId="9" borderId="1362" applyBorder="0">
      <protection locked="0"/>
    </xf>
    <xf numFmtId="0" fontId="12" fillId="2" borderId="1353" applyNumberFormat="0" applyFont="0" applyAlignment="0" applyProtection="0"/>
    <xf numFmtId="0" fontId="12" fillId="2" borderId="1357" applyNumberFormat="0" applyFont="0" applyAlignment="0" applyProtection="0"/>
    <xf numFmtId="0" fontId="12" fillId="2" borderId="1357" applyNumberFormat="0" applyFont="0" applyAlignment="0" applyProtection="0"/>
    <xf numFmtId="0" fontId="12" fillId="2" borderId="1357" applyNumberFormat="0" applyFont="0" applyAlignment="0" applyProtection="0"/>
    <xf numFmtId="0" fontId="12" fillId="2" borderId="1358" applyNumberFormat="0" applyFont="0" applyAlignment="0" applyProtection="0"/>
    <xf numFmtId="0" fontId="12" fillId="2" borderId="1361" applyNumberFormat="0" applyFont="0" applyAlignment="0" applyProtection="0"/>
    <xf numFmtId="0" fontId="12" fillId="9" borderId="1362" applyBorder="0">
      <protection locked="0"/>
    </xf>
    <xf numFmtId="0" fontId="12" fillId="2" borderId="1361" applyNumberFormat="0" applyFont="0" applyAlignment="0" applyProtection="0"/>
    <xf numFmtId="0" fontId="12" fillId="2" borderId="1361" applyNumberFormat="0" applyFont="0" applyAlignment="0" applyProtection="0"/>
    <xf numFmtId="0" fontId="12" fillId="2" borderId="1361" applyNumberFormat="0" applyFont="0" applyAlignment="0" applyProtection="0"/>
    <xf numFmtId="0" fontId="12" fillId="2" borderId="1361" applyNumberFormat="0" applyFont="0" applyAlignment="0" applyProtection="0"/>
    <xf numFmtId="0" fontId="12" fillId="9" borderId="1364" applyNumberFormat="0">
      <protection locked="0"/>
    </xf>
    <xf numFmtId="0" fontId="12" fillId="2" borderId="1366" applyNumberFormat="0" applyFont="0" applyAlignment="0" applyProtection="0"/>
    <xf numFmtId="0" fontId="12" fillId="9" borderId="1365" applyBorder="0">
      <protection locked="0"/>
    </xf>
    <xf numFmtId="0" fontId="12" fillId="2" borderId="1366" applyNumberFormat="0" applyFont="0" applyAlignment="0" applyProtection="0"/>
    <xf numFmtId="0" fontId="12" fillId="2" borderId="1366" applyNumberFormat="0" applyFont="0" applyAlignment="0" applyProtection="0"/>
    <xf numFmtId="0" fontId="12" fillId="2" borderId="1370" applyNumberFormat="0" applyFont="0" applyAlignment="0" applyProtection="0"/>
    <xf numFmtId="0" fontId="12" fillId="2" borderId="1405" applyNumberFormat="0" applyFont="0" applyAlignment="0" applyProtection="0"/>
    <xf numFmtId="0" fontId="12" fillId="2" borderId="1387" applyNumberFormat="0" applyFont="0" applyAlignment="0" applyProtection="0"/>
    <xf numFmtId="0" fontId="12" fillId="9" borderId="1392" applyNumberFormat="0">
      <protection locked="0"/>
    </xf>
    <xf numFmtId="0" fontId="12" fillId="9" borderId="1390" applyBorder="0">
      <protection locked="0"/>
    </xf>
    <xf numFmtId="0" fontId="12" fillId="9" borderId="1406" applyNumberFormat="0">
      <protection locked="0"/>
    </xf>
    <xf numFmtId="0" fontId="12" fillId="2" borderId="1387" applyNumberFormat="0" applyFont="0" applyAlignment="0" applyProtection="0"/>
    <xf numFmtId="0" fontId="12" fillId="9" borderId="1390" applyBorder="0">
      <protection locked="0"/>
    </xf>
    <xf numFmtId="0" fontId="12" fillId="2" borderId="1387" applyNumberFormat="0" applyFont="0" applyAlignment="0" applyProtection="0"/>
    <xf numFmtId="0" fontId="12" fillId="2" borderId="1387" applyNumberFormat="0" applyFont="0" applyAlignment="0" applyProtection="0"/>
    <xf numFmtId="0" fontId="12" fillId="2" borderId="1387" applyNumberFormat="0" applyFont="0" applyAlignment="0" applyProtection="0"/>
    <xf numFmtId="0" fontId="12" fillId="2" borderId="1387" applyNumberFormat="0" applyFont="0" applyAlignment="0" applyProtection="0"/>
    <xf numFmtId="0" fontId="12" fillId="2" borderId="1400" applyNumberFormat="0" applyFont="0" applyAlignment="0" applyProtection="0"/>
    <xf numFmtId="0" fontId="12" fillId="9" borderId="1401" applyNumberFormat="0">
      <protection locked="0"/>
    </xf>
    <xf numFmtId="0" fontId="12" fillId="9" borderId="1399" applyBorder="0">
      <protection locked="0"/>
    </xf>
    <xf numFmtId="0" fontId="12" fillId="2" borderId="1402" applyNumberFormat="0" applyFont="0" applyAlignment="0" applyProtection="0"/>
    <xf numFmtId="0" fontId="12" fillId="9" borderId="1399" applyBorder="0">
      <protection locked="0"/>
    </xf>
    <xf numFmtId="0" fontId="12" fillId="2" borderId="1400" applyNumberFormat="0" applyFont="0" applyAlignment="0" applyProtection="0"/>
    <xf numFmtId="0" fontId="12" fillId="2" borderId="1402" applyNumberFormat="0" applyFont="0" applyAlignment="0" applyProtection="0"/>
    <xf numFmtId="0" fontId="12" fillId="2" borderId="1402" applyNumberFormat="0" applyFont="0" applyAlignment="0" applyProtection="0"/>
    <xf numFmtId="0" fontId="12" fillId="2" borderId="1403" applyNumberFormat="0" applyFont="0" applyAlignment="0" applyProtection="0"/>
    <xf numFmtId="0" fontId="12" fillId="9" borderId="1404" applyBorder="0">
      <protection locked="0"/>
    </xf>
    <xf numFmtId="0" fontId="12" fillId="2" borderId="1407" applyNumberFormat="0" applyFont="0" applyAlignment="0" applyProtection="0"/>
    <xf numFmtId="0" fontId="12" fillId="9" borderId="1404" applyBorder="0">
      <protection locked="0"/>
    </xf>
    <xf numFmtId="0" fontId="12" fillId="2" borderId="1405" applyNumberFormat="0" applyFont="0" applyAlignment="0" applyProtection="0"/>
    <xf numFmtId="0" fontId="12" fillId="2" borderId="1407" applyNumberFormat="0" applyFont="0" applyAlignment="0" applyProtection="0"/>
    <xf numFmtId="0" fontId="12" fillId="2" borderId="1407" applyNumberFormat="0" applyFont="0" applyAlignment="0" applyProtection="0"/>
    <xf numFmtId="0" fontId="12" fillId="2" borderId="1408" applyNumberFormat="0" applyFont="0" applyAlignment="0" applyProtection="0"/>
    <xf numFmtId="0" fontId="12" fillId="2" borderId="1410" applyNumberFormat="0" applyFont="0" applyAlignment="0" applyProtection="0"/>
    <xf numFmtId="0" fontId="12" fillId="9" borderId="1413" applyNumberFormat="0">
      <protection locked="0"/>
    </xf>
    <xf numFmtId="0" fontId="12" fillId="9" borderId="1412" applyBorder="0">
      <protection locked="0"/>
    </xf>
    <xf numFmtId="0" fontId="12" fillId="2" borderId="1410" applyNumberFormat="0" applyFont="0" applyAlignment="0" applyProtection="0"/>
    <xf numFmtId="0" fontId="12" fillId="9" borderId="1412" applyBorder="0">
      <protection locked="0"/>
    </xf>
    <xf numFmtId="0" fontId="12" fillId="2" borderId="1410" applyNumberFormat="0" applyFont="0" applyAlignment="0" applyProtection="0"/>
    <xf numFmtId="0" fontId="12" fillId="2" borderId="1410" applyNumberFormat="0" applyFont="0" applyAlignment="0" applyProtection="0"/>
    <xf numFmtId="0" fontId="12" fillId="2" borderId="1410" applyNumberFormat="0" applyFont="0" applyAlignment="0" applyProtection="0"/>
    <xf numFmtId="0" fontId="12" fillId="2" borderId="1410" applyNumberFormat="0" applyFont="0" applyAlignment="0" applyProtection="0"/>
    <xf numFmtId="0" fontId="12" fillId="2" borderId="1415" applyNumberFormat="0" applyFont="0" applyAlignment="0" applyProtection="0"/>
    <xf numFmtId="0" fontId="12" fillId="9" borderId="1414" applyBorder="0">
      <protection locked="0"/>
    </xf>
    <xf numFmtId="0" fontId="12" fillId="9" borderId="1414" applyBorder="0">
      <protection locked="0"/>
    </xf>
    <xf numFmtId="0" fontId="12" fillId="2" borderId="1415" applyNumberFormat="0" applyFont="0" applyAlignment="0" applyProtection="0"/>
    <xf numFmtId="0" fontId="12" fillId="2" borderId="1416" applyNumberFormat="0" applyFont="0" applyAlignment="0" applyProtection="0"/>
    <xf numFmtId="0" fontId="12" fillId="2" borderId="1473" applyNumberFormat="0" applyFont="0" applyAlignment="0" applyProtection="0"/>
    <xf numFmtId="0" fontId="12" fillId="9" borderId="1474" applyNumberFormat="0">
      <protection locked="0"/>
    </xf>
    <xf numFmtId="0" fontId="12" fillId="9" borderId="1449" applyBorder="0">
      <protection locked="0"/>
    </xf>
    <xf numFmtId="0" fontId="12" fillId="2" borderId="1473" applyNumberFormat="0" applyFont="0" applyAlignment="0" applyProtection="0"/>
    <xf numFmtId="0" fontId="12" fillId="9" borderId="1449" applyBorder="0">
      <protection locked="0"/>
    </xf>
    <xf numFmtId="0" fontId="12" fillId="2" borderId="1473" applyNumberFormat="0" applyFont="0" applyAlignment="0" applyProtection="0"/>
    <xf numFmtId="0" fontId="12" fillId="2" borderId="1473" applyNumberFormat="0" applyFont="0" applyAlignment="0" applyProtection="0"/>
    <xf numFmtId="0" fontId="12" fillId="2" borderId="1473" applyNumberFormat="0" applyFont="0" applyAlignment="0" applyProtection="0"/>
    <xf numFmtId="41" fontId="37" fillId="0" borderId="0" applyFont="0" applyFill="0" applyBorder="0" applyAlignment="0" applyProtection="0"/>
    <xf numFmtId="0" fontId="12" fillId="2" borderId="1475" applyNumberFormat="0" applyFont="0" applyAlignment="0" applyProtection="0"/>
    <xf numFmtId="0" fontId="12" fillId="9" borderId="1478" applyNumberFormat="0">
      <protection locked="0"/>
    </xf>
    <xf numFmtId="0" fontId="12" fillId="2" borderId="1477" applyNumberFormat="0" applyFont="0" applyAlignment="0" applyProtection="0"/>
    <xf numFmtId="0" fontId="12" fillId="2" borderId="1295" applyNumberFormat="0" applyFont="0" applyAlignment="0" applyProtection="0"/>
    <xf numFmtId="0" fontId="12" fillId="2" borderId="1295" applyNumberFormat="0" applyFont="0" applyAlignment="0" applyProtection="0"/>
    <xf numFmtId="0" fontId="12" fillId="2" borderId="1479" applyNumberFormat="0" applyFont="0" applyAlignment="0" applyProtection="0"/>
    <xf numFmtId="0" fontId="12" fillId="2" borderId="1479" applyNumberFormat="0" applyFont="0" applyAlignment="0" applyProtection="0"/>
    <xf numFmtId="0" fontId="12" fillId="2" borderId="1295" applyNumberFormat="0" applyFont="0" applyAlignment="0" applyProtection="0"/>
    <xf numFmtId="0" fontId="12" fillId="2" borderId="1481" applyNumberFormat="0" applyFont="0" applyAlignment="0" applyProtection="0"/>
    <xf numFmtId="0" fontId="12" fillId="2" borderId="1481" applyNumberFormat="0" applyFont="0" applyAlignment="0" applyProtection="0"/>
    <xf numFmtId="0" fontId="12" fillId="9" borderId="1482" applyNumberFormat="0">
      <protection locked="0"/>
    </xf>
    <xf numFmtId="0" fontId="12" fillId="9" borderId="1480" applyBorder="0">
      <protection locked="0"/>
    </xf>
    <xf numFmtId="0" fontId="12" fillId="2" borderId="1481" applyNumberFormat="0" applyFont="0" applyAlignment="0" applyProtection="0"/>
    <xf numFmtId="0" fontId="12" fillId="9" borderId="1480" applyBorder="0">
      <protection locked="0"/>
    </xf>
    <xf numFmtId="0" fontId="12" fillId="2" borderId="1481" applyNumberFormat="0" applyFont="0" applyAlignment="0" applyProtection="0"/>
    <xf numFmtId="0" fontId="12" fillId="2" borderId="1483" applyNumberFormat="0" applyFont="0" applyAlignment="0" applyProtection="0"/>
    <xf numFmtId="0" fontId="12" fillId="2" borderId="1483" applyNumberFormat="0" applyFont="0" applyAlignment="0" applyProtection="0"/>
    <xf numFmtId="0" fontId="12" fillId="2" borderId="1483" applyNumberFormat="0" applyFont="0" applyAlignment="0" applyProtection="0"/>
    <xf numFmtId="0" fontId="12" fillId="2" borderId="1484" applyNumberFormat="0" applyFont="0" applyAlignment="0" applyProtection="0"/>
    <xf numFmtId="0" fontId="12" fillId="2" borderId="1488" applyNumberFormat="0" applyFont="0" applyAlignment="0" applyProtection="0"/>
    <xf numFmtId="0" fontId="12" fillId="9" borderId="1491" applyNumberFormat="0">
      <protection locked="0"/>
    </xf>
    <xf numFmtId="0" fontId="12" fillId="9" borderId="1490" applyBorder="0">
      <protection locked="0"/>
    </xf>
    <xf numFmtId="0" fontId="12" fillId="2" borderId="1488" applyNumberFormat="0" applyFont="0" applyAlignment="0" applyProtection="0"/>
    <xf numFmtId="0" fontId="12" fillId="9" borderId="1490" applyBorder="0">
      <protection locked="0"/>
    </xf>
    <xf numFmtId="0" fontId="12" fillId="2" borderId="1488" applyNumberFormat="0" applyFont="0" applyAlignment="0" applyProtection="0"/>
    <xf numFmtId="0" fontId="12" fillId="2" borderId="1492" applyNumberFormat="0" applyFont="0" applyAlignment="0" applyProtection="0"/>
    <xf numFmtId="0" fontId="12" fillId="2" borderId="1492" applyNumberFormat="0" applyFont="0" applyAlignment="0" applyProtection="0"/>
    <xf numFmtId="0" fontId="12" fillId="2" borderId="1493" applyNumberFormat="0" applyFont="0" applyAlignment="0" applyProtection="0"/>
    <xf numFmtId="0" fontId="12" fillId="2" borderId="1494" applyNumberFormat="0" applyFont="0" applyAlignment="0" applyProtection="0"/>
    <xf numFmtId="0" fontId="12" fillId="2" borderId="1496" applyNumberFormat="0" applyFont="0" applyAlignment="0" applyProtection="0"/>
    <xf numFmtId="0" fontId="12" fillId="9" borderId="1499" applyNumberFormat="0">
      <protection locked="0"/>
    </xf>
    <xf numFmtId="0" fontId="12" fillId="9" borderId="1498" applyBorder="0">
      <protection locked="0"/>
    </xf>
    <xf numFmtId="0" fontId="12" fillId="2" borderId="1496" applyNumberFormat="0" applyFont="0" applyAlignment="0" applyProtection="0"/>
    <xf numFmtId="0" fontId="12" fillId="9" borderId="1498" applyBorder="0">
      <protection locked="0"/>
    </xf>
    <xf numFmtId="0" fontId="12" fillId="2" borderId="1496" applyNumberFormat="0" applyFont="0" applyAlignment="0" applyProtection="0"/>
    <xf numFmtId="0" fontId="12" fillId="2" borderId="1501" applyNumberFormat="0" applyFont="0" applyAlignment="0" applyProtection="0"/>
    <xf numFmtId="0" fontId="12" fillId="2" borderId="1501" applyNumberFormat="0" applyFont="0" applyAlignment="0" applyProtection="0"/>
    <xf numFmtId="0" fontId="12" fillId="2" borderId="1503" applyNumberFormat="0" applyFont="0" applyAlignment="0" applyProtection="0"/>
    <xf numFmtId="0" fontId="12" fillId="2" borderId="1504" applyNumberFormat="0" applyFont="0" applyAlignment="0" applyProtection="0"/>
    <xf numFmtId="0" fontId="12" fillId="2" borderId="1516" applyNumberFormat="0" applyFont="0" applyAlignment="0" applyProtection="0"/>
    <xf numFmtId="0" fontId="12" fillId="2" borderId="1516" applyNumberFormat="0" applyFont="0" applyAlignment="0" applyProtection="0"/>
    <xf numFmtId="0" fontId="12" fillId="2" borderId="1510" applyNumberFormat="0" applyFont="0" applyAlignment="0" applyProtection="0"/>
    <xf numFmtId="0" fontId="12" fillId="9" borderId="1512" applyNumberFormat="0">
      <protection locked="0"/>
    </xf>
    <xf numFmtId="0" fontId="12" fillId="9" borderId="1511" applyBorder="0">
      <protection locked="0"/>
    </xf>
    <xf numFmtId="0" fontId="12" fillId="2" borderId="1510" applyNumberFormat="0" applyFont="0" applyAlignment="0" applyProtection="0"/>
    <xf numFmtId="0" fontId="12" fillId="9" borderId="1511" applyBorder="0">
      <protection locked="0"/>
    </xf>
    <xf numFmtId="0" fontId="12" fillId="2" borderId="1510" applyNumberFormat="0" applyFont="0" applyAlignment="0" applyProtection="0"/>
    <xf numFmtId="0" fontId="12" fillId="2" borderId="1513" applyNumberFormat="0" applyFont="0" applyAlignment="0" applyProtection="0"/>
    <xf numFmtId="0" fontId="12" fillId="2" borderId="1513" applyNumberFormat="0" applyFont="0" applyAlignment="0" applyProtection="0"/>
    <xf numFmtId="0" fontId="12" fillId="9" borderId="1527" applyNumberFormat="0">
      <protection locked="0"/>
    </xf>
    <xf numFmtId="0" fontId="12" fillId="2" borderId="1514" applyNumberFormat="0" applyFont="0" applyAlignment="0" applyProtection="0"/>
    <xf numFmtId="0" fontId="12" fillId="2" borderId="1515" applyNumberFormat="0" applyFont="0" applyAlignment="0" applyProtection="0"/>
    <xf numFmtId="0" fontId="12" fillId="2" borderId="1516" applyNumberFormat="0" applyFont="0" applyAlignment="0" applyProtection="0"/>
    <xf numFmtId="0" fontId="12" fillId="2" borderId="1528" applyNumberFormat="0" applyFont="0" applyAlignment="0" applyProtection="0"/>
    <xf numFmtId="0" fontId="12" fillId="2" borderId="1528" applyNumberFormat="0" applyFont="0" applyAlignment="0" applyProtection="0"/>
    <xf numFmtId="0" fontId="12" fillId="2" borderId="1530" applyNumberFormat="0" applyFont="0" applyAlignment="0" applyProtection="0"/>
    <xf numFmtId="0" fontId="12" fillId="2" borderId="1536" applyNumberFormat="0" applyFont="0" applyAlignment="0" applyProtection="0"/>
    <xf numFmtId="0" fontId="12" fillId="2" borderId="1595" applyNumberFormat="0" applyFont="0" applyAlignment="0" applyProtection="0"/>
    <xf numFmtId="0" fontId="12" fillId="9" borderId="1596" applyNumberFormat="0">
      <protection locked="0"/>
    </xf>
    <xf numFmtId="0" fontId="12" fillId="9" borderId="1582" applyBorder="0">
      <protection locked="0"/>
    </xf>
    <xf numFmtId="0" fontId="12" fillId="2" borderId="1595" applyNumberFormat="0" applyFont="0" applyAlignment="0" applyProtection="0"/>
    <xf numFmtId="0" fontId="12" fillId="9" borderId="1582" applyBorder="0">
      <protection locked="0"/>
    </xf>
    <xf numFmtId="0" fontId="12" fillId="2" borderId="1595" applyNumberFormat="0" applyFont="0" applyAlignment="0" applyProtection="0"/>
    <xf numFmtId="0" fontId="12" fillId="2" borderId="1601" applyNumberFormat="0" applyFont="0" applyAlignment="0" applyProtection="0"/>
    <xf numFmtId="0" fontId="12" fillId="2" borderId="1602" applyNumberFormat="0" applyFont="0" applyAlignment="0" applyProtection="0"/>
    <xf numFmtId="41" fontId="37" fillId="0" borderId="0" applyFont="0" applyFill="0" applyBorder="0" applyAlignment="0" applyProtection="0"/>
    <xf numFmtId="0" fontId="12" fillId="2" borderId="1605" applyNumberFormat="0" applyFont="0" applyAlignment="0" applyProtection="0"/>
    <xf numFmtId="0" fontId="12" fillId="9" borderId="1611" applyNumberFormat="0">
      <protection locked="0"/>
    </xf>
    <xf numFmtId="0" fontId="12" fillId="9" borderId="1614" applyBorder="0">
      <protection locked="0"/>
    </xf>
    <xf numFmtId="0" fontId="12" fillId="9" borderId="1614" applyBorder="0">
      <protection locked="0"/>
    </xf>
    <xf numFmtId="0" fontId="12" fillId="2" borderId="1612" applyNumberFormat="0" applyFont="0" applyAlignment="0" applyProtection="0"/>
    <xf numFmtId="0" fontId="12" fillId="2" borderId="1610" applyNumberFormat="0" applyFont="0" applyAlignment="0" applyProtection="0"/>
    <xf numFmtId="0" fontId="12" fillId="9" borderId="1611" applyNumberFormat="0">
      <protection locked="0"/>
    </xf>
    <xf numFmtId="0" fontId="12" fillId="9" borderId="1609" applyBorder="0">
      <protection locked="0"/>
    </xf>
    <xf numFmtId="0" fontId="12" fillId="2" borderId="1610" applyNumberFormat="0" applyFont="0" applyAlignment="0" applyProtection="0"/>
    <xf numFmtId="0" fontId="12" fillId="9" borderId="1609" applyBorder="0">
      <protection locked="0"/>
    </xf>
    <xf numFmtId="0" fontId="12" fillId="2" borderId="1610" applyNumberFormat="0" applyFont="0" applyAlignment="0" applyProtection="0"/>
    <xf numFmtId="0" fontId="12" fillId="9" borderId="1611" applyNumberFormat="0">
      <protection locked="0"/>
    </xf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41" fontId="37" fillId="0" borderId="0" applyFont="0" applyFill="0" applyBorder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9" borderId="1611" applyNumberFormat="0">
      <protection locked="0"/>
    </xf>
    <xf numFmtId="0" fontId="12" fillId="9" borderId="1613" applyBorder="0">
      <protection locked="0"/>
    </xf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9" borderId="1613" applyBorder="0">
      <protection locked="0"/>
    </xf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9" borderId="1613" applyBorder="0">
      <protection locked="0"/>
    </xf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2" borderId="1612" applyNumberFormat="0" applyFont="0" applyAlignment="0" applyProtection="0"/>
    <xf numFmtId="0" fontId="12" fillId="9" borderId="1613" applyBorder="0">
      <protection locked="0"/>
    </xf>
    <xf numFmtId="0" fontId="12" fillId="2" borderId="1612" applyNumberFormat="0" applyFont="0" applyAlignment="0" applyProtection="0"/>
    <xf numFmtId="0" fontId="12" fillId="2" borderId="1615" applyNumberFormat="0" applyFont="0" applyAlignment="0" applyProtection="0"/>
    <xf numFmtId="0" fontId="12" fillId="2" borderId="1618" applyNumberFormat="0" applyFont="0" applyAlignment="0" applyProtection="0"/>
    <xf numFmtId="0" fontId="12" fillId="9" borderId="1617" applyBorder="0">
      <protection locked="0"/>
    </xf>
    <xf numFmtId="0" fontId="12" fillId="2" borderId="1612" applyNumberFormat="0" applyFont="0" applyAlignment="0" applyProtection="0"/>
    <xf numFmtId="0" fontId="12" fillId="9" borderId="1617" applyBorder="0">
      <protection locked="0"/>
    </xf>
    <xf numFmtId="0" fontId="12" fillId="2" borderId="1618" applyNumberFormat="0" applyFont="0" applyAlignment="0" applyProtection="0"/>
    <xf numFmtId="0" fontId="12" fillId="2" borderId="1615" applyNumberFormat="0" applyFont="0" applyAlignment="0" applyProtection="0"/>
    <xf numFmtId="0" fontId="12" fillId="2" borderId="1615" applyNumberFormat="0" applyFont="0" applyAlignment="0" applyProtection="0"/>
    <xf numFmtId="41" fontId="37" fillId="0" borderId="0" applyFont="0" applyFill="0" applyBorder="0" applyAlignment="0" applyProtection="0"/>
    <xf numFmtId="0" fontId="12" fillId="2" borderId="1615" applyNumberFormat="0" applyFont="0" applyAlignment="0" applyProtection="0"/>
    <xf numFmtId="0" fontId="12" fillId="2" borderId="1610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9" borderId="1622" applyBorder="0">
      <protection locked="0"/>
    </xf>
    <xf numFmtId="0" fontId="12" fillId="9" borderId="1623" applyNumberFormat="0">
      <protection locked="0"/>
    </xf>
    <xf numFmtId="0" fontId="12" fillId="2" borderId="1621" applyNumberFormat="0" applyFont="0" applyAlignment="0" applyProtection="0"/>
    <xf numFmtId="0" fontId="12" fillId="9" borderId="1623" applyNumberFormat="0">
      <protection locked="0"/>
    </xf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3" applyNumberFormat="0">
      <protection locked="0"/>
    </xf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3" applyNumberFormat="0">
      <protection locked="0"/>
    </xf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3" applyNumberFormat="0">
      <protection locked="0"/>
    </xf>
    <xf numFmtId="0" fontId="12" fillId="9" borderId="1622" applyBorder="0">
      <protection locked="0"/>
    </xf>
    <xf numFmtId="0" fontId="12" fillId="9" borderId="1623" applyNumberFormat="0">
      <protection locked="0"/>
    </xf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3" applyNumberFormat="0">
      <protection locked="0"/>
    </xf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3" applyNumberFormat="0">
      <protection locked="0"/>
    </xf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9" borderId="1622" applyBorder="0">
      <protection locked="0"/>
    </xf>
    <xf numFmtId="0" fontId="12" fillId="9" borderId="1622" applyBorder="0">
      <protection locked="0"/>
    </xf>
    <xf numFmtId="0" fontId="12" fillId="2" borderId="1621" applyNumberFormat="0" applyFont="0" applyAlignment="0" applyProtection="0"/>
    <xf numFmtId="0" fontId="12" fillId="2" borderId="1621" applyNumberFormat="0" applyFont="0" applyAlignment="0" applyProtection="0"/>
    <xf numFmtId="0" fontId="12" fillId="2" borderId="1624" applyNumberFormat="0" applyFont="0" applyAlignment="0" applyProtection="0"/>
    <xf numFmtId="0" fontId="12" fillId="9" borderId="1625" applyNumberFormat="0">
      <protection locked="0"/>
    </xf>
    <xf numFmtId="0" fontId="12" fillId="9" borderId="1620" applyBorder="0">
      <protection locked="0"/>
    </xf>
    <xf numFmtId="0" fontId="12" fillId="2" borderId="1624" applyNumberFormat="0" applyFont="0" applyAlignment="0" applyProtection="0"/>
    <xf numFmtId="0" fontId="12" fillId="9" borderId="1620" applyBorder="0">
      <protection locked="0"/>
    </xf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41" fontId="37" fillId="0" borderId="0" applyFont="0" applyFill="0" applyBorder="0" applyAlignment="0" applyProtection="0"/>
    <xf numFmtId="0" fontId="12" fillId="2" borderId="1624" applyNumberFormat="0" applyFont="0" applyAlignment="0" applyProtection="0"/>
    <xf numFmtId="0" fontId="12" fillId="9" borderId="1625" applyNumberFormat="0">
      <protection locked="0"/>
    </xf>
    <xf numFmtId="0" fontId="12" fillId="2" borderId="1624" applyNumberFormat="0" applyFont="0" applyAlignment="0" applyProtection="0"/>
    <xf numFmtId="0" fontId="12" fillId="2" borderId="1610" applyNumberFormat="0" applyFont="0" applyAlignment="0" applyProtection="0"/>
    <xf numFmtId="0" fontId="12" fillId="2" borderId="1610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10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9" borderId="1625" applyNumberFormat="0">
      <protection locked="0"/>
    </xf>
    <xf numFmtId="0" fontId="12" fillId="9" borderId="1626" applyBorder="0">
      <protection locked="0"/>
    </xf>
    <xf numFmtId="0" fontId="12" fillId="2" borderId="1624" applyNumberFormat="0" applyFont="0" applyAlignment="0" applyProtection="0"/>
    <xf numFmtId="0" fontId="12" fillId="9" borderId="1626" applyBorder="0">
      <protection locked="0"/>
    </xf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9" borderId="1625" applyNumberFormat="0">
      <protection locked="0"/>
    </xf>
    <xf numFmtId="0" fontId="12" fillId="9" borderId="1627" applyBorder="0">
      <protection locked="0"/>
    </xf>
    <xf numFmtId="0" fontId="12" fillId="2" borderId="1624" applyNumberFormat="0" applyFont="0" applyAlignment="0" applyProtection="0"/>
    <xf numFmtId="0" fontId="12" fillId="9" borderId="1627" applyBorder="0">
      <protection locked="0"/>
    </xf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9" borderId="1625" applyNumberFormat="0">
      <protection locked="0"/>
    </xf>
    <xf numFmtId="0" fontId="12" fillId="9" borderId="1627" applyBorder="0">
      <protection locked="0"/>
    </xf>
    <xf numFmtId="0" fontId="12" fillId="2" borderId="1624" applyNumberFormat="0" applyFont="0" applyAlignment="0" applyProtection="0"/>
    <xf numFmtId="0" fontId="12" fillId="9" borderId="1627" applyBorder="0">
      <protection locked="0"/>
    </xf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8" applyNumberFormat="0" applyFont="0" applyAlignment="0" applyProtection="0"/>
    <xf numFmtId="0" fontId="12" fillId="9" borderId="1625" applyNumberFormat="0">
      <protection locked="0"/>
    </xf>
    <xf numFmtId="0" fontId="12" fillId="9" borderId="1620" applyBorder="0">
      <protection locked="0"/>
    </xf>
    <xf numFmtId="0" fontId="12" fillId="2" borderId="1628" applyNumberFormat="0" applyFont="0" applyAlignment="0" applyProtection="0"/>
    <xf numFmtId="0" fontId="12" fillId="9" borderId="1620" applyBorder="0">
      <protection locked="0"/>
    </xf>
    <xf numFmtId="0" fontId="12" fillId="2" borderId="1628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9" borderId="1625" applyNumberFormat="0">
      <protection locked="0"/>
    </xf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24" applyNumberFormat="0" applyFont="0" applyAlignment="0" applyProtection="0"/>
    <xf numFmtId="0" fontId="12" fillId="2" borderId="1632" applyNumberFormat="0" applyFont="0" applyAlignment="0" applyProtection="0"/>
    <xf numFmtId="0" fontId="12" fillId="9" borderId="1638" applyNumberFormat="0">
      <protection locked="0"/>
    </xf>
    <xf numFmtId="0" fontId="12" fillId="9" borderId="1633" applyBorder="0">
      <protection locked="0"/>
    </xf>
    <xf numFmtId="0" fontId="12" fillId="2" borderId="1632" applyNumberFormat="0" applyFont="0" applyAlignment="0" applyProtection="0"/>
    <xf numFmtId="0" fontId="12" fillId="9" borderId="1633" applyBorder="0">
      <protection locked="0"/>
    </xf>
    <xf numFmtId="0" fontId="12" fillId="2" borderId="1632" applyNumberFormat="0" applyFont="0" applyAlignment="0" applyProtection="0"/>
    <xf numFmtId="0" fontId="12" fillId="2" borderId="1643" applyNumberFormat="0" applyFont="0" applyAlignment="0" applyProtection="0"/>
    <xf numFmtId="0" fontId="12" fillId="2" borderId="1643" applyNumberFormat="0" applyFont="0" applyAlignment="0" applyProtection="0"/>
    <xf numFmtId="41" fontId="37" fillId="0" borderId="0" applyFont="0" applyFill="0" applyBorder="0" applyAlignment="0" applyProtection="0"/>
    <xf numFmtId="0" fontId="12" fillId="2" borderId="1645" applyNumberFormat="0" applyFont="0" applyAlignment="0" applyProtection="0"/>
    <xf numFmtId="0" fontId="12" fillId="2" borderId="1669" applyNumberFormat="0" applyFont="0" applyAlignment="0" applyProtection="0"/>
    <xf numFmtId="0" fontId="12" fillId="9" borderId="1661" applyBorder="0">
      <protection locked="0"/>
    </xf>
    <xf numFmtId="0" fontId="12" fillId="9" borderId="1661" applyBorder="0">
      <protection locked="0"/>
    </xf>
    <xf numFmtId="0" fontId="12" fillId="9" borderId="1667" applyNumberFormat="0">
      <protection locked="0"/>
    </xf>
    <xf numFmtId="0" fontId="12" fillId="2" borderId="1654" applyNumberFormat="0" applyFont="0" applyAlignment="0" applyProtection="0"/>
    <xf numFmtId="0" fontId="12" fillId="9" borderId="1655" applyNumberFormat="0">
      <protection locked="0"/>
    </xf>
    <xf numFmtId="0" fontId="12" fillId="9" borderId="1649" applyBorder="0">
      <protection locked="0"/>
    </xf>
    <xf numFmtId="0" fontId="12" fillId="2" borderId="1662" applyNumberFormat="0" applyFont="0" applyAlignment="0" applyProtection="0"/>
    <xf numFmtId="0" fontId="12" fillId="2" borderId="1654" applyNumberFormat="0" applyFont="0" applyAlignment="0" applyProtection="0"/>
    <xf numFmtId="0" fontId="12" fillId="9" borderId="1649" applyBorder="0">
      <protection locked="0"/>
    </xf>
    <xf numFmtId="0" fontId="12" fillId="2" borderId="1654" applyNumberFormat="0" applyFont="0" applyAlignment="0" applyProtection="0"/>
    <xf numFmtId="0" fontId="12" fillId="2" borderId="1657" applyNumberFormat="0" applyFont="0" applyAlignment="0" applyProtection="0"/>
    <xf numFmtId="0" fontId="12" fillId="2" borderId="1662" applyNumberFormat="0" applyFont="0" applyAlignment="0" applyProtection="0"/>
    <xf numFmtId="0" fontId="12" fillId="2" borderId="1657" applyNumberFormat="0" applyFont="0" applyAlignment="0" applyProtection="0"/>
    <xf numFmtId="0" fontId="12" fillId="2" borderId="1662" applyNumberFormat="0" applyFont="0" applyAlignment="0" applyProtection="0"/>
    <xf numFmtId="0" fontId="12" fillId="2" borderId="1660" applyNumberFormat="0" applyFont="0" applyAlignment="0" applyProtection="0"/>
    <xf numFmtId="0" fontId="12" fillId="2" borderId="1669" applyNumberFormat="0" applyFont="0" applyAlignment="0" applyProtection="0"/>
    <xf numFmtId="0" fontId="12" fillId="2" borderId="1680" applyNumberFormat="0" applyFont="0" applyAlignment="0" applyProtection="0"/>
    <xf numFmtId="0" fontId="55" fillId="0" borderId="0"/>
    <xf numFmtId="0" fontId="12" fillId="2" borderId="1796" applyNumberFormat="0" applyFont="0" applyAlignment="0" applyProtection="0"/>
    <xf numFmtId="0" fontId="12" fillId="9" borderId="1994" applyBorder="0">
      <protection locked="0"/>
    </xf>
    <xf numFmtId="0" fontId="12" fillId="2" borderId="1998" applyNumberFormat="0" applyFont="0" applyAlignment="0" applyProtection="0"/>
    <xf numFmtId="0" fontId="12" fillId="9" borderId="1997" applyNumberFormat="0">
      <protection locked="0"/>
    </xf>
    <xf numFmtId="0" fontId="12" fillId="2" borderId="1960" applyNumberFormat="0" applyFont="0" applyAlignment="0" applyProtection="0"/>
    <xf numFmtId="0" fontId="12" fillId="9" borderId="1961" applyNumberFormat="0">
      <protection locked="0"/>
    </xf>
    <xf numFmtId="0" fontId="12" fillId="9" borderId="1945" applyBorder="0">
      <protection locked="0"/>
    </xf>
    <xf numFmtId="0" fontId="12" fillId="9" borderId="1994" applyBorder="0">
      <protection locked="0"/>
    </xf>
    <xf numFmtId="0" fontId="12" fillId="2" borderId="1960" applyNumberFormat="0" applyFont="0" applyAlignment="0" applyProtection="0"/>
    <xf numFmtId="0" fontId="12" fillId="9" borderId="1945" applyBorder="0">
      <protection locked="0"/>
    </xf>
    <xf numFmtId="0" fontId="12" fillId="2" borderId="1960" applyNumberFormat="0" applyFont="0" applyAlignment="0" applyProtection="0"/>
    <xf numFmtId="0" fontId="12" fillId="2" borderId="1999" applyNumberFormat="0" applyFont="0" applyAlignment="0" applyProtection="0"/>
    <xf numFmtId="0" fontId="12" fillId="2" borderId="1960" applyNumberFormat="0" applyFont="0" applyAlignment="0" applyProtection="0"/>
    <xf numFmtId="0" fontId="12" fillId="2" borderId="1960" applyNumberFormat="0" applyFont="0" applyAlignment="0" applyProtection="0"/>
    <xf numFmtId="0" fontId="12" fillId="2" borderId="2032" applyNumberFormat="0" applyFont="0" applyAlignment="0" applyProtection="0"/>
    <xf numFmtId="0" fontId="12" fillId="2" borderId="2032" applyNumberFormat="0" applyFont="0" applyAlignment="0" applyProtection="0"/>
    <xf numFmtId="41" fontId="37" fillId="0" borderId="0" applyFont="0" applyFill="0" applyBorder="0" applyAlignment="0" applyProtection="0"/>
    <xf numFmtId="0" fontId="12" fillId="9" borderId="2042" applyBorder="0">
      <protection locked="0"/>
    </xf>
    <xf numFmtId="0" fontId="12" fillId="9" borderId="2043" applyNumberFormat="0">
      <protection locked="0"/>
    </xf>
    <xf numFmtId="0" fontId="12" fillId="2" borderId="1966" applyNumberFormat="0" applyFont="0" applyAlignment="0" applyProtection="0"/>
    <xf numFmtId="0" fontId="12" fillId="2" borderId="1996" applyNumberFormat="0" applyFont="0" applyAlignment="0" applyProtection="0"/>
    <xf numFmtId="0" fontId="12" fillId="9" borderId="1969" applyNumberFormat="0">
      <protection locked="0"/>
    </xf>
    <xf numFmtId="0" fontId="12" fillId="9" borderId="1970" applyBorder="0">
      <protection locked="0"/>
    </xf>
    <xf numFmtId="0" fontId="12" fillId="9" borderId="1970" applyBorder="0">
      <protection locked="0"/>
    </xf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9" borderId="1969" applyNumberFormat="0">
      <protection locked="0"/>
    </xf>
    <xf numFmtId="0" fontId="12" fillId="9" borderId="1968" applyBorder="0">
      <protection locked="0"/>
    </xf>
    <xf numFmtId="0" fontId="12" fillId="2" borderId="1967" applyNumberFormat="0" applyFont="0" applyAlignment="0" applyProtection="0"/>
    <xf numFmtId="0" fontId="12" fillId="9" borderId="1968" applyBorder="0">
      <protection locked="0"/>
    </xf>
    <xf numFmtId="0" fontId="12" fillId="2" borderId="1967" applyNumberFormat="0" applyFont="0" applyAlignment="0" applyProtection="0"/>
    <xf numFmtId="0" fontId="12" fillId="9" borderId="1969" applyNumberFormat="0">
      <protection locked="0"/>
    </xf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41" fontId="37" fillId="0" borderId="0" applyFont="0" applyFill="0" applyBorder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9" borderId="1969" applyNumberFormat="0">
      <protection locked="0"/>
    </xf>
    <xf numFmtId="0" fontId="12" fillId="9" borderId="1968" applyBorder="0">
      <protection locked="0"/>
    </xf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9" borderId="1968" applyBorder="0">
      <protection locked="0"/>
    </xf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9" borderId="1968" applyBorder="0">
      <protection locked="0"/>
    </xf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2" borderId="1967" applyNumberFormat="0" applyFont="0" applyAlignment="0" applyProtection="0"/>
    <xf numFmtId="0" fontId="12" fillId="9" borderId="1968" applyBorder="0">
      <protection locked="0"/>
    </xf>
    <xf numFmtId="0" fontId="12" fillId="2" borderId="1967" applyNumberFormat="0" applyFont="0" applyAlignment="0" applyProtection="0"/>
    <xf numFmtId="0" fontId="12" fillId="2" borderId="1971" applyNumberFormat="0" applyFont="0" applyAlignment="0" applyProtection="0"/>
    <xf numFmtId="0" fontId="12" fillId="2" borderId="1973" applyNumberFormat="0" applyFont="0" applyAlignment="0" applyProtection="0"/>
    <xf numFmtId="0" fontId="12" fillId="9" borderId="1972" applyBorder="0">
      <protection locked="0"/>
    </xf>
    <xf numFmtId="0" fontId="12" fillId="2" borderId="1967" applyNumberFormat="0" applyFont="0" applyAlignment="0" applyProtection="0"/>
    <xf numFmtId="0" fontId="12" fillId="9" borderId="1972" applyBorder="0">
      <protection locked="0"/>
    </xf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41" fontId="37" fillId="0" borderId="0" applyFont="0" applyFill="0" applyBorder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9" borderId="1976" applyBorder="0">
      <protection locked="0"/>
    </xf>
    <xf numFmtId="0" fontId="12" fillId="9" borderId="1976" applyBorder="0">
      <protection locked="0"/>
    </xf>
    <xf numFmtId="0" fontId="12" fillId="9" borderId="1977" applyNumberFormat="0">
      <protection locked="0"/>
    </xf>
    <xf numFmtId="0" fontId="12" fillId="2" borderId="1975" applyNumberFormat="0" applyFont="0" applyAlignment="0" applyProtection="0"/>
    <xf numFmtId="0" fontId="12" fillId="9" borderId="1977" applyNumberFormat="0">
      <protection locked="0"/>
    </xf>
    <xf numFmtId="0" fontId="12" fillId="9" borderId="1976" applyBorder="0">
      <protection locked="0"/>
    </xf>
    <xf numFmtId="0" fontId="12" fillId="2" borderId="1975" applyNumberFormat="0" applyFont="0" applyAlignment="0" applyProtection="0"/>
    <xf numFmtId="0" fontId="12" fillId="9" borderId="1976" applyBorder="0">
      <protection locked="0"/>
    </xf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9" borderId="1977" applyNumberFormat="0">
      <protection locked="0"/>
    </xf>
    <xf numFmtId="0" fontId="12" fillId="9" borderId="1976" applyBorder="0">
      <protection locked="0"/>
    </xf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9" borderId="1976" applyBorder="0">
      <protection locked="0"/>
    </xf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9" borderId="1977" applyNumberFormat="0">
      <protection locked="0"/>
    </xf>
    <xf numFmtId="0" fontId="12" fillId="2" borderId="1975" applyNumberFormat="0" applyFont="0" applyAlignment="0" applyProtection="0"/>
    <xf numFmtId="0" fontId="12" fillId="9" borderId="1976" applyBorder="0">
      <protection locked="0"/>
    </xf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5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9" borderId="1978" applyNumberFormat="0">
      <protection locked="0"/>
    </xf>
    <xf numFmtId="0" fontId="12" fillId="9" borderId="1968" applyBorder="0">
      <protection locked="0"/>
    </xf>
    <xf numFmtId="0" fontId="12" fillId="9" borderId="1978" applyNumberFormat="0">
      <protection locked="0"/>
    </xf>
    <xf numFmtId="0" fontId="12" fillId="2" borderId="1973" applyNumberFormat="0" applyFont="0" applyAlignment="0" applyProtection="0"/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9" borderId="1978" applyNumberFormat="0">
      <protection locked="0"/>
    </xf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9" borderId="1978" applyNumberFormat="0">
      <protection locked="0"/>
    </xf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9" borderId="1968" applyBorder="0">
      <protection locked="0"/>
    </xf>
    <xf numFmtId="0" fontId="12" fillId="9" borderId="1968" applyBorder="0">
      <protection locked="0"/>
    </xf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80" applyNumberFormat="0" applyFont="0" applyAlignment="0" applyProtection="0"/>
    <xf numFmtId="0" fontId="12" fillId="9" borderId="1981" applyNumberFormat="0">
      <protection locked="0"/>
    </xf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41" fontId="37" fillId="0" borderId="0" applyFont="0" applyFill="0" applyBorder="0" applyAlignment="0" applyProtection="0"/>
    <xf numFmtId="0" fontId="12" fillId="2" borderId="1980" applyNumberFormat="0" applyFont="0" applyAlignment="0" applyProtection="0"/>
    <xf numFmtId="0" fontId="12" fillId="9" borderId="1981" applyNumberFormat="0">
      <protection locked="0"/>
    </xf>
    <xf numFmtId="0" fontId="12" fillId="2" borderId="1980" applyNumberFormat="0" applyFont="0" applyAlignment="0" applyProtection="0"/>
    <xf numFmtId="0" fontId="12" fillId="2" borderId="1973" applyNumberFormat="0" applyFont="0" applyAlignment="0" applyProtection="0"/>
    <xf numFmtId="0" fontId="12" fillId="2" borderId="1973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73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9" borderId="1981" applyNumberFormat="0">
      <protection locked="0"/>
    </xf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9" borderId="1981" applyNumberFormat="0">
      <protection locked="0"/>
    </xf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9" borderId="1981" applyNumberFormat="0">
      <protection locked="0"/>
    </xf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9" borderId="1976" applyBorder="0">
      <protection locked="0"/>
    </xf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2" applyNumberFormat="0" applyFont="0" applyAlignment="0" applyProtection="0"/>
    <xf numFmtId="0" fontId="12" fillId="9" borderId="1981" applyNumberFormat="0">
      <protection locked="0"/>
    </xf>
    <xf numFmtId="0" fontId="12" fillId="9" borderId="1979" applyBorder="0">
      <protection locked="0"/>
    </xf>
    <xf numFmtId="0" fontId="12" fillId="2" borderId="1982" applyNumberFormat="0" applyFont="0" applyAlignment="0" applyProtection="0"/>
    <xf numFmtId="0" fontId="12" fillId="9" borderId="1979" applyBorder="0">
      <protection locked="0"/>
    </xf>
    <xf numFmtId="0" fontId="12" fillId="2" borderId="1982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9" borderId="1981" applyNumberFormat="0">
      <protection locked="0"/>
    </xf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0" applyNumberFormat="0" applyFont="0" applyAlignment="0" applyProtection="0"/>
    <xf numFmtId="0" fontId="12" fillId="2" borderId="1983" applyNumberFormat="0" applyFont="0" applyAlignment="0" applyProtection="0"/>
    <xf numFmtId="0" fontId="12" fillId="9" borderId="1984" applyNumberFormat="0">
      <protection locked="0"/>
    </xf>
    <xf numFmtId="0" fontId="12" fillId="9" borderId="1976" applyBorder="0">
      <protection locked="0"/>
    </xf>
    <xf numFmtId="0" fontId="12" fillId="2" borderId="1983" applyNumberFormat="0" applyFont="0" applyAlignment="0" applyProtection="0"/>
    <xf numFmtId="0" fontId="12" fillId="9" borderId="1976" applyBorder="0">
      <protection locked="0"/>
    </xf>
    <xf numFmtId="0" fontId="12" fillId="2" borderId="1983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41" fontId="37" fillId="0" borderId="0" applyFont="0" applyFill="0" applyBorder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76" applyBorder="0">
      <protection locked="0"/>
    </xf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41" fontId="37" fillId="0" borderId="0" applyFont="0" applyFill="0" applyBorder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6" applyBorder="0">
      <protection locked="0"/>
    </xf>
    <xf numFmtId="0" fontId="12" fillId="2" borderId="1985" applyNumberFormat="0" applyFont="0" applyAlignment="0" applyProtection="0"/>
    <xf numFmtId="0" fontId="12" fillId="9" borderId="198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41" fontId="37" fillId="0" borderId="0" applyFont="0" applyFill="0" applyBorder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9" borderId="1986" applyBorder="0">
      <protection locked="0"/>
    </xf>
    <xf numFmtId="0" fontId="12" fillId="9" borderId="1984" applyNumberFormat="0">
      <protection locked="0"/>
    </xf>
    <xf numFmtId="0" fontId="12" fillId="2" borderId="1987" applyNumberFormat="0" applyFont="0" applyAlignment="0" applyProtection="0"/>
    <xf numFmtId="0" fontId="12" fillId="9" borderId="1984" applyNumberFormat="0">
      <protection locked="0"/>
    </xf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4" applyNumberFormat="0">
      <protection locked="0"/>
    </xf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4" applyNumberFormat="0">
      <protection locked="0"/>
    </xf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4" applyNumberFormat="0">
      <protection locked="0"/>
    </xf>
    <xf numFmtId="0" fontId="12" fillId="9" borderId="1986" applyBorder="0">
      <protection locked="0"/>
    </xf>
    <xf numFmtId="0" fontId="12" fillId="9" borderId="1984" applyNumberFormat="0">
      <protection locked="0"/>
    </xf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4" applyNumberFormat="0">
      <protection locked="0"/>
    </xf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4" applyNumberFormat="0">
      <protection locked="0"/>
    </xf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9" borderId="1986" applyBorder="0">
      <protection locked="0"/>
    </xf>
    <xf numFmtId="0" fontId="12" fillId="9" borderId="1986" applyBorder="0">
      <protection locked="0"/>
    </xf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86" applyBorder="0">
      <protection locked="0"/>
    </xf>
    <xf numFmtId="0" fontId="12" fillId="2" borderId="1985" applyNumberFormat="0" applyFont="0" applyAlignment="0" applyProtection="0"/>
    <xf numFmtId="0" fontId="12" fillId="9" borderId="198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41" fontId="37" fillId="0" borderId="0" applyFont="0" applyFill="0" applyBorder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9" borderId="1986" applyBorder="0">
      <protection locked="0"/>
    </xf>
    <xf numFmtId="0" fontId="12" fillId="2" borderId="1985" applyNumberFormat="0" applyFont="0" applyAlignment="0" applyProtection="0"/>
    <xf numFmtId="0" fontId="12" fillId="9" borderId="1986" applyBorder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4" applyNumberFormat="0">
      <protection locked="0"/>
    </xf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2" borderId="1985" applyNumberFormat="0" applyFont="0" applyAlignment="0" applyProtection="0"/>
    <xf numFmtId="0" fontId="12" fillId="9" borderId="1988" applyNumberFormat="0">
      <protection locked="0"/>
    </xf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9" borderId="1976" applyBorder="0">
      <protection locked="0"/>
    </xf>
    <xf numFmtId="0" fontId="12" fillId="2" borderId="1985" applyNumberFormat="0" applyFont="0" applyAlignment="0" applyProtection="0"/>
    <xf numFmtId="0" fontId="12" fillId="2" borderId="1987" applyNumberFormat="0" applyFont="0" applyAlignment="0" applyProtection="0"/>
    <xf numFmtId="0" fontId="12" fillId="2" borderId="1987" applyNumberFormat="0" applyFont="0" applyAlignment="0" applyProtection="0"/>
    <xf numFmtId="41" fontId="37" fillId="0" borderId="0" applyFont="0" applyFill="0" applyBorder="0" applyAlignment="0" applyProtection="0"/>
    <xf numFmtId="0" fontId="12" fillId="2" borderId="1975" applyNumberFormat="0" applyFont="0" applyAlignment="0" applyProtection="0"/>
    <xf numFmtId="0" fontId="12" fillId="2" borderId="1991" applyNumberFormat="0" applyFont="0" applyAlignment="0" applyProtection="0"/>
    <xf numFmtId="0" fontId="12" fillId="9" borderId="1992" applyBorder="0">
      <protection locked="0"/>
    </xf>
    <xf numFmtId="0" fontId="12" fillId="9" borderId="1992" applyBorder="0">
      <protection locked="0"/>
    </xf>
    <xf numFmtId="0" fontId="12" fillId="9" borderId="1993" applyNumberFormat="0">
      <protection locked="0"/>
    </xf>
    <xf numFmtId="0" fontId="12" fillId="2" borderId="1989" applyNumberFormat="0" applyFont="0" applyAlignment="0" applyProtection="0"/>
    <xf numFmtId="0" fontId="12" fillId="9" borderId="1990" applyNumberFormat="0">
      <protection locked="0"/>
    </xf>
    <xf numFmtId="0" fontId="12" fillId="9" borderId="1974" applyBorder="0">
      <protection locked="0"/>
    </xf>
    <xf numFmtId="0" fontId="12" fillId="2" borderId="1991" applyNumberFormat="0" applyFont="0" applyAlignment="0" applyProtection="0"/>
    <xf numFmtId="0" fontId="12" fillId="2" borderId="1989" applyNumberFormat="0" applyFont="0" applyAlignment="0" applyProtection="0"/>
    <xf numFmtId="0" fontId="12" fillId="9" borderId="1974" applyBorder="0">
      <protection locked="0"/>
    </xf>
    <xf numFmtId="0" fontId="12" fillId="2" borderId="1989" applyNumberFormat="0" applyFont="0" applyAlignment="0" applyProtection="0"/>
    <xf numFmtId="0" fontId="12" fillId="2" borderId="1991" applyNumberFormat="0" applyFont="0" applyAlignment="0" applyProtection="0"/>
    <xf numFmtId="0" fontId="12" fillId="2" borderId="1991" applyNumberFormat="0" applyFont="0" applyAlignment="0" applyProtection="0"/>
    <xf numFmtId="0" fontId="12" fillId="2" borderId="1991" applyNumberFormat="0" applyFont="0" applyAlignment="0" applyProtection="0"/>
    <xf numFmtId="0" fontId="12" fillId="2" borderId="1991" applyNumberFormat="0" applyFont="0" applyAlignment="0" applyProtection="0"/>
    <xf numFmtId="0" fontId="12" fillId="2" borderId="1991" applyNumberFormat="0" applyFont="0" applyAlignment="0" applyProtection="0"/>
    <xf numFmtId="0" fontId="12" fillId="2" borderId="1991" applyNumberFormat="0" applyFont="0" applyAlignment="0" applyProtection="0"/>
    <xf numFmtId="0" fontId="12" fillId="2" borderId="1991" applyNumberFormat="0" applyFont="0" applyAlignment="0" applyProtection="0"/>
    <xf numFmtId="0" fontId="12" fillId="2" borderId="1996" applyNumberFormat="0" applyFont="0" applyAlignment="0" applyProtection="0"/>
    <xf numFmtId="0" fontId="12" fillId="2" borderId="1995" applyNumberFormat="0" applyFont="0" applyAlignment="0" applyProtection="0"/>
    <xf numFmtId="0" fontId="12" fillId="2" borderId="2000" applyNumberFormat="0" applyFont="0" applyAlignment="0" applyProtection="0"/>
    <xf numFmtId="0" fontId="12" fillId="9" borderId="2042" applyBorder="0">
      <protection locked="0"/>
    </xf>
    <xf numFmtId="0" fontId="12" fillId="9" borderId="2074" applyBorder="0">
      <protection locked="0"/>
    </xf>
    <xf numFmtId="0" fontId="12" fillId="2" borderId="2001" applyNumberFormat="0" applyFont="0" applyAlignment="0" applyProtection="0"/>
    <xf numFmtId="0" fontId="12" fillId="9" borderId="2007" applyNumberFormat="0">
      <protection locked="0"/>
    </xf>
    <xf numFmtId="0" fontId="12" fillId="9" borderId="2003" applyBorder="0">
      <protection locked="0"/>
    </xf>
    <xf numFmtId="0" fontId="12" fillId="9" borderId="2003" applyBorder="0">
      <protection locked="0"/>
    </xf>
    <xf numFmtId="0" fontId="12" fillId="2" borderId="2002" applyNumberFormat="0" applyFont="0" applyAlignment="0" applyProtection="0"/>
    <xf numFmtId="0" fontId="12" fillId="2" borderId="2002" applyNumberFormat="0" applyFont="0" applyAlignment="0" applyProtection="0"/>
    <xf numFmtId="0" fontId="12" fillId="9" borderId="2004" applyNumberFormat="0">
      <protection locked="0"/>
    </xf>
    <xf numFmtId="0" fontId="12" fillId="9" borderId="2003" applyBorder="0">
      <protection locked="0"/>
    </xf>
    <xf numFmtId="0" fontId="12" fillId="2" borderId="2002" applyNumberFormat="0" applyFont="0" applyAlignment="0" applyProtection="0"/>
    <xf numFmtId="0" fontId="12" fillId="9" borderId="2003" applyBorder="0">
      <protection locked="0"/>
    </xf>
    <xf numFmtId="0" fontId="12" fillId="2" borderId="2002" applyNumberFormat="0" applyFont="0" applyAlignment="0" applyProtection="0"/>
    <xf numFmtId="0" fontId="12" fillId="9" borderId="2007" applyNumberFormat="0">
      <protection locked="0"/>
    </xf>
    <xf numFmtId="0" fontId="12" fillId="2" borderId="2002" applyNumberFormat="0" applyFont="0" applyAlignment="0" applyProtection="0"/>
    <xf numFmtId="0" fontId="12" fillId="2" borderId="2002" applyNumberFormat="0" applyFont="0" applyAlignment="0" applyProtection="0"/>
    <xf numFmtId="0" fontId="12" fillId="2" borderId="2005" applyNumberFormat="0" applyFont="0" applyAlignment="0" applyProtection="0"/>
    <xf numFmtId="0" fontId="12" fillId="9" borderId="2107" applyBorder="0">
      <protection locked="0"/>
    </xf>
    <xf numFmtId="0" fontId="12" fillId="2" borderId="2002" applyNumberFormat="0" applyFont="0" applyAlignment="0" applyProtection="0"/>
    <xf numFmtId="0" fontId="12" fillId="2" borderId="2002" applyNumberFormat="0" applyFont="0" applyAlignment="0" applyProtection="0"/>
    <xf numFmtId="0" fontId="12" fillId="9" borderId="2006" applyNumberFormat="0">
      <protection locked="0"/>
    </xf>
    <xf numFmtId="0" fontId="12" fillId="9" borderId="2003" applyBorder="0">
      <protection locked="0"/>
    </xf>
    <xf numFmtId="0" fontId="12" fillId="2" borderId="2002" applyNumberFormat="0" applyFont="0" applyAlignment="0" applyProtection="0"/>
    <xf numFmtId="0" fontId="12" fillId="2" borderId="2005" applyNumberFormat="0" applyFont="0" applyAlignment="0" applyProtection="0"/>
    <xf numFmtId="0" fontId="12" fillId="9" borderId="2003" applyBorder="0">
      <protection locked="0"/>
    </xf>
    <xf numFmtId="0" fontId="12" fillId="2" borderId="2005" applyNumberFormat="0" applyFont="0" applyAlignment="0" applyProtection="0"/>
    <xf numFmtId="0" fontId="12" fillId="2" borderId="2002" applyNumberFormat="0" applyFont="0" applyAlignment="0" applyProtection="0"/>
    <xf numFmtId="0" fontId="12" fillId="2" borderId="2005" applyNumberFormat="0" applyFont="0" applyAlignment="0" applyProtection="0"/>
    <xf numFmtId="0" fontId="12" fillId="2" borderId="2002" applyNumberFormat="0" applyFont="0" applyAlignment="0" applyProtection="0"/>
    <xf numFmtId="0" fontId="12" fillId="9" borderId="2008" applyBorder="0">
      <protection locked="0"/>
    </xf>
    <xf numFmtId="0" fontId="12" fillId="2" borderId="2005" applyNumberFormat="0" applyFont="0" applyAlignment="0" applyProtection="0"/>
    <xf numFmtId="0" fontId="12" fillId="2" borderId="2002" applyNumberFormat="0" applyFont="0" applyAlignment="0" applyProtection="0"/>
    <xf numFmtId="0" fontId="12" fillId="2" borderId="2002" applyNumberFormat="0" applyFont="0" applyAlignment="0" applyProtection="0"/>
    <xf numFmtId="0" fontId="12" fillId="2" borderId="2002" applyNumberFormat="0" applyFont="0" applyAlignment="0" applyProtection="0"/>
    <xf numFmtId="0" fontId="12" fillId="2" borderId="2002" applyNumberFormat="0" applyFont="0" applyAlignment="0" applyProtection="0"/>
    <xf numFmtId="0" fontId="12" fillId="2" borderId="2005" applyNumberFormat="0" applyFont="0" applyAlignment="0" applyProtection="0"/>
    <xf numFmtId="0" fontId="12" fillId="2" borderId="2002" applyNumberFormat="0" applyFont="0" applyAlignment="0" applyProtection="0"/>
    <xf numFmtId="0" fontId="12" fillId="9" borderId="2008" applyBorder="0">
      <protection locked="0"/>
    </xf>
    <xf numFmtId="0" fontId="12" fillId="2" borderId="2002" applyNumberFormat="0" applyFont="0" applyAlignment="0" applyProtection="0"/>
    <xf numFmtId="0" fontId="12" fillId="2" borderId="2009" applyNumberFormat="0" applyFont="0" applyAlignment="0" applyProtection="0"/>
    <xf numFmtId="0" fontId="12" fillId="2" borderId="2012" applyNumberFormat="0" applyFont="0" applyAlignment="0" applyProtection="0"/>
    <xf numFmtId="0" fontId="12" fillId="9" borderId="2010" applyBorder="0">
      <protection locked="0"/>
    </xf>
    <xf numFmtId="0" fontId="12" fillId="2" borderId="2002" applyNumberFormat="0" applyFont="0" applyAlignment="0" applyProtection="0"/>
    <xf numFmtId="0" fontId="12" fillId="9" borderId="2010" applyBorder="0">
      <protection locked="0"/>
    </xf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9" borderId="2075" applyNumberFormat="0">
      <protection locked="0"/>
    </xf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9" borderId="2014" applyBorder="0">
      <protection locked="0"/>
    </xf>
    <xf numFmtId="0" fontId="12" fillId="9" borderId="2015" applyNumberFormat="0">
      <protection locked="0"/>
    </xf>
    <xf numFmtId="0" fontId="12" fillId="2" borderId="2013" applyNumberFormat="0" applyFont="0" applyAlignment="0" applyProtection="0"/>
    <xf numFmtId="0" fontId="12" fillId="9" borderId="2015" applyNumberFormat="0">
      <protection locked="0"/>
    </xf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5" applyNumberFormat="0">
      <protection locked="0"/>
    </xf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5" applyNumberFormat="0">
      <protection locked="0"/>
    </xf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5" applyNumberFormat="0">
      <protection locked="0"/>
    </xf>
    <xf numFmtId="0" fontId="12" fillId="9" borderId="2014" applyBorder="0">
      <protection locked="0"/>
    </xf>
    <xf numFmtId="0" fontId="12" fillId="9" borderId="2015" applyNumberFormat="0">
      <protection locked="0"/>
    </xf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5" applyNumberFormat="0">
      <protection locked="0"/>
    </xf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5" applyNumberFormat="0">
      <protection locked="0"/>
    </xf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9" borderId="2014" applyBorder="0">
      <protection locked="0"/>
    </xf>
    <xf numFmtId="0" fontId="12" fillId="9" borderId="2014" applyBorder="0">
      <protection locked="0"/>
    </xf>
    <xf numFmtId="0" fontId="12" fillId="2" borderId="2013" applyNumberFormat="0" applyFont="0" applyAlignment="0" applyProtection="0"/>
    <xf numFmtId="0" fontId="12" fillId="2" borderId="2013" applyNumberFormat="0" applyFont="0" applyAlignment="0" applyProtection="0"/>
    <xf numFmtId="0" fontId="12" fillId="2" borderId="2016" applyNumberFormat="0" applyFont="0" applyAlignment="0" applyProtection="0"/>
    <xf numFmtId="0" fontId="12" fillId="9" borderId="2017" applyNumberFormat="0">
      <protection locked="0"/>
    </xf>
    <xf numFmtId="0" fontId="12" fillId="9" borderId="2011" applyBorder="0">
      <protection locked="0"/>
    </xf>
    <xf numFmtId="0" fontId="12" fillId="2" borderId="2016" applyNumberFormat="0" applyFont="0" applyAlignment="0" applyProtection="0"/>
    <xf numFmtId="0" fontId="12" fillId="9" borderId="2011" applyBorder="0">
      <protection locked="0"/>
    </xf>
    <xf numFmtId="0" fontId="12" fillId="2" borderId="2016" applyNumberFormat="0" applyFont="0" applyAlignment="0" applyProtection="0"/>
    <xf numFmtId="0" fontId="12" fillId="2" borderId="2016" applyNumberFormat="0" applyFont="0" applyAlignment="0" applyProtection="0"/>
    <xf numFmtId="0" fontId="12" fillId="2" borderId="2016" applyNumberFormat="0" applyFont="0" applyAlignment="0" applyProtection="0"/>
    <xf numFmtId="0" fontId="12" fillId="2" borderId="2032" applyNumberFormat="0" applyFont="0" applyAlignment="0" applyProtection="0"/>
    <xf numFmtId="0" fontId="12" fillId="2" borderId="2016" applyNumberFormat="0" applyFont="0" applyAlignment="0" applyProtection="0"/>
    <xf numFmtId="0" fontId="12" fillId="9" borderId="2017" applyNumberFormat="0">
      <protection locked="0"/>
    </xf>
    <xf numFmtId="0" fontId="12" fillId="2" borderId="2016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6" applyNumberFormat="0" applyFont="0" applyAlignment="0" applyProtection="0"/>
    <xf numFmtId="0" fontId="12" fillId="2" borderId="2016" applyNumberFormat="0" applyFont="0" applyAlignment="0" applyProtection="0"/>
    <xf numFmtId="0" fontId="12" fillId="2" borderId="2012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9" borderId="2019" applyNumberFormat="0">
      <protection locked="0"/>
    </xf>
    <xf numFmtId="0" fontId="12" fillId="9" borderId="2011" applyBorder="0">
      <protection locked="0"/>
    </xf>
    <xf numFmtId="0" fontId="12" fillId="2" borderId="2018" applyNumberFormat="0" applyFont="0" applyAlignment="0" applyProtection="0"/>
    <xf numFmtId="0" fontId="12" fillId="9" borderId="2011" applyBorder="0">
      <protection locked="0"/>
    </xf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9" borderId="2019" applyNumberFormat="0">
      <protection locked="0"/>
    </xf>
    <xf numFmtId="0" fontId="12" fillId="9" borderId="2020" applyBorder="0">
      <protection locked="0"/>
    </xf>
    <xf numFmtId="0" fontId="12" fillId="2" borderId="2018" applyNumberFormat="0" applyFont="0" applyAlignment="0" applyProtection="0"/>
    <xf numFmtId="0" fontId="12" fillId="9" borderId="2020" applyBorder="0">
      <protection locked="0"/>
    </xf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9" borderId="2019" applyNumberFormat="0">
      <protection locked="0"/>
    </xf>
    <xf numFmtId="0" fontId="12" fillId="9" borderId="2020" applyBorder="0">
      <protection locked="0"/>
    </xf>
    <xf numFmtId="0" fontId="12" fillId="2" borderId="2018" applyNumberFormat="0" applyFont="0" applyAlignment="0" applyProtection="0"/>
    <xf numFmtId="0" fontId="12" fillId="9" borderId="2020" applyBorder="0">
      <protection locked="0"/>
    </xf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21" applyNumberFormat="0" applyFont="0" applyAlignment="0" applyProtection="0"/>
    <xf numFmtId="0" fontId="12" fillId="9" borderId="2019" applyNumberFormat="0">
      <protection locked="0"/>
    </xf>
    <xf numFmtId="0" fontId="12" fillId="9" borderId="2011" applyBorder="0">
      <protection locked="0"/>
    </xf>
    <xf numFmtId="0" fontId="12" fillId="2" borderId="2021" applyNumberFormat="0" applyFont="0" applyAlignment="0" applyProtection="0"/>
    <xf numFmtId="0" fontId="12" fillId="9" borderId="2011" applyBorder="0">
      <protection locked="0"/>
    </xf>
    <xf numFmtId="0" fontId="12" fillId="2" borderId="2021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9" borderId="2022" applyNumberFormat="0">
      <protection locked="0"/>
    </xf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21" applyNumberFormat="0" applyFont="0" applyAlignment="0" applyProtection="0"/>
    <xf numFmtId="0" fontId="12" fillId="2" borderId="2021" applyNumberFormat="0" applyFont="0" applyAlignment="0" applyProtection="0"/>
    <xf numFmtId="0" fontId="12" fillId="2" borderId="2018" applyNumberFormat="0" applyFont="0" applyAlignment="0" applyProtection="0"/>
    <xf numFmtId="0" fontId="12" fillId="2" borderId="2018" applyNumberFormat="0" applyFont="0" applyAlignment="0" applyProtection="0"/>
    <xf numFmtId="0" fontId="12" fillId="2" borderId="2023" applyNumberFormat="0" applyFont="0" applyAlignment="0" applyProtection="0"/>
    <xf numFmtId="0" fontId="12" fillId="9" borderId="2024" applyNumberFormat="0">
      <protection locked="0"/>
    </xf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9" borderId="2024" applyNumberFormat="0">
      <protection locked="0"/>
    </xf>
    <xf numFmtId="0" fontId="12" fillId="9" borderId="2020" applyBorder="0">
      <protection locked="0"/>
    </xf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9" borderId="2024" applyNumberFormat="0">
      <protection locked="0"/>
    </xf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9" borderId="2024" applyNumberFormat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108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9" borderId="2024" applyNumberFormat="0">
      <protection locked="0"/>
    </xf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9" borderId="2020" applyBorder="0">
      <protection locked="0"/>
    </xf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9" borderId="2025" applyBorder="0">
      <protection locked="0"/>
    </xf>
    <xf numFmtId="0" fontId="12" fillId="9" borderId="2024" applyNumberFormat="0">
      <protection locked="0"/>
    </xf>
    <xf numFmtId="0" fontId="12" fillId="2" borderId="2026" applyNumberFormat="0" applyFont="0" applyAlignment="0" applyProtection="0"/>
    <xf numFmtId="0" fontId="12" fillId="9" borderId="2024" applyNumberFormat="0">
      <protection locked="0"/>
    </xf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4" applyNumberFormat="0">
      <protection locked="0"/>
    </xf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4" applyNumberFormat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4" applyNumberFormat="0">
      <protection locked="0"/>
    </xf>
    <xf numFmtId="0" fontId="12" fillId="9" borderId="2025" applyBorder="0">
      <protection locked="0"/>
    </xf>
    <xf numFmtId="0" fontId="12" fillId="9" borderId="2024" applyNumberFormat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4" applyNumberFormat="0">
      <protection locked="0"/>
    </xf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4" applyNumberFormat="0">
      <protection locked="0"/>
    </xf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7" applyNumberFormat="0">
      <protection locked="0"/>
    </xf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7" applyNumberFormat="0">
      <protection locked="0"/>
    </xf>
    <xf numFmtId="0" fontId="12" fillId="2" borderId="2026" applyNumberFormat="0" applyFont="0" applyAlignment="0" applyProtection="0"/>
    <xf numFmtId="0" fontId="12" fillId="2" borderId="2023" applyNumberFormat="0" applyFont="0" applyAlignment="0" applyProtection="0"/>
    <xf numFmtId="0" fontId="12" fillId="2" borderId="2023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3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7" applyNumberFormat="0">
      <protection locked="0"/>
    </xf>
    <xf numFmtId="0" fontId="12" fillId="9" borderId="2020" applyBorder="0">
      <protection locked="0"/>
    </xf>
    <xf numFmtId="0" fontId="12" fillId="2" borderId="2026" applyNumberFormat="0" applyFont="0" applyAlignment="0" applyProtection="0"/>
    <xf numFmtId="0" fontId="12" fillId="9" borderId="2020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7" applyNumberFormat="0">
      <protection locked="0"/>
    </xf>
    <xf numFmtId="0" fontId="12" fillId="9" borderId="2020" applyBorder="0">
      <protection locked="0"/>
    </xf>
    <xf numFmtId="0" fontId="12" fillId="2" borderId="2026" applyNumberFormat="0" applyFont="0" applyAlignment="0" applyProtection="0"/>
    <xf numFmtId="0" fontId="12" fillId="9" borderId="2020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7" applyNumberFormat="0">
      <protection locked="0"/>
    </xf>
    <xf numFmtId="0" fontId="12" fillId="9" borderId="2020" applyBorder="0">
      <protection locked="0"/>
    </xf>
    <xf numFmtId="0" fontId="12" fillId="2" borderId="2026" applyNumberFormat="0" applyFont="0" applyAlignment="0" applyProtection="0"/>
    <xf numFmtId="0" fontId="12" fillId="9" borderId="2020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7" applyNumberFormat="0">
      <protection locked="0"/>
    </xf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9" borderId="2025" applyBorder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9" borderId="2027" applyNumberFormat="0">
      <protection locked="0"/>
    </xf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2026" applyNumberFormat="0" applyFont="0" applyAlignment="0" applyProtection="0"/>
    <xf numFmtId="0" fontId="12" fillId="2" borderId="1995" applyNumberFormat="0" applyFont="0" applyAlignment="0" applyProtection="0"/>
    <xf numFmtId="0" fontId="12" fillId="9" borderId="2028" applyNumberFormat="0">
      <protection locked="0"/>
    </xf>
    <xf numFmtId="0" fontId="12" fillId="9" borderId="2020" applyBorder="0">
      <protection locked="0"/>
    </xf>
    <xf numFmtId="0" fontId="12" fillId="2" borderId="1995" applyNumberFormat="0" applyFont="0" applyAlignment="0" applyProtection="0"/>
    <xf numFmtId="0" fontId="12" fillId="9" borderId="2020" applyBorder="0">
      <protection locked="0"/>
    </xf>
    <xf numFmtId="0" fontId="12" fillId="2" borderId="1995" applyNumberFormat="0" applyFont="0" applyAlignment="0" applyProtection="0"/>
    <xf numFmtId="0" fontId="12" fillId="2" borderId="1995" applyNumberFormat="0" applyFont="0" applyAlignment="0" applyProtection="0"/>
    <xf numFmtId="0" fontId="12" fillId="2" borderId="1995" applyNumberFormat="0" applyFont="0" applyAlignment="0" applyProtection="0"/>
    <xf numFmtId="0" fontId="12" fillId="2" borderId="1796" applyNumberFormat="0" applyFont="0" applyAlignment="0" applyProtection="0"/>
    <xf numFmtId="0" fontId="12" fillId="2" borderId="2012" applyNumberFormat="0" applyFont="0" applyAlignment="0" applyProtection="0"/>
    <xf numFmtId="0" fontId="12" fillId="9" borderId="2031" applyBorder="0">
      <protection locked="0"/>
    </xf>
    <xf numFmtId="0" fontId="12" fillId="9" borderId="2031" applyBorder="0">
      <protection locked="0"/>
    </xf>
    <xf numFmtId="0" fontId="12" fillId="9" borderId="2030" applyNumberFormat="0">
      <protection locked="0"/>
    </xf>
    <xf numFmtId="0" fontId="12" fillId="2" borderId="2012" applyNumberFormat="0" applyFont="0" applyAlignment="0" applyProtection="0"/>
    <xf numFmtId="0" fontId="12" fillId="9" borderId="2030" applyNumberFormat="0">
      <protection locked="0"/>
    </xf>
    <xf numFmtId="0" fontId="12" fillId="9" borderId="2029" applyBorder="0">
      <protection locked="0"/>
    </xf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9" borderId="2029" applyBorder="0">
      <protection locked="0"/>
    </xf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12" applyNumberFormat="0" applyFont="0" applyAlignment="0" applyProtection="0"/>
    <xf numFmtId="0" fontId="12" fillId="2" borderId="2032" applyNumberFormat="0" applyFont="0" applyAlignment="0" applyProtection="0"/>
    <xf numFmtId="0" fontId="12" fillId="2" borderId="2047" applyNumberFormat="0" applyFont="0" applyAlignment="0" applyProtection="0"/>
    <xf numFmtId="0" fontId="12" fillId="9" borderId="2107" applyBorder="0">
      <protection locked="0"/>
    </xf>
    <xf numFmtId="0" fontId="12" fillId="2" borderId="2047" applyNumberFormat="0" applyFont="0" applyAlignment="0" applyProtection="0"/>
    <xf numFmtId="0" fontId="12" fillId="2" borderId="2111" applyNumberFormat="0" applyFont="0" applyAlignment="0" applyProtection="0"/>
    <xf numFmtId="0" fontId="12" fillId="2" borderId="2047" applyNumberFormat="0" applyFont="0" applyAlignment="0" applyProtection="0"/>
    <xf numFmtId="0" fontId="12" fillId="2" borderId="2078" applyNumberFormat="0" applyFont="0" applyAlignment="0" applyProtection="0"/>
    <xf numFmtId="0" fontId="12" fillId="9" borderId="2049" applyNumberFormat="0">
      <protection locked="0"/>
    </xf>
    <xf numFmtId="0" fontId="12" fillId="9" borderId="2050" applyBorder="0">
      <protection locked="0"/>
    </xf>
    <xf numFmtId="0" fontId="12" fillId="9" borderId="2050" applyBorder="0">
      <protection locked="0"/>
    </xf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9" borderId="2049" applyNumberFormat="0">
      <protection locked="0"/>
    </xf>
    <xf numFmtId="0" fontId="12" fillId="9" borderId="2031" applyBorder="0">
      <protection locked="0"/>
    </xf>
    <xf numFmtId="0" fontId="12" fillId="2" borderId="2048" applyNumberFormat="0" applyFont="0" applyAlignment="0" applyProtection="0"/>
    <xf numFmtId="0" fontId="12" fillId="9" borderId="2031" applyBorder="0">
      <protection locked="0"/>
    </xf>
    <xf numFmtId="0" fontId="12" fillId="2" borderId="2048" applyNumberFormat="0" applyFont="0" applyAlignment="0" applyProtection="0"/>
    <xf numFmtId="0" fontId="12" fillId="9" borderId="2049" applyNumberFormat="0">
      <protection locked="0"/>
    </xf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9" borderId="2049" applyNumberFormat="0">
      <protection locked="0"/>
    </xf>
    <xf numFmtId="0" fontId="12" fillId="9" borderId="2031" applyBorder="0">
      <protection locked="0"/>
    </xf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9" borderId="2031" applyBorder="0">
      <protection locked="0"/>
    </xf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9" borderId="2031" applyBorder="0">
      <protection locked="0"/>
    </xf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2" borderId="2048" applyNumberFormat="0" applyFont="0" applyAlignment="0" applyProtection="0"/>
    <xf numFmtId="0" fontId="12" fillId="9" borderId="2031" applyBorder="0">
      <protection locked="0"/>
    </xf>
    <xf numFmtId="0" fontId="12" fillId="2" borderId="2048" applyNumberFormat="0" applyFont="0" applyAlignment="0" applyProtection="0"/>
    <xf numFmtId="0" fontId="12" fillId="2" borderId="2051" applyNumberFormat="0" applyFont="0" applyAlignment="0" applyProtection="0"/>
    <xf numFmtId="0" fontId="12" fillId="2" borderId="2053" applyNumberFormat="0" applyFont="0" applyAlignment="0" applyProtection="0"/>
    <xf numFmtId="0" fontId="12" fillId="9" borderId="2052" applyBorder="0">
      <protection locked="0"/>
    </xf>
    <xf numFmtId="0" fontId="12" fillId="2" borderId="2048" applyNumberFormat="0" applyFont="0" applyAlignment="0" applyProtection="0"/>
    <xf numFmtId="0" fontId="12" fillId="9" borderId="2052" applyBorder="0">
      <protection locked="0"/>
    </xf>
    <xf numFmtId="0" fontId="12" fillId="2" borderId="2053" applyNumberFormat="0" applyFont="0" applyAlignment="0" applyProtection="0"/>
    <xf numFmtId="0" fontId="12" fillId="2" borderId="2053" applyNumberFormat="0" applyFont="0" applyAlignment="0" applyProtection="0"/>
    <xf numFmtId="0" fontId="12" fillId="2" borderId="2053" applyNumberFormat="0" applyFont="0" applyAlignment="0" applyProtection="0"/>
    <xf numFmtId="0" fontId="12" fillId="2" borderId="2053" applyNumberFormat="0" applyFont="0" applyAlignment="0" applyProtection="0"/>
    <xf numFmtId="0" fontId="12" fillId="2" borderId="2053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9" borderId="2056" applyBorder="0">
      <protection locked="0"/>
    </xf>
    <xf numFmtId="0" fontId="12" fillId="9" borderId="2055" applyNumberFormat="0">
      <protection locked="0"/>
    </xf>
    <xf numFmtId="0" fontId="12" fillId="2" borderId="2054" applyNumberFormat="0" applyFont="0" applyAlignment="0" applyProtection="0"/>
    <xf numFmtId="0" fontId="12" fillId="9" borderId="2055" applyNumberFormat="0">
      <protection locked="0"/>
    </xf>
    <xf numFmtId="0" fontId="12" fillId="9" borderId="2039" applyBorder="0">
      <protection locked="0"/>
    </xf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2" borderId="2054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4" applyNumberFormat="0" applyFont="0" applyAlignment="0" applyProtection="0"/>
    <xf numFmtId="0" fontId="12" fillId="9" borderId="2055" applyNumberFormat="0">
      <protection locked="0"/>
    </xf>
    <xf numFmtId="0" fontId="12" fillId="9" borderId="2039" applyBorder="0">
      <protection locked="0"/>
    </xf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4" applyNumberFormat="0" applyFont="0" applyAlignment="0" applyProtection="0"/>
    <xf numFmtId="0" fontId="12" fillId="9" borderId="2039" applyBorder="0">
      <protection locked="0"/>
    </xf>
    <xf numFmtId="0" fontId="12" fillId="2" borderId="2054" applyNumberFormat="0" applyFont="0" applyAlignment="0" applyProtection="0"/>
    <xf numFmtId="0" fontId="12" fillId="2" borderId="2054" applyNumberFormat="0" applyFont="0" applyAlignment="0" applyProtection="0"/>
    <xf numFmtId="0" fontId="12" fillId="2" borderId="2054" applyNumberFormat="0" applyFont="0" applyAlignment="0" applyProtection="0"/>
    <xf numFmtId="0" fontId="12" fillId="2" borderId="2054" applyNumberFormat="0" applyFont="0" applyAlignment="0" applyProtection="0"/>
    <xf numFmtId="0" fontId="12" fillId="9" borderId="2055" applyNumberFormat="0">
      <protection locked="0"/>
    </xf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9" borderId="2055" applyNumberFormat="0">
      <protection locked="0"/>
    </xf>
    <xf numFmtId="0" fontId="12" fillId="9" borderId="2056" applyBorder="0">
      <protection locked="0"/>
    </xf>
    <xf numFmtId="0" fontId="12" fillId="9" borderId="2055" applyNumberFormat="0">
      <protection locked="0"/>
    </xf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9" borderId="2055" applyNumberFormat="0">
      <protection locked="0"/>
    </xf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9" borderId="2055" applyNumberFormat="0">
      <protection locked="0"/>
    </xf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9" borderId="2056" applyBorder="0">
      <protection locked="0"/>
    </xf>
    <xf numFmtId="0" fontId="12" fillId="9" borderId="2056" applyBorder="0">
      <protection locked="0"/>
    </xf>
    <xf numFmtId="0" fontId="12" fillId="2" borderId="2057" applyNumberFormat="0" applyFont="0" applyAlignment="0" applyProtection="0"/>
    <xf numFmtId="0" fontId="12" fillId="2" borderId="2057" applyNumberFormat="0" applyFont="0" applyAlignment="0" applyProtection="0"/>
    <xf numFmtId="0" fontId="12" fillId="2" borderId="2059" applyNumberFormat="0" applyFont="0" applyAlignment="0" applyProtection="0"/>
    <xf numFmtId="0" fontId="12" fillId="9" borderId="2060" applyNumberFormat="0">
      <protection locked="0"/>
    </xf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78" applyNumberFormat="0" applyFont="0" applyAlignment="0" applyProtection="0"/>
    <xf numFmtId="0" fontId="12" fillId="2" borderId="2059" applyNumberFormat="0" applyFont="0" applyAlignment="0" applyProtection="0"/>
    <xf numFmtId="0" fontId="12" fillId="9" borderId="2060" applyNumberFormat="0">
      <protection locked="0"/>
    </xf>
    <xf numFmtId="0" fontId="12" fillId="2" borderId="2059" applyNumberFormat="0" applyFont="0" applyAlignment="0" applyProtection="0"/>
    <xf numFmtId="0" fontId="12" fillId="2" borderId="2053" applyNumberFormat="0" applyFont="0" applyAlignment="0" applyProtection="0"/>
    <xf numFmtId="0" fontId="12" fillId="2" borderId="2053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3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9" borderId="2060" applyNumberFormat="0">
      <protection locked="0"/>
    </xf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9" borderId="2060" applyNumberFormat="0">
      <protection locked="0"/>
    </xf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9" borderId="2060" applyNumberFormat="0">
      <protection locked="0"/>
    </xf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9" borderId="2056" applyBorder="0">
      <protection locked="0"/>
    </xf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61" applyNumberFormat="0" applyFont="0" applyAlignment="0" applyProtection="0"/>
    <xf numFmtId="0" fontId="12" fillId="9" borderId="2060" applyNumberFormat="0">
      <protection locked="0"/>
    </xf>
    <xf numFmtId="0" fontId="12" fillId="9" borderId="2058" applyBorder="0">
      <protection locked="0"/>
    </xf>
    <xf numFmtId="0" fontId="12" fillId="2" borderId="2061" applyNumberFormat="0" applyFont="0" applyAlignment="0" applyProtection="0"/>
    <xf numFmtId="0" fontId="12" fillId="9" borderId="2058" applyBorder="0">
      <protection locked="0"/>
    </xf>
    <xf numFmtId="0" fontId="12" fillId="2" borderId="2061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9" borderId="2060" applyNumberFormat="0">
      <protection locked="0"/>
    </xf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59" applyNumberFormat="0" applyFont="0" applyAlignment="0" applyProtection="0"/>
    <xf numFmtId="0" fontId="12" fillId="2" borderId="2062" applyNumberFormat="0" applyFont="0" applyAlignment="0" applyProtection="0"/>
    <xf numFmtId="0" fontId="12" fillId="9" borderId="2063" applyNumberFormat="0">
      <protection locked="0"/>
    </xf>
    <xf numFmtId="0" fontId="12" fillId="9" borderId="2058" applyBorder="0">
      <protection locked="0"/>
    </xf>
    <xf numFmtId="0" fontId="12" fillId="2" borderId="2062" applyNumberFormat="0" applyFont="0" applyAlignment="0" applyProtection="0"/>
    <xf numFmtId="0" fontId="12" fillId="9" borderId="2058" applyBorder="0">
      <protection locked="0"/>
    </xf>
    <xf numFmtId="0" fontId="12" fillId="2" borderId="2062" applyNumberFormat="0" applyFont="0" applyAlignment="0" applyProtection="0"/>
    <xf numFmtId="0" fontId="12" fillId="2" borderId="2062" applyNumberFormat="0" applyFont="0" applyAlignment="0" applyProtection="0"/>
    <xf numFmtId="0" fontId="12" fillId="2" borderId="2062" applyNumberFormat="0" applyFont="0" applyAlignment="0" applyProtection="0"/>
    <xf numFmtId="0" fontId="12" fillId="2" borderId="2064" applyNumberFormat="0" applyFont="0" applyAlignment="0" applyProtection="0"/>
    <xf numFmtId="0" fontId="12" fillId="9" borderId="2066" applyNumberFormat="0">
      <protection locked="0"/>
    </xf>
    <xf numFmtId="0" fontId="12" fillId="9" borderId="2067" applyBorder="0">
      <protection locked="0"/>
    </xf>
    <xf numFmtId="0" fontId="12" fillId="9" borderId="2067" applyBorder="0">
      <protection locked="0"/>
    </xf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9" borderId="2066" applyNumberFormat="0">
      <protection locked="0"/>
    </xf>
    <xf numFmtId="0" fontId="12" fillId="9" borderId="2058" applyBorder="0">
      <protection locked="0"/>
    </xf>
    <xf numFmtId="0" fontId="12" fillId="2" borderId="2065" applyNumberFormat="0" applyFont="0" applyAlignment="0" applyProtection="0"/>
    <xf numFmtId="0" fontId="12" fillId="9" borderId="2058" applyBorder="0">
      <protection locked="0"/>
    </xf>
    <xf numFmtId="0" fontId="12" fillId="2" borderId="2065" applyNumberFormat="0" applyFont="0" applyAlignment="0" applyProtection="0"/>
    <xf numFmtId="0" fontId="12" fillId="9" borderId="2066" applyNumberFormat="0">
      <protection locked="0"/>
    </xf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9" borderId="2066" applyNumberFormat="0">
      <protection locked="0"/>
    </xf>
    <xf numFmtId="0" fontId="12" fillId="9" borderId="2067" applyBorder="0">
      <protection locked="0"/>
    </xf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9" borderId="2067" applyBorder="0">
      <protection locked="0"/>
    </xf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9" borderId="2067" applyBorder="0">
      <protection locked="0"/>
    </xf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9" borderId="2067" applyBorder="0">
      <protection locked="0"/>
    </xf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9" borderId="2067" applyBorder="0">
      <protection locked="0"/>
    </xf>
    <xf numFmtId="0" fontId="12" fillId="2" borderId="2065" applyNumberFormat="0" applyFont="0" applyAlignment="0" applyProtection="0"/>
    <xf numFmtId="0" fontId="12" fillId="9" borderId="2067" applyBorder="0">
      <protection locked="0"/>
    </xf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73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9" borderId="2067" applyBorder="0">
      <protection locked="0"/>
    </xf>
    <xf numFmtId="0" fontId="12" fillId="9" borderId="2068" applyNumberFormat="0">
      <protection locked="0"/>
    </xf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9" borderId="2068" applyNumberFormat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2" borderId="2061" applyNumberFormat="0" applyFont="0" applyAlignment="0" applyProtection="0"/>
    <xf numFmtId="0" fontId="12" fillId="2" borderId="2065" applyNumberFormat="0" applyFont="0" applyAlignment="0" applyProtection="0"/>
    <xf numFmtId="0" fontId="12" fillId="2" borderId="2065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5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9" borderId="2067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9" applyNumberFormat="0" applyFont="0" applyAlignment="0" applyProtection="0"/>
    <xf numFmtId="0" fontId="12" fillId="9" borderId="2068" applyNumberFormat="0">
      <protection locked="0"/>
    </xf>
    <xf numFmtId="0" fontId="12" fillId="9" borderId="2067" applyBorder="0">
      <protection locked="0"/>
    </xf>
    <xf numFmtId="0" fontId="12" fillId="2" borderId="2069" applyNumberFormat="0" applyFont="0" applyAlignment="0" applyProtection="0"/>
    <xf numFmtId="0" fontId="12" fillId="9" borderId="2067" applyBorder="0">
      <protection locked="0"/>
    </xf>
    <xf numFmtId="0" fontId="12" fillId="2" borderId="2069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70" applyNumberFormat="0" applyFont="0" applyAlignment="0" applyProtection="0"/>
    <xf numFmtId="0" fontId="12" fillId="9" borderId="2072" applyNumberFormat="0">
      <protection locked="0"/>
    </xf>
    <xf numFmtId="0" fontId="12" fillId="9" borderId="2071" applyBorder="0">
      <protection locked="0"/>
    </xf>
    <xf numFmtId="0" fontId="12" fillId="2" borderId="2070" applyNumberFormat="0" applyFont="0" applyAlignment="0" applyProtection="0"/>
    <xf numFmtId="0" fontId="12" fillId="9" borderId="2071" applyBorder="0">
      <protection locked="0"/>
    </xf>
    <xf numFmtId="0" fontId="12" fillId="2" borderId="2070" applyNumberFormat="0" applyFont="0" applyAlignment="0" applyProtection="0"/>
    <xf numFmtId="0" fontId="12" fillId="2" borderId="2070" applyNumberFormat="0" applyFont="0" applyAlignment="0" applyProtection="0"/>
    <xf numFmtId="0" fontId="12" fillId="2" borderId="2070" applyNumberFormat="0" applyFont="0" applyAlignment="0" applyProtection="0"/>
    <xf numFmtId="0" fontId="12" fillId="9" borderId="2074" applyBorder="0">
      <protection locked="0"/>
    </xf>
    <xf numFmtId="0" fontId="12" fillId="2" borderId="2070" applyNumberFormat="0" applyFont="0" applyAlignment="0" applyProtection="0"/>
    <xf numFmtId="0" fontId="12" fillId="2" borderId="2061" applyNumberFormat="0" applyFont="0" applyAlignment="0" applyProtection="0"/>
    <xf numFmtId="0" fontId="12" fillId="9" borderId="2071" applyBorder="0">
      <protection locked="0"/>
    </xf>
    <xf numFmtId="0" fontId="12" fillId="9" borderId="2071" applyBorder="0">
      <protection locked="0"/>
    </xf>
    <xf numFmtId="0" fontId="12" fillId="9" borderId="2068" applyNumberFormat="0">
      <protection locked="0"/>
    </xf>
    <xf numFmtId="0" fontId="12" fillId="2" borderId="2061" applyNumberFormat="0" applyFont="0" applyAlignment="0" applyProtection="0"/>
    <xf numFmtId="0" fontId="12" fillId="9" borderId="2068" applyNumberFormat="0">
      <protection locked="0"/>
    </xf>
    <xf numFmtId="0" fontId="12" fillId="9" borderId="2071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9" borderId="2071" applyBorder="0">
      <protection locked="0"/>
    </xf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61" applyNumberFormat="0" applyFont="0" applyAlignment="0" applyProtection="0"/>
    <xf numFmtId="0" fontId="12" fillId="2" borderId="2073" applyNumberFormat="0" applyFont="0" applyAlignment="0" applyProtection="0"/>
    <xf numFmtId="0" fontId="12" fillId="2" borderId="2073" applyNumberFormat="0" applyFont="0" applyAlignment="0" applyProtection="0"/>
    <xf numFmtId="0" fontId="12" fillId="2" borderId="2108" applyNumberFormat="0" applyFont="0" applyAlignment="0" applyProtection="0"/>
    <xf numFmtId="0" fontId="12" fillId="2" borderId="2082" applyNumberFormat="0" applyFont="0" applyAlignment="0" applyProtection="0"/>
    <xf numFmtId="0" fontId="12" fillId="9" borderId="2087" applyNumberFormat="0">
      <protection locked="0"/>
    </xf>
    <xf numFmtId="0" fontId="12" fillId="9" borderId="2077" applyBorder="0">
      <protection locked="0"/>
    </xf>
    <xf numFmtId="0" fontId="12" fillId="9" borderId="2077" applyBorder="0">
      <protection locked="0"/>
    </xf>
    <xf numFmtId="0" fontId="12" fillId="2" borderId="2086" applyNumberFormat="0" applyFont="0" applyAlignment="0" applyProtection="0"/>
    <xf numFmtId="0" fontId="12" fillId="2" borderId="2083" applyNumberFormat="0" applyFont="0" applyAlignment="0" applyProtection="0"/>
    <xf numFmtId="0" fontId="12" fillId="9" borderId="2084" applyNumberFormat="0">
      <protection locked="0"/>
    </xf>
    <xf numFmtId="0" fontId="12" fillId="9" borderId="2076" applyBorder="0">
      <protection locked="0"/>
    </xf>
    <xf numFmtId="0" fontId="12" fillId="2" borderId="2083" applyNumberFormat="0" applyFont="0" applyAlignment="0" applyProtection="0"/>
    <xf numFmtId="0" fontId="12" fillId="9" borderId="2076" applyBorder="0">
      <protection locked="0"/>
    </xf>
    <xf numFmtId="0" fontId="12" fillId="2" borderId="2083" applyNumberFormat="0" applyFont="0" applyAlignment="0" applyProtection="0"/>
    <xf numFmtId="0" fontId="12" fillId="9" borderId="2087" applyNumberFormat="0">
      <protection locked="0"/>
    </xf>
    <xf numFmtId="0" fontId="12" fillId="2" borderId="2083" applyNumberFormat="0" applyFont="0" applyAlignment="0" applyProtection="0"/>
    <xf numFmtId="0" fontId="12" fillId="2" borderId="2083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3" applyNumberFormat="0" applyFont="0" applyAlignment="0" applyProtection="0"/>
    <xf numFmtId="0" fontId="12" fillId="9" borderId="2087" applyNumberFormat="0">
      <protection locked="0"/>
    </xf>
    <xf numFmtId="0" fontId="12" fillId="9" borderId="2085" applyBorder="0">
      <protection locked="0"/>
    </xf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9" borderId="2085" applyBorder="0">
      <protection locked="0"/>
    </xf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9" borderId="2076" applyBorder="0">
      <protection locked="0"/>
    </xf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9" borderId="2076" applyBorder="0">
      <protection locked="0"/>
    </xf>
    <xf numFmtId="0" fontId="12" fillId="2" borderId="2086" applyNumberFormat="0" applyFont="0" applyAlignment="0" applyProtection="0"/>
    <xf numFmtId="0" fontId="12" fillId="2" borderId="2086" applyNumberFormat="0" applyFont="0" applyAlignment="0" applyProtection="0"/>
    <xf numFmtId="0" fontId="12" fillId="2" borderId="2089" applyNumberFormat="0" applyFont="0" applyAlignment="0" applyProtection="0"/>
    <xf numFmtId="0" fontId="12" fillId="9" borderId="2088" applyBorder="0">
      <protection locked="0"/>
    </xf>
    <xf numFmtId="0" fontId="12" fillId="2" borderId="2086" applyNumberFormat="0" applyFont="0" applyAlignment="0" applyProtection="0"/>
    <xf numFmtId="0" fontId="12" fillId="9" borderId="2088" applyBorder="0">
      <protection locked="0"/>
    </xf>
    <xf numFmtId="0" fontId="12" fillId="2" borderId="2089" applyNumberFormat="0" applyFont="0" applyAlignment="0" applyProtection="0"/>
    <xf numFmtId="0" fontId="12" fillId="2" borderId="2089" applyNumberFormat="0" applyFont="0" applyAlignment="0" applyProtection="0"/>
    <xf numFmtId="0" fontId="12" fillId="2" borderId="2089" applyNumberFormat="0" applyFont="0" applyAlignment="0" applyProtection="0"/>
    <xf numFmtId="0" fontId="12" fillId="2" borderId="2089" applyNumberFormat="0" applyFont="0" applyAlignment="0" applyProtection="0"/>
    <xf numFmtId="0" fontId="12" fillId="2" borderId="2089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9" borderId="2076" applyBorder="0">
      <protection locked="0"/>
    </xf>
    <xf numFmtId="0" fontId="12" fillId="9" borderId="2091" applyNumberFormat="0">
      <protection locked="0"/>
    </xf>
    <xf numFmtId="0" fontId="12" fillId="2" borderId="2090" applyNumberFormat="0" applyFont="0" applyAlignment="0" applyProtection="0"/>
    <xf numFmtId="0" fontId="12" fillId="9" borderId="2091" applyNumberFormat="0">
      <protection locked="0"/>
    </xf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3" applyNumberFormat="0" applyFont="0" applyAlignment="0" applyProtection="0"/>
    <xf numFmtId="0" fontId="12" fillId="9" borderId="2091" applyNumberFormat="0">
      <protection locked="0"/>
    </xf>
    <xf numFmtId="0" fontId="12" fillId="9" borderId="2092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3" applyNumberFormat="0" applyFont="0" applyAlignment="0" applyProtection="0"/>
    <xf numFmtId="0" fontId="12" fillId="9" borderId="2092" applyBorder="0">
      <protection locked="0"/>
    </xf>
    <xf numFmtId="0" fontId="12" fillId="2" borderId="2093" applyNumberFormat="0" applyFont="0" applyAlignment="0" applyProtection="0"/>
    <xf numFmtId="0" fontId="12" fillId="2" borderId="2093" applyNumberFormat="0" applyFont="0" applyAlignment="0" applyProtection="0"/>
    <xf numFmtId="0" fontId="12" fillId="2" borderId="2093" applyNumberFormat="0" applyFont="0" applyAlignment="0" applyProtection="0"/>
    <xf numFmtId="0" fontId="12" fillId="2" borderId="2093" applyNumberFormat="0" applyFont="0" applyAlignment="0" applyProtection="0"/>
    <xf numFmtId="0" fontId="12" fillId="9" borderId="2091" applyNumberFormat="0">
      <protection locked="0"/>
    </xf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6" applyNumberFormat="0" applyFont="0" applyAlignment="0" applyProtection="0"/>
    <xf numFmtId="0" fontId="12" fillId="2" borderId="2094" applyNumberFormat="0" applyFont="0" applyAlignment="0" applyProtection="0"/>
    <xf numFmtId="0" fontId="12" fillId="9" borderId="2095" applyNumberFormat="0">
      <protection locked="0"/>
    </xf>
    <xf numFmtId="0" fontId="12" fillId="9" borderId="2092" applyBorder="0">
      <protection locked="0"/>
    </xf>
    <xf numFmtId="0" fontId="12" fillId="9" borderId="2097" applyNumberFormat="0">
      <protection locked="0"/>
    </xf>
    <xf numFmtId="0" fontId="12" fillId="2" borderId="2094" applyNumberFormat="0" applyFont="0" applyAlignment="0" applyProtection="0"/>
    <xf numFmtId="0" fontId="12" fillId="9" borderId="2092" applyBorder="0">
      <protection locked="0"/>
    </xf>
    <xf numFmtId="0" fontId="12" fillId="2" borderId="2094" applyNumberFormat="0" applyFont="0" applyAlignment="0" applyProtection="0"/>
    <xf numFmtId="0" fontId="12" fillId="2" borderId="2094" applyNumberFormat="0" applyFont="0" applyAlignment="0" applyProtection="0"/>
    <xf numFmtId="0" fontId="12" fillId="2" borderId="2094" applyNumberFormat="0" applyFont="0" applyAlignment="0" applyProtection="0"/>
    <xf numFmtId="0" fontId="12" fillId="2" borderId="2094" applyNumberFormat="0" applyFont="0" applyAlignment="0" applyProtection="0"/>
    <xf numFmtId="0" fontId="12" fillId="2" borderId="2096" applyNumberFormat="0" applyFont="0" applyAlignment="0" applyProtection="0"/>
    <xf numFmtId="0" fontId="12" fillId="9" borderId="2097" applyNumberFormat="0">
      <protection locked="0"/>
    </xf>
    <xf numFmtId="0" fontId="12" fillId="9" borderId="2092" applyBorder="0">
      <protection locked="0"/>
    </xf>
    <xf numFmtId="0" fontId="12" fillId="2" borderId="2096" applyNumberFormat="0" applyFont="0" applyAlignment="0" applyProtection="0"/>
    <xf numFmtId="0" fontId="12" fillId="9" borderId="2092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097" applyNumberFormat="0">
      <protection locked="0"/>
    </xf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098" applyBorder="0">
      <protection locked="0"/>
    </xf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9" applyNumberFormat="0" applyFont="0" applyAlignment="0" applyProtection="0"/>
    <xf numFmtId="0" fontId="12" fillId="9" borderId="2100" applyNumberFormat="0">
      <protection locked="0"/>
    </xf>
    <xf numFmtId="0" fontId="12" fillId="9" borderId="2092" applyBorder="0">
      <protection locked="0"/>
    </xf>
    <xf numFmtId="0" fontId="12" fillId="2" borderId="2099" applyNumberFormat="0" applyFont="0" applyAlignment="0" applyProtection="0"/>
    <xf numFmtId="0" fontId="12" fillId="9" borderId="2092" applyBorder="0">
      <protection locked="0"/>
    </xf>
    <xf numFmtId="0" fontId="12" fillId="2" borderId="2099" applyNumberFormat="0" applyFont="0" applyAlignment="0" applyProtection="0"/>
    <xf numFmtId="0" fontId="12" fillId="2" borderId="2099" applyNumberFormat="0" applyFont="0" applyAlignment="0" applyProtection="0"/>
    <xf numFmtId="0" fontId="12" fillId="2" borderId="2099" applyNumberFormat="0" applyFont="0" applyAlignment="0" applyProtection="0"/>
    <xf numFmtId="0" fontId="12" fillId="2" borderId="2099" applyNumberFormat="0" applyFont="0" applyAlignment="0" applyProtection="0"/>
    <xf numFmtId="0" fontId="12" fillId="9" borderId="2100" applyNumberFormat="0">
      <protection locked="0"/>
    </xf>
    <xf numFmtId="0" fontId="12" fillId="2" borderId="2099" applyNumberFormat="0" applyFont="0" applyAlignment="0" applyProtection="0"/>
    <xf numFmtId="0" fontId="12" fillId="2" borderId="2089" applyNumberFormat="0" applyFont="0" applyAlignment="0" applyProtection="0"/>
    <xf numFmtId="0" fontId="12" fillId="2" borderId="2089" applyNumberFormat="0" applyFont="0" applyAlignment="0" applyProtection="0"/>
    <xf numFmtId="0" fontId="12" fillId="2" borderId="2099" applyNumberFormat="0" applyFont="0" applyAlignment="0" applyProtection="0"/>
    <xf numFmtId="0" fontId="12" fillId="2" borderId="2099" applyNumberFormat="0" applyFont="0" applyAlignment="0" applyProtection="0"/>
    <xf numFmtId="0" fontId="12" fillId="2" borderId="2089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097" applyNumberFormat="0">
      <protection locked="0"/>
    </xf>
    <xf numFmtId="0" fontId="12" fillId="9" borderId="2092" applyBorder="0">
      <protection locked="0"/>
    </xf>
    <xf numFmtId="0" fontId="12" fillId="2" borderId="2096" applyNumberFormat="0" applyFont="0" applyAlignment="0" applyProtection="0"/>
    <xf numFmtId="0" fontId="12" fillId="9" borderId="2092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097" applyNumberFormat="0">
      <protection locked="0"/>
    </xf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097" applyNumberFormat="0">
      <protection locked="0"/>
    </xf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100" applyNumberFormat="0">
      <protection locked="0"/>
    </xf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9" borderId="2098" applyBorder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9" borderId="2100" applyNumberFormat="0">
      <protection locked="0"/>
    </xf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096" applyNumberFormat="0" applyFont="0" applyAlignment="0" applyProtection="0"/>
    <xf numFmtId="0" fontId="12" fillId="2" borderId="2101" applyNumberFormat="0" applyFont="0" applyAlignment="0" applyProtection="0"/>
    <xf numFmtId="0" fontId="12" fillId="9" borderId="2102" applyNumberFormat="0">
      <protection locked="0"/>
    </xf>
    <xf numFmtId="0" fontId="12" fillId="9" borderId="2098" applyBorder="0">
      <protection locked="0"/>
    </xf>
    <xf numFmtId="0" fontId="12" fillId="2" borderId="2101" applyNumberFormat="0" applyFont="0" applyAlignment="0" applyProtection="0"/>
    <xf numFmtId="0" fontId="12" fillId="9" borderId="2098" applyBorder="0">
      <protection locked="0"/>
    </xf>
    <xf numFmtId="0" fontId="12" fillId="2" borderId="2101" applyNumberFormat="0" applyFont="0" applyAlignment="0" applyProtection="0"/>
    <xf numFmtId="0" fontId="12" fillId="2" borderId="2101" applyNumberFormat="0" applyFont="0" applyAlignment="0" applyProtection="0"/>
    <xf numFmtId="0" fontId="12" fillId="2" borderId="2101" applyNumberFormat="0" applyFont="0" applyAlignment="0" applyProtection="0"/>
    <xf numFmtId="0" fontId="12" fillId="2" borderId="2101" applyNumberFormat="0" applyFont="0" applyAlignment="0" applyProtection="0"/>
    <xf numFmtId="0" fontId="12" fillId="9" borderId="2091" applyNumberFormat="0">
      <protection locked="0"/>
    </xf>
    <xf numFmtId="0" fontId="12" fillId="9" borderId="2076" applyBorder="0">
      <protection locked="0"/>
    </xf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9" borderId="2091" applyNumberFormat="0">
      <protection locked="0"/>
    </xf>
    <xf numFmtId="0" fontId="12" fillId="9" borderId="2098" applyBorder="0">
      <protection locked="0"/>
    </xf>
    <xf numFmtId="0" fontId="12" fillId="2" borderId="2090" applyNumberFormat="0" applyFont="0" applyAlignment="0" applyProtection="0"/>
    <xf numFmtId="0" fontId="12" fillId="9" borderId="2098" applyBorder="0">
      <protection locked="0"/>
    </xf>
    <xf numFmtId="0" fontId="12" fillId="2" borderId="2090" applyNumberFormat="0" applyFont="0" applyAlignment="0" applyProtection="0"/>
    <xf numFmtId="0" fontId="12" fillId="9" borderId="2091" applyNumberFormat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111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9" borderId="2091" applyNumberFormat="0">
      <protection locked="0"/>
    </xf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9" borderId="2076" applyBorder="0">
      <protection locked="0"/>
    </xf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9" borderId="2098" applyBorder="0">
      <protection locked="0"/>
    </xf>
    <xf numFmtId="0" fontId="12" fillId="9" borderId="2104" applyNumberFormat="0">
      <protection locked="0"/>
    </xf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9" borderId="2104" applyNumberFormat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2" borderId="2103" applyNumberFormat="0" applyFont="0" applyAlignment="0" applyProtection="0"/>
    <xf numFmtId="0" fontId="12" fillId="2" borderId="2090" applyNumberFormat="0" applyFont="0" applyAlignment="0" applyProtection="0"/>
    <xf numFmtId="0" fontId="12" fillId="2" borderId="2090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090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9" borderId="2104" applyNumberFormat="0">
      <protection locked="0"/>
    </xf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9" borderId="2098" applyBorder="0">
      <protection locked="0"/>
    </xf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3" applyNumberFormat="0" applyFont="0" applyAlignment="0" applyProtection="0"/>
    <xf numFmtId="0" fontId="12" fillId="2" borderId="2108" applyNumberFormat="0" applyFont="0" applyAlignment="0" applyProtection="0"/>
    <xf numFmtId="0" fontId="12" fillId="2" borderId="2103" applyNumberFormat="0" applyFont="0" applyAlignment="0" applyProtection="0"/>
    <xf numFmtId="0" fontId="12" fillId="2" borderId="2105" applyNumberFormat="0" applyFont="0" applyAlignment="0" applyProtection="0"/>
    <xf numFmtId="0" fontId="12" fillId="9" borderId="2098" applyBorder="0">
      <protection locked="0"/>
    </xf>
    <xf numFmtId="0" fontId="12" fillId="9" borderId="2098" applyBorder="0">
      <protection locked="0"/>
    </xf>
    <xf numFmtId="0" fontId="12" fillId="9" borderId="2106" applyNumberFormat="0">
      <protection locked="0"/>
    </xf>
    <xf numFmtId="0" fontId="12" fillId="2" borderId="2105" applyNumberFormat="0" applyFont="0" applyAlignment="0" applyProtection="0"/>
    <xf numFmtId="0" fontId="12" fillId="9" borderId="2106" applyNumberFormat="0">
      <protection locked="0"/>
    </xf>
    <xf numFmtId="0" fontId="12" fillId="9" borderId="2098" applyBorder="0">
      <protection locked="0"/>
    </xf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9" borderId="2098" applyBorder="0">
      <protection locked="0"/>
    </xf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2" borderId="2105" applyNumberFormat="0" applyFont="0" applyAlignment="0" applyProtection="0"/>
    <xf numFmtId="0" fontId="12" fillId="9" borderId="2109" applyNumberFormat="0">
      <protection locked="0"/>
    </xf>
    <xf numFmtId="0" fontId="12" fillId="2" borderId="2115" applyNumberFormat="0" applyFont="0" applyAlignment="0" applyProtection="0"/>
    <xf numFmtId="0" fontId="12" fillId="9" borderId="2118" applyNumberFormat="0">
      <protection locked="0"/>
    </xf>
    <xf numFmtId="0" fontId="12" fillId="9" borderId="2110" applyBorder="0">
      <protection locked="0"/>
    </xf>
    <xf numFmtId="0" fontId="12" fillId="9" borderId="2110" applyBorder="0">
      <protection locked="0"/>
    </xf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9" borderId="2118" applyNumberFormat="0">
      <protection locked="0"/>
    </xf>
    <xf numFmtId="0" fontId="12" fillId="9" borderId="2117" applyBorder="0">
      <protection locked="0"/>
    </xf>
    <xf numFmtId="0" fontId="12" fillId="2" borderId="2116" applyNumberFormat="0" applyFont="0" applyAlignment="0" applyProtection="0"/>
    <xf numFmtId="0" fontId="12" fillId="9" borderId="2117" applyBorder="0">
      <protection locked="0"/>
    </xf>
    <xf numFmtId="0" fontId="12" fillId="2" borderId="2116" applyNumberFormat="0" applyFont="0" applyAlignment="0" applyProtection="0"/>
    <xf numFmtId="0" fontId="12" fillId="9" borderId="2118" applyNumberFormat="0">
      <protection locked="0"/>
    </xf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9" borderId="2118" applyNumberFormat="0">
      <protection locked="0"/>
    </xf>
    <xf numFmtId="0" fontId="12" fillId="9" borderId="2117" applyBorder="0">
      <protection locked="0"/>
    </xf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9" borderId="2117" applyBorder="0">
      <protection locked="0"/>
    </xf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9" borderId="2117" applyBorder="0">
      <protection locked="0"/>
    </xf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2" borderId="2116" applyNumberFormat="0" applyFont="0" applyAlignment="0" applyProtection="0"/>
    <xf numFmtId="0" fontId="12" fillId="9" borderId="2117" applyBorder="0">
      <protection locked="0"/>
    </xf>
    <xf numFmtId="0" fontId="12" fillId="2" borderId="2116" applyNumberFormat="0" applyFont="0" applyAlignment="0" applyProtection="0"/>
    <xf numFmtId="0" fontId="12" fillId="2" borderId="2119" applyNumberFormat="0" applyFont="0" applyAlignment="0" applyProtection="0"/>
    <xf numFmtId="0" fontId="12" fillId="2" borderId="2121" applyNumberFormat="0" applyFont="0" applyAlignment="0" applyProtection="0"/>
    <xf numFmtId="0" fontId="12" fillId="9" borderId="2120" applyBorder="0">
      <protection locked="0"/>
    </xf>
    <xf numFmtId="0" fontId="12" fillId="2" borderId="2116" applyNumberFormat="0" applyFont="0" applyAlignment="0" applyProtection="0"/>
    <xf numFmtId="0" fontId="12" fillId="9" borderId="2120" applyBorder="0">
      <protection locked="0"/>
    </xf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9" borderId="2124" applyBorder="0">
      <protection locked="0"/>
    </xf>
    <xf numFmtId="0" fontId="12" fillId="9" borderId="2125" applyNumberFormat="0">
      <protection locked="0"/>
    </xf>
    <xf numFmtId="0" fontId="12" fillId="2" borderId="2123" applyNumberFormat="0" applyFont="0" applyAlignment="0" applyProtection="0"/>
    <xf numFmtId="0" fontId="12" fillId="9" borderId="2125" applyNumberFormat="0">
      <protection locked="0"/>
    </xf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1" applyNumberFormat="0" applyFont="0" applyAlignment="0" applyProtection="0"/>
    <xf numFmtId="0" fontId="12" fillId="9" borderId="2125" applyNumberFormat="0">
      <protection locked="0"/>
    </xf>
    <xf numFmtId="0" fontId="12" fillId="9" borderId="2122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1" applyNumberFormat="0" applyFont="0" applyAlignment="0" applyProtection="0"/>
    <xf numFmtId="0" fontId="12" fillId="9" borderId="2122" applyBorder="0">
      <protection locked="0"/>
    </xf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9" borderId="2125" applyNumberFormat="0">
      <protection locked="0"/>
    </xf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9" borderId="2125" applyNumberFormat="0">
      <protection locked="0"/>
    </xf>
    <xf numFmtId="0" fontId="12" fillId="9" borderId="2124" applyBorder="0">
      <protection locked="0"/>
    </xf>
    <xf numFmtId="0" fontId="12" fillId="9" borderId="2125" applyNumberFormat="0">
      <protection locked="0"/>
    </xf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9" borderId="2125" applyNumberFormat="0">
      <protection locked="0"/>
    </xf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9" borderId="2125" applyNumberFormat="0">
      <protection locked="0"/>
    </xf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9" borderId="2124" applyBorder="0">
      <protection locked="0"/>
    </xf>
    <xf numFmtId="0" fontId="12" fillId="9" borderId="2124" applyBorder="0">
      <protection locked="0"/>
    </xf>
    <xf numFmtId="0" fontId="12" fillId="2" borderId="2123" applyNumberFormat="0" applyFont="0" applyAlignment="0" applyProtection="0"/>
    <xf numFmtId="0" fontId="12" fillId="2" borderId="2123" applyNumberFormat="0" applyFont="0" applyAlignment="0" applyProtection="0"/>
    <xf numFmtId="0" fontId="12" fillId="2" borderId="2126" applyNumberFormat="0" applyFont="0" applyAlignment="0" applyProtection="0"/>
    <xf numFmtId="0" fontId="12" fillId="9" borderId="2127" applyNumberFormat="0">
      <protection locked="0"/>
    </xf>
    <xf numFmtId="0" fontId="12" fillId="9" borderId="2122" applyBorder="0">
      <protection locked="0"/>
    </xf>
    <xf numFmtId="0" fontId="12" fillId="2" borderId="2126" applyNumberFormat="0" applyFont="0" applyAlignment="0" applyProtection="0"/>
    <xf numFmtId="0" fontId="12" fillId="9" borderId="2122" applyBorder="0">
      <protection locked="0"/>
    </xf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9" borderId="2127" applyNumberFormat="0">
      <protection locked="0"/>
    </xf>
    <xf numFmtId="0" fontId="12" fillId="2" borderId="2126" applyNumberFormat="0" applyFont="0" applyAlignment="0" applyProtection="0"/>
    <xf numFmtId="0" fontId="12" fillId="2" borderId="2121" applyNumberFormat="0" applyFont="0" applyAlignment="0" applyProtection="0"/>
    <xf numFmtId="0" fontId="12" fillId="2" borderId="2121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1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9" borderId="2127" applyNumberFormat="0">
      <protection locked="0"/>
    </xf>
    <xf numFmtId="0" fontId="12" fillId="9" borderId="2128" applyBorder="0">
      <protection locked="0"/>
    </xf>
    <xf numFmtId="0" fontId="12" fillId="2" borderId="2126" applyNumberFormat="0" applyFont="0" applyAlignment="0" applyProtection="0"/>
    <xf numFmtId="0" fontId="12" fillId="9" borderId="2128" applyBorder="0">
      <protection locked="0"/>
    </xf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9" borderId="2127" applyNumberFormat="0">
      <protection locked="0"/>
    </xf>
    <xf numFmtId="0" fontId="12" fillId="9" borderId="2128" applyBorder="0">
      <protection locked="0"/>
    </xf>
    <xf numFmtId="0" fontId="12" fillId="2" borderId="2126" applyNumberFormat="0" applyFont="0" applyAlignment="0" applyProtection="0"/>
    <xf numFmtId="0" fontId="12" fillId="9" borderId="2128" applyBorder="0">
      <protection locked="0"/>
    </xf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9" borderId="2127" applyNumberFormat="0">
      <protection locked="0"/>
    </xf>
    <xf numFmtId="0" fontId="12" fillId="9" borderId="2129" applyBorder="0">
      <protection locked="0"/>
    </xf>
    <xf numFmtId="0" fontId="12" fillId="2" borderId="2126" applyNumberFormat="0" applyFont="0" applyAlignment="0" applyProtection="0"/>
    <xf numFmtId="0" fontId="12" fillId="9" borderId="2129" applyBorder="0">
      <protection locked="0"/>
    </xf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19" applyNumberFormat="0" applyFont="0" applyAlignment="0" applyProtection="0"/>
    <xf numFmtId="0" fontId="12" fillId="9" borderId="2127" applyNumberFormat="0">
      <protection locked="0"/>
    </xf>
    <xf numFmtId="0" fontId="12" fillId="9" borderId="2122" applyBorder="0">
      <protection locked="0"/>
    </xf>
    <xf numFmtId="0" fontId="12" fillId="2" borderId="2119" applyNumberFormat="0" applyFont="0" applyAlignment="0" applyProtection="0"/>
    <xf numFmtId="0" fontId="12" fillId="9" borderId="2122" applyBorder="0">
      <protection locked="0"/>
    </xf>
    <xf numFmtId="0" fontId="12" fillId="2" borderId="2119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9" borderId="2095" applyNumberFormat="0">
      <protection locked="0"/>
    </xf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19" applyNumberFormat="0" applyFont="0" applyAlignment="0" applyProtection="0"/>
    <xf numFmtId="0" fontId="12" fillId="2" borderId="2119" applyNumberFormat="0" applyFont="0" applyAlignment="0" applyProtection="0"/>
    <xf numFmtId="0" fontId="12" fillId="2" borderId="2126" applyNumberFormat="0" applyFont="0" applyAlignment="0" applyProtection="0"/>
    <xf numFmtId="0" fontId="12" fillId="2" borderId="2126" applyNumberFormat="0" applyFont="0" applyAlignment="0" applyProtection="0"/>
    <xf numFmtId="0" fontId="12" fillId="2" borderId="2130" applyNumberFormat="0" applyFont="0" applyAlignment="0" applyProtection="0"/>
    <xf numFmtId="0" fontId="12" fillId="9" borderId="2131" applyNumberFormat="0">
      <protection locked="0"/>
    </xf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9" borderId="2131" applyNumberFormat="0">
      <protection locked="0"/>
    </xf>
    <xf numFmtId="0" fontId="12" fillId="9" borderId="2129" applyBorder="0">
      <protection locked="0"/>
    </xf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9" borderId="2131" applyNumberFormat="0">
      <protection locked="0"/>
    </xf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9" borderId="2131" applyNumberFormat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9" borderId="2131" applyNumberFormat="0">
      <protection locked="0"/>
    </xf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9" borderId="2129" applyBorder="0">
      <protection locked="0"/>
    </xf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9" borderId="2129" applyBorder="0">
      <protection locked="0"/>
    </xf>
    <xf numFmtId="0" fontId="12" fillId="9" borderId="2133" applyNumberFormat="0">
      <protection locked="0"/>
    </xf>
    <xf numFmtId="0" fontId="12" fillId="2" borderId="2132" applyNumberFormat="0" applyFont="0" applyAlignment="0" applyProtection="0"/>
    <xf numFmtId="0" fontId="12" fillId="9" borderId="2133" applyNumberFormat="0">
      <protection locked="0"/>
    </xf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33" applyNumberFormat="0">
      <protection locked="0"/>
    </xf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33" applyNumberFormat="0">
      <protection locked="0"/>
    </xf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33" applyNumberFormat="0">
      <protection locked="0"/>
    </xf>
    <xf numFmtId="0" fontId="12" fillId="9" borderId="2129" applyBorder="0">
      <protection locked="0"/>
    </xf>
    <xf numFmtId="0" fontId="12" fillId="9" borderId="2133" applyNumberFormat="0">
      <protection locked="0"/>
    </xf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33" applyNumberFormat="0">
      <protection locked="0"/>
    </xf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33" applyNumberFormat="0">
      <protection locked="0"/>
    </xf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9" borderId="2129" applyBorder="0">
      <protection locked="0"/>
    </xf>
    <xf numFmtId="0" fontId="12" fillId="9" borderId="2129" applyBorder="0">
      <protection locked="0"/>
    </xf>
    <xf numFmtId="0" fontId="12" fillId="2" borderId="2132" applyNumberFormat="0" applyFont="0" applyAlignment="0" applyProtection="0"/>
    <xf numFmtId="0" fontId="12" fillId="2" borderId="2132" applyNumberFormat="0" applyFont="0" applyAlignment="0" applyProtection="0"/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2" borderId="2134" applyNumberFormat="0" applyFont="0" applyAlignment="0" applyProtection="0"/>
    <xf numFmtId="0" fontId="12" fillId="2" borderId="2130" applyNumberFormat="0" applyFont="0" applyAlignment="0" applyProtection="0"/>
    <xf numFmtId="0" fontId="12" fillId="2" borderId="2130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0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6" applyNumberFormat="0" applyFont="0" applyAlignment="0" applyProtection="0"/>
    <xf numFmtId="0" fontId="12" fillId="9" borderId="2137" applyNumberFormat="0">
      <protection locked="0"/>
    </xf>
    <xf numFmtId="0" fontId="12" fillId="9" borderId="2129" applyBorder="0">
      <protection locked="0"/>
    </xf>
    <xf numFmtId="0" fontId="12" fillId="2" borderId="2136" applyNumberFormat="0" applyFont="0" applyAlignment="0" applyProtection="0"/>
    <xf numFmtId="0" fontId="12" fillId="9" borderId="2129" applyBorder="0">
      <protection locked="0"/>
    </xf>
    <xf numFmtId="0" fontId="12" fillId="2" borderId="2136" applyNumberFormat="0" applyFont="0" applyAlignment="0" applyProtection="0"/>
    <xf numFmtId="0" fontId="12" fillId="2" borderId="2136" applyNumberFormat="0" applyFont="0" applyAlignment="0" applyProtection="0"/>
    <xf numFmtId="0" fontId="12" fillId="2" borderId="2136" applyNumberFormat="0" applyFont="0" applyAlignment="0" applyProtection="0"/>
    <xf numFmtId="0" fontId="12" fillId="2" borderId="2136" applyNumberFormat="0" applyFont="0" applyAlignment="0" applyProtection="0"/>
    <xf numFmtId="0" fontId="12" fillId="2" borderId="2134" applyNumberFormat="0" applyFont="0" applyAlignment="0" applyProtection="0"/>
    <xf numFmtId="0" fontId="12" fillId="9" borderId="2129" applyBorder="0">
      <protection locked="0"/>
    </xf>
    <xf numFmtId="0" fontId="12" fillId="9" borderId="2129" applyBorder="0">
      <protection locked="0"/>
    </xf>
    <xf numFmtId="0" fontId="12" fillId="9" borderId="2135" applyNumberFormat="0">
      <protection locked="0"/>
    </xf>
    <xf numFmtId="0" fontId="12" fillId="2" borderId="2134" applyNumberFormat="0" applyFont="0" applyAlignment="0" applyProtection="0"/>
    <xf numFmtId="0" fontId="12" fillId="9" borderId="2135" applyNumberFormat="0">
      <protection locked="0"/>
    </xf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9" borderId="2129" applyBorder="0">
      <protection locked="0"/>
    </xf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12" fillId="2" borderId="2134" applyNumberFormat="0" applyFont="0" applyAlignment="0" applyProtection="0"/>
    <xf numFmtId="0" fontId="77" fillId="46" borderId="0" applyNumberFormat="0" applyBorder="0" applyAlignment="0" applyProtection="0"/>
  </cellStyleXfs>
  <cellXfs count="1148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4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6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27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19" fillId="0" borderId="0" xfId="0" applyFont="1"/>
    <xf numFmtId="0" fontId="19" fillId="11" borderId="123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3" fillId="13" borderId="3" xfId="0" applyFont="1" applyFill="1" applyBorder="1" applyAlignment="1">
      <alignment vertical="center" wrapText="1"/>
    </xf>
    <xf numFmtId="0" fontId="33" fillId="13" borderId="4" xfId="0" applyFont="1" applyFill="1" applyBorder="1" applyAlignment="1">
      <alignment vertical="center" wrapText="1"/>
    </xf>
    <xf numFmtId="0" fontId="33" fillId="13" borderId="5" xfId="0" applyFont="1" applyFill="1" applyBorder="1" applyAlignment="1">
      <alignment vertical="center" wrapText="1"/>
    </xf>
    <xf numFmtId="0" fontId="33" fillId="13" borderId="11" xfId="0" applyFont="1" applyFill="1" applyBorder="1" applyAlignment="1">
      <alignment vertical="center" wrapText="1"/>
    </xf>
    <xf numFmtId="0" fontId="33" fillId="13" borderId="49" xfId="0" applyFont="1" applyFill="1" applyBorder="1" applyAlignment="1">
      <alignment vertical="center" wrapText="1"/>
    </xf>
    <xf numFmtId="0" fontId="33" fillId="13" borderId="26" xfId="0" applyFont="1" applyFill="1" applyBorder="1" applyAlignment="1">
      <alignment vertical="center" wrapText="1"/>
    </xf>
    <xf numFmtId="0" fontId="33" fillId="14" borderId="0" xfId="0" applyFont="1" applyFill="1" applyAlignment="1">
      <alignment vertical="center" wrapText="1"/>
    </xf>
    <xf numFmtId="0" fontId="19" fillId="13" borderId="49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3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3" xfId="0" applyNumberFormat="1" applyFont="1" applyFill="1" applyBorder="1" applyProtection="1">
      <protection locked="0"/>
    </xf>
    <xf numFmtId="1" fontId="6" fillId="4" borderId="44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5" borderId="44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5" xfId="0" applyNumberFormat="1" applyFont="1" applyFill="1" applyBorder="1" applyProtection="1">
      <protection locked="0"/>
    </xf>
    <xf numFmtId="1" fontId="6" fillId="5" borderId="48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5" borderId="18" xfId="0" applyNumberFormat="1" applyFont="1" applyFill="1" applyBorder="1" applyProtection="1">
      <protection locked="0"/>
    </xf>
    <xf numFmtId="1" fontId="6" fillId="5" borderId="55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2" xfId="0" applyNumberFormat="1" applyFont="1" applyFill="1" applyBorder="1" applyProtection="1">
      <protection locked="0"/>
    </xf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4" borderId="62" xfId="0" applyNumberFormat="1" applyFont="1" applyFill="1" applyBorder="1"/>
    <xf numFmtId="1" fontId="6" fillId="5" borderId="72" xfId="0" applyNumberFormat="1" applyFont="1" applyFill="1" applyBorder="1" applyProtection="1">
      <protection locked="0"/>
    </xf>
    <xf numFmtId="1" fontId="6" fillId="5" borderId="60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4" fillId="0" borderId="49" xfId="0" applyNumberFormat="1" applyFont="1" applyBorder="1"/>
    <xf numFmtId="1" fontId="6" fillId="4" borderId="53" xfId="0" applyNumberFormat="1" applyFont="1" applyFill="1" applyBorder="1"/>
    <xf numFmtId="1" fontId="6" fillId="4" borderId="54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0" xfId="0" applyNumberFormat="1" applyFont="1" applyFill="1" applyBorder="1"/>
    <xf numFmtId="1" fontId="4" fillId="0" borderId="0" xfId="0" applyNumberFormat="1" applyFont="1"/>
    <xf numFmtId="1" fontId="6" fillId="5" borderId="53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4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14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0" xfId="0" applyNumberFormat="1" applyFont="1" applyFill="1" applyBorder="1" applyProtection="1">
      <protection locked="0"/>
    </xf>
    <xf numFmtId="1" fontId="6" fillId="0" borderId="50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0" borderId="0" xfId="0" applyNumberFormat="1" applyFont="1"/>
    <xf numFmtId="1" fontId="6" fillId="0" borderId="77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1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0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1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3" xfId="0" applyNumberFormat="1" applyFont="1" applyFill="1" applyBorder="1" applyProtection="1">
      <protection locked="0"/>
    </xf>
    <xf numFmtId="1" fontId="6" fillId="0" borderId="68" xfId="0" applyNumberFormat="1" applyFont="1" applyBorder="1" applyAlignment="1">
      <alignment horizontal="right" wrapText="1"/>
    </xf>
    <xf numFmtId="1" fontId="6" fillId="5" borderId="59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0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6" fillId="5" borderId="66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4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4" xfId="0" applyNumberFormat="1" applyFont="1" applyFill="1" applyBorder="1" applyProtection="1">
      <protection locked="0"/>
    </xf>
    <xf numFmtId="1" fontId="6" fillId="5" borderId="75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68" xfId="0" applyNumberFormat="1" applyFont="1" applyBorder="1"/>
    <xf numFmtId="1" fontId="6" fillId="3" borderId="50" xfId="0" applyNumberFormat="1" applyFont="1" applyFill="1" applyBorder="1" applyAlignment="1">
      <alignment horizontal="right"/>
    </xf>
    <xf numFmtId="1" fontId="6" fillId="5" borderId="50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77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3" borderId="95" xfId="0" applyNumberFormat="1" applyFont="1" applyFill="1" applyBorder="1" applyProtection="1">
      <protection hidden="1"/>
    </xf>
    <xf numFmtId="1" fontId="6" fillId="5" borderId="84" xfId="0" applyNumberFormat="1" applyFont="1" applyFill="1" applyBorder="1" applyProtection="1">
      <protection locked="0"/>
    </xf>
    <xf numFmtId="1" fontId="6" fillId="5" borderId="93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9" fillId="0" borderId="0" xfId="0" applyNumberFormat="1" applyFont="1"/>
    <xf numFmtId="1" fontId="6" fillId="0" borderId="52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78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80" xfId="0" applyNumberFormat="1" applyFont="1" applyFill="1" applyBorder="1" applyProtection="1">
      <protection locked="0"/>
    </xf>
    <xf numFmtId="1" fontId="6" fillId="5" borderId="81" xfId="0" applyNumberFormat="1" applyFont="1" applyFill="1" applyBorder="1" applyProtection="1">
      <protection locked="0"/>
    </xf>
    <xf numFmtId="1" fontId="6" fillId="5" borderId="0" xfId="0" applyNumberFormat="1" applyFont="1" applyFill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6" xfId="0" applyNumberFormat="1" applyFont="1" applyFill="1" applyBorder="1" applyProtection="1">
      <protection locked="0"/>
    </xf>
    <xf numFmtId="1" fontId="6" fillId="5" borderId="87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4" borderId="94" xfId="0" applyNumberFormat="1" applyFont="1" applyFill="1" applyBorder="1"/>
    <xf numFmtId="1" fontId="6" fillId="5" borderId="50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5" borderId="68" xfId="0" applyNumberFormat="1" applyFont="1" applyFill="1" applyBorder="1" applyProtection="1"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4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6" fillId="5" borderId="71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3" xfId="0" applyNumberFormat="1" applyFont="1" applyFill="1" applyBorder="1"/>
    <xf numFmtId="1" fontId="6" fillId="5" borderId="96" xfId="0" applyNumberFormat="1" applyFont="1" applyFill="1" applyBorder="1" applyProtection="1">
      <protection locked="0"/>
    </xf>
    <xf numFmtId="1" fontId="6" fillId="5" borderId="127" xfId="0" applyNumberFormat="1" applyFont="1" applyFill="1" applyBorder="1" applyProtection="1">
      <protection locked="0"/>
    </xf>
    <xf numFmtId="1" fontId="6" fillId="0" borderId="46" xfId="0" applyNumberFormat="1" applyFont="1" applyBorder="1" applyAlignment="1">
      <alignment horizontal="right"/>
    </xf>
    <xf numFmtId="1" fontId="6" fillId="5" borderId="83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6" fillId="0" borderId="92" xfId="0" applyNumberFormat="1" applyFont="1" applyBorder="1"/>
    <xf numFmtId="1" fontId="6" fillId="5" borderId="85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5" borderId="88" xfId="0" applyNumberFormat="1" applyFont="1" applyFill="1" applyBorder="1" applyProtection="1">
      <protection locked="0"/>
    </xf>
    <xf numFmtId="1" fontId="6" fillId="5" borderId="111" xfId="0" applyNumberFormat="1" applyFont="1" applyFill="1" applyBorder="1" applyProtection="1">
      <protection locked="0"/>
    </xf>
    <xf numFmtId="1" fontId="6" fillId="0" borderId="43" xfId="0" applyNumberFormat="1" applyFont="1" applyBorder="1" applyAlignment="1">
      <alignment horizontal="center" vertical="center" wrapText="1"/>
    </xf>
    <xf numFmtId="1" fontId="11" fillId="5" borderId="24" xfId="0" applyNumberFormat="1" applyFont="1" applyFill="1" applyBorder="1" applyProtection="1">
      <protection locked="0"/>
    </xf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1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100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4" borderId="5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8" xfId="0" applyNumberFormat="1" applyFont="1" applyBorder="1" applyAlignment="1">
      <alignment horizontal="right"/>
    </xf>
    <xf numFmtId="1" fontId="6" fillId="0" borderId="74" xfId="0" applyNumberFormat="1" applyFont="1" applyBorder="1"/>
    <xf numFmtId="1" fontId="6" fillId="0" borderId="63" xfId="0" applyNumberFormat="1" applyFont="1" applyBorder="1" applyAlignment="1">
      <alignment horizontal="right" wrapText="1"/>
    </xf>
    <xf numFmtId="1" fontId="6" fillId="0" borderId="63" xfId="0" applyNumberFormat="1" applyFont="1" applyBorder="1" applyAlignment="1">
      <alignment vertical="center" wrapText="1"/>
    </xf>
    <xf numFmtId="1" fontId="6" fillId="0" borderId="63" xfId="0" applyNumberFormat="1" applyFont="1" applyBorder="1" applyAlignment="1">
      <alignment horizontal="right"/>
    </xf>
    <xf numFmtId="1" fontId="6" fillId="0" borderId="48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4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2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2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52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4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2" xfId="0" applyNumberFormat="1" applyFont="1" applyBorder="1" applyAlignment="1">
      <alignment horizontal="right" shrinkToFit="1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109" xfId="0" applyNumberFormat="1" applyFont="1" applyFill="1" applyBorder="1" applyAlignment="1" applyProtection="1">
      <alignment horizontal="right"/>
      <protection locked="0"/>
    </xf>
    <xf numFmtId="1" fontId="6" fillId="14" borderId="0" xfId="0" applyNumberFormat="1" applyFont="1" applyFill="1"/>
    <xf numFmtId="1" fontId="20" fillId="17" borderId="0" xfId="0" applyNumberFormat="1" applyFont="1" applyFill="1" applyProtection="1">
      <protection locked="0"/>
    </xf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13" fillId="0" borderId="6" xfId="0" applyNumberFormat="1" applyFont="1" applyBorder="1" applyAlignment="1">
      <alignment horizontal="center" vertical="center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27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11" fillId="14" borderId="0" xfId="0" applyNumberFormat="1" applyFont="1" applyFill="1"/>
    <xf numFmtId="1" fontId="6" fillId="5" borderId="142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5" borderId="144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horizontal="center" vertical="center"/>
    </xf>
    <xf numFmtId="1" fontId="6" fillId="5" borderId="139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center" vertical="center" wrapText="1"/>
    </xf>
    <xf numFmtId="1" fontId="6" fillId="4" borderId="143" xfId="0" applyNumberFormat="1" applyFont="1" applyFill="1" applyBorder="1"/>
    <xf numFmtId="1" fontId="6" fillId="0" borderId="137" xfId="0" applyNumberFormat="1" applyFont="1" applyBorder="1"/>
    <xf numFmtId="1" fontId="6" fillId="5" borderId="110" xfId="0" applyNumberFormat="1" applyFont="1" applyFill="1" applyBorder="1" applyAlignment="1" applyProtection="1">
      <alignment horizontal="right"/>
      <protection locked="0"/>
    </xf>
    <xf numFmtId="1" fontId="6" fillId="0" borderId="163" xfId="0" applyNumberFormat="1" applyFont="1" applyBorder="1" applyAlignment="1">
      <alignment horizontal="center" vertical="center" wrapText="1"/>
    </xf>
    <xf numFmtId="1" fontId="6" fillId="3" borderId="165" xfId="0" applyNumberFormat="1" applyFont="1" applyFill="1" applyBorder="1"/>
    <xf numFmtId="1" fontId="6" fillId="0" borderId="165" xfId="0" applyNumberFormat="1" applyFont="1" applyBorder="1"/>
    <xf numFmtId="1" fontId="6" fillId="0" borderId="146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2" xfId="0" applyNumberFormat="1" applyFont="1" applyBorder="1"/>
    <xf numFmtId="1" fontId="2" fillId="3" borderId="0" xfId="0" applyNumberFormat="1" applyFont="1" applyFill="1" applyAlignment="1">
      <alignment horizontal="center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34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/>
    <xf numFmtId="1" fontId="6" fillId="5" borderId="159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4" borderId="178" xfId="0" applyNumberFormat="1" applyFont="1" applyFill="1" applyBorder="1"/>
    <xf numFmtId="1" fontId="6" fillId="4" borderId="179" xfId="0" applyNumberFormat="1" applyFont="1" applyFill="1" applyBorder="1"/>
    <xf numFmtId="1" fontId="6" fillId="4" borderId="172" xfId="0" applyNumberFormat="1" applyFont="1" applyFill="1" applyBorder="1"/>
    <xf numFmtId="1" fontId="6" fillId="4" borderId="157" xfId="0" applyNumberFormat="1" applyFont="1" applyFill="1" applyBorder="1"/>
    <xf numFmtId="1" fontId="6" fillId="0" borderId="174" xfId="0" applyNumberFormat="1" applyFont="1" applyBorder="1"/>
    <xf numFmtId="1" fontId="6" fillId="5" borderId="177" xfId="0" applyNumberFormat="1" applyFont="1" applyFill="1" applyBorder="1" applyProtection="1">
      <protection locked="0"/>
    </xf>
    <xf numFmtId="1" fontId="6" fillId="4" borderId="59" xfId="0" applyNumberFormat="1" applyFont="1" applyFill="1" applyBorder="1"/>
    <xf numFmtId="1" fontId="6" fillId="0" borderId="171" xfId="0" applyNumberFormat="1" applyFont="1" applyBorder="1" applyAlignment="1">
      <alignment horizontal="left" vertical="center"/>
    </xf>
    <xf numFmtId="1" fontId="6" fillId="4" borderId="72" xfId="0" applyNumberFormat="1" applyFont="1" applyFill="1" applyBorder="1"/>
    <xf numFmtId="1" fontId="6" fillId="4" borderId="60" xfId="0" applyNumberFormat="1" applyFont="1" applyFill="1" applyBorder="1"/>
    <xf numFmtId="1" fontId="6" fillId="4" borderId="97" xfId="0" applyNumberFormat="1" applyFont="1" applyFill="1" applyBorder="1"/>
    <xf numFmtId="1" fontId="6" fillId="4" borderId="146" xfId="0" applyNumberFormat="1" applyFont="1" applyFill="1" applyBorder="1"/>
    <xf numFmtId="1" fontId="6" fillId="4" borderId="58" xfId="0" applyNumberFormat="1" applyFont="1" applyFill="1" applyBorder="1"/>
    <xf numFmtId="1" fontId="6" fillId="0" borderId="174" xfId="0" applyNumberFormat="1" applyFont="1" applyBorder="1" applyAlignment="1">
      <alignment horizontal="left" vertical="center"/>
    </xf>
    <xf numFmtId="1" fontId="6" fillId="0" borderId="148" xfId="0" applyNumberFormat="1" applyFont="1" applyBorder="1" applyAlignment="1">
      <alignment horizontal="left" wrapText="1"/>
    </xf>
    <xf numFmtId="1" fontId="6" fillId="3" borderId="69" xfId="0" applyNumberFormat="1" applyFont="1" applyFill="1" applyBorder="1" applyAlignment="1">
      <alignment horizontal="left" wrapText="1"/>
    </xf>
    <xf numFmtId="1" fontId="6" fillId="0" borderId="135" xfId="0" applyNumberFormat="1" applyFont="1" applyBorder="1"/>
    <xf numFmtId="1" fontId="6" fillId="0" borderId="149" xfId="0" applyNumberFormat="1" applyFont="1" applyBorder="1"/>
    <xf numFmtId="1" fontId="6" fillId="0" borderId="173" xfId="0" applyNumberFormat="1" applyFont="1" applyBorder="1"/>
    <xf numFmtId="1" fontId="6" fillId="0" borderId="160" xfId="0" applyNumberFormat="1" applyFont="1" applyBorder="1"/>
    <xf numFmtId="1" fontId="6" fillId="0" borderId="154" xfId="0" applyNumberFormat="1" applyFont="1" applyBorder="1"/>
    <xf numFmtId="1" fontId="6" fillId="0" borderId="151" xfId="0" applyNumberFormat="1" applyFont="1" applyBorder="1"/>
    <xf numFmtId="1" fontId="19" fillId="3" borderId="175" xfId="0" applyNumberFormat="1" applyFont="1" applyFill="1" applyBorder="1"/>
    <xf numFmtId="1" fontId="3" fillId="3" borderId="175" xfId="0" applyNumberFormat="1" applyFont="1" applyFill="1" applyBorder="1"/>
    <xf numFmtId="1" fontId="6" fillId="0" borderId="159" xfId="0" applyNumberFormat="1" applyFont="1" applyBorder="1" applyAlignment="1">
      <alignment horizontal="center" vertical="center" wrapText="1"/>
    </xf>
    <xf numFmtId="1" fontId="6" fillId="5" borderId="157" xfId="0" applyNumberFormat="1" applyFont="1" applyFill="1" applyBorder="1" applyProtection="1">
      <protection locked="0"/>
    </xf>
    <xf numFmtId="1" fontId="6" fillId="5" borderId="132" xfId="0" applyNumberFormat="1" applyFont="1" applyFill="1" applyBorder="1" applyProtection="1">
      <protection locked="0"/>
    </xf>
    <xf numFmtId="1" fontId="6" fillId="0" borderId="135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>
      <alignment horizontal="left" wrapText="1"/>
    </xf>
    <xf numFmtId="1" fontId="6" fillId="5" borderId="148" xfId="0" applyNumberFormat="1" applyFont="1" applyFill="1" applyBorder="1" applyProtection="1">
      <protection locked="0"/>
    </xf>
    <xf numFmtId="1" fontId="6" fillId="5" borderId="175" xfId="0" applyNumberFormat="1" applyFont="1" applyFill="1" applyBorder="1" applyProtection="1">
      <protection locked="0"/>
    </xf>
    <xf numFmtId="1" fontId="6" fillId="0" borderId="162" xfId="0" applyNumberFormat="1" applyFont="1" applyBorder="1"/>
    <xf numFmtId="1" fontId="6" fillId="0" borderId="158" xfId="0" applyNumberFormat="1" applyFont="1" applyBorder="1"/>
    <xf numFmtId="1" fontId="4" fillId="3" borderId="175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67" xfId="0" applyNumberFormat="1" applyFont="1" applyFill="1" applyBorder="1"/>
    <xf numFmtId="1" fontId="19" fillId="3" borderId="167" xfId="0" applyNumberFormat="1" applyFont="1" applyFill="1" applyBorder="1"/>
    <xf numFmtId="1" fontId="34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4" xfId="0" applyNumberFormat="1" applyFont="1" applyFill="1" applyBorder="1" applyAlignment="1" applyProtection="1">
      <alignment vertical="center"/>
      <protection locked="0"/>
    </xf>
    <xf numFmtId="1" fontId="6" fillId="5" borderId="83" xfId="0" applyNumberFormat="1" applyFont="1" applyFill="1" applyBorder="1" applyAlignment="1" applyProtection="1">
      <alignment vertical="center"/>
      <protection locked="0"/>
    </xf>
    <xf numFmtId="1" fontId="6" fillId="5" borderId="146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4" xfId="0" applyNumberFormat="1" applyFont="1" applyFill="1" applyBorder="1" applyAlignment="1" applyProtection="1">
      <alignment vertical="center"/>
      <protection locked="0"/>
    </xf>
    <xf numFmtId="1" fontId="6" fillId="5" borderId="62" xfId="0" applyNumberFormat="1" applyFont="1" applyFill="1" applyBorder="1" applyAlignment="1" applyProtection="1">
      <alignment vertical="center"/>
      <protection locked="0"/>
    </xf>
    <xf numFmtId="1" fontId="6" fillId="5" borderId="93" xfId="0" applyNumberFormat="1" applyFont="1" applyFill="1" applyBorder="1" applyAlignment="1" applyProtection="1">
      <alignment vertical="center"/>
      <protection locked="0"/>
    </xf>
    <xf numFmtId="1" fontId="6" fillId="5" borderId="50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7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94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6" fillId="3" borderId="173" xfId="0" applyNumberFormat="1" applyFont="1" applyFill="1" applyBorder="1" applyAlignment="1">
      <alignment horizontal="center" vertical="center"/>
    </xf>
    <xf numFmtId="1" fontId="6" fillId="0" borderId="137" xfId="0" applyNumberFormat="1" applyFont="1" applyBorder="1" applyAlignment="1">
      <alignment horizontal="right"/>
    </xf>
    <xf numFmtId="1" fontId="6" fillId="0" borderId="149" xfId="0" applyNumberFormat="1" applyFont="1" applyBorder="1" applyAlignment="1">
      <alignment horizontal="right"/>
    </xf>
    <xf numFmtId="1" fontId="6" fillId="3" borderId="146" xfId="0" applyNumberFormat="1" applyFont="1" applyFill="1" applyBorder="1" applyAlignment="1">
      <alignment horizontal="right"/>
    </xf>
    <xf numFmtId="1" fontId="6" fillId="5" borderId="146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2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1" xfId="0" applyNumberFormat="1" applyFont="1" applyFill="1" applyBorder="1"/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77" xfId="0" applyNumberFormat="1" applyFont="1" applyFill="1" applyBorder="1" applyAlignment="1">
      <alignment horizontal="right"/>
    </xf>
    <xf numFmtId="1" fontId="4" fillId="3" borderId="138" xfId="0" applyNumberFormat="1" applyFont="1" applyFill="1" applyBorder="1"/>
    <xf numFmtId="1" fontId="6" fillId="3" borderId="167" xfId="0" applyNumberFormat="1" applyFont="1" applyFill="1" applyBorder="1"/>
    <xf numFmtId="1" fontId="6" fillId="14" borderId="164" xfId="0" applyNumberFormat="1" applyFont="1" applyFill="1" applyBorder="1"/>
    <xf numFmtId="1" fontId="6" fillId="3" borderId="21" xfId="0" applyNumberFormat="1" applyFont="1" applyFill="1" applyBorder="1" applyAlignment="1">
      <alignment horizontal="right"/>
    </xf>
    <xf numFmtId="1" fontId="6" fillId="14" borderId="95" xfId="0" applyNumberFormat="1" applyFont="1" applyFill="1" applyBorder="1" applyProtection="1">
      <protection hidden="1"/>
    </xf>
    <xf numFmtId="1" fontId="6" fillId="14" borderId="108" xfId="0" applyNumberFormat="1" applyFont="1" applyFill="1" applyBorder="1" applyProtection="1">
      <protection hidden="1"/>
    </xf>
    <xf numFmtId="1" fontId="6" fillId="14" borderId="166" xfId="0" applyNumberFormat="1" applyFont="1" applyFill="1" applyBorder="1" applyProtection="1">
      <protection hidden="1"/>
    </xf>
    <xf numFmtId="1" fontId="6" fillId="3" borderId="184" xfId="0" applyNumberFormat="1" applyFont="1" applyFill="1" applyBorder="1"/>
    <xf numFmtId="1" fontId="6" fillId="3" borderId="184" xfId="0" applyNumberFormat="1" applyFont="1" applyFill="1" applyBorder="1" applyAlignment="1">
      <alignment wrapText="1"/>
    </xf>
    <xf numFmtId="1" fontId="6" fillId="14" borderId="184" xfId="0" applyNumberFormat="1" applyFont="1" applyFill="1" applyBorder="1" applyProtection="1">
      <protection hidden="1"/>
    </xf>
    <xf numFmtId="1" fontId="6" fillId="0" borderId="184" xfId="0" applyNumberFormat="1" applyFont="1" applyBorder="1"/>
    <xf numFmtId="1" fontId="4" fillId="0" borderId="185" xfId="0" applyNumberFormat="1" applyFont="1" applyBorder="1"/>
    <xf numFmtId="1" fontId="4" fillId="0" borderId="186" xfId="0" applyNumberFormat="1" applyFont="1" applyBorder="1"/>
    <xf numFmtId="1" fontId="6" fillId="0" borderId="184" xfId="0" applyNumberFormat="1" applyFont="1" applyBorder="1" applyProtection="1">
      <protection hidden="1"/>
    </xf>
    <xf numFmtId="1" fontId="6" fillId="0" borderId="23" xfId="0" applyNumberFormat="1" applyFont="1" applyBorder="1" applyAlignment="1">
      <alignment horizontal="right"/>
    </xf>
    <xf numFmtId="1" fontId="6" fillId="2" borderId="194" xfId="9" applyNumberFormat="1" applyFont="1" applyBorder="1" applyAlignment="1" applyProtection="1">
      <alignment horizontal="right"/>
      <protection locked="0"/>
    </xf>
    <xf numFmtId="1" fontId="6" fillId="2" borderId="195" xfId="9" applyNumberFormat="1" applyFont="1" applyBorder="1" applyAlignment="1" applyProtection="1">
      <alignment horizontal="right"/>
      <protection locked="0"/>
    </xf>
    <xf numFmtId="1" fontId="6" fillId="0" borderId="196" xfId="0" applyNumberFormat="1" applyFont="1" applyBorder="1"/>
    <xf numFmtId="1" fontId="6" fillId="0" borderId="196" xfId="0" applyNumberFormat="1" applyFont="1" applyBorder="1" applyProtection="1">
      <protection hidden="1"/>
    </xf>
    <xf numFmtId="1" fontId="6" fillId="14" borderId="196" xfId="0" applyNumberFormat="1" applyFont="1" applyFill="1" applyBorder="1"/>
    <xf numFmtId="1" fontId="6" fillId="0" borderId="201" xfId="0" applyNumberFormat="1" applyFont="1" applyBorder="1"/>
    <xf numFmtId="1" fontId="6" fillId="0" borderId="202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3" borderId="196" xfId="0" applyNumberFormat="1" applyFont="1" applyFill="1" applyBorder="1"/>
    <xf numFmtId="1" fontId="6" fillId="0" borderId="174" xfId="0" applyNumberFormat="1" applyFont="1" applyBorder="1" applyAlignment="1">
      <alignment horizontal="left" vertical="center" wrapText="1"/>
    </xf>
    <xf numFmtId="1" fontId="6" fillId="0" borderId="205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196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196" xfId="0" applyNumberFormat="1" applyFont="1" applyFill="1" applyBorder="1" applyAlignment="1">
      <alignment wrapText="1"/>
    </xf>
    <xf numFmtId="1" fontId="4" fillId="0" borderId="95" xfId="0" applyNumberFormat="1" applyFont="1" applyBorder="1"/>
    <xf numFmtId="1" fontId="4" fillId="0" borderId="99" xfId="0" applyNumberFormat="1" applyFont="1" applyBorder="1"/>
    <xf numFmtId="1" fontId="6" fillId="0" borderId="206" xfId="0" applyNumberFormat="1" applyFont="1" applyBorder="1"/>
    <xf numFmtId="1" fontId="6" fillId="3" borderId="200" xfId="0" applyNumberFormat="1" applyFont="1" applyFill="1" applyBorder="1"/>
    <xf numFmtId="1" fontId="6" fillId="0" borderId="200" xfId="0" applyNumberFormat="1" applyFont="1" applyBorder="1"/>
    <xf numFmtId="1" fontId="6" fillId="0" borderId="207" xfId="0" applyNumberFormat="1" applyFont="1" applyBorder="1"/>
    <xf numFmtId="1" fontId="6" fillId="0" borderId="208" xfId="0" applyNumberFormat="1" applyFont="1" applyBorder="1"/>
    <xf numFmtId="1" fontId="6" fillId="0" borderId="205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Protection="1">
      <protection hidden="1"/>
    </xf>
    <xf numFmtId="1" fontId="6" fillId="5" borderId="177" xfId="0" applyNumberFormat="1" applyFont="1" applyFill="1" applyBorder="1" applyAlignment="1" applyProtection="1">
      <alignment horizontal="right"/>
      <protection locked="0"/>
    </xf>
    <xf numFmtId="1" fontId="6" fillId="5" borderId="81" xfId="0" applyNumberFormat="1" applyFont="1" applyFill="1" applyBorder="1" applyAlignment="1" applyProtection="1">
      <alignment horizontal="right"/>
      <protection locked="0"/>
    </xf>
    <xf numFmtId="1" fontId="6" fillId="5" borderId="80" xfId="0" applyNumberFormat="1" applyFont="1" applyFill="1" applyBorder="1" applyAlignment="1" applyProtection="1">
      <alignment horizontal="right"/>
      <protection locked="0"/>
    </xf>
    <xf numFmtId="1" fontId="6" fillId="5" borderId="215" xfId="0" applyNumberFormat="1" applyFont="1" applyFill="1" applyBorder="1" applyAlignment="1" applyProtection="1">
      <alignment horizontal="right"/>
      <protection locked="0"/>
    </xf>
    <xf numFmtId="1" fontId="6" fillId="5" borderId="192" xfId="0" applyNumberFormat="1" applyFont="1" applyFill="1" applyBorder="1" applyAlignment="1" applyProtection="1">
      <alignment horizontal="right"/>
      <protection locked="0"/>
    </xf>
    <xf numFmtId="1" fontId="6" fillId="0" borderId="166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08" xfId="0" applyNumberFormat="1" applyFont="1" applyBorder="1" applyProtection="1">
      <protection hidden="1"/>
    </xf>
    <xf numFmtId="1" fontId="6" fillId="3" borderId="165" xfId="0" applyNumberFormat="1" applyFont="1" applyFill="1" applyBorder="1" applyProtection="1">
      <protection hidden="1"/>
    </xf>
    <xf numFmtId="1" fontId="6" fillId="14" borderId="165" xfId="0" applyNumberFormat="1" applyFont="1" applyFill="1" applyBorder="1"/>
    <xf numFmtId="1" fontId="6" fillId="14" borderId="165" xfId="0" applyNumberFormat="1" applyFont="1" applyFill="1" applyBorder="1" applyProtection="1">
      <protection hidden="1"/>
    </xf>
    <xf numFmtId="1" fontId="6" fillId="0" borderId="95" xfId="0" applyNumberFormat="1" applyFont="1" applyBorder="1" applyProtection="1">
      <protection hidden="1"/>
    </xf>
    <xf numFmtId="1" fontId="6" fillId="5" borderId="146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0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17" xfId="0" applyNumberFormat="1" applyFont="1" applyBorder="1"/>
    <xf numFmtId="1" fontId="6" fillId="0" borderId="213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right"/>
    </xf>
    <xf numFmtId="1" fontId="6" fillId="0" borderId="232" xfId="0" applyNumberFormat="1" applyFont="1" applyBorder="1"/>
    <xf numFmtId="1" fontId="6" fillId="0" borderId="236" xfId="0" applyNumberFormat="1" applyFont="1" applyBorder="1"/>
    <xf numFmtId="1" fontId="6" fillId="5" borderId="237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32" xfId="0" applyNumberFormat="1" applyFont="1" applyFill="1" applyBorder="1"/>
    <xf numFmtId="1" fontId="6" fillId="3" borderId="237" xfId="0" applyNumberFormat="1" applyFont="1" applyFill="1" applyBorder="1"/>
    <xf numFmtId="1" fontId="6" fillId="5" borderId="231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0" borderId="237" xfId="0" applyNumberFormat="1" applyFont="1" applyBorder="1"/>
    <xf numFmtId="1" fontId="6" fillId="0" borderId="175" xfId="0" applyNumberFormat="1" applyFont="1" applyBorder="1"/>
    <xf numFmtId="1" fontId="6" fillId="0" borderId="235" xfId="0" applyNumberFormat="1" applyFont="1" applyBorder="1"/>
    <xf numFmtId="1" fontId="6" fillId="0" borderId="225" xfId="0" applyNumberFormat="1" applyFont="1" applyBorder="1"/>
    <xf numFmtId="1" fontId="6" fillId="0" borderId="229" xfId="0" applyNumberFormat="1" applyFont="1" applyBorder="1"/>
    <xf numFmtId="1" fontId="6" fillId="0" borderId="244" xfId="0" applyNumberFormat="1" applyFont="1" applyBorder="1"/>
    <xf numFmtId="1" fontId="6" fillId="0" borderId="245" xfId="0" applyNumberFormat="1" applyFont="1" applyBorder="1"/>
    <xf numFmtId="1" fontId="6" fillId="0" borderId="246" xfId="0" applyNumberFormat="1" applyFont="1" applyBorder="1"/>
    <xf numFmtId="1" fontId="9" fillId="0" borderId="247" xfId="0" applyNumberFormat="1" applyFont="1" applyBorder="1"/>
    <xf numFmtId="1" fontId="6" fillId="5" borderId="136" xfId="0" applyNumberFormat="1" applyFont="1" applyFill="1" applyBorder="1" applyProtection="1">
      <protection locked="0"/>
    </xf>
    <xf numFmtId="1" fontId="6" fillId="3" borderId="228" xfId="0" applyNumberFormat="1" applyFont="1" applyFill="1" applyBorder="1"/>
    <xf numFmtId="1" fontId="6" fillId="3" borderId="231" xfId="0" applyNumberFormat="1" applyFont="1" applyFill="1" applyBorder="1"/>
    <xf numFmtId="1" fontId="6" fillId="0" borderId="177" xfId="0" applyNumberFormat="1" applyFont="1" applyBorder="1" applyAlignment="1">
      <alignment horizontal="right" vertical="center"/>
    </xf>
    <xf numFmtId="1" fontId="6" fillId="0" borderId="230" xfId="0" applyNumberFormat="1" applyFont="1" applyBorder="1"/>
    <xf numFmtId="1" fontId="6" fillId="0" borderId="231" xfId="0" applyNumberFormat="1" applyFont="1" applyBorder="1"/>
    <xf numFmtId="1" fontId="6" fillId="0" borderId="46" xfId="0" applyNumberFormat="1" applyFont="1" applyBorder="1" applyAlignment="1">
      <alignment horizontal="center" vertical="center" wrapText="1"/>
    </xf>
    <xf numFmtId="1" fontId="6" fillId="5" borderId="233" xfId="0" applyNumberFormat="1" applyFont="1" applyFill="1" applyBorder="1" applyAlignment="1" applyProtection="1">
      <alignment vertical="center"/>
      <protection locked="0"/>
    </xf>
    <xf numFmtId="1" fontId="5" fillId="14" borderId="249" xfId="0" applyNumberFormat="1" applyFont="1" applyFill="1" applyBorder="1" applyProtection="1">
      <protection hidden="1"/>
    </xf>
    <xf numFmtId="0" fontId="27" fillId="14" borderId="249" xfId="0" applyFont="1" applyFill="1" applyBorder="1" applyAlignment="1" applyProtection="1">
      <alignment horizontal="center"/>
      <protection hidden="1"/>
    </xf>
    <xf numFmtId="1" fontId="6" fillId="5" borderId="234" xfId="0" applyNumberFormat="1" applyFont="1" applyFill="1" applyBorder="1" applyAlignment="1" applyProtection="1">
      <alignment vertical="center"/>
      <protection locked="0"/>
    </xf>
    <xf numFmtId="1" fontId="20" fillId="21" borderId="0" xfId="0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5" fillId="3" borderId="0" xfId="0" applyNumberFormat="1" applyFont="1" applyFill="1"/>
    <xf numFmtId="1" fontId="6" fillId="0" borderId="61" xfId="0" applyNumberFormat="1" applyFont="1" applyBorder="1"/>
    <xf numFmtId="1" fontId="6" fillId="4" borderId="23" xfId="0" applyNumberFormat="1" applyFont="1" applyFill="1" applyBorder="1"/>
    <xf numFmtId="1" fontId="6" fillId="3" borderId="221" xfId="14" applyNumberFormat="1" applyFont="1" applyFill="1" applyBorder="1" applyAlignment="1">
      <alignment horizontal="right"/>
    </xf>
    <xf numFmtId="1" fontId="6" fillId="3" borderId="250" xfId="14" applyNumberFormat="1" applyFont="1" applyFill="1" applyBorder="1" applyAlignment="1">
      <alignment horizontal="right"/>
    </xf>
    <xf numFmtId="1" fontId="6" fillId="3" borderId="220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19" xfId="14" applyNumberFormat="1" applyFont="1" applyFill="1" applyBorder="1" applyAlignment="1">
      <alignment horizontal="right"/>
    </xf>
    <xf numFmtId="1" fontId="6" fillId="3" borderId="251" xfId="14" applyNumberFormat="1" applyFont="1" applyFill="1" applyBorder="1" applyAlignment="1">
      <alignment horizontal="right"/>
    </xf>
    <xf numFmtId="1" fontId="6" fillId="3" borderId="218" xfId="14" applyNumberFormat="1" applyFont="1" applyFill="1" applyBorder="1" applyAlignment="1">
      <alignment horizontal="right"/>
    </xf>
    <xf numFmtId="1" fontId="6" fillId="4" borderId="31" xfId="0" applyNumberFormat="1" applyFont="1" applyFill="1" applyBorder="1"/>
    <xf numFmtId="1" fontId="6" fillId="3" borderId="252" xfId="14" applyNumberFormat="1" applyFont="1" applyFill="1" applyBorder="1" applyAlignment="1">
      <alignment horizontal="right"/>
    </xf>
    <xf numFmtId="1" fontId="6" fillId="3" borderId="253" xfId="14" applyNumberFormat="1" applyFont="1" applyFill="1" applyBorder="1" applyAlignment="1">
      <alignment horizontal="right"/>
    </xf>
    <xf numFmtId="1" fontId="6" fillId="3" borderId="254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3" fillId="17" borderId="0" xfId="0" applyNumberFormat="1" applyFont="1" applyFill="1" applyProtection="1">
      <protection locked="0"/>
    </xf>
    <xf numFmtId="1" fontId="6" fillId="4" borderId="136" xfId="0" applyNumberFormat="1" applyFont="1" applyFill="1" applyBorder="1"/>
    <xf numFmtId="1" fontId="6" fillId="6" borderId="221" xfId="14" applyNumberFormat="1" applyFont="1" applyBorder="1" applyProtection="1">
      <protection locked="0"/>
    </xf>
    <xf numFmtId="1" fontId="6" fillId="6" borderId="219" xfId="14" applyNumberFormat="1" applyFont="1" applyBorder="1" applyProtection="1">
      <protection locked="0"/>
    </xf>
    <xf numFmtId="1" fontId="6" fillId="6" borderId="218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03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39" xfId="0" applyNumberFormat="1" applyFont="1" applyBorder="1"/>
    <xf numFmtId="1" fontId="6" fillId="5" borderId="241" xfId="0" applyNumberFormat="1" applyFont="1" applyFill="1" applyBorder="1" applyProtection="1">
      <protection locked="0"/>
    </xf>
    <xf numFmtId="1" fontId="6" fillId="5" borderId="238" xfId="0" applyNumberFormat="1" applyFont="1" applyFill="1" applyBorder="1" applyProtection="1">
      <protection locked="0"/>
    </xf>
    <xf numFmtId="1" fontId="6" fillId="5" borderId="222" xfId="0" applyNumberFormat="1" applyFont="1" applyFill="1" applyBorder="1" applyProtection="1">
      <protection locked="0"/>
    </xf>
    <xf numFmtId="1" fontId="6" fillId="5" borderId="224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232" xfId="0" applyNumberFormat="1" applyFont="1" applyFill="1" applyBorder="1"/>
    <xf numFmtId="1" fontId="2" fillId="3" borderId="0" xfId="0" applyNumberFormat="1" applyFont="1" applyFill="1"/>
    <xf numFmtId="1" fontId="2" fillId="3" borderId="175" xfId="0" applyNumberFormat="1" applyFont="1" applyFill="1" applyBorder="1"/>
    <xf numFmtId="1" fontId="6" fillId="5" borderId="178" xfId="0" applyNumberFormat="1" applyFont="1" applyFill="1" applyBorder="1" applyProtection="1">
      <protection locked="0"/>
    </xf>
    <xf numFmtId="1" fontId="6" fillId="0" borderId="23" xfId="0" applyNumberFormat="1" applyFont="1" applyBorder="1"/>
    <xf numFmtId="1" fontId="6" fillId="5" borderId="262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0" borderId="267" xfId="0" applyNumberFormat="1" applyFont="1" applyBorder="1"/>
    <xf numFmtId="1" fontId="6" fillId="0" borderId="264" xfId="0" applyNumberFormat="1" applyFont="1" applyBorder="1"/>
    <xf numFmtId="1" fontId="6" fillId="5" borderId="268" xfId="0" applyNumberFormat="1" applyFont="1" applyFill="1" applyBorder="1" applyProtection="1">
      <protection locked="0"/>
    </xf>
    <xf numFmtId="1" fontId="6" fillId="5" borderId="269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5" borderId="276" xfId="0" applyNumberFormat="1" applyFont="1" applyFill="1" applyBorder="1" applyProtection="1">
      <protection locked="0"/>
    </xf>
    <xf numFmtId="1" fontId="6" fillId="5" borderId="277" xfId="0" applyNumberFormat="1" applyFont="1" applyFill="1" applyBorder="1" applyProtection="1">
      <protection locked="0"/>
    </xf>
    <xf numFmtId="1" fontId="6" fillId="0" borderId="274" xfId="0" applyNumberFormat="1" applyFont="1" applyBorder="1"/>
    <xf numFmtId="1" fontId="6" fillId="0" borderId="45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274" xfId="0" applyNumberFormat="1" applyFont="1" applyBorder="1" applyAlignment="1">
      <alignment horizontal="right"/>
    </xf>
    <xf numFmtId="1" fontId="6" fillId="0" borderId="238" xfId="0" applyNumberFormat="1" applyFont="1" applyBorder="1" applyAlignment="1">
      <alignment horizontal="right" wrapText="1"/>
    </xf>
    <xf numFmtId="1" fontId="3" fillId="3" borderId="0" xfId="0" applyNumberFormat="1" applyFont="1" applyFill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291" xfId="0" applyNumberFormat="1" applyFont="1" applyFill="1" applyBorder="1" applyProtection="1">
      <protection locked="0"/>
    </xf>
    <xf numFmtId="1" fontId="6" fillId="0" borderId="30" xfId="0" applyNumberFormat="1" applyFont="1" applyBorder="1" applyAlignment="1">
      <alignment wrapText="1"/>
    </xf>
    <xf numFmtId="1" fontId="6" fillId="0" borderId="62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5" borderId="293" xfId="0" applyNumberFormat="1" applyFont="1" applyFill="1" applyBorder="1" applyProtection="1">
      <protection locked="0"/>
    </xf>
    <xf numFmtId="1" fontId="6" fillId="5" borderId="279" xfId="0" applyNumberFormat="1" applyFont="1" applyFill="1" applyBorder="1" applyProtection="1">
      <protection locked="0"/>
    </xf>
    <xf numFmtId="1" fontId="6" fillId="5" borderId="294" xfId="0" applyNumberFormat="1" applyFont="1" applyFill="1" applyBorder="1" applyProtection="1">
      <protection locked="0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5" borderId="288" xfId="0" applyNumberFormat="1" applyFont="1" applyFill="1" applyBorder="1" applyProtection="1">
      <protection locked="0"/>
    </xf>
    <xf numFmtId="1" fontId="6" fillId="0" borderId="290" xfId="0" applyNumberFormat="1" applyFont="1" applyBorder="1"/>
    <xf numFmtId="1" fontId="6" fillId="0" borderId="281" xfId="0" applyNumberFormat="1" applyFont="1" applyBorder="1"/>
    <xf numFmtId="1" fontId="6" fillId="5" borderId="104" xfId="0" applyNumberFormat="1" applyFont="1" applyFill="1" applyBorder="1" applyProtection="1">
      <protection locked="0"/>
    </xf>
    <xf numFmtId="1" fontId="6" fillId="0" borderId="177" xfId="0" applyNumberFormat="1" applyFont="1" applyBorder="1" applyAlignment="1">
      <alignment vertical="center" wrapText="1"/>
    </xf>
    <xf numFmtId="1" fontId="6" fillId="4" borderId="241" xfId="0" applyNumberFormat="1" applyFont="1" applyFill="1" applyBorder="1"/>
    <xf numFmtId="1" fontId="6" fillId="4" borderId="9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14" borderId="0" xfId="0" applyNumberFormat="1" applyFont="1" applyFill="1" applyProtection="1">
      <protection locked="0"/>
    </xf>
    <xf numFmtId="1" fontId="6" fillId="5" borderId="305" xfId="0" applyNumberFormat="1" applyFont="1" applyFill="1" applyBorder="1" applyProtection="1">
      <protection locked="0"/>
    </xf>
    <xf numFmtId="1" fontId="6" fillId="5" borderId="273" xfId="0" applyNumberFormat="1" applyFont="1" applyFill="1" applyBorder="1" applyProtection="1">
      <protection locked="0"/>
    </xf>
    <xf numFmtId="1" fontId="6" fillId="0" borderId="224" xfId="0" applyNumberFormat="1" applyFont="1" applyBorder="1"/>
    <xf numFmtId="1" fontId="6" fillId="0" borderId="290" xfId="0" applyNumberFormat="1" applyFont="1" applyBorder="1" applyAlignment="1">
      <alignment horizontal="right"/>
    </xf>
    <xf numFmtId="1" fontId="6" fillId="0" borderId="281" xfId="0" applyNumberFormat="1" applyFont="1" applyBorder="1" applyAlignment="1">
      <alignment horizontal="right"/>
    </xf>
    <xf numFmtId="1" fontId="6" fillId="0" borderId="279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97" xfId="0" applyNumberFormat="1" applyFont="1" applyBorder="1" applyAlignment="1">
      <alignment horizontal="center" vertical="center" wrapText="1"/>
    </xf>
    <xf numFmtId="1" fontId="6" fillId="0" borderId="72" xfId="0" applyNumberFormat="1" applyFont="1" applyBorder="1"/>
    <xf numFmtId="1" fontId="6" fillId="0" borderId="30" xfId="0" applyNumberFormat="1" applyFont="1" applyBorder="1"/>
    <xf numFmtId="1" fontId="6" fillId="5" borderId="308" xfId="0" applyNumberFormat="1" applyFont="1" applyFill="1" applyBorder="1" applyProtection="1">
      <protection locked="0"/>
    </xf>
    <xf numFmtId="1" fontId="6" fillId="0" borderId="222" xfId="0" applyNumberFormat="1" applyFont="1" applyBorder="1" applyAlignment="1">
      <alignment horizontal="center" vertical="center"/>
    </xf>
    <xf numFmtId="1" fontId="6" fillId="5" borderId="292" xfId="0" applyNumberFormat="1" applyFont="1" applyFill="1" applyBorder="1" applyProtection="1">
      <protection locked="0"/>
    </xf>
    <xf numFmtId="1" fontId="6" fillId="0" borderId="288" xfId="0" applyNumberFormat="1" applyFont="1" applyBorder="1"/>
    <xf numFmtId="1" fontId="6" fillId="5" borderId="272" xfId="0" applyNumberFormat="1" applyFont="1" applyFill="1" applyBorder="1" applyProtection="1">
      <protection locked="0"/>
    </xf>
    <xf numFmtId="1" fontId="6" fillId="0" borderId="289" xfId="0" applyNumberFormat="1" applyFont="1" applyBorder="1"/>
    <xf numFmtId="1" fontId="6" fillId="0" borderId="289" xfId="0" applyNumberFormat="1" applyFont="1" applyBorder="1" applyAlignment="1">
      <alignment horizontal="center" vertical="center"/>
    </xf>
    <xf numFmtId="1" fontId="6" fillId="5" borderId="296" xfId="0" applyNumberFormat="1" applyFont="1" applyFill="1" applyBorder="1" applyProtection="1">
      <protection locked="0"/>
    </xf>
    <xf numFmtId="1" fontId="6" fillId="3" borderId="27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0" borderId="238" xfId="0" applyNumberFormat="1" applyFont="1" applyBorder="1" applyAlignment="1">
      <alignment horizontal="center" vertical="center"/>
    </xf>
    <xf numFmtId="1" fontId="4" fillId="14" borderId="175" xfId="0" applyNumberFormat="1" applyFont="1" applyFill="1" applyBorder="1"/>
    <xf numFmtId="1" fontId="4" fillId="3" borderId="226" xfId="0" applyNumberFormat="1" applyFont="1" applyFill="1" applyBorder="1"/>
    <xf numFmtId="1" fontId="6" fillId="5" borderId="59" xfId="0" applyNumberFormat="1" applyFont="1" applyFill="1" applyBorder="1" applyAlignment="1" applyProtection="1">
      <alignment horizontal="right"/>
      <protection locked="0"/>
    </xf>
    <xf numFmtId="1" fontId="6" fillId="5" borderId="275" xfId="0" applyNumberFormat="1" applyFont="1" applyFill="1" applyBorder="1" applyAlignment="1" applyProtection="1">
      <alignment horizontal="right"/>
      <protection locked="0"/>
    </xf>
    <xf numFmtId="1" fontId="6" fillId="5" borderId="277" xfId="0" applyNumberFormat="1" applyFont="1" applyFill="1" applyBorder="1" applyAlignment="1" applyProtection="1">
      <alignment horizontal="right"/>
      <protection locked="0"/>
    </xf>
    <xf numFmtId="1" fontId="6" fillId="5" borderId="293" xfId="0" applyNumberFormat="1" applyFont="1" applyFill="1" applyBorder="1" applyAlignment="1" applyProtection="1">
      <alignment horizontal="right"/>
      <protection locked="0"/>
    </xf>
    <xf numFmtId="1" fontId="6" fillId="5" borderId="276" xfId="0" applyNumberFormat="1" applyFont="1" applyFill="1" applyBorder="1" applyAlignment="1" applyProtection="1">
      <alignment horizontal="right"/>
      <protection locked="0"/>
    </xf>
    <xf numFmtId="1" fontId="6" fillId="0" borderId="276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horizontal="left"/>
    </xf>
    <xf numFmtId="1" fontId="6" fillId="3" borderId="0" xfId="0" applyNumberFormat="1" applyFont="1" applyFill="1" applyAlignment="1">
      <alignment horizontal="left"/>
    </xf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275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0" borderId="275" xfId="0" applyNumberFormat="1" applyFont="1" applyBorder="1" applyAlignment="1">
      <alignment horizontal="left" wrapText="1"/>
    </xf>
    <xf numFmtId="1" fontId="6" fillId="5" borderId="292" xfId="0" applyNumberFormat="1" applyFont="1" applyFill="1" applyBorder="1" applyAlignment="1" applyProtection="1">
      <alignment horizontal="right"/>
      <protection locked="0"/>
    </xf>
    <xf numFmtId="1" fontId="6" fillId="0" borderId="279" xfId="0" applyNumberFormat="1" applyFont="1" applyBorder="1" applyAlignment="1">
      <alignment horizontal="right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6" xfId="0" applyNumberFormat="1" applyFont="1" applyFill="1" applyBorder="1" applyAlignment="1" applyProtection="1">
      <alignment horizontal="right"/>
      <protection locked="0"/>
    </xf>
    <xf numFmtId="1" fontId="6" fillId="0" borderId="62" xfId="0" applyNumberFormat="1" applyFont="1" applyBorder="1" applyAlignment="1">
      <alignment horizontal="right" wrapText="1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13" fillId="0" borderId="246" xfId="0" applyNumberFormat="1" applyFont="1" applyBorder="1"/>
    <xf numFmtId="1" fontId="2" fillId="0" borderId="244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275" xfId="0" applyNumberFormat="1" applyFont="1" applyFill="1" applyBorder="1" applyAlignment="1" applyProtection="1">
      <alignment horizontal="right" wrapText="1"/>
      <protection locked="0"/>
    </xf>
    <xf numFmtId="1" fontId="6" fillId="5" borderId="237" xfId="0" applyNumberFormat="1" applyFont="1" applyFill="1" applyBorder="1" applyAlignment="1" applyProtection="1">
      <alignment horizontal="right" wrapText="1"/>
      <protection locked="0"/>
    </xf>
    <xf numFmtId="1" fontId="6" fillId="5" borderId="143" xfId="0" applyNumberFormat="1" applyFont="1" applyFill="1" applyBorder="1" applyAlignment="1" applyProtection="1">
      <alignment horizontal="right" wrapText="1"/>
      <protection locked="0"/>
    </xf>
    <xf numFmtId="1" fontId="6" fillId="5" borderId="175" xfId="0" applyNumberFormat="1" applyFont="1" applyFill="1" applyBorder="1" applyAlignment="1" applyProtection="1">
      <alignment horizontal="right" wrapText="1"/>
      <protection locked="0"/>
    </xf>
    <xf numFmtId="1" fontId="6" fillId="5" borderId="239" xfId="0" applyNumberFormat="1" applyFont="1" applyFill="1" applyBorder="1" applyAlignment="1" applyProtection="1">
      <alignment horizontal="right" wrapText="1"/>
      <protection locked="0"/>
    </xf>
    <xf numFmtId="1" fontId="6" fillId="5" borderId="75" xfId="0" applyNumberFormat="1" applyFont="1" applyFill="1" applyBorder="1" applyAlignment="1" applyProtection="1">
      <alignment horizontal="right" wrapText="1"/>
      <protection locked="0"/>
    </xf>
    <xf numFmtId="1" fontId="6" fillId="5" borderId="142" xfId="0" applyNumberFormat="1" applyFont="1" applyFill="1" applyBorder="1" applyAlignment="1" applyProtection="1">
      <alignment horizontal="right" wrapText="1"/>
      <protection locked="0"/>
    </xf>
    <xf numFmtId="1" fontId="6" fillId="5" borderId="144" xfId="0" applyNumberFormat="1" applyFont="1" applyFill="1" applyBorder="1" applyAlignment="1" applyProtection="1">
      <alignment horizontal="right" wrapText="1"/>
      <protection locked="0"/>
    </xf>
    <xf numFmtId="1" fontId="6" fillId="5" borderId="177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59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4" xfId="0" applyNumberFormat="1" applyFont="1" applyFill="1" applyBorder="1" applyAlignment="1" applyProtection="1">
      <alignment horizontal="right" wrapText="1"/>
      <protection locked="0"/>
    </xf>
    <xf numFmtId="1" fontId="6" fillId="5" borderId="50" xfId="0" applyNumberFormat="1" applyFont="1" applyFill="1" applyBorder="1" applyAlignment="1" applyProtection="1">
      <alignment horizontal="right" wrapText="1"/>
      <protection locked="0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4" xfId="0" applyNumberFormat="1" applyFont="1" applyFill="1" applyBorder="1" applyAlignment="1" applyProtection="1">
      <alignment horizontal="right" wrapText="1"/>
      <protection locked="0"/>
    </xf>
    <xf numFmtId="1" fontId="6" fillId="5" borderId="68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263" xfId="0" applyNumberFormat="1" applyFont="1" applyFill="1" applyBorder="1" applyAlignment="1" applyProtection="1">
      <alignment horizontal="right" wrapText="1"/>
      <protection locked="0"/>
    </xf>
    <xf numFmtId="1" fontId="6" fillId="5" borderId="305" xfId="0" applyNumberFormat="1" applyFont="1" applyFill="1" applyBorder="1" applyAlignment="1" applyProtection="1">
      <alignment horizontal="right" wrapText="1"/>
      <protection locked="0"/>
    </xf>
    <xf numFmtId="1" fontId="6" fillId="5" borderId="266" xfId="0" applyNumberFormat="1" applyFont="1" applyFill="1" applyBorder="1" applyAlignment="1" applyProtection="1">
      <alignment horizontal="right" wrapText="1"/>
      <protection locked="0"/>
    </xf>
    <xf numFmtId="1" fontId="6" fillId="5" borderId="273" xfId="0" applyNumberFormat="1" applyFont="1" applyFill="1" applyBorder="1" applyAlignment="1" applyProtection="1">
      <alignment horizontal="right" wrapText="1"/>
      <protection locked="0"/>
    </xf>
    <xf numFmtId="1" fontId="6" fillId="5" borderId="327" xfId="0" applyNumberFormat="1" applyFont="1" applyFill="1" applyBorder="1" applyAlignment="1" applyProtection="1">
      <alignment horizontal="right" wrapText="1"/>
      <protection locked="0"/>
    </xf>
    <xf numFmtId="1" fontId="6" fillId="5" borderId="264" xfId="0" applyNumberFormat="1" applyFont="1" applyFill="1" applyBorder="1" applyAlignment="1" applyProtection="1">
      <alignment horizontal="right" wrapText="1"/>
      <protection locked="0"/>
    </xf>
    <xf numFmtId="1" fontId="6" fillId="5" borderId="26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269" xfId="0" applyNumberFormat="1" applyFont="1" applyFill="1" applyBorder="1" applyAlignment="1" applyProtection="1">
      <alignment horizontal="right" wrapText="1"/>
      <protection locked="0"/>
    </xf>
    <xf numFmtId="1" fontId="6" fillId="5" borderId="306" xfId="0" applyNumberFormat="1" applyFont="1" applyFill="1" applyBorder="1" applyAlignment="1" applyProtection="1">
      <alignment horizontal="right" wrapText="1"/>
      <protection locked="0"/>
    </xf>
    <xf numFmtId="1" fontId="6" fillId="5" borderId="270" xfId="0" applyNumberFormat="1" applyFont="1" applyFill="1" applyBorder="1" applyAlignment="1" applyProtection="1">
      <alignment horizontal="right" wrapText="1"/>
      <protection locked="0"/>
    </xf>
    <xf numFmtId="1" fontId="6" fillId="5" borderId="112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5" borderId="105" xfId="0" applyNumberFormat="1" applyFont="1" applyFill="1" applyBorder="1" applyAlignment="1" applyProtection="1">
      <alignment horizontal="right" wrapText="1"/>
      <protection locked="0"/>
    </xf>
    <xf numFmtId="1" fontId="6" fillId="5" borderId="271" xfId="0" applyNumberFormat="1" applyFont="1" applyFill="1" applyBorder="1" applyAlignment="1" applyProtection="1">
      <alignment horizontal="right" wrapText="1"/>
      <protection locked="0"/>
    </xf>
    <xf numFmtId="1" fontId="6" fillId="5" borderId="268" xfId="0" applyNumberFormat="1" applyFont="1" applyFill="1" applyBorder="1" applyAlignment="1" applyProtection="1">
      <alignment horizontal="right" wrapText="1"/>
      <protection locked="0"/>
    </xf>
    <xf numFmtId="1" fontId="6" fillId="0" borderId="330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278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292" xfId="0" applyNumberFormat="1" applyFont="1" applyBorder="1" applyAlignment="1">
      <alignment vertical="center" wrapText="1"/>
    </xf>
    <xf numFmtId="1" fontId="4" fillId="3" borderId="240" xfId="0" applyNumberFormat="1" applyFont="1" applyFill="1" applyBorder="1"/>
    <xf numFmtId="1" fontId="4" fillId="0" borderId="240" xfId="0" applyNumberFormat="1" applyFont="1" applyBorder="1"/>
    <xf numFmtId="1" fontId="6" fillId="0" borderId="280" xfId="0" applyNumberFormat="1" applyFont="1" applyBorder="1"/>
    <xf numFmtId="1" fontId="6" fillId="0" borderId="312" xfId="0" applyNumberFormat="1" applyFont="1" applyBorder="1"/>
    <xf numFmtId="1" fontId="6" fillId="0" borderId="290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right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292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3" borderId="0" xfId="0" applyNumberFormat="1" applyFont="1" applyFill="1" applyAlignment="1">
      <alignment horizontal="center" vertical="center"/>
    </xf>
    <xf numFmtId="1" fontId="11" fillId="3" borderId="0" xfId="0" applyNumberFormat="1" applyFont="1" applyFill="1" applyAlignment="1">
      <alignment horizontal="left"/>
    </xf>
    <xf numFmtId="1" fontId="6" fillId="0" borderId="334" xfId="0" applyNumberFormat="1" applyFont="1" applyBorder="1" applyAlignment="1">
      <alignment horizontal="right" wrapText="1"/>
    </xf>
    <xf numFmtId="1" fontId="6" fillId="5" borderId="337" xfId="0" applyNumberFormat="1" applyFont="1" applyFill="1" applyBorder="1" applyAlignment="1" applyProtection="1">
      <alignment wrapText="1"/>
      <protection locked="0"/>
    </xf>
    <xf numFmtId="1" fontId="6" fillId="14" borderId="175" xfId="0" applyNumberFormat="1" applyFont="1" applyFill="1" applyBorder="1" applyAlignment="1">
      <alignment wrapText="1"/>
    </xf>
    <xf numFmtId="1" fontId="6" fillId="0" borderId="175" xfId="0" applyNumberFormat="1" applyFont="1" applyBorder="1" applyAlignment="1">
      <alignment wrapText="1"/>
    </xf>
    <xf numFmtId="1" fontId="6" fillId="5" borderId="339" xfId="0" applyNumberFormat="1" applyFont="1" applyFill="1" applyBorder="1" applyProtection="1">
      <protection locked="0"/>
    </xf>
    <xf numFmtId="1" fontId="6" fillId="5" borderId="337" xfId="0" applyNumberFormat="1" applyFont="1" applyFill="1" applyBorder="1" applyProtection="1">
      <protection locked="0"/>
    </xf>
    <xf numFmtId="1" fontId="11" fillId="0" borderId="348" xfId="0" applyNumberFormat="1" applyFont="1" applyBorder="1"/>
    <xf numFmtId="1" fontId="6" fillId="4" borderId="351" xfId="0" applyNumberFormat="1" applyFont="1" applyFill="1" applyBorder="1"/>
    <xf numFmtId="1" fontId="6" fillId="4" borderId="337" xfId="0" applyNumberFormat="1" applyFont="1" applyFill="1" applyBorder="1"/>
    <xf numFmtId="1" fontId="6" fillId="0" borderId="334" xfId="0" applyNumberFormat="1" applyFont="1" applyBorder="1" applyAlignment="1">
      <alignment horizontal="right"/>
    </xf>
    <xf numFmtId="1" fontId="6" fillId="5" borderId="351" xfId="0" applyNumberFormat="1" applyFont="1" applyFill="1" applyBorder="1" applyProtection="1">
      <protection locked="0"/>
    </xf>
    <xf numFmtId="1" fontId="6" fillId="5" borderId="333" xfId="0" applyNumberFormat="1" applyFont="1" applyFill="1" applyBorder="1" applyProtection="1">
      <protection locked="0"/>
    </xf>
    <xf numFmtId="1" fontId="6" fillId="5" borderId="336" xfId="0" applyNumberFormat="1" applyFont="1" applyFill="1" applyBorder="1" applyProtection="1">
      <protection locked="0"/>
    </xf>
    <xf numFmtId="1" fontId="6" fillId="0" borderId="339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wrapText="1"/>
    </xf>
    <xf numFmtId="1" fontId="6" fillId="5" borderId="357" xfId="0" applyNumberFormat="1" applyFont="1" applyFill="1" applyBorder="1" applyProtection="1">
      <protection locked="0"/>
    </xf>
    <xf numFmtId="1" fontId="6" fillId="5" borderId="358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0" borderId="339" xfId="0" applyNumberFormat="1" applyFont="1" applyBorder="1" applyAlignment="1">
      <alignment horizontal="left" vertical="center"/>
    </xf>
    <xf numFmtId="1" fontId="6" fillId="5" borderId="343" xfId="0" applyNumberFormat="1" applyFont="1" applyFill="1" applyBorder="1" applyProtection="1">
      <protection locked="0"/>
    </xf>
    <xf numFmtId="1" fontId="6" fillId="5" borderId="346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60" xfId="0" applyNumberFormat="1" applyFont="1" applyFill="1" applyBorder="1" applyProtection="1">
      <protection locked="0"/>
    </xf>
    <xf numFmtId="1" fontId="6" fillId="5" borderId="361" xfId="0" applyNumberFormat="1" applyFont="1" applyFill="1" applyBorder="1" applyProtection="1">
      <protection locked="0"/>
    </xf>
    <xf numFmtId="1" fontId="6" fillId="5" borderId="334" xfId="0" applyNumberFormat="1" applyFont="1" applyFill="1" applyBorder="1" applyProtection="1">
      <protection locked="0"/>
    </xf>
    <xf numFmtId="1" fontId="6" fillId="4" borderId="336" xfId="0" applyNumberFormat="1" applyFont="1" applyFill="1" applyBorder="1"/>
    <xf numFmtId="1" fontId="6" fillId="5" borderId="114" xfId="0" applyNumberFormat="1" applyFont="1" applyFill="1" applyBorder="1" applyProtection="1">
      <protection locked="0"/>
    </xf>
    <xf numFmtId="1" fontId="6" fillId="0" borderId="343" xfId="0" applyNumberFormat="1" applyFont="1" applyBorder="1"/>
    <xf numFmtId="1" fontId="6" fillId="0" borderId="346" xfId="0" applyNumberFormat="1" applyFont="1" applyBorder="1"/>
    <xf numFmtId="1" fontId="6" fillId="5" borderId="338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right"/>
    </xf>
    <xf numFmtId="1" fontId="6" fillId="0" borderId="344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 wrapText="1"/>
    </xf>
    <xf numFmtId="1" fontId="6" fillId="0" borderId="50" xfId="0" applyNumberFormat="1" applyFont="1" applyBorder="1" applyAlignment="1">
      <alignment horizontal="right" wrapText="1"/>
    </xf>
    <xf numFmtId="1" fontId="6" fillId="5" borderId="363" xfId="0" applyNumberFormat="1" applyFont="1" applyFill="1" applyBorder="1" applyProtection="1">
      <protection locked="0"/>
    </xf>
    <xf numFmtId="1" fontId="6" fillId="5" borderId="367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12" borderId="37" xfId="0" applyNumberFormat="1" applyFont="1" applyFill="1" applyBorder="1"/>
    <xf numFmtId="1" fontId="6" fillId="5" borderId="379" xfId="0" applyNumberFormat="1" applyFont="1" applyFill="1" applyBorder="1" applyProtection="1">
      <protection locked="0"/>
    </xf>
    <xf numFmtId="1" fontId="6" fillId="0" borderId="378" xfId="0" applyNumberFormat="1" applyFont="1" applyBorder="1" applyAlignment="1">
      <alignment horizontal="center" vertical="center" wrapText="1"/>
    </xf>
    <xf numFmtId="1" fontId="6" fillId="0" borderId="380" xfId="0" applyNumberFormat="1" applyFont="1" applyBorder="1" applyAlignment="1">
      <alignment horizontal="center" vertical="center"/>
    </xf>
    <xf numFmtId="1" fontId="6" fillId="0" borderId="3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0" borderId="380" xfId="0" applyNumberFormat="1" applyFont="1" applyBorder="1" applyAlignment="1">
      <alignment horizontal="center" vertical="center" wrapText="1"/>
    </xf>
    <xf numFmtId="1" fontId="6" fillId="5" borderId="29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76" xfId="0" applyNumberFormat="1" applyFont="1" applyBorder="1" applyAlignment="1">
      <alignment horizontal="center" vertical="center" wrapText="1"/>
    </xf>
    <xf numFmtId="1" fontId="6" fillId="0" borderId="382" xfId="0" applyNumberFormat="1" applyFont="1" applyBorder="1"/>
    <xf numFmtId="1" fontId="6" fillId="4" borderId="56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0" borderId="36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6" fillId="24" borderId="336" xfId="0" applyNumberFormat="1" applyFont="1" applyFill="1" applyBorder="1" applyProtection="1">
      <protection locked="0"/>
    </xf>
    <xf numFmtId="1" fontId="6" fillId="24" borderId="334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382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5" borderId="350" xfId="0" applyNumberFormat="1" applyFont="1" applyFill="1" applyBorder="1" applyProtection="1">
      <protection locked="0"/>
    </xf>
    <xf numFmtId="1" fontId="6" fillId="5" borderId="369" xfId="0" applyNumberFormat="1" applyFont="1" applyFill="1" applyBorder="1" applyProtection="1">
      <protection locked="0"/>
    </xf>
    <xf numFmtId="1" fontId="6" fillId="5" borderId="385" xfId="0" applyNumberFormat="1" applyFont="1" applyFill="1" applyBorder="1" applyProtection="1">
      <protection locked="0"/>
    </xf>
    <xf numFmtId="1" fontId="6" fillId="5" borderId="386" xfId="0" applyNumberFormat="1" applyFont="1" applyFill="1" applyBorder="1" applyProtection="1">
      <protection locked="0"/>
    </xf>
    <xf numFmtId="1" fontId="6" fillId="5" borderId="383" xfId="0" applyNumberFormat="1" applyFont="1" applyFill="1" applyBorder="1" applyProtection="1">
      <protection locked="0"/>
    </xf>
    <xf numFmtId="1" fontId="6" fillId="5" borderId="134" xfId="0" applyNumberFormat="1" applyFont="1" applyFill="1" applyBorder="1" applyProtection="1">
      <protection locked="0"/>
    </xf>
    <xf numFmtId="1" fontId="6" fillId="0" borderId="157" xfId="0" applyNumberFormat="1" applyFont="1" applyBorder="1" applyAlignment="1">
      <alignment horizontal="center" vertical="center" wrapText="1"/>
    </xf>
    <xf numFmtId="1" fontId="6" fillId="5" borderId="223" xfId="0" applyNumberFormat="1" applyFont="1" applyFill="1" applyBorder="1" applyProtection="1">
      <protection locked="0"/>
    </xf>
    <xf numFmtId="1" fontId="6" fillId="5" borderId="242" xfId="0" applyNumberFormat="1" applyFont="1" applyFill="1" applyBorder="1" applyProtection="1">
      <protection locked="0"/>
    </xf>
    <xf numFmtId="1" fontId="6" fillId="0" borderId="365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97" xfId="0" applyNumberFormat="1" applyFont="1" applyFill="1" applyBorder="1"/>
    <xf numFmtId="1" fontId="6" fillId="12" borderId="291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6" xfId="0" applyNumberFormat="1" applyFont="1" applyFill="1" applyBorder="1"/>
    <xf numFmtId="1" fontId="6" fillId="12" borderId="60" xfId="0" applyNumberFormat="1" applyFont="1" applyFill="1" applyBorder="1"/>
    <xf numFmtId="1" fontId="6" fillId="12" borderId="61" xfId="0" applyNumberFormat="1" applyFont="1" applyFill="1" applyBorder="1"/>
    <xf numFmtId="1" fontId="6" fillId="4" borderId="291" xfId="0" applyNumberFormat="1" applyFont="1" applyFill="1" applyBorder="1"/>
    <xf numFmtId="1" fontId="6" fillId="12" borderId="110" xfId="0" applyNumberFormat="1" applyFont="1" applyFill="1" applyBorder="1"/>
    <xf numFmtId="1" fontId="6" fillId="12" borderId="54" xfId="0" applyNumberFormat="1" applyFont="1" applyFill="1" applyBorder="1"/>
    <xf numFmtId="1" fontId="6" fillId="12" borderId="50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0" borderId="365" xfId="0" applyNumberFormat="1" applyFont="1" applyBorder="1"/>
    <xf numFmtId="1" fontId="6" fillId="12" borderId="351" xfId="0" applyNumberFormat="1" applyFont="1" applyFill="1" applyBorder="1"/>
    <xf numFmtId="1" fontId="6" fillId="12" borderId="364" xfId="0" applyNumberFormat="1" applyFont="1" applyFill="1" applyBorder="1"/>
    <xf numFmtId="1" fontId="6" fillId="12" borderId="363" xfId="0" applyNumberFormat="1" applyFont="1" applyFill="1" applyBorder="1"/>
    <xf numFmtId="1" fontId="6" fillId="12" borderId="337" xfId="0" applyNumberFormat="1" applyFont="1" applyFill="1" applyBorder="1"/>
    <xf numFmtId="1" fontId="6" fillId="14" borderId="175" xfId="0" applyNumberFormat="1" applyFont="1" applyFill="1" applyBorder="1"/>
    <xf numFmtId="1" fontId="6" fillId="0" borderId="70" xfId="0" applyNumberFormat="1" applyFont="1" applyBorder="1"/>
    <xf numFmtId="1" fontId="6" fillId="0" borderId="291" xfId="0" applyNumberFormat="1" applyFont="1" applyBorder="1"/>
    <xf numFmtId="1" fontId="6" fillId="0" borderId="69" xfId="0" applyNumberFormat="1" applyFont="1" applyBorder="1"/>
    <xf numFmtId="1" fontId="6" fillId="0" borderId="364" xfId="0" applyNumberFormat="1" applyFont="1" applyBorder="1"/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365" xfId="0" applyNumberFormat="1" applyFont="1" applyFill="1" applyBorder="1"/>
    <xf numFmtId="1" fontId="6" fillId="4" borderId="222" xfId="0" applyNumberFormat="1" applyFont="1" applyFill="1" applyBorder="1"/>
    <xf numFmtId="1" fontId="6" fillId="12" borderId="36" xfId="0" applyNumberFormat="1" applyFont="1" applyFill="1" applyBorder="1"/>
    <xf numFmtId="1" fontId="6" fillId="5" borderId="370" xfId="0" applyNumberFormat="1" applyFont="1" applyFill="1" applyBorder="1" applyProtection="1">
      <protection locked="0"/>
    </xf>
    <xf numFmtId="1" fontId="6" fillId="5" borderId="371" xfId="0" applyNumberFormat="1" applyFont="1" applyFill="1" applyBorder="1" applyProtection="1">
      <protection locked="0"/>
    </xf>
    <xf numFmtId="1" fontId="6" fillId="4" borderId="370" xfId="0" applyNumberFormat="1" applyFont="1" applyFill="1" applyBorder="1"/>
    <xf numFmtId="1" fontId="6" fillId="0" borderId="69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339" xfId="0" applyNumberFormat="1" applyFont="1" applyFill="1" applyBorder="1"/>
    <xf numFmtId="1" fontId="13" fillId="3" borderId="175" xfId="0" applyNumberFormat="1" applyFont="1" applyFill="1" applyBorder="1" applyAlignment="1">
      <alignment horizontal="left"/>
    </xf>
    <xf numFmtId="1" fontId="6" fillId="14" borderId="0" xfId="0" applyNumberFormat="1" applyFont="1" applyFill="1" applyAlignment="1">
      <alignment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6" fillId="4" borderId="383" xfId="0" applyNumberFormat="1" applyFont="1" applyFill="1" applyBorder="1"/>
    <xf numFmtId="1" fontId="4" fillId="14" borderId="0" xfId="0" applyNumberFormat="1" applyFont="1" applyFill="1" applyAlignment="1">
      <alignment horizontal="left" wrapText="1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0" borderId="228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4" borderId="262" xfId="0" applyNumberFormat="1" applyFont="1" applyFill="1" applyBorder="1"/>
    <xf numFmtId="1" fontId="6" fillId="5" borderId="388" xfId="0" applyNumberFormat="1" applyFont="1" applyFill="1" applyBorder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0" borderId="54" xfId="0" applyNumberFormat="1" applyFont="1" applyBorder="1"/>
    <xf numFmtId="1" fontId="6" fillId="0" borderId="55" xfId="0" applyNumberFormat="1" applyFont="1" applyBorder="1"/>
    <xf numFmtId="1" fontId="13" fillId="3" borderId="0" xfId="0" applyNumberFormat="1" applyFont="1" applyFill="1" applyAlignment="1">
      <alignment horizontal="center" vertical="center"/>
    </xf>
    <xf numFmtId="1" fontId="20" fillId="21" borderId="0" xfId="0" applyNumberFormat="1" applyFont="1" applyFill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0" borderId="281" xfId="23" applyNumberFormat="1" applyFont="1" applyBorder="1"/>
    <xf numFmtId="1" fontId="6" fillId="0" borderId="228" xfId="23" applyNumberFormat="1" applyFont="1" applyBorder="1"/>
    <xf numFmtId="1" fontId="6" fillId="0" borderId="290" xfId="23" applyNumberFormat="1" applyFont="1" applyBorder="1"/>
    <xf numFmtId="1" fontId="6" fillId="0" borderId="280" xfId="23" applyNumberFormat="1" applyFont="1" applyBorder="1" applyAlignment="1">
      <alignment horizontal="center" vertical="center" wrapText="1"/>
    </xf>
    <xf numFmtId="1" fontId="6" fillId="0" borderId="238" xfId="23" applyNumberFormat="1" applyFont="1" applyBorder="1" applyAlignment="1">
      <alignment horizontal="center" vertical="center" wrapText="1"/>
    </xf>
    <xf numFmtId="1" fontId="6" fillId="0" borderId="404" xfId="24" applyNumberFormat="1" applyFont="1" applyBorder="1" applyAlignment="1" applyProtection="1">
      <alignment horizontal="center" vertical="center"/>
      <protection hidden="1"/>
    </xf>
    <xf numFmtId="1" fontId="6" fillId="0" borderId="57" xfId="0" applyNumberFormat="1" applyFont="1" applyBorder="1"/>
    <xf numFmtId="1" fontId="38" fillId="3" borderId="0" xfId="0" applyNumberFormat="1" applyFont="1" applyFill="1"/>
    <xf numFmtId="1" fontId="6" fillId="5" borderId="408" xfId="0" applyNumberFormat="1" applyFont="1" applyFill="1" applyBorder="1" applyProtection="1">
      <protection locked="0"/>
    </xf>
    <xf numFmtId="1" fontId="6" fillId="0" borderId="400" xfId="0" applyNumberFormat="1" applyFont="1" applyBorder="1"/>
    <xf numFmtId="1" fontId="6" fillId="0" borderId="367" xfId="0" applyNumberFormat="1" applyFont="1" applyBorder="1"/>
    <xf numFmtId="1" fontId="6" fillId="0" borderId="404" xfId="0" applyNumberFormat="1" applyFont="1" applyBorder="1" applyAlignment="1">
      <alignment horizontal="center" vertical="center" wrapText="1"/>
    </xf>
    <xf numFmtId="1" fontId="6" fillId="0" borderId="396" xfId="0" applyNumberFormat="1" applyFont="1" applyBorder="1"/>
    <xf numFmtId="1" fontId="6" fillId="0" borderId="408" xfId="0" applyNumberFormat="1" applyFont="1" applyBorder="1"/>
    <xf numFmtId="1" fontId="6" fillId="0" borderId="403" xfId="0" applyNumberFormat="1" applyFont="1" applyBorder="1"/>
    <xf numFmtId="1" fontId="6" fillId="0" borderId="352" xfId="0" applyNumberFormat="1" applyFont="1" applyBorder="1"/>
    <xf numFmtId="1" fontId="6" fillId="0" borderId="383" xfId="0" applyNumberFormat="1" applyFont="1" applyBorder="1"/>
    <xf numFmtId="1" fontId="6" fillId="0" borderId="359" xfId="0" applyNumberFormat="1" applyFont="1" applyBorder="1"/>
    <xf numFmtId="1" fontId="6" fillId="0" borderId="281" xfId="0" applyNumberFormat="1" applyFont="1" applyBorder="1" applyAlignment="1">
      <alignment vertical="center"/>
    </xf>
    <xf numFmtId="1" fontId="6" fillId="0" borderId="280" xfId="0" applyNumberFormat="1" applyFont="1" applyBorder="1" applyAlignment="1">
      <alignment vertical="center"/>
    </xf>
    <xf numFmtId="1" fontId="6" fillId="0" borderId="290" xfId="0" applyNumberFormat="1" applyFont="1" applyBorder="1" applyAlignment="1">
      <alignment vertical="center"/>
    </xf>
    <xf numFmtId="1" fontId="6" fillId="0" borderId="358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0" borderId="357" xfId="0" applyNumberFormat="1" applyFont="1" applyBorder="1"/>
    <xf numFmtId="1" fontId="6" fillId="0" borderId="305" xfId="0" applyNumberFormat="1" applyFont="1" applyBorder="1"/>
    <xf numFmtId="1" fontId="6" fillId="0" borderId="263" xfId="0" applyNumberFormat="1" applyFont="1" applyBorder="1" applyAlignment="1">
      <alignment horizontal="left" vertical="center" wrapText="1"/>
    </xf>
    <xf numFmtId="1" fontId="6" fillId="0" borderId="411" xfId="0" applyNumberFormat="1" applyFont="1" applyBorder="1" applyAlignment="1">
      <alignment vertical="center"/>
    </xf>
    <xf numFmtId="1" fontId="6" fillId="0" borderId="412" xfId="0" applyNumberFormat="1" applyFont="1" applyBorder="1" applyAlignment="1">
      <alignment vertical="center"/>
    </xf>
    <xf numFmtId="1" fontId="6" fillId="0" borderId="413" xfId="0" applyNumberFormat="1" applyFont="1" applyBorder="1" applyAlignment="1">
      <alignment vertical="center"/>
    </xf>
    <xf numFmtId="1" fontId="6" fillId="0" borderId="32" xfId="0" applyNumberFormat="1" applyFont="1" applyBorder="1"/>
    <xf numFmtId="1" fontId="6" fillId="0" borderId="36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14" borderId="415" xfId="0" applyNumberFormat="1" applyFont="1" applyFill="1" applyBorder="1" applyAlignment="1">
      <alignment wrapText="1"/>
    </xf>
    <xf numFmtId="1" fontId="6" fillId="0" borderId="415" xfId="0" applyNumberFormat="1" applyFont="1" applyBorder="1" applyAlignment="1">
      <alignment wrapText="1"/>
    </xf>
    <xf numFmtId="1" fontId="6" fillId="0" borderId="416" xfId="0" applyNumberFormat="1" applyFont="1" applyBorder="1" applyAlignment="1">
      <alignment wrapText="1"/>
    </xf>
    <xf numFmtId="1" fontId="6" fillId="0" borderId="417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13" fillId="0" borderId="415" xfId="0" applyNumberFormat="1" applyFont="1" applyBorder="1" applyAlignment="1">
      <alignment wrapText="1"/>
    </xf>
    <xf numFmtId="1" fontId="13" fillId="0" borderId="416" xfId="0" applyNumberFormat="1" applyFont="1" applyBorder="1" applyAlignment="1">
      <alignment wrapText="1"/>
    </xf>
    <xf numFmtId="1" fontId="13" fillId="3" borderId="415" xfId="0" applyNumberFormat="1" applyFont="1" applyFill="1" applyBorder="1" applyAlignment="1">
      <alignment wrapText="1"/>
    </xf>
    <xf numFmtId="1" fontId="13" fillId="0" borderId="354" xfId="0" applyNumberFormat="1" applyFont="1" applyBorder="1" applyAlignment="1">
      <alignment wrapText="1"/>
    </xf>
    <xf numFmtId="1" fontId="4" fillId="0" borderId="354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horizontal="right"/>
    </xf>
    <xf numFmtId="1" fontId="6" fillId="0" borderId="404" xfId="0" applyNumberFormat="1" applyFont="1" applyBorder="1" applyAlignment="1">
      <alignment horizontal="right" wrapText="1"/>
    </xf>
    <xf numFmtId="1" fontId="6" fillId="0" borderId="404" xfId="0" applyNumberFormat="1" applyFont="1" applyBorder="1" applyAlignment="1">
      <alignment vertical="center" wrapText="1"/>
    </xf>
    <xf numFmtId="1" fontId="6" fillId="12" borderId="408" xfId="0" applyNumberFormat="1" applyFont="1" applyFill="1" applyBorder="1"/>
    <xf numFmtId="1" fontId="6" fillId="0" borderId="408" xfId="0" applyNumberFormat="1" applyFont="1" applyBorder="1" applyAlignment="1">
      <alignment horizontal="right"/>
    </xf>
    <xf numFmtId="1" fontId="6" fillId="0" borderId="367" xfId="0" applyNumberFormat="1" applyFont="1" applyBorder="1" applyAlignment="1">
      <alignment horizontal="right"/>
    </xf>
    <xf numFmtId="1" fontId="39" fillId="0" borderId="407" xfId="0" applyNumberFormat="1" applyFont="1" applyBorder="1"/>
    <xf numFmtId="1" fontId="13" fillId="14" borderId="407" xfId="0" applyNumberFormat="1" applyFont="1" applyFill="1" applyBorder="1" applyAlignment="1">
      <alignment wrapText="1"/>
    </xf>
    <xf numFmtId="1" fontId="6" fillId="0" borderId="407" xfId="0" applyNumberFormat="1" applyFont="1" applyBorder="1" applyAlignment="1">
      <alignment wrapText="1"/>
    </xf>
    <xf numFmtId="1" fontId="6" fillId="0" borderId="56" xfId="0" applyNumberFormat="1" applyFont="1" applyBorder="1"/>
    <xf numFmtId="1" fontId="6" fillId="0" borderId="401" xfId="0" applyNumberFormat="1" applyFont="1" applyBorder="1"/>
    <xf numFmtId="1" fontId="39" fillId="0" borderId="418" xfId="0" applyNumberFormat="1" applyFont="1" applyBorder="1"/>
    <xf numFmtId="1" fontId="13" fillId="14" borderId="418" xfId="0" applyNumberFormat="1" applyFont="1" applyFill="1" applyBorder="1" applyAlignment="1">
      <alignment wrapText="1"/>
    </xf>
    <xf numFmtId="1" fontId="6" fillId="0" borderId="418" xfId="0" applyNumberFormat="1" applyFont="1" applyBorder="1" applyAlignment="1">
      <alignment wrapText="1"/>
    </xf>
    <xf numFmtId="1" fontId="4" fillId="14" borderId="418" xfId="0" applyNumberFormat="1" applyFont="1" applyFill="1" applyBorder="1"/>
    <xf numFmtId="1" fontId="6" fillId="0" borderId="347" xfId="0" applyNumberFormat="1" applyFont="1" applyBorder="1"/>
    <xf numFmtId="1" fontId="6" fillId="0" borderId="342" xfId="0" applyNumberFormat="1" applyFont="1" applyBorder="1"/>
    <xf numFmtId="1" fontId="6" fillId="0" borderId="344" xfId="0" applyNumberFormat="1" applyFont="1" applyBorder="1"/>
    <xf numFmtId="1" fontId="6" fillId="0" borderId="34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14" borderId="418" xfId="0" applyNumberFormat="1" applyFont="1" applyFill="1" applyBorder="1" applyAlignment="1">
      <alignment wrapText="1"/>
    </xf>
    <xf numFmtId="1" fontId="6" fillId="14" borderId="422" xfId="0" applyNumberFormat="1" applyFont="1" applyFill="1" applyBorder="1" applyAlignment="1">
      <alignment wrapText="1"/>
    </xf>
    <xf numFmtId="1" fontId="6" fillId="14" borderId="99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6" fillId="0" borderId="263" xfId="0" applyNumberFormat="1" applyFont="1" applyBorder="1" applyAlignment="1">
      <alignment vertical="center" wrapText="1"/>
    </xf>
    <xf numFmtId="1" fontId="6" fillId="0" borderId="61" xfId="0" applyNumberFormat="1" applyFont="1" applyBorder="1" applyAlignment="1">
      <alignment vertical="center" wrapText="1"/>
    </xf>
    <xf numFmtId="1" fontId="6" fillId="14" borderId="418" xfId="0" applyNumberFormat="1" applyFont="1" applyFill="1" applyBorder="1" applyAlignment="1">
      <alignment vertical="center"/>
    </xf>
    <xf numFmtId="1" fontId="6" fillId="12" borderId="274" xfId="0" applyNumberFormat="1" applyFont="1" applyFill="1" applyBorder="1"/>
    <xf numFmtId="1" fontId="6" fillId="14" borderId="424" xfId="0" applyNumberFormat="1" applyFont="1" applyFill="1" applyBorder="1" applyAlignment="1">
      <alignment wrapText="1"/>
    </xf>
    <xf numFmtId="1" fontId="6" fillId="14" borderId="425" xfId="0" applyNumberFormat="1" applyFont="1" applyFill="1" applyBorder="1" applyAlignment="1">
      <alignment wrapText="1"/>
    </xf>
    <xf numFmtId="1" fontId="6" fillId="14" borderId="426" xfId="0" applyNumberFormat="1" applyFont="1" applyFill="1" applyBorder="1" applyAlignment="1">
      <alignment wrapText="1"/>
    </xf>
    <xf numFmtId="1" fontId="7" fillId="0" borderId="340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340" xfId="0" applyNumberFormat="1" applyFont="1" applyBorder="1"/>
    <xf numFmtId="1" fontId="6" fillId="3" borderId="423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39" fillId="14" borderId="418" xfId="0" applyNumberFormat="1" applyFont="1" applyFill="1" applyBorder="1"/>
    <xf numFmtId="1" fontId="6" fillId="0" borderId="383" xfId="0" applyNumberFormat="1" applyFont="1" applyBorder="1" applyAlignment="1">
      <alignment horizontal="right" wrapText="1"/>
    </xf>
    <xf numFmtId="1" fontId="6" fillId="0" borderId="431" xfId="0" applyNumberFormat="1" applyFont="1" applyBorder="1" applyAlignment="1">
      <alignment horizontal="right" wrapText="1"/>
    </xf>
    <xf numFmtId="1" fontId="6" fillId="0" borderId="432" xfId="0" applyNumberFormat="1" applyFont="1" applyBorder="1" applyAlignment="1">
      <alignment horizontal="right" wrapText="1"/>
    </xf>
    <xf numFmtId="1" fontId="6" fillId="14" borderId="418" xfId="0" applyNumberFormat="1" applyFont="1" applyFill="1" applyBorder="1"/>
    <xf numFmtId="1" fontId="6" fillId="0" borderId="408" xfId="0" applyNumberFormat="1" applyFont="1" applyBorder="1" applyAlignment="1">
      <alignment horizontal="right" wrapText="1"/>
    </xf>
    <xf numFmtId="1" fontId="6" fillId="4" borderId="432" xfId="0" applyNumberFormat="1" applyFont="1" applyFill="1" applyBorder="1"/>
    <xf numFmtId="1" fontId="6" fillId="5" borderId="432" xfId="0" applyNumberFormat="1" applyFont="1" applyFill="1" applyBorder="1" applyProtection="1">
      <protection locked="0"/>
    </xf>
    <xf numFmtId="1" fontId="6" fillId="0" borderId="382" xfId="0" applyNumberFormat="1" applyFont="1" applyBorder="1" applyAlignment="1">
      <alignment horizontal="right" wrapText="1"/>
    </xf>
    <xf numFmtId="1" fontId="6" fillId="0" borderId="353" xfId="0" applyNumberFormat="1" applyFont="1" applyBorder="1" applyAlignment="1">
      <alignment horizontal="right" wrapText="1"/>
    </xf>
    <xf numFmtId="1" fontId="6" fillId="0" borderId="344" xfId="0" applyNumberFormat="1" applyFont="1" applyBorder="1" applyAlignment="1">
      <alignment horizontal="right" wrapText="1"/>
    </xf>
    <xf numFmtId="1" fontId="6" fillId="0" borderId="353" xfId="0" applyNumberFormat="1" applyFont="1" applyBorder="1" applyAlignment="1">
      <alignment horizontal="center" vertical="center" wrapText="1"/>
    </xf>
    <xf numFmtId="1" fontId="4" fillId="3" borderId="429" xfId="0" applyNumberFormat="1" applyFont="1" applyFill="1" applyBorder="1"/>
    <xf numFmtId="1" fontId="4" fillId="0" borderId="429" xfId="0" applyNumberFormat="1" applyFont="1" applyBorder="1"/>
    <xf numFmtId="1" fontId="6" fillId="5" borderId="434" xfId="0" applyNumberFormat="1" applyFont="1" applyFill="1" applyBorder="1" applyProtection="1">
      <protection locked="0"/>
    </xf>
    <xf numFmtId="1" fontId="6" fillId="5" borderId="431" xfId="0" applyNumberFormat="1" applyFont="1" applyFill="1" applyBorder="1" applyProtection="1">
      <protection locked="0"/>
    </xf>
    <xf numFmtId="1" fontId="6" fillId="0" borderId="431" xfId="0" applyNumberFormat="1" applyFont="1" applyBorder="1" applyAlignment="1">
      <alignment horizontal="right"/>
    </xf>
    <xf numFmtId="1" fontId="6" fillId="0" borderId="432" xfId="0" applyNumberFormat="1" applyFont="1" applyBorder="1" applyAlignment="1">
      <alignment horizontal="right"/>
    </xf>
    <xf numFmtId="1" fontId="6" fillId="0" borderId="353" xfId="0" applyNumberFormat="1" applyFont="1" applyBorder="1" applyAlignment="1">
      <alignment vertical="center" wrapText="1"/>
    </xf>
    <xf numFmtId="1" fontId="6" fillId="0" borderId="344" xfId="0" applyNumberFormat="1" applyFont="1" applyBorder="1" applyAlignment="1">
      <alignment vertical="center" wrapText="1"/>
    </xf>
    <xf numFmtId="1" fontId="6" fillId="0" borderId="45" xfId="0" applyNumberFormat="1" applyFont="1" applyBorder="1" applyAlignment="1">
      <alignment vertical="center" wrapText="1"/>
    </xf>
    <xf numFmtId="1" fontId="6" fillId="0" borderId="431" xfId="0" applyNumberFormat="1" applyFont="1" applyBorder="1"/>
    <xf numFmtId="1" fontId="6" fillId="0" borderId="432" xfId="0" applyNumberFormat="1" applyFont="1" applyBorder="1" applyAlignment="1">
      <alignment vertical="center" wrapText="1"/>
    </xf>
    <xf numFmtId="1" fontId="6" fillId="0" borderId="334" xfId="0" applyNumberFormat="1" applyFont="1" applyBorder="1" applyAlignment="1">
      <alignment vertical="center" wrapText="1"/>
    </xf>
    <xf numFmtId="1" fontId="6" fillId="0" borderId="337" xfId="0" applyNumberFormat="1" applyFont="1" applyBorder="1" applyAlignment="1">
      <alignment vertical="center" wrapText="1"/>
    </xf>
    <xf numFmtId="1" fontId="4" fillId="0" borderId="345" xfId="0" applyNumberFormat="1" applyFont="1" applyBorder="1"/>
    <xf numFmtId="1" fontId="6" fillId="0" borderId="436" xfId="0" applyNumberFormat="1" applyFont="1" applyBorder="1" applyAlignment="1">
      <alignment horizontal="right" wrapText="1"/>
    </xf>
    <xf numFmtId="1" fontId="6" fillId="0" borderId="419" xfId="0" applyNumberFormat="1" applyFont="1" applyBorder="1" applyAlignment="1">
      <alignment horizontal="right" wrapText="1"/>
    </xf>
    <xf numFmtId="1" fontId="6" fillId="5" borderId="437" xfId="0" applyNumberFormat="1" applyFont="1" applyFill="1" applyBorder="1" applyProtection="1">
      <protection locked="0"/>
    </xf>
    <xf numFmtId="1" fontId="6" fillId="0" borderId="262" xfId="0" applyNumberFormat="1" applyFont="1" applyBorder="1" applyAlignment="1">
      <alignment horizontal="right"/>
    </xf>
    <xf numFmtId="1" fontId="6" fillId="0" borderId="267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14" borderId="432" xfId="0" applyNumberFormat="1" applyFont="1" applyFill="1" applyBorder="1" applyAlignment="1">
      <alignment horizontal="right" wrapText="1"/>
    </xf>
    <xf numFmtId="1" fontId="6" fillId="14" borderId="431" xfId="0" applyNumberFormat="1" applyFont="1" applyFill="1" applyBorder="1" applyAlignment="1">
      <alignment horizontal="right"/>
    </xf>
    <xf numFmtId="1" fontId="6" fillId="14" borderId="63" xfId="0" applyNumberFormat="1" applyFont="1" applyFill="1" applyBorder="1" applyAlignment="1">
      <alignment horizontal="right" wrapText="1"/>
    </xf>
    <xf numFmtId="1" fontId="6" fillId="0" borderId="337" xfId="0" applyNumberFormat="1" applyFont="1" applyBorder="1" applyAlignment="1">
      <alignment horizontal="right" wrapText="1"/>
    </xf>
    <xf numFmtId="1" fontId="6" fillId="0" borderId="342" xfId="0" applyNumberFormat="1" applyFont="1" applyBorder="1" applyAlignment="1">
      <alignment horizontal="right"/>
    </xf>
    <xf numFmtId="1" fontId="6" fillId="0" borderId="343" xfId="0" applyNumberFormat="1" applyFont="1" applyBorder="1" applyAlignment="1">
      <alignment horizontal="center" vertical="center" wrapText="1"/>
    </xf>
    <xf numFmtId="1" fontId="4" fillId="3" borderId="441" xfId="0" applyNumberFormat="1" applyFont="1" applyFill="1" applyBorder="1"/>
    <xf numFmtId="1" fontId="4" fillId="0" borderId="441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440" xfId="0" applyNumberFormat="1" applyFont="1" applyFill="1" applyBorder="1" applyAlignment="1">
      <alignment wrapText="1"/>
    </xf>
    <xf numFmtId="1" fontId="6" fillId="0" borderId="445" xfId="0" applyNumberFormat="1" applyFont="1" applyBorder="1" applyAlignment="1">
      <alignment horizontal="center" vertical="center"/>
    </xf>
    <xf numFmtId="1" fontId="5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450" xfId="0" applyNumberFormat="1" applyFont="1" applyFill="1" applyBorder="1" applyProtection="1">
      <protection locked="0"/>
    </xf>
    <xf numFmtId="1" fontId="6" fillId="5" borderId="449" xfId="0" applyNumberFormat="1" applyFont="1" applyFill="1" applyBorder="1" applyProtection="1">
      <protection locked="0"/>
    </xf>
    <xf numFmtId="1" fontId="6" fillId="0" borderId="44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6" fillId="5" borderId="472" xfId="0" applyNumberFormat="1" applyFont="1" applyFill="1" applyBorder="1" applyProtection="1">
      <protection locked="0"/>
    </xf>
    <xf numFmtId="1" fontId="6" fillId="0" borderId="443" xfId="0" applyNumberFormat="1" applyFont="1" applyBorder="1"/>
    <xf numFmtId="1" fontId="6" fillId="0" borderId="454" xfId="0" applyNumberFormat="1" applyFont="1" applyBorder="1" applyAlignment="1">
      <alignment horizontal="center" vertical="center" wrapText="1"/>
    </xf>
    <xf numFmtId="1" fontId="6" fillId="5" borderId="471" xfId="0" applyNumberFormat="1" applyFont="1" applyFill="1" applyBorder="1" applyProtection="1">
      <protection locked="0"/>
    </xf>
    <xf numFmtId="1" fontId="6" fillId="5" borderId="454" xfId="0" applyNumberFormat="1" applyFont="1" applyFill="1" applyBorder="1" applyProtection="1">
      <protection locked="0"/>
    </xf>
    <xf numFmtId="1" fontId="6" fillId="5" borderId="474" xfId="0" applyNumberFormat="1" applyFont="1" applyFill="1" applyBorder="1" applyProtection="1">
      <protection locked="0"/>
    </xf>
    <xf numFmtId="1" fontId="6" fillId="0" borderId="450" xfId="0" applyNumberFormat="1" applyFont="1" applyBorder="1"/>
    <xf numFmtId="1" fontId="13" fillId="0" borderId="443" xfId="28" applyNumberFormat="1" applyFont="1" applyBorder="1"/>
    <xf numFmtId="1" fontId="13" fillId="0" borderId="457" xfId="28" applyNumberFormat="1" applyFont="1" applyBorder="1"/>
    <xf numFmtId="1" fontId="13" fillId="0" borderId="463" xfId="28" applyNumberFormat="1" applyFont="1" applyBorder="1"/>
    <xf numFmtId="1" fontId="13" fillId="0" borderId="445" xfId="28" applyNumberFormat="1" applyFont="1" applyBorder="1"/>
    <xf numFmtId="1" fontId="6" fillId="0" borderId="447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476" xfId="28" applyNumberFormat="1" applyFont="1" applyFill="1" applyBorder="1" applyProtection="1">
      <protection hidden="1"/>
    </xf>
    <xf numFmtId="1" fontId="6" fillId="14" borderId="477" xfId="28" applyNumberFormat="1" applyFont="1" applyFill="1" applyBorder="1"/>
    <xf numFmtId="1" fontId="6" fillId="14" borderId="476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4" xfId="28" applyNumberFormat="1" applyFont="1" applyFill="1" applyBorder="1" applyProtection="1">
      <protection locked="0"/>
    </xf>
    <xf numFmtId="1" fontId="6" fillId="5" borderId="110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369" xfId="28" applyNumberFormat="1" applyFont="1" applyBorder="1"/>
    <xf numFmtId="1" fontId="6" fillId="0" borderId="369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476" xfId="28" applyNumberFormat="1" applyFont="1" applyBorder="1" applyProtection="1">
      <protection hidden="1"/>
    </xf>
    <xf numFmtId="1" fontId="6" fillId="0" borderId="477" xfId="28" applyNumberFormat="1" applyFont="1" applyBorder="1"/>
    <xf numFmtId="1" fontId="6" fillId="0" borderId="476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09" xfId="28" applyNumberFormat="1" applyFont="1" applyFill="1" applyBorder="1" applyProtection="1">
      <protection locked="0"/>
    </xf>
    <xf numFmtId="1" fontId="6" fillId="5" borderId="432" xfId="28" applyNumberFormat="1" applyFont="1" applyFill="1" applyBorder="1" applyProtection="1">
      <protection locked="0"/>
    </xf>
    <xf numFmtId="1" fontId="6" fillId="0" borderId="459" xfId="28" applyNumberFormat="1" applyFont="1" applyBorder="1"/>
    <xf numFmtId="1" fontId="6" fillId="0" borderId="443" xfId="28" applyNumberFormat="1" applyFont="1" applyBorder="1" applyAlignment="1">
      <alignment horizontal="center" vertical="center" wrapText="1"/>
    </xf>
    <xf numFmtId="1" fontId="6" fillId="0" borderId="457" xfId="28" applyNumberFormat="1" applyFont="1" applyBorder="1" applyAlignment="1">
      <alignment horizontal="center" vertical="center" wrapText="1"/>
    </xf>
    <xf numFmtId="1" fontId="6" fillId="0" borderId="445" xfId="28" applyNumberFormat="1" applyFont="1" applyBorder="1" applyAlignment="1">
      <alignment horizontal="center" vertical="center" wrapText="1"/>
    </xf>
    <xf numFmtId="1" fontId="6" fillId="0" borderId="478" xfId="28" applyNumberFormat="1" applyFont="1" applyBorder="1"/>
    <xf numFmtId="1" fontId="13" fillId="0" borderId="445" xfId="28" applyNumberFormat="1" applyFont="1" applyBorder="1" applyAlignment="1">
      <alignment horizontal="right"/>
    </xf>
    <xf numFmtId="1" fontId="6" fillId="0" borderId="447" xfId="28" applyNumberFormat="1" applyFont="1" applyBorder="1" applyAlignment="1">
      <alignment wrapText="1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479" xfId="28" applyNumberFormat="1" applyFont="1" applyFill="1" applyBorder="1" applyProtection="1">
      <protection locked="0"/>
    </xf>
    <xf numFmtId="1" fontId="6" fillId="5" borderId="431" xfId="28" applyNumberFormat="1" applyFont="1" applyFill="1" applyBorder="1" applyProtection="1">
      <protection locked="0"/>
    </xf>
    <xf numFmtId="1" fontId="6" fillId="5" borderId="431" xfId="28" applyNumberFormat="1" applyFont="1" applyFill="1" applyBorder="1" applyAlignment="1" applyProtection="1">
      <alignment horizontal="right"/>
      <protection locked="0"/>
    </xf>
    <xf numFmtId="1" fontId="6" fillId="5" borderId="432" xfId="28" applyNumberFormat="1" applyFont="1" applyFill="1" applyBorder="1" applyAlignment="1" applyProtection="1">
      <alignment horizontal="right"/>
      <protection locked="0"/>
    </xf>
    <xf numFmtId="1" fontId="6" fillId="0" borderId="459" xfId="28" applyNumberFormat="1" applyFont="1" applyBorder="1" applyAlignment="1">
      <alignment wrapText="1"/>
    </xf>
    <xf numFmtId="1" fontId="6" fillId="0" borderId="480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451" xfId="28" applyNumberFormat="1" applyFont="1" applyFill="1" applyBorder="1" applyAlignment="1" applyProtection="1">
      <alignment horizontal="right"/>
      <protection locked="0"/>
    </xf>
    <xf numFmtId="1" fontId="6" fillId="0" borderId="447" xfId="28" applyNumberFormat="1" applyFont="1" applyBorder="1" applyAlignment="1">
      <alignment horizontal="right"/>
    </xf>
    <xf numFmtId="1" fontId="6" fillId="5" borderId="68" xfId="28" applyNumberFormat="1" applyFont="1" applyFill="1" applyBorder="1" applyAlignment="1" applyProtection="1">
      <alignment horizontal="right"/>
      <protection locked="0"/>
    </xf>
    <xf numFmtId="1" fontId="6" fillId="0" borderId="435" xfId="28" applyNumberFormat="1" applyFont="1" applyBorder="1" applyAlignment="1">
      <alignment horizontal="right"/>
    </xf>
    <xf numFmtId="1" fontId="6" fillId="0" borderId="423" xfId="28" applyNumberFormat="1" applyFont="1" applyBorder="1" applyAlignment="1">
      <alignment wrapText="1"/>
    </xf>
    <xf numFmtId="1" fontId="6" fillId="5" borderId="442" xfId="28" applyNumberFormat="1" applyFont="1" applyFill="1" applyBorder="1" applyAlignment="1" applyProtection="1">
      <alignment horizontal="right"/>
      <protection locked="0"/>
    </xf>
    <xf numFmtId="1" fontId="6" fillId="14" borderId="477" xfId="28" applyNumberFormat="1" applyFont="1" applyFill="1" applyBorder="1" applyProtection="1">
      <protection hidden="1"/>
    </xf>
    <xf numFmtId="1" fontId="6" fillId="0" borderId="442" xfId="8" applyNumberFormat="1" applyFont="1" applyBorder="1" applyAlignment="1">
      <alignment horizontal="center" vertical="center"/>
    </xf>
    <xf numFmtId="1" fontId="6" fillId="0" borderId="447" xfId="28" applyNumberFormat="1" applyFont="1" applyBorder="1" applyAlignment="1">
      <alignment horizontal="center" vertical="center" wrapText="1"/>
    </xf>
    <xf numFmtId="1" fontId="6" fillId="0" borderId="481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433" xfId="28" applyNumberFormat="1" applyFont="1" applyFill="1" applyBorder="1" applyProtection="1">
      <protection locked="0"/>
    </xf>
    <xf numFmtId="1" fontId="6" fillId="0" borderId="433" xfId="28" applyNumberFormat="1" applyFont="1" applyBorder="1" applyAlignment="1">
      <alignment horizontal="right"/>
    </xf>
    <xf numFmtId="1" fontId="6" fillId="0" borderId="482" xfId="28" applyNumberFormat="1" applyFont="1" applyBorder="1" applyProtection="1">
      <protection hidden="1"/>
    </xf>
    <xf numFmtId="1" fontId="6" fillId="0" borderId="0" xfId="28" applyNumberFormat="1" applyFont="1"/>
    <xf numFmtId="1" fontId="6" fillId="0" borderId="477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435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483" xfId="28" applyNumberFormat="1" applyFont="1" applyBorder="1"/>
    <xf numFmtId="1" fontId="11" fillId="0" borderId="477" xfId="28" applyNumberFormat="1" applyFont="1" applyBorder="1"/>
    <xf numFmtId="1" fontId="6" fillId="5" borderId="358" xfId="28" applyNumberFormat="1" applyFont="1" applyFill="1" applyBorder="1" applyProtection="1">
      <protection locked="0"/>
    </xf>
    <xf numFmtId="1" fontId="6" fillId="5" borderId="383" xfId="28" applyNumberFormat="1" applyFont="1" applyFill="1" applyBorder="1" applyProtection="1">
      <protection locked="0"/>
    </xf>
    <xf numFmtId="1" fontId="6" fillId="5" borderId="359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39" xfId="28" applyNumberFormat="1" applyFont="1" applyBorder="1"/>
    <xf numFmtId="1" fontId="6" fillId="5" borderId="62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449" xfId="28" applyNumberFormat="1" applyFont="1" applyFill="1" applyBorder="1" applyProtection="1">
      <protection locked="0"/>
    </xf>
    <xf numFmtId="1" fontId="6" fillId="5" borderId="452" xfId="28" applyNumberFormat="1" applyFont="1" applyFill="1" applyBorder="1" applyProtection="1">
      <protection locked="0"/>
    </xf>
    <xf numFmtId="1" fontId="6" fillId="5" borderId="450" xfId="28" applyNumberFormat="1" applyFont="1" applyFill="1" applyBorder="1" applyProtection="1">
      <protection locked="0"/>
    </xf>
    <xf numFmtId="1" fontId="6" fillId="0" borderId="453" xfId="28" applyNumberFormat="1" applyFont="1" applyBorder="1"/>
    <xf numFmtId="1" fontId="6" fillId="0" borderId="477" xfId="28" applyNumberFormat="1" applyFont="1" applyBorder="1" applyAlignment="1">
      <alignment horizontal="center" vertical="center" wrapText="1"/>
    </xf>
    <xf numFmtId="1" fontId="6" fillId="0" borderId="472" xfId="28" applyNumberFormat="1" applyFont="1" applyBorder="1" applyAlignment="1">
      <alignment horizontal="center" vertical="center" wrapText="1"/>
    </xf>
    <xf numFmtId="1" fontId="6" fillId="0" borderId="454" xfId="28" applyNumberFormat="1" applyFont="1" applyBorder="1" applyAlignment="1">
      <alignment horizontal="center" vertical="center" wrapText="1"/>
    </xf>
    <xf numFmtId="1" fontId="6" fillId="0" borderId="222" xfId="28" applyNumberFormat="1" applyFont="1" applyBorder="1" applyAlignment="1">
      <alignment horizontal="center" vertical="center" wrapText="1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484" xfId="14" applyNumberFormat="1" applyFont="1" applyBorder="1" applyAlignment="1" applyProtection="1">
      <alignment horizontal="center" vertical="center"/>
      <protection locked="0"/>
    </xf>
    <xf numFmtId="2" fontId="6" fillId="6" borderId="485" xfId="14" applyNumberFormat="1" applyFont="1" applyBorder="1" applyAlignment="1" applyProtection="1">
      <alignment horizontal="center" vertical="center"/>
      <protection locked="0"/>
    </xf>
    <xf numFmtId="2" fontId="6" fillId="6" borderId="486" xfId="14" applyNumberFormat="1" applyFont="1" applyBorder="1" applyAlignment="1" applyProtection="1">
      <alignment horizontal="center" vertical="center"/>
      <protection locked="0"/>
    </xf>
    <xf numFmtId="1" fontId="6" fillId="6" borderId="487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115" xfId="14" applyNumberFormat="1" applyFont="1" applyAlignment="1" applyProtection="1">
      <alignment horizontal="center" vertical="center"/>
      <protection locked="0"/>
    </xf>
    <xf numFmtId="2" fontId="6" fillId="6" borderId="489" xfId="14" applyNumberFormat="1" applyFont="1" applyBorder="1" applyAlignment="1" applyProtection="1">
      <alignment horizontal="center" vertical="center"/>
      <protection locked="0"/>
    </xf>
    <xf numFmtId="1" fontId="6" fillId="6" borderId="115" xfId="14" applyNumberFormat="1" applyFont="1" applyAlignment="1" applyProtection="1">
      <alignment horizontal="center" vertical="center"/>
      <protection locked="0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287" xfId="14" applyNumberFormat="1" applyFont="1" applyBorder="1" applyAlignment="1" applyProtection="1">
      <alignment horizontal="center" vertical="center"/>
      <protection locked="0"/>
    </xf>
    <xf numFmtId="1" fontId="6" fillId="6" borderId="287" xfId="14" applyNumberFormat="1" applyFont="1" applyBorder="1" applyAlignment="1" applyProtection="1">
      <alignment horizontal="center" vertical="center"/>
      <protection locked="0"/>
    </xf>
    <xf numFmtId="1" fontId="6" fillId="3" borderId="433" xfId="0" applyNumberFormat="1" applyFont="1" applyFill="1" applyBorder="1" applyAlignment="1">
      <alignment horizontal="center" vertical="center"/>
    </xf>
    <xf numFmtId="2" fontId="6" fillId="3" borderId="442" xfId="0" applyNumberFormat="1" applyFont="1" applyFill="1" applyBorder="1" applyAlignment="1">
      <alignment horizontal="center" vertical="center"/>
    </xf>
    <xf numFmtId="2" fontId="6" fillId="3" borderId="446" xfId="0" applyNumberFormat="1" applyFont="1" applyFill="1" applyBorder="1" applyAlignment="1">
      <alignment horizontal="center" vertical="center"/>
    </xf>
    <xf numFmtId="2" fontId="6" fillId="3" borderId="457" xfId="0" applyNumberFormat="1" applyFont="1" applyFill="1" applyBorder="1" applyAlignment="1">
      <alignment horizontal="center" vertical="center"/>
    </xf>
    <xf numFmtId="1" fontId="6" fillId="3" borderId="445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6" fillId="5" borderId="133" xfId="0" applyNumberFormat="1" applyFont="1" applyFill="1" applyBorder="1" applyProtection="1">
      <protection locked="0"/>
    </xf>
    <xf numFmtId="1" fontId="6" fillId="5" borderId="86" xfId="0" applyNumberFormat="1" applyFont="1" applyFill="1" applyBorder="1" applyAlignment="1" applyProtection="1">
      <alignment horizontal="right"/>
      <protection locked="0"/>
    </xf>
    <xf numFmtId="1" fontId="6" fillId="5" borderId="94" xfId="0" applyNumberFormat="1" applyFont="1" applyFill="1" applyBorder="1" applyAlignment="1" applyProtection="1">
      <alignment horizontal="right"/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6" fillId="0" borderId="94" xfId="0" applyNumberFormat="1" applyFont="1" applyBorder="1"/>
    <xf numFmtId="1" fontId="6" fillId="0" borderId="102" xfId="0" applyNumberFormat="1" applyFont="1" applyBorder="1"/>
    <xf numFmtId="1" fontId="6" fillId="0" borderId="493" xfId="0" applyNumberFormat="1" applyFont="1" applyBorder="1"/>
    <xf numFmtId="1" fontId="6" fillId="0" borderId="443" xfId="0" applyNumberFormat="1" applyFont="1" applyBorder="1" applyAlignment="1">
      <alignment horizontal="center" vertical="center"/>
    </xf>
    <xf numFmtId="1" fontId="6" fillId="0" borderId="493" xfId="0" applyNumberFormat="1" applyFont="1" applyBorder="1" applyAlignment="1">
      <alignment horizontal="center" vertical="center"/>
    </xf>
    <xf numFmtId="1" fontId="6" fillId="0" borderId="464" xfId="0" applyNumberFormat="1" applyFont="1" applyBorder="1" applyAlignment="1">
      <alignment horizontal="center" vertical="center"/>
    </xf>
    <xf numFmtId="1" fontId="6" fillId="0" borderId="457" xfId="0" applyNumberFormat="1" applyFont="1" applyBorder="1" applyAlignment="1">
      <alignment horizontal="center" vertical="center"/>
    </xf>
    <xf numFmtId="1" fontId="6" fillId="0" borderId="457" xfId="0" applyNumberFormat="1" applyFont="1" applyBorder="1"/>
    <xf numFmtId="1" fontId="6" fillId="3" borderId="445" xfId="0" applyNumberFormat="1" applyFont="1" applyFill="1" applyBorder="1"/>
    <xf numFmtId="1" fontId="6" fillId="3" borderId="446" xfId="0" applyNumberFormat="1" applyFont="1" applyFill="1" applyBorder="1"/>
    <xf numFmtId="1" fontId="6" fillId="26" borderId="22" xfId="0" applyNumberFormat="1" applyFont="1" applyFill="1" applyBorder="1" applyProtection="1">
      <protection locked="0"/>
    </xf>
    <xf numFmtId="1" fontId="6" fillId="26" borderId="20" xfId="0" applyNumberFormat="1" applyFont="1" applyFill="1" applyBorder="1" applyProtection="1">
      <protection locked="0"/>
    </xf>
    <xf numFmtId="1" fontId="6" fillId="26" borderId="102" xfId="0" applyNumberFormat="1" applyFont="1" applyFill="1" applyBorder="1" applyProtection="1">
      <protection locked="0"/>
    </xf>
    <xf numFmtId="1" fontId="6" fillId="0" borderId="66" xfId="0" applyNumberFormat="1" applyFont="1" applyBorder="1"/>
    <xf numFmtId="1" fontId="6" fillId="26" borderId="36" xfId="0" applyNumberFormat="1" applyFont="1" applyFill="1" applyBorder="1" applyProtection="1">
      <protection locked="0"/>
    </xf>
    <xf numFmtId="1" fontId="6" fillId="26" borderId="38" xfId="0" applyNumberFormat="1" applyFont="1" applyFill="1" applyBorder="1" applyProtection="1">
      <protection locked="0"/>
    </xf>
    <xf numFmtId="1" fontId="6" fillId="26" borderId="101" xfId="0" applyNumberFormat="1" applyFont="1" applyFill="1" applyBorder="1" applyProtection="1">
      <protection locked="0"/>
    </xf>
    <xf numFmtId="1" fontId="6" fillId="0" borderId="59" xfId="0" applyNumberFormat="1" applyFont="1" applyBorder="1"/>
    <xf numFmtId="1" fontId="6" fillId="26" borderId="32" xfId="0" applyNumberFormat="1" applyFont="1" applyFill="1" applyBorder="1" applyProtection="1">
      <protection locked="0"/>
    </xf>
    <xf numFmtId="1" fontId="6" fillId="26" borderId="30" xfId="0" applyNumberFormat="1" applyFont="1" applyFill="1" applyBorder="1" applyProtection="1">
      <protection locked="0"/>
    </xf>
    <xf numFmtId="1" fontId="6" fillId="26" borderId="103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6" borderId="449" xfId="0" applyNumberFormat="1" applyFont="1" applyFill="1" applyBorder="1" applyProtection="1">
      <protection locked="0"/>
    </xf>
    <xf numFmtId="1" fontId="6" fillId="26" borderId="450" xfId="0" applyNumberFormat="1" applyFont="1" applyFill="1" applyBorder="1" applyProtection="1">
      <protection locked="0"/>
    </xf>
    <xf numFmtId="1" fontId="6" fillId="26" borderId="496" xfId="0" applyNumberFormat="1" applyFont="1" applyFill="1" applyBorder="1" applyProtection="1">
      <protection locked="0"/>
    </xf>
    <xf numFmtId="1" fontId="6" fillId="5" borderId="496" xfId="0" applyNumberFormat="1" applyFont="1" applyFill="1" applyBorder="1" applyProtection="1">
      <protection locked="0"/>
    </xf>
    <xf numFmtId="1" fontId="6" fillId="0" borderId="473" xfId="0" applyNumberFormat="1" applyFont="1" applyBorder="1"/>
    <xf numFmtId="1" fontId="6" fillId="0" borderId="449" xfId="0" applyNumberFormat="1" applyFont="1" applyBorder="1"/>
    <xf numFmtId="1" fontId="6" fillId="0" borderId="470" xfId="0" applyNumberFormat="1" applyFont="1" applyBorder="1"/>
    <xf numFmtId="1" fontId="6" fillId="0" borderId="143" xfId="0" applyNumberFormat="1" applyFont="1" applyBorder="1"/>
    <xf numFmtId="1" fontId="2" fillId="3" borderId="0" xfId="0" applyNumberFormat="1" applyFont="1" applyFill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448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504" xfId="0" applyNumberFormat="1" applyFont="1" applyBorder="1"/>
    <xf numFmtId="1" fontId="6" fillId="0" borderId="502" xfId="0" applyNumberFormat="1" applyFont="1" applyBorder="1"/>
    <xf numFmtId="1" fontId="6" fillId="0" borderId="503" xfId="0" applyNumberFormat="1" applyFont="1" applyBorder="1"/>
    <xf numFmtId="1" fontId="6" fillId="0" borderId="505" xfId="0" applyNumberFormat="1" applyFont="1" applyBorder="1" applyAlignment="1">
      <alignment horizontal="left" vertical="center"/>
    </xf>
    <xf numFmtId="1" fontId="6" fillId="0" borderId="506" xfId="0" applyNumberFormat="1" applyFont="1" applyBorder="1"/>
    <xf numFmtId="1" fontId="6" fillId="0" borderId="506" xfId="0" applyNumberFormat="1" applyFont="1" applyBorder="1" applyAlignment="1">
      <alignment horizontal="left" vertical="center"/>
    </xf>
    <xf numFmtId="1" fontId="6" fillId="5" borderId="507" xfId="0" applyNumberFormat="1" applyFont="1" applyFill="1" applyBorder="1" applyProtection="1">
      <protection locked="0"/>
    </xf>
    <xf numFmtId="1" fontId="6" fillId="5" borderId="508" xfId="0" applyNumberFormat="1" applyFont="1" applyFill="1" applyBorder="1" applyProtection="1">
      <protection locked="0"/>
    </xf>
    <xf numFmtId="1" fontId="6" fillId="0" borderId="380" xfId="0" applyNumberFormat="1" applyFont="1" applyBorder="1"/>
    <xf numFmtId="1" fontId="6" fillId="0" borderId="508" xfId="0" applyNumberFormat="1" applyFont="1" applyBorder="1"/>
    <xf numFmtId="1" fontId="6" fillId="5" borderId="511" xfId="0" applyNumberFormat="1" applyFont="1" applyFill="1" applyBorder="1" applyProtection="1">
      <protection locked="0"/>
    </xf>
    <xf numFmtId="1" fontId="6" fillId="5" borderId="512" xfId="0" applyNumberFormat="1" applyFont="1" applyFill="1" applyBorder="1" applyProtection="1">
      <protection locked="0"/>
    </xf>
    <xf numFmtId="1" fontId="6" fillId="5" borderId="513" xfId="0" applyNumberFormat="1" applyFont="1" applyFill="1" applyBorder="1" applyProtection="1">
      <protection locked="0"/>
    </xf>
    <xf numFmtId="1" fontId="6" fillId="0" borderId="448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38" fillId="3" borderId="0" xfId="0" applyNumberFormat="1" applyFont="1" applyFill="1" applyProtection="1">
      <protection locked="0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72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/>
    <xf numFmtId="1" fontId="6" fillId="4" borderId="523" xfId="0" applyNumberFormat="1" applyFont="1" applyFill="1" applyBorder="1"/>
    <xf numFmtId="1" fontId="6" fillId="4" borderId="524" xfId="0" applyNumberFormat="1" applyFont="1" applyFill="1" applyBorder="1"/>
    <xf numFmtId="1" fontId="6" fillId="4" borderId="507" xfId="0" applyNumberFormat="1" applyFont="1" applyFill="1" applyBorder="1"/>
    <xf numFmtId="1" fontId="6" fillId="4" borderId="511" xfId="0" applyNumberFormat="1" applyFont="1" applyFill="1" applyBorder="1"/>
    <xf numFmtId="1" fontId="6" fillId="5" borderId="523" xfId="0" applyNumberFormat="1" applyFont="1" applyFill="1" applyBorder="1" applyProtection="1">
      <protection locked="0"/>
    </xf>
    <xf numFmtId="1" fontId="6" fillId="5" borderId="524" xfId="0" applyNumberFormat="1" applyFont="1" applyFill="1" applyBorder="1" applyProtection="1">
      <protection locked="0"/>
    </xf>
    <xf numFmtId="1" fontId="6" fillId="5" borderId="525" xfId="0" applyNumberFormat="1" applyFont="1" applyFill="1" applyBorder="1" applyProtection="1">
      <protection locked="0"/>
    </xf>
    <xf numFmtId="1" fontId="6" fillId="12" borderId="523" xfId="0" applyNumberFormat="1" applyFont="1" applyFill="1" applyBorder="1"/>
    <xf numFmtId="1" fontId="6" fillId="0" borderId="517" xfId="0" applyNumberFormat="1" applyFont="1" applyBorder="1"/>
    <xf numFmtId="1" fontId="6" fillId="0" borderId="526" xfId="0" applyNumberFormat="1" applyFont="1" applyBorder="1"/>
    <xf numFmtId="1" fontId="6" fillId="12" borderId="507" xfId="0" applyNumberFormat="1" applyFont="1" applyFill="1" applyBorder="1"/>
    <xf numFmtId="1" fontId="6" fillId="12" borderId="524" xfId="0" applyNumberFormat="1" applyFont="1" applyFill="1" applyBorder="1"/>
    <xf numFmtId="1" fontId="6" fillId="12" borderId="525" xfId="0" applyNumberFormat="1" applyFont="1" applyFill="1" applyBorder="1"/>
    <xf numFmtId="1" fontId="6" fillId="12" borderId="511" xfId="0" applyNumberFormat="1" applyFont="1" applyFill="1" applyBorder="1"/>
    <xf numFmtId="1" fontId="6" fillId="4" borderId="525" xfId="0" applyNumberFormat="1" applyFont="1" applyFill="1" applyBorder="1"/>
    <xf numFmtId="1" fontId="6" fillId="0" borderId="439" xfId="0" applyNumberFormat="1" applyFont="1" applyBorder="1"/>
    <xf numFmtId="1" fontId="6" fillId="0" borderId="505" xfId="0" applyNumberFormat="1" applyFont="1" applyBorder="1"/>
    <xf numFmtId="1" fontId="6" fillId="0" borderId="506" xfId="0" applyNumberFormat="1" applyFont="1" applyBorder="1" applyAlignment="1">
      <alignment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5" borderId="518" xfId="0" applyNumberFormat="1" applyFont="1" applyFill="1" applyBorder="1" applyProtection="1">
      <protection locked="0"/>
    </xf>
    <xf numFmtId="1" fontId="6" fillId="5" borderId="51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506" xfId="0" applyNumberFormat="1" applyFont="1" applyBorder="1" applyAlignment="1">
      <alignment vertical="center" wrapText="1"/>
    </xf>
    <xf numFmtId="1" fontId="6" fillId="0" borderId="439" xfId="0" applyNumberFormat="1" applyFont="1" applyBorder="1" applyAlignment="1">
      <alignment vertical="center" wrapText="1"/>
    </xf>
    <xf numFmtId="1" fontId="6" fillId="5" borderId="439" xfId="0" applyNumberFormat="1" applyFont="1" applyFill="1" applyBorder="1" applyProtection="1">
      <protection locked="0"/>
    </xf>
    <xf numFmtId="1" fontId="6" fillId="0" borderId="498" xfId="0" applyNumberFormat="1" applyFont="1" applyBorder="1" applyAlignment="1">
      <alignment vertical="center" wrapText="1"/>
    </xf>
    <xf numFmtId="1" fontId="6" fillId="0" borderId="509" xfId="0" applyNumberFormat="1" applyFont="1" applyBorder="1" applyAlignment="1">
      <alignment vertical="center" wrapText="1"/>
    </xf>
    <xf numFmtId="0" fontId="38" fillId="14" borderId="0" xfId="0" applyFont="1" applyFill="1"/>
    <xf numFmtId="1" fontId="32" fillId="0" borderId="353" xfId="0" applyNumberFormat="1" applyFont="1" applyBorder="1" applyAlignment="1">
      <alignment horizontal="center" vertical="center" wrapText="1"/>
    </xf>
    <xf numFmtId="1" fontId="6" fillId="4" borderId="334" xfId="0" applyNumberFormat="1" applyFont="1" applyFill="1" applyBorder="1"/>
    <xf numFmtId="1" fontId="6" fillId="5" borderId="533" xfId="0" applyNumberFormat="1" applyFont="1" applyFill="1" applyBorder="1" applyProtection="1">
      <protection locked="0"/>
    </xf>
    <xf numFmtId="1" fontId="6" fillId="5" borderId="534" xfId="0" applyNumberFormat="1" applyFont="1" applyFill="1" applyBorder="1" applyProtection="1">
      <protection locked="0"/>
    </xf>
    <xf numFmtId="1" fontId="6" fillId="5" borderId="535" xfId="0" applyNumberFormat="1" applyFont="1" applyFill="1" applyBorder="1" applyProtection="1">
      <protection locked="0"/>
    </xf>
    <xf numFmtId="1" fontId="6" fillId="0" borderId="511" xfId="0" applyNumberFormat="1" applyFont="1" applyBorder="1"/>
    <xf numFmtId="1" fontId="6" fillId="5" borderId="534" xfId="0" applyNumberFormat="1" applyFont="1" applyFill="1" applyBorder="1" applyAlignment="1" applyProtection="1">
      <alignment wrapText="1"/>
      <protection locked="0"/>
    </xf>
    <xf numFmtId="1" fontId="6" fillId="5" borderId="508" xfId="0" applyNumberFormat="1" applyFont="1" applyFill="1" applyBorder="1" applyAlignment="1" applyProtection="1">
      <alignment wrapText="1"/>
      <protection locked="0"/>
    </xf>
    <xf numFmtId="1" fontId="6" fillId="5" borderId="507" xfId="0" applyNumberFormat="1" applyFont="1" applyFill="1" applyBorder="1" applyAlignment="1" applyProtection="1">
      <alignment wrapText="1"/>
      <protection locked="0"/>
    </xf>
    <xf numFmtId="1" fontId="6" fillId="5" borderId="537" xfId="0" applyNumberFormat="1" applyFont="1" applyFill="1" applyBorder="1" applyProtection="1">
      <protection locked="0"/>
    </xf>
    <xf numFmtId="1" fontId="6" fillId="0" borderId="500" xfId="0" applyNumberFormat="1" applyFont="1" applyBorder="1" applyAlignment="1">
      <alignment vertical="center" wrapText="1"/>
    </xf>
    <xf numFmtId="1" fontId="6" fillId="0" borderId="432" xfId="0" applyNumberFormat="1" applyFont="1" applyBorder="1"/>
    <xf numFmtId="1" fontId="6" fillId="4" borderId="518" xfId="0" applyNumberFormat="1" applyFont="1" applyFill="1" applyBorder="1"/>
    <xf numFmtId="1" fontId="6" fillId="4" borderId="472" xfId="0" applyNumberFormat="1" applyFont="1" applyFill="1" applyBorder="1"/>
    <xf numFmtId="1" fontId="6" fillId="5" borderId="538" xfId="0" applyNumberFormat="1" applyFont="1" applyFill="1" applyBorder="1" applyProtection="1">
      <protection locked="0"/>
    </xf>
    <xf numFmtId="1" fontId="6" fillId="5" borderId="539" xfId="0" applyNumberFormat="1" applyFont="1" applyFill="1" applyBorder="1" applyProtection="1">
      <protection locked="0"/>
    </xf>
    <xf numFmtId="1" fontId="6" fillId="5" borderId="540" xfId="0" applyNumberFormat="1" applyFont="1" applyFill="1" applyBorder="1" applyProtection="1">
      <protection locked="0"/>
    </xf>
    <xf numFmtId="1" fontId="6" fillId="5" borderId="541" xfId="0" applyNumberFormat="1" applyFont="1" applyFill="1" applyBorder="1" applyProtection="1">
      <protection locked="0"/>
    </xf>
    <xf numFmtId="1" fontId="6" fillId="5" borderId="542" xfId="0" applyNumberFormat="1" applyFont="1" applyFill="1" applyBorder="1" applyProtection="1">
      <protection locked="0"/>
    </xf>
    <xf numFmtId="1" fontId="6" fillId="12" borderId="538" xfId="0" applyNumberFormat="1" applyFont="1" applyFill="1" applyBorder="1"/>
    <xf numFmtId="1" fontId="6" fillId="12" borderId="539" xfId="0" applyNumberFormat="1" applyFont="1" applyFill="1" applyBorder="1"/>
    <xf numFmtId="1" fontId="6" fillId="12" borderId="534" xfId="0" applyNumberFormat="1" applyFont="1" applyFill="1" applyBorder="1"/>
    <xf numFmtId="1" fontId="6" fillId="12" borderId="508" xfId="0" applyNumberFormat="1" applyFont="1" applyFill="1" applyBorder="1"/>
    <xf numFmtId="1" fontId="6" fillId="12" borderId="102" xfId="0" applyNumberFormat="1" applyFont="1" applyFill="1" applyBorder="1"/>
    <xf numFmtId="1" fontId="6" fillId="5" borderId="543" xfId="0" applyNumberFormat="1" applyFont="1" applyFill="1" applyBorder="1" applyProtection="1">
      <protection locked="0"/>
    </xf>
    <xf numFmtId="1" fontId="6" fillId="5" borderId="532" xfId="0" applyNumberFormat="1" applyFont="1" applyFill="1" applyBorder="1" applyProtection="1">
      <protection locked="0"/>
    </xf>
    <xf numFmtId="1" fontId="6" fillId="14" borderId="526" xfId="0" applyNumberFormat="1" applyFont="1" applyFill="1" applyBorder="1" applyAlignment="1">
      <alignment horizontal="left"/>
    </xf>
    <xf numFmtId="1" fontId="6" fillId="14" borderId="508" xfId="0" applyNumberFormat="1" applyFont="1" applyFill="1" applyBorder="1" applyAlignment="1">
      <alignment horizontal="left"/>
    </xf>
    <xf numFmtId="1" fontId="6" fillId="5" borderId="523" xfId="0" applyNumberFormat="1" applyFont="1" applyFill="1" applyBorder="1" applyAlignment="1" applyProtection="1">
      <alignment wrapText="1"/>
      <protection locked="0"/>
    </xf>
    <xf numFmtId="1" fontId="6" fillId="5" borderId="335" xfId="0" applyNumberFormat="1" applyFont="1" applyFill="1" applyBorder="1" applyProtection="1">
      <protection locked="0"/>
    </xf>
    <xf numFmtId="1" fontId="6" fillId="12" borderId="332" xfId="0" applyNumberFormat="1" applyFont="1" applyFill="1" applyBorder="1"/>
    <xf numFmtId="1" fontId="6" fillId="0" borderId="500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left" vertical="center" wrapText="1"/>
    </xf>
    <xf numFmtId="1" fontId="38" fillId="14" borderId="0" xfId="0" applyNumberFormat="1" applyFont="1" applyFill="1"/>
    <xf numFmtId="0" fontId="38" fillId="0" borderId="0" xfId="0" applyFont="1"/>
    <xf numFmtId="1" fontId="38" fillId="3" borderId="354" xfId="0" applyNumberFormat="1" applyFont="1" applyFill="1" applyBorder="1"/>
    <xf numFmtId="0" fontId="6" fillId="0" borderId="518" xfId="0" applyFont="1" applyBorder="1" applyAlignment="1">
      <alignment horizontal="center" vertical="center" wrapText="1"/>
    </xf>
    <xf numFmtId="0" fontId="6" fillId="0" borderId="502" xfId="0" applyFont="1" applyBorder="1" applyAlignment="1">
      <alignment horizontal="center" vertical="center" wrapText="1"/>
    </xf>
    <xf numFmtId="1" fontId="6" fillId="5" borderId="50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546" xfId="0" applyNumberFormat="1" applyFont="1" applyBorder="1"/>
    <xf numFmtId="1" fontId="38" fillId="21" borderId="0" xfId="0" applyNumberFormat="1" applyFont="1" applyFill="1"/>
    <xf numFmtId="1" fontId="6" fillId="0" borderId="500" xfId="0" applyNumberFormat="1" applyFont="1" applyBorder="1" applyAlignment="1">
      <alignment horizontal="center" vertical="center"/>
    </xf>
    <xf numFmtId="1" fontId="6" fillId="0" borderId="518" xfId="0" applyNumberFormat="1" applyFont="1" applyBorder="1" applyAlignment="1">
      <alignment horizontal="center" vertical="center"/>
    </xf>
    <xf numFmtId="1" fontId="6" fillId="0" borderId="510" xfId="0" applyNumberFormat="1" applyFont="1" applyBorder="1" applyAlignment="1">
      <alignment vertical="center" wrapText="1"/>
    </xf>
    <xf numFmtId="1" fontId="6" fillId="3" borderId="510" xfId="0" applyNumberFormat="1" applyFont="1" applyFill="1" applyBorder="1"/>
    <xf numFmtId="1" fontId="6" fillId="3" borderId="502" xfId="0" applyNumberFormat="1" applyFont="1" applyFill="1" applyBorder="1"/>
    <xf numFmtId="1" fontId="6" fillId="3" borderId="503" xfId="0" applyNumberFormat="1" applyFont="1" applyFill="1" applyBorder="1"/>
    <xf numFmtId="1" fontId="6" fillId="3" borderId="343" xfId="0" applyNumberFormat="1" applyFont="1" applyFill="1" applyBorder="1"/>
    <xf numFmtId="1" fontId="6" fillId="3" borderId="353" xfId="0" applyNumberFormat="1" applyFont="1" applyFill="1" applyBorder="1"/>
    <xf numFmtId="1" fontId="6" fillId="0" borderId="522" xfId="0" applyNumberFormat="1" applyFont="1" applyBorder="1" applyAlignment="1">
      <alignment horizontal="left" vertical="center" wrapText="1"/>
    </xf>
    <xf numFmtId="1" fontId="6" fillId="0" borderId="52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517" xfId="0" applyNumberFormat="1" applyFont="1" applyBorder="1"/>
    <xf numFmtId="1" fontId="17" fillId="0" borderId="268" xfId="0" applyNumberFormat="1" applyFont="1" applyBorder="1"/>
    <xf numFmtId="1" fontId="17" fillId="0" borderId="269" xfId="0" applyNumberFormat="1" applyFont="1" applyBorder="1"/>
    <xf numFmtId="1" fontId="6" fillId="5" borderId="329" xfId="0" applyNumberFormat="1" applyFont="1" applyFill="1" applyBorder="1" applyProtection="1">
      <protection locked="0"/>
    </xf>
    <xf numFmtId="1" fontId="6" fillId="5" borderId="561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vertical="center" wrapText="1"/>
    </xf>
    <xf numFmtId="1" fontId="6" fillId="4" borderId="508" xfId="0" applyNumberFormat="1" applyFont="1" applyFill="1" applyBorder="1"/>
    <xf numFmtId="1" fontId="6" fillId="0" borderId="423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4" borderId="506" xfId="0" applyNumberFormat="1" applyFont="1" applyFill="1" applyBorder="1"/>
    <xf numFmtId="1" fontId="6" fillId="4" borderId="509" xfId="0" applyNumberFormat="1" applyFont="1" applyFill="1" applyBorder="1"/>
    <xf numFmtId="1" fontId="6" fillId="4" borderId="537" xfId="0" applyNumberFormat="1" applyFont="1" applyFill="1" applyBorder="1"/>
    <xf numFmtId="1" fontId="6" fillId="0" borderId="353" xfId="0" applyNumberFormat="1" applyFont="1" applyBorder="1"/>
    <xf numFmtId="1" fontId="6" fillId="0" borderId="519" xfId="0" applyNumberFormat="1" applyFont="1" applyBorder="1"/>
    <xf numFmtId="1" fontId="6" fillId="5" borderId="502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519" xfId="0" applyNumberFormat="1" applyFont="1" applyFill="1" applyBorder="1" applyProtection="1">
      <protection locked="0"/>
    </xf>
    <xf numFmtId="1" fontId="6" fillId="5" borderId="503" xfId="0" applyNumberFormat="1" applyFont="1" applyFill="1" applyBorder="1" applyProtection="1">
      <protection locked="0"/>
    </xf>
    <xf numFmtId="1" fontId="6" fillId="3" borderId="354" xfId="0" applyNumberFormat="1" applyFont="1" applyFill="1" applyBorder="1"/>
    <xf numFmtId="1" fontId="6" fillId="5" borderId="435" xfId="0" applyNumberFormat="1" applyFont="1" applyFill="1" applyBorder="1" applyProtection="1">
      <protection locked="0"/>
    </xf>
    <xf numFmtId="1" fontId="6" fillId="0" borderId="510" xfId="0" applyNumberFormat="1" applyFont="1" applyBorder="1"/>
    <xf numFmtId="1" fontId="6" fillId="0" borderId="517" xfId="0" applyNumberFormat="1" applyFont="1" applyBorder="1" applyAlignment="1">
      <alignment horizontal="right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14" borderId="0" xfId="0" applyNumberFormat="1" applyFont="1" applyFill="1" applyAlignment="1">
      <alignment horizontal="left" wrapText="1"/>
    </xf>
    <xf numFmtId="1" fontId="4" fillId="3" borderId="354" xfId="0" applyNumberFormat="1" applyFont="1" applyFill="1" applyBorder="1"/>
    <xf numFmtId="1" fontId="9" fillId="3" borderId="354" xfId="0" applyNumberFormat="1" applyFont="1" applyFill="1" applyBorder="1"/>
    <xf numFmtId="1" fontId="6" fillId="0" borderId="339" xfId="0" applyNumberFormat="1" applyFont="1" applyBorder="1" applyAlignment="1">
      <alignment horizontal="center"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562" xfId="0" applyNumberFormat="1" applyFont="1" applyBorder="1" applyAlignment="1">
      <alignment horizontal="right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/>
    </xf>
    <xf numFmtId="1" fontId="6" fillId="0" borderId="562" xfId="0" applyNumberFormat="1" applyFont="1" applyBorder="1"/>
    <xf numFmtId="1" fontId="6" fillId="0" borderId="564" xfId="0" applyNumberFormat="1" applyFont="1" applyBorder="1"/>
    <xf numFmtId="1" fontId="6" fillId="5" borderId="568" xfId="0" applyNumberFormat="1" applyFont="1" applyFill="1" applyBorder="1" applyProtection="1">
      <protection locked="0"/>
    </xf>
    <xf numFmtId="1" fontId="6" fillId="4" borderId="569" xfId="0" applyNumberFormat="1" applyFont="1" applyFill="1" applyBorder="1"/>
    <xf numFmtId="1" fontId="6" fillId="4" borderId="570" xfId="0" applyNumberFormat="1" applyFont="1" applyFill="1" applyBorder="1"/>
    <xf numFmtId="1" fontId="6" fillId="4" borderId="438" xfId="0" applyNumberFormat="1" applyFont="1" applyFill="1" applyBorder="1"/>
    <xf numFmtId="1" fontId="6" fillId="4" borderId="513" xfId="0" applyNumberFormat="1" applyFont="1" applyFill="1" applyBorder="1"/>
    <xf numFmtId="1" fontId="6" fillId="3" borderId="343" xfId="25" applyNumberFormat="1" applyFont="1" applyFill="1" applyBorder="1" applyAlignment="1">
      <alignment horizontal="center" vertical="center" wrapText="1"/>
    </xf>
    <xf numFmtId="1" fontId="11" fillId="3" borderId="423" xfId="0" applyNumberFormat="1" applyFont="1" applyFill="1" applyBorder="1"/>
    <xf numFmtId="1" fontId="6" fillId="0" borderId="544" xfId="0" applyNumberFormat="1" applyFont="1" applyBorder="1" applyAlignment="1">
      <alignment horizontal="right" vertical="center"/>
    </xf>
    <xf numFmtId="1" fontId="11" fillId="0" borderId="423" xfId="0" applyNumberFormat="1" applyFont="1" applyBorder="1"/>
    <xf numFmtId="1" fontId="6" fillId="5" borderId="544" xfId="0" applyNumberFormat="1" applyFont="1" applyFill="1" applyBorder="1" applyProtection="1">
      <protection locked="0"/>
    </xf>
    <xf numFmtId="1" fontId="6" fillId="3" borderId="502" xfId="25" applyNumberFormat="1" applyFont="1" applyFill="1" applyBorder="1" applyAlignment="1">
      <alignment horizontal="center" vertical="center" wrapText="1"/>
    </xf>
    <xf numFmtId="1" fontId="6" fillId="3" borderId="353" xfId="25" applyNumberFormat="1" applyFont="1" applyFill="1" applyBorder="1" applyAlignment="1">
      <alignment horizontal="center" vertical="center" wrapText="1"/>
    </xf>
    <xf numFmtId="1" fontId="6" fillId="3" borderId="503" xfId="25" applyNumberFormat="1" applyFont="1" applyFill="1" applyBorder="1" applyAlignment="1">
      <alignment horizontal="center" vertical="center" wrapText="1"/>
    </xf>
    <xf numFmtId="1" fontId="6" fillId="0" borderId="456" xfId="0" applyNumberFormat="1" applyFont="1" applyBorder="1"/>
    <xf numFmtId="1" fontId="6" fillId="3" borderId="519" xfId="25" applyNumberFormat="1" applyFont="1" applyFill="1" applyBorder="1" applyAlignment="1">
      <alignment horizontal="center" vertical="center" wrapText="1"/>
    </xf>
    <xf numFmtId="1" fontId="11" fillId="3" borderId="0" xfId="0" applyNumberFormat="1" applyFont="1" applyFill="1" applyProtection="1">
      <protection locked="0"/>
    </xf>
    <xf numFmtId="1" fontId="6" fillId="3" borderId="500" xfId="25" applyNumberFormat="1" applyFont="1" applyFill="1" applyBorder="1" applyAlignment="1">
      <alignment horizontal="center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506" xfId="0" applyNumberFormat="1" applyFont="1" applyFill="1" applyBorder="1" applyAlignment="1">
      <alignment horizontal="left" vertical="center" wrapText="1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439" xfId="0" applyNumberFormat="1" applyFont="1" applyFill="1" applyBorder="1" applyAlignment="1">
      <alignment horizontal="left" vertical="center" wrapText="1"/>
    </xf>
    <xf numFmtId="1" fontId="13" fillId="3" borderId="504" xfId="0" applyNumberFormat="1" applyFont="1" applyFill="1" applyBorder="1" applyAlignment="1">
      <alignment horizontal="center"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339" xfId="0" applyNumberFormat="1" applyFont="1" applyFill="1" applyBorder="1" applyAlignment="1" applyProtection="1">
      <alignment vertical="center" wrapText="1"/>
      <protection locked="0"/>
    </xf>
    <xf numFmtId="1" fontId="6" fillId="5" borderId="50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354" xfId="25" applyNumberFormat="1" applyFont="1" applyFill="1" applyBorder="1"/>
    <xf numFmtId="1" fontId="4" fillId="3" borderId="354" xfId="25" applyNumberFormat="1" applyFont="1" applyFill="1" applyBorder="1" applyAlignment="1">
      <alignment wrapText="1"/>
    </xf>
    <xf numFmtId="1" fontId="6" fillId="3" borderId="332" xfId="0" applyNumberFormat="1" applyFont="1" applyFill="1" applyBorder="1" applyAlignment="1">
      <alignment horizontal="left" vertical="center" wrapText="1"/>
    </xf>
    <xf numFmtId="1" fontId="4" fillId="3" borderId="0" xfId="0" applyNumberFormat="1" applyFont="1" applyFill="1" applyAlignment="1">
      <alignment horizontal="left" vertical="center" wrapText="1"/>
    </xf>
    <xf numFmtId="1" fontId="4" fillId="3" borderId="354" xfId="0" applyNumberFormat="1" applyFont="1" applyFill="1" applyBorder="1" applyAlignment="1">
      <alignment horizontal="left"/>
    </xf>
    <xf numFmtId="1" fontId="6" fillId="0" borderId="350" xfId="0" applyNumberFormat="1" applyFont="1" applyBorder="1"/>
    <xf numFmtId="1" fontId="11" fillId="5" borderId="339" xfId="0" applyNumberFormat="1" applyFont="1" applyFill="1" applyBorder="1" applyAlignment="1" applyProtection="1">
      <alignment wrapText="1"/>
      <protection locked="0"/>
    </xf>
    <xf numFmtId="1" fontId="6" fillId="0" borderId="66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571" xfId="0" applyNumberFormat="1" applyFont="1" applyFill="1" applyBorder="1" applyProtection="1">
      <protection locked="0"/>
    </xf>
    <xf numFmtId="1" fontId="6" fillId="5" borderId="572" xfId="0" applyNumberFormat="1" applyFont="1" applyFill="1" applyBorder="1" applyProtection="1">
      <protection locked="0"/>
    </xf>
    <xf numFmtId="1" fontId="6" fillId="5" borderId="573" xfId="0" applyNumberFormat="1" applyFont="1" applyFill="1" applyBorder="1" applyProtection="1">
      <protection locked="0"/>
    </xf>
    <xf numFmtId="1" fontId="6" fillId="5" borderId="576" xfId="0" applyNumberFormat="1" applyFont="1" applyFill="1" applyBorder="1" applyProtection="1">
      <protection locked="0"/>
    </xf>
    <xf numFmtId="1" fontId="6" fillId="5" borderId="579" xfId="0" applyNumberFormat="1" applyFont="1" applyFill="1" applyBorder="1" applyProtection="1">
      <protection locked="0"/>
    </xf>
    <xf numFmtId="1" fontId="6" fillId="0" borderId="583" xfId="0" applyNumberFormat="1" applyFont="1" applyBorder="1" applyAlignment="1">
      <alignment horizontal="center" vertical="center"/>
    </xf>
    <xf numFmtId="1" fontId="6" fillId="5" borderId="601" xfId="0" applyNumberFormat="1" applyFont="1" applyFill="1" applyBorder="1" applyProtection="1">
      <protection locked="0"/>
    </xf>
    <xf numFmtId="1" fontId="6" fillId="5" borderId="607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613" xfId="0" applyNumberFormat="1" applyFont="1" applyFill="1" applyBorder="1" applyProtection="1">
      <protection locked="0"/>
    </xf>
    <xf numFmtId="1" fontId="6" fillId="5" borderId="612" xfId="0" applyNumberFormat="1" applyFont="1" applyFill="1" applyBorder="1" applyProtection="1">
      <protection locked="0"/>
    </xf>
    <xf numFmtId="1" fontId="5" fillId="14" borderId="14" xfId="0" applyNumberFormat="1" applyFont="1" applyFill="1" applyBorder="1" applyProtection="1">
      <protection hidden="1"/>
    </xf>
    <xf numFmtId="1" fontId="6" fillId="14" borderId="146" xfId="0" applyNumberFormat="1" applyFont="1" applyFill="1" applyBorder="1" applyAlignment="1">
      <alignment vertical="center"/>
    </xf>
    <xf numFmtId="1" fontId="6" fillId="14" borderId="50" xfId="0" applyNumberFormat="1" applyFont="1" applyFill="1" applyBorder="1" applyAlignment="1">
      <alignment vertical="center"/>
    </xf>
    <xf numFmtId="1" fontId="6" fillId="14" borderId="21" xfId="0" applyNumberFormat="1" applyFont="1" applyFill="1" applyBorder="1" applyAlignment="1">
      <alignment vertical="center"/>
    </xf>
    <xf numFmtId="1" fontId="6" fillId="5" borderId="575" xfId="0" applyNumberFormat="1" applyFont="1" applyFill="1" applyBorder="1" applyProtection="1">
      <protection locked="0"/>
    </xf>
    <xf numFmtId="1" fontId="6" fillId="0" borderId="609" xfId="28" applyNumberFormat="1" applyFont="1" applyBorder="1" applyAlignment="1">
      <alignment wrapText="1"/>
    </xf>
    <xf numFmtId="1" fontId="6" fillId="0" borderId="611" xfId="28" applyNumberFormat="1" applyFont="1" applyBorder="1" applyAlignment="1">
      <alignment horizontal="right"/>
    </xf>
    <xf numFmtId="1" fontId="6" fillId="0" borderId="530" xfId="28" applyNumberFormat="1" applyFont="1" applyBorder="1" applyAlignment="1">
      <alignment wrapText="1"/>
    </xf>
    <xf numFmtId="1" fontId="6" fillId="0" borderId="544" xfId="28" applyNumberFormat="1" applyFont="1" applyBorder="1" applyAlignment="1">
      <alignment horizontal="right"/>
    </xf>
    <xf numFmtId="1" fontId="6" fillId="5" borderId="438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5" borderId="626" xfId="0" applyNumberFormat="1" applyFont="1" applyFill="1" applyBorder="1" applyProtection="1">
      <protection locked="0"/>
    </xf>
    <xf numFmtId="1" fontId="6" fillId="5" borderId="627" xfId="0" applyNumberFormat="1" applyFont="1" applyFill="1" applyBorder="1" applyProtection="1">
      <protection locked="0"/>
    </xf>
    <xf numFmtId="1" fontId="6" fillId="5" borderId="628" xfId="0" applyNumberFormat="1" applyFont="1" applyFill="1" applyBorder="1" applyProtection="1">
      <protection locked="0"/>
    </xf>
    <xf numFmtId="1" fontId="6" fillId="5" borderId="610" xfId="0" applyNumberFormat="1" applyFont="1" applyFill="1" applyBorder="1" applyProtection="1">
      <protection locked="0"/>
    </xf>
    <xf numFmtId="1" fontId="6" fillId="5" borderId="604" xfId="0" applyNumberFormat="1" applyFont="1" applyFill="1" applyBorder="1" applyProtection="1">
      <protection locked="0"/>
    </xf>
    <xf numFmtId="1" fontId="6" fillId="5" borderId="618" xfId="0" applyNumberFormat="1" applyFont="1" applyFill="1" applyBorder="1" applyProtection="1">
      <protection locked="0"/>
    </xf>
    <xf numFmtId="1" fontId="10" fillId="3" borderId="0" xfId="0" applyNumberFormat="1" applyFont="1" applyFill="1" applyAlignment="1">
      <alignment horizontal="left"/>
    </xf>
    <xf numFmtId="1" fontId="6" fillId="5" borderId="639" xfId="0" applyNumberFormat="1" applyFont="1" applyFill="1" applyBorder="1" applyProtection="1">
      <protection locked="0"/>
    </xf>
    <xf numFmtId="1" fontId="6" fillId="5" borderId="630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5" borderId="603" xfId="0" applyNumberFormat="1" applyFont="1" applyFill="1" applyBorder="1" applyProtection="1">
      <protection locked="0"/>
    </xf>
    <xf numFmtId="1" fontId="6" fillId="5" borderId="597" xfId="0" applyNumberFormat="1" applyFont="1" applyFill="1" applyBorder="1" applyProtection="1">
      <protection locked="0"/>
    </xf>
    <xf numFmtId="1" fontId="6" fillId="5" borderId="632" xfId="0" applyNumberFormat="1" applyFont="1" applyFill="1" applyBorder="1" applyProtection="1">
      <protection locked="0"/>
    </xf>
    <xf numFmtId="1" fontId="6" fillId="5" borderId="636" xfId="0" applyNumberFormat="1" applyFont="1" applyFill="1" applyBorder="1" applyProtection="1">
      <protection locked="0"/>
    </xf>
    <xf numFmtId="1" fontId="6" fillId="5" borderId="631" xfId="0" applyNumberFormat="1" applyFont="1" applyFill="1" applyBorder="1" applyProtection="1">
      <protection locked="0"/>
    </xf>
    <xf numFmtId="1" fontId="6" fillId="5" borderId="596" xfId="0" applyNumberFormat="1" applyFont="1" applyFill="1" applyBorder="1" applyProtection="1">
      <protection locked="0"/>
    </xf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/>
    </xf>
    <xf numFmtId="1" fontId="6" fillId="0" borderId="369" xfId="0" applyNumberFormat="1" applyFont="1" applyBorder="1" applyAlignment="1">
      <alignment horizontal="left" vertical="center" wrapText="1"/>
    </xf>
    <xf numFmtId="1" fontId="6" fillId="0" borderId="228" xfId="0" applyNumberFormat="1" applyFont="1" applyBorder="1" applyAlignment="1">
      <alignment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581" xfId="0" applyNumberFormat="1" applyFont="1" applyBorder="1" applyAlignment="1">
      <alignment horizontal="center" vertical="center" wrapText="1"/>
    </xf>
    <xf numFmtId="1" fontId="6" fillId="0" borderId="396" xfId="0" applyNumberFormat="1" applyFont="1" applyBorder="1" applyAlignment="1">
      <alignment horizontal="left" vertical="center" wrapText="1"/>
    </xf>
    <xf numFmtId="1" fontId="6" fillId="0" borderId="504" xfId="0" applyNumberFormat="1" applyFont="1" applyBorder="1" applyAlignment="1">
      <alignment horizontal="center" vertical="center"/>
    </xf>
    <xf numFmtId="1" fontId="6" fillId="0" borderId="337" xfId="0" applyNumberFormat="1" applyFont="1" applyBorder="1"/>
    <xf numFmtId="1" fontId="6" fillId="0" borderId="334" xfId="0" applyNumberFormat="1" applyFont="1" applyBorder="1"/>
    <xf numFmtId="1" fontId="6" fillId="0" borderId="336" xfId="0" applyNumberFormat="1" applyFont="1" applyBorder="1"/>
    <xf numFmtId="1" fontId="6" fillId="0" borderId="507" xfId="0" applyNumberFormat="1" applyFont="1" applyBorder="1"/>
    <xf numFmtId="1" fontId="6" fillId="0" borderId="20" xfId="0" applyNumberFormat="1" applyFont="1" applyBorder="1"/>
    <xf numFmtId="1" fontId="6" fillId="0" borderId="45" xfId="0" applyNumberFormat="1" applyFont="1" applyBorder="1"/>
    <xf numFmtId="1" fontId="6" fillId="0" borderId="22" xfId="0" applyNumberFormat="1" applyFont="1" applyBorder="1"/>
    <xf numFmtId="1" fontId="6" fillId="0" borderId="228" xfId="0" applyNumberFormat="1" applyFont="1" applyBorder="1"/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/>
    <xf numFmtId="3" fontId="9" fillId="3" borderId="0" xfId="0" applyNumberFormat="1" applyFont="1" applyFill="1"/>
    <xf numFmtId="0" fontId="38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44" fillId="17" borderId="0" xfId="0" applyFont="1" applyFill="1" applyProtection="1">
      <protection locked="0"/>
    </xf>
    <xf numFmtId="0" fontId="44" fillId="0" borderId="0" xfId="0" applyFont="1"/>
    <xf numFmtId="0" fontId="6" fillId="0" borderId="241" xfId="0" applyFont="1" applyBorder="1" applyAlignment="1">
      <alignment horizontal="center" vertical="center"/>
    </xf>
    <xf numFmtId="0" fontId="6" fillId="0" borderId="241" xfId="0" applyFont="1" applyBorder="1" applyAlignment="1">
      <alignment horizontal="center" vertical="center" wrapText="1"/>
    </xf>
    <xf numFmtId="0" fontId="6" fillId="0" borderId="229" xfId="0" applyFont="1" applyBorder="1" applyAlignment="1">
      <alignment horizontal="center" vertical="center" wrapText="1"/>
    </xf>
    <xf numFmtId="0" fontId="6" fillId="0" borderId="228" xfId="0" applyFont="1" applyBorder="1" applyAlignment="1">
      <alignment horizontal="center" vertical="center" wrapText="1"/>
    </xf>
    <xf numFmtId="0" fontId="6" fillId="0" borderId="231" xfId="0" applyFont="1" applyBorder="1" applyAlignment="1">
      <alignment horizontal="center" vertical="center" wrapText="1"/>
    </xf>
    <xf numFmtId="0" fontId="6" fillId="0" borderId="227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36" xfId="0" applyFont="1" applyBorder="1" applyAlignment="1">
      <alignment horizontal="left" vertical="center" wrapText="1"/>
    </xf>
    <xf numFmtId="1" fontId="6" fillId="0" borderId="234" xfId="0" applyNumberFormat="1" applyFont="1" applyBorder="1"/>
    <xf numFmtId="1" fontId="6" fillId="15" borderId="68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32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34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50" xfId="0" applyFont="1" applyBorder="1"/>
    <xf numFmtId="1" fontId="6" fillId="15" borderId="50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28" xfId="0" applyNumberFormat="1" applyFont="1" applyFill="1" applyBorder="1"/>
    <xf numFmtId="1" fontId="6" fillId="0" borderId="89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546" xfId="0" applyFont="1" applyBorder="1" applyAlignment="1">
      <alignment horizontal="center" vertical="center" wrapText="1"/>
    </xf>
    <xf numFmtId="0" fontId="6" fillId="0" borderId="594" xfId="0" applyFont="1" applyBorder="1" applyAlignment="1">
      <alignment horizontal="center" vertical="center" wrapText="1"/>
    </xf>
    <xf numFmtId="0" fontId="6" fillId="0" borderId="620" xfId="0" applyFont="1" applyBorder="1" applyAlignment="1">
      <alignment horizontal="center" vertical="center" wrapText="1"/>
    </xf>
    <xf numFmtId="0" fontId="6" fillId="0" borderId="441" xfId="0" applyFont="1" applyBorder="1" applyAlignment="1">
      <alignment horizontal="center" vertical="center" wrapText="1"/>
    </xf>
    <xf numFmtId="0" fontId="6" fillId="0" borderId="642" xfId="0" applyFont="1" applyBorder="1" applyAlignment="1">
      <alignment horizontal="center" vertical="center" wrapText="1"/>
    </xf>
    <xf numFmtId="0" fontId="6" fillId="0" borderId="438" xfId="0" applyFont="1" applyBorder="1" applyAlignment="1">
      <alignment horizontal="center" vertical="center" wrapText="1"/>
    </xf>
    <xf numFmtId="0" fontId="6" fillId="0" borderId="290" xfId="0" applyFont="1" applyBorder="1" applyAlignment="1">
      <alignment horizontal="center" vertical="center" wrapText="1"/>
    </xf>
    <xf numFmtId="0" fontId="6" fillId="0" borderId="615" xfId="0" applyFont="1" applyBorder="1" applyAlignment="1">
      <alignment horizontal="center" vertical="center" wrapText="1"/>
    </xf>
    <xf numFmtId="1" fontId="6" fillId="5" borderId="623" xfId="0" applyNumberFormat="1" applyFont="1" applyFill="1" applyBorder="1" applyProtection="1">
      <protection locked="0"/>
    </xf>
    <xf numFmtId="1" fontId="6" fillId="5" borderId="602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35" xfId="0" applyFont="1" applyBorder="1" applyAlignment="1">
      <alignment vertical="center" wrapText="1"/>
    </xf>
    <xf numFmtId="1" fontId="6" fillId="0" borderId="615" xfId="0" applyNumberFormat="1" applyFont="1" applyBorder="1"/>
    <xf numFmtId="0" fontId="6" fillId="0" borderId="591" xfId="0" applyFont="1" applyBorder="1" applyAlignment="1">
      <alignment horizontal="center" vertical="center" wrapText="1"/>
    </xf>
    <xf numFmtId="0" fontId="6" fillId="0" borderId="590" xfId="0" applyFont="1" applyBorder="1" applyAlignment="1">
      <alignment horizontal="center" vertical="center" wrapText="1"/>
    </xf>
    <xf numFmtId="1" fontId="6" fillId="0" borderId="232" xfId="0" applyNumberFormat="1" applyFont="1" applyBorder="1" applyAlignment="1">
      <alignment horizontal="right" vertical="center" wrapText="1"/>
    </xf>
    <xf numFmtId="1" fontId="6" fillId="15" borderId="571" xfId="0" applyNumberFormat="1" applyFont="1" applyFill="1" applyBorder="1" applyProtection="1">
      <protection locked="0"/>
    </xf>
    <xf numFmtId="1" fontId="6" fillId="15" borderId="63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5" borderId="334" xfId="0" applyNumberFormat="1" applyFont="1" applyFill="1" applyBorder="1" applyProtection="1">
      <protection locked="0"/>
    </xf>
    <xf numFmtId="1" fontId="6" fillId="15" borderId="532" xfId="0" applyNumberFormat="1" applyFont="1" applyFill="1" applyBorder="1" applyProtection="1">
      <protection locked="0"/>
    </xf>
    <xf numFmtId="1" fontId="6" fillId="15" borderId="621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0" fontId="44" fillId="0" borderId="50" xfId="0" applyFont="1" applyBorder="1"/>
    <xf numFmtId="0" fontId="6" fillId="0" borderId="239" xfId="0" applyFont="1" applyBorder="1" applyAlignment="1">
      <alignment horizontal="left" vertical="center" wrapText="1"/>
    </xf>
    <xf numFmtId="1" fontId="6" fillId="0" borderId="237" xfId="0" applyNumberFormat="1" applyFont="1" applyBorder="1" applyAlignment="1">
      <alignment horizontal="right" vertical="center" wrapText="1"/>
    </xf>
    <xf numFmtId="1" fontId="6" fillId="5" borderId="141" xfId="0" applyNumberFormat="1" applyFont="1" applyFill="1" applyBorder="1" applyProtection="1">
      <protection locked="0"/>
    </xf>
    <xf numFmtId="1" fontId="6" fillId="0" borderId="591" xfId="0" applyNumberFormat="1" applyFont="1" applyBorder="1"/>
    <xf numFmtId="0" fontId="6" fillId="0" borderId="228" xfId="0" applyFont="1" applyBorder="1" applyAlignment="1">
      <alignment horizontal="center" vertical="center"/>
    </xf>
    <xf numFmtId="0" fontId="6" fillId="14" borderId="606" xfId="0" applyFont="1" applyFill="1" applyBorder="1" applyAlignment="1">
      <alignment horizontal="left" vertical="center" wrapText="1"/>
    </xf>
    <xf numFmtId="0" fontId="6" fillId="14" borderId="607" xfId="0" applyFont="1" applyFill="1" applyBorder="1" applyAlignment="1">
      <alignment horizontal="left" vertical="center" wrapText="1"/>
    </xf>
    <xf numFmtId="0" fontId="6" fillId="0" borderId="225" xfId="0" applyFont="1" applyBorder="1" applyAlignment="1">
      <alignment horizontal="left" vertical="center" wrapText="1"/>
    </xf>
    <xf numFmtId="0" fontId="6" fillId="0" borderId="228" xfId="0" applyFont="1" applyBorder="1" applyAlignment="1">
      <alignment horizontal="left" vertical="center" wrapText="1"/>
    </xf>
    <xf numFmtId="1" fontId="6" fillId="0" borderId="584" xfId="0" applyNumberFormat="1" applyFont="1" applyBorder="1"/>
    <xf numFmtId="1" fontId="6" fillId="0" borderId="614" xfId="0" applyNumberFormat="1" applyFont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48" xfId="0" applyNumberFormat="1" applyFont="1" applyFill="1" applyBorder="1"/>
    <xf numFmtId="1" fontId="9" fillId="3" borderId="497" xfId="0" applyNumberFormat="1" applyFont="1" applyFill="1" applyBorder="1"/>
    <xf numFmtId="1" fontId="9" fillId="3" borderId="468" xfId="0" applyNumberFormat="1" applyFont="1" applyFill="1" applyBorder="1"/>
    <xf numFmtId="1" fontId="6" fillId="0" borderId="464" xfId="0" applyNumberFormat="1" applyFont="1" applyBorder="1" applyAlignment="1">
      <alignment vertical="center" wrapText="1"/>
    </xf>
    <xf numFmtId="1" fontId="6" fillId="0" borderId="615" xfId="0" applyNumberFormat="1" applyFont="1" applyBorder="1" applyAlignment="1">
      <alignment horizontal="center" vertical="center" wrapText="1"/>
    </xf>
    <xf numFmtId="1" fontId="6" fillId="0" borderId="472" xfId="0" applyNumberFormat="1" applyFont="1" applyBorder="1" applyAlignment="1">
      <alignment vertical="center" wrapText="1"/>
    </xf>
    <xf numFmtId="1" fontId="6" fillId="3" borderId="615" xfId="0" applyNumberFormat="1" applyFont="1" applyFill="1" applyBorder="1"/>
    <xf numFmtId="1" fontId="6" fillId="3" borderId="457" xfId="0" applyNumberFormat="1" applyFont="1" applyFill="1" applyBorder="1"/>
    <xf numFmtId="1" fontId="6" fillId="3" borderId="463" xfId="0" applyNumberFormat="1" applyFont="1" applyFill="1" applyBorder="1"/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1" fontId="9" fillId="0" borderId="175" xfId="0" applyNumberFormat="1" applyFont="1" applyBorder="1"/>
    <xf numFmtId="1" fontId="9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9" fillId="3" borderId="175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1" borderId="0" xfId="0" applyNumberFormat="1" applyFont="1" applyFill="1"/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38" fillId="17" borderId="0" xfId="0" applyNumberFormat="1" applyFont="1" applyFill="1" applyProtection="1">
      <protection locked="0"/>
    </xf>
    <xf numFmtId="1" fontId="38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38" fillId="17" borderId="0" xfId="0" applyNumberFormat="1" applyFont="1" applyFill="1"/>
    <xf numFmtId="1" fontId="38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58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4" fillId="3" borderId="164" xfId="0" applyNumberFormat="1" applyFont="1" applyFill="1" applyBorder="1"/>
    <xf numFmtId="1" fontId="6" fillId="0" borderId="180" xfId="0" applyNumberFormat="1" applyFont="1" applyBorder="1" applyAlignment="1">
      <alignment horizontal="center" vertical="center" wrapText="1"/>
    </xf>
    <xf numFmtId="1" fontId="6" fillId="0" borderId="135" xfId="0" applyNumberFormat="1" applyFont="1" applyBorder="1" applyAlignment="1">
      <alignment vertical="center"/>
    </xf>
    <xf numFmtId="1" fontId="6" fillId="5" borderId="180" xfId="0" applyNumberFormat="1" applyFont="1" applyFill="1" applyBorder="1" applyProtection="1">
      <protection locked="0"/>
    </xf>
    <xf numFmtId="1" fontId="6" fillId="5" borderId="160" xfId="0" applyNumberFormat="1" applyFont="1" applyFill="1" applyBorder="1" applyProtection="1">
      <protection locked="0"/>
    </xf>
    <xf numFmtId="1" fontId="6" fillId="5" borderId="135" xfId="0" applyNumberFormat="1" applyFont="1" applyFill="1" applyBorder="1" applyProtection="1">
      <protection locked="0"/>
    </xf>
    <xf numFmtId="1" fontId="38" fillId="3" borderId="35" xfId="0" applyNumberFormat="1" applyFont="1" applyFill="1" applyBorder="1"/>
    <xf numFmtId="1" fontId="6" fillId="0" borderId="499" xfId="0" applyNumberFormat="1" applyFont="1" applyBorder="1" applyAlignment="1">
      <alignment horizontal="center" vertical="center" wrapText="1"/>
    </xf>
    <xf numFmtId="1" fontId="38" fillId="3" borderId="19" xfId="0" applyNumberFormat="1" applyFont="1" applyFill="1" applyBorder="1"/>
    <xf numFmtId="1" fontId="6" fillId="0" borderId="174" xfId="0" applyNumberFormat="1" applyFont="1" applyBorder="1" applyAlignment="1">
      <alignment vertical="center" wrapText="1"/>
    </xf>
    <xf numFmtId="1" fontId="38" fillId="3" borderId="174" xfId="0" applyNumberFormat="1" applyFont="1" applyFill="1" applyBorder="1"/>
    <xf numFmtId="1" fontId="6" fillId="5" borderId="455" xfId="0" applyNumberFormat="1" applyFont="1" applyFill="1" applyBorder="1" applyProtection="1">
      <protection locked="0"/>
    </xf>
    <xf numFmtId="1" fontId="6" fillId="5" borderId="448" xfId="0" applyNumberFormat="1" applyFont="1" applyFill="1" applyBorder="1" applyProtection="1">
      <protection locked="0"/>
    </xf>
    <xf numFmtId="1" fontId="38" fillId="13" borderId="0" xfId="0" applyNumberFormat="1" applyFont="1" applyFill="1"/>
    <xf numFmtId="1" fontId="38" fillId="13" borderId="0" xfId="0" applyNumberFormat="1" applyFont="1" applyFill="1" applyProtection="1">
      <protection locked="0"/>
    </xf>
    <xf numFmtId="1" fontId="6" fillId="4" borderId="595" xfId="0" applyNumberFormat="1" applyFont="1" applyFill="1" applyBorder="1"/>
    <xf numFmtId="1" fontId="9" fillId="14" borderId="35" xfId="0" applyNumberFormat="1" applyFont="1" applyFill="1" applyBorder="1"/>
    <xf numFmtId="1" fontId="6" fillId="0" borderId="281" xfId="0" applyNumberFormat="1" applyFont="1" applyBorder="1" applyAlignment="1">
      <alignment horizontal="right" vertical="center" wrapText="1"/>
    </xf>
    <xf numFmtId="1" fontId="6" fillId="0" borderId="290" xfId="0" applyNumberFormat="1" applyFont="1" applyBorder="1" applyAlignment="1">
      <alignment horizontal="right" vertical="center" wrapText="1"/>
    </xf>
    <xf numFmtId="1" fontId="6" fillId="0" borderId="280" xfId="0" applyNumberFormat="1" applyFont="1" applyBorder="1" applyAlignment="1">
      <alignment horizontal="right" vertical="center" wrapText="1"/>
    </xf>
    <xf numFmtId="1" fontId="6" fillId="14" borderId="423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3" borderId="446" xfId="0" applyNumberFormat="1" applyFont="1" applyFill="1" applyBorder="1" applyAlignment="1">
      <alignment horizontal="center" vertical="center" wrapText="1"/>
    </xf>
    <xf numFmtId="2" fontId="6" fillId="3" borderId="579" xfId="0" applyNumberFormat="1" applyFont="1" applyFill="1" applyBorder="1" applyAlignment="1">
      <alignment horizontal="center" vertical="center"/>
    </xf>
    <xf numFmtId="2" fontId="6" fillId="3" borderId="601" xfId="0" applyNumberFormat="1" applyFont="1" applyFill="1" applyBorder="1" applyAlignment="1">
      <alignment horizontal="center" vertical="center"/>
    </xf>
    <xf numFmtId="2" fontId="6" fillId="3" borderId="546" xfId="0" applyNumberFormat="1" applyFont="1" applyFill="1" applyBorder="1" applyAlignment="1">
      <alignment horizontal="center" vertical="center"/>
    </xf>
    <xf numFmtId="1" fontId="6" fillId="0" borderId="51" xfId="28" applyNumberFormat="1" applyFont="1" applyBorder="1"/>
    <xf numFmtId="1" fontId="6" fillId="0" borderId="23" xfId="28" applyNumberFormat="1" applyFont="1" applyBorder="1"/>
    <xf numFmtId="1" fontId="6" fillId="0" borderId="423" xfId="28" applyNumberFormat="1" applyFont="1" applyBorder="1" applyAlignment="1">
      <alignment horizontal="left"/>
    </xf>
    <xf numFmtId="1" fontId="4" fillId="0" borderId="476" xfId="28" applyNumberFormat="1" applyFont="1" applyBorder="1" applyProtection="1">
      <protection hidden="1"/>
    </xf>
    <xf numFmtId="1" fontId="9" fillId="3" borderId="476" xfId="0" applyNumberFormat="1" applyFont="1" applyFill="1" applyBorder="1"/>
    <xf numFmtId="1" fontId="6" fillId="0" borderId="423" xfId="28" applyNumberFormat="1" applyFont="1" applyBorder="1"/>
    <xf numFmtId="1" fontId="4" fillId="0" borderId="482" xfId="28" applyNumberFormat="1" applyFont="1" applyBorder="1" applyProtection="1">
      <protection hidden="1"/>
    </xf>
    <xf numFmtId="1" fontId="6" fillId="0" borderId="434" xfId="28" applyNumberFormat="1" applyFont="1" applyBorder="1"/>
    <xf numFmtId="1" fontId="6" fillId="0" borderId="624" xfId="28" applyNumberFormat="1" applyFont="1" applyBorder="1" applyProtection="1">
      <protection hidden="1"/>
    </xf>
    <xf numFmtId="1" fontId="9" fillId="0" borderId="477" xfId="0" applyNumberFormat="1" applyFont="1" applyBorder="1"/>
    <xf numFmtId="1" fontId="9" fillId="14" borderId="476" xfId="0" applyNumberFormat="1" applyFont="1" applyFill="1" applyBorder="1"/>
    <xf numFmtId="1" fontId="6" fillId="0" borderId="544" xfId="0" applyNumberFormat="1" applyFont="1" applyBorder="1"/>
    <xf numFmtId="1" fontId="6" fillId="0" borderId="629" xfId="0" applyNumberFormat="1" applyFont="1" applyBorder="1"/>
    <xf numFmtId="1" fontId="6" fillId="0" borderId="377" xfId="0" applyNumberFormat="1" applyFont="1" applyBorder="1" applyAlignment="1">
      <alignment horizontal="center" vertical="center" wrapText="1"/>
    </xf>
    <xf numFmtId="1" fontId="6" fillId="24" borderId="363" xfId="0" applyNumberFormat="1" applyFont="1" applyFill="1" applyBorder="1" applyProtection="1">
      <protection locked="0"/>
    </xf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9" fillId="0" borderId="348" xfId="0" applyNumberFormat="1" applyFont="1" applyBorder="1"/>
    <xf numFmtId="1" fontId="6" fillId="14" borderId="423" xfId="0" applyNumberFormat="1" applyFont="1" applyFill="1" applyBorder="1" applyAlignment="1">
      <alignment vertical="center"/>
    </xf>
    <xf numFmtId="1" fontId="9" fillId="3" borderId="0" xfId="0" applyNumberFormat="1" applyFont="1" applyFill="1" applyAlignment="1">
      <alignment horizontal="center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9" fillId="0" borderId="244" xfId="0" applyNumberFormat="1" applyFont="1" applyBorder="1"/>
    <xf numFmtId="1" fontId="9" fillId="3" borderId="35" xfId="0" applyNumberFormat="1" applyFont="1" applyFill="1" applyBorder="1"/>
    <xf numFmtId="1" fontId="6" fillId="0" borderId="275" xfId="0" applyNumberFormat="1" applyFont="1" applyBorder="1" applyAlignment="1">
      <alignment horizontal="right" vertical="center" wrapText="1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0" borderId="237" xfId="0" applyNumberFormat="1" applyFont="1" applyBorder="1" applyAlignment="1">
      <alignment horizontal="right" vertical="center"/>
    </xf>
    <xf numFmtId="1" fontId="6" fillId="3" borderId="281" xfId="0" applyNumberFormat="1" applyFont="1" applyFill="1" applyBorder="1"/>
    <xf numFmtId="1" fontId="6" fillId="3" borderId="280" xfId="0" applyNumberFormat="1" applyFont="1" applyFill="1" applyBorder="1"/>
    <xf numFmtId="1" fontId="6" fillId="0" borderId="227" xfId="0" applyNumberFormat="1" applyFont="1" applyBorder="1" applyAlignment="1">
      <alignment horizontal="right"/>
    </xf>
    <xf numFmtId="1" fontId="6" fillId="3" borderId="301" xfId="0" applyNumberFormat="1" applyFont="1" applyFill="1" applyBorder="1"/>
    <xf numFmtId="1" fontId="6" fillId="0" borderId="275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79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08" xfId="0" applyNumberFormat="1" applyFont="1" applyFill="1" applyBorder="1" applyAlignment="1" applyProtection="1">
      <alignment horizontal="right"/>
      <protection locked="0"/>
    </xf>
    <xf numFmtId="1" fontId="6" fillId="0" borderId="237" xfId="0" applyNumberFormat="1" applyFont="1" applyBorder="1" applyAlignment="1">
      <alignment horizontal="right"/>
    </xf>
    <xf numFmtId="1" fontId="9" fillId="17" borderId="0" xfId="0" applyNumberFormat="1" applyFont="1" applyFill="1" applyAlignment="1">
      <alignment wrapText="1"/>
    </xf>
    <xf numFmtId="1" fontId="13" fillId="0" borderId="28" xfId="0" applyNumberFormat="1" applyFont="1" applyBorder="1" applyAlignment="1">
      <alignment horizontal="center" vertical="center"/>
    </xf>
    <xf numFmtId="1" fontId="6" fillId="0" borderId="48" xfId="0" applyNumberFormat="1" applyFont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6" fillId="3" borderId="164" xfId="0" applyNumberFormat="1" applyFont="1" applyFill="1" applyBorder="1"/>
    <xf numFmtId="1" fontId="6" fillId="0" borderId="106" xfId="0" applyNumberFormat="1" applyFont="1" applyBorder="1" applyProtection="1">
      <protection hidden="1"/>
    </xf>
    <xf numFmtId="1" fontId="6" fillId="0" borderId="107" xfId="0" applyNumberFormat="1" applyFont="1" applyBorder="1" applyProtection="1">
      <protection hidden="1"/>
    </xf>
    <xf numFmtId="1" fontId="6" fillId="0" borderId="205" xfId="0" applyNumberFormat="1" applyFont="1" applyBorder="1" applyAlignment="1">
      <alignment horizontal="center"/>
    </xf>
    <xf numFmtId="1" fontId="6" fillId="0" borderId="175" xfId="0" applyNumberFormat="1" applyFont="1" applyBorder="1" applyAlignment="1" applyProtection="1">
      <alignment horizontal="center" vertical="center"/>
      <protection hidden="1"/>
    </xf>
    <xf numFmtId="1" fontId="6" fillId="0" borderId="202" xfId="0" applyNumberFormat="1" applyFont="1" applyBorder="1" applyAlignment="1">
      <alignment horizontal="right"/>
    </xf>
    <xf numFmtId="1" fontId="6" fillId="0" borderId="213" xfId="0" applyNumberFormat="1" applyFont="1" applyBorder="1" applyAlignment="1">
      <alignment horizontal="right"/>
    </xf>
    <xf numFmtId="1" fontId="6" fillId="0" borderId="192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05" xfId="0" applyNumberFormat="1" applyFont="1" applyBorder="1" applyAlignment="1" applyProtection="1">
      <alignment horizontal="center" vertical="center"/>
      <protection hidden="1"/>
    </xf>
    <xf numFmtId="1" fontId="6" fillId="5" borderId="202" xfId="0" applyNumberFormat="1" applyFont="1" applyFill="1" applyBorder="1" applyAlignment="1" applyProtection="1">
      <alignment horizontal="right"/>
      <protection locked="0"/>
    </xf>
    <xf numFmtId="1" fontId="6" fillId="5" borderId="160" xfId="0" applyNumberFormat="1" applyFont="1" applyFill="1" applyBorder="1" applyAlignment="1" applyProtection="1">
      <alignment horizontal="right"/>
      <protection locked="0"/>
    </xf>
    <xf numFmtId="1" fontId="6" fillId="5" borderId="203" xfId="0" applyNumberFormat="1" applyFont="1" applyFill="1" applyBorder="1" applyAlignment="1" applyProtection="1">
      <alignment horizontal="right"/>
      <protection locked="0"/>
    </xf>
    <xf numFmtId="1" fontId="6" fillId="5" borderId="214" xfId="0" applyNumberFormat="1" applyFont="1" applyFill="1" applyBorder="1" applyAlignment="1" applyProtection="1">
      <alignment horizontal="right"/>
      <protection locked="0"/>
    </xf>
    <xf numFmtId="1" fontId="6" fillId="0" borderId="216" xfId="0" applyNumberFormat="1" applyFont="1" applyBorder="1" applyAlignment="1">
      <alignment horizontal="left" vertical="center"/>
    </xf>
    <xf numFmtId="1" fontId="6" fillId="5" borderId="216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5" borderId="174" xfId="0" applyNumberFormat="1" applyFont="1" applyFill="1" applyBorder="1" applyProtection="1">
      <protection locked="0"/>
    </xf>
    <xf numFmtId="1" fontId="21" fillId="3" borderId="191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38" xfId="0" applyNumberFormat="1" applyFont="1" applyBorder="1"/>
    <xf numFmtId="1" fontId="9" fillId="0" borderId="106" xfId="0" applyNumberFormat="1" applyFont="1" applyBorder="1"/>
    <xf numFmtId="1" fontId="9" fillId="0" borderId="107" xfId="0" applyNumberFormat="1" applyFont="1" applyBorder="1"/>
    <xf numFmtId="1" fontId="6" fillId="6" borderId="155" xfId="14" applyNumberFormat="1" applyFont="1" applyBorder="1" applyProtection="1">
      <protection locked="0"/>
    </xf>
    <xf numFmtId="1" fontId="38" fillId="14" borderId="0" xfId="0" applyNumberFormat="1" applyFont="1" applyFill="1" applyProtection="1">
      <protection locked="0"/>
    </xf>
    <xf numFmtId="1" fontId="38" fillId="0" borderId="0" xfId="0" applyNumberFormat="1" applyFont="1"/>
    <xf numFmtId="1" fontId="38" fillId="0" borderId="440" xfId="0" applyNumberFormat="1" applyFont="1" applyBorder="1"/>
    <xf numFmtId="1" fontId="38" fillId="14" borderId="440" xfId="0" applyNumberFormat="1" applyFont="1" applyFill="1" applyBorder="1"/>
    <xf numFmtId="0" fontId="38" fillId="14" borderId="0" xfId="0" applyFont="1" applyFill="1" applyAlignment="1">
      <alignment vertical="top" wrapText="1"/>
    </xf>
    <xf numFmtId="0" fontId="38" fillId="14" borderId="0" xfId="0" applyFont="1" applyFill="1" applyAlignment="1" applyProtection="1">
      <alignment vertical="top"/>
      <protection locked="0"/>
    </xf>
    <xf numFmtId="1" fontId="6" fillId="0" borderId="434" xfId="0" applyNumberFormat="1" applyFont="1" applyBorder="1" applyAlignment="1">
      <alignment horizontal="left" vertical="center" wrapText="1"/>
    </xf>
    <xf numFmtId="1" fontId="6" fillId="14" borderId="434" xfId="0" applyNumberFormat="1" applyFont="1" applyFill="1" applyBorder="1" applyAlignment="1">
      <alignment horizontal="left" vertical="center" wrapText="1"/>
    </xf>
    <xf numFmtId="1" fontId="6" fillId="0" borderId="427" xfId="0" applyNumberFormat="1" applyFont="1" applyBorder="1" applyAlignment="1">
      <alignment horizontal="left" vertical="center" wrapText="1"/>
    </xf>
    <xf numFmtId="1" fontId="38" fillId="14" borderId="418" xfId="0" applyNumberFormat="1" applyFont="1" applyFill="1" applyBorder="1"/>
    <xf numFmtId="1" fontId="39" fillId="0" borderId="0" xfId="0" applyNumberFormat="1" applyFont="1"/>
    <xf numFmtId="1" fontId="39" fillId="14" borderId="0" xfId="0" applyNumberFormat="1" applyFont="1" applyFill="1"/>
    <xf numFmtId="1" fontId="39" fillId="17" borderId="0" xfId="0" applyNumberFormat="1" applyFont="1" applyFill="1" applyProtection="1">
      <protection locked="0"/>
    </xf>
    <xf numFmtId="1" fontId="39" fillId="3" borderId="0" xfId="0" applyNumberFormat="1" applyFont="1" applyFill="1"/>
    <xf numFmtId="1" fontId="38" fillId="0" borderId="0" xfId="0" applyNumberFormat="1" applyFont="1" applyProtection="1">
      <protection locked="0"/>
    </xf>
    <xf numFmtId="1" fontId="38" fillId="3" borderId="407" xfId="0" applyNumberFormat="1" applyFont="1" applyFill="1" applyBorder="1"/>
    <xf numFmtId="1" fontId="43" fillId="0" borderId="0" xfId="0" applyNumberFormat="1" applyFont="1"/>
    <xf numFmtId="1" fontId="6" fillId="0" borderId="231" xfId="23" applyNumberFormat="1" applyFont="1" applyBorder="1" applyAlignment="1">
      <alignment horizontal="center" vertical="center" wrapText="1"/>
    </xf>
    <xf numFmtId="1" fontId="6" fillId="5" borderId="231" xfId="23" applyNumberFormat="1" applyFont="1" applyFill="1" applyBorder="1" applyProtection="1">
      <protection locked="0"/>
    </xf>
    <xf numFmtId="1" fontId="6" fillId="5" borderId="228" xfId="23" applyNumberFormat="1" applyFont="1" applyFill="1" applyBorder="1" applyProtection="1">
      <protection locked="0"/>
    </xf>
    <xf numFmtId="1" fontId="6" fillId="5" borderId="288" xfId="23" applyNumberFormat="1" applyFont="1" applyFill="1" applyBorder="1" applyProtection="1">
      <protection locked="0"/>
    </xf>
    <xf numFmtId="1" fontId="38" fillId="25" borderId="0" xfId="0" applyNumberFormat="1" applyFont="1" applyFill="1"/>
    <xf numFmtId="2" fontId="9" fillId="14" borderId="0" xfId="0" applyNumberFormat="1" applyFont="1" applyFill="1"/>
    <xf numFmtId="1" fontId="9" fillId="0" borderId="246" xfId="0" applyNumberFormat="1" applyFont="1" applyBorder="1"/>
    <xf numFmtId="1" fontId="9" fillId="14" borderId="246" xfId="0" applyNumberFormat="1" applyFont="1" applyFill="1" applyBorder="1"/>
    <xf numFmtId="1" fontId="6" fillId="0" borderId="634" xfId="0" applyNumberFormat="1" applyFont="1" applyBorder="1"/>
    <xf numFmtId="1" fontId="6" fillId="12" borderId="263" xfId="0" applyNumberFormat="1" applyFont="1" applyFill="1" applyBorder="1" applyAlignment="1">
      <alignment horizontal="right" wrapText="1"/>
    </xf>
    <xf numFmtId="1" fontId="6" fillId="12" borderId="9" xfId="0" applyNumberFormat="1" applyFont="1" applyFill="1" applyBorder="1" applyAlignment="1">
      <alignment horizontal="right" wrapText="1"/>
    </xf>
    <xf numFmtId="1" fontId="6" fillId="12" borderId="37" xfId="0" applyNumberFormat="1" applyFont="1" applyFill="1" applyBorder="1" applyAlignment="1">
      <alignment horizontal="right" wrapText="1"/>
    </xf>
    <xf numFmtId="1" fontId="6" fillId="12" borderId="237" xfId="0" applyNumberFormat="1" applyFont="1" applyFill="1" applyBorder="1" applyAlignment="1">
      <alignment horizontal="right" wrapText="1"/>
    </xf>
    <xf numFmtId="1" fontId="6" fillId="12" borderId="288" xfId="0" applyNumberFormat="1" applyFont="1" applyFill="1" applyBorder="1" applyAlignment="1">
      <alignment horizontal="right"/>
    </xf>
    <xf numFmtId="1" fontId="6" fillId="12" borderId="532" xfId="0" applyNumberFormat="1" applyFont="1" applyFill="1" applyBorder="1"/>
    <xf numFmtId="1" fontId="6" fillId="12" borderId="31" xfId="0" applyNumberFormat="1" applyFont="1" applyFill="1" applyBorder="1"/>
    <xf numFmtId="1" fontId="6" fillId="4" borderId="573" xfId="0" applyNumberFormat="1" applyFont="1" applyFill="1" applyBorder="1"/>
    <xf numFmtId="1" fontId="6" fillId="12" borderId="334" xfId="0" applyNumberFormat="1" applyFont="1" applyFill="1" applyBorder="1"/>
    <xf numFmtId="1" fontId="6" fillId="12" borderId="45" xfId="0" applyNumberFormat="1" applyFont="1" applyFill="1" applyBorder="1"/>
    <xf numFmtId="1" fontId="6" fillId="4" borderId="604" xfId="0" applyNumberFormat="1" applyFont="1" applyFill="1" applyBorder="1"/>
    <xf numFmtId="1" fontId="6" fillId="4" borderId="632" xfId="0" applyNumberFormat="1" applyFont="1" applyFill="1" applyBorder="1"/>
    <xf numFmtId="1" fontId="6" fillId="5" borderId="633" xfId="0" applyNumberFormat="1" applyFont="1" applyFill="1" applyBorder="1" applyProtection="1">
      <protection locked="0"/>
    </xf>
    <xf numFmtId="1" fontId="6" fillId="3" borderId="646" xfId="0" applyNumberFormat="1" applyFont="1" applyFill="1" applyBorder="1" applyAlignment="1">
      <alignment horizontal="center" vertical="center" wrapText="1"/>
    </xf>
    <xf numFmtId="2" fontId="6" fillId="3" borderId="281" xfId="0" applyNumberFormat="1" applyFont="1" applyFill="1" applyBorder="1" applyAlignment="1">
      <alignment horizontal="center" vertical="center"/>
    </xf>
    <xf numFmtId="2" fontId="6" fillId="3" borderId="290" xfId="0" applyNumberFormat="1" applyFont="1" applyFill="1" applyBorder="1" applyAlignment="1">
      <alignment horizontal="center" vertical="center"/>
    </xf>
    <xf numFmtId="2" fontId="6" fillId="3" borderId="646" xfId="0" applyNumberFormat="1" applyFont="1" applyFill="1" applyBorder="1" applyAlignment="1">
      <alignment horizontal="center" vertical="center"/>
    </xf>
    <xf numFmtId="1" fontId="6" fillId="0" borderId="600" xfId="17" applyNumberFormat="1" applyFont="1" applyBorder="1" applyAlignment="1">
      <alignment vertical="center" wrapText="1"/>
    </xf>
    <xf numFmtId="1" fontId="6" fillId="12" borderId="601" xfId="1" applyNumberFormat="1" applyFont="1" applyFill="1" applyBorder="1" applyProtection="1"/>
    <xf numFmtId="1" fontId="6" fillId="12" borderId="604" xfId="1" applyNumberFormat="1" applyFont="1" applyFill="1" applyBorder="1" applyProtection="1"/>
    <xf numFmtId="1" fontId="6" fillId="5" borderId="660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5" borderId="668" xfId="0" applyNumberFormat="1" applyFont="1" applyFill="1" applyBorder="1" applyProtection="1">
      <protection locked="0"/>
    </xf>
    <xf numFmtId="1" fontId="6" fillId="5" borderId="659" xfId="0" applyNumberFormat="1" applyFont="1" applyFill="1" applyBorder="1" applyProtection="1">
      <protection locked="0"/>
    </xf>
    <xf numFmtId="1" fontId="6" fillId="0" borderId="654" xfId="4" applyNumberFormat="1" applyFont="1" applyBorder="1" applyAlignment="1">
      <alignment horizontal="center" vertical="center" wrapText="1"/>
    </xf>
    <xf numFmtId="1" fontId="6" fillId="0" borderId="672" xfId="4" applyNumberFormat="1" applyFont="1" applyBorder="1" applyAlignment="1">
      <alignment horizontal="center" vertical="center" wrapText="1"/>
    </xf>
    <xf numFmtId="1" fontId="6" fillId="0" borderId="667" xfId="17" applyNumberFormat="1" applyFont="1" applyBorder="1" applyAlignment="1">
      <alignment vertical="center" wrapText="1"/>
    </xf>
    <xf numFmtId="1" fontId="6" fillId="5" borderId="660" xfId="1" applyNumberFormat="1" applyFont="1" applyFill="1" applyBorder="1" applyProtection="1">
      <protection locked="0"/>
    </xf>
    <xf numFmtId="1" fontId="6" fillId="5" borderId="668" xfId="1" applyNumberFormat="1" applyFont="1" applyFill="1" applyBorder="1" applyProtection="1">
      <protection locked="0"/>
    </xf>
    <xf numFmtId="1" fontId="6" fillId="12" borderId="630" xfId="1" applyNumberFormat="1" applyFont="1" applyFill="1" applyBorder="1" applyProtection="1"/>
    <xf numFmtId="1" fontId="6" fillId="12" borderId="632" xfId="1" applyNumberFormat="1" applyFont="1" applyFill="1" applyBorder="1" applyProtection="1"/>
    <xf numFmtId="1" fontId="6" fillId="0" borderId="651" xfId="17" applyNumberFormat="1" applyFont="1" applyBorder="1" applyAlignment="1">
      <alignment horizontal="center" vertical="center" wrapText="1"/>
    </xf>
    <xf numFmtId="1" fontId="6" fillId="0" borderId="654" xfId="1" applyNumberFormat="1" applyFont="1" applyBorder="1" applyAlignment="1">
      <alignment horizontal="right"/>
    </xf>
    <xf numFmtId="1" fontId="6" fillId="0" borderId="672" xfId="1" applyNumberFormat="1" applyFont="1" applyBorder="1" applyAlignment="1">
      <alignment horizontal="right"/>
    </xf>
    <xf numFmtId="1" fontId="6" fillId="14" borderId="95" xfId="0" applyNumberFormat="1" applyFont="1" applyFill="1" applyBorder="1" applyAlignment="1">
      <alignment wrapText="1"/>
    </xf>
    <xf numFmtId="1" fontId="6" fillId="14" borderId="664" xfId="0" applyNumberFormat="1" applyFont="1" applyFill="1" applyBorder="1" applyAlignment="1">
      <alignment wrapText="1"/>
    </xf>
    <xf numFmtId="1" fontId="6" fillId="0" borderId="664" xfId="0" applyNumberFormat="1" applyFont="1" applyBorder="1" applyAlignment="1">
      <alignment wrapText="1"/>
    </xf>
    <xf numFmtId="1" fontId="6" fillId="5" borderId="599" xfId="0" applyNumberFormat="1" applyFont="1" applyFill="1" applyBorder="1" applyProtection="1">
      <protection locked="0"/>
    </xf>
    <xf numFmtId="1" fontId="6" fillId="12" borderId="661" xfId="0" applyNumberFormat="1" applyFont="1" applyFill="1" applyBorder="1"/>
    <xf numFmtId="1" fontId="6" fillId="0" borderId="675" xfId="28" applyNumberFormat="1" applyFont="1" applyBorder="1" applyProtection="1">
      <protection hidden="1"/>
    </xf>
    <xf numFmtId="1" fontId="6" fillId="0" borderId="676" xfId="28" applyNumberFormat="1" applyFont="1" applyBorder="1" applyProtection="1">
      <protection hidden="1"/>
    </xf>
    <xf numFmtId="1" fontId="6" fillId="5" borderId="678" xfId="0" applyNumberFormat="1" applyFont="1" applyFill="1" applyBorder="1" applyProtection="1">
      <protection locked="0"/>
    </xf>
    <xf numFmtId="1" fontId="6" fillId="0" borderId="680" xfId="28" applyNumberFormat="1" applyFont="1" applyBorder="1" applyProtection="1">
      <protection hidden="1"/>
    </xf>
    <xf numFmtId="1" fontId="6" fillId="0" borderId="681" xfId="28" applyNumberFormat="1" applyFont="1" applyBorder="1" applyProtection="1">
      <protection hidden="1"/>
    </xf>
    <xf numFmtId="1" fontId="6" fillId="5" borderId="682" xfId="0" applyNumberFormat="1" applyFont="1" applyFill="1" applyBorder="1" applyProtection="1">
      <protection locked="0"/>
    </xf>
    <xf numFmtId="1" fontId="6" fillId="0" borderId="683" xfId="28" applyNumberFormat="1" applyFont="1" applyBorder="1" applyProtection="1">
      <protection hidden="1"/>
    </xf>
    <xf numFmtId="1" fontId="6" fillId="4" borderId="687" xfId="0" applyNumberFormat="1" applyFont="1" applyFill="1" applyBorder="1"/>
    <xf numFmtId="1" fontId="6" fillId="14" borderId="688" xfId="0" applyNumberFormat="1" applyFont="1" applyFill="1" applyBorder="1" applyAlignment="1">
      <alignment wrapText="1"/>
    </xf>
    <xf numFmtId="1" fontId="6" fillId="5" borderId="691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90" xfId="0" applyNumberFormat="1" applyFont="1" applyBorder="1" applyAlignment="1">
      <alignment horizontal="right" wrapText="1"/>
    </xf>
    <xf numFmtId="1" fontId="6" fillId="5" borderId="694" xfId="0" applyNumberFormat="1" applyFont="1" applyFill="1" applyBorder="1" applyProtection="1">
      <protection locked="0"/>
    </xf>
    <xf numFmtId="1" fontId="6" fillId="5" borderId="687" xfId="0" applyNumberFormat="1" applyFont="1" applyFill="1" applyBorder="1" applyProtection="1">
      <protection locked="0"/>
    </xf>
    <xf numFmtId="1" fontId="6" fillId="5" borderId="695" xfId="0" applyNumberFormat="1" applyFont="1" applyFill="1" applyBorder="1" applyProtection="1">
      <protection locked="0"/>
    </xf>
    <xf numFmtId="1" fontId="6" fillId="5" borderId="696" xfId="0" applyNumberFormat="1" applyFont="1" applyFill="1" applyBorder="1" applyProtection="1">
      <protection locked="0"/>
    </xf>
    <xf numFmtId="1" fontId="6" fillId="5" borderId="697" xfId="0" applyNumberFormat="1" applyFont="1" applyFill="1" applyBorder="1" applyProtection="1">
      <protection locked="0"/>
    </xf>
    <xf numFmtId="1" fontId="6" fillId="5" borderId="684" xfId="0" applyNumberFormat="1" applyFont="1" applyFill="1" applyBorder="1" applyProtection="1">
      <protection locked="0"/>
    </xf>
    <xf numFmtId="1" fontId="6" fillId="4" borderId="631" xfId="0" applyNumberFormat="1" applyFont="1" applyFill="1" applyBorder="1" applyAlignment="1">
      <alignment horizontal="right"/>
    </xf>
    <xf numFmtId="1" fontId="6" fillId="0" borderId="659" xfId="0" applyNumberFormat="1" applyFont="1" applyBorder="1"/>
    <xf numFmtId="1" fontId="6" fillId="0" borderId="700" xfId="0" applyNumberFormat="1" applyFont="1" applyBorder="1" applyAlignment="1">
      <alignment wrapText="1"/>
    </xf>
    <xf numFmtId="1" fontId="6" fillId="0" borderId="701" xfId="0" applyNumberFormat="1" applyFont="1" applyBorder="1"/>
    <xf numFmtId="1" fontId="6" fillId="0" borderId="668" xfId="0" applyNumberFormat="1" applyFont="1" applyBorder="1" applyAlignment="1">
      <alignment horizontal="right"/>
    </xf>
    <xf numFmtId="1" fontId="6" fillId="0" borderId="511" xfId="0" applyNumberFormat="1" applyFont="1" applyBorder="1" applyAlignment="1">
      <alignment horizontal="right"/>
    </xf>
    <xf numFmtId="1" fontId="6" fillId="5" borderId="690" xfId="0" applyNumberFormat="1" applyFont="1" applyFill="1" applyBorder="1" applyProtection="1">
      <protection locked="0"/>
    </xf>
    <xf numFmtId="1" fontId="6" fillId="5" borderId="689" xfId="0" applyNumberFormat="1" applyFont="1" applyFill="1" applyBorder="1" applyProtection="1">
      <protection locked="0"/>
    </xf>
    <xf numFmtId="1" fontId="6" fillId="5" borderId="715" xfId="0" applyNumberFormat="1" applyFont="1" applyFill="1" applyBorder="1" applyProtection="1">
      <protection locked="0"/>
    </xf>
    <xf numFmtId="1" fontId="6" fillId="0" borderId="659" xfId="0" applyNumberFormat="1" applyFont="1" applyBorder="1" applyAlignment="1">
      <alignment horizontal="center" vertical="center" wrapText="1"/>
    </xf>
    <xf numFmtId="1" fontId="6" fillId="0" borderId="700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5" borderId="699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578" xfId="0" applyNumberFormat="1" applyFont="1" applyFill="1" applyBorder="1" applyProtection="1">
      <protection locked="0"/>
    </xf>
    <xf numFmtId="1" fontId="6" fillId="5" borderId="536" xfId="0" applyNumberFormat="1" applyFont="1" applyFill="1" applyBorder="1" applyProtection="1">
      <protection locked="0"/>
    </xf>
    <xf numFmtId="1" fontId="6" fillId="0" borderId="601" xfId="0" applyNumberFormat="1" applyFont="1" applyBorder="1" applyAlignment="1">
      <alignment horizontal="right" wrapText="1"/>
    </xf>
    <xf numFmtId="1" fontId="6" fillId="0" borderId="684" xfId="0" applyNumberFormat="1" applyFont="1" applyBorder="1" applyAlignment="1">
      <alignment horizontal="right" wrapText="1"/>
    </xf>
    <xf numFmtId="1" fontId="6" fillId="0" borderId="699" xfId="0" applyNumberFormat="1" applyFont="1" applyBorder="1" applyAlignment="1">
      <alignment horizontal="right"/>
    </xf>
    <xf numFmtId="1" fontId="6" fillId="5" borderId="721" xfId="0" applyNumberFormat="1" applyFont="1" applyFill="1" applyBorder="1" applyProtection="1">
      <protection locked="0"/>
    </xf>
    <xf numFmtId="1" fontId="6" fillId="5" borderId="719" xfId="0" applyNumberFormat="1" applyFont="1" applyFill="1" applyBorder="1" applyProtection="1">
      <protection locked="0"/>
    </xf>
    <xf numFmtId="1" fontId="6" fillId="5" borderId="701" xfId="0" applyNumberFormat="1" applyFont="1" applyFill="1" applyBorder="1" applyProtection="1">
      <protection locked="0"/>
    </xf>
    <xf numFmtId="1" fontId="6" fillId="0" borderId="718" xfId="0" applyNumberFormat="1" applyFont="1" applyBorder="1"/>
    <xf numFmtId="1" fontId="6" fillId="5" borderId="718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0" borderId="691" xfId="0" applyNumberFormat="1" applyFont="1" applyBorder="1"/>
    <xf numFmtId="1" fontId="6" fillId="5" borderId="521" xfId="0" applyNumberFormat="1" applyFont="1" applyFill="1" applyBorder="1" applyProtection="1">
      <protection locked="0"/>
    </xf>
    <xf numFmtId="1" fontId="6" fillId="0" borderId="700" xfId="28" applyNumberFormat="1" applyFont="1" applyBorder="1" applyAlignment="1">
      <alignment wrapText="1"/>
    </xf>
    <xf numFmtId="1" fontId="6" fillId="5" borderId="686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8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6" fillId="5" borderId="733" xfId="0" applyNumberFormat="1" applyFont="1" applyFill="1" applyBorder="1" applyProtection="1">
      <protection locked="0"/>
    </xf>
    <xf numFmtId="1" fontId="6" fillId="5" borderId="734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5" borderId="744" xfId="0" applyNumberFormat="1" applyFont="1" applyFill="1" applyBorder="1" applyProtection="1">
      <protection locked="0"/>
    </xf>
    <xf numFmtId="1" fontId="6" fillId="0" borderId="686" xfId="0" applyNumberFormat="1" applyFont="1" applyBorder="1" applyAlignment="1">
      <alignment horizontal="right" wrapText="1"/>
    </xf>
    <xf numFmtId="1" fontId="6" fillId="4" borderId="408" xfId="0" applyNumberFormat="1" applyFont="1" applyFill="1" applyBorder="1"/>
    <xf numFmtId="1" fontId="6" fillId="4" borderId="517" xfId="0" applyNumberFormat="1" applyFont="1" applyFill="1" applyBorder="1"/>
    <xf numFmtId="1" fontId="6" fillId="3" borderId="743" xfId="0" applyNumberFormat="1" applyFont="1" applyFill="1" applyBorder="1"/>
    <xf numFmtId="1" fontId="6" fillId="4" borderId="737" xfId="0" applyNumberFormat="1" applyFont="1" applyFill="1" applyBorder="1"/>
    <xf numFmtId="1" fontId="6" fillId="3" borderId="721" xfId="0" applyNumberFormat="1" applyFont="1" applyFill="1" applyBorder="1"/>
    <xf numFmtId="1" fontId="6" fillId="3" borderId="752" xfId="0" applyNumberFormat="1" applyFont="1" applyFill="1" applyBorder="1"/>
    <xf numFmtId="1" fontId="6" fillId="4" borderId="753" xfId="0" applyNumberFormat="1" applyFont="1" applyFill="1" applyBorder="1"/>
    <xf numFmtId="1" fontId="6" fillId="5" borderId="754" xfId="0" applyNumberFormat="1" applyFont="1" applyFill="1" applyBorder="1" applyProtection="1">
      <protection locked="0"/>
    </xf>
    <xf numFmtId="1" fontId="6" fillId="4" borderId="691" xfId="0" applyNumberFormat="1" applyFont="1" applyFill="1" applyBorder="1"/>
    <xf numFmtId="1" fontId="6" fillId="4" borderId="744" xfId="0" applyNumberFormat="1" applyFont="1" applyFill="1" applyBorder="1"/>
    <xf numFmtId="1" fontId="6" fillId="4" borderId="738" xfId="0" applyNumberFormat="1" applyFont="1" applyFill="1" applyBorder="1"/>
    <xf numFmtId="1" fontId="6" fillId="4" borderId="674" xfId="0" applyNumberFormat="1" applyFont="1" applyFill="1" applyBorder="1"/>
    <xf numFmtId="1" fontId="6" fillId="0" borderId="751" xfId="0" applyNumberFormat="1" applyFont="1" applyBorder="1" applyAlignment="1">
      <alignment horizontal="center" vertical="center" wrapText="1"/>
    </xf>
    <xf numFmtId="1" fontId="6" fillId="4" borderId="661" xfId="0" applyNumberFormat="1" applyFont="1" applyFill="1" applyBorder="1"/>
    <xf numFmtId="1" fontId="6" fillId="4" borderId="724" xfId="0" applyNumberFormat="1" applyFont="1" applyFill="1" applyBorder="1"/>
    <xf numFmtId="1" fontId="6" fillId="4" borderId="693" xfId="0" applyNumberFormat="1" applyFont="1" applyFill="1" applyBorder="1"/>
    <xf numFmtId="1" fontId="6" fillId="0" borderId="755" xfId="23" applyNumberFormat="1" applyFont="1" applyBorder="1" applyAlignment="1">
      <alignment horizontal="center" vertical="center" wrapText="1"/>
    </xf>
    <xf numFmtId="1" fontId="6" fillId="5" borderId="759" xfId="23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761" xfId="0" applyNumberFormat="1" applyFont="1" applyFill="1" applyBorder="1" applyProtection="1">
      <protection locked="0"/>
    </xf>
    <xf numFmtId="1" fontId="6" fillId="0" borderId="711" xfId="0" applyNumberFormat="1" applyFont="1" applyBorder="1"/>
    <xf numFmtId="1" fontId="6" fillId="4" borderId="696" xfId="0" applyNumberFormat="1" applyFont="1" applyFill="1" applyBorder="1"/>
    <xf numFmtId="1" fontId="6" fillId="4" borderId="575" xfId="0" applyNumberFormat="1" applyFont="1" applyFill="1" applyBorder="1"/>
    <xf numFmtId="1" fontId="6" fillId="5" borderId="763" xfId="0" applyNumberFormat="1" applyFont="1" applyFill="1" applyBorder="1" applyProtection="1">
      <protection locked="0"/>
    </xf>
    <xf numFmtId="1" fontId="6" fillId="4" borderId="714" xfId="0" applyNumberFormat="1" applyFont="1" applyFill="1" applyBorder="1"/>
    <xf numFmtId="1" fontId="6" fillId="5" borderId="759" xfId="0" applyNumberFormat="1" applyFont="1" applyFill="1" applyBorder="1" applyProtection="1">
      <protection locked="0"/>
    </xf>
    <xf numFmtId="1" fontId="6" fillId="5" borderId="741" xfId="0" applyNumberFormat="1" applyFont="1" applyFill="1" applyBorder="1" applyProtection="1">
      <protection locked="0"/>
    </xf>
    <xf numFmtId="1" fontId="6" fillId="4" borderId="690" xfId="0" applyNumberFormat="1" applyFont="1" applyFill="1" applyBorder="1"/>
    <xf numFmtId="1" fontId="6" fillId="0" borderId="758" xfId="0" applyNumberFormat="1" applyFont="1" applyBorder="1"/>
    <xf numFmtId="1" fontId="6" fillId="4" borderId="766" xfId="0" applyNumberFormat="1" applyFont="1" applyFill="1" applyBorder="1"/>
    <xf numFmtId="1" fontId="6" fillId="5" borderId="768" xfId="0" applyNumberFormat="1" applyFont="1" applyFill="1" applyBorder="1" applyProtection="1">
      <protection locked="0"/>
    </xf>
    <xf numFmtId="1" fontId="6" fillId="4" borderId="697" xfId="0" applyNumberFormat="1" applyFont="1" applyFill="1" applyBorder="1"/>
    <xf numFmtId="1" fontId="6" fillId="4" borderId="769" xfId="0" applyNumberFormat="1" applyFont="1" applyFill="1" applyBorder="1"/>
    <xf numFmtId="1" fontId="6" fillId="4" borderId="767" xfId="0" applyNumberFormat="1" applyFont="1" applyFill="1" applyBorder="1"/>
    <xf numFmtId="1" fontId="6" fillId="4" borderId="715" xfId="0" applyNumberFormat="1" applyFont="1" applyFill="1" applyBorder="1"/>
    <xf numFmtId="1" fontId="6" fillId="4" borderId="521" xfId="0" applyNumberFormat="1" applyFont="1" applyFill="1" applyBorder="1"/>
    <xf numFmtId="1" fontId="6" fillId="5" borderId="773" xfId="0" applyNumberFormat="1" applyFont="1" applyFill="1" applyBorder="1" applyProtection="1">
      <protection locked="0"/>
    </xf>
    <xf numFmtId="1" fontId="6" fillId="4" borderId="764" xfId="0" applyNumberFormat="1" applyFont="1" applyFill="1" applyBorder="1"/>
    <xf numFmtId="1" fontId="6" fillId="4" borderId="775" xfId="0" applyNumberFormat="1" applyFont="1" applyFill="1" applyBorder="1"/>
    <xf numFmtId="1" fontId="6" fillId="4" borderId="694" xfId="0" applyNumberFormat="1" applyFont="1" applyFill="1" applyBorder="1"/>
    <xf numFmtId="1" fontId="6" fillId="4" borderId="695" xfId="0" applyNumberFormat="1" applyFont="1" applyFill="1" applyBorder="1"/>
    <xf numFmtId="1" fontId="6" fillId="4" borderId="772" xfId="0" applyNumberFormat="1" applyFont="1" applyFill="1" applyBorder="1"/>
    <xf numFmtId="1" fontId="6" fillId="4" borderId="761" xfId="0" applyNumberFormat="1" applyFont="1" applyFill="1" applyBorder="1"/>
    <xf numFmtId="1" fontId="6" fillId="4" borderId="776" xfId="0" applyNumberFormat="1" applyFont="1" applyFill="1" applyBorder="1"/>
    <xf numFmtId="1" fontId="6" fillId="5" borderId="762" xfId="0" applyNumberFormat="1" applyFont="1" applyFill="1" applyBorder="1" applyProtection="1">
      <protection locked="0"/>
    </xf>
    <xf numFmtId="1" fontId="6" fillId="5" borderId="777" xfId="0" applyNumberFormat="1" applyFont="1" applyFill="1" applyBorder="1" applyProtection="1">
      <protection locked="0"/>
    </xf>
    <xf numFmtId="1" fontId="6" fillId="5" borderId="769" xfId="0" applyNumberFormat="1" applyFont="1" applyFill="1" applyBorder="1" applyProtection="1">
      <protection locked="0"/>
    </xf>
    <xf numFmtId="1" fontId="6" fillId="0" borderId="673" xfId="24" applyNumberFormat="1" applyFont="1" applyBorder="1" applyAlignment="1" applyProtection="1">
      <alignment horizontal="center" vertical="center"/>
      <protection hidden="1"/>
    </xf>
    <xf numFmtId="1" fontId="6" fillId="0" borderId="674" xfId="23" applyNumberFormat="1" applyFont="1" applyBorder="1" applyAlignment="1">
      <alignment horizontal="center" vertical="center" wrapText="1"/>
    </xf>
    <xf numFmtId="1" fontId="6" fillId="0" borderId="751" xfId="23" applyNumberFormat="1" applyFont="1" applyBorder="1" applyAlignment="1">
      <alignment horizontal="center" vertical="center" wrapText="1"/>
    </xf>
    <xf numFmtId="1" fontId="6" fillId="0" borderId="752" xfId="23" applyNumberFormat="1" applyFont="1" applyBorder="1"/>
    <xf numFmtId="1" fontId="6" fillId="5" borderId="773" xfId="23" applyNumberFormat="1" applyFont="1" applyFill="1" applyBorder="1" applyProtection="1">
      <protection locked="0"/>
    </xf>
    <xf numFmtId="1" fontId="6" fillId="0" borderId="701" xfId="23" applyNumberFormat="1" applyFont="1" applyBorder="1"/>
    <xf numFmtId="1" fontId="6" fillId="5" borderId="691" xfId="23" applyNumberFormat="1" applyFont="1" applyFill="1" applyBorder="1" applyProtection="1">
      <protection locked="0"/>
    </xf>
    <xf numFmtId="1" fontId="6" fillId="5" borderId="733" xfId="23" applyNumberFormat="1" applyFont="1" applyFill="1" applyBorder="1" applyProtection="1">
      <protection locked="0"/>
    </xf>
    <xf numFmtId="1" fontId="6" fillId="5" borderId="690" xfId="23" applyNumberFormat="1" applyFont="1" applyFill="1" applyBorder="1" applyProtection="1">
      <protection locked="0"/>
    </xf>
    <xf numFmtId="1" fontId="6" fillId="0" borderId="751" xfId="23" applyNumberFormat="1" applyFont="1" applyBorder="1"/>
    <xf numFmtId="1" fontId="6" fillId="0" borderId="758" xfId="23" applyNumberFormat="1" applyFont="1" applyBorder="1"/>
    <xf numFmtId="1" fontId="6" fillId="0" borderId="730" xfId="23" applyNumberFormat="1" applyFont="1" applyBorder="1"/>
    <xf numFmtId="1" fontId="6" fillId="0" borderId="755" xfId="23" applyNumberFormat="1" applyFont="1" applyBorder="1"/>
    <xf numFmtId="1" fontId="6" fillId="4" borderId="773" xfId="0" applyNumberFormat="1" applyFont="1" applyFill="1" applyBorder="1"/>
    <xf numFmtId="1" fontId="6" fillId="4" borderId="734" xfId="0" applyNumberFormat="1" applyFont="1" applyFill="1" applyBorder="1"/>
    <xf numFmtId="1" fontId="6" fillId="4" borderId="633" xfId="0" applyNumberFormat="1" applyFont="1" applyFill="1" applyBorder="1"/>
    <xf numFmtId="1" fontId="6" fillId="4" borderId="785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4" borderId="718" xfId="0" applyNumberFormat="1" applyFont="1" applyFill="1" applyBorder="1"/>
    <xf numFmtId="1" fontId="6" fillId="4" borderId="721" xfId="0" applyNumberFormat="1" applyFont="1" applyFill="1" applyBorder="1"/>
    <xf numFmtId="1" fontId="6" fillId="4" borderId="634" xfId="0" applyNumberFormat="1" applyFont="1" applyFill="1" applyBorder="1"/>
    <xf numFmtId="1" fontId="6" fillId="4" borderId="771" xfId="0" applyNumberFormat="1" applyFont="1" applyFill="1" applyBorder="1"/>
    <xf numFmtId="1" fontId="6" fillId="4" borderId="787" xfId="0" applyNumberFormat="1" applyFont="1" applyFill="1" applyBorder="1"/>
    <xf numFmtId="1" fontId="6" fillId="6" borderId="724" xfId="14" applyNumberFormat="1" applyFont="1" applyBorder="1" applyProtection="1">
      <protection locked="0"/>
    </xf>
    <xf numFmtId="1" fontId="6" fillId="5" borderId="771" xfId="0" applyNumberFormat="1" applyFont="1" applyFill="1" applyBorder="1" applyProtection="1">
      <protection locked="0"/>
    </xf>
    <xf numFmtId="1" fontId="6" fillId="5" borderId="790" xfId="0" applyNumberFormat="1" applyFont="1" applyFill="1" applyBorder="1" applyProtection="1">
      <protection locked="0"/>
    </xf>
    <xf numFmtId="1" fontId="6" fillId="4" borderId="692" xfId="0" applyNumberFormat="1" applyFont="1" applyFill="1" applyBorder="1"/>
    <xf numFmtId="1" fontId="6" fillId="5" borderId="720" xfId="0" applyNumberFormat="1" applyFont="1" applyFill="1" applyBorder="1" applyProtection="1">
      <protection locked="0"/>
    </xf>
    <xf numFmtId="1" fontId="6" fillId="0" borderId="710" xfId="23" applyNumberFormat="1" applyFont="1" applyBorder="1" applyAlignment="1">
      <alignment horizontal="center" vertical="center" wrapText="1"/>
    </xf>
    <xf numFmtId="1" fontId="6" fillId="5" borderId="710" xfId="23" applyNumberFormat="1" applyFont="1" applyFill="1" applyBorder="1" applyProtection="1">
      <protection locked="0"/>
    </xf>
    <xf numFmtId="1" fontId="6" fillId="0" borderId="765" xfId="23" applyNumberFormat="1" applyFont="1" applyBorder="1" applyAlignment="1">
      <alignment horizontal="center" vertical="center" wrapText="1"/>
    </xf>
    <xf numFmtId="1" fontId="6" fillId="5" borderId="751" xfId="23" applyNumberFormat="1" applyFont="1" applyFill="1" applyBorder="1" applyProtection="1">
      <protection locked="0"/>
    </xf>
    <xf numFmtId="1" fontId="6" fillId="5" borderId="778" xfId="23" applyNumberFormat="1" applyFont="1" applyFill="1" applyBorder="1" applyProtection="1">
      <protection locked="0"/>
    </xf>
    <xf numFmtId="1" fontId="6" fillId="5" borderId="734" xfId="23" applyNumberFormat="1" applyFont="1" applyFill="1" applyBorder="1" applyProtection="1">
      <protection locked="0"/>
    </xf>
    <xf numFmtId="1" fontId="6" fillId="0" borderId="710" xfId="23" applyNumberFormat="1" applyFont="1" applyBorder="1"/>
    <xf numFmtId="1" fontId="6" fillId="5" borderId="788" xfId="23" applyNumberFormat="1" applyFont="1" applyFill="1" applyBorder="1" applyProtection="1">
      <protection locked="0"/>
    </xf>
    <xf numFmtId="1" fontId="6" fillId="0" borderId="792" xfId="0" applyNumberFormat="1" applyFont="1" applyBorder="1" applyAlignment="1">
      <alignment horizontal="center" vertical="center"/>
    </xf>
    <xf numFmtId="1" fontId="6" fillId="0" borderId="788" xfId="0" applyNumberFormat="1" applyFont="1" applyBorder="1" applyAlignment="1">
      <alignment horizontal="right" wrapText="1"/>
    </xf>
    <xf numFmtId="1" fontId="6" fillId="0" borderId="793" xfId="0" applyNumberFormat="1" applyFont="1" applyBorder="1" applyAlignment="1">
      <alignment horizontal="right"/>
    </xf>
    <xf numFmtId="1" fontId="6" fillId="0" borderId="691" xfId="0" applyNumberFormat="1" applyFont="1" applyBorder="1" applyAlignment="1">
      <alignment horizontal="right" wrapText="1"/>
    </xf>
    <xf numFmtId="1" fontId="6" fillId="0" borderId="690" xfId="0" applyNumberFormat="1" applyFont="1" applyBorder="1" applyAlignment="1">
      <alignment horizontal="right"/>
    </xf>
    <xf numFmtId="1" fontId="6" fillId="0" borderId="771" xfId="0" applyNumberFormat="1" applyFont="1" applyBorder="1" applyAlignment="1">
      <alignment horizontal="right"/>
    </xf>
    <xf numFmtId="1" fontId="6" fillId="0" borderId="789" xfId="0" applyNumberFormat="1" applyFont="1" applyBorder="1" applyAlignment="1">
      <alignment horizontal="right"/>
    </xf>
    <xf numFmtId="1" fontId="6" fillId="0" borderId="724" xfId="0" applyNumberFormat="1" applyFont="1" applyBorder="1" applyAlignment="1">
      <alignment horizontal="right"/>
    </xf>
    <xf numFmtId="1" fontId="6" fillId="0" borderId="686" xfId="0" applyNumberFormat="1" applyFont="1" applyBorder="1" applyAlignment="1">
      <alignment horizontal="right"/>
    </xf>
    <xf numFmtId="1" fontId="6" fillId="5" borderId="794" xfId="0" applyNumberFormat="1" applyFont="1" applyFill="1" applyBorder="1" applyProtection="1"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5" borderId="700" xfId="0" applyNumberFormat="1" applyFont="1" applyFill="1" applyBorder="1" applyAlignment="1" applyProtection="1">
      <alignment wrapText="1"/>
      <protection locked="0"/>
    </xf>
    <xf numFmtId="1" fontId="6" fillId="5" borderId="711" xfId="0" applyNumberFormat="1" applyFont="1" applyFill="1" applyBorder="1" applyAlignment="1" applyProtection="1">
      <alignment wrapText="1"/>
      <protection locked="0"/>
    </xf>
    <xf numFmtId="1" fontId="6" fillId="5" borderId="701" xfId="0" applyNumberFormat="1" applyFont="1" applyFill="1" applyBorder="1" applyAlignment="1" applyProtection="1">
      <alignment wrapText="1"/>
      <protection locked="0"/>
    </xf>
    <xf numFmtId="1" fontId="6" fillId="0" borderId="736" xfId="0" applyNumberFormat="1" applyFont="1" applyBorder="1" applyAlignment="1">
      <alignment horizontal="center" vertical="center" wrapText="1"/>
    </xf>
    <xf numFmtId="1" fontId="6" fillId="5" borderId="796" xfId="0" applyNumberFormat="1" applyFont="1" applyFill="1" applyBorder="1" applyProtection="1">
      <protection locked="0"/>
    </xf>
    <xf numFmtId="1" fontId="6" fillId="3" borderId="728" xfId="0" applyNumberFormat="1" applyFont="1" applyFill="1" applyBorder="1" applyAlignment="1">
      <alignment horizontal="center" vertical="center"/>
    </xf>
    <xf numFmtId="1" fontId="6" fillId="3" borderId="743" xfId="0" applyNumberFormat="1" applyFont="1" applyFill="1" applyBorder="1" applyAlignment="1">
      <alignment horizontal="center" vertical="center"/>
    </xf>
    <xf numFmtId="1" fontId="6" fillId="5" borderId="37" xfId="0" applyNumberFormat="1" applyFont="1" applyFill="1" applyBorder="1" applyAlignment="1" applyProtection="1">
      <alignment wrapText="1"/>
      <protection locked="0"/>
    </xf>
    <xf numFmtId="1" fontId="6" fillId="5" borderId="29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center" vertical="center"/>
    </xf>
    <xf numFmtId="1" fontId="6" fillId="3" borderId="778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3" borderId="797" xfId="0" applyNumberFormat="1" applyFont="1" applyFill="1" applyBorder="1" applyAlignment="1">
      <alignment horizontal="center" vertical="center"/>
    </xf>
    <xf numFmtId="1" fontId="6" fillId="5" borderId="756" xfId="0" applyNumberFormat="1" applyFont="1" applyFill="1" applyBorder="1" applyProtection="1">
      <protection locked="0"/>
    </xf>
    <xf numFmtId="1" fontId="6" fillId="5" borderId="797" xfId="0" applyNumberFormat="1" applyFont="1" applyFill="1" applyBorder="1" applyProtection="1">
      <protection locked="0"/>
    </xf>
    <xf numFmtId="1" fontId="6" fillId="4" borderId="797" xfId="0" applyNumberFormat="1" applyFont="1" applyFill="1" applyBorder="1"/>
    <xf numFmtId="1" fontId="6" fillId="3" borderId="641" xfId="0" applyNumberFormat="1" applyFont="1" applyFill="1" applyBorder="1" applyAlignment="1">
      <alignment horizontal="center" vertical="center"/>
    </xf>
    <xf numFmtId="1" fontId="6" fillId="4" borderId="800" xfId="0" applyNumberFormat="1" applyFont="1" applyFill="1" applyBorder="1"/>
    <xf numFmtId="1" fontId="6" fillId="4" borderId="794" xfId="0" applyNumberFormat="1" applyFont="1" applyFill="1" applyBorder="1"/>
    <xf numFmtId="1" fontId="6" fillId="5" borderId="803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6" fillId="5" borderId="801" xfId="0" applyNumberFormat="1" applyFont="1" applyFill="1" applyBorder="1" applyProtection="1">
      <protection locked="0"/>
    </xf>
    <xf numFmtId="1" fontId="6" fillId="5" borderId="783" xfId="0" applyNumberFormat="1" applyFont="1" applyFill="1" applyBorder="1" applyProtection="1">
      <protection locked="0"/>
    </xf>
    <xf numFmtId="1" fontId="6" fillId="5" borderId="786" xfId="0" applyNumberFormat="1" applyFont="1" applyFill="1" applyBorder="1" applyProtection="1">
      <protection locked="0"/>
    </xf>
    <xf numFmtId="1" fontId="6" fillId="5" borderId="641" xfId="0" applyNumberFormat="1" applyFont="1" applyFill="1" applyBorder="1" applyProtection="1">
      <protection locked="0"/>
    </xf>
    <xf numFmtId="1" fontId="6" fillId="5" borderId="742" xfId="0" applyNumberFormat="1" applyFont="1" applyFill="1" applyBorder="1" applyProtection="1">
      <protection locked="0"/>
    </xf>
    <xf numFmtId="1" fontId="6" fillId="5" borderId="784" xfId="0" applyNumberFormat="1" applyFont="1" applyFill="1" applyBorder="1" applyProtection="1">
      <protection locked="0"/>
    </xf>
    <xf numFmtId="1" fontId="6" fillId="0" borderId="807" xfId="0" applyNumberFormat="1" applyFont="1" applyBorder="1" applyAlignment="1">
      <alignment horizontal="center" vertical="center" wrapText="1"/>
    </xf>
    <xf numFmtId="1" fontId="6" fillId="5" borderId="811" xfId="0" applyNumberFormat="1" applyFont="1" applyFill="1" applyBorder="1" applyProtection="1">
      <protection locked="0"/>
    </xf>
    <xf numFmtId="1" fontId="6" fillId="0" borderId="813" xfId="0" applyNumberFormat="1" applyFont="1" applyBorder="1" applyAlignment="1">
      <alignment horizontal="center" vertical="center" wrapText="1"/>
    </xf>
    <xf numFmtId="1" fontId="6" fillId="0" borderId="805" xfId="0" applyNumberFormat="1" applyFont="1" applyBorder="1" applyAlignment="1">
      <alignment horizontal="center" vertical="center" wrapText="1"/>
    </xf>
    <xf numFmtId="1" fontId="6" fillId="0" borderId="813" xfId="0" applyNumberFormat="1" applyFont="1" applyBorder="1" applyAlignment="1">
      <alignment horizontal="center" vertical="center"/>
    </xf>
    <xf numFmtId="1" fontId="6" fillId="0" borderId="807" xfId="0" applyNumberFormat="1" applyFont="1" applyBorder="1" applyAlignment="1">
      <alignment horizontal="center" vertical="center"/>
    </xf>
    <xf numFmtId="1" fontId="6" fillId="5" borderId="800" xfId="0" applyNumberFormat="1" applyFont="1" applyFill="1" applyBorder="1" applyProtection="1">
      <protection locked="0"/>
    </xf>
    <xf numFmtId="1" fontId="6" fillId="6" borderId="800" xfId="14" applyNumberFormat="1" applyFont="1" applyBorder="1" applyProtection="1">
      <protection locked="0"/>
    </xf>
    <xf numFmtId="1" fontId="6" fillId="6" borderId="803" xfId="14" applyNumberFormat="1" applyFont="1" applyBorder="1" applyProtection="1">
      <protection locked="0"/>
    </xf>
    <xf numFmtId="1" fontId="6" fillId="0" borderId="700" xfId="0" applyNumberFormat="1" applyFont="1" applyBorder="1"/>
    <xf numFmtId="1" fontId="6" fillId="4" borderId="431" xfId="0" applyNumberFormat="1" applyFont="1" applyFill="1" applyBorder="1"/>
    <xf numFmtId="0" fontId="6" fillId="0" borderId="805" xfId="0" applyFont="1" applyBorder="1" applyAlignment="1">
      <alignment horizontal="center" vertical="center" wrapText="1"/>
    </xf>
    <xf numFmtId="1" fontId="6" fillId="0" borderId="817" xfId="0" applyNumberFormat="1" applyFont="1" applyBorder="1" applyAlignment="1">
      <alignment horizontal="center" vertical="center" wrapText="1"/>
    </xf>
    <xf numFmtId="1" fontId="6" fillId="5" borderId="795" xfId="0" applyNumberFormat="1" applyFont="1" applyFill="1" applyBorder="1" applyProtection="1">
      <protection locked="0"/>
    </xf>
    <xf numFmtId="1" fontId="6" fillId="4" borderId="357" xfId="0" applyNumberFormat="1" applyFont="1" applyFill="1" applyBorder="1"/>
    <xf numFmtId="1" fontId="6" fillId="0" borderId="634" xfId="0" applyNumberFormat="1" applyFont="1" applyBorder="1" applyAlignment="1">
      <alignment horizontal="left" vertical="center"/>
    </xf>
    <xf numFmtId="1" fontId="6" fillId="12" borderId="744" xfId="0" applyNumberFormat="1" applyFont="1" applyFill="1" applyBorder="1"/>
    <xf numFmtId="1" fontId="6" fillId="12" borderId="517" xfId="0" applyNumberFormat="1" applyFont="1" applyFill="1" applyBorder="1"/>
    <xf numFmtId="1" fontId="6" fillId="0" borderId="711" xfId="0" applyNumberFormat="1" applyFont="1" applyBorder="1" applyAlignment="1">
      <alignment horizontal="left" vertical="center"/>
    </xf>
    <xf numFmtId="1" fontId="6" fillId="0" borderId="701" xfId="0" applyNumberFormat="1" applyFont="1" applyBorder="1" applyAlignment="1">
      <alignment horizontal="left" vertical="center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5" borderId="790" xfId="0" applyNumberFormat="1" applyFont="1" applyFill="1" applyBorder="1" applyAlignment="1" applyProtection="1">
      <alignment wrapText="1"/>
      <protection locked="0"/>
    </xf>
    <xf numFmtId="1" fontId="6" fillId="0" borderId="825" xfId="0" applyNumberFormat="1" applyFont="1" applyBorder="1" applyAlignment="1">
      <alignment horizontal="right" wrapText="1"/>
    </xf>
    <xf numFmtId="1" fontId="6" fillId="5" borderId="827" xfId="0" applyNumberFormat="1" applyFont="1" applyFill="1" applyBorder="1" applyAlignment="1" applyProtection="1">
      <alignment wrapText="1"/>
      <protection locked="0"/>
    </xf>
    <xf numFmtId="1" fontId="6" fillId="5" borderId="828" xfId="0" applyNumberFormat="1" applyFont="1" applyFill="1" applyBorder="1" applyAlignment="1" applyProtection="1">
      <alignment wrapText="1"/>
      <protection locked="0"/>
    </xf>
    <xf numFmtId="1" fontId="6" fillId="5" borderId="829" xfId="0" applyNumberFormat="1" applyFont="1" applyFill="1" applyBorder="1" applyAlignment="1" applyProtection="1">
      <alignment wrapText="1"/>
      <protection locked="0"/>
    </xf>
    <xf numFmtId="1" fontId="6" fillId="5" borderId="830" xfId="0" applyNumberFormat="1" applyFont="1" applyFill="1" applyBorder="1" applyAlignment="1" applyProtection="1">
      <alignment wrapText="1"/>
      <protection locked="0"/>
    </xf>
    <xf numFmtId="1" fontId="6" fillId="12" borderId="830" xfId="0" applyNumberFormat="1" applyFont="1" applyFill="1" applyBorder="1" applyAlignment="1">
      <alignment wrapText="1"/>
    </xf>
    <xf numFmtId="1" fontId="6" fillId="0" borderId="821" xfId="0" applyNumberFormat="1" applyFont="1" applyBorder="1" applyAlignment="1">
      <alignment horizontal="right" wrapText="1"/>
    </xf>
    <xf numFmtId="1" fontId="6" fillId="4" borderId="830" xfId="0" applyNumberFormat="1" applyFont="1" applyFill="1" applyBorder="1" applyAlignment="1">
      <alignment wrapText="1"/>
    </xf>
    <xf numFmtId="1" fontId="6" fillId="12" borderId="827" xfId="0" applyNumberFormat="1" applyFont="1" applyFill="1" applyBorder="1" applyAlignment="1">
      <alignment wrapText="1"/>
    </xf>
    <xf numFmtId="1" fontId="6" fillId="4" borderId="829" xfId="0" applyNumberFormat="1" applyFont="1" applyFill="1" applyBorder="1" applyAlignment="1">
      <alignment wrapText="1"/>
    </xf>
    <xf numFmtId="1" fontId="6" fillId="12" borderId="829" xfId="0" applyNumberFormat="1" applyFont="1" applyFill="1" applyBorder="1" applyAlignment="1">
      <alignment wrapText="1"/>
    </xf>
    <xf numFmtId="1" fontId="6" fillId="4" borderId="827" xfId="0" applyNumberFormat="1" applyFont="1" applyFill="1" applyBorder="1" applyAlignment="1">
      <alignment wrapText="1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305" xfId="0" applyNumberFormat="1" applyFont="1" applyFill="1" applyBorder="1" applyAlignment="1">
      <alignment horizontal="right" wrapText="1"/>
    </xf>
    <xf numFmtId="1" fontId="6" fillId="3" borderId="327" xfId="0" applyNumberFormat="1" applyFont="1" applyFill="1" applyBorder="1" applyAlignment="1">
      <alignment horizontal="right" wrapText="1"/>
    </xf>
    <xf numFmtId="1" fontId="6" fillId="3" borderId="827" xfId="0" applyNumberFormat="1" applyFont="1" applyFill="1" applyBorder="1" applyAlignment="1">
      <alignment horizontal="right" wrapText="1"/>
    </xf>
    <xf numFmtId="1" fontId="6" fillId="3" borderId="830" xfId="0" applyNumberFormat="1" applyFont="1" applyFill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842" xfId="0" applyNumberFormat="1" applyFont="1" applyFill="1" applyBorder="1" applyProtection="1">
      <protection locked="0"/>
    </xf>
    <xf numFmtId="1" fontId="6" fillId="5" borderId="823" xfId="0" applyNumberFormat="1" applyFont="1" applyFill="1" applyBorder="1" applyProtection="1">
      <protection locked="0"/>
    </xf>
    <xf numFmtId="1" fontId="6" fillId="5" borderId="821" xfId="0" applyNumberFormat="1" applyFont="1" applyFill="1" applyBorder="1" applyProtection="1">
      <protection locked="0"/>
    </xf>
    <xf numFmtId="1" fontId="6" fillId="5" borderId="843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823" xfId="0" applyNumberFormat="1" applyFont="1" applyBorder="1"/>
    <xf numFmtId="1" fontId="6" fillId="0" borderId="827" xfId="0" applyNumberFormat="1" applyFont="1" applyBorder="1"/>
    <xf numFmtId="1" fontId="6" fillId="5" borderId="824" xfId="0" applyNumberFormat="1" applyFont="1" applyFill="1" applyBorder="1" applyProtection="1">
      <protection locked="0"/>
    </xf>
    <xf numFmtId="1" fontId="6" fillId="5" borderId="828" xfId="0" applyNumberFormat="1" applyFont="1" applyFill="1" applyBorder="1" applyProtection="1">
      <protection locked="0"/>
    </xf>
    <xf numFmtId="1" fontId="6" fillId="5" borderId="827" xfId="0" applyNumberFormat="1" applyFont="1" applyFill="1" applyBorder="1" applyProtection="1">
      <protection locked="0"/>
    </xf>
    <xf numFmtId="1" fontId="6" fillId="5" borderId="822" xfId="0" applyNumberFormat="1" applyFont="1" applyFill="1" applyBorder="1" applyProtection="1">
      <protection locked="0"/>
    </xf>
    <xf numFmtId="1" fontId="6" fillId="0" borderId="845" xfId="0" applyNumberFormat="1" applyFont="1" applyBorder="1"/>
    <xf numFmtId="1" fontId="6" fillId="5" borderId="832" xfId="0" applyNumberFormat="1" applyFont="1" applyFill="1" applyBorder="1" applyProtection="1">
      <protection locked="0"/>
    </xf>
    <xf numFmtId="1" fontId="6" fillId="5" borderId="837" xfId="0" applyNumberFormat="1" applyFont="1" applyFill="1" applyBorder="1" applyProtection="1">
      <protection locked="0"/>
    </xf>
    <xf numFmtId="1" fontId="6" fillId="0" borderId="824" xfId="0" applyNumberFormat="1" applyFont="1" applyBorder="1"/>
    <xf numFmtId="1" fontId="6" fillId="4" borderId="827" xfId="0" applyNumberFormat="1" applyFont="1" applyFill="1" applyBorder="1"/>
    <xf numFmtId="1" fontId="6" fillId="4" borderId="826" xfId="0" applyNumberFormat="1" applyFont="1" applyFill="1" applyBorder="1"/>
    <xf numFmtId="1" fontId="6" fillId="0" borderId="827" xfId="0" applyNumberFormat="1" applyFont="1" applyBorder="1" applyAlignment="1">
      <alignment horizontal="center" vertical="center" wrapText="1"/>
    </xf>
    <xf numFmtId="1" fontId="6" fillId="5" borderId="826" xfId="0" applyNumberFormat="1" applyFont="1" applyFill="1" applyBorder="1" applyProtection="1">
      <protection locked="0"/>
    </xf>
    <xf numFmtId="1" fontId="6" fillId="15" borderId="824" xfId="0" applyNumberFormat="1" applyFont="1" applyFill="1" applyBorder="1" applyProtection="1">
      <protection locked="0"/>
    </xf>
    <xf numFmtId="1" fontId="6" fillId="12" borderId="824" xfId="0" applyNumberFormat="1" applyFont="1" applyFill="1" applyBorder="1"/>
    <xf numFmtId="1" fontId="6" fillId="12" borderId="827" xfId="0" applyNumberFormat="1" applyFont="1" applyFill="1" applyBorder="1"/>
    <xf numFmtId="1" fontId="6" fillId="5" borderId="846" xfId="0" applyNumberFormat="1" applyFont="1" applyFill="1" applyBorder="1" applyProtection="1">
      <protection locked="0"/>
    </xf>
    <xf numFmtId="1" fontId="6" fillId="5" borderId="829" xfId="0" applyNumberFormat="1" applyFont="1" applyFill="1" applyBorder="1" applyProtection="1">
      <protection locked="0"/>
    </xf>
    <xf numFmtId="1" fontId="6" fillId="5" borderId="830" xfId="0" applyNumberFormat="1" applyFont="1" applyFill="1" applyBorder="1" applyProtection="1">
      <protection locked="0"/>
    </xf>
    <xf numFmtId="1" fontId="6" fillId="5" borderId="820" xfId="0" applyNumberFormat="1" applyFont="1" applyFill="1" applyBorder="1" applyProtection="1">
      <protection locked="0"/>
    </xf>
    <xf numFmtId="1" fontId="6" fillId="5" borderId="856" xfId="0" applyNumberFormat="1" applyFont="1" applyFill="1" applyBorder="1" applyProtection="1">
      <protection locked="0"/>
    </xf>
    <xf numFmtId="1" fontId="6" fillId="5" borderId="858" xfId="0" applyNumberFormat="1" applyFont="1" applyFill="1" applyBorder="1" applyProtection="1">
      <protection locked="0"/>
    </xf>
    <xf numFmtId="1" fontId="6" fillId="5" borderId="857" xfId="0" applyNumberFormat="1" applyFont="1" applyFill="1" applyBorder="1" applyProtection="1">
      <protection locked="0"/>
    </xf>
    <xf numFmtId="1" fontId="6" fillId="5" borderId="859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5" borderId="864" xfId="0" applyNumberFormat="1" applyFont="1" applyFill="1" applyBorder="1" applyProtection="1">
      <protection locked="0"/>
    </xf>
    <xf numFmtId="1" fontId="6" fillId="0" borderId="869" xfId="0" applyNumberFormat="1" applyFont="1" applyBorder="1" applyAlignment="1">
      <alignment horizontal="center" vertical="center" wrapText="1"/>
    </xf>
    <xf numFmtId="1" fontId="6" fillId="5" borderId="870" xfId="0" applyNumberFormat="1" applyFont="1" applyFill="1" applyBorder="1" applyProtection="1">
      <protection locked="0"/>
    </xf>
    <xf numFmtId="1" fontId="6" fillId="5" borderId="872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0" borderId="869" xfId="0" applyNumberFormat="1" applyFont="1" applyBorder="1"/>
    <xf numFmtId="1" fontId="6" fillId="0" borderId="863" xfId="0" applyNumberFormat="1" applyFont="1" applyBorder="1"/>
    <xf numFmtId="1" fontId="6" fillId="0" borderId="866" xfId="0" applyNumberFormat="1" applyFont="1" applyBorder="1"/>
    <xf numFmtId="1" fontId="6" fillId="0" borderId="871" xfId="0" applyNumberFormat="1" applyFont="1" applyBorder="1"/>
    <xf numFmtId="1" fontId="6" fillId="5" borderId="871" xfId="0" applyNumberFormat="1" applyFont="1" applyFill="1" applyBorder="1" applyProtection="1">
      <protection locked="0"/>
    </xf>
    <xf numFmtId="1" fontId="6" fillId="5" borderId="873" xfId="0" applyNumberFormat="1" applyFont="1" applyFill="1" applyBorder="1" applyProtection="1">
      <protection locked="0"/>
    </xf>
    <xf numFmtId="1" fontId="6" fillId="5" borderId="865" xfId="0" applyNumberFormat="1" applyFont="1" applyFill="1" applyBorder="1" applyProtection="1">
      <protection locked="0"/>
    </xf>
    <xf numFmtId="1" fontId="6" fillId="5" borderId="874" xfId="0" applyNumberFormat="1" applyFont="1" applyFill="1" applyBorder="1" applyProtection="1">
      <protection locked="0"/>
    </xf>
    <xf numFmtId="1" fontId="6" fillId="5" borderId="876" xfId="0" applyNumberFormat="1" applyFont="1" applyFill="1" applyBorder="1" applyProtection="1">
      <protection locked="0"/>
    </xf>
    <xf numFmtId="1" fontId="6" fillId="0" borderId="863" xfId="0" applyNumberFormat="1" applyFont="1" applyBorder="1" applyAlignment="1">
      <alignment horizontal="center" vertical="center" wrapText="1"/>
    </xf>
    <xf numFmtId="1" fontId="6" fillId="5" borderId="878" xfId="0" applyNumberFormat="1" applyFont="1" applyFill="1" applyBorder="1" applyProtection="1">
      <protection locked="0"/>
    </xf>
    <xf numFmtId="1" fontId="6" fillId="5" borderId="743" xfId="0" applyNumberFormat="1" applyFont="1" applyFill="1" applyBorder="1" applyProtection="1">
      <protection locked="0"/>
    </xf>
    <xf numFmtId="1" fontId="6" fillId="0" borderId="875" xfId="0" applyNumberFormat="1" applyFont="1" applyBorder="1" applyAlignment="1">
      <alignment horizontal="center" vertical="center" wrapText="1"/>
    </xf>
    <xf numFmtId="1" fontId="6" fillId="0" borderId="871" xfId="0" applyNumberFormat="1" applyFont="1" applyBorder="1" applyAlignment="1">
      <alignment horizontal="center" vertical="center" wrapText="1"/>
    </xf>
    <xf numFmtId="1" fontId="6" fillId="5" borderId="879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4" borderId="873" xfId="0" applyNumberFormat="1" applyFont="1" applyFill="1" applyBorder="1"/>
    <xf numFmtId="1" fontId="6" fillId="4" borderId="865" xfId="0" applyNumberFormat="1" applyFont="1" applyFill="1" applyBorder="1"/>
    <xf numFmtId="1" fontId="6" fillId="2" borderId="880" xfId="9" applyNumberFormat="1" applyFont="1" applyBorder="1" applyProtection="1">
      <protection locked="0"/>
    </xf>
    <xf numFmtId="1" fontId="6" fillId="5" borderId="881" xfId="0" applyNumberFormat="1" applyFont="1" applyFill="1" applyBorder="1" applyProtection="1">
      <protection locked="0"/>
    </xf>
    <xf numFmtId="1" fontId="6" fillId="5" borderId="882" xfId="0" applyNumberFormat="1" applyFont="1" applyFill="1" applyBorder="1" applyProtection="1">
      <protection locked="0"/>
    </xf>
    <xf numFmtId="1" fontId="6" fillId="5" borderId="883" xfId="0" applyNumberFormat="1" applyFont="1" applyFill="1" applyBorder="1" applyProtection="1">
      <protection locked="0"/>
    </xf>
    <xf numFmtId="1" fontId="6" fillId="5" borderId="884" xfId="0" applyNumberFormat="1" applyFont="1" applyFill="1" applyBorder="1" applyProtection="1">
      <protection locked="0"/>
    </xf>
    <xf numFmtId="1" fontId="6" fillId="2" borderId="885" xfId="9" applyNumberFormat="1" applyFont="1" applyBorder="1" applyProtection="1">
      <protection locked="0"/>
    </xf>
    <xf numFmtId="1" fontId="6" fillId="5" borderId="886" xfId="0" applyNumberFormat="1" applyFont="1" applyFill="1" applyBorder="1" applyProtection="1">
      <protection locked="0"/>
    </xf>
    <xf numFmtId="1" fontId="6" fillId="0" borderId="721" xfId="0" applyNumberFormat="1" applyFont="1" applyBorder="1"/>
    <xf numFmtId="1" fontId="6" fillId="5" borderId="887" xfId="0" applyNumberFormat="1" applyFont="1" applyFill="1" applyBorder="1" applyProtection="1">
      <protection locked="0"/>
    </xf>
    <xf numFmtId="1" fontId="6" fillId="0" borderId="741" xfId="0" applyNumberFormat="1" applyFont="1" applyBorder="1"/>
    <xf numFmtId="1" fontId="6" fillId="0" borderId="883" xfId="0" applyNumberFormat="1" applyFont="1" applyBorder="1" applyAlignment="1">
      <alignment horizontal="center" vertical="center" wrapText="1"/>
    </xf>
    <xf numFmtId="1" fontId="6" fillId="0" borderId="888" xfId="0" applyNumberFormat="1" applyFont="1" applyBorder="1" applyAlignment="1">
      <alignment horizontal="center" vertical="center" wrapText="1"/>
    </xf>
    <xf numFmtId="1" fontId="6" fillId="4" borderId="857" xfId="0" applyNumberFormat="1" applyFont="1" applyFill="1" applyBorder="1"/>
    <xf numFmtId="1" fontId="6" fillId="4" borderId="856" xfId="0" applyNumberFormat="1" applyFont="1" applyFill="1" applyBorder="1"/>
    <xf numFmtId="1" fontId="6" fillId="4" borderId="879" xfId="0" applyNumberFormat="1" applyFont="1" applyFill="1" applyBorder="1"/>
    <xf numFmtId="1" fontId="6" fillId="4" borderId="757" xfId="0" applyNumberFormat="1" applyFont="1" applyFill="1" applyBorder="1"/>
    <xf numFmtId="1" fontId="6" fillId="4" borderId="786" xfId="0" applyNumberFormat="1" applyFont="1" applyFill="1" applyBorder="1"/>
    <xf numFmtId="1" fontId="6" fillId="0" borderId="856" xfId="0" applyNumberFormat="1" applyFont="1" applyBorder="1" applyAlignment="1">
      <alignment horizontal="right"/>
    </xf>
    <xf numFmtId="1" fontId="6" fillId="0" borderId="784" xfId="0" applyNumberFormat="1" applyFont="1" applyBorder="1" applyAlignment="1">
      <alignment horizontal="right" wrapText="1"/>
    </xf>
    <xf numFmtId="1" fontId="6" fillId="0" borderId="834" xfId="0" applyNumberFormat="1" applyFont="1" applyBorder="1" applyAlignment="1">
      <alignment horizontal="right" wrapText="1"/>
    </xf>
    <xf numFmtId="1" fontId="6" fillId="0" borderId="517" xfId="0" applyNumberFormat="1" applyFont="1" applyBorder="1" applyAlignment="1">
      <alignment horizontal="right" wrapText="1"/>
    </xf>
    <xf numFmtId="1" fontId="6" fillId="0" borderId="840" xfId="0" applyNumberFormat="1" applyFont="1" applyBorder="1" applyAlignment="1">
      <alignment horizontal="right" wrapText="1"/>
    </xf>
    <xf numFmtId="1" fontId="6" fillId="0" borderId="889" xfId="0" applyNumberFormat="1" applyFont="1" applyBorder="1" applyAlignment="1">
      <alignment horizontal="center" vertical="center" wrapText="1"/>
    </xf>
    <xf numFmtId="1" fontId="6" fillId="0" borderId="859" xfId="0" applyNumberFormat="1" applyFont="1" applyBorder="1" applyAlignment="1">
      <alignment horizontal="right"/>
    </xf>
    <xf numFmtId="1" fontId="6" fillId="0" borderId="835" xfId="0" applyNumberFormat="1" applyFont="1" applyBorder="1" applyAlignment="1">
      <alignment horizontal="right" wrapText="1"/>
    </xf>
    <xf numFmtId="1" fontId="6" fillId="4" borderId="543" xfId="0" applyNumberFormat="1" applyFont="1" applyFill="1" applyBorder="1"/>
    <xf numFmtId="1" fontId="6" fillId="0" borderId="861" xfId="0" applyNumberFormat="1" applyFont="1" applyBorder="1"/>
    <xf numFmtId="1" fontId="6" fillId="5" borderId="890" xfId="0" applyNumberFormat="1" applyFont="1" applyFill="1" applyBorder="1" applyProtection="1">
      <protection locked="0"/>
    </xf>
    <xf numFmtId="1" fontId="6" fillId="5" borderId="889" xfId="0" applyNumberFormat="1" applyFont="1" applyFill="1" applyBorder="1" applyProtection="1">
      <protection locked="0"/>
    </xf>
    <xf numFmtId="1" fontId="6" fillId="5" borderId="893" xfId="0" applyNumberFormat="1" applyFont="1" applyFill="1" applyBorder="1" applyProtection="1">
      <protection locked="0"/>
    </xf>
    <xf numFmtId="1" fontId="6" fillId="5" borderId="891" xfId="0" applyNumberFormat="1" applyFont="1" applyFill="1" applyBorder="1" applyProtection="1">
      <protection locked="0"/>
    </xf>
    <xf numFmtId="1" fontId="6" fillId="5" borderId="897" xfId="0" applyNumberFormat="1" applyFont="1" applyFill="1" applyBorder="1" applyProtection="1">
      <protection locked="0"/>
    </xf>
    <xf numFmtId="1" fontId="6" fillId="5" borderId="898" xfId="0" applyNumberFormat="1" applyFont="1" applyFill="1" applyBorder="1" applyProtection="1">
      <protection locked="0"/>
    </xf>
    <xf numFmtId="1" fontId="6" fillId="0" borderId="435" xfId="0" applyNumberFormat="1" applyFont="1" applyBorder="1"/>
    <xf numFmtId="1" fontId="6" fillId="0" borderId="895" xfId="0" applyNumberFormat="1" applyFont="1" applyBorder="1" applyAlignment="1">
      <alignment horizontal="center" vertical="center" wrapText="1"/>
    </xf>
    <xf numFmtId="1" fontId="6" fillId="5" borderId="900" xfId="0" applyNumberFormat="1" applyFont="1" applyFill="1" applyBorder="1" applyProtection="1">
      <protection locked="0"/>
    </xf>
    <xf numFmtId="0" fontId="6" fillId="0" borderId="893" xfId="0" applyFont="1" applyBorder="1" applyAlignment="1">
      <alignment horizontal="center" vertical="center" wrapText="1"/>
    </xf>
    <xf numFmtId="1" fontId="6" fillId="0" borderId="891" xfId="0" applyNumberFormat="1" applyFont="1" applyBorder="1"/>
    <xf numFmtId="0" fontId="6" fillId="0" borderId="890" xfId="0" applyFont="1" applyBorder="1" applyAlignment="1">
      <alignment horizontal="center" vertical="center" wrapText="1"/>
    </xf>
    <xf numFmtId="1" fontId="6" fillId="0" borderId="890" xfId="0" applyNumberFormat="1" applyFont="1" applyBorder="1"/>
    <xf numFmtId="0" fontId="6" fillId="0" borderId="882" xfId="0" applyFont="1" applyBorder="1" applyAlignment="1">
      <alignment horizontal="center" vertical="center" wrapText="1"/>
    </xf>
    <xf numFmtId="0" fontId="6" fillId="0" borderId="879" xfId="0" applyFont="1" applyBorder="1" applyAlignment="1">
      <alignment horizontal="right" vertical="center" wrapText="1"/>
    </xf>
    <xf numFmtId="1" fontId="6" fillId="0" borderId="879" xfId="0" applyNumberFormat="1" applyFont="1" applyBorder="1" applyAlignment="1">
      <alignment horizontal="right" vertical="center" wrapText="1"/>
    </xf>
    <xf numFmtId="0" fontId="6" fillId="0" borderId="824" xfId="0" applyFont="1" applyBorder="1" applyAlignment="1">
      <alignment horizontal="right" vertical="center" wrapText="1"/>
    </xf>
    <xf numFmtId="1" fontId="6" fillId="4" borderId="878" xfId="0" applyNumberFormat="1" applyFont="1" applyFill="1" applyBorder="1"/>
    <xf numFmtId="1" fontId="6" fillId="0" borderId="696" xfId="0" applyNumberFormat="1" applyFont="1" applyBorder="1"/>
    <xf numFmtId="1" fontId="6" fillId="5" borderId="895" xfId="0" applyNumberFormat="1" applyFont="1" applyFill="1" applyBorder="1" applyProtection="1">
      <protection locked="0"/>
    </xf>
    <xf numFmtId="1" fontId="6" fillId="5" borderId="776" xfId="0" applyNumberFormat="1" applyFont="1" applyFill="1" applyBorder="1" applyProtection="1">
      <protection locked="0"/>
    </xf>
    <xf numFmtId="1" fontId="6" fillId="5" borderId="774" xfId="0" applyNumberFormat="1" applyFont="1" applyFill="1" applyBorder="1" applyProtection="1">
      <protection locked="0"/>
    </xf>
    <xf numFmtId="1" fontId="6" fillId="15" borderId="827" xfId="0" applyNumberFormat="1" applyFont="1" applyFill="1" applyBorder="1" applyProtection="1">
      <protection locked="0"/>
    </xf>
    <xf numFmtId="1" fontId="6" fillId="12" borderId="830" xfId="0" applyNumberFormat="1" applyFont="1" applyFill="1" applyBorder="1"/>
    <xf numFmtId="1" fontId="6" fillId="4" borderId="830" xfId="0" applyNumberFormat="1" applyFont="1" applyFill="1" applyBorder="1"/>
    <xf numFmtId="1" fontId="6" fillId="15" borderId="830" xfId="0" applyNumberFormat="1" applyFont="1" applyFill="1" applyBorder="1" applyProtection="1">
      <protection locked="0"/>
    </xf>
    <xf numFmtId="0" fontId="46" fillId="14" borderId="0" xfId="0" applyFont="1" applyFill="1"/>
    <xf numFmtId="0" fontId="46" fillId="0" borderId="0" xfId="0" applyFont="1"/>
    <xf numFmtId="0" fontId="14" fillId="0" borderId="0" xfId="0" applyFont="1"/>
    <xf numFmtId="1" fontId="6" fillId="5" borderId="915" xfId="0" applyNumberFormat="1" applyFont="1" applyFill="1" applyBorder="1" applyProtection="1">
      <protection locked="0"/>
    </xf>
    <xf numFmtId="1" fontId="6" fillId="5" borderId="916" xfId="0" applyNumberFormat="1" applyFont="1" applyFill="1" applyBorder="1" applyProtection="1">
      <protection locked="0"/>
    </xf>
    <xf numFmtId="1" fontId="6" fillId="0" borderId="925" xfId="0" applyNumberFormat="1" applyFont="1" applyBorder="1" applyAlignment="1">
      <alignment horizontal="center" vertical="center" wrapText="1"/>
    </xf>
    <xf numFmtId="1" fontId="6" fillId="5" borderId="911" xfId="0" applyNumberFormat="1" applyFont="1" applyFill="1" applyBorder="1" applyProtection="1">
      <protection locked="0"/>
    </xf>
    <xf numFmtId="1" fontId="6" fillId="5" borderId="934" xfId="0" applyNumberFormat="1" applyFont="1" applyFill="1" applyBorder="1" applyProtection="1">
      <protection locked="0"/>
    </xf>
    <xf numFmtId="1" fontId="6" fillId="5" borderId="935" xfId="0" applyNumberFormat="1" applyFont="1" applyFill="1" applyBorder="1" applyProtection="1">
      <protection locked="0"/>
    </xf>
    <xf numFmtId="1" fontId="6" fillId="5" borderId="940" xfId="0" applyNumberFormat="1" applyFont="1" applyFill="1" applyBorder="1" applyProtection="1">
      <protection locked="0"/>
    </xf>
    <xf numFmtId="1" fontId="6" fillId="5" borderId="941" xfId="0" applyNumberFormat="1" applyFont="1" applyFill="1" applyBorder="1" applyProtection="1">
      <protection locked="0"/>
    </xf>
    <xf numFmtId="1" fontId="6" fillId="0" borderId="927" xfId="0" applyNumberFormat="1" applyFont="1" applyBorder="1" applyAlignment="1">
      <alignment horizontal="center" vertical="center"/>
    </xf>
    <xf numFmtId="1" fontId="6" fillId="5" borderId="903" xfId="0" applyNumberFormat="1" applyFont="1" applyFill="1" applyBorder="1" applyProtection="1">
      <protection locked="0"/>
    </xf>
    <xf numFmtId="1" fontId="6" fillId="5" borderId="944" xfId="0" applyNumberFormat="1" applyFont="1" applyFill="1" applyBorder="1" applyProtection="1">
      <protection locked="0"/>
    </xf>
    <xf numFmtId="1" fontId="6" fillId="0" borderId="917" xfId="0" applyNumberFormat="1" applyFont="1" applyBorder="1" applyAlignment="1">
      <alignment wrapText="1"/>
    </xf>
    <xf numFmtId="1" fontId="6" fillId="4" borderId="940" xfId="0" applyNumberFormat="1" applyFont="1" applyFill="1" applyBorder="1"/>
    <xf numFmtId="1" fontId="6" fillId="5" borderId="945" xfId="0" applyNumberFormat="1" applyFont="1" applyFill="1" applyBorder="1" applyProtection="1">
      <protection locked="0"/>
    </xf>
    <xf numFmtId="1" fontId="6" fillId="0" borderId="900" xfId="0" applyNumberFormat="1" applyFont="1" applyBorder="1" applyAlignment="1">
      <alignment horizontal="right" wrapText="1"/>
    </xf>
    <xf numFmtId="1" fontId="6" fillId="0" borderId="908" xfId="0" applyNumberFormat="1" applyFont="1" applyBorder="1"/>
    <xf numFmtId="1" fontId="6" fillId="0" borderId="928" xfId="0" applyNumberFormat="1" applyFont="1" applyBorder="1"/>
    <xf numFmtId="1" fontId="6" fillId="0" borderId="896" xfId="0" applyNumberFormat="1" applyFont="1" applyBorder="1"/>
    <xf numFmtId="1" fontId="6" fillId="0" borderId="901" xfId="0" applyNumberFormat="1" applyFont="1" applyBorder="1"/>
    <xf numFmtId="1" fontId="6" fillId="15" borderId="825" xfId="0" applyNumberFormat="1" applyFont="1" applyFill="1" applyBorder="1" applyProtection="1">
      <protection locked="0"/>
    </xf>
    <xf numFmtId="1" fontId="6" fillId="15" borderId="919" xfId="0" applyNumberFormat="1" applyFont="1" applyFill="1" applyBorder="1" applyProtection="1">
      <protection locked="0"/>
    </xf>
    <xf numFmtId="1" fontId="6" fillId="15" borderId="908" xfId="0" applyNumberFormat="1" applyFont="1" applyFill="1" applyBorder="1" applyProtection="1">
      <protection locked="0"/>
    </xf>
    <xf numFmtId="1" fontId="6" fillId="15" borderId="900" xfId="0" applyNumberFormat="1" applyFont="1" applyFill="1" applyBorder="1" applyProtection="1">
      <protection locked="0"/>
    </xf>
    <xf numFmtId="1" fontId="6" fillId="15" borderId="741" xfId="0" applyNumberFormat="1" applyFont="1" applyFill="1" applyBorder="1" applyProtection="1">
      <protection locked="0"/>
    </xf>
    <xf numFmtId="1" fontId="6" fillId="0" borderId="927" xfId="0" applyNumberFormat="1" applyFont="1" applyBorder="1" applyAlignment="1">
      <alignment horizontal="center" vertical="center" wrapText="1"/>
    </xf>
    <xf numFmtId="0" fontId="46" fillId="14" borderId="423" xfId="0" applyFont="1" applyFill="1" applyBorder="1"/>
    <xf numFmtId="0" fontId="47" fillId="0" borderId="0" xfId="0" applyFont="1"/>
    <xf numFmtId="1" fontId="6" fillId="5" borderId="962" xfId="0" applyNumberFormat="1" applyFont="1" applyFill="1" applyBorder="1" applyProtection="1">
      <protection locked="0"/>
    </xf>
    <xf numFmtId="1" fontId="6" fillId="0" borderId="879" xfId="23" applyNumberFormat="1" applyFont="1" applyBorder="1"/>
    <xf numFmtId="1" fontId="6" fillId="0" borderId="744" xfId="23" applyNumberFormat="1" applyFont="1" applyBorder="1"/>
    <xf numFmtId="1" fontId="6" fillId="0" borderId="431" xfId="23" applyNumberFormat="1" applyFont="1" applyBorder="1"/>
    <xf numFmtId="1" fontId="6" fillId="0" borderId="911" xfId="23" applyNumberFormat="1" applyFont="1" applyBorder="1"/>
    <xf numFmtId="1" fontId="6" fillId="0" borderId="800" xfId="23" applyNumberFormat="1" applyFont="1" applyBorder="1"/>
    <xf numFmtId="1" fontId="6" fillId="0" borderId="916" xfId="23" applyNumberFormat="1" applyFont="1" applyBorder="1"/>
    <xf numFmtId="1" fontId="6" fillId="5" borderId="911" xfId="1" applyNumberFormat="1" applyFont="1" applyFill="1" applyBorder="1" applyProtection="1">
      <protection locked="0"/>
    </xf>
    <xf numFmtId="1" fontId="6" fillId="5" borderId="800" xfId="1" applyNumberFormat="1" applyFont="1" applyFill="1" applyBorder="1" applyProtection="1">
      <protection locked="0"/>
    </xf>
    <xf numFmtId="1" fontId="6" fillId="5" borderId="940" xfId="1" applyNumberFormat="1" applyFont="1" applyFill="1" applyBorder="1" applyProtection="1">
      <protection locked="0"/>
    </xf>
    <xf numFmtId="1" fontId="6" fillId="5" borderId="724" xfId="1" applyNumberFormat="1" applyFont="1" applyFill="1" applyBorder="1" applyProtection="1">
      <protection locked="0"/>
    </xf>
    <xf numFmtId="1" fontId="6" fillId="5" borderId="934" xfId="1" applyNumberFormat="1" applyFont="1" applyFill="1" applyBorder="1" applyProtection="1">
      <protection locked="0"/>
    </xf>
    <xf numFmtId="1" fontId="6" fillId="0" borderId="960" xfId="1" applyNumberFormat="1" applyFont="1" applyBorder="1" applyAlignment="1">
      <alignment horizontal="right"/>
    </xf>
    <xf numFmtId="1" fontId="6" fillId="5" borderId="916" xfId="1" applyNumberFormat="1" applyFont="1" applyFill="1" applyBorder="1" applyProtection="1">
      <protection locked="0"/>
    </xf>
    <xf numFmtId="1" fontId="6" fillId="5" borderId="690" xfId="1" applyNumberFormat="1" applyFont="1" applyFill="1" applyBorder="1" applyProtection="1">
      <protection locked="0"/>
    </xf>
    <xf numFmtId="1" fontId="6" fillId="0" borderId="960" xfId="0" applyNumberFormat="1" applyFont="1" applyBorder="1" applyAlignment="1">
      <alignment horizontal="center" vertical="center"/>
    </xf>
    <xf numFmtId="1" fontId="6" fillId="5" borderId="965" xfId="1" applyNumberFormat="1" applyFont="1" applyFill="1" applyBorder="1" applyProtection="1">
      <protection locked="0"/>
    </xf>
    <xf numFmtId="1" fontId="6" fillId="5" borderId="935" xfId="1" applyNumberFormat="1" applyFont="1" applyFill="1" applyBorder="1" applyProtection="1">
      <protection locked="0"/>
    </xf>
    <xf numFmtId="1" fontId="6" fillId="5" borderId="965" xfId="0" applyNumberFormat="1" applyFont="1" applyFill="1" applyBorder="1" applyProtection="1">
      <protection locked="0"/>
    </xf>
    <xf numFmtId="1" fontId="6" fillId="5" borderId="910" xfId="0" applyNumberFormat="1" applyFont="1" applyFill="1" applyBorder="1" applyProtection="1">
      <protection locked="0"/>
    </xf>
    <xf numFmtId="1" fontId="6" fillId="5" borderId="950" xfId="0" applyNumberFormat="1" applyFont="1" applyFill="1" applyBorder="1" applyProtection="1">
      <protection locked="0"/>
    </xf>
    <xf numFmtId="1" fontId="6" fillId="5" borderId="972" xfId="0" applyNumberFormat="1" applyFont="1" applyFill="1" applyBorder="1" applyProtection="1">
      <protection locked="0"/>
    </xf>
    <xf numFmtId="1" fontId="6" fillId="0" borderId="971" xfId="0" applyNumberFormat="1" applyFont="1" applyBorder="1" applyAlignment="1">
      <alignment horizontal="center" vertical="center"/>
    </xf>
    <xf numFmtId="1" fontId="6" fillId="0" borderId="949" xfId="0" applyNumberFormat="1" applyFont="1" applyBorder="1" applyAlignment="1">
      <alignment horizontal="center" vertical="center" wrapText="1"/>
    </xf>
    <xf numFmtId="1" fontId="6" fillId="0" borderId="911" xfId="0" applyNumberFormat="1" applyFont="1" applyBorder="1"/>
    <xf numFmtId="1" fontId="6" fillId="0" borderId="916" xfId="0" applyNumberFormat="1" applyFont="1" applyBorder="1"/>
    <xf numFmtId="1" fontId="6" fillId="0" borderId="965" xfId="0" applyNumberFormat="1" applyFont="1" applyBorder="1"/>
    <xf numFmtId="1" fontId="6" fillId="0" borderId="934" xfId="0" applyNumberFormat="1" applyFont="1" applyBorder="1"/>
    <xf numFmtId="1" fontId="6" fillId="0" borderId="976" xfId="0" applyNumberFormat="1" applyFont="1" applyBorder="1"/>
    <xf numFmtId="1" fontId="6" fillId="24" borderId="938" xfId="0" applyNumberFormat="1" applyFont="1" applyFill="1" applyBorder="1" applyProtection="1">
      <protection locked="0"/>
    </xf>
    <xf numFmtId="1" fontId="6" fillId="5" borderId="976" xfId="0" applyNumberFormat="1" applyFont="1" applyFill="1" applyBorder="1" applyProtection="1">
      <protection locked="0"/>
    </xf>
    <xf numFmtId="1" fontId="6" fillId="0" borderId="925" xfId="28" applyNumberFormat="1" applyFont="1" applyBorder="1" applyAlignment="1">
      <alignment horizontal="center" vertical="center"/>
    </xf>
    <xf numFmtId="1" fontId="6" fillId="0" borderId="927" xfId="8" applyNumberFormat="1" applyFont="1" applyBorder="1" applyAlignment="1">
      <alignment horizontal="center" vertical="center" wrapText="1"/>
    </xf>
    <xf numFmtId="1" fontId="6" fillId="0" borderId="927" xfId="8" applyNumberFormat="1" applyFont="1" applyBorder="1" applyAlignment="1">
      <alignment horizontal="center" vertical="center"/>
    </xf>
    <xf numFmtId="1" fontId="6" fillId="5" borderId="925" xfId="28" applyNumberFormat="1" applyFont="1" applyFill="1" applyBorder="1" applyAlignment="1" applyProtection="1">
      <alignment horizontal="right"/>
      <protection locked="0"/>
    </xf>
    <xf numFmtId="1" fontId="6" fillId="5" borderId="927" xfId="28" applyNumberFormat="1" applyFont="1" applyFill="1" applyBorder="1" applyAlignment="1" applyProtection="1">
      <alignment horizontal="right"/>
      <protection locked="0"/>
    </xf>
    <xf numFmtId="1" fontId="6" fillId="5" borderId="879" xfId="28" applyNumberFormat="1" applyFont="1" applyFill="1" applyBorder="1" applyAlignment="1" applyProtection="1">
      <alignment horizontal="right"/>
      <protection locked="0"/>
    </xf>
    <xf numFmtId="1" fontId="6" fillId="5" borderId="744" xfId="28" applyNumberFormat="1" applyFont="1" applyFill="1" applyBorder="1" applyAlignment="1" applyProtection="1">
      <alignment horizontal="right"/>
      <protection locked="0"/>
    </xf>
    <xf numFmtId="1" fontId="6" fillId="5" borderId="408" xfId="28" applyNumberFormat="1" applyFont="1" applyFill="1" applyBorder="1" applyAlignment="1" applyProtection="1">
      <alignment horizontal="right"/>
      <protection locked="0"/>
    </xf>
    <xf numFmtId="1" fontId="6" fillId="5" borderId="382" xfId="28" applyNumberFormat="1" applyFont="1" applyFill="1" applyBorder="1" applyAlignment="1" applyProtection="1">
      <alignment horizontal="right"/>
      <protection locked="0"/>
    </xf>
    <xf numFmtId="1" fontId="6" fillId="5" borderId="911" xfId="28" applyNumberFormat="1" applyFont="1" applyFill="1" applyBorder="1" applyAlignment="1" applyProtection="1">
      <alignment horizontal="right"/>
      <protection locked="0"/>
    </xf>
    <xf numFmtId="1" fontId="6" fillId="5" borderId="800" xfId="28" applyNumberFormat="1" applyFont="1" applyFill="1" applyBorder="1" applyAlignment="1" applyProtection="1">
      <alignment horizontal="right"/>
      <protection locked="0"/>
    </xf>
    <xf numFmtId="1" fontId="6" fillId="5" borderId="940" xfId="28" applyNumberFormat="1" applyFont="1" applyFill="1" applyBorder="1" applyAlignment="1" applyProtection="1">
      <alignment horizontal="right"/>
      <protection locked="0"/>
    </xf>
    <xf numFmtId="1" fontId="6" fillId="5" borderId="935" xfId="28" applyNumberFormat="1" applyFont="1" applyFill="1" applyBorder="1" applyAlignment="1" applyProtection="1">
      <alignment horizontal="right"/>
      <protection locked="0"/>
    </xf>
    <xf numFmtId="1" fontId="6" fillId="0" borderId="961" xfId="0" applyNumberFormat="1" applyFont="1" applyBorder="1"/>
    <xf numFmtId="1" fontId="6" fillId="5" borderId="785" xfId="0" applyNumberFormat="1" applyFont="1" applyFill="1" applyBorder="1" applyProtection="1">
      <protection locked="0"/>
    </xf>
    <xf numFmtId="1" fontId="6" fillId="0" borderId="968" xfId="0" applyNumberFormat="1" applyFont="1" applyBorder="1"/>
    <xf numFmtId="1" fontId="6" fillId="0" borderId="949" xfId="0" applyNumberFormat="1" applyFont="1" applyBorder="1"/>
    <xf numFmtId="1" fontId="6" fillId="5" borderId="974" xfId="0" applyNumberFormat="1" applyFont="1" applyFill="1" applyBorder="1" applyProtection="1">
      <protection locked="0"/>
    </xf>
    <xf numFmtId="1" fontId="6" fillId="5" borderId="901" xfId="0" applyNumberFormat="1" applyFont="1" applyFill="1" applyBorder="1" applyProtection="1">
      <protection locked="0"/>
    </xf>
    <xf numFmtId="1" fontId="6" fillId="0" borderId="938" xfId="0" applyNumberFormat="1" applyFont="1" applyBorder="1" applyAlignment="1">
      <alignment vertical="center" wrapText="1"/>
    </xf>
    <xf numFmtId="1" fontId="6" fillId="5" borderId="978" xfId="0" applyNumberFormat="1" applyFont="1" applyFill="1" applyBorder="1" applyProtection="1">
      <protection locked="0"/>
    </xf>
    <xf numFmtId="1" fontId="6" fillId="5" borderId="899" xfId="0" applyNumberFormat="1" applyFont="1" applyFill="1" applyBorder="1" applyProtection="1">
      <protection locked="0"/>
    </xf>
    <xf numFmtId="1" fontId="6" fillId="5" borderId="975" xfId="0" applyNumberFormat="1" applyFont="1" applyFill="1" applyBorder="1" applyProtection="1">
      <protection locked="0"/>
    </xf>
    <xf numFmtId="0" fontId="5" fillId="0" borderId="971" xfId="0" applyFont="1" applyBorder="1" applyProtection="1">
      <protection hidden="1"/>
    </xf>
    <xf numFmtId="1" fontId="5" fillId="0" borderId="971" xfId="0" applyNumberFormat="1" applyFont="1" applyBorder="1" applyProtection="1">
      <protection hidden="1"/>
    </xf>
    <xf numFmtId="0" fontId="6" fillId="0" borderId="971" xfId="0" applyFont="1" applyBorder="1" applyProtection="1">
      <protection locked="0"/>
    </xf>
    <xf numFmtId="0" fontId="3" fillId="0" borderId="971" xfId="0" applyFont="1" applyBorder="1" applyProtection="1">
      <protection locked="0"/>
    </xf>
    <xf numFmtId="1" fontId="6" fillId="4" borderId="382" xfId="0" applyNumberFormat="1" applyFont="1" applyFill="1" applyBorder="1"/>
    <xf numFmtId="1" fontId="6" fillId="0" borderId="979" xfId="0" applyNumberFormat="1" applyFont="1" applyBorder="1"/>
    <xf numFmtId="1" fontId="6" fillId="0" borderId="917" xfId="0" applyNumberFormat="1" applyFont="1" applyBorder="1"/>
    <xf numFmtId="1" fontId="6" fillId="5" borderId="980" xfId="0" applyNumberFormat="1" applyFont="1" applyFill="1" applyBorder="1" applyProtection="1">
      <protection locked="0"/>
    </xf>
    <xf numFmtId="1" fontId="6" fillId="5" borderId="981" xfId="0" applyNumberFormat="1" applyFont="1" applyFill="1" applyBorder="1" applyProtection="1">
      <protection locked="0"/>
    </xf>
    <xf numFmtId="1" fontId="6" fillId="4" borderId="631" xfId="0" applyNumberFormat="1" applyFont="1" applyFill="1" applyBorder="1"/>
    <xf numFmtId="1" fontId="6" fillId="4" borderId="980" xfId="0" applyNumberFormat="1" applyFont="1" applyFill="1" applyBorder="1"/>
    <xf numFmtId="1" fontId="6" fillId="0" borderId="900" xfId="0" applyNumberFormat="1" applyFont="1" applyBorder="1"/>
    <xf numFmtId="1" fontId="6" fillId="0" borderId="910" xfId="0" applyNumberFormat="1" applyFont="1" applyBorder="1"/>
    <xf numFmtId="1" fontId="6" fillId="0" borderId="740" xfId="0" applyNumberFormat="1" applyFont="1" applyBorder="1"/>
    <xf numFmtId="1" fontId="6" fillId="0" borderId="877" xfId="0" applyNumberFormat="1" applyFont="1" applyBorder="1"/>
    <xf numFmtId="1" fontId="6" fillId="5" borderId="985" xfId="0" applyNumberFormat="1" applyFont="1" applyFill="1" applyBorder="1" applyProtection="1">
      <protection locked="0"/>
    </xf>
    <xf numFmtId="1" fontId="6" fillId="0" borderId="986" xfId="0" applyNumberFormat="1" applyFont="1" applyBorder="1"/>
    <xf numFmtId="1" fontId="6" fillId="0" borderId="964" xfId="0" applyNumberFormat="1" applyFont="1" applyBorder="1"/>
    <xf numFmtId="1" fontId="6" fillId="0" borderId="919" xfId="0" applyNumberFormat="1" applyFont="1" applyBorder="1"/>
    <xf numFmtId="1" fontId="6" fillId="0" borderId="976" xfId="0" applyNumberFormat="1" applyFont="1" applyBorder="1" applyAlignment="1">
      <alignment wrapText="1"/>
    </xf>
    <xf numFmtId="1" fontId="6" fillId="4" borderId="935" xfId="0" applyNumberFormat="1" applyFont="1" applyFill="1" applyBorder="1"/>
    <xf numFmtId="1" fontId="6" fillId="4" borderId="995" xfId="0" applyNumberFormat="1" applyFont="1" applyFill="1" applyBorder="1"/>
    <xf numFmtId="1" fontId="6" fillId="4" borderId="919" xfId="0" applyNumberFormat="1" applyFont="1" applyFill="1" applyBorder="1"/>
    <xf numFmtId="1" fontId="6" fillId="4" borderId="104" xfId="0" applyNumberFormat="1" applyFont="1" applyFill="1" applyBorder="1"/>
    <xf numFmtId="1" fontId="6" fillId="4" borderId="361" xfId="0" applyNumberFormat="1" applyFont="1" applyFill="1" applyBorder="1"/>
    <xf numFmtId="1" fontId="6" fillId="5" borderId="996" xfId="0" applyNumberFormat="1" applyFont="1" applyFill="1" applyBorder="1" applyProtection="1">
      <protection locked="0"/>
    </xf>
    <xf numFmtId="0" fontId="6" fillId="0" borderId="987" xfId="0" applyFont="1" applyBorder="1" applyAlignment="1">
      <alignment horizontal="center" vertical="center" wrapText="1"/>
    </xf>
    <xf numFmtId="0" fontId="6" fillId="0" borderId="961" xfId="0" applyFont="1" applyBorder="1" applyAlignment="1">
      <alignment horizontal="center" vertical="center" wrapText="1"/>
    </xf>
    <xf numFmtId="0" fontId="6" fillId="0" borderId="967" xfId="0" applyFont="1" applyBorder="1" applyAlignment="1">
      <alignment horizontal="center" vertical="center" wrapText="1"/>
    </xf>
    <xf numFmtId="1" fontId="6" fillId="5" borderId="995" xfId="0" applyNumberFormat="1" applyFont="1" applyFill="1" applyBorder="1" applyProtection="1">
      <protection locked="0"/>
    </xf>
    <xf numFmtId="1" fontId="6" fillId="0" borderId="987" xfId="0" applyNumberFormat="1" applyFont="1" applyBorder="1"/>
    <xf numFmtId="1" fontId="6" fillId="0" borderId="517" xfId="0" applyNumberFormat="1" applyFont="1" applyBorder="1" applyAlignment="1">
      <alignment horizontal="right" vertical="center" wrapText="1"/>
    </xf>
    <xf numFmtId="1" fontId="6" fillId="0" borderId="902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right" vertical="center" wrapText="1"/>
    </xf>
    <xf numFmtId="1" fontId="6" fillId="0" borderId="967" xfId="0" applyNumberFormat="1" applyFont="1" applyBorder="1" applyAlignment="1">
      <alignment horizontal="right" vertical="center" wrapText="1"/>
    </xf>
    <xf numFmtId="1" fontId="6" fillId="5" borderId="984" xfId="0" applyNumberFormat="1" applyFont="1" applyFill="1" applyBorder="1" applyProtection="1">
      <protection locked="0"/>
    </xf>
    <xf numFmtId="1" fontId="6" fillId="5" borderId="989" xfId="0" applyNumberFormat="1" applyFont="1" applyFill="1" applyBorder="1" applyProtection="1">
      <protection locked="0"/>
    </xf>
    <xf numFmtId="1" fontId="6" fillId="5" borderId="990" xfId="0" applyNumberFormat="1" applyFont="1" applyFill="1" applyBorder="1" applyProtection="1">
      <protection locked="0"/>
    </xf>
    <xf numFmtId="1" fontId="6" fillId="3" borderId="265" xfId="0" applyNumberFormat="1" applyFont="1" applyFill="1" applyBorder="1" applyAlignment="1">
      <alignment horizontal="right" wrapText="1"/>
    </xf>
    <xf numFmtId="1" fontId="6" fillId="5" borderId="784" xfId="0" applyNumberFormat="1" applyFont="1" applyFill="1" applyBorder="1" applyAlignment="1" applyProtection="1">
      <alignment wrapText="1"/>
      <protection locked="0"/>
    </xf>
    <xf numFmtId="1" fontId="6" fillId="12" borderId="71" xfId="0" applyNumberFormat="1" applyFont="1" applyFill="1" applyBorder="1" applyProtection="1">
      <protection locked="0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41" xfId="23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6" fillId="0" borderId="714" xfId="23" applyNumberFormat="1" applyFont="1" applyBorder="1" applyAlignment="1">
      <alignment horizontal="center" vertical="center" wrapText="1"/>
    </xf>
    <xf numFmtId="1" fontId="6" fillId="0" borderId="290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290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/>
    </xf>
    <xf numFmtId="1" fontId="6" fillId="0" borderId="700" xfId="0" applyNumberFormat="1" applyFont="1" applyBorder="1" applyAlignment="1">
      <alignment horizontal="left" vertical="center" wrapText="1"/>
    </xf>
    <xf numFmtId="1" fontId="6" fillId="0" borderId="433" xfId="0" applyNumberFormat="1" applyFont="1" applyBorder="1" applyAlignment="1">
      <alignment horizontal="left" vertical="center" wrapText="1"/>
    </xf>
    <xf numFmtId="1" fontId="6" fillId="0" borderId="427" xfId="0" applyNumberFormat="1" applyFont="1" applyBorder="1" applyAlignment="1">
      <alignment horizontal="center" vertical="center" wrapText="1"/>
    </xf>
    <xf numFmtId="1" fontId="6" fillId="0" borderId="370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333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341" xfId="0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6" fillId="0" borderId="517" xfId="0" applyNumberFormat="1" applyFont="1" applyBorder="1" applyAlignment="1">
      <alignment horizontal="center" vertical="center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288" xfId="0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288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center" vertical="center" wrapText="1"/>
    </xf>
    <xf numFmtId="1" fontId="6" fillId="0" borderId="222" xfId="0" applyNumberFormat="1" applyFont="1" applyBorder="1" applyAlignment="1">
      <alignment horizontal="center" vertical="center" wrapText="1"/>
    </xf>
    <xf numFmtId="1" fontId="6" fillId="0" borderId="142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44" xfId="0" applyNumberFormat="1" applyFont="1" applyBorder="1" applyAlignment="1">
      <alignment horizontal="center" vertical="center" wrapText="1"/>
    </xf>
    <xf numFmtId="1" fontId="6" fillId="0" borderId="903" xfId="0" applyNumberFormat="1" applyFont="1" applyBorder="1" applyAlignment="1">
      <alignment horizontal="center" vertical="center" wrapText="1"/>
    </xf>
    <xf numFmtId="1" fontId="6" fillId="0" borderId="942" xfId="0" applyNumberFormat="1" applyFont="1" applyBorder="1" applyAlignment="1">
      <alignment horizontal="center" vertical="center" wrapText="1"/>
    </xf>
    <xf numFmtId="1" fontId="6" fillId="0" borderId="943" xfId="0" applyNumberFormat="1" applyFont="1" applyBorder="1" applyAlignment="1">
      <alignment horizontal="center" vertical="center" wrapText="1"/>
    </xf>
    <xf numFmtId="1" fontId="6" fillId="0" borderId="288" xfId="0" applyNumberFormat="1" applyFont="1" applyBorder="1" applyAlignment="1">
      <alignment horizontal="center"/>
    </xf>
    <xf numFmtId="1" fontId="6" fillId="0" borderId="860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708" xfId="0" applyNumberFormat="1" applyFont="1" applyBorder="1" applyAlignment="1">
      <alignment horizontal="center" vertical="center" wrapText="1"/>
    </xf>
    <xf numFmtId="1" fontId="6" fillId="0" borderId="865" xfId="0" applyNumberFormat="1" applyFont="1" applyBorder="1" applyAlignment="1">
      <alignment horizontal="center" vertical="center" wrapText="1"/>
    </xf>
    <xf numFmtId="1" fontId="6" fillId="0" borderId="811" xfId="0" applyNumberFormat="1" applyFont="1" applyBorder="1" applyAlignment="1">
      <alignment horizontal="center" vertical="center" wrapText="1"/>
    </xf>
    <xf numFmtId="1" fontId="6" fillId="0" borderId="887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left" vertical="center"/>
    </xf>
    <xf numFmtId="1" fontId="6" fillId="0" borderId="243" xfId="0" applyNumberFormat="1" applyFont="1" applyBorder="1" applyAlignment="1">
      <alignment horizontal="center" vertical="center" wrapText="1"/>
    </xf>
    <xf numFmtId="1" fontId="6" fillId="0" borderId="152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left" vertical="center"/>
    </xf>
    <xf numFmtId="1" fontId="6" fillId="0" borderId="143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6" fillId="0" borderId="701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903" xfId="0" applyNumberFormat="1" applyFont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 wrapText="1"/>
    </xf>
    <xf numFmtId="1" fontId="6" fillId="0" borderId="35" xfId="0" applyNumberFormat="1" applyFont="1" applyBorder="1"/>
    <xf numFmtId="1" fontId="6" fillId="0" borderId="438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>
      <alignment horizontal="left"/>
    </xf>
    <xf numFmtId="1" fontId="6" fillId="0" borderId="526" xfId="0" applyNumberFormat="1" applyFont="1" applyBorder="1" applyAlignment="1">
      <alignment horizontal="left" wrapText="1"/>
    </xf>
    <xf numFmtId="1" fontId="6" fillId="0" borderId="23" xfId="0" applyNumberFormat="1" applyFont="1" applyBorder="1" applyAlignment="1">
      <alignment horizontal="left"/>
    </xf>
    <xf numFmtId="0" fontId="6" fillId="0" borderId="503" xfId="0" applyFont="1" applyBorder="1" applyAlignment="1">
      <alignment horizontal="center" vertical="center" wrapText="1"/>
    </xf>
    <xf numFmtId="0" fontId="6" fillId="0" borderId="514" xfId="0" applyFont="1" applyBorder="1" applyAlignment="1">
      <alignment horizontal="center" vertical="center" wrapText="1"/>
    </xf>
    <xf numFmtId="0" fontId="6" fillId="0" borderId="498" xfId="0" applyFont="1" applyBorder="1" applyAlignment="1">
      <alignment horizontal="center" vertical="center" wrapText="1"/>
    </xf>
    <xf numFmtId="1" fontId="6" fillId="0" borderId="368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11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42" xfId="28" applyNumberFormat="1" applyFont="1" applyBorder="1" applyAlignment="1">
      <alignment horizontal="center" vertical="center" wrapText="1"/>
    </xf>
    <xf numFmtId="1" fontId="6" fillId="0" borderId="456" xfId="28" applyNumberFormat="1" applyFont="1" applyBorder="1" applyAlignment="1">
      <alignment horizontal="center" vertical="center" wrapText="1"/>
    </xf>
    <xf numFmtId="1" fontId="6" fillId="0" borderId="442" xfId="28" applyNumberFormat="1" applyFont="1" applyBorder="1" applyAlignment="1">
      <alignment horizontal="center" vertical="center" wrapText="1"/>
    </xf>
    <xf numFmtId="1" fontId="6" fillId="3" borderId="447" xfId="0" applyNumberFormat="1" applyFont="1" applyFill="1" applyBorder="1" applyAlignment="1">
      <alignment horizontal="center" vertical="center"/>
    </xf>
    <xf numFmtId="1" fontId="4" fillId="0" borderId="175" xfId="0" applyNumberFormat="1" applyFont="1" applyBorder="1"/>
    <xf numFmtId="1" fontId="6" fillId="0" borderId="463" xfId="28" applyNumberFormat="1" applyFont="1" applyBorder="1" applyAlignment="1">
      <alignment horizontal="center" vertical="center" wrapText="1"/>
    </xf>
    <xf numFmtId="1" fontId="6" fillId="0" borderId="224" xfId="28" applyNumberFormat="1" applyFont="1" applyBorder="1" applyAlignment="1">
      <alignment horizontal="center" vertical="center" wrapText="1"/>
    </xf>
    <xf numFmtId="1" fontId="6" fillId="0" borderId="23" xfId="28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 vertical="center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left" vertical="center" wrapText="1"/>
    </xf>
    <xf numFmtId="1" fontId="6" fillId="3" borderId="447" xfId="0" applyNumberFormat="1" applyFont="1" applyFill="1" applyBorder="1" applyAlignment="1">
      <alignment horizontal="center" vertical="center" wrapText="1"/>
    </xf>
    <xf numFmtId="1" fontId="6" fillId="0" borderId="135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3" xfId="0" applyNumberFormat="1" applyFont="1" applyBorder="1"/>
    <xf numFmtId="1" fontId="6" fillId="0" borderId="137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horizontal="center" vertical="center" wrapText="1"/>
    </xf>
    <xf numFmtId="0" fontId="6" fillId="0" borderId="700" xfId="0" applyFont="1" applyBorder="1"/>
    <xf numFmtId="1" fontId="6" fillId="5" borderId="782" xfId="23" applyNumberFormat="1" applyFont="1" applyFill="1" applyBorder="1" applyProtection="1">
      <protection locked="0"/>
    </xf>
    <xf numFmtId="1" fontId="6" fillId="5" borderId="786" xfId="23" applyNumberFormat="1" applyFont="1" applyFill="1" applyBorder="1" applyProtection="1">
      <protection locked="0"/>
    </xf>
    <xf numFmtId="1" fontId="6" fillId="0" borderId="765" xfId="23" applyNumberFormat="1" applyFont="1" applyBorder="1"/>
    <xf numFmtId="1" fontId="6" fillId="0" borderId="729" xfId="23" applyNumberFormat="1" applyFont="1" applyBorder="1" applyAlignment="1">
      <alignment horizontal="center" vertical="center" wrapText="1"/>
    </xf>
    <xf numFmtId="1" fontId="6" fillId="5" borderId="756" xfId="23" applyNumberFormat="1" applyFont="1" applyFill="1" applyBorder="1" applyProtection="1">
      <protection locked="0"/>
    </xf>
    <xf numFmtId="1" fontId="6" fillId="5" borderId="753" xfId="23" applyNumberFormat="1" applyFont="1" applyFill="1" applyBorder="1" applyProtection="1">
      <protection locked="0"/>
    </xf>
    <xf numFmtId="1" fontId="6" fillId="5" borderId="757" xfId="23" applyNumberFormat="1" applyFont="1" applyFill="1" applyBorder="1" applyProtection="1">
      <protection locked="0"/>
    </xf>
    <xf numFmtId="1" fontId="6" fillId="5" borderId="698" xfId="23" applyNumberFormat="1" applyFont="1" applyFill="1" applyBorder="1" applyProtection="1">
      <protection locked="0"/>
    </xf>
    <xf numFmtId="1" fontId="6" fillId="5" borderId="685" xfId="23" applyNumberFormat="1" applyFont="1" applyFill="1" applyBorder="1" applyProtection="1">
      <protection locked="0"/>
    </xf>
    <xf numFmtId="1" fontId="6" fillId="5" borderId="720" xfId="23" applyNumberFormat="1" applyFont="1" applyFill="1" applyBorder="1" applyProtection="1">
      <protection locked="0"/>
    </xf>
    <xf numFmtId="1" fontId="6" fillId="5" borderId="689" xfId="23" applyNumberFormat="1" applyFont="1" applyFill="1" applyBorder="1" applyProtection="1">
      <protection locked="0"/>
    </xf>
    <xf numFmtId="1" fontId="6" fillId="5" borderId="692" xfId="23" applyNumberFormat="1" applyFont="1" applyFill="1" applyBorder="1" applyProtection="1">
      <protection locked="0"/>
    </xf>
    <xf numFmtId="0" fontId="6" fillId="0" borderId="750" xfId="0" applyFont="1" applyBorder="1" applyAlignment="1">
      <alignment horizontal="center" vertical="center" wrapText="1"/>
    </xf>
    <xf numFmtId="1" fontId="21" fillId="3" borderId="161" xfId="0" applyNumberFormat="1" applyFont="1" applyFill="1" applyBorder="1" applyAlignment="1">
      <alignment vertical="center" wrapText="1"/>
    </xf>
    <xf numFmtId="1" fontId="6" fillId="0" borderId="765" xfId="0" applyNumberFormat="1" applyFont="1" applyBorder="1" applyAlignment="1">
      <alignment horizontal="center" vertical="center" wrapText="1"/>
    </xf>
    <xf numFmtId="1" fontId="6" fillId="5" borderId="782" xfId="0" applyNumberFormat="1" applyFont="1" applyFill="1" applyBorder="1" applyProtection="1">
      <protection locked="0"/>
    </xf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38" fillId="28" borderId="0" xfId="0" applyNumberFormat="1" applyFont="1" applyFill="1" applyProtection="1">
      <protection locked="0"/>
    </xf>
    <xf numFmtId="1" fontId="38" fillId="28" borderId="0" xfId="0" applyNumberFormat="1" applyFont="1" applyFill="1"/>
    <xf numFmtId="1" fontId="4" fillId="0" borderId="456" xfId="0" applyNumberFormat="1" applyFont="1" applyBorder="1"/>
    <xf numFmtId="1" fontId="6" fillId="0" borderId="531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/>
    <xf numFmtId="1" fontId="38" fillId="0" borderId="332" xfId="0" applyNumberFormat="1" applyFont="1" applyBorder="1"/>
    <xf numFmtId="0" fontId="43" fillId="12" borderId="548" xfId="29" applyFont="1" applyFill="1" applyBorder="1"/>
    <xf numFmtId="0" fontId="43" fillId="12" borderId="549" xfId="29" applyFont="1" applyFill="1" applyBorder="1"/>
    <xf numFmtId="0" fontId="43" fillId="12" borderId="550" xfId="29" applyFont="1" applyFill="1" applyBorder="1"/>
    <xf numFmtId="1" fontId="6" fillId="12" borderId="535" xfId="0" applyNumberFormat="1" applyFont="1" applyFill="1" applyBorder="1"/>
    <xf numFmtId="1" fontId="6" fillId="0" borderId="523" xfId="0" applyNumberFormat="1" applyFont="1" applyBorder="1"/>
    <xf numFmtId="1" fontId="38" fillId="0" borderId="508" xfId="0" applyNumberFormat="1" applyFont="1" applyBorder="1"/>
    <xf numFmtId="0" fontId="43" fillId="12" borderId="551" xfId="29" applyFont="1" applyFill="1" applyBorder="1"/>
    <xf numFmtId="0" fontId="43" fillId="12" borderId="552" xfId="29" applyFont="1" applyFill="1" applyBorder="1"/>
    <xf numFmtId="0" fontId="43" fillId="12" borderId="553" xfId="29" applyFont="1" applyFill="1" applyBorder="1"/>
    <xf numFmtId="1" fontId="6" fillId="5" borderId="554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0" fontId="43" fillId="12" borderId="556" xfId="29" applyFont="1" applyFill="1" applyBorder="1"/>
    <xf numFmtId="0" fontId="43" fillId="12" borderId="557" xfId="29" applyFont="1" applyFill="1" applyBorder="1"/>
    <xf numFmtId="0" fontId="38" fillId="0" borderId="508" xfId="0" applyFont="1" applyBorder="1"/>
    <xf numFmtId="1" fontId="6" fillId="0" borderId="523" xfId="0" applyNumberFormat="1" applyFont="1" applyBorder="1" applyAlignment="1">
      <alignment wrapText="1"/>
    </xf>
    <xf numFmtId="0" fontId="43" fillId="12" borderId="558" xfId="29" applyFont="1" applyFill="1" applyBorder="1"/>
    <xf numFmtId="0" fontId="43" fillId="12" borderId="559" xfId="29" applyFont="1" applyFill="1" applyBorder="1"/>
    <xf numFmtId="0" fontId="6" fillId="0" borderId="523" xfId="0" applyFont="1" applyBorder="1"/>
    <xf numFmtId="0" fontId="43" fillId="12" borderId="560" xfId="29" applyFont="1" applyFill="1" applyBorder="1"/>
    <xf numFmtId="1" fontId="6" fillId="0" borderId="523" xfId="0" applyNumberFormat="1" applyFont="1" applyBorder="1" applyAlignment="1">
      <alignment horizontal="right"/>
    </xf>
    <xf numFmtId="1" fontId="38" fillId="0" borderId="21" xfId="0" applyNumberFormat="1" applyFont="1" applyBorder="1"/>
    <xf numFmtId="0" fontId="43" fillId="12" borderId="546" xfId="29" applyFont="1" applyFill="1" applyBorder="1"/>
    <xf numFmtId="0" fontId="43" fillId="12" borderId="513" xfId="29" applyFont="1" applyFill="1" applyBorder="1"/>
    <xf numFmtId="0" fontId="43" fillId="12" borderId="438" xfId="29" applyFont="1" applyFill="1" applyBorder="1"/>
    <xf numFmtId="0" fontId="38" fillId="0" borderId="532" xfId="0" applyFont="1" applyBorder="1"/>
    <xf numFmtId="0" fontId="38" fillId="0" borderId="31" xfId="0" applyFont="1" applyBorder="1"/>
    <xf numFmtId="0" fontId="38" fillId="0" borderId="523" xfId="0" applyFont="1" applyBorder="1"/>
    <xf numFmtId="0" fontId="6" fillId="0" borderId="24" xfId="0" applyFont="1" applyBorder="1"/>
    <xf numFmtId="0" fontId="38" fillId="0" borderId="57" xfId="0" applyFont="1" applyBorder="1"/>
    <xf numFmtId="0" fontId="38" fillId="0" borderId="21" xfId="0" applyFont="1" applyBorder="1"/>
    <xf numFmtId="1" fontId="4" fillId="3" borderId="735" xfId="0" applyNumberFormat="1" applyFont="1" applyFill="1" applyBorder="1"/>
    <xf numFmtId="0" fontId="48" fillId="0" borderId="987" xfId="0" applyFont="1" applyBorder="1" applyAlignment="1">
      <alignment horizontal="center" vertical="center" wrapText="1"/>
    </xf>
    <xf numFmtId="0" fontId="48" fillId="0" borderId="991" xfId="0" applyFont="1" applyBorder="1" applyAlignment="1">
      <alignment horizontal="center" vertical="center" wrapText="1"/>
    </xf>
    <xf numFmtId="0" fontId="48" fillId="0" borderId="988" xfId="0" applyFont="1" applyBorder="1" applyAlignment="1">
      <alignment horizontal="center" vertical="center" wrapText="1"/>
    </xf>
    <xf numFmtId="0" fontId="6" fillId="0" borderId="752" xfId="0" applyFont="1" applyBorder="1" applyAlignment="1">
      <alignment horizontal="left" vertical="center" wrapText="1"/>
    </xf>
    <xf numFmtId="1" fontId="48" fillId="0" borderId="752" xfId="0" applyNumberFormat="1" applyFont="1" applyBorder="1" applyAlignment="1">
      <alignment horizontal="right" vertical="center" wrapText="1"/>
    </xf>
    <xf numFmtId="0" fontId="6" fillId="0" borderId="700" xfId="0" applyFont="1" applyBorder="1" applyAlignment="1">
      <alignment horizontal="left" vertical="center" wrapText="1"/>
    </xf>
    <xf numFmtId="3" fontId="48" fillId="0" borderId="700" xfId="0" applyNumberFormat="1" applyFont="1" applyBorder="1" applyAlignment="1">
      <alignment horizontal="right" wrapText="1"/>
    </xf>
    <xf numFmtId="0" fontId="48" fillId="0" borderId="700" xfId="0" applyFont="1" applyBorder="1" applyAlignment="1">
      <alignment horizontal="right"/>
    </xf>
    <xf numFmtId="0" fontId="6" fillId="0" borderId="721" xfId="0" applyFont="1" applyBorder="1" applyAlignment="1">
      <alignment horizontal="left" vertical="center" wrapText="1"/>
    </xf>
    <xf numFmtId="0" fontId="48" fillId="0" borderId="701" xfId="0" applyFont="1" applyBorder="1" applyAlignment="1">
      <alignment horizontal="right"/>
    </xf>
    <xf numFmtId="0" fontId="48" fillId="0" borderId="751" xfId="0" applyFont="1" applyBorder="1" applyAlignment="1">
      <alignment horizontal="center" vertical="center" wrapText="1"/>
    </xf>
    <xf numFmtId="0" fontId="48" fillId="0" borderId="758" xfId="0" applyFont="1" applyBorder="1" applyAlignment="1">
      <alignment horizontal="center" vertical="center" wrapText="1"/>
    </xf>
    <xf numFmtId="0" fontId="48" fillId="0" borderId="758" xfId="0" applyFont="1" applyBorder="1" applyAlignment="1">
      <alignment horizontal="center"/>
    </xf>
    <xf numFmtId="0" fontId="48" fillId="0" borderId="778" xfId="0" applyFont="1" applyBorder="1" applyAlignment="1">
      <alignment horizontal="center"/>
    </xf>
    <xf numFmtId="1" fontId="6" fillId="5" borderId="781" xfId="0" applyNumberFormat="1" applyFont="1" applyFill="1" applyBorder="1" applyProtection="1">
      <protection locked="0"/>
    </xf>
    <xf numFmtId="1" fontId="6" fillId="5" borderId="993" xfId="0" applyNumberFormat="1" applyFont="1" applyFill="1" applyBorder="1" applyProtection="1">
      <protection locked="0"/>
    </xf>
    <xf numFmtId="0" fontId="48" fillId="0" borderId="700" xfId="0" applyFont="1" applyBorder="1" applyAlignment="1">
      <alignment horizontal="right" vertical="center" wrapText="1"/>
    </xf>
    <xf numFmtId="1" fontId="6" fillId="5" borderId="994" xfId="0" applyNumberFormat="1" applyFont="1" applyFill="1" applyBorder="1" applyProtection="1">
      <protection locked="0"/>
    </xf>
    <xf numFmtId="0" fontId="6" fillId="0" borderId="700" xfId="0" applyFont="1" applyBorder="1" applyAlignment="1">
      <alignment horizontal="left" wrapText="1"/>
    </xf>
    <xf numFmtId="0" fontId="6" fillId="0" borderId="700" xfId="0" applyFont="1" applyBorder="1" applyAlignment="1">
      <alignment wrapText="1"/>
    </xf>
    <xf numFmtId="0" fontId="6" fillId="0" borderId="721" xfId="0" applyFont="1" applyBorder="1" applyAlignment="1">
      <alignment wrapText="1"/>
    </xf>
    <xf numFmtId="0" fontId="48" fillId="0" borderId="721" xfId="0" applyFont="1" applyBorder="1" applyAlignment="1">
      <alignment horizontal="right"/>
    </xf>
    <xf numFmtId="1" fontId="6" fillId="5" borderId="932" xfId="0" applyNumberFormat="1" applyFont="1" applyFill="1" applyBorder="1" applyProtection="1">
      <protection locked="0"/>
    </xf>
    <xf numFmtId="0" fontId="6" fillId="0" borderId="752" xfId="0" applyFont="1" applyBorder="1" applyAlignment="1">
      <alignment wrapText="1"/>
    </xf>
    <xf numFmtId="0" fontId="48" fillId="0" borderId="699" xfId="0" applyFont="1" applyBorder="1" applyAlignment="1">
      <alignment horizontal="right"/>
    </xf>
    <xf numFmtId="0" fontId="6" fillId="0" borderId="721" xfId="0" applyFont="1" applyBorder="1" applyAlignment="1">
      <alignment horizontal="left" wrapText="1"/>
    </xf>
    <xf numFmtId="0" fontId="48" fillId="0" borderId="728" xfId="0" applyFont="1" applyBorder="1" applyAlignment="1">
      <alignment horizontal="center"/>
    </xf>
    <xf numFmtId="0" fontId="6" fillId="0" borderId="752" xfId="0" applyFont="1" applyBorder="1" applyAlignment="1">
      <alignment horizontal="left" wrapText="1"/>
    </xf>
    <xf numFmtId="1" fontId="48" fillId="0" borderId="752" xfId="0" applyNumberFormat="1" applyFont="1" applyBorder="1" applyAlignment="1">
      <alignment horizontal="right" wrapText="1"/>
    </xf>
    <xf numFmtId="1" fontId="48" fillId="0" borderId="753" xfId="0" applyNumberFormat="1" applyFont="1" applyBorder="1" applyAlignment="1">
      <alignment horizontal="right" wrapText="1"/>
    </xf>
    <xf numFmtId="0" fontId="48" fillId="0" borderId="759" xfId="0" applyFont="1" applyBorder="1" applyAlignment="1">
      <alignment horizontal="right"/>
    </xf>
    <xf numFmtId="0" fontId="48" fillId="0" borderId="721" xfId="0" applyFont="1" applyBorder="1" applyAlignment="1">
      <alignment horizontal="right" wrapText="1"/>
    </xf>
    <xf numFmtId="0" fontId="48" fillId="0" borderId="718" xfId="0" applyFont="1" applyBorder="1" applyAlignment="1">
      <alignment horizontal="right" wrapText="1"/>
    </xf>
    <xf numFmtId="1" fontId="48" fillId="0" borderId="741" xfId="0" applyNumberFormat="1" applyFont="1" applyBorder="1" applyAlignment="1">
      <alignment horizontal="right" wrapText="1"/>
    </xf>
    <xf numFmtId="1" fontId="48" fillId="0" borderId="753" xfId="0" applyNumberFormat="1" applyFont="1" applyBorder="1" applyAlignment="1">
      <alignment horizontal="right" vertical="center" wrapText="1"/>
    </xf>
    <xf numFmtId="1" fontId="6" fillId="12" borderId="746" xfId="0" applyNumberFormat="1" applyFont="1" applyFill="1" applyBorder="1"/>
    <xf numFmtId="0" fontId="48" fillId="0" borderId="700" xfId="0" applyFont="1" applyBorder="1" applyAlignment="1">
      <alignment horizontal="right" wrapText="1"/>
    </xf>
    <xf numFmtId="0" fontId="48" fillId="0" borderId="686" xfId="0" applyFont="1" applyBorder="1" applyAlignment="1">
      <alignment horizontal="right" wrapText="1"/>
    </xf>
    <xf numFmtId="0" fontId="6" fillId="0" borderId="701" xfId="0" applyFont="1" applyBorder="1" applyAlignment="1">
      <alignment horizontal="left" wrapText="1"/>
    </xf>
    <xf numFmtId="0" fontId="38" fillId="0" borderId="721" xfId="0" applyFont="1" applyBorder="1" applyAlignment="1">
      <alignment horizontal="right"/>
    </xf>
    <xf numFmtId="0" fontId="38" fillId="0" borderId="718" xfId="0" applyFont="1" applyBorder="1" applyAlignment="1">
      <alignment horizontal="right"/>
    </xf>
    <xf numFmtId="1" fontId="38" fillId="0" borderId="741" xfId="0" applyNumberFormat="1" applyFont="1" applyBorder="1" applyAlignment="1">
      <alignment horizontal="right"/>
    </xf>
    <xf numFmtId="0" fontId="38" fillId="28" borderId="0" xfId="0" applyFont="1" applyFill="1"/>
    <xf numFmtId="0" fontId="38" fillId="0" borderId="0" xfId="0" applyFont="1" applyAlignment="1">
      <alignment wrapText="1"/>
    </xf>
    <xf numFmtId="0" fontId="4" fillId="0" borderId="175" xfId="0" applyFont="1" applyBorder="1" applyAlignment="1">
      <alignment wrapText="1"/>
    </xf>
    <xf numFmtId="0" fontId="38" fillId="18" borderId="0" xfId="0" applyFont="1" applyFill="1"/>
    <xf numFmtId="0" fontId="6" fillId="0" borderId="890" xfId="0" applyFont="1" applyBorder="1" applyAlignment="1">
      <alignment horizontal="center" vertical="center"/>
    </xf>
    <xf numFmtId="0" fontId="6" fillId="0" borderId="844" xfId="0" applyFont="1" applyBorder="1" applyAlignment="1">
      <alignment horizontal="center" vertical="center"/>
    </xf>
    <xf numFmtId="0" fontId="6" fillId="0" borderId="892" xfId="0" applyFont="1" applyBorder="1" applyAlignment="1">
      <alignment horizontal="center" vertical="center"/>
    </xf>
    <xf numFmtId="0" fontId="13" fillId="0" borderId="750" xfId="0" applyFont="1" applyBorder="1" applyAlignment="1">
      <alignment wrapText="1"/>
    </xf>
    <xf numFmtId="0" fontId="6" fillId="29" borderId="893" xfId="0" applyFont="1" applyFill="1" applyBorder="1" applyAlignment="1">
      <alignment horizontal="center" vertical="center" wrapText="1"/>
    </xf>
    <xf numFmtId="0" fontId="6" fillId="0" borderId="801" xfId="0" applyFont="1" applyBorder="1" applyAlignment="1">
      <alignment wrapText="1"/>
    </xf>
    <xf numFmtId="1" fontId="6" fillId="0" borderId="634" xfId="0" applyNumberFormat="1" applyFont="1" applyBorder="1" applyAlignment="1">
      <alignment wrapText="1"/>
    </xf>
    <xf numFmtId="0" fontId="6" fillId="0" borderId="741" xfId="0" applyFont="1" applyBorder="1" applyAlignment="1">
      <alignment wrapText="1"/>
    </xf>
    <xf numFmtId="1" fontId="38" fillId="0" borderId="741" xfId="0" applyNumberFormat="1" applyFont="1" applyBorder="1"/>
    <xf numFmtId="1" fontId="6" fillId="5" borderId="902" xfId="0" applyNumberFormat="1" applyFont="1" applyFill="1" applyBorder="1" applyProtection="1">
      <protection locked="0"/>
    </xf>
    <xf numFmtId="0" fontId="38" fillId="29" borderId="814" xfId="0" applyFont="1" applyFill="1" applyBorder="1"/>
    <xf numFmtId="1" fontId="38" fillId="0" borderId="431" xfId="0" applyNumberFormat="1" applyFont="1" applyBorder="1"/>
    <xf numFmtId="0" fontId="6" fillId="0" borderId="431" xfId="0" applyFont="1" applyBorder="1" applyAlignment="1">
      <alignment wrapText="1"/>
    </xf>
    <xf numFmtId="1" fontId="38" fillId="0" borderId="634" xfId="0" applyNumberFormat="1" applyFont="1" applyBorder="1"/>
    <xf numFmtId="0" fontId="4" fillId="0" borderId="811" xfId="0" applyFont="1" applyBorder="1" applyAlignment="1">
      <alignment wrapText="1"/>
    </xf>
    <xf numFmtId="0" fontId="38" fillId="0" borderId="750" xfId="0" applyFont="1" applyBorder="1" applyAlignment="1">
      <alignment horizontal="center" vertical="center" wrapText="1"/>
    </xf>
    <xf numFmtId="0" fontId="6" fillId="0" borderId="780" xfId="0" applyFont="1" applyBorder="1" applyAlignment="1">
      <alignment horizontal="center" vertical="center" wrapText="1"/>
    </xf>
    <xf numFmtId="0" fontId="6" fillId="0" borderId="817" xfId="0" applyFont="1" applyBorder="1" applyAlignment="1">
      <alignment horizontal="center" vertical="center" wrapText="1"/>
    </xf>
    <xf numFmtId="1" fontId="6" fillId="5" borderId="818" xfId="0" applyNumberFormat="1" applyFont="1" applyFill="1" applyBorder="1" applyProtection="1">
      <protection locked="0"/>
    </xf>
    <xf numFmtId="1" fontId="6" fillId="5" borderId="819" xfId="0" applyNumberFormat="1" applyFont="1" applyFill="1" applyBorder="1" applyProtection="1">
      <protection locked="0"/>
    </xf>
    <xf numFmtId="0" fontId="6" fillId="0" borderId="690" xfId="0" applyFont="1" applyBorder="1" applyAlignment="1">
      <alignment wrapText="1"/>
    </xf>
    <xf numFmtId="0" fontId="6" fillId="0" borderId="968" xfId="0" applyFont="1" applyBorder="1" applyAlignment="1">
      <alignment vertical="center"/>
    </xf>
    <xf numFmtId="0" fontId="6" fillId="0" borderId="813" xfId="0" applyFont="1" applyBorder="1" applyAlignment="1">
      <alignment vertical="center"/>
    </xf>
    <xf numFmtId="0" fontId="6" fillId="0" borderId="778" xfId="0" applyFont="1" applyBorder="1" applyAlignment="1">
      <alignment vertical="center"/>
    </xf>
    <xf numFmtId="1" fontId="38" fillId="0" borderId="801" xfId="0" applyNumberFormat="1" applyFont="1" applyBorder="1"/>
    <xf numFmtId="1" fontId="38" fillId="0" borderId="699" xfId="0" applyNumberFormat="1" applyFont="1" applyBorder="1"/>
    <xf numFmtId="0" fontId="43" fillId="0" borderId="750" xfId="0" applyFont="1" applyBorder="1" applyAlignment="1">
      <alignment wrapText="1"/>
    </xf>
    <xf numFmtId="0" fontId="6" fillId="0" borderId="751" xfId="0" applyFont="1" applyBorder="1" applyAlignment="1">
      <alignment horizontal="center" vertical="center"/>
    </xf>
    <xf numFmtId="0" fontId="6" fillId="0" borderId="813" xfId="0" applyFont="1" applyBorder="1" applyAlignment="1">
      <alignment horizontal="center" vertical="center"/>
    </xf>
    <xf numFmtId="0" fontId="6" fillId="0" borderId="778" xfId="0" applyFont="1" applyBorder="1" applyAlignment="1">
      <alignment horizontal="center" vertical="center"/>
    </xf>
    <xf numFmtId="1" fontId="38" fillId="0" borderId="700" xfId="0" applyNumberFormat="1" applyFont="1" applyBorder="1"/>
    <xf numFmtId="1" fontId="6" fillId="5" borderId="598" xfId="0" applyNumberFormat="1" applyFont="1" applyFill="1" applyBorder="1" applyProtection="1">
      <protection locked="0"/>
    </xf>
    <xf numFmtId="0" fontId="38" fillId="0" borderId="814" xfId="0" applyFont="1" applyBorder="1" applyAlignment="1">
      <alignment horizontal="center" vertical="center" wrapText="1"/>
    </xf>
    <xf numFmtId="0" fontId="43" fillId="0" borderId="814" xfId="0" applyFont="1" applyBorder="1" applyAlignment="1">
      <alignment horizontal="center" vertical="center" wrapText="1"/>
    </xf>
    <xf numFmtId="0" fontId="6" fillId="0" borderId="805" xfId="0" applyFont="1" applyBorder="1" applyAlignment="1">
      <alignment horizontal="center" vertical="center"/>
    </xf>
    <xf numFmtId="0" fontId="6" fillId="0" borderId="807" xfId="0" applyFont="1" applyBorder="1" applyAlignment="1">
      <alignment horizontal="center" vertical="center"/>
    </xf>
    <xf numFmtId="0" fontId="38" fillId="29" borderId="861" xfId="0" applyFont="1" applyFill="1" applyBorder="1" applyAlignment="1">
      <alignment horizontal="center"/>
    </xf>
    <xf numFmtId="0" fontId="6" fillId="29" borderId="891" xfId="0" applyFont="1" applyFill="1" applyBorder="1" applyAlignment="1">
      <alignment horizontal="center" vertical="center"/>
    </xf>
    <xf numFmtId="0" fontId="6" fillId="29" borderId="871" xfId="0" applyFont="1" applyFill="1" applyBorder="1" applyAlignment="1">
      <alignment horizontal="center" vertical="center"/>
    </xf>
    <xf numFmtId="0" fontId="6" fillId="29" borderId="891" xfId="0" applyFont="1" applyFill="1" applyBorder="1" applyAlignment="1">
      <alignment horizontal="center" vertical="center" wrapText="1"/>
    </xf>
    <xf numFmtId="1" fontId="6" fillId="14" borderId="634" xfId="0" applyNumberFormat="1" applyFont="1" applyFill="1" applyBorder="1"/>
    <xf numFmtId="1" fontId="6" fillId="14" borderId="711" xfId="0" applyNumberFormat="1" applyFont="1" applyFill="1" applyBorder="1"/>
    <xf numFmtId="1" fontId="6" fillId="14" borderId="721" xfId="0" applyNumberFormat="1" applyFont="1" applyFill="1" applyBorder="1"/>
    <xf numFmtId="0" fontId="13" fillId="0" borderId="961" xfId="0" applyFont="1" applyBorder="1" applyAlignment="1">
      <alignment wrapText="1"/>
    </xf>
    <xf numFmtId="0" fontId="38" fillId="29" borderId="814" xfId="0" applyFont="1" applyFill="1" applyBorder="1" applyAlignment="1">
      <alignment horizontal="center"/>
    </xf>
    <xf numFmtId="0" fontId="6" fillId="29" borderId="805" xfId="0" applyFont="1" applyFill="1" applyBorder="1" applyAlignment="1">
      <alignment horizontal="center" vertical="center"/>
    </xf>
    <xf numFmtId="0" fontId="6" fillId="29" borderId="807" xfId="0" applyFont="1" applyFill="1" applyBorder="1" applyAlignment="1">
      <alignment horizontal="center" vertical="center"/>
    </xf>
    <xf numFmtId="0" fontId="6" fillId="29" borderId="805" xfId="0" applyFont="1" applyFill="1" applyBorder="1" applyAlignment="1">
      <alignment horizontal="center" vertical="center" wrapText="1"/>
    </xf>
    <xf numFmtId="0" fontId="6" fillId="29" borderId="750" xfId="0" applyFont="1" applyFill="1" applyBorder="1" applyAlignment="1">
      <alignment horizontal="center" vertical="center" wrapText="1"/>
    </xf>
    <xf numFmtId="1" fontId="6" fillId="14" borderId="435" xfId="0" applyNumberFormat="1" applyFont="1" applyFill="1" applyBorder="1"/>
    <xf numFmtId="1" fontId="6" fillId="14" borderId="701" xfId="0" applyNumberFormat="1" applyFont="1" applyFill="1" applyBorder="1"/>
    <xf numFmtId="0" fontId="4" fillId="0" borderId="0" xfId="0" applyFont="1" applyAlignment="1">
      <alignment wrapText="1"/>
    </xf>
    <xf numFmtId="1" fontId="38" fillId="30" borderId="0" xfId="0" applyNumberFormat="1" applyFont="1" applyFill="1" applyAlignment="1">
      <alignment wrapText="1"/>
    </xf>
    <xf numFmtId="0" fontId="38" fillId="30" borderId="0" xfId="0" applyFont="1" applyFill="1"/>
    <xf numFmtId="1" fontId="6" fillId="0" borderId="0" xfId="28" applyNumberFormat="1" applyFont="1" applyAlignment="1">
      <alignment horizontal="right"/>
    </xf>
    <xf numFmtId="1" fontId="6" fillId="0" borderId="0" xfId="28" applyNumberFormat="1" applyFont="1" applyProtection="1">
      <protection locked="0"/>
    </xf>
    <xf numFmtId="1" fontId="6" fillId="0" borderId="912" xfId="0" applyNumberFormat="1" applyFont="1" applyBorder="1" applyAlignment="1">
      <alignment horizontal="center" vertical="center" wrapText="1"/>
    </xf>
    <xf numFmtId="0" fontId="6" fillId="0" borderId="938" xfId="0" applyFont="1" applyBorder="1" applyAlignment="1">
      <alignment vertical="center" wrapText="1"/>
    </xf>
    <xf numFmtId="0" fontId="6" fillId="0" borderId="976" xfId="0" applyFont="1" applyBorder="1" applyAlignment="1">
      <alignment vertical="center" wrapText="1"/>
    </xf>
    <xf numFmtId="1" fontId="6" fillId="0" borderId="976" xfId="0" applyNumberFormat="1" applyFont="1" applyBorder="1" applyAlignment="1">
      <alignment horizontal="right" vertical="center"/>
    </xf>
    <xf numFmtId="0" fontId="6" fillId="0" borderId="896" xfId="0" applyFont="1" applyBorder="1" applyAlignment="1">
      <alignment vertical="center" wrapText="1"/>
    </xf>
    <xf numFmtId="1" fontId="6" fillId="0" borderId="896" xfId="0" applyNumberFormat="1" applyFont="1" applyBorder="1" applyAlignment="1">
      <alignment horizontal="right" vertical="center"/>
    </xf>
    <xf numFmtId="1" fontId="6" fillId="3" borderId="912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/>
    <xf numFmtId="1" fontId="6" fillId="0" borderId="682" xfId="0" applyNumberFormat="1" applyFont="1" applyBorder="1"/>
    <xf numFmtId="1" fontId="6" fillId="0" borderId="677" xfId="0" applyNumberFormat="1" applyFont="1" applyBorder="1"/>
    <xf numFmtId="1" fontId="6" fillId="0" borderId="651" xfId="0" applyNumberFormat="1" applyFont="1" applyBorder="1"/>
    <xf numFmtId="1" fontId="6" fillId="0" borderId="752" xfId="0" applyNumberFormat="1" applyFont="1" applyBorder="1" applyAlignment="1">
      <alignment vertical="center"/>
    </xf>
    <xf numFmtId="1" fontId="6" fillId="0" borderId="700" xfId="0" applyNumberFormat="1" applyFont="1" applyBorder="1" applyAlignment="1">
      <alignment horizontal="left" vertical="center"/>
    </xf>
    <xf numFmtId="0" fontId="43" fillId="12" borderId="946" xfId="29" applyFont="1" applyFill="1" applyBorder="1"/>
    <xf numFmtId="1" fontId="6" fillId="0" borderId="896" xfId="0" applyNumberFormat="1" applyFont="1" applyBorder="1" applyAlignment="1">
      <alignment vertical="center" wrapText="1"/>
    </xf>
    <xf numFmtId="0" fontId="13" fillId="0" borderId="741" xfId="0" applyFont="1" applyBorder="1" applyAlignment="1">
      <alignment wrapText="1"/>
    </xf>
    <xf numFmtId="0" fontId="6" fillId="0" borderId="985" xfId="0" applyFont="1" applyBorder="1" applyAlignment="1">
      <alignment wrapText="1"/>
    </xf>
    <xf numFmtId="1" fontId="6" fillId="0" borderId="982" xfId="0" applyNumberFormat="1" applyFont="1" applyBorder="1"/>
    <xf numFmtId="1" fontId="6" fillId="0" borderId="983" xfId="0" applyNumberFormat="1" applyFont="1" applyBorder="1"/>
    <xf numFmtId="1" fontId="6" fillId="0" borderId="995" xfId="0" applyNumberFormat="1" applyFont="1" applyBorder="1"/>
    <xf numFmtId="1" fontId="6" fillId="0" borderId="980" xfId="0" applyNumberFormat="1" applyFont="1" applyBorder="1"/>
    <xf numFmtId="1" fontId="6" fillId="0" borderId="995" xfId="0" applyNumberFormat="1" applyFont="1" applyBorder="1" applyAlignment="1">
      <alignment wrapText="1"/>
    </xf>
    <xf numFmtId="1" fontId="6" fillId="0" borderId="960" xfId="0" applyNumberFormat="1" applyFont="1" applyBorder="1"/>
    <xf numFmtId="1" fontId="6" fillId="0" borderId="991" xfId="0" applyNumberFormat="1" applyFont="1" applyBorder="1"/>
    <xf numFmtId="1" fontId="6" fillId="0" borderId="960" xfId="4" applyNumberFormat="1" applyFont="1" applyBorder="1" applyAlignment="1">
      <alignment horizontal="center" vertical="center" wrapText="1"/>
    </xf>
    <xf numFmtId="1" fontId="6" fillId="5" borderId="982" xfId="1" applyNumberFormat="1" applyFont="1" applyFill="1" applyBorder="1" applyProtection="1">
      <protection locked="0"/>
    </xf>
    <xf numFmtId="1" fontId="6" fillId="5" borderId="630" xfId="1" applyNumberFormat="1" applyFont="1" applyFill="1" applyBorder="1" applyProtection="1">
      <protection locked="0"/>
    </xf>
    <xf numFmtId="1" fontId="6" fillId="0" borderId="961" xfId="4" applyNumberFormat="1" applyFont="1" applyBorder="1" applyAlignment="1">
      <alignment horizontal="center" vertical="center" wrapText="1"/>
    </xf>
    <xf numFmtId="1" fontId="6" fillId="5" borderId="1004" xfId="1" applyNumberFormat="1" applyFont="1" applyFill="1" applyBorder="1" applyProtection="1">
      <protection locked="0"/>
    </xf>
    <xf numFmtId="1" fontId="6" fillId="0" borderId="961" xfId="1" applyNumberFormat="1" applyFont="1" applyBorder="1" applyAlignment="1">
      <alignment horizontal="right"/>
    </xf>
    <xf numFmtId="1" fontId="6" fillId="29" borderId="805" xfId="0" applyNumberFormat="1" applyFont="1" applyFill="1" applyBorder="1"/>
    <xf numFmtId="1" fontId="6" fillId="29" borderId="813" xfId="0" applyNumberFormat="1" applyFont="1" applyFill="1" applyBorder="1"/>
    <xf numFmtId="1" fontId="6" fillId="29" borderId="807" xfId="0" applyNumberFormat="1" applyFont="1" applyFill="1" applyBorder="1"/>
    <xf numFmtId="1" fontId="6" fillId="29" borderId="806" xfId="0" applyNumberFormat="1" applyFont="1" applyFill="1" applyBorder="1"/>
    <xf numFmtId="1" fontId="6" fillId="29" borderId="817" xfId="0" applyNumberFormat="1" applyFont="1" applyFill="1" applyBorder="1"/>
    <xf numFmtId="1" fontId="6" fillId="29" borderId="750" xfId="0" applyNumberFormat="1" applyFont="1" applyFill="1" applyBorder="1"/>
    <xf numFmtId="1" fontId="6" fillId="29" borderId="814" xfId="0" applyNumberFormat="1" applyFont="1" applyFill="1" applyBorder="1"/>
    <xf numFmtId="1" fontId="6" fillId="12" borderId="773" xfId="0" applyNumberFormat="1" applyFont="1" applyFill="1" applyBorder="1"/>
    <xf numFmtId="1" fontId="6" fillId="12" borderId="767" xfId="0" applyNumberFormat="1" applyFont="1" applyFill="1" applyBorder="1"/>
    <xf numFmtId="1" fontId="6" fillId="12" borderId="739" xfId="0" applyNumberFormat="1" applyFont="1" applyFill="1" applyBorder="1"/>
    <xf numFmtId="1" fontId="6" fillId="12" borderId="724" xfId="0" applyNumberFormat="1" applyFont="1" applyFill="1" applyBorder="1"/>
    <xf numFmtId="1" fontId="6" fillId="12" borderId="715" xfId="0" applyNumberFormat="1" applyFont="1" applyFill="1" applyBorder="1"/>
    <xf numFmtId="1" fontId="6" fillId="12" borderId="733" xfId="0" applyNumberFormat="1" applyFont="1" applyFill="1" applyBorder="1"/>
    <xf numFmtId="1" fontId="6" fillId="12" borderId="771" xfId="0" applyNumberFormat="1" applyFont="1" applyFill="1" applyBorder="1"/>
    <xf numFmtId="1" fontId="6" fillId="12" borderId="383" xfId="0" applyNumberFormat="1" applyFont="1" applyFill="1" applyBorder="1"/>
    <xf numFmtId="1" fontId="6" fillId="12" borderId="521" xfId="0" applyNumberFormat="1" applyFont="1" applyFill="1" applyBorder="1"/>
    <xf numFmtId="1" fontId="6" fillId="12" borderId="774" xfId="0" applyNumberFormat="1" applyFont="1" applyFill="1" applyBorder="1"/>
    <xf numFmtId="1" fontId="6" fillId="12" borderId="768" xfId="0" applyNumberFormat="1" applyFont="1" applyFill="1" applyBorder="1"/>
    <xf numFmtId="1" fontId="6" fillId="12" borderId="761" xfId="0" applyNumberFormat="1" applyFont="1" applyFill="1" applyBorder="1"/>
    <xf numFmtId="1" fontId="6" fillId="12" borderId="599" xfId="0" applyNumberFormat="1" applyFont="1" applyFill="1" applyBorder="1"/>
    <xf numFmtId="1" fontId="9" fillId="14" borderId="1007" xfId="0" applyNumberFormat="1" applyFont="1" applyFill="1" applyBorder="1"/>
    <xf numFmtId="0" fontId="50" fillId="0" borderId="0" xfId="0" applyFont="1"/>
    <xf numFmtId="1" fontId="52" fillId="3" borderId="0" xfId="0" applyNumberFormat="1" applyFont="1" applyFill="1"/>
    <xf numFmtId="1" fontId="51" fillId="3" borderId="0" xfId="0" applyNumberFormat="1" applyFont="1" applyFill="1"/>
    <xf numFmtId="1" fontId="6" fillId="5" borderId="1023" xfId="0" applyNumberFormat="1" applyFont="1" applyFill="1" applyBorder="1" applyProtection="1">
      <protection locked="0"/>
    </xf>
    <xf numFmtId="1" fontId="6" fillId="5" borderId="1022" xfId="0" applyNumberFormat="1" applyFont="1" applyFill="1" applyBorder="1" applyProtection="1">
      <protection locked="0"/>
    </xf>
    <xf numFmtId="1" fontId="33" fillId="3" borderId="0" xfId="0" applyNumberFormat="1" applyFont="1" applyFill="1"/>
    <xf numFmtId="1" fontId="33" fillId="0" borderId="0" xfId="0" applyNumberFormat="1" applyFont="1"/>
    <xf numFmtId="1" fontId="49" fillId="3" borderId="0" xfId="0" applyNumberFormat="1" applyFont="1" applyFill="1"/>
    <xf numFmtId="1" fontId="6" fillId="5" borderId="999" xfId="0" applyNumberFormat="1" applyFont="1" applyFill="1" applyBorder="1" applyProtection="1">
      <protection locked="0"/>
    </xf>
    <xf numFmtId="1" fontId="6" fillId="5" borderId="1008" xfId="0" applyNumberFormat="1" applyFont="1" applyFill="1" applyBorder="1" applyProtection="1">
      <protection locked="0"/>
    </xf>
    <xf numFmtId="1" fontId="6" fillId="5" borderId="1019" xfId="0" applyNumberFormat="1" applyFont="1" applyFill="1" applyBorder="1" applyProtection="1">
      <protection locked="0"/>
    </xf>
    <xf numFmtId="1" fontId="6" fillId="5" borderId="1013" xfId="0" applyNumberFormat="1" applyFont="1" applyFill="1" applyBorder="1" applyProtection="1">
      <protection locked="0"/>
    </xf>
    <xf numFmtId="1" fontId="6" fillId="5" borderId="1018" xfId="0" applyNumberFormat="1" applyFont="1" applyFill="1" applyBorder="1" applyProtection="1">
      <protection locked="0"/>
    </xf>
    <xf numFmtId="1" fontId="6" fillId="0" borderId="1008" xfId="0" applyNumberFormat="1" applyFont="1" applyBorder="1" applyAlignment="1">
      <alignment horizontal="left" vertical="center" wrapText="1"/>
    </xf>
    <xf numFmtId="1" fontId="6" fillId="0" borderId="1012" xfId="0" applyNumberFormat="1" applyFont="1" applyBorder="1"/>
    <xf numFmtId="1" fontId="6" fillId="0" borderId="1018" xfId="0" applyNumberFormat="1" applyFont="1" applyBorder="1"/>
    <xf numFmtId="1" fontId="6" fillId="0" borderId="1020" xfId="0" applyNumberFormat="1" applyFont="1" applyBorder="1"/>
    <xf numFmtId="1" fontId="6" fillId="0" borderId="1016" xfId="0" applyNumberFormat="1" applyFont="1" applyBorder="1"/>
    <xf numFmtId="1" fontId="6" fillId="4" borderId="1018" xfId="0" applyNumberFormat="1" applyFont="1" applyFill="1" applyBorder="1"/>
    <xf numFmtId="1" fontId="6" fillId="4" borderId="1019" xfId="0" applyNumberFormat="1" applyFont="1" applyFill="1" applyBorder="1"/>
    <xf numFmtId="1" fontId="6" fillId="12" borderId="1018" xfId="0" applyNumberFormat="1" applyFont="1" applyFill="1" applyBorder="1"/>
    <xf numFmtId="1" fontId="6" fillId="12" borderId="1019" xfId="0" applyNumberFormat="1" applyFont="1" applyFill="1" applyBorder="1"/>
    <xf numFmtId="1" fontId="6" fillId="4" borderId="1012" xfId="0" applyNumberFormat="1" applyFont="1" applyFill="1" applyBorder="1"/>
    <xf numFmtId="1" fontId="6" fillId="4" borderId="1031" xfId="0" applyNumberFormat="1" applyFont="1" applyFill="1" applyBorder="1"/>
    <xf numFmtId="1" fontId="6" fillId="4" borderId="1126" xfId="0" applyNumberFormat="1" applyFont="1" applyFill="1" applyBorder="1"/>
    <xf numFmtId="1" fontId="6" fillId="5" borderId="1060" xfId="0" applyNumberFormat="1" applyFont="1" applyFill="1" applyBorder="1" applyProtection="1">
      <protection locked="0"/>
    </xf>
    <xf numFmtId="1" fontId="6" fillId="0" borderId="1054" xfId="0" applyNumberFormat="1" applyFont="1" applyBorder="1" applyAlignment="1">
      <alignment horizontal="center" vertical="center"/>
    </xf>
    <xf numFmtId="1" fontId="6" fillId="5" borderId="1136" xfId="0" applyNumberFormat="1" applyFont="1" applyFill="1" applyBorder="1" applyProtection="1">
      <protection locked="0"/>
    </xf>
    <xf numFmtId="1" fontId="6" fillId="4" borderId="985" xfId="0" applyNumberFormat="1" applyFont="1" applyFill="1" applyBorder="1"/>
    <xf numFmtId="1" fontId="6" fillId="5" borderId="1035" xfId="0" applyNumberFormat="1" applyFont="1" applyFill="1" applyBorder="1" applyProtection="1">
      <protection locked="0"/>
    </xf>
    <xf numFmtId="1" fontId="6" fillId="4" borderId="1044" xfId="0" applyNumberFormat="1" applyFont="1" applyFill="1" applyBorder="1"/>
    <xf numFmtId="1" fontId="6" fillId="5" borderId="1045" xfId="0" applyNumberFormat="1" applyFont="1" applyFill="1" applyBorder="1" applyProtection="1">
      <protection locked="0"/>
    </xf>
    <xf numFmtId="1" fontId="6" fillId="4" borderId="1045" xfId="0" applyNumberFormat="1" applyFont="1" applyFill="1" applyBorder="1"/>
    <xf numFmtId="1" fontId="6" fillId="4" borderId="1048" xfId="0" applyNumberFormat="1" applyFont="1" applyFill="1" applyBorder="1"/>
    <xf numFmtId="1" fontId="6" fillId="5" borderId="1049" xfId="0" applyNumberFormat="1" applyFont="1" applyFill="1" applyBorder="1" applyProtection="1">
      <protection locked="0"/>
    </xf>
    <xf numFmtId="1" fontId="6" fillId="5" borderId="1050" xfId="0" applyNumberFormat="1" applyFont="1" applyFill="1" applyBorder="1" applyProtection="1">
      <protection locked="0"/>
    </xf>
    <xf numFmtId="1" fontId="6" fillId="4" borderId="1049" xfId="0" applyNumberFormat="1" applyFont="1" applyFill="1" applyBorder="1"/>
    <xf numFmtId="1" fontId="6" fillId="5" borderId="1056" xfId="0" applyNumberFormat="1" applyFont="1" applyFill="1" applyBorder="1" applyProtection="1">
      <protection locked="0"/>
    </xf>
    <xf numFmtId="1" fontId="6" fillId="5" borderId="1058" xfId="0" applyNumberFormat="1" applyFont="1" applyFill="1" applyBorder="1" applyProtection="1">
      <protection locked="0"/>
    </xf>
    <xf numFmtId="1" fontId="6" fillId="0" borderId="1057" xfId="0" applyNumberFormat="1" applyFont="1" applyBorder="1" applyAlignment="1">
      <alignment horizontal="center" vertical="center"/>
    </xf>
    <xf numFmtId="1" fontId="6" fillId="4" borderId="1056" xfId="0" applyNumberFormat="1" applyFont="1" applyFill="1" applyBorder="1"/>
    <xf numFmtId="1" fontId="6" fillId="5" borderId="1047" xfId="0" applyNumberFormat="1" applyFont="1" applyFill="1" applyBorder="1" applyProtection="1">
      <protection locked="0"/>
    </xf>
    <xf numFmtId="1" fontId="6" fillId="4" borderId="1051" xfId="0" applyNumberFormat="1" applyFont="1" applyFill="1" applyBorder="1"/>
    <xf numFmtId="1" fontId="6" fillId="4" borderId="1058" xfId="0" applyNumberFormat="1" applyFont="1" applyFill="1" applyBorder="1"/>
    <xf numFmtId="1" fontId="6" fillId="4" borderId="1134" xfId="0" applyNumberFormat="1" applyFont="1" applyFill="1" applyBorder="1"/>
    <xf numFmtId="1" fontId="6" fillId="4" borderId="1131" xfId="0" applyNumberFormat="1" applyFont="1" applyFill="1" applyBorder="1"/>
    <xf numFmtId="1" fontId="6" fillId="5" borderId="1134" xfId="0" applyNumberFormat="1" applyFont="1" applyFill="1" applyBorder="1" applyProtection="1">
      <protection locked="0"/>
    </xf>
    <xf numFmtId="1" fontId="6" fillId="4" borderId="1135" xfId="0" applyNumberFormat="1" applyFont="1" applyFill="1" applyBorder="1"/>
    <xf numFmtId="1" fontId="6" fillId="4" borderId="1127" xfId="0" applyNumberFormat="1" applyFont="1" applyFill="1" applyBorder="1"/>
    <xf numFmtId="1" fontId="6" fillId="4" borderId="1130" xfId="0" applyNumberFormat="1" applyFont="1" applyFill="1" applyBorder="1"/>
    <xf numFmtId="1" fontId="6" fillId="4" borderId="1137" xfId="0" applyNumberFormat="1" applyFont="1" applyFill="1" applyBorder="1"/>
    <xf numFmtId="1" fontId="6" fillId="5" borderId="1135" xfId="0" applyNumberFormat="1" applyFont="1" applyFill="1" applyBorder="1" applyProtection="1">
      <protection locked="0"/>
    </xf>
    <xf numFmtId="1" fontId="6" fillId="4" borderId="1129" xfId="0" applyNumberFormat="1" applyFont="1" applyFill="1" applyBorder="1"/>
    <xf numFmtId="1" fontId="6" fillId="4" borderId="1132" xfId="0" applyNumberFormat="1" applyFont="1" applyFill="1" applyBorder="1"/>
    <xf numFmtId="1" fontId="6" fillId="5" borderId="1078" xfId="0" applyNumberFormat="1" applyFont="1" applyFill="1" applyBorder="1" applyProtection="1">
      <protection locked="0"/>
    </xf>
    <xf numFmtId="1" fontId="6" fillId="5" borderId="1074" xfId="0" applyNumberFormat="1" applyFont="1" applyFill="1" applyBorder="1" applyProtection="1">
      <protection locked="0"/>
    </xf>
    <xf numFmtId="1" fontId="6" fillId="5" borderId="1079" xfId="0" applyNumberFormat="1" applyFont="1" applyFill="1" applyBorder="1" applyProtection="1">
      <protection locked="0"/>
    </xf>
    <xf numFmtId="1" fontId="6" fillId="5" borderId="1038" xfId="0" applyNumberFormat="1" applyFont="1" applyFill="1" applyBorder="1" applyProtection="1">
      <protection locked="0"/>
    </xf>
    <xf numFmtId="1" fontId="6" fillId="5" borderId="1058" xfId="0" applyNumberFormat="1" applyFont="1" applyFill="1" applyBorder="1" applyAlignment="1" applyProtection="1">
      <alignment horizontal="right"/>
      <protection locked="0"/>
    </xf>
    <xf numFmtId="1" fontId="6" fillId="5" borderId="1081" xfId="0" applyNumberFormat="1" applyFont="1" applyFill="1" applyBorder="1" applyProtection="1">
      <protection locked="0"/>
    </xf>
    <xf numFmtId="1" fontId="6" fillId="5" borderId="1042" xfId="0" applyNumberFormat="1" applyFont="1" applyFill="1" applyBorder="1" applyProtection="1">
      <protection locked="0"/>
    </xf>
    <xf numFmtId="1" fontId="6" fillId="15" borderId="71" xfId="0" applyNumberFormat="1" applyFont="1" applyFill="1" applyBorder="1" applyProtection="1">
      <protection locked="0"/>
    </xf>
    <xf numFmtId="1" fontId="6" fillId="15" borderId="266" xfId="0" applyNumberFormat="1" applyFont="1" applyFill="1" applyBorder="1" applyProtection="1">
      <protection locked="0"/>
    </xf>
    <xf numFmtId="1" fontId="6" fillId="0" borderId="1009" xfId="0" applyNumberFormat="1" applyFont="1" applyBorder="1" applyAlignment="1">
      <alignment horizontal="center" vertical="center"/>
    </xf>
    <xf numFmtId="1" fontId="6" fillId="5" borderId="1085" xfId="0" applyNumberFormat="1" applyFont="1" applyFill="1" applyBorder="1" applyProtection="1">
      <protection locked="0"/>
    </xf>
    <xf numFmtId="1" fontId="6" fillId="5" borderId="1090" xfId="0" applyNumberFormat="1" applyFont="1" applyFill="1" applyBorder="1" applyProtection="1">
      <protection locked="0"/>
    </xf>
    <xf numFmtId="1" fontId="6" fillId="5" borderId="1088" xfId="0" applyNumberFormat="1" applyFont="1" applyFill="1" applyBorder="1" applyProtection="1">
      <protection locked="0"/>
    </xf>
    <xf numFmtId="1" fontId="6" fillId="5" borderId="1089" xfId="0" applyNumberFormat="1" applyFont="1" applyFill="1" applyBorder="1" applyProtection="1">
      <protection locked="0"/>
    </xf>
    <xf numFmtId="1" fontId="6" fillId="5" borderId="1087" xfId="0" applyNumberFormat="1" applyFont="1" applyFill="1" applyBorder="1" applyProtection="1">
      <protection locked="0"/>
    </xf>
    <xf numFmtId="1" fontId="6" fillId="4" borderId="1088" xfId="0" applyNumberFormat="1" applyFont="1" applyFill="1" applyBorder="1"/>
    <xf numFmtId="1" fontId="6" fillId="5" borderId="1086" xfId="0" applyNumberFormat="1" applyFont="1" applyFill="1" applyBorder="1" applyProtection="1">
      <protection locked="0"/>
    </xf>
    <xf numFmtId="1" fontId="6" fillId="4" borderId="1085" xfId="0" applyNumberFormat="1" applyFont="1" applyFill="1" applyBorder="1"/>
    <xf numFmtId="1" fontId="6" fillId="5" borderId="1093" xfId="0" applyNumberFormat="1" applyFont="1" applyFill="1" applyBorder="1" applyProtection="1">
      <protection locked="0"/>
    </xf>
    <xf numFmtId="1" fontId="6" fillId="4" borderId="1087" xfId="0" applyNumberFormat="1" applyFont="1" applyFill="1" applyBorder="1"/>
    <xf numFmtId="1" fontId="6" fillId="5" borderId="1094" xfId="0" applyNumberFormat="1" applyFont="1" applyFill="1" applyBorder="1" applyProtection="1">
      <protection locked="0"/>
    </xf>
    <xf numFmtId="1" fontId="6" fillId="5" borderId="1091" xfId="0" applyNumberFormat="1" applyFont="1" applyFill="1" applyBorder="1" applyProtection="1">
      <protection locked="0"/>
    </xf>
    <xf numFmtId="1" fontId="6" fillId="5" borderId="1092" xfId="0" applyNumberFormat="1" applyFont="1" applyFill="1" applyBorder="1" applyProtection="1">
      <protection locked="0"/>
    </xf>
    <xf numFmtId="1" fontId="6" fillId="5" borderId="1096" xfId="0" applyNumberFormat="1" applyFont="1" applyFill="1" applyBorder="1" applyProtection="1">
      <protection locked="0"/>
    </xf>
    <xf numFmtId="1" fontId="6" fillId="5" borderId="1097" xfId="0" applyNumberFormat="1" applyFont="1" applyFill="1" applyBorder="1" applyProtection="1">
      <protection locked="0"/>
    </xf>
    <xf numFmtId="1" fontId="6" fillId="5" borderId="1098" xfId="0" applyNumberFormat="1" applyFont="1" applyFill="1" applyBorder="1" applyProtection="1">
      <protection locked="0"/>
    </xf>
    <xf numFmtId="1" fontId="6" fillId="5" borderId="1100" xfId="0" applyNumberFormat="1" applyFont="1" applyFill="1" applyBorder="1" applyProtection="1">
      <protection locked="0"/>
    </xf>
    <xf numFmtId="1" fontId="6" fillId="5" borderId="1103" xfId="0" applyNumberFormat="1" applyFont="1" applyFill="1" applyBorder="1" applyProtection="1">
      <protection locked="0"/>
    </xf>
    <xf numFmtId="1" fontId="6" fillId="0" borderId="1104" xfId="0" applyNumberFormat="1" applyFont="1" applyBorder="1"/>
    <xf numFmtId="1" fontId="6" fillId="4" borderId="1103" xfId="0" applyNumberFormat="1" applyFont="1" applyFill="1" applyBorder="1"/>
    <xf numFmtId="1" fontId="6" fillId="5" borderId="1102" xfId="0" applyNumberFormat="1" applyFont="1" applyFill="1" applyBorder="1" applyProtection="1">
      <protection locked="0"/>
    </xf>
    <xf numFmtId="1" fontId="6" fillId="0" borderId="1100" xfId="0" applyNumberFormat="1" applyFont="1" applyBorder="1"/>
    <xf numFmtId="1" fontId="6" fillId="15" borderId="1096" xfId="0" applyNumberFormat="1" applyFont="1" applyFill="1" applyBorder="1" applyProtection="1">
      <protection locked="0"/>
    </xf>
    <xf numFmtId="1" fontId="6" fillId="15" borderId="1103" xfId="0" applyNumberFormat="1" applyFont="1" applyFill="1" applyBorder="1" applyProtection="1">
      <protection locked="0"/>
    </xf>
    <xf numFmtId="1" fontId="6" fillId="15" borderId="1092" xfId="0" applyNumberFormat="1" applyFont="1" applyFill="1" applyBorder="1" applyProtection="1">
      <protection locked="0"/>
    </xf>
    <xf numFmtId="1" fontId="6" fillId="0" borderId="1106" xfId="0" applyNumberFormat="1" applyFont="1" applyBorder="1" applyAlignment="1">
      <alignment horizontal="center" vertical="center" wrapText="1"/>
    </xf>
    <xf numFmtId="1" fontId="6" fillId="5" borderId="1109" xfId="0" applyNumberFormat="1" applyFont="1" applyFill="1" applyBorder="1" applyProtection="1">
      <protection locked="0"/>
    </xf>
    <xf numFmtId="1" fontId="6" fillId="0" borderId="1113" xfId="0" applyNumberFormat="1" applyFont="1" applyBorder="1" applyAlignment="1">
      <alignment horizontal="center" vertical="center" wrapText="1"/>
    </xf>
    <xf numFmtId="1" fontId="6" fillId="0" borderId="1113" xfId="0" applyNumberFormat="1" applyFont="1" applyBorder="1"/>
    <xf numFmtId="1" fontId="6" fillId="5" borderId="1116" xfId="0" applyNumberFormat="1" applyFont="1" applyFill="1" applyBorder="1" applyProtection="1">
      <protection locked="0"/>
    </xf>
    <xf numFmtId="1" fontId="6" fillId="5" borderId="1110" xfId="0" applyNumberFormat="1" applyFont="1" applyFill="1" applyBorder="1" applyProtection="1">
      <protection locked="0"/>
    </xf>
    <xf numFmtId="1" fontId="6" fillId="5" borderId="1117" xfId="0" applyNumberFormat="1" applyFont="1" applyFill="1" applyBorder="1" applyProtection="1">
      <protection locked="0"/>
    </xf>
    <xf numFmtId="1" fontId="6" fillId="5" borderId="1118" xfId="0" applyNumberFormat="1" applyFont="1" applyFill="1" applyBorder="1" applyProtection="1">
      <protection locked="0"/>
    </xf>
    <xf numFmtId="1" fontId="6" fillId="4" borderId="1117" xfId="0" applyNumberFormat="1" applyFont="1" applyFill="1" applyBorder="1"/>
    <xf numFmtId="1" fontId="6" fillId="5" borderId="1117" xfId="0" applyNumberFormat="1" applyFont="1" applyFill="1" applyBorder="1" applyAlignment="1" applyProtection="1">
      <alignment wrapText="1"/>
      <protection locked="0"/>
    </xf>
    <xf numFmtId="1" fontId="6" fillId="0" borderId="1119" xfId="0" applyNumberFormat="1" applyFont="1" applyBorder="1" applyAlignment="1">
      <alignment horizontal="center" vertical="center"/>
    </xf>
    <xf numFmtId="1" fontId="6" fillId="5" borderId="1120" xfId="0" applyNumberFormat="1" applyFont="1" applyFill="1" applyBorder="1" applyProtection="1">
      <protection locked="0"/>
    </xf>
    <xf numFmtId="1" fontId="6" fillId="0" borderId="1109" xfId="0" applyNumberFormat="1" applyFont="1" applyBorder="1" applyAlignment="1">
      <alignment horizontal="center" vertical="center" wrapText="1"/>
    </xf>
    <xf numFmtId="1" fontId="6" fillId="0" borderId="1112" xfId="0" applyNumberFormat="1" applyFont="1" applyBorder="1" applyAlignment="1">
      <alignment horizontal="center" vertical="center" wrapText="1"/>
    </xf>
    <xf numFmtId="1" fontId="6" fillId="5" borderId="1117" xfId="0" applyNumberFormat="1" applyFont="1" applyFill="1" applyBorder="1" applyAlignment="1" applyProtection="1">
      <alignment horizontal="right"/>
      <protection locked="0"/>
    </xf>
    <xf numFmtId="1" fontId="6" fillId="0" borderId="1119" xfId="0" applyNumberFormat="1" applyFont="1" applyBorder="1" applyAlignment="1">
      <alignment horizontal="center" vertical="center" wrapText="1"/>
    </xf>
    <xf numFmtId="1" fontId="6" fillId="4" borderId="1110" xfId="0" applyNumberFormat="1" applyFont="1" applyFill="1" applyBorder="1"/>
    <xf numFmtId="1" fontId="6" fillId="5" borderId="1121" xfId="0" applyNumberFormat="1" applyFont="1" applyFill="1" applyBorder="1" applyProtection="1">
      <protection locked="0"/>
    </xf>
    <xf numFmtId="1" fontId="6" fillId="5" borderId="1125" xfId="0" applyNumberFormat="1" applyFont="1" applyFill="1" applyBorder="1" applyProtection="1">
      <protection locked="0"/>
    </xf>
    <xf numFmtId="1" fontId="6" fillId="5" borderId="1126" xfId="0" applyNumberFormat="1" applyFont="1" applyFill="1" applyBorder="1" applyProtection="1">
      <protection locked="0"/>
    </xf>
    <xf numFmtId="1" fontId="6" fillId="5" borderId="1127" xfId="0" applyNumberFormat="1" applyFont="1" applyFill="1" applyBorder="1" applyProtection="1">
      <protection locked="0"/>
    </xf>
    <xf numFmtId="1" fontId="6" fillId="5" borderId="1128" xfId="0" applyNumberFormat="1" applyFont="1" applyFill="1" applyBorder="1" applyProtection="1">
      <protection locked="0"/>
    </xf>
    <xf numFmtId="1" fontId="6" fillId="5" borderId="1129" xfId="0" applyNumberFormat="1" applyFont="1" applyFill="1" applyBorder="1" applyProtection="1">
      <protection locked="0"/>
    </xf>
    <xf numFmtId="1" fontId="6" fillId="5" borderId="1130" xfId="0" applyNumberFormat="1" applyFont="1" applyFill="1" applyBorder="1" applyProtection="1">
      <protection locked="0"/>
    </xf>
    <xf numFmtId="1" fontId="6" fillId="5" borderId="1124" xfId="0" applyNumberFormat="1" applyFont="1" applyFill="1" applyBorder="1" applyProtection="1">
      <protection locked="0"/>
    </xf>
    <xf numFmtId="1" fontId="6" fillId="0" borderId="1119" xfId="0" applyNumberFormat="1" applyFont="1" applyBorder="1"/>
    <xf numFmtId="1" fontId="6" fillId="5" borderId="1131" xfId="0" applyNumberFormat="1" applyFont="1" applyFill="1" applyBorder="1" applyProtection="1">
      <protection locked="0"/>
    </xf>
    <xf numFmtId="1" fontId="6" fillId="0" borderId="1114" xfId="0" applyNumberFormat="1" applyFont="1" applyBorder="1" applyAlignment="1">
      <alignment horizontal="center" vertical="center" wrapText="1"/>
    </xf>
    <xf numFmtId="1" fontId="6" fillId="5" borderId="1132" xfId="0" applyNumberFormat="1" applyFont="1" applyFill="1" applyBorder="1" applyProtection="1">
      <protection locked="0"/>
    </xf>
    <xf numFmtId="1" fontId="6" fillId="5" borderId="1133" xfId="0" applyNumberFormat="1" applyFont="1" applyFill="1" applyBorder="1" applyProtection="1">
      <protection locked="0"/>
    </xf>
    <xf numFmtId="1" fontId="6" fillId="5" borderId="1138" xfId="0" applyNumberFormat="1" applyFont="1" applyFill="1" applyBorder="1" applyProtection="1">
      <protection locked="0"/>
    </xf>
    <xf numFmtId="1" fontId="6" fillId="0" borderId="1106" xfId="0" applyNumberFormat="1" applyFont="1" applyBorder="1"/>
    <xf numFmtId="1" fontId="6" fillId="0" borderId="1139" xfId="0" applyNumberFormat="1" applyFont="1" applyBorder="1"/>
    <xf numFmtId="1" fontId="6" fillId="0" borderId="1124" xfId="0" applyNumberFormat="1" applyFont="1" applyBorder="1"/>
    <xf numFmtId="1" fontId="6" fillId="0" borderId="1140" xfId="0" applyNumberFormat="1" applyFont="1" applyBorder="1"/>
    <xf numFmtId="1" fontId="6" fillId="0" borderId="1115" xfId="0" applyNumberFormat="1" applyFont="1" applyBorder="1"/>
    <xf numFmtId="1" fontId="6" fillId="5" borderId="1141" xfId="0" applyNumberFormat="1" applyFont="1" applyFill="1" applyBorder="1" applyProtection="1">
      <protection locked="0"/>
    </xf>
    <xf numFmtId="1" fontId="6" fillId="0" borderId="1112" xfId="0" applyNumberFormat="1" applyFont="1" applyBorder="1"/>
    <xf numFmtId="1" fontId="6" fillId="0" borderId="1114" xfId="0" applyNumberFormat="1" applyFont="1" applyBorder="1"/>
    <xf numFmtId="1" fontId="6" fillId="5" borderId="1142" xfId="0" applyNumberFormat="1" applyFont="1" applyFill="1" applyBorder="1" applyProtection="1">
      <protection locked="0"/>
    </xf>
    <xf numFmtId="1" fontId="6" fillId="0" borderId="1114" xfId="0" applyNumberFormat="1" applyFont="1" applyBorder="1" applyAlignment="1">
      <alignment horizontal="center" vertical="center"/>
    </xf>
    <xf numFmtId="1" fontId="38" fillId="0" borderId="1143" xfId="0" applyNumberFormat="1" applyFont="1" applyBorder="1"/>
    <xf numFmtId="1" fontId="38" fillId="0" borderId="1144" xfId="0" applyNumberFormat="1" applyFont="1" applyBorder="1"/>
    <xf numFmtId="1" fontId="38" fillId="0" borderId="1145" xfId="0" applyNumberFormat="1" applyFont="1" applyBorder="1"/>
    <xf numFmtId="1" fontId="6" fillId="5" borderId="1153" xfId="0" applyNumberFormat="1" applyFont="1" applyFill="1" applyBorder="1" applyProtection="1">
      <protection locked="0"/>
    </xf>
    <xf numFmtId="1" fontId="6" fillId="5" borderId="1154" xfId="0" applyNumberFormat="1" applyFont="1" applyFill="1" applyBorder="1" applyProtection="1">
      <protection locked="0"/>
    </xf>
    <xf numFmtId="1" fontId="6" fillId="5" borderId="1155" xfId="0" applyNumberFormat="1" applyFont="1" applyFill="1" applyBorder="1" applyProtection="1">
      <protection locked="0"/>
    </xf>
    <xf numFmtId="1" fontId="6" fillId="5" borderId="1152" xfId="23" applyNumberFormat="1" applyFont="1" applyFill="1" applyBorder="1" applyProtection="1">
      <protection locked="0"/>
    </xf>
    <xf numFmtId="1" fontId="6" fillId="5" borderId="1131" xfId="23" applyNumberFormat="1" applyFont="1" applyFill="1" applyBorder="1" applyProtection="1">
      <protection locked="0"/>
    </xf>
    <xf numFmtId="1" fontId="6" fillId="5" borderId="1091" xfId="23" applyNumberFormat="1" applyFont="1" applyFill="1" applyBorder="1" applyProtection="1">
      <protection locked="0"/>
    </xf>
    <xf numFmtId="1" fontId="6" fillId="5" borderId="1157" xfId="23" applyNumberFormat="1" applyFont="1" applyFill="1" applyBorder="1" applyProtection="1">
      <protection locked="0"/>
    </xf>
    <xf numFmtId="1" fontId="6" fillId="5" borderId="1117" xfId="23" applyNumberFormat="1" applyFont="1" applyFill="1" applyBorder="1" applyProtection="1">
      <protection locked="0"/>
    </xf>
    <xf numFmtId="1" fontId="6" fillId="0" borderId="1109" xfId="23" applyNumberFormat="1" applyFont="1" applyBorder="1"/>
    <xf numFmtId="1" fontId="6" fillId="5" borderId="1104" xfId="23" applyNumberFormat="1" applyFont="1" applyFill="1" applyBorder="1" applyProtection="1">
      <protection locked="0"/>
    </xf>
    <xf numFmtId="1" fontId="6" fillId="0" borderId="1156" xfId="23" applyNumberFormat="1" applyFont="1" applyBorder="1"/>
    <xf numFmtId="1" fontId="6" fillId="5" borderId="1161" xfId="0" applyNumberFormat="1" applyFont="1" applyFill="1" applyBorder="1" applyProtection="1">
      <protection locked="0"/>
    </xf>
    <xf numFmtId="1" fontId="6" fillId="5" borderId="1162" xfId="0" applyNumberFormat="1" applyFont="1" applyFill="1" applyBorder="1" applyProtection="1">
      <protection locked="0"/>
    </xf>
    <xf numFmtId="1" fontId="6" fillId="15" borderId="1126" xfId="0" applyNumberFormat="1" applyFont="1" applyFill="1" applyBorder="1" applyProtection="1">
      <protection locked="0"/>
    </xf>
    <xf numFmtId="1" fontId="6" fillId="15" borderId="1129" xfId="0" applyNumberFormat="1" applyFont="1" applyFill="1" applyBorder="1" applyProtection="1">
      <protection locked="0"/>
    </xf>
    <xf numFmtId="1" fontId="6" fillId="15" borderId="1130" xfId="0" applyNumberFormat="1" applyFont="1" applyFill="1" applyBorder="1" applyProtection="1">
      <protection locked="0"/>
    </xf>
    <xf numFmtId="1" fontId="6" fillId="15" borderId="1116" xfId="0" applyNumberFormat="1" applyFont="1" applyFill="1" applyBorder="1" applyProtection="1">
      <protection locked="0"/>
    </xf>
    <xf numFmtId="1" fontId="6" fillId="5" borderId="1163" xfId="0" applyNumberFormat="1" applyFont="1" applyFill="1" applyBorder="1" applyProtection="1">
      <protection locked="0"/>
    </xf>
    <xf numFmtId="1" fontId="6" fillId="15" borderId="1163" xfId="0" applyNumberFormat="1" applyFont="1" applyFill="1" applyBorder="1" applyProtection="1">
      <protection locked="0"/>
    </xf>
    <xf numFmtId="1" fontId="6" fillId="5" borderId="1137" xfId="0" applyNumberFormat="1" applyFont="1" applyFill="1" applyBorder="1" applyProtection="1">
      <protection locked="0"/>
    </xf>
    <xf numFmtId="1" fontId="6" fillId="5" borderId="1164" xfId="0" applyNumberFormat="1" applyFont="1" applyFill="1" applyBorder="1" applyProtection="1">
      <protection locked="0"/>
    </xf>
    <xf numFmtId="1" fontId="6" fillId="5" borderId="1165" xfId="0" applyNumberFormat="1" applyFont="1" applyFill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14" borderId="1166" xfId="0" applyNumberFormat="1" applyFont="1" applyFill="1" applyBorder="1" applyAlignment="1">
      <alignment vertical="center"/>
    </xf>
    <xf numFmtId="1" fontId="6" fillId="5" borderId="1158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5" borderId="1167" xfId="0" applyNumberFormat="1" applyFont="1" applyFill="1" applyBorder="1" applyProtection="1">
      <protection locked="0"/>
    </xf>
    <xf numFmtId="1" fontId="6" fillId="12" borderId="1163" xfId="0" applyNumberFormat="1" applyFont="1" applyFill="1" applyBorder="1"/>
    <xf numFmtId="1" fontId="6" fillId="12" borderId="1126" xfId="0" applyNumberFormat="1" applyFont="1" applyFill="1" applyBorder="1"/>
    <xf numFmtId="1" fontId="6" fillId="12" borderId="1138" xfId="0" applyNumberFormat="1" applyFont="1" applyFill="1" applyBorder="1"/>
    <xf numFmtId="1" fontId="6" fillId="12" borderId="1129" xfId="0" applyNumberFormat="1" applyFont="1" applyFill="1" applyBorder="1"/>
    <xf numFmtId="1" fontId="6" fillId="12" borderId="1154" xfId="0" applyNumberFormat="1" applyFont="1" applyFill="1" applyBorder="1"/>
    <xf numFmtId="1" fontId="6" fillId="12" borderId="1164" xfId="0" applyNumberFormat="1" applyFont="1" applyFill="1" applyBorder="1"/>
    <xf numFmtId="1" fontId="6" fillId="12" borderId="1137" xfId="0" applyNumberFormat="1" applyFont="1" applyFill="1" applyBorder="1"/>
    <xf numFmtId="1" fontId="6" fillId="12" borderId="1158" xfId="0" applyNumberFormat="1" applyFont="1" applyFill="1" applyBorder="1"/>
    <xf numFmtId="1" fontId="6" fillId="5" borderId="1168" xfId="0" applyNumberFormat="1" applyFont="1" applyFill="1" applyBorder="1" applyProtection="1">
      <protection locked="0"/>
    </xf>
    <xf numFmtId="1" fontId="21" fillId="3" borderId="0" xfId="0" applyNumberFormat="1" applyFont="1" applyFill="1" applyAlignment="1">
      <alignment wrapText="1"/>
    </xf>
    <xf numFmtId="1" fontId="6" fillId="0" borderId="1170" xfId="0" applyNumberFormat="1" applyFont="1" applyBorder="1" applyAlignment="1">
      <alignment horizontal="center" vertical="center" wrapText="1"/>
    </xf>
    <xf numFmtId="1" fontId="6" fillId="5" borderId="1172" xfId="0" applyNumberFormat="1" applyFont="1" applyFill="1" applyBorder="1" applyProtection="1">
      <protection locked="0"/>
    </xf>
    <xf numFmtId="1" fontId="6" fillId="5" borderId="1173" xfId="0" applyNumberFormat="1" applyFont="1" applyFill="1" applyBorder="1" applyProtection="1">
      <protection locked="0"/>
    </xf>
    <xf numFmtId="1" fontId="4" fillId="0" borderId="1174" xfId="0" applyNumberFormat="1" applyFont="1" applyBorder="1"/>
    <xf numFmtId="1" fontId="6" fillId="5" borderId="1081" xfId="0" applyNumberFormat="1" applyFont="1" applyFill="1" applyBorder="1" applyAlignment="1" applyProtection="1">
      <alignment horizontal="right"/>
      <protection locked="0"/>
    </xf>
    <xf numFmtId="1" fontId="6" fillId="5" borderId="1155" xfId="0" applyNumberFormat="1" applyFont="1" applyFill="1" applyBorder="1" applyAlignment="1" applyProtection="1">
      <alignment horizontal="right"/>
      <protection locked="0"/>
    </xf>
    <xf numFmtId="1" fontId="6" fillId="5" borderId="1109" xfId="0" applyNumberFormat="1" applyFont="1" applyFill="1" applyBorder="1" applyAlignment="1" applyProtection="1">
      <alignment horizontal="right"/>
      <protection locked="0"/>
    </xf>
    <xf numFmtId="1" fontId="6" fillId="5" borderId="1169" xfId="0" applyNumberFormat="1" applyFont="1" applyFill="1" applyBorder="1" applyAlignment="1" applyProtection="1">
      <alignment horizontal="right"/>
      <protection locked="0"/>
    </xf>
    <xf numFmtId="1" fontId="6" fillId="5" borderId="1078" xfId="0" applyNumberFormat="1" applyFont="1" applyFill="1" applyBorder="1" applyAlignment="1" applyProtection="1">
      <alignment horizontal="right"/>
      <protection locked="0"/>
    </xf>
    <xf numFmtId="1" fontId="6" fillId="5" borderId="1140" xfId="0" applyNumberFormat="1" applyFont="1" applyFill="1" applyBorder="1" applyAlignment="1" applyProtection="1">
      <alignment horizontal="right"/>
      <protection locked="0"/>
    </xf>
    <xf numFmtId="1" fontId="6" fillId="5" borderId="1156" xfId="0" applyNumberFormat="1" applyFont="1" applyFill="1" applyBorder="1" applyAlignment="1" applyProtection="1">
      <alignment horizontal="right"/>
      <protection locked="0"/>
    </xf>
    <xf numFmtId="1" fontId="6" fillId="5" borderId="1184" xfId="0" applyNumberFormat="1" applyFont="1" applyFill="1" applyBorder="1" applyProtection="1">
      <protection locked="0"/>
    </xf>
    <xf numFmtId="1" fontId="6" fillId="5" borderId="1105" xfId="0" applyNumberFormat="1" applyFont="1" applyFill="1" applyBorder="1" applyProtection="1">
      <protection locked="0"/>
    </xf>
    <xf numFmtId="1" fontId="6" fillId="5" borderId="1192" xfId="0" applyNumberFormat="1" applyFont="1" applyFill="1" applyBorder="1" applyProtection="1">
      <protection locked="0"/>
    </xf>
    <xf numFmtId="1" fontId="6" fillId="5" borderId="1193" xfId="0" applyNumberFormat="1" applyFont="1" applyFill="1" applyBorder="1" applyProtection="1">
      <protection locked="0"/>
    </xf>
    <xf numFmtId="1" fontId="6" fillId="5" borderId="1186" xfId="0" applyNumberFormat="1" applyFont="1" applyFill="1" applyBorder="1" applyProtection="1">
      <protection locked="0"/>
    </xf>
    <xf numFmtId="1" fontId="6" fillId="0" borderId="1201" xfId="0" applyNumberFormat="1" applyFont="1" applyBorder="1" applyAlignment="1">
      <alignment horizontal="center" vertical="center"/>
    </xf>
    <xf numFmtId="1" fontId="6" fillId="0" borderId="1208" xfId="0" applyNumberFormat="1" applyFont="1" applyBorder="1" applyAlignment="1">
      <alignment horizontal="center" vertical="center"/>
    </xf>
    <xf numFmtId="1" fontId="6" fillId="0" borderId="1209" xfId="0" applyNumberFormat="1" applyFont="1" applyBorder="1"/>
    <xf numFmtId="1" fontId="6" fillId="0" borderId="1208" xfId="0" applyNumberFormat="1" applyFont="1" applyBorder="1"/>
    <xf numFmtId="1" fontId="6" fillId="0" borderId="1210" xfId="0" applyNumberFormat="1" applyFont="1" applyBorder="1"/>
    <xf numFmtId="1" fontId="6" fillId="5" borderId="1181" xfId="0" applyNumberFormat="1" applyFont="1" applyFill="1" applyBorder="1" applyProtection="1">
      <protection locked="0"/>
    </xf>
    <xf numFmtId="1" fontId="6" fillId="5" borderId="1216" xfId="0" applyNumberFormat="1" applyFont="1" applyFill="1" applyBorder="1" applyProtection="1">
      <protection locked="0"/>
    </xf>
    <xf numFmtId="1" fontId="6" fillId="0" borderId="1217" xfId="0" applyNumberFormat="1" applyFont="1" applyBorder="1" applyAlignment="1">
      <alignment horizontal="right"/>
    </xf>
    <xf numFmtId="1" fontId="6" fillId="0" borderId="661" xfId="0" applyNumberFormat="1" applyFont="1" applyBorder="1" applyAlignment="1">
      <alignment horizontal="right"/>
    </xf>
    <xf numFmtId="1" fontId="6" fillId="0" borderId="1126" xfId="0" applyNumberFormat="1" applyFont="1" applyBorder="1" applyAlignment="1">
      <alignment horizontal="right"/>
    </xf>
    <xf numFmtId="1" fontId="6" fillId="0" borderId="1127" xfId="0" applyNumberFormat="1" applyFont="1" applyBorder="1" applyAlignment="1">
      <alignment horizontal="right"/>
    </xf>
    <xf numFmtId="1" fontId="6" fillId="0" borderId="746" xfId="0" applyNumberFormat="1" applyFont="1" applyBorder="1" applyAlignment="1">
      <alignment horizontal="right"/>
    </xf>
    <xf numFmtId="1" fontId="6" fillId="0" borderId="1038" xfId="0" applyNumberFormat="1" applyFont="1" applyBorder="1" applyAlignment="1">
      <alignment horizontal="right"/>
    </xf>
    <xf numFmtId="1" fontId="6" fillId="0" borderId="1129" xfId="0" applyNumberFormat="1" applyFont="1" applyBorder="1" applyAlignment="1">
      <alignment horizontal="right"/>
    </xf>
    <xf numFmtId="1" fontId="6" fillId="5" borderId="746" xfId="0" applyNumberFormat="1" applyFont="1" applyFill="1" applyBorder="1" applyProtection="1">
      <protection locked="0"/>
    </xf>
    <xf numFmtId="1" fontId="6" fillId="5" borderId="1215" xfId="0" applyNumberFormat="1" applyFont="1" applyFill="1" applyBorder="1" applyProtection="1">
      <protection locked="0"/>
    </xf>
    <xf numFmtId="1" fontId="6" fillId="4" borderId="1125" xfId="0" applyNumberFormat="1" applyFont="1" applyFill="1" applyBorder="1"/>
    <xf numFmtId="1" fontId="6" fillId="5" borderId="1219" xfId="0" applyNumberFormat="1" applyFont="1" applyFill="1" applyBorder="1" applyProtection="1">
      <protection locked="0"/>
    </xf>
    <xf numFmtId="1" fontId="6" fillId="5" borderId="1217" xfId="0" applyNumberFormat="1" applyFont="1" applyFill="1" applyBorder="1" applyProtection="1">
      <protection locked="0"/>
    </xf>
    <xf numFmtId="1" fontId="6" fillId="4" borderId="784" xfId="0" applyNumberFormat="1" applyFont="1" applyFill="1" applyBorder="1"/>
    <xf numFmtId="1" fontId="6" fillId="5" borderId="1218" xfId="0" applyNumberFormat="1" applyFont="1" applyFill="1" applyBorder="1" applyProtection="1">
      <protection locked="0"/>
    </xf>
    <xf numFmtId="1" fontId="49" fillId="14" borderId="0" xfId="0" applyNumberFormat="1" applyFont="1" applyFill="1"/>
    <xf numFmtId="1" fontId="6" fillId="0" borderId="900" xfId="0" applyNumberFormat="1" applyFont="1" applyBorder="1" applyAlignment="1">
      <alignment horizontal="center" vertical="center" wrapText="1"/>
    </xf>
    <xf numFmtId="1" fontId="6" fillId="0" borderId="1059" xfId="0" applyNumberFormat="1" applyFont="1" applyBorder="1" applyAlignment="1">
      <alignment horizontal="center" vertical="center"/>
    </xf>
    <xf numFmtId="1" fontId="6" fillId="2" borderId="1227" xfId="26" applyNumberFormat="1" applyFont="1" applyBorder="1" applyProtection="1">
      <protection locked="0"/>
    </xf>
    <xf numFmtId="1" fontId="6" fillId="2" borderId="1228" xfId="26" applyNumberFormat="1" applyFont="1" applyBorder="1" applyProtection="1">
      <protection locked="0"/>
    </xf>
    <xf numFmtId="1" fontId="6" fillId="2" borderId="1229" xfId="26" applyNumberFormat="1" applyFont="1" applyBorder="1" applyProtection="1">
      <protection locked="0"/>
    </xf>
    <xf numFmtId="1" fontId="6" fillId="0" borderId="1221" xfId="0" applyNumberFormat="1" applyFont="1" applyBorder="1" applyAlignment="1">
      <alignment horizontal="center" vertical="center" wrapText="1"/>
    </xf>
    <xf numFmtId="1" fontId="6" fillId="5" borderId="1221" xfId="0" applyNumberFormat="1" applyFont="1" applyFill="1" applyBorder="1" applyProtection="1">
      <protection locked="0"/>
    </xf>
    <xf numFmtId="1" fontId="6" fillId="5" borderId="1233" xfId="0" applyNumberFormat="1" applyFont="1" applyFill="1" applyBorder="1" applyProtection="1">
      <protection locked="0"/>
    </xf>
    <xf numFmtId="1" fontId="6" fillId="5" borderId="1234" xfId="0" applyNumberFormat="1" applyFont="1" applyFill="1" applyBorder="1" applyProtection="1">
      <protection locked="0"/>
    </xf>
    <xf numFmtId="1" fontId="6" fillId="5" borderId="1231" xfId="0" applyNumberFormat="1" applyFont="1" applyFill="1" applyBorder="1" applyProtection="1">
      <protection locked="0"/>
    </xf>
    <xf numFmtId="1" fontId="6" fillId="0" borderId="1233" xfId="0" applyNumberFormat="1" applyFont="1" applyBorder="1" applyAlignment="1">
      <alignment horizontal="center" vertical="center" wrapText="1"/>
    </xf>
    <xf numFmtId="1" fontId="6" fillId="0" borderId="1221" xfId="0" applyNumberFormat="1" applyFont="1" applyBorder="1"/>
    <xf numFmtId="1" fontId="6" fillId="0" borderId="1233" xfId="0" applyNumberFormat="1" applyFont="1" applyBorder="1"/>
    <xf numFmtId="1" fontId="6" fillId="0" borderId="1231" xfId="0" applyNumberFormat="1" applyFont="1" applyBorder="1"/>
    <xf numFmtId="1" fontId="6" fillId="0" borderId="1234" xfId="0" applyNumberFormat="1" applyFont="1" applyBorder="1"/>
    <xf numFmtId="1" fontId="6" fillId="0" borderId="1235" xfId="0" applyNumberFormat="1" applyFont="1" applyBorder="1" applyAlignment="1">
      <alignment wrapText="1"/>
    </xf>
    <xf numFmtId="1" fontId="4" fillId="14" borderId="1235" xfId="0" applyNumberFormat="1" applyFont="1" applyFill="1" applyBorder="1"/>
    <xf numFmtId="1" fontId="6" fillId="0" borderId="1234" xfId="0" applyNumberFormat="1" applyFont="1" applyBorder="1" applyAlignment="1">
      <alignment horizontal="center" vertical="center" wrapText="1"/>
    </xf>
    <xf numFmtId="1" fontId="6" fillId="12" borderId="1217" xfId="0" applyNumberFormat="1" applyFont="1" applyFill="1" applyBorder="1"/>
    <xf numFmtId="1" fontId="6" fillId="0" borderId="1215" xfId="0" applyNumberFormat="1" applyFont="1" applyBorder="1" applyAlignment="1">
      <alignment horizontal="center" vertical="center" wrapText="1"/>
    </xf>
    <xf numFmtId="1" fontId="6" fillId="0" borderId="1236" xfId="0" applyNumberFormat="1" applyFont="1" applyBorder="1" applyAlignment="1">
      <alignment horizontal="center" vertical="center" wrapText="1"/>
    </xf>
    <xf numFmtId="1" fontId="6" fillId="0" borderId="1230" xfId="0" applyNumberFormat="1" applyFont="1" applyBorder="1" applyAlignment="1">
      <alignment horizontal="center" vertical="center" wrapText="1"/>
    </xf>
    <xf numFmtId="1" fontId="6" fillId="14" borderId="1221" xfId="0" applyNumberFormat="1" applyFont="1" applyFill="1" applyBorder="1" applyAlignment="1">
      <alignment horizontal="center" vertical="center" wrapText="1"/>
    </xf>
    <xf numFmtId="1" fontId="6" fillId="14" borderId="1215" xfId="0" applyNumberFormat="1" applyFont="1" applyFill="1" applyBorder="1" applyAlignment="1">
      <alignment horizontal="center" vertical="center" wrapText="1"/>
    </xf>
    <xf numFmtId="1" fontId="6" fillId="15" borderId="984" xfId="0" applyNumberFormat="1" applyFont="1" applyFill="1" applyBorder="1" applyProtection="1">
      <protection locked="0"/>
    </xf>
    <xf numFmtId="1" fontId="6" fillId="0" borderId="1233" xfId="0" applyNumberFormat="1" applyFont="1" applyBorder="1" applyAlignment="1">
      <alignment vertical="center"/>
    </xf>
    <xf numFmtId="1" fontId="6" fillId="14" borderId="1233" xfId="0" applyNumberFormat="1" applyFont="1" applyFill="1" applyBorder="1" applyAlignment="1">
      <alignment vertical="center"/>
    </xf>
    <xf numFmtId="1" fontId="6" fillId="15" borderId="305" xfId="0" applyNumberFormat="1" applyFont="1" applyFill="1" applyBorder="1" applyProtection="1">
      <protection locked="0"/>
    </xf>
    <xf numFmtId="1" fontId="6" fillId="15" borderId="1088" xfId="0" applyNumberFormat="1" applyFont="1" applyFill="1" applyBorder="1" applyProtection="1">
      <protection locked="0"/>
    </xf>
    <xf numFmtId="1" fontId="6" fillId="15" borderId="1038" xfId="0" applyNumberFormat="1" applyFont="1" applyFill="1" applyBorder="1" applyProtection="1">
      <protection locked="0"/>
    </xf>
    <xf numFmtId="1" fontId="6" fillId="5" borderId="1237" xfId="0" applyNumberFormat="1" applyFont="1" applyFill="1" applyBorder="1" applyProtection="1">
      <protection locked="0"/>
    </xf>
    <xf numFmtId="1" fontId="6" fillId="15" borderId="1022" xfId="0" applyNumberFormat="1" applyFont="1" applyFill="1" applyBorder="1" applyProtection="1">
      <protection locked="0"/>
    </xf>
    <xf numFmtId="1" fontId="6" fillId="0" borderId="1221" xfId="0" applyNumberFormat="1" applyFont="1" applyBorder="1" applyAlignment="1">
      <alignment vertical="center"/>
    </xf>
    <xf numFmtId="1" fontId="6" fillId="14" borderId="1221" xfId="0" applyNumberFormat="1" applyFont="1" applyFill="1" applyBorder="1" applyAlignment="1">
      <alignment vertical="center"/>
    </xf>
    <xf numFmtId="1" fontId="6" fillId="0" borderId="1021" xfId="0" applyNumberFormat="1" applyFont="1" applyBorder="1" applyAlignment="1">
      <alignment horizontal="center" vertical="center"/>
    </xf>
    <xf numFmtId="1" fontId="6" fillId="3" borderId="1234" xfId="0" applyNumberFormat="1" applyFont="1" applyFill="1" applyBorder="1"/>
    <xf numFmtId="1" fontId="6" fillId="5" borderId="1238" xfId="0" applyNumberFormat="1" applyFont="1" applyFill="1" applyBorder="1" applyProtection="1">
      <protection locked="0"/>
    </xf>
    <xf numFmtId="2" fontId="6" fillId="6" borderId="0" xfId="14" applyNumberFormat="1" applyFont="1" applyBorder="1" applyAlignment="1" applyProtection="1">
      <alignment horizontal="center" vertical="center"/>
      <protection locked="0"/>
    </xf>
    <xf numFmtId="1" fontId="6" fillId="3" borderId="408" xfId="14" applyNumberFormat="1" applyFont="1" applyFill="1" applyBorder="1" applyAlignment="1">
      <alignment horizontal="right"/>
    </xf>
    <xf numFmtId="1" fontId="6" fillId="3" borderId="382" xfId="14" applyNumberFormat="1" applyFont="1" applyFill="1" applyBorder="1" applyAlignment="1">
      <alignment horizontal="right"/>
    </xf>
    <xf numFmtId="1" fontId="6" fillId="3" borderId="1239" xfId="14" applyNumberFormat="1" applyFont="1" applyFill="1" applyBorder="1" applyAlignment="1">
      <alignment horizontal="right"/>
    </xf>
    <xf numFmtId="1" fontId="6" fillId="3" borderId="1240" xfId="14" applyNumberFormat="1" applyFont="1" applyFill="1" applyBorder="1" applyAlignment="1">
      <alignment horizontal="right"/>
    </xf>
    <xf numFmtId="1" fontId="6" fillId="3" borderId="1241" xfId="14" applyNumberFormat="1" applyFont="1" applyFill="1" applyBorder="1" applyAlignment="1">
      <alignment horizontal="right"/>
    </xf>
    <xf numFmtId="1" fontId="6" fillId="3" borderId="1130" xfId="14" applyNumberFormat="1" applyFont="1" applyFill="1" applyBorder="1" applyAlignment="1">
      <alignment horizontal="right"/>
    </xf>
    <xf numFmtId="1" fontId="6" fillId="3" borderId="1243" xfId="14" applyNumberFormat="1" applyFont="1" applyFill="1" applyBorder="1" applyAlignment="1">
      <alignment horizontal="right"/>
    </xf>
    <xf numFmtId="1" fontId="6" fillId="3" borderId="1244" xfId="14" applyNumberFormat="1" applyFont="1" applyFill="1" applyBorder="1" applyAlignment="1">
      <alignment horizontal="right"/>
    </xf>
    <xf numFmtId="1" fontId="6" fillId="3" borderId="1245" xfId="14" applyNumberFormat="1" applyFont="1" applyFill="1" applyBorder="1" applyAlignment="1">
      <alignment horizontal="right"/>
    </xf>
    <xf numFmtId="1" fontId="6" fillId="4" borderId="1217" xfId="0" applyNumberFormat="1" applyFont="1" applyFill="1" applyBorder="1"/>
    <xf numFmtId="1" fontId="6" fillId="4" borderId="1219" xfId="0" applyNumberFormat="1" applyFont="1" applyFill="1" applyBorder="1"/>
    <xf numFmtId="1" fontId="6" fillId="4" borderId="1181" xfId="0" applyNumberFormat="1" applyFont="1" applyFill="1" applyBorder="1"/>
    <xf numFmtId="1" fontId="6" fillId="4" borderId="1195" xfId="0" applyNumberFormat="1" applyFont="1" applyFill="1" applyBorder="1"/>
    <xf numFmtId="1" fontId="6" fillId="4" borderId="1172" xfId="0" applyNumberFormat="1" applyFont="1" applyFill="1" applyBorder="1"/>
    <xf numFmtId="1" fontId="6" fillId="3" borderId="1246" xfId="14" applyNumberFormat="1" applyFont="1" applyFill="1" applyBorder="1" applyAlignment="1">
      <alignment horizontal="right"/>
    </xf>
    <xf numFmtId="1" fontId="6" fillId="3" borderId="1247" xfId="14" applyNumberFormat="1" applyFont="1" applyFill="1" applyBorder="1" applyAlignment="1">
      <alignment horizontal="right"/>
    </xf>
    <xf numFmtId="1" fontId="6" fillId="3" borderId="1248" xfId="14" applyNumberFormat="1" applyFont="1" applyFill="1" applyBorder="1" applyAlignment="1">
      <alignment horizontal="right"/>
    </xf>
    <xf numFmtId="1" fontId="6" fillId="3" borderId="1249" xfId="14" applyNumberFormat="1" applyFont="1" applyFill="1" applyBorder="1" applyAlignment="1">
      <alignment horizontal="right"/>
    </xf>
    <xf numFmtId="1" fontId="6" fillId="3" borderId="1250" xfId="14" applyNumberFormat="1" applyFont="1" applyFill="1" applyBorder="1" applyAlignment="1">
      <alignment horizontal="right"/>
    </xf>
    <xf numFmtId="1" fontId="6" fillId="3" borderId="1251" xfId="14" applyNumberFormat="1" applyFont="1" applyFill="1" applyBorder="1" applyAlignment="1">
      <alignment horizontal="right"/>
    </xf>
    <xf numFmtId="1" fontId="6" fillId="4" borderId="1102" xfId="0" applyNumberFormat="1" applyFont="1" applyFill="1" applyBorder="1"/>
    <xf numFmtId="1" fontId="6" fillId="4" borderId="1133" xfId="0" applyNumberFormat="1" applyFont="1" applyFill="1" applyBorder="1"/>
    <xf numFmtId="1" fontId="6" fillId="0" borderId="1252" xfId="0" applyNumberFormat="1" applyFont="1" applyBorder="1"/>
    <xf numFmtId="1" fontId="6" fillId="0" borderId="1258" xfId="0" applyNumberFormat="1" applyFont="1" applyBorder="1" applyAlignment="1">
      <alignment horizontal="center" vertical="center" wrapText="1"/>
    </xf>
    <xf numFmtId="1" fontId="6" fillId="0" borderId="1259" xfId="0" applyNumberFormat="1" applyFont="1" applyBorder="1" applyAlignment="1">
      <alignment horizontal="center" vertical="center" wrapText="1"/>
    </xf>
    <xf numFmtId="1" fontId="6" fillId="0" borderId="1260" xfId="0" applyNumberFormat="1" applyFont="1" applyBorder="1" applyAlignment="1">
      <alignment horizontal="center" vertical="center" wrapText="1"/>
    </xf>
    <xf numFmtId="1" fontId="6" fillId="0" borderId="1261" xfId="0" applyNumberFormat="1" applyFont="1" applyBorder="1" applyAlignment="1">
      <alignment horizontal="center" vertical="center" wrapText="1"/>
    </xf>
    <xf numFmtId="1" fontId="6" fillId="0" borderId="1262" xfId="0" applyNumberFormat="1" applyFont="1" applyBorder="1" applyAlignment="1">
      <alignment horizontal="center" vertical="center" wrapText="1"/>
    </xf>
    <xf numFmtId="1" fontId="6" fillId="14" borderId="1258" xfId="0" applyNumberFormat="1" applyFont="1" applyFill="1" applyBorder="1" applyAlignment="1">
      <alignment horizontal="center" vertical="center" wrapText="1"/>
    </xf>
    <xf numFmtId="1" fontId="6" fillId="14" borderId="1262" xfId="0" applyNumberFormat="1" applyFont="1" applyFill="1" applyBorder="1" applyAlignment="1">
      <alignment horizontal="center" vertical="center" wrapText="1"/>
    </xf>
    <xf numFmtId="1" fontId="6" fillId="14" borderId="1261" xfId="0" applyNumberFormat="1" applyFont="1" applyFill="1" applyBorder="1" applyAlignment="1">
      <alignment horizontal="center" vertical="center" wrapText="1"/>
    </xf>
    <xf numFmtId="1" fontId="6" fillId="5" borderId="1263" xfId="0" applyNumberFormat="1" applyFont="1" applyFill="1" applyBorder="1" applyProtection="1">
      <protection locked="0"/>
    </xf>
    <xf numFmtId="1" fontId="6" fillId="5" borderId="1264" xfId="0" applyNumberFormat="1" applyFont="1" applyFill="1" applyBorder="1" applyProtection="1">
      <protection locked="0"/>
    </xf>
    <xf numFmtId="1" fontId="6" fillId="15" borderId="1263" xfId="0" applyNumberFormat="1" applyFont="1" applyFill="1" applyBorder="1" applyProtection="1">
      <protection locked="0"/>
    </xf>
    <xf numFmtId="1" fontId="6" fillId="0" borderId="1265" xfId="0" applyNumberFormat="1" applyFont="1" applyBorder="1" applyAlignment="1">
      <alignment horizontal="center" vertical="center"/>
    </xf>
    <xf numFmtId="1" fontId="6" fillId="5" borderId="1266" xfId="0" applyNumberFormat="1" applyFont="1" applyFill="1" applyBorder="1" applyProtection="1">
      <protection locked="0"/>
    </xf>
    <xf numFmtId="1" fontId="6" fillId="0" borderId="1258" xfId="0" applyNumberFormat="1" applyFont="1" applyBorder="1"/>
    <xf numFmtId="1" fontId="6" fillId="0" borderId="1261" xfId="0" applyNumberFormat="1" applyFont="1" applyBorder="1"/>
    <xf numFmtId="1" fontId="6" fillId="0" borderId="1260" xfId="0" applyNumberFormat="1" applyFont="1" applyBorder="1"/>
    <xf numFmtId="1" fontId="6" fillId="5" borderId="1267" xfId="23" applyNumberFormat="1" applyFont="1" applyFill="1" applyBorder="1" applyProtection="1">
      <protection locked="0"/>
    </xf>
    <xf numFmtId="1" fontId="52" fillId="14" borderId="0" xfId="0" applyNumberFormat="1" applyFont="1" applyFill="1"/>
    <xf numFmtId="1" fontId="6" fillId="5" borderId="1058" xfId="23" applyNumberFormat="1" applyFont="1" applyFill="1" applyBorder="1" applyProtection="1">
      <protection locked="0"/>
    </xf>
    <xf numFmtId="1" fontId="6" fillId="0" borderId="1269" xfId="0" applyNumberFormat="1" applyFont="1" applyBorder="1" applyAlignment="1">
      <alignment horizontal="center" vertical="center" wrapText="1"/>
    </xf>
    <xf numFmtId="1" fontId="6" fillId="2" borderId="1270" xfId="26" applyNumberFormat="1" applyFont="1" applyBorder="1" applyProtection="1">
      <protection locked="0"/>
    </xf>
    <xf numFmtId="1" fontId="6" fillId="5" borderId="1257" xfId="0" applyNumberFormat="1" applyFont="1" applyFill="1" applyBorder="1" applyProtection="1">
      <protection locked="0"/>
    </xf>
    <xf numFmtId="1" fontId="6" fillId="0" borderId="1254" xfId="0" applyNumberFormat="1" applyFont="1" applyBorder="1" applyAlignment="1">
      <alignment horizontal="center" vertical="center" wrapText="1"/>
    </xf>
    <xf numFmtId="1" fontId="6" fillId="2" borderId="1078" xfId="26" applyNumberFormat="1" applyFont="1" applyBorder="1" applyProtection="1">
      <protection locked="0"/>
    </xf>
    <xf numFmtId="1" fontId="6" fillId="3" borderId="1178" xfId="0" applyNumberFormat="1" applyFont="1" applyFill="1" applyBorder="1"/>
    <xf numFmtId="1" fontId="6" fillId="5" borderId="1283" xfId="0" applyNumberFormat="1" applyFont="1" applyFill="1" applyBorder="1" applyProtection="1">
      <protection locked="0"/>
    </xf>
    <xf numFmtId="1" fontId="6" fillId="5" borderId="1290" xfId="0" applyNumberFormat="1" applyFont="1" applyFill="1" applyBorder="1" applyProtection="1">
      <protection locked="0"/>
    </xf>
    <xf numFmtId="1" fontId="6" fillId="12" borderId="879" xfId="0" applyNumberFormat="1" applyFont="1" applyFill="1" applyBorder="1" applyProtection="1">
      <protection locked="0"/>
    </xf>
    <xf numFmtId="1" fontId="6" fillId="12" borderId="744" xfId="0" applyNumberFormat="1" applyFont="1" applyFill="1" applyBorder="1" applyProtection="1">
      <protection locked="0"/>
    </xf>
    <xf numFmtId="1" fontId="6" fillId="0" borderId="1091" xfId="0" applyNumberFormat="1" applyFont="1" applyBorder="1"/>
    <xf numFmtId="1" fontId="6" fillId="0" borderId="1296" xfId="0" applyNumberFormat="1" applyFont="1" applyBorder="1"/>
    <xf numFmtId="1" fontId="6" fillId="6" borderId="1297" xfId="14" applyNumberFormat="1" applyFont="1" applyBorder="1" applyProtection="1">
      <protection locked="0"/>
    </xf>
    <xf numFmtId="1" fontId="6" fillId="0" borderId="1126" xfId="0" applyNumberFormat="1" applyFont="1" applyBorder="1"/>
    <xf numFmtId="1" fontId="6" fillId="6" borderId="1298" xfId="14" applyNumberFormat="1" applyFont="1" applyBorder="1" applyProtection="1">
      <protection locked="0"/>
    </xf>
    <xf numFmtId="1" fontId="6" fillId="6" borderId="1299" xfId="14" applyNumberFormat="1" applyFont="1" applyBorder="1" applyProtection="1">
      <protection locked="0"/>
    </xf>
    <xf numFmtId="1" fontId="6" fillId="0" borderId="1097" xfId="0" applyNumberFormat="1" applyFont="1" applyBorder="1"/>
    <xf numFmtId="1" fontId="6" fillId="6" borderId="1300" xfId="14" applyNumberFormat="1" applyFont="1" applyBorder="1" applyProtection="1">
      <protection locked="0"/>
    </xf>
    <xf numFmtId="1" fontId="6" fillId="6" borderId="1301" xfId="14" applyNumberFormat="1" applyFont="1" applyBorder="1" applyProtection="1">
      <protection locked="0"/>
    </xf>
    <xf numFmtId="1" fontId="6" fillId="6" borderId="903" xfId="14" applyNumberFormat="1" applyFont="1" applyBorder="1" applyProtection="1">
      <protection locked="0"/>
    </xf>
    <xf numFmtId="1" fontId="6" fillId="0" borderId="1302" xfId="0" applyNumberFormat="1" applyFont="1" applyBorder="1"/>
    <xf numFmtId="1" fontId="6" fillId="0" borderId="1306" xfId="0" applyNumberFormat="1" applyFont="1" applyBorder="1" applyAlignment="1">
      <alignment horizontal="center" vertical="center"/>
    </xf>
    <xf numFmtId="1" fontId="6" fillId="0" borderId="1307" xfId="0" applyNumberFormat="1" applyFont="1" applyBorder="1" applyAlignment="1">
      <alignment horizontal="center" vertical="center" wrapText="1"/>
    </xf>
    <xf numFmtId="1" fontId="6" fillId="6" borderId="1308" xfId="14" applyNumberFormat="1" applyFont="1" applyBorder="1" applyProtection="1">
      <protection locked="0"/>
    </xf>
    <xf numFmtId="1" fontId="6" fillId="6" borderId="1309" xfId="14" applyNumberFormat="1" applyFont="1" applyBorder="1" applyProtection="1">
      <protection locked="0"/>
    </xf>
    <xf numFmtId="1" fontId="6" fillId="6" borderId="1310" xfId="14" applyNumberFormat="1" applyFont="1" applyBorder="1" applyProtection="1">
      <protection locked="0"/>
    </xf>
    <xf numFmtId="1" fontId="6" fillId="6" borderId="1311" xfId="14" applyNumberFormat="1" applyFont="1" applyBorder="1" applyProtection="1">
      <protection locked="0"/>
    </xf>
    <xf numFmtId="1" fontId="6" fillId="6" borderId="1312" xfId="14" applyNumberFormat="1" applyFont="1" applyBorder="1" applyProtection="1">
      <protection locked="0"/>
    </xf>
    <xf numFmtId="1" fontId="6" fillId="6" borderId="1313" xfId="14" applyNumberFormat="1" applyFont="1" applyBorder="1" applyProtection="1">
      <protection locked="0"/>
    </xf>
    <xf numFmtId="1" fontId="6" fillId="6" borderId="1314" xfId="14" applyNumberFormat="1" applyFont="1" applyBorder="1" applyProtection="1">
      <protection locked="0"/>
    </xf>
    <xf numFmtId="1" fontId="6" fillId="6" borderId="1315" xfId="14" applyNumberFormat="1" applyFont="1" applyBorder="1" applyProtection="1">
      <protection locked="0"/>
    </xf>
    <xf numFmtId="1" fontId="6" fillId="6" borderId="1316" xfId="14" applyNumberFormat="1" applyFont="1" applyBorder="1" applyProtection="1">
      <protection locked="0"/>
    </xf>
    <xf numFmtId="1" fontId="6" fillId="6" borderId="1317" xfId="14" applyNumberFormat="1" applyFont="1" applyBorder="1" applyProtection="1">
      <protection locked="0"/>
    </xf>
    <xf numFmtId="1" fontId="6" fillId="6" borderId="1318" xfId="14" applyNumberFormat="1" applyFont="1" applyBorder="1" applyProtection="1">
      <protection locked="0"/>
    </xf>
    <xf numFmtId="1" fontId="6" fillId="6" borderId="1319" xfId="14" applyNumberFormat="1" applyFont="1" applyBorder="1" applyProtection="1">
      <protection locked="0"/>
    </xf>
    <xf numFmtId="1" fontId="6" fillId="6" borderId="1320" xfId="14" applyNumberFormat="1" applyFont="1" applyBorder="1" applyProtection="1">
      <protection locked="0"/>
    </xf>
    <xf numFmtId="1" fontId="6" fillId="6" borderId="1321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1322" xfId="14" applyNumberFormat="1" applyFont="1" applyBorder="1" applyProtection="1">
      <protection locked="0"/>
    </xf>
    <xf numFmtId="1" fontId="6" fillId="5" borderId="1326" xfId="0" applyNumberFormat="1" applyFont="1" applyFill="1" applyBorder="1" applyProtection="1">
      <protection locked="0"/>
    </xf>
    <xf numFmtId="1" fontId="6" fillId="5" borderId="1327" xfId="0" applyNumberFormat="1" applyFont="1" applyFill="1" applyBorder="1" applyProtection="1">
      <protection locked="0"/>
    </xf>
    <xf numFmtId="1" fontId="6" fillId="0" borderId="950" xfId="0" applyNumberFormat="1" applyFont="1" applyBorder="1"/>
    <xf numFmtId="1" fontId="6" fillId="0" borderId="1154" xfId="0" applyNumberFormat="1" applyFont="1" applyBorder="1"/>
    <xf numFmtId="1" fontId="6" fillId="5" borderId="1287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center" vertical="center"/>
    </xf>
    <xf numFmtId="1" fontId="6" fillId="5" borderId="1338" xfId="0" applyNumberFormat="1" applyFont="1" applyFill="1" applyBorder="1" applyAlignment="1" applyProtection="1">
      <alignment horizontal="right"/>
      <protection locked="0"/>
    </xf>
    <xf numFmtId="1" fontId="6" fillId="5" borderId="1339" xfId="0" applyNumberFormat="1" applyFont="1" applyFill="1" applyBorder="1" applyAlignment="1" applyProtection="1">
      <alignment horizontal="right"/>
      <protection locked="0"/>
    </xf>
    <xf numFmtId="1" fontId="6" fillId="5" borderId="1287" xfId="0" applyNumberFormat="1" applyFont="1" applyFill="1" applyBorder="1" applyAlignment="1" applyProtection="1">
      <alignment horizontal="right"/>
      <protection locked="0"/>
    </xf>
    <xf numFmtId="1" fontId="6" fillId="5" borderId="1340" xfId="0" applyNumberFormat="1" applyFont="1" applyFill="1" applyBorder="1" applyAlignment="1" applyProtection="1">
      <alignment horizontal="right"/>
      <protection locked="0"/>
    </xf>
    <xf numFmtId="1" fontId="6" fillId="5" borderId="1116" xfId="0" applyNumberFormat="1" applyFont="1" applyFill="1" applyBorder="1" applyAlignment="1" applyProtection="1">
      <alignment horizontal="right"/>
      <protection locked="0"/>
    </xf>
    <xf numFmtId="1" fontId="6" fillId="5" borderId="1341" xfId="0" applyNumberFormat="1" applyFont="1" applyFill="1" applyBorder="1" applyProtection="1">
      <protection locked="0"/>
    </xf>
    <xf numFmtId="1" fontId="6" fillId="0" borderId="1344" xfId="0" applyNumberFormat="1" applyFont="1" applyBorder="1"/>
    <xf numFmtId="1" fontId="6" fillId="5" borderId="1344" xfId="0" applyNumberFormat="1" applyFont="1" applyFill="1" applyBorder="1" applyProtection="1">
      <protection locked="0"/>
    </xf>
    <xf numFmtId="1" fontId="6" fillId="0" borderId="1342" xfId="0" applyNumberFormat="1" applyFont="1" applyBorder="1"/>
    <xf numFmtId="1" fontId="6" fillId="0" borderId="1294" xfId="0" applyNumberFormat="1" applyFont="1" applyBorder="1"/>
    <xf numFmtId="1" fontId="6" fillId="0" borderId="1332" xfId="0" applyNumberFormat="1" applyFont="1" applyBorder="1"/>
    <xf numFmtId="1" fontId="6" fillId="0" borderId="1337" xfId="0" applyNumberFormat="1" applyFont="1" applyBorder="1"/>
    <xf numFmtId="1" fontId="6" fillId="0" borderId="1022" xfId="0" applyNumberFormat="1" applyFont="1" applyBorder="1"/>
    <xf numFmtId="1" fontId="6" fillId="0" borderId="1331" xfId="0" applyNumberFormat="1" applyFont="1" applyBorder="1" applyProtection="1">
      <protection locked="0"/>
    </xf>
    <xf numFmtId="1" fontId="6" fillId="0" borderId="1338" xfId="0" applyNumberFormat="1" applyFont="1" applyBorder="1"/>
    <xf numFmtId="1" fontId="6" fillId="0" borderId="1283" xfId="0" applyNumberFormat="1" applyFont="1" applyBorder="1"/>
    <xf numFmtId="1" fontId="6" fillId="0" borderId="1058" xfId="0" applyNumberFormat="1" applyFont="1" applyBorder="1"/>
    <xf numFmtId="1" fontId="6" fillId="0" borderId="1290" xfId="0" applyNumberFormat="1" applyFont="1" applyBorder="1"/>
    <xf numFmtId="1" fontId="6" fillId="0" borderId="1332" xfId="0" applyNumberFormat="1" applyFont="1" applyBorder="1" applyAlignment="1">
      <alignment horizontal="center" vertical="center"/>
    </xf>
    <xf numFmtId="1" fontId="6" fillId="0" borderId="1339" xfId="0" applyNumberFormat="1" applyFont="1" applyBorder="1"/>
    <xf numFmtId="1" fontId="6" fillId="5" borderId="1118" xfId="0" applyNumberFormat="1" applyFont="1" applyFill="1" applyBorder="1" applyAlignment="1" applyProtection="1">
      <alignment horizontal="right"/>
      <protection locked="0"/>
    </xf>
    <xf numFmtId="1" fontId="6" fillId="5" borderId="1360" xfId="0" applyNumberFormat="1" applyFont="1" applyFill="1" applyBorder="1" applyProtection="1">
      <protection locked="0"/>
    </xf>
    <xf numFmtId="1" fontId="6" fillId="3" borderId="1398" xfId="0" applyNumberFormat="1" applyFont="1" applyFill="1" applyBorder="1"/>
    <xf numFmtId="1" fontId="6" fillId="26" borderId="1380" xfId="0" applyNumberFormat="1" applyFont="1" applyFill="1" applyBorder="1" applyProtection="1">
      <protection locked="0"/>
    </xf>
    <xf numFmtId="1" fontId="6" fillId="26" borderId="1384" xfId="0" applyNumberFormat="1" applyFont="1" applyFill="1" applyBorder="1" applyProtection="1">
      <protection locked="0"/>
    </xf>
    <xf numFmtId="1" fontId="6" fillId="26" borderId="1383" xfId="0" applyNumberFormat="1" applyFont="1" applyFill="1" applyBorder="1" applyProtection="1">
      <protection locked="0"/>
    </xf>
    <xf numFmtId="1" fontId="6" fillId="5" borderId="1284" xfId="0" applyNumberFormat="1" applyFont="1" applyFill="1" applyBorder="1" applyProtection="1">
      <protection locked="0"/>
    </xf>
    <xf numFmtId="1" fontId="6" fillId="0" borderId="1393" xfId="0" applyNumberFormat="1" applyFont="1" applyBorder="1" applyAlignment="1">
      <alignment horizontal="center" vertical="center"/>
    </xf>
    <xf numFmtId="1" fontId="6" fillId="0" borderId="1116" xfId="0" applyNumberFormat="1" applyFont="1" applyBorder="1"/>
    <xf numFmtId="1" fontId="6" fillId="0" borderId="1164" xfId="0" applyNumberFormat="1" applyFont="1" applyBorder="1"/>
    <xf numFmtId="1" fontId="6" fillId="0" borderId="1391" xfId="0" applyNumberFormat="1" applyFont="1" applyBorder="1" applyAlignment="1">
      <alignment horizontal="center" vertical="center"/>
    </xf>
    <xf numFmtId="1" fontId="6" fillId="0" borderId="1388" xfId="0" applyNumberFormat="1" applyFont="1" applyBorder="1" applyAlignment="1">
      <alignment horizontal="center" vertical="center" wrapText="1"/>
    </xf>
    <xf numFmtId="1" fontId="6" fillId="0" borderId="1389" xfId="0" applyNumberFormat="1" applyFont="1" applyBorder="1"/>
    <xf numFmtId="1" fontId="6" fillId="0" borderId="1133" xfId="0" applyNumberFormat="1" applyFont="1" applyBorder="1"/>
    <xf numFmtId="1" fontId="6" fillId="0" borderId="697" xfId="0" applyNumberFormat="1" applyFont="1" applyBorder="1"/>
    <xf numFmtId="1" fontId="6" fillId="0" borderId="1373" xfId="0" applyNumberFormat="1" applyFont="1" applyBorder="1"/>
    <xf numFmtId="1" fontId="6" fillId="0" borderId="1396" xfId="0" applyNumberFormat="1" applyFont="1" applyBorder="1"/>
    <xf numFmtId="1" fontId="6" fillId="0" borderId="1389" xfId="0" applyNumberFormat="1" applyFont="1" applyBorder="1" applyAlignment="1">
      <alignment horizontal="center" vertical="center"/>
    </xf>
    <xf numFmtId="1" fontId="6" fillId="0" borderId="1396" xfId="0" applyNumberFormat="1" applyFont="1" applyBorder="1" applyAlignment="1">
      <alignment horizontal="center" vertical="center"/>
    </xf>
    <xf numFmtId="1" fontId="6" fillId="0" borderId="1394" xfId="0" applyNumberFormat="1" applyFont="1" applyBorder="1" applyAlignment="1">
      <alignment horizontal="center" vertical="center"/>
    </xf>
    <xf numFmtId="1" fontId="6" fillId="26" borderId="1130" xfId="0" applyNumberFormat="1" applyFont="1" applyFill="1" applyBorder="1" applyProtection="1">
      <protection locked="0"/>
    </xf>
    <xf numFmtId="1" fontId="6" fillId="26" borderId="1284" xfId="0" applyNumberFormat="1" applyFont="1" applyFill="1" applyBorder="1" applyProtection="1">
      <protection locked="0"/>
    </xf>
    <xf numFmtId="1" fontId="6" fillId="26" borderId="1164" xfId="0" applyNumberFormat="1" applyFont="1" applyFill="1" applyBorder="1" applyProtection="1">
      <protection locked="0"/>
    </xf>
    <xf numFmtId="1" fontId="6" fillId="26" borderId="1154" xfId="0" applyNumberFormat="1" applyFont="1" applyFill="1" applyBorder="1" applyProtection="1">
      <protection locked="0"/>
    </xf>
    <xf numFmtId="1" fontId="6" fillId="0" borderId="1284" xfId="0" applyNumberFormat="1" applyFont="1" applyBorder="1"/>
    <xf numFmtId="1" fontId="6" fillId="0" borderId="1130" xfId="0" applyNumberFormat="1" applyFont="1" applyBorder="1"/>
    <xf numFmtId="1" fontId="6" fillId="0" borderId="1393" xfId="0" applyNumberFormat="1" applyFont="1" applyBorder="1" applyAlignment="1">
      <alignment vertical="center" wrapText="1"/>
    </xf>
    <xf numFmtId="1" fontId="6" fillId="0" borderId="1391" xfId="0" applyNumberFormat="1" applyFont="1" applyBorder="1" applyAlignment="1">
      <alignment horizontal="center" vertical="center" wrapText="1"/>
    </xf>
    <xf numFmtId="1" fontId="6" fillId="0" borderId="1390" xfId="0" applyNumberFormat="1" applyFont="1" applyBorder="1" applyAlignment="1">
      <alignment horizontal="center" vertical="center"/>
    </xf>
    <xf numFmtId="1" fontId="6" fillId="0" borderId="1372" xfId="0" applyNumberFormat="1" applyFont="1" applyBorder="1" applyAlignment="1">
      <alignment horizontal="center" vertical="center" wrapText="1"/>
    </xf>
    <xf numFmtId="1" fontId="4" fillId="3" borderId="1397" xfId="0" applyNumberFormat="1" applyFont="1" applyFill="1" applyBorder="1" applyAlignment="1">
      <alignment horizontal="left"/>
    </xf>
    <xf numFmtId="1" fontId="6" fillId="0" borderId="1414" xfId="0" applyNumberFormat="1" applyFont="1" applyBorder="1" applyAlignment="1">
      <alignment horizontal="center" vertical="center"/>
    </xf>
    <xf numFmtId="1" fontId="6" fillId="26" borderId="1155" xfId="0" applyNumberFormat="1" applyFont="1" applyFill="1" applyBorder="1" applyProtection="1">
      <protection locked="0"/>
    </xf>
    <xf numFmtId="1" fontId="6" fillId="26" borderId="1117" xfId="0" applyNumberFormat="1" applyFont="1" applyFill="1" applyBorder="1" applyProtection="1">
      <protection locked="0"/>
    </xf>
    <xf numFmtId="1" fontId="6" fillId="0" borderId="1421" xfId="0" applyNumberFormat="1" applyFont="1" applyBorder="1" applyAlignment="1">
      <alignment horizontal="center" vertical="center" wrapText="1"/>
    </xf>
    <xf numFmtId="1" fontId="6" fillId="15" borderId="1426" xfId="0" applyNumberFormat="1" applyFont="1" applyFill="1" applyBorder="1" applyProtection="1">
      <protection locked="0"/>
    </xf>
    <xf numFmtId="1" fontId="6" fillId="15" borderId="1182" xfId="0" applyNumberFormat="1" applyFont="1" applyFill="1" applyBorder="1" applyProtection="1">
      <protection locked="0"/>
    </xf>
    <xf numFmtId="1" fontId="6" fillId="0" borderId="1431" xfId="0" applyNumberFormat="1" applyFont="1" applyBorder="1" applyAlignment="1">
      <alignment horizontal="right" wrapText="1"/>
    </xf>
    <xf numFmtId="1" fontId="6" fillId="5" borderId="1432" xfId="0" applyNumberFormat="1" applyFont="1" applyFill="1" applyBorder="1" applyProtection="1">
      <protection locked="0"/>
    </xf>
    <xf numFmtId="1" fontId="6" fillId="5" borderId="1426" xfId="0" applyNumberFormat="1" applyFont="1" applyFill="1" applyBorder="1" applyProtection="1">
      <protection locked="0"/>
    </xf>
    <xf numFmtId="1" fontId="6" fillId="5" borderId="1433" xfId="0" applyNumberFormat="1" applyFont="1" applyFill="1" applyBorder="1" applyProtection="1">
      <protection locked="0"/>
    </xf>
    <xf numFmtId="1" fontId="6" fillId="12" borderId="1445" xfId="0" applyNumberFormat="1" applyFont="1" applyFill="1" applyBorder="1"/>
    <xf numFmtId="1" fontId="6" fillId="4" borderId="1042" xfId="0" applyNumberFormat="1" applyFont="1" applyFill="1" applyBorder="1"/>
    <xf numFmtId="1" fontId="6" fillId="4" borderId="1039" xfId="0" applyNumberFormat="1" applyFont="1" applyFill="1" applyBorder="1"/>
    <xf numFmtId="1" fontId="6" fillId="0" borderId="1137" xfId="0" applyNumberFormat="1" applyFont="1" applyBorder="1" applyAlignment="1">
      <alignment horizontal="left" wrapText="1"/>
    </xf>
    <xf numFmtId="1" fontId="6" fillId="4" borderId="1283" xfId="0" applyNumberFormat="1" applyFont="1" applyFill="1" applyBorder="1"/>
    <xf numFmtId="1" fontId="6" fillId="4" borderId="1191" xfId="0" applyNumberFormat="1" applyFont="1" applyFill="1" applyBorder="1"/>
    <xf numFmtId="1" fontId="6" fillId="0" borderId="1442" xfId="4" applyNumberFormat="1" applyFont="1" applyFill="1" applyBorder="1" applyAlignment="1">
      <alignment horizontal="center" vertical="center" wrapText="1"/>
    </xf>
    <xf numFmtId="1" fontId="6" fillId="5" borderId="1443" xfId="1" applyNumberFormat="1" applyFont="1" applyFill="1" applyBorder="1" applyProtection="1">
      <protection locked="0"/>
    </xf>
    <xf numFmtId="1" fontId="6" fillId="5" borderId="1035" xfId="1" applyNumberFormat="1" applyFont="1" applyFill="1" applyBorder="1" applyProtection="1">
      <protection locked="0"/>
    </xf>
    <xf numFmtId="1" fontId="6" fillId="5" borderId="1141" xfId="1" applyNumberFormat="1" applyFont="1" applyFill="1" applyBorder="1" applyProtection="1">
      <protection locked="0"/>
    </xf>
    <xf numFmtId="1" fontId="6" fillId="0" borderId="1442" xfId="1" applyNumberFormat="1" applyFont="1" applyBorder="1" applyAlignment="1">
      <alignment horizontal="right"/>
    </xf>
    <xf numFmtId="1" fontId="6" fillId="5" borderId="1446" xfId="1" applyNumberFormat="1" applyFont="1" applyFill="1" applyBorder="1" applyProtection="1">
      <protection locked="0"/>
    </xf>
    <xf numFmtId="1" fontId="6" fillId="5" borderId="1058" xfId="1" applyNumberFormat="1" applyFont="1" applyFill="1" applyBorder="1" applyProtection="1">
      <protection locked="0"/>
    </xf>
    <xf numFmtId="1" fontId="6" fillId="5" borderId="1283" xfId="1" applyNumberFormat="1" applyFont="1" applyFill="1" applyBorder="1" applyProtection="1">
      <protection locked="0"/>
    </xf>
    <xf numFmtId="1" fontId="6" fillId="0" borderId="1441" xfId="1" applyNumberFormat="1" applyFont="1" applyBorder="1" applyAlignment="1">
      <alignment horizontal="right"/>
    </xf>
    <xf numFmtId="1" fontId="6" fillId="0" borderId="1154" xfId="0" applyNumberFormat="1" applyFont="1" applyBorder="1" applyAlignment="1">
      <alignment horizontal="right" wrapText="1"/>
    </xf>
    <xf numFmtId="1" fontId="6" fillId="0" borderId="1193" xfId="0" applyNumberFormat="1" applyFont="1" applyBorder="1" applyAlignment="1">
      <alignment horizontal="right" wrapText="1"/>
    </xf>
    <xf numFmtId="1" fontId="6" fillId="0" borderId="1155" xfId="0" applyNumberFormat="1" applyFont="1" applyBorder="1" applyAlignment="1">
      <alignment horizontal="right" wrapText="1"/>
    </xf>
    <xf numFmtId="1" fontId="6" fillId="5" borderId="1448" xfId="0" applyNumberFormat="1" applyFont="1" applyFill="1" applyBorder="1" applyProtection="1">
      <protection locked="0"/>
    </xf>
    <xf numFmtId="1" fontId="6" fillId="5" borderId="1459" xfId="0" applyNumberFormat="1" applyFont="1" applyFill="1" applyBorder="1" applyProtection="1">
      <protection locked="0"/>
    </xf>
    <xf numFmtId="1" fontId="6" fillId="0" borderId="50" xfId="0" applyNumberFormat="1" applyFont="1" applyBorder="1" applyAlignment="1">
      <alignment vertical="center" wrapText="1"/>
    </xf>
    <xf numFmtId="1" fontId="6" fillId="0" borderId="606" xfId="28" applyNumberFormat="1" applyFont="1" applyBorder="1" applyAlignment="1">
      <alignment horizontal="left"/>
    </xf>
    <xf numFmtId="1" fontId="6" fillId="0" borderId="607" xfId="28" applyNumberFormat="1" applyFont="1" applyBorder="1" applyAlignment="1">
      <alignment horizontal="left"/>
    </xf>
    <xf numFmtId="1" fontId="6" fillId="0" borderId="572" xfId="28" applyNumberFormat="1" applyFont="1" applyBorder="1" applyAlignment="1">
      <alignment horizontal="left"/>
    </xf>
    <xf numFmtId="1" fontId="6" fillId="0" borderId="1437" xfId="0" applyNumberFormat="1" applyFont="1" applyBorder="1" applyAlignment="1">
      <alignment horizontal="right" wrapText="1"/>
    </xf>
    <xf numFmtId="1" fontId="6" fillId="0" borderId="1430" xfId="0" applyNumberFormat="1" applyFont="1" applyBorder="1" applyAlignment="1">
      <alignment horizontal="right" wrapText="1"/>
    </xf>
    <xf numFmtId="1" fontId="6" fillId="0" borderId="1438" xfId="0" applyNumberFormat="1" applyFont="1" applyBorder="1"/>
    <xf numFmtId="1" fontId="6" fillId="0" borderId="1284" xfId="0" applyNumberFormat="1" applyFont="1" applyBorder="1" applyAlignment="1">
      <alignment horizontal="right" wrapText="1"/>
    </xf>
    <xf numFmtId="1" fontId="6" fillId="0" borderId="1285" xfId="0" applyNumberFormat="1" applyFont="1" applyBorder="1" applyAlignment="1">
      <alignment horizontal="right" wrapText="1"/>
    </xf>
    <xf numFmtId="1" fontId="6" fillId="0" borderId="1117" xfId="0" applyNumberFormat="1" applyFont="1" applyBorder="1" applyAlignment="1">
      <alignment horizontal="right" wrapText="1"/>
    </xf>
    <xf numFmtId="1" fontId="6" fillId="0" borderId="440" xfId="0" applyNumberFormat="1" applyFont="1" applyBorder="1"/>
    <xf numFmtId="1" fontId="6" fillId="0" borderId="1144" xfId="0" applyNumberFormat="1" applyFont="1" applyBorder="1"/>
    <xf numFmtId="1" fontId="6" fillId="0" borderId="1143" xfId="0" applyNumberFormat="1" applyFont="1" applyBorder="1"/>
    <xf numFmtId="1" fontId="6" fillId="5" borderId="1464" xfId="0" applyNumberFormat="1" applyFont="1" applyFill="1" applyBorder="1" applyProtection="1">
      <protection locked="0"/>
    </xf>
    <xf numFmtId="1" fontId="6" fillId="5" borderId="1471" xfId="0" applyNumberFormat="1" applyFont="1" applyFill="1" applyBorder="1" applyProtection="1">
      <protection locked="0"/>
    </xf>
    <xf numFmtId="1" fontId="6" fillId="0" borderId="1290" xfId="0" applyNumberFormat="1" applyFont="1" applyBorder="1" applyAlignment="1">
      <alignment horizontal="left" wrapText="1"/>
    </xf>
    <xf numFmtId="1" fontId="6" fillId="5" borderId="1445" xfId="0" applyNumberFormat="1" applyFont="1" applyFill="1" applyBorder="1" applyProtection="1">
      <protection locked="0"/>
    </xf>
    <xf numFmtId="1" fontId="6" fillId="5" borderId="1289" xfId="0" applyNumberFormat="1" applyFont="1" applyFill="1" applyBorder="1" applyProtection="1">
      <protection locked="0"/>
    </xf>
    <xf numFmtId="1" fontId="6" fillId="0" borderId="1290" xfId="0" applyNumberFormat="1" applyFont="1" applyBorder="1" applyAlignment="1">
      <alignment vertical="center" wrapText="1"/>
    </xf>
    <xf numFmtId="1" fontId="6" fillId="0" borderId="1349" xfId="0" applyNumberFormat="1" applyFont="1" applyBorder="1"/>
    <xf numFmtId="1" fontId="6" fillId="26" borderId="1349" xfId="0" applyNumberFormat="1" applyFont="1" applyFill="1" applyBorder="1" applyProtection="1">
      <protection locked="0"/>
    </xf>
    <xf numFmtId="1" fontId="6" fillId="0" borderId="1287" xfId="0" applyNumberFormat="1" applyFont="1" applyBorder="1" applyAlignment="1">
      <alignment vertical="center" wrapText="1"/>
    </xf>
    <xf numFmtId="1" fontId="6" fillId="0" borderId="824" xfId="0" applyNumberFormat="1" applyFont="1" applyBorder="1" applyAlignment="1">
      <alignment horizontal="right"/>
    </xf>
    <xf numFmtId="1" fontId="6" fillId="5" borderId="1518" xfId="0" applyNumberFormat="1" applyFont="1" applyFill="1" applyBorder="1" applyProtection="1">
      <protection locked="0"/>
    </xf>
    <xf numFmtId="1" fontId="6" fillId="5" borderId="1522" xfId="0" applyNumberFormat="1" applyFont="1" applyFill="1" applyBorder="1" applyProtection="1">
      <protection locked="0"/>
    </xf>
    <xf numFmtId="1" fontId="6" fillId="5" borderId="1526" xfId="0" applyNumberFormat="1" applyFont="1" applyFill="1" applyBorder="1" applyProtection="1">
      <protection locked="0"/>
    </xf>
    <xf numFmtId="1" fontId="6" fillId="5" borderId="1520" xfId="0" applyNumberFormat="1" applyFont="1" applyFill="1" applyBorder="1" applyProtection="1">
      <protection locked="0"/>
    </xf>
    <xf numFmtId="1" fontId="6" fillId="5" borderId="1517" xfId="0" applyNumberFormat="1" applyFont="1" applyFill="1" applyBorder="1" applyProtection="1">
      <protection locked="0"/>
    </xf>
    <xf numFmtId="1" fontId="6" fillId="5" borderId="1525" xfId="0" applyNumberFormat="1" applyFont="1" applyFill="1" applyBorder="1" applyProtection="1">
      <protection locked="0"/>
    </xf>
    <xf numFmtId="1" fontId="6" fillId="5" borderId="1519" xfId="0" applyNumberFormat="1" applyFont="1" applyFill="1" applyBorder="1" applyProtection="1">
      <protection locked="0"/>
    </xf>
    <xf numFmtId="1" fontId="6" fillId="5" borderId="1524" xfId="0" applyNumberFormat="1" applyFont="1" applyFill="1" applyBorder="1" applyProtection="1">
      <protection locked="0"/>
    </xf>
    <xf numFmtId="1" fontId="6" fillId="5" borderId="1531" xfId="0" applyNumberFormat="1" applyFont="1" applyFill="1" applyBorder="1" applyProtection="1">
      <protection locked="0"/>
    </xf>
    <xf numFmtId="1" fontId="6" fillId="5" borderId="1532" xfId="0" applyNumberFormat="1" applyFont="1" applyFill="1" applyBorder="1" applyProtection="1">
      <protection locked="0"/>
    </xf>
    <xf numFmtId="1" fontId="6" fillId="5" borderId="1476" xfId="0" applyNumberFormat="1" applyFont="1" applyFill="1" applyBorder="1" applyProtection="1">
      <protection locked="0"/>
    </xf>
    <xf numFmtId="1" fontId="6" fillId="5" borderId="1039" xfId="0" applyNumberFormat="1" applyFont="1" applyFill="1" applyBorder="1" applyProtection="1">
      <protection locked="0"/>
    </xf>
    <xf numFmtId="1" fontId="6" fillId="0" borderId="1532" xfId="0" applyNumberFormat="1" applyFont="1" applyBorder="1"/>
    <xf numFmtId="1" fontId="6" fillId="0" borderId="1517" xfId="0" applyNumberFormat="1" applyFont="1" applyBorder="1"/>
    <xf numFmtId="1" fontId="6" fillId="0" borderId="1518" xfId="0" applyNumberFormat="1" applyFont="1" applyBorder="1"/>
    <xf numFmtId="1" fontId="6" fillId="0" borderId="1531" xfId="0" applyNumberFormat="1" applyFont="1" applyBorder="1"/>
    <xf numFmtId="1" fontId="6" fillId="0" borderId="1192" xfId="0" applyNumberFormat="1" applyFont="1" applyBorder="1"/>
    <xf numFmtId="1" fontId="6" fillId="4" borderId="1118" xfId="0" applyNumberFormat="1" applyFont="1" applyFill="1" applyBorder="1"/>
    <xf numFmtId="1" fontId="6" fillId="4" borderId="1531" xfId="0" applyNumberFormat="1" applyFont="1" applyFill="1" applyBorder="1"/>
    <xf numFmtId="1" fontId="6" fillId="4" borderId="1532" xfId="0" applyNumberFormat="1" applyFont="1" applyFill="1" applyBorder="1"/>
    <xf numFmtId="1" fontId="6" fillId="4" borderId="1517" xfId="0" applyNumberFormat="1" applyFont="1" applyFill="1" applyBorder="1"/>
    <xf numFmtId="1" fontId="6" fillId="4" borderId="1116" xfId="0" applyNumberFormat="1" applyFont="1" applyFill="1" applyBorder="1"/>
    <xf numFmtId="1" fontId="6" fillId="4" borderId="1525" xfId="0" applyNumberFormat="1" applyFont="1" applyFill="1" applyBorder="1"/>
    <xf numFmtId="1" fontId="6" fillId="4" borderId="1526" xfId="0" applyNumberFormat="1" applyFont="1" applyFill="1" applyBorder="1"/>
    <xf numFmtId="1" fontId="6" fillId="4" borderId="1533" xfId="0" applyNumberFormat="1" applyFont="1" applyFill="1" applyBorder="1"/>
    <xf numFmtId="1" fontId="6" fillId="4" borderId="1522" xfId="0" applyNumberFormat="1" applyFont="1" applyFill="1" applyBorder="1"/>
    <xf numFmtId="1" fontId="6" fillId="4" borderId="1534" xfId="0" applyNumberFormat="1" applyFont="1" applyFill="1" applyBorder="1"/>
    <xf numFmtId="1" fontId="6" fillId="5" borderId="1533" xfId="0" applyNumberFormat="1" applyFont="1" applyFill="1" applyBorder="1" applyProtection="1">
      <protection locked="0"/>
    </xf>
    <xf numFmtId="1" fontId="6" fillId="26" borderId="1518" xfId="0" applyNumberFormat="1" applyFont="1" applyFill="1" applyBorder="1" applyProtection="1">
      <protection locked="0"/>
    </xf>
    <xf numFmtId="1" fontId="6" fillId="26" borderId="1531" xfId="0" applyNumberFormat="1" applyFont="1" applyFill="1" applyBorder="1" applyProtection="1">
      <protection locked="0"/>
    </xf>
    <xf numFmtId="1" fontId="6" fillId="26" borderId="1520" xfId="0" applyNumberFormat="1" applyFont="1" applyFill="1" applyBorder="1" applyProtection="1">
      <protection locked="0"/>
    </xf>
    <xf numFmtId="1" fontId="6" fillId="5" borderId="1534" xfId="0" applyNumberFormat="1" applyFont="1" applyFill="1" applyBorder="1" applyProtection="1">
      <protection locked="0"/>
    </xf>
    <xf numFmtId="1" fontId="6" fillId="26" borderId="1192" xfId="0" applyNumberFormat="1" applyFont="1" applyFill="1" applyBorder="1" applyProtection="1">
      <protection locked="0"/>
    </xf>
    <xf numFmtId="1" fontId="6" fillId="0" borderId="1448" xfId="0" applyNumberFormat="1" applyFont="1" applyBorder="1"/>
    <xf numFmtId="1" fontId="6" fillId="0" borderId="1523" xfId="0" applyNumberFormat="1" applyFont="1" applyBorder="1"/>
    <xf numFmtId="1" fontId="6" fillId="4" borderId="1120" xfId="0" applyNumberFormat="1" applyFont="1" applyFill="1" applyBorder="1"/>
    <xf numFmtId="1" fontId="6" fillId="15" borderId="1117" xfId="0" applyNumberFormat="1" applyFont="1" applyFill="1" applyBorder="1" applyProtection="1">
      <protection locked="0"/>
    </xf>
    <xf numFmtId="1" fontId="6" fillId="4" borderId="1520" xfId="0" applyNumberFormat="1" applyFont="1" applyFill="1" applyBorder="1"/>
    <xf numFmtId="1" fontId="6" fillId="0" borderId="1549" xfId="0" applyNumberFormat="1" applyFont="1" applyBorder="1"/>
    <xf numFmtId="1" fontId="6" fillId="0" borderId="1550" xfId="0" applyNumberFormat="1" applyFont="1" applyBorder="1" applyAlignment="1">
      <alignment horizontal="center" vertical="center"/>
    </xf>
    <xf numFmtId="1" fontId="6" fillId="0" borderId="1551" xfId="0" applyNumberFormat="1" applyFont="1" applyBorder="1" applyAlignment="1">
      <alignment horizontal="center" vertical="center"/>
    </xf>
    <xf numFmtId="1" fontId="6" fillId="0" borderId="1552" xfId="0" applyNumberFormat="1" applyFont="1" applyBorder="1" applyAlignment="1">
      <alignment horizontal="center" vertical="center"/>
    </xf>
    <xf numFmtId="1" fontId="6" fillId="0" borderId="1549" xfId="0" applyNumberFormat="1" applyFont="1" applyBorder="1" applyAlignment="1">
      <alignment horizontal="center" vertical="center"/>
    </xf>
    <xf numFmtId="1" fontId="6" fillId="5" borderId="1553" xfId="0" applyNumberFormat="1" applyFont="1" applyFill="1" applyBorder="1" applyProtection="1">
      <protection locked="0"/>
    </xf>
    <xf numFmtId="1" fontId="6" fillId="0" borderId="1554" xfId="0" applyNumberFormat="1" applyFont="1" applyBorder="1" applyAlignment="1">
      <alignment horizontal="center" vertical="center"/>
    </xf>
    <xf numFmtId="1" fontId="6" fillId="5" borderId="1555" xfId="0" applyNumberFormat="1" applyFont="1" applyFill="1" applyBorder="1" applyProtection="1">
      <protection locked="0"/>
    </xf>
    <xf numFmtId="1" fontId="6" fillId="5" borderId="1556" xfId="0" applyNumberFormat="1" applyFont="1" applyFill="1" applyBorder="1" applyProtection="1">
      <protection locked="0"/>
    </xf>
    <xf numFmtId="1" fontId="6" fillId="26" borderId="1553" xfId="0" applyNumberFormat="1" applyFont="1" applyFill="1" applyBorder="1" applyProtection="1">
      <protection locked="0"/>
    </xf>
    <xf numFmtId="1" fontId="6" fillId="26" borderId="1448" xfId="0" applyNumberFormat="1" applyFont="1" applyFill="1" applyBorder="1" applyProtection="1">
      <protection locked="0"/>
    </xf>
    <xf numFmtId="1" fontId="6" fillId="26" borderId="1534" xfId="0" applyNumberFormat="1" applyFont="1" applyFill="1" applyBorder="1" applyProtection="1">
      <protection locked="0"/>
    </xf>
    <xf numFmtId="1" fontId="6" fillId="26" borderId="1116" xfId="0" applyNumberFormat="1" applyFont="1" applyFill="1" applyBorder="1" applyProtection="1">
      <protection locked="0"/>
    </xf>
    <xf numFmtId="1" fontId="6" fillId="26" borderId="1556" xfId="0" applyNumberFormat="1" applyFont="1" applyFill="1" applyBorder="1" applyProtection="1">
      <protection locked="0"/>
    </xf>
    <xf numFmtId="1" fontId="6" fillId="5" borderId="1548" xfId="0" applyNumberFormat="1" applyFont="1" applyFill="1" applyBorder="1" applyProtection="1">
      <protection locked="0"/>
    </xf>
    <xf numFmtId="1" fontId="6" fillId="5" borderId="1557" xfId="0" applyNumberFormat="1" applyFont="1" applyFill="1" applyBorder="1" applyProtection="1">
      <protection locked="0"/>
    </xf>
    <xf numFmtId="1" fontId="6" fillId="5" borderId="1558" xfId="0" applyNumberFormat="1" applyFont="1" applyFill="1" applyBorder="1" applyProtection="1">
      <protection locked="0"/>
    </xf>
    <xf numFmtId="1" fontId="6" fillId="5" borderId="1559" xfId="0" applyNumberFormat="1" applyFont="1" applyFill="1" applyBorder="1" applyProtection="1">
      <protection locked="0"/>
    </xf>
    <xf numFmtId="1" fontId="6" fillId="0" borderId="611" xfId="0" applyNumberFormat="1" applyFont="1" applyBorder="1" applyAlignment="1">
      <alignment horizontal="left" vertical="center"/>
    </xf>
    <xf numFmtId="1" fontId="6" fillId="0" borderId="600" xfId="0" applyNumberFormat="1" applyFont="1" applyBorder="1" applyAlignment="1">
      <alignment horizontal="left" vertical="center"/>
    </xf>
    <xf numFmtId="1" fontId="6" fillId="0" borderId="544" xfId="0" applyNumberFormat="1" applyFont="1" applyBorder="1" applyAlignment="1">
      <alignment horizontal="left" vertical="center" wrapText="1"/>
    </xf>
    <xf numFmtId="1" fontId="6" fillId="0" borderId="1550" xfId="0" applyNumberFormat="1" applyFont="1" applyBorder="1"/>
    <xf numFmtId="1" fontId="6" fillId="0" borderId="1551" xfId="0" applyNumberFormat="1" applyFont="1" applyBorder="1"/>
    <xf numFmtId="1" fontId="6" fillId="4" borderId="1518" xfId="0" applyNumberFormat="1" applyFont="1" applyFill="1" applyBorder="1"/>
    <xf numFmtId="1" fontId="6" fillId="3" borderId="1549" xfId="0" applyNumberFormat="1" applyFont="1" applyFill="1" applyBorder="1"/>
    <xf numFmtId="1" fontId="6" fillId="0" borderId="1563" xfId="0" applyNumberFormat="1" applyFont="1" applyBorder="1" applyAlignment="1">
      <alignment horizontal="center" vertical="center" wrapText="1"/>
    </xf>
    <xf numFmtId="1" fontId="6" fillId="0" borderId="1552" xfId="0" applyNumberFormat="1" applyFont="1" applyBorder="1"/>
    <xf numFmtId="1" fontId="6" fillId="3" borderId="1554" xfId="0" applyNumberFormat="1" applyFont="1" applyFill="1" applyBorder="1"/>
    <xf numFmtId="1" fontId="6" fillId="3" borderId="1565" xfId="0" applyNumberFormat="1" applyFont="1" applyFill="1" applyBorder="1"/>
    <xf numFmtId="1" fontId="6" fillId="3" borderId="1547" xfId="0" applyNumberFormat="1" applyFont="1" applyFill="1" applyBorder="1"/>
    <xf numFmtId="1" fontId="6" fillId="5" borderId="1566" xfId="0" applyNumberFormat="1" applyFont="1" applyFill="1" applyBorder="1" applyProtection="1">
      <protection locked="0"/>
    </xf>
    <xf numFmtId="1" fontId="6" fillId="4" borderId="1566" xfId="0" applyNumberFormat="1" applyFont="1" applyFill="1" applyBorder="1"/>
    <xf numFmtId="1" fontId="6" fillId="4" borderId="1535" xfId="0" applyNumberFormat="1" applyFont="1" applyFill="1" applyBorder="1"/>
    <xf numFmtId="1" fontId="6" fillId="5" borderId="1539" xfId="0" applyNumberFormat="1" applyFont="1" applyFill="1" applyBorder="1" applyProtection="1">
      <protection locked="0"/>
    </xf>
    <xf numFmtId="1" fontId="6" fillId="3" borderId="1543" xfId="0" applyNumberFormat="1" applyFont="1" applyFill="1" applyBorder="1"/>
    <xf numFmtId="1" fontId="6" fillId="3" borderId="1550" xfId="0" applyNumberFormat="1" applyFont="1" applyFill="1" applyBorder="1"/>
    <xf numFmtId="1" fontId="6" fillId="5" borderId="1563" xfId="0" applyNumberFormat="1" applyFont="1" applyFill="1" applyBorder="1" applyProtection="1">
      <protection locked="0"/>
    </xf>
    <xf numFmtId="1" fontId="6" fillId="0" borderId="1564" xfId="0" applyNumberFormat="1" applyFont="1" applyBorder="1" applyAlignment="1">
      <alignment horizontal="center" vertical="center" wrapText="1"/>
    </xf>
    <xf numFmtId="1" fontId="13" fillId="0" borderId="447" xfId="2" applyNumberFormat="1" applyFont="1" applyBorder="1" applyAlignment="1">
      <alignment vertical="center"/>
    </xf>
    <xf numFmtId="1" fontId="6" fillId="0" borderId="50" xfId="0" applyNumberFormat="1" applyFont="1" applyBorder="1" applyAlignment="1" applyProtection="1">
      <alignment vertical="center" wrapText="1"/>
      <protection locked="0"/>
    </xf>
    <xf numFmtId="1" fontId="6" fillId="26" borderId="1003" xfId="0" applyNumberFormat="1" applyFont="1" applyFill="1" applyBorder="1" applyProtection="1">
      <protection locked="0"/>
    </xf>
    <xf numFmtId="1" fontId="6" fillId="26" borderId="1569" xfId="0" applyNumberFormat="1" applyFont="1" applyFill="1" applyBorder="1" applyProtection="1">
      <protection locked="0"/>
    </xf>
    <xf numFmtId="1" fontId="6" fillId="3" borderId="1551" xfId="0" applyNumberFormat="1" applyFont="1" applyFill="1" applyBorder="1"/>
    <xf numFmtId="1" fontId="6" fillId="26" borderId="1560" xfId="0" applyNumberFormat="1" applyFont="1" applyFill="1" applyBorder="1" applyProtection="1">
      <protection locked="0"/>
    </xf>
    <xf numFmtId="1" fontId="6" fillId="5" borderId="1570" xfId="0" applyNumberFormat="1" applyFont="1" applyFill="1" applyBorder="1" applyProtection="1">
      <protection locked="0"/>
    </xf>
    <xf numFmtId="1" fontId="6" fillId="0" borderId="1550" xfId="0" applyNumberFormat="1" applyFont="1" applyBorder="1" applyAlignment="1">
      <alignment horizontal="center" vertical="center" wrapText="1"/>
    </xf>
    <xf numFmtId="1" fontId="6" fillId="5" borderId="1571" xfId="0" applyNumberFormat="1" applyFont="1" applyFill="1" applyBorder="1" applyProtection="1">
      <protection locked="0"/>
    </xf>
    <xf numFmtId="1" fontId="6" fillId="12" borderId="1164" xfId="0" applyNumberFormat="1" applyFont="1" applyFill="1" applyBorder="1" applyAlignment="1">
      <alignment wrapText="1"/>
    </xf>
    <xf numFmtId="1" fontId="6" fillId="12" borderId="1518" xfId="0" applyNumberFormat="1" applyFont="1" applyFill="1" applyBorder="1" applyAlignment="1">
      <alignment wrapText="1"/>
    </xf>
    <xf numFmtId="1" fontId="6" fillId="0" borderId="1521" xfId="0" applyNumberFormat="1" applyFont="1" applyBorder="1" applyAlignment="1">
      <alignment horizontal="right" wrapText="1"/>
    </xf>
    <xf numFmtId="1" fontId="6" fillId="5" borderId="1535" xfId="0" applyNumberFormat="1" applyFont="1" applyFill="1" applyBorder="1" applyProtection="1">
      <protection locked="0"/>
    </xf>
    <xf numFmtId="1" fontId="6" fillId="3" borderId="1140" xfId="0" applyNumberFormat="1" applyFont="1" applyFill="1" applyBorder="1" applyAlignment="1">
      <alignment horizontal="right" wrapText="1"/>
    </xf>
    <xf numFmtId="1" fontId="6" fillId="4" borderId="1038" xfId="0" applyNumberFormat="1" applyFont="1" applyFill="1" applyBorder="1"/>
    <xf numFmtId="1" fontId="6" fillId="14" borderId="1158" xfId="0" applyNumberFormat="1" applyFont="1" applyFill="1" applyBorder="1" applyAlignment="1">
      <alignment vertical="center"/>
    </xf>
    <xf numFmtId="1" fontId="6" fillId="4" borderId="1164" xfId="0" applyNumberFormat="1" applyFont="1" applyFill="1" applyBorder="1"/>
    <xf numFmtId="1" fontId="6" fillId="3" borderId="517" xfId="14" applyNumberFormat="1" applyFont="1" applyFill="1" applyBorder="1" applyAlignment="1">
      <alignment horizontal="right"/>
    </xf>
    <xf numFmtId="1" fontId="6" fillId="0" borderId="1274" xfId="0" applyNumberFormat="1" applyFont="1" applyBorder="1"/>
    <xf numFmtId="1" fontId="9" fillId="3" borderId="1579" xfId="0" applyNumberFormat="1" applyFont="1" applyFill="1" applyBorder="1"/>
    <xf numFmtId="1" fontId="6" fillId="0" borderId="1582" xfId="0" applyNumberFormat="1" applyFont="1" applyBorder="1" applyAlignment="1">
      <alignment horizontal="center" vertical="center" wrapText="1"/>
    </xf>
    <xf numFmtId="1" fontId="6" fillId="0" borderId="1583" xfId="0" applyNumberFormat="1" applyFont="1" applyBorder="1" applyAlignment="1">
      <alignment horizontal="center" vertical="center" wrapText="1"/>
    </xf>
    <xf numFmtId="1" fontId="6" fillId="0" borderId="1584" xfId="0" applyNumberFormat="1" applyFont="1" applyBorder="1" applyAlignment="1">
      <alignment horizontal="center" vertical="center" wrapText="1"/>
    </xf>
    <xf numFmtId="1" fontId="6" fillId="0" borderId="1578" xfId="0" applyNumberFormat="1" applyFont="1" applyBorder="1" applyAlignment="1">
      <alignment horizontal="center" vertical="center" wrapText="1"/>
    </xf>
    <xf numFmtId="1" fontId="6" fillId="0" borderId="1581" xfId="0" applyNumberFormat="1" applyFont="1" applyBorder="1" applyAlignment="1">
      <alignment horizontal="center" vertical="center" wrapText="1"/>
    </xf>
    <xf numFmtId="1" fontId="6" fillId="0" borderId="1521" xfId="0" applyNumberFormat="1" applyFont="1" applyBorder="1"/>
    <xf numFmtId="1" fontId="6" fillId="0" borderId="1534" xfId="0" applyNumberFormat="1" applyFont="1" applyBorder="1"/>
    <xf numFmtId="1" fontId="6" fillId="3" borderId="1525" xfId="0" applyNumberFormat="1" applyFont="1" applyFill="1" applyBorder="1"/>
    <xf numFmtId="1" fontId="6" fillId="5" borderId="1445" xfId="0" applyNumberFormat="1" applyFont="1" applyFill="1" applyBorder="1" applyAlignment="1" applyProtection="1">
      <alignment wrapText="1"/>
      <protection locked="0"/>
    </xf>
    <xf numFmtId="1" fontId="6" fillId="5" borderId="1525" xfId="0" applyNumberFormat="1" applyFont="1" applyFill="1" applyBorder="1" applyAlignment="1" applyProtection="1">
      <alignment wrapText="1"/>
      <protection locked="0"/>
    </xf>
    <xf numFmtId="1" fontId="6" fillId="0" borderId="370" xfId="0" applyNumberFormat="1" applyFont="1" applyBorder="1"/>
    <xf numFmtId="1" fontId="6" fillId="0" borderId="1519" xfId="0" applyNumberFormat="1" applyFont="1" applyBorder="1"/>
    <xf numFmtId="1" fontId="6" fillId="3" borderId="1117" xfId="0" applyNumberFormat="1" applyFont="1" applyFill="1" applyBorder="1"/>
    <xf numFmtId="1" fontId="6" fillId="0" borderId="1445" xfId="0" applyNumberFormat="1" applyFont="1" applyBorder="1" applyAlignment="1">
      <alignment horizontal="right"/>
    </xf>
    <xf numFmtId="1" fontId="6" fillId="0" borderId="1525" xfId="0" applyNumberFormat="1" applyFont="1" applyBorder="1" applyAlignment="1">
      <alignment horizontal="right"/>
    </xf>
    <xf numFmtId="1" fontId="6" fillId="5" borderId="1585" xfId="0" applyNumberFormat="1" applyFont="1" applyFill="1" applyBorder="1" applyAlignment="1" applyProtection="1">
      <alignment horizontal="right"/>
      <protection locked="0"/>
    </xf>
    <xf numFmtId="1" fontId="6" fillId="5" borderId="370" xfId="0" applyNumberFormat="1" applyFont="1" applyFill="1" applyBorder="1" applyAlignment="1" applyProtection="1">
      <alignment horizontal="right"/>
      <protection locked="0"/>
    </xf>
    <xf numFmtId="1" fontId="6" fillId="5" borderId="1586" xfId="0" applyNumberFormat="1" applyFont="1" applyFill="1" applyBorder="1" applyAlignment="1" applyProtection="1">
      <alignment horizontal="right"/>
      <protection locked="0"/>
    </xf>
    <xf numFmtId="1" fontId="6" fillId="5" borderId="1578" xfId="0" applyNumberFormat="1" applyFont="1" applyFill="1" applyBorder="1" applyAlignment="1" applyProtection="1">
      <alignment horizontal="right"/>
      <protection locked="0"/>
    </xf>
    <xf numFmtId="1" fontId="6" fillId="0" borderId="1551" xfId="0" applyNumberFormat="1" applyFont="1" applyBorder="1" applyAlignment="1">
      <alignment horizontal="center" vertical="center" wrapText="1"/>
    </xf>
    <xf numFmtId="1" fontId="6" fillId="0" borderId="1552" xfId="0" applyNumberFormat="1" applyFont="1" applyBorder="1" applyAlignment="1">
      <alignment horizontal="center" vertical="center" wrapText="1"/>
    </xf>
    <xf numFmtId="1" fontId="6" fillId="5" borderId="1584" xfId="0" applyNumberFormat="1" applyFont="1" applyFill="1" applyBorder="1" applyAlignment="1" applyProtection="1">
      <alignment horizontal="right"/>
      <protection locked="0"/>
    </xf>
    <xf numFmtId="1" fontId="6" fillId="5" borderId="1551" xfId="0" applyNumberFormat="1" applyFont="1" applyFill="1" applyBorder="1" applyAlignment="1" applyProtection="1">
      <alignment horizontal="right"/>
      <protection locked="0"/>
    </xf>
    <xf numFmtId="1" fontId="6" fillId="5" borderId="1581" xfId="0" applyNumberFormat="1" applyFont="1" applyFill="1" applyBorder="1" applyAlignment="1" applyProtection="1">
      <alignment horizontal="right"/>
      <protection locked="0"/>
    </xf>
    <xf numFmtId="1" fontId="6" fillId="5" borderId="1443" xfId="0" applyNumberFormat="1" applyFont="1" applyFill="1" applyBorder="1" applyAlignment="1" applyProtection="1">
      <alignment horizontal="right"/>
      <protection locked="0"/>
    </xf>
    <xf numFmtId="1" fontId="6" fillId="5" borderId="1519" xfId="0" applyNumberFormat="1" applyFont="1" applyFill="1" applyBorder="1" applyAlignment="1" applyProtection="1">
      <alignment horizontal="right"/>
      <protection locked="0"/>
    </xf>
    <xf numFmtId="1" fontId="6" fillId="5" borderId="1120" xfId="0" applyNumberFormat="1" applyFont="1" applyFill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vertical="center" wrapText="1"/>
    </xf>
    <xf numFmtId="1" fontId="6" fillId="0" borderId="1554" xfId="0" applyNumberFormat="1" applyFont="1" applyBorder="1" applyAlignment="1">
      <alignment horizontal="center" vertical="center" wrapText="1"/>
    </xf>
    <xf numFmtId="1" fontId="6" fillId="12" borderId="1533" xfId="0" applyNumberFormat="1" applyFont="1" applyFill="1" applyBorder="1"/>
    <xf numFmtId="1" fontId="6" fillId="12" borderId="1525" xfId="0" applyNumberFormat="1" applyFont="1" applyFill="1" applyBorder="1"/>
    <xf numFmtId="1" fontId="6" fillId="0" borderId="1593" xfId="0" applyNumberFormat="1" applyFont="1" applyBorder="1" applyAlignment="1">
      <alignment horizontal="center" vertical="center" wrapText="1"/>
    </xf>
    <xf numFmtId="1" fontId="6" fillId="5" borderId="1593" xfId="0" applyNumberFormat="1" applyFont="1" applyFill="1" applyBorder="1" applyProtection="1">
      <protection locked="0"/>
    </xf>
    <xf numFmtId="1" fontId="6" fillId="5" borderId="1583" xfId="0" applyNumberFormat="1" applyFont="1" applyFill="1" applyBorder="1" applyProtection="1">
      <protection locked="0"/>
    </xf>
    <xf numFmtId="1" fontId="6" fillId="5" borderId="1590" xfId="0" applyNumberFormat="1" applyFont="1" applyFill="1" applyBorder="1" applyProtection="1">
      <protection locked="0"/>
    </xf>
    <xf numFmtId="1" fontId="6" fillId="5" borderId="1588" xfId="0" applyNumberFormat="1" applyFont="1" applyFill="1" applyBorder="1" applyProtection="1">
      <protection locked="0"/>
    </xf>
    <xf numFmtId="1" fontId="6" fillId="5" borderId="1517" xfId="0" applyNumberFormat="1" applyFont="1" applyFill="1" applyBorder="1" applyAlignment="1" applyProtection="1">
      <alignment horizontal="right"/>
      <protection locked="0"/>
    </xf>
    <xf numFmtId="1" fontId="6" fillId="0" borderId="1445" xfId="0" applyNumberFormat="1" applyFont="1" applyBorder="1"/>
    <xf numFmtId="1" fontId="6" fillId="5" borderId="1524" xfId="0" applyNumberFormat="1" applyFont="1" applyFill="1" applyBorder="1" applyAlignment="1" applyProtection="1">
      <alignment horizontal="right"/>
      <protection locked="0"/>
    </xf>
    <xf numFmtId="1" fontId="6" fillId="5" borderId="1607" xfId="0" applyNumberFormat="1" applyFont="1" applyFill="1" applyBorder="1" applyProtection="1">
      <protection locked="0"/>
    </xf>
    <xf numFmtId="1" fontId="6" fillId="5" borderId="1608" xfId="0" applyNumberFormat="1" applyFont="1" applyFill="1" applyBorder="1" applyProtection="1">
      <protection locked="0"/>
    </xf>
    <xf numFmtId="1" fontId="6" fillId="5" borderId="1606" xfId="0" applyNumberFormat="1" applyFont="1" applyFill="1" applyBorder="1" applyAlignment="1" applyProtection="1">
      <alignment wrapText="1"/>
      <protection locked="0"/>
    </xf>
    <xf numFmtId="1" fontId="6" fillId="0" borderId="823" xfId="0" applyNumberFormat="1" applyFont="1" applyBorder="1" applyAlignment="1">
      <alignment horizontal="left" vertical="center" wrapText="1"/>
    </xf>
    <xf numFmtId="1" fontId="6" fillId="0" borderId="347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vertical="center"/>
    </xf>
    <xf numFmtId="1" fontId="6" fillId="0" borderId="347" xfId="0" applyNumberFormat="1" applyFont="1" applyBorder="1" applyAlignment="1">
      <alignment vertical="center" wrapText="1"/>
    </xf>
    <xf numFmtId="1" fontId="6" fillId="0" borderId="722" xfId="0" applyNumberFormat="1" applyFont="1" applyBorder="1" applyAlignment="1">
      <alignment vertical="center"/>
    </xf>
    <xf numFmtId="1" fontId="6" fillId="0" borderId="1648" xfId="0" applyNumberFormat="1" applyFont="1" applyBorder="1" applyAlignment="1">
      <alignment horizontal="right" wrapText="1"/>
    </xf>
    <xf numFmtId="1" fontId="6" fillId="2" borderId="1652" xfId="9" applyNumberFormat="1" applyFont="1" applyBorder="1" applyAlignment="1" applyProtection="1">
      <alignment horizontal="right"/>
      <protection locked="0"/>
    </xf>
    <xf numFmtId="1" fontId="6" fillId="0" borderId="1649" xfId="0" applyNumberFormat="1" applyFont="1" applyBorder="1" applyAlignment="1">
      <alignment horizontal="right"/>
    </xf>
    <xf numFmtId="1" fontId="6" fillId="0" borderId="1079" xfId="0" applyNumberFormat="1" applyFont="1" applyBorder="1" applyAlignment="1">
      <alignment horizontal="right"/>
    </xf>
    <xf numFmtId="1" fontId="13" fillId="0" borderId="1649" xfId="0" applyNumberFormat="1" applyFont="1" applyBorder="1" applyAlignment="1">
      <alignment horizontal="left" vertical="center" wrapText="1"/>
    </xf>
    <xf numFmtId="1" fontId="6" fillId="0" borderId="1649" xfId="0" applyNumberFormat="1" applyFont="1" applyBorder="1"/>
    <xf numFmtId="1" fontId="6" fillId="0" borderId="1647" xfId="0" applyNumberFormat="1" applyFont="1" applyBorder="1"/>
    <xf numFmtId="1" fontId="6" fillId="0" borderId="1648" xfId="0" applyNumberFormat="1" applyFont="1" applyBorder="1" applyAlignment="1">
      <alignment horizontal="right"/>
    </xf>
    <xf numFmtId="1" fontId="13" fillId="0" borderId="1648" xfId="0" applyNumberFormat="1" applyFont="1" applyBorder="1" applyAlignment="1">
      <alignment horizontal="left" vertical="center"/>
    </xf>
    <xf numFmtId="1" fontId="6" fillId="2" borderId="1651" xfId="9" applyNumberFormat="1" applyFont="1" applyBorder="1" applyAlignment="1" applyProtection="1">
      <alignment horizontal="right"/>
      <protection locked="0"/>
    </xf>
    <xf numFmtId="1" fontId="6" fillId="5" borderId="1653" xfId="0" applyNumberFormat="1" applyFont="1" applyFill="1" applyBorder="1" applyProtection="1">
      <protection locked="0"/>
    </xf>
    <xf numFmtId="1" fontId="6" fillId="0" borderId="1646" xfId="0" applyNumberFormat="1" applyFont="1" applyBorder="1" applyAlignment="1">
      <alignment horizontal="right"/>
    </xf>
    <xf numFmtId="1" fontId="6" fillId="5" borderId="1635" xfId="0" applyNumberFormat="1" applyFont="1" applyFill="1" applyBorder="1" applyAlignment="1" applyProtection="1">
      <alignment wrapText="1"/>
      <protection locked="0"/>
    </xf>
    <xf numFmtId="1" fontId="6" fillId="3" borderId="1642" xfId="0" applyNumberFormat="1" applyFont="1" applyFill="1" applyBorder="1" applyAlignment="1">
      <alignment horizontal="center" vertical="center"/>
    </xf>
    <xf numFmtId="1" fontId="6" fillId="5" borderId="1634" xfId="0" applyNumberFormat="1" applyFont="1" applyFill="1" applyBorder="1" applyAlignment="1" applyProtection="1">
      <alignment wrapText="1"/>
      <protection locked="0"/>
    </xf>
    <xf numFmtId="1" fontId="6" fillId="5" borderId="1155" xfId="0" applyNumberFormat="1" applyFont="1" applyFill="1" applyBorder="1" applyAlignment="1" applyProtection="1">
      <alignment wrapText="1"/>
      <protection locked="0"/>
    </xf>
    <xf numFmtId="1" fontId="6" fillId="14" borderId="831" xfId="0" applyNumberFormat="1" applyFont="1" applyFill="1" applyBorder="1" applyAlignment="1">
      <alignment vertical="center" wrapText="1"/>
    </xf>
    <xf numFmtId="1" fontId="6" fillId="0" borderId="1649" xfId="0" applyNumberFormat="1" applyFont="1" applyBorder="1" applyAlignment="1">
      <alignment horizontal="right" wrapText="1"/>
    </xf>
    <xf numFmtId="1" fontId="6" fillId="3" borderId="35" xfId="0" applyNumberFormat="1" applyFont="1" applyFill="1" applyBorder="1" applyAlignment="1">
      <alignment vertical="center" wrapText="1"/>
    </xf>
    <xf numFmtId="1" fontId="6" fillId="5" borderId="1631" xfId="0" applyNumberFormat="1" applyFont="1" applyFill="1" applyBorder="1" applyProtection="1">
      <protection locked="0"/>
    </xf>
    <xf numFmtId="1" fontId="6" fillId="5" borderId="1635" xfId="0" applyNumberFormat="1" applyFont="1" applyFill="1" applyBorder="1" applyProtection="1">
      <protection locked="0"/>
    </xf>
    <xf numFmtId="1" fontId="6" fillId="5" borderId="1673" xfId="0" applyNumberFormat="1" applyFont="1" applyFill="1" applyBorder="1" applyProtection="1">
      <protection locked="0"/>
    </xf>
    <xf numFmtId="1" fontId="6" fillId="5" borderId="1675" xfId="0" applyNumberFormat="1" applyFont="1" applyFill="1" applyBorder="1" applyProtection="1">
      <protection locked="0"/>
    </xf>
    <xf numFmtId="1" fontId="6" fillId="5" borderId="1674" xfId="0" applyNumberFormat="1" applyFont="1" applyFill="1" applyBorder="1" applyProtection="1">
      <protection locked="0"/>
    </xf>
    <xf numFmtId="1" fontId="6" fillId="14" borderId="1676" xfId="0" applyNumberFormat="1" applyFont="1" applyFill="1" applyBorder="1" applyAlignment="1">
      <alignment wrapText="1"/>
    </xf>
    <xf numFmtId="1" fontId="6" fillId="5" borderId="1682" xfId="0" applyNumberFormat="1" applyFont="1" applyFill="1" applyBorder="1" applyProtection="1">
      <protection locked="0"/>
    </xf>
    <xf numFmtId="1" fontId="6" fillId="5" borderId="1685" xfId="0" applyNumberFormat="1" applyFont="1" applyFill="1" applyBorder="1" applyProtection="1">
      <protection locked="0"/>
    </xf>
    <xf numFmtId="1" fontId="6" fillId="5" borderId="1686" xfId="0" applyNumberFormat="1" applyFont="1" applyFill="1" applyBorder="1" applyProtection="1">
      <protection locked="0"/>
    </xf>
    <xf numFmtId="1" fontId="6" fillId="5" borderId="1691" xfId="0" applyNumberFormat="1" applyFont="1" applyFill="1" applyBorder="1" applyProtection="1">
      <protection locked="0"/>
    </xf>
    <xf numFmtId="1" fontId="6" fillId="0" borderId="1696" xfId="0" applyNumberFormat="1" applyFont="1" applyBorder="1" applyAlignment="1">
      <alignment horizontal="center" vertical="center" wrapText="1"/>
    </xf>
    <xf numFmtId="1" fontId="6" fillId="5" borderId="1699" xfId="0" applyNumberFormat="1" applyFont="1" applyFill="1" applyBorder="1" applyProtection="1">
      <protection locked="0"/>
    </xf>
    <xf numFmtId="1" fontId="6" fillId="5" borderId="1700" xfId="0" applyNumberFormat="1" applyFont="1" applyFill="1" applyBorder="1" applyProtection="1">
      <protection locked="0"/>
    </xf>
    <xf numFmtId="1" fontId="6" fillId="5" borderId="1702" xfId="0" applyNumberFormat="1" applyFont="1" applyFill="1" applyBorder="1" applyProtection="1">
      <protection locked="0"/>
    </xf>
    <xf numFmtId="1" fontId="6" fillId="0" borderId="1707" xfId="0" applyNumberFormat="1" applyFont="1" applyBorder="1" applyAlignment="1">
      <alignment horizontal="center" vertical="center" wrapText="1"/>
    </xf>
    <xf numFmtId="1" fontId="50" fillId="3" borderId="0" xfId="0" applyNumberFormat="1" applyFont="1" applyFill="1"/>
    <xf numFmtId="1" fontId="6" fillId="0" borderId="1708" xfId="0" applyNumberFormat="1" applyFont="1" applyBorder="1" applyAlignment="1">
      <alignment horizontal="center" vertical="center" wrapText="1"/>
    </xf>
    <xf numFmtId="1" fontId="6" fillId="0" borderId="1703" xfId="0" applyNumberFormat="1" applyFont="1" applyBorder="1" applyAlignment="1">
      <alignment horizontal="center" vertical="center" wrapText="1"/>
    </xf>
    <xf numFmtId="1" fontId="6" fillId="12" borderId="1445" xfId="0" applyNumberFormat="1" applyFont="1" applyFill="1" applyBorder="1" applyProtection="1">
      <protection locked="0"/>
    </xf>
    <xf numFmtId="1" fontId="6" fillId="0" borderId="434" xfId="0" applyNumberFormat="1" applyFont="1" applyBorder="1" applyAlignment="1">
      <alignment vertical="center"/>
    </xf>
    <xf numFmtId="1" fontId="4" fillId="3" borderId="1002" xfId="0" applyNumberFormat="1" applyFont="1" applyFill="1" applyBorder="1"/>
    <xf numFmtId="1" fontId="4" fillId="0" borderId="1002" xfId="0" applyNumberFormat="1" applyFont="1" applyBorder="1"/>
    <xf numFmtId="1" fontId="6" fillId="5" borderId="1704" xfId="23" applyNumberFormat="1" applyFont="1" applyFill="1" applyBorder="1" applyProtection="1">
      <protection locked="0"/>
    </xf>
    <xf numFmtId="1" fontId="6" fillId="5" borderId="1525" xfId="23" applyNumberFormat="1" applyFont="1" applyFill="1" applyBorder="1" applyProtection="1">
      <protection locked="0"/>
    </xf>
    <xf numFmtId="1" fontId="6" fillId="5" borderId="1445" xfId="23" applyNumberFormat="1" applyFont="1" applyFill="1" applyBorder="1" applyProtection="1">
      <protection locked="0"/>
    </xf>
    <xf numFmtId="1" fontId="6" fillId="5" borderId="1678" xfId="23" applyNumberFormat="1" applyFont="1" applyFill="1" applyBorder="1" applyProtection="1">
      <protection locked="0"/>
    </xf>
    <xf numFmtId="1" fontId="6" fillId="0" borderId="1708" xfId="23" applyNumberFormat="1" applyFont="1" applyBorder="1" applyAlignment="1">
      <alignment horizontal="center" vertical="center" wrapText="1"/>
    </xf>
    <xf numFmtId="1" fontId="6" fillId="0" borderId="1713" xfId="23" applyNumberFormat="1" applyFont="1" applyBorder="1" applyAlignment="1">
      <alignment horizontal="center" vertical="center" wrapText="1"/>
    </xf>
    <xf numFmtId="1" fontId="6" fillId="5" borderId="1656" xfId="23" applyNumberFormat="1" applyFont="1" applyFill="1" applyBorder="1" applyProtection="1">
      <protection locked="0"/>
    </xf>
    <xf numFmtId="1" fontId="6" fillId="5" borderId="1719" xfId="23" applyNumberFormat="1" applyFont="1" applyFill="1" applyBorder="1" applyProtection="1">
      <protection locked="0"/>
    </xf>
    <xf numFmtId="1" fontId="6" fillId="5" borderId="1522" xfId="23" applyNumberFormat="1" applyFont="1" applyFill="1" applyBorder="1" applyProtection="1">
      <protection locked="0"/>
    </xf>
    <xf numFmtId="1" fontId="6" fillId="5" borderId="1535" xfId="23" applyNumberFormat="1" applyFont="1" applyFill="1" applyBorder="1" applyProtection="1">
      <protection locked="0"/>
    </xf>
    <xf numFmtId="1" fontId="6" fillId="5" borderId="1517" xfId="23" applyNumberFormat="1" applyFont="1" applyFill="1" applyBorder="1" applyProtection="1">
      <protection locked="0"/>
    </xf>
    <xf numFmtId="1" fontId="6" fillId="5" borderId="1120" xfId="23" applyNumberFormat="1" applyFont="1" applyFill="1" applyBorder="1" applyProtection="1">
      <protection locked="0"/>
    </xf>
    <xf numFmtId="1" fontId="6" fillId="5" borderId="1673" xfId="23" applyNumberFormat="1" applyFont="1" applyFill="1" applyBorder="1" applyProtection="1">
      <protection locked="0"/>
    </xf>
    <xf numFmtId="1" fontId="6" fillId="5" borderId="1035" xfId="23" applyNumberFormat="1" applyFont="1" applyFill="1" applyBorder="1" applyProtection="1">
      <protection locked="0"/>
    </xf>
    <xf numFmtId="1" fontId="6" fillId="5" borderId="1715" xfId="23" applyNumberFormat="1" applyFont="1" applyFill="1" applyBorder="1" applyProtection="1">
      <protection locked="0"/>
    </xf>
    <xf numFmtId="1" fontId="6" fillId="5" borderId="1720" xfId="23" applyNumberFormat="1" applyFont="1" applyFill="1" applyBorder="1" applyProtection="1">
      <protection locked="0"/>
    </xf>
    <xf numFmtId="1" fontId="6" fillId="2" borderId="1708" xfId="9" applyNumberFormat="1" applyFont="1" applyBorder="1" applyAlignment="1" applyProtection="1">
      <alignment horizontal="right"/>
      <protection locked="0"/>
    </xf>
    <xf numFmtId="1" fontId="6" fillId="2" borderId="1703" xfId="9" applyNumberFormat="1" applyFont="1" applyBorder="1" applyAlignment="1" applyProtection="1">
      <alignment horizontal="right"/>
      <protection locked="0"/>
    </xf>
    <xf numFmtId="1" fontId="6" fillId="2" borderId="1695" xfId="9" applyNumberFormat="1" applyFont="1" applyBorder="1" applyAlignment="1" applyProtection="1">
      <alignment horizontal="right"/>
      <protection locked="0"/>
    </xf>
    <xf numFmtId="1" fontId="6" fillId="5" borderId="1721" xfId="0" applyNumberFormat="1" applyFont="1" applyFill="1" applyBorder="1" applyAlignment="1" applyProtection="1">
      <alignment horizontal="right"/>
      <protection locked="0"/>
    </xf>
    <xf numFmtId="1" fontId="6" fillId="0" borderId="1713" xfId="0" applyNumberFormat="1" applyFont="1" applyBorder="1" applyAlignment="1">
      <alignment horizontal="center" vertical="center" wrapText="1"/>
    </xf>
    <xf numFmtId="1" fontId="6" fillId="5" borderId="1656" xfId="0" applyNumberFormat="1" applyFont="1" applyFill="1" applyBorder="1" applyAlignment="1" applyProtection="1">
      <alignment horizontal="right"/>
      <protection locked="0"/>
    </xf>
    <xf numFmtId="1" fontId="6" fillId="5" borderId="1631" xfId="0" applyNumberFormat="1" applyFont="1" applyFill="1" applyBorder="1" applyAlignment="1" applyProtection="1">
      <alignment horizontal="right"/>
      <protection locked="0"/>
    </xf>
    <xf numFmtId="1" fontId="6" fillId="5" borderId="1571" xfId="0" applyNumberFormat="1" applyFont="1" applyFill="1" applyBorder="1" applyAlignment="1" applyProtection="1">
      <alignment horizontal="right"/>
      <protection locked="0"/>
    </xf>
    <xf numFmtId="1" fontId="6" fillId="5" borderId="1532" xfId="0" applyNumberFormat="1" applyFont="1" applyFill="1" applyBorder="1" applyAlignment="1" applyProtection="1">
      <alignment horizontal="right"/>
      <protection locked="0"/>
    </xf>
    <xf numFmtId="1" fontId="6" fillId="0" borderId="1696" xfId="0" applyNumberFormat="1" applyFont="1" applyBorder="1" applyAlignment="1">
      <alignment horizontal="right" vertical="center" wrapText="1"/>
    </xf>
    <xf numFmtId="1" fontId="6" fillId="5" borderId="1722" xfId="0" applyNumberFormat="1" applyFont="1" applyFill="1" applyBorder="1" applyProtection="1">
      <protection locked="0"/>
    </xf>
    <xf numFmtId="1" fontId="6" fillId="5" borderId="1658" xfId="0" applyNumberFormat="1" applyFont="1" applyFill="1" applyBorder="1" applyProtection="1">
      <protection locked="0"/>
    </xf>
    <xf numFmtId="1" fontId="6" fillId="5" borderId="1671" xfId="0" applyNumberFormat="1" applyFont="1" applyFill="1" applyBorder="1" applyProtection="1">
      <protection locked="0"/>
    </xf>
    <xf numFmtId="1" fontId="6" fillId="3" borderId="1696" xfId="0" applyNumberFormat="1" applyFont="1" applyFill="1" applyBorder="1" applyAlignment="1">
      <alignment horizontal="center" vertical="center" wrapText="1"/>
    </xf>
    <xf numFmtId="1" fontId="6" fillId="5" borderId="1704" xfId="0" applyNumberFormat="1" applyFont="1" applyFill="1" applyBorder="1" applyProtection="1">
      <protection locked="0"/>
    </xf>
    <xf numFmtId="1" fontId="6" fillId="5" borderId="1656" xfId="0" applyNumberFormat="1" applyFont="1" applyFill="1" applyBorder="1" applyProtection="1">
      <protection locked="0"/>
    </xf>
    <xf numFmtId="1" fontId="6" fillId="5" borderId="1715" xfId="0" applyNumberFormat="1" applyFont="1" applyFill="1" applyBorder="1" applyProtection="1">
      <protection locked="0"/>
    </xf>
    <xf numFmtId="1" fontId="6" fillId="0" borderId="1695" xfId="0" applyNumberFormat="1" applyFont="1" applyBorder="1" applyAlignment="1">
      <alignment horizontal="center" vertical="center" wrapText="1"/>
    </xf>
    <xf numFmtId="1" fontId="6" fillId="5" borderId="1665" xfId="0" applyNumberFormat="1" applyFont="1" applyFill="1" applyBorder="1" applyProtection="1">
      <protection locked="0"/>
    </xf>
    <xf numFmtId="1" fontId="6" fillId="14" borderId="751" xfId="0" applyNumberFormat="1" applyFont="1" applyFill="1" applyBorder="1" applyAlignment="1">
      <alignment horizontal="center" vertical="center" wrapText="1"/>
    </xf>
    <xf numFmtId="1" fontId="6" fillId="5" borderId="1683" xfId="0" applyNumberFormat="1" applyFont="1" applyFill="1" applyBorder="1" applyProtection="1">
      <protection locked="0"/>
    </xf>
    <xf numFmtId="1" fontId="6" fillId="5" borderId="1644" xfId="0" applyNumberFormat="1" applyFont="1" applyFill="1" applyBorder="1" applyProtection="1">
      <protection locked="0"/>
    </xf>
    <xf numFmtId="1" fontId="6" fillId="5" borderId="1650" xfId="0" applyNumberFormat="1" applyFont="1" applyFill="1" applyBorder="1" applyProtection="1">
      <protection locked="0"/>
    </xf>
    <xf numFmtId="1" fontId="6" fillId="5" borderId="1716" xfId="0" applyNumberFormat="1" applyFont="1" applyFill="1" applyBorder="1" applyProtection="1">
      <protection locked="0"/>
    </xf>
    <xf numFmtId="1" fontId="6" fillId="5" borderId="1636" xfId="0" applyNumberFormat="1" applyFont="1" applyFill="1" applyBorder="1" applyProtection="1">
      <protection locked="0"/>
    </xf>
    <xf numFmtId="1" fontId="6" fillId="5" borderId="1687" xfId="0" applyNumberFormat="1" applyFont="1" applyFill="1" applyBorder="1" applyProtection="1">
      <protection locked="0"/>
    </xf>
    <xf numFmtId="1" fontId="11" fillId="14" borderId="0" xfId="0" applyNumberFormat="1" applyFont="1" applyFill="1" applyAlignment="1" applyProtection="1">
      <alignment horizontal="right"/>
      <protection locked="0"/>
    </xf>
    <xf numFmtId="1" fontId="11" fillId="14" borderId="0" xfId="0" applyNumberFormat="1" applyFont="1" applyFill="1" applyAlignment="1">
      <alignment horizontal="right"/>
    </xf>
    <xf numFmtId="1" fontId="6" fillId="0" borderId="1691" xfId="0" applyNumberFormat="1" applyFont="1" applyBorder="1" applyAlignment="1">
      <alignment horizontal="center" vertical="center" wrapText="1"/>
    </xf>
    <xf numFmtId="1" fontId="6" fillId="0" borderId="1650" xfId="0" applyNumberFormat="1" applyFont="1" applyBorder="1"/>
    <xf numFmtId="1" fontId="6" fillId="0" borderId="1713" xfId="0" applyNumberFormat="1" applyFont="1" applyBorder="1" applyAlignment="1">
      <alignment horizontal="right" vertical="center" wrapText="1"/>
    </xf>
    <xf numFmtId="1" fontId="6" fillId="5" borderId="1731" xfId="0" applyNumberFormat="1" applyFont="1" applyFill="1" applyBorder="1" applyProtection="1">
      <protection locked="0"/>
    </xf>
    <xf numFmtId="1" fontId="10" fillId="3" borderId="0" xfId="0" applyNumberFormat="1" applyFont="1" applyFill="1" applyAlignment="1" applyProtection="1">
      <alignment horizontal="left"/>
      <protection locked="0"/>
    </xf>
    <xf numFmtId="1" fontId="6" fillId="5" borderId="1698" xfId="0" applyNumberFormat="1" applyFont="1" applyFill="1" applyBorder="1" applyProtection="1">
      <protection locked="0"/>
    </xf>
    <xf numFmtId="1" fontId="6" fillId="5" borderId="1701" xfId="0" applyNumberFormat="1" applyFont="1" applyFill="1" applyBorder="1" applyProtection="1">
      <protection locked="0"/>
    </xf>
    <xf numFmtId="1" fontId="6" fillId="3" borderId="1703" xfId="0" applyNumberFormat="1" applyFont="1" applyFill="1" applyBorder="1" applyAlignment="1">
      <alignment horizontal="center" vertical="center" wrapText="1"/>
    </xf>
    <xf numFmtId="1" fontId="6" fillId="3" borderId="445" xfId="0" applyNumberFormat="1" applyFont="1" applyFill="1" applyBorder="1" applyAlignment="1">
      <alignment horizontal="center" vertical="center" wrapText="1"/>
    </xf>
    <xf numFmtId="1" fontId="6" fillId="12" borderId="1525" xfId="0" applyNumberFormat="1" applyFont="1" applyFill="1" applyBorder="1" applyProtection="1">
      <protection locked="0"/>
    </xf>
    <xf numFmtId="1" fontId="6" fillId="5" borderId="1732" xfId="0" applyNumberFormat="1" applyFont="1" applyFill="1" applyBorder="1" applyProtection="1">
      <protection locked="0"/>
    </xf>
    <xf numFmtId="1" fontId="6" fillId="5" borderId="1733" xfId="0" applyNumberFormat="1" applyFont="1" applyFill="1" applyBorder="1" applyProtection="1">
      <protection locked="0"/>
    </xf>
    <xf numFmtId="1" fontId="6" fillId="0" borderId="1607" xfId="0" applyNumberFormat="1" applyFont="1" applyBorder="1" applyAlignment="1">
      <alignment horizontal="right" wrapText="1"/>
    </xf>
    <xf numFmtId="1" fontId="6" fillId="0" borderId="1700" xfId="0" applyNumberFormat="1" applyFont="1" applyBorder="1" applyAlignment="1">
      <alignment horizontal="right" wrapText="1"/>
    </xf>
    <xf numFmtId="1" fontId="6" fillId="12" borderId="37" xfId="0" applyNumberFormat="1" applyFont="1" applyFill="1" applyBorder="1" applyProtection="1">
      <protection locked="0"/>
    </xf>
    <xf numFmtId="2" fontId="6" fillId="3" borderId="1696" xfId="0" applyNumberFormat="1" applyFont="1" applyFill="1" applyBorder="1" applyAlignment="1">
      <alignment horizontal="center" vertical="center"/>
    </xf>
    <xf numFmtId="2" fontId="6" fillId="3" borderId="1722" xfId="0" applyNumberFormat="1" applyFont="1" applyFill="1" applyBorder="1" applyAlignment="1">
      <alignment horizontal="center" vertical="center"/>
    </xf>
    <xf numFmtId="2" fontId="6" fillId="3" borderId="1698" xfId="0" applyNumberFormat="1" applyFont="1" applyFill="1" applyBorder="1" applyAlignment="1">
      <alignment horizontal="center" vertical="center"/>
    </xf>
    <xf numFmtId="2" fontId="6" fillId="3" borderId="1718" xfId="0" applyNumberFormat="1" applyFont="1" applyFill="1" applyBorder="1" applyAlignment="1">
      <alignment horizontal="center" vertical="center"/>
    </xf>
    <xf numFmtId="1" fontId="6" fillId="3" borderId="1708" xfId="0" applyNumberFormat="1" applyFont="1" applyFill="1" applyBorder="1" applyAlignment="1">
      <alignment horizontal="center" vertical="center" wrapText="1"/>
    </xf>
    <xf numFmtId="1" fontId="6" fillId="3" borderId="1691" xfId="0" applyNumberFormat="1" applyFont="1" applyFill="1" applyBorder="1" applyAlignment="1">
      <alignment horizontal="center" vertical="center" wrapText="1"/>
    </xf>
    <xf numFmtId="1" fontId="6" fillId="3" borderId="1695" xfId="0" applyNumberFormat="1" applyFont="1" applyFill="1" applyBorder="1" applyAlignment="1">
      <alignment horizontal="center" vertical="center" wrapText="1"/>
    </xf>
    <xf numFmtId="2" fontId="6" fillId="3" borderId="1708" xfId="0" applyNumberFormat="1" applyFont="1" applyFill="1" applyBorder="1" applyAlignment="1">
      <alignment horizontal="center" vertical="center"/>
    </xf>
    <xf numFmtId="2" fontId="6" fillId="3" borderId="1703" xfId="0" applyNumberFormat="1" applyFont="1" applyFill="1" applyBorder="1" applyAlignment="1">
      <alignment horizontal="center" vertical="center"/>
    </xf>
    <xf numFmtId="2" fontId="6" fillId="3" borderId="1691" xfId="0" applyNumberFormat="1" applyFont="1" applyFill="1" applyBorder="1" applyAlignment="1">
      <alignment horizontal="center" vertical="center"/>
    </xf>
    <xf numFmtId="2" fontId="6" fillId="3" borderId="1695" xfId="0" applyNumberFormat="1" applyFont="1" applyFill="1" applyBorder="1" applyAlignment="1">
      <alignment horizontal="center" vertical="center"/>
    </xf>
    <xf numFmtId="2" fontId="6" fillId="3" borderId="1673" xfId="0" applyNumberFormat="1" applyFont="1" applyFill="1" applyBorder="1" applyAlignment="1">
      <alignment horizontal="center" vertical="center"/>
    </xf>
    <xf numFmtId="2" fontId="6" fillId="6" borderId="1736" xfId="14" applyNumberFormat="1" applyFont="1" applyBorder="1" applyAlignment="1" applyProtection="1">
      <alignment horizontal="center" vertical="center"/>
      <protection locked="0"/>
    </xf>
    <xf numFmtId="2" fontId="6" fillId="6" borderId="1737" xfId="14" applyNumberFormat="1" applyFont="1" applyBorder="1" applyAlignment="1" applyProtection="1">
      <alignment horizontal="center" vertical="center"/>
      <protection locked="0"/>
    </xf>
    <xf numFmtId="2" fontId="6" fillId="3" borderId="1656" xfId="0" applyNumberFormat="1" applyFont="1" applyFill="1" applyBorder="1" applyAlignment="1">
      <alignment horizontal="center" vertical="center"/>
    </xf>
    <xf numFmtId="2" fontId="6" fillId="6" borderId="1738" xfId="14" applyNumberFormat="1" applyFont="1" applyBorder="1" applyAlignment="1" applyProtection="1">
      <alignment horizontal="center" vertical="center"/>
      <protection locked="0"/>
    </xf>
    <xf numFmtId="2" fontId="6" fillId="6" borderId="1739" xfId="14" applyNumberFormat="1" applyFont="1" applyBorder="1" applyAlignment="1" applyProtection="1">
      <alignment horizontal="center" vertical="center"/>
      <protection locked="0"/>
    </xf>
    <xf numFmtId="2" fontId="6" fillId="6" borderId="1740" xfId="14" applyNumberFormat="1" applyFont="1" applyBorder="1" applyAlignment="1" applyProtection="1">
      <alignment horizontal="center" vertical="center"/>
      <protection locked="0"/>
    </xf>
    <xf numFmtId="2" fontId="6" fillId="3" borderId="1607" xfId="0" applyNumberFormat="1" applyFont="1" applyFill="1" applyBorder="1" applyAlignment="1">
      <alignment horizontal="center" vertical="center"/>
    </xf>
    <xf numFmtId="2" fontId="6" fillId="6" borderId="1741" xfId="14" applyNumberFormat="1" applyFont="1" applyBorder="1" applyAlignment="1" applyProtection="1">
      <alignment horizontal="center" vertical="center"/>
      <protection locked="0"/>
    </xf>
    <xf numFmtId="2" fontId="6" fillId="6" borderId="1742" xfId="14" applyNumberFormat="1" applyFont="1" applyBorder="1" applyAlignment="1" applyProtection="1">
      <alignment horizontal="center" vertical="center"/>
      <protection locked="0"/>
    </xf>
    <xf numFmtId="2" fontId="6" fillId="6" borderId="1743" xfId="14" applyNumberFormat="1" applyFont="1" applyBorder="1" applyAlignment="1" applyProtection="1">
      <alignment horizontal="center" vertical="center"/>
      <protection locked="0"/>
    </xf>
    <xf numFmtId="2" fontId="6" fillId="3" borderId="1744" xfId="0" applyNumberFormat="1" applyFont="1" applyFill="1" applyBorder="1" applyAlignment="1">
      <alignment horizontal="center" vertical="center"/>
    </xf>
    <xf numFmtId="2" fontId="6" fillId="6" borderId="1745" xfId="14" applyNumberFormat="1" applyFont="1" applyBorder="1" applyAlignment="1" applyProtection="1">
      <alignment horizontal="center" vertical="center"/>
      <protection locked="0"/>
    </xf>
    <xf numFmtId="2" fontId="6" fillId="6" borderId="1746" xfId="14" applyNumberFormat="1" applyFont="1" applyBorder="1" applyAlignment="1" applyProtection="1">
      <alignment horizontal="center" vertical="center"/>
      <protection locked="0"/>
    </xf>
    <xf numFmtId="2" fontId="6" fillId="3" borderId="1685" xfId="0" applyNumberFormat="1" applyFont="1" applyFill="1" applyBorder="1" applyAlignment="1">
      <alignment horizontal="center" vertical="center"/>
    </xf>
    <xf numFmtId="2" fontId="6" fillId="6" borderId="1747" xfId="14" applyNumberFormat="1" applyFont="1" applyBorder="1" applyAlignment="1" applyProtection="1">
      <alignment horizontal="center" vertical="center"/>
      <protection locked="0"/>
    </xf>
    <xf numFmtId="2" fontId="6" fillId="6" borderId="1748" xfId="14" applyNumberFormat="1" applyFont="1" applyBorder="1" applyAlignment="1" applyProtection="1">
      <alignment horizontal="center" vertical="center"/>
      <protection locked="0"/>
    </xf>
    <xf numFmtId="2" fontId="6" fillId="6" borderId="1749" xfId="14" applyNumberFormat="1" applyFont="1" applyBorder="1" applyAlignment="1" applyProtection="1">
      <alignment horizontal="center" vertical="center"/>
      <protection locked="0"/>
    </xf>
    <xf numFmtId="1" fontId="6" fillId="14" borderId="37" xfId="0" applyNumberFormat="1" applyFont="1" applyFill="1" applyBorder="1" applyAlignment="1">
      <alignment horizontal="center" vertical="center"/>
    </xf>
    <xf numFmtId="2" fontId="6" fillId="6" borderId="1754" xfId="14" applyNumberFormat="1" applyFont="1" applyBorder="1" applyAlignment="1" applyProtection="1">
      <alignment horizontal="center" vertical="center"/>
      <protection locked="0"/>
    </xf>
    <xf numFmtId="2" fontId="6" fillId="6" borderId="1755" xfId="14" applyNumberFormat="1" applyFont="1" applyBorder="1" applyAlignment="1" applyProtection="1">
      <alignment horizontal="center" vertical="center"/>
      <protection locked="0"/>
    </xf>
    <xf numFmtId="2" fontId="6" fillId="6" borderId="1756" xfId="14" applyNumberFormat="1" applyFont="1" applyBorder="1" applyAlignment="1" applyProtection="1">
      <alignment horizontal="center" vertical="center"/>
      <protection locked="0"/>
    </xf>
    <xf numFmtId="2" fontId="6" fillId="6" borderId="1757" xfId="14" applyNumberFormat="1" applyFont="1" applyBorder="1" applyAlignment="1" applyProtection="1">
      <alignment horizontal="center" vertical="center"/>
      <protection locked="0"/>
    </xf>
    <xf numFmtId="0" fontId="50" fillId="14" borderId="0" xfId="0" applyFont="1" applyFill="1"/>
    <xf numFmtId="1" fontId="50" fillId="14" borderId="0" xfId="0" applyNumberFormat="1" applyFont="1" applyFill="1"/>
    <xf numFmtId="1" fontId="6" fillId="0" borderId="1830" xfId="0" applyNumberFormat="1" applyFont="1" applyBorder="1"/>
    <xf numFmtId="1" fontId="6" fillId="0" borderId="1671" xfId="0" applyNumberFormat="1" applyFont="1" applyBorder="1"/>
    <xf numFmtId="1" fontId="6" fillId="3" borderId="1002" xfId="0" applyNumberFormat="1" applyFont="1" applyFill="1" applyBorder="1" applyAlignment="1">
      <alignment horizontal="left" vertical="center" wrapText="1"/>
    </xf>
    <xf numFmtId="1" fontId="6" fillId="0" borderId="1002" xfId="0" applyNumberFormat="1" applyFont="1" applyBorder="1"/>
    <xf numFmtId="1" fontId="6" fillId="3" borderId="1445" xfId="0" applyNumberFormat="1" applyFont="1" applyFill="1" applyBorder="1"/>
    <xf numFmtId="1" fontId="6" fillId="3" borderId="1683" xfId="0" applyNumberFormat="1" applyFont="1" applyFill="1" applyBorder="1"/>
    <xf numFmtId="1" fontId="6" fillId="3" borderId="1635" xfId="0" applyNumberFormat="1" applyFont="1" applyFill="1" applyBorder="1"/>
    <xf numFmtId="1" fontId="6" fillId="3" borderId="1845" xfId="0" applyNumberFormat="1" applyFont="1" applyFill="1" applyBorder="1"/>
    <xf numFmtId="1" fontId="6" fillId="3" borderId="1846" xfId="0" applyNumberFormat="1" applyFont="1" applyFill="1" applyBorder="1" applyAlignment="1" applyProtection="1">
      <alignment wrapText="1"/>
      <protection hidden="1"/>
    </xf>
    <xf numFmtId="1" fontId="5" fillId="3" borderId="1846" xfId="0" applyNumberFormat="1" applyFont="1" applyFill="1" applyBorder="1" applyProtection="1">
      <protection hidden="1"/>
    </xf>
    <xf numFmtId="1" fontId="6" fillId="3" borderId="504" xfId="0" applyNumberFormat="1" applyFont="1" applyFill="1" applyBorder="1" applyAlignment="1">
      <alignment horizontal="center" vertical="center" wrapText="1"/>
    </xf>
    <xf numFmtId="1" fontId="6" fillId="3" borderId="1849" xfId="0" applyNumberFormat="1" applyFont="1" applyFill="1" applyBorder="1"/>
    <xf numFmtId="1" fontId="6" fillId="3" borderId="1850" xfId="0" applyNumberFormat="1" applyFont="1" applyFill="1" applyBorder="1"/>
    <xf numFmtId="1" fontId="6" fillId="3" borderId="1851" xfId="0" applyNumberFormat="1" applyFont="1" applyFill="1" applyBorder="1"/>
    <xf numFmtId="1" fontId="6" fillId="0" borderId="1850" xfId="0" applyNumberFormat="1" applyFont="1" applyBorder="1"/>
    <xf numFmtId="1" fontId="6" fillId="0" borderId="1852" xfId="0" applyNumberFormat="1" applyFont="1" applyBorder="1"/>
    <xf numFmtId="1" fontId="6" fillId="0" borderId="1851" xfId="0" applyNumberFormat="1" applyFont="1" applyBorder="1"/>
    <xf numFmtId="1" fontId="6" fillId="0" borderId="1850" xfId="0" applyNumberFormat="1" applyFont="1" applyBorder="1" applyProtection="1">
      <protection hidden="1"/>
    </xf>
    <xf numFmtId="1" fontId="32" fillId="0" borderId="1565" xfId="0" applyNumberFormat="1" applyFont="1" applyBorder="1" applyAlignment="1">
      <alignment horizontal="center" vertical="center" wrapText="1"/>
    </xf>
    <xf numFmtId="164" fontId="32" fillId="14" borderId="1079" xfId="32" applyNumberFormat="1" applyFont="1" applyFill="1" applyBorder="1" applyAlignment="1" applyProtection="1">
      <alignment vertical="center" wrapText="1"/>
    </xf>
    <xf numFmtId="164" fontId="32" fillId="14" borderId="917" xfId="32" applyNumberFormat="1" applyFont="1" applyFill="1" applyBorder="1" applyAlignment="1" applyProtection="1">
      <alignment vertical="center" wrapText="1"/>
    </xf>
    <xf numFmtId="1" fontId="6" fillId="5" borderId="724" xfId="0" applyNumberFormat="1" applyFont="1" applyFill="1" applyBorder="1" applyAlignment="1" applyProtection="1">
      <alignment wrapText="1"/>
      <protection locked="0"/>
    </xf>
    <xf numFmtId="1" fontId="6" fillId="5" borderId="1864" xfId="0" applyNumberFormat="1" applyFont="1" applyFill="1" applyBorder="1" applyAlignment="1" applyProtection="1">
      <alignment wrapText="1"/>
      <protection locked="0"/>
    </xf>
    <xf numFmtId="1" fontId="6" fillId="5" borderId="1862" xfId="0" applyNumberFormat="1" applyFont="1" applyFill="1" applyBorder="1" applyAlignment="1" applyProtection="1">
      <alignment wrapText="1"/>
      <protection locked="0"/>
    </xf>
    <xf numFmtId="1" fontId="6" fillId="0" borderId="1871" xfId="0" applyNumberFormat="1" applyFont="1" applyBorder="1" applyAlignment="1">
      <alignment horizontal="center" vertical="center" wrapText="1"/>
    </xf>
    <xf numFmtId="1" fontId="6" fillId="5" borderId="1835" xfId="0" applyNumberFormat="1" applyFont="1" applyFill="1" applyBorder="1" applyAlignment="1" applyProtection="1">
      <alignment wrapText="1"/>
      <protection locked="0"/>
    </xf>
    <xf numFmtId="1" fontId="6" fillId="5" borderId="1835" xfId="0" applyNumberFormat="1" applyFont="1" applyFill="1" applyBorder="1" applyProtection="1">
      <protection locked="0"/>
    </xf>
    <xf numFmtId="1" fontId="6" fillId="5" borderId="1857" xfId="0" applyNumberFormat="1" applyFont="1" applyFill="1" applyBorder="1" applyProtection="1">
      <protection locked="0"/>
    </xf>
    <xf numFmtId="1" fontId="6" fillId="5" borderId="1761" xfId="0" applyNumberFormat="1" applyFont="1" applyFill="1" applyBorder="1" applyProtection="1">
      <protection locked="0"/>
    </xf>
    <xf numFmtId="1" fontId="6" fillId="0" borderId="1862" xfId="0" applyNumberFormat="1" applyFont="1" applyBorder="1" applyAlignment="1">
      <alignment vertical="center" wrapText="1"/>
    </xf>
    <xf numFmtId="1" fontId="6" fillId="0" borderId="1692" xfId="0" applyNumberFormat="1" applyFont="1" applyBorder="1" applyAlignment="1">
      <alignment horizontal="center" vertical="center" wrapText="1"/>
    </xf>
    <xf numFmtId="1" fontId="56" fillId="36" borderId="0" xfId="6" applyNumberFormat="1" applyFont="1" applyFill="1" applyAlignment="1">
      <alignment wrapText="1"/>
    </xf>
    <xf numFmtId="0" fontId="57" fillId="0" borderId="0" xfId="6" applyFont="1"/>
    <xf numFmtId="1" fontId="6" fillId="0" borderId="1918" xfId="0" applyNumberFormat="1" applyFont="1" applyBorder="1" applyAlignment="1">
      <alignment horizontal="center" vertical="center" wrapText="1"/>
    </xf>
    <xf numFmtId="1" fontId="6" fillId="5" borderId="1908" xfId="0" applyNumberFormat="1" applyFont="1" applyFill="1" applyBorder="1" applyProtection="1">
      <protection locked="0"/>
    </xf>
    <xf numFmtId="1" fontId="6" fillId="0" borderId="1906" xfId="0" applyNumberFormat="1" applyFont="1" applyBorder="1" applyAlignment="1">
      <alignment horizontal="center" vertical="center" wrapText="1"/>
    </xf>
    <xf numFmtId="1" fontId="6" fillId="0" borderId="1910" xfId="0" applyNumberFormat="1" applyFont="1" applyBorder="1" applyAlignment="1">
      <alignment horizontal="center" vertical="center" wrapText="1"/>
    </xf>
    <xf numFmtId="1" fontId="6" fillId="5" borderId="1870" xfId="0" applyNumberFormat="1" applyFont="1" applyFill="1" applyBorder="1" applyProtection="1">
      <protection locked="0"/>
    </xf>
    <xf numFmtId="1" fontId="6" fillId="5" borderId="1919" xfId="0" applyNumberFormat="1" applyFont="1" applyFill="1" applyBorder="1" applyProtection="1">
      <protection locked="0"/>
    </xf>
    <xf numFmtId="1" fontId="6" fillId="5" borderId="1867" xfId="0" applyNumberFormat="1" applyFont="1" applyFill="1" applyBorder="1" applyProtection="1">
      <protection locked="0"/>
    </xf>
    <xf numFmtId="1" fontId="6" fillId="5" borderId="1725" xfId="0" applyNumberFormat="1" applyFont="1" applyFill="1" applyBorder="1" applyProtection="1">
      <protection locked="0"/>
    </xf>
    <xf numFmtId="1" fontId="38" fillId="3" borderId="1158" xfId="0" applyNumberFormat="1" applyFont="1" applyFill="1" applyBorder="1"/>
    <xf numFmtId="1" fontId="6" fillId="3" borderId="1723" xfId="25" applyNumberFormat="1" applyFont="1" applyFill="1" applyBorder="1" applyAlignment="1">
      <alignment horizontal="center" vertical="center" wrapText="1"/>
    </xf>
    <xf numFmtId="1" fontId="6" fillId="5" borderId="144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8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87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1932" xfId="0" applyNumberFormat="1" applyFont="1" applyBorder="1" applyAlignment="1">
      <alignment horizontal="center" vertical="center" wrapText="1"/>
    </xf>
    <xf numFmtId="1" fontId="6" fillId="14" borderId="1943" xfId="0" applyNumberFormat="1" applyFont="1" applyFill="1" applyBorder="1" applyAlignment="1">
      <alignment horizontal="center" vertical="center" wrapText="1"/>
    </xf>
    <xf numFmtId="1" fontId="6" fillId="0" borderId="1943" xfId="0" applyNumberFormat="1" applyFont="1" applyBorder="1" applyAlignment="1">
      <alignment horizontal="center" vertical="center" wrapText="1"/>
    </xf>
    <xf numFmtId="1" fontId="6" fillId="0" borderId="1943" xfId="0" applyNumberFormat="1" applyFont="1" applyBorder="1" applyAlignment="1">
      <alignment horizontal="center" vertical="center"/>
    </xf>
    <xf numFmtId="1" fontId="6" fillId="0" borderId="1944" xfId="0" applyNumberFormat="1" applyFont="1" applyBorder="1" applyAlignment="1">
      <alignment horizontal="center" vertical="center"/>
    </xf>
    <xf numFmtId="1" fontId="6" fillId="0" borderId="1664" xfId="0" applyNumberFormat="1" applyFont="1" applyBorder="1"/>
    <xf numFmtId="1" fontId="6" fillId="0" borderId="1158" xfId="0" applyNumberFormat="1" applyFont="1" applyBorder="1"/>
    <xf numFmtId="1" fontId="6" fillId="0" borderId="1955" xfId="0" applyNumberFormat="1" applyFont="1" applyBorder="1" applyAlignment="1">
      <alignment horizontal="center" vertical="center" wrapText="1"/>
    </xf>
    <xf numFmtId="1" fontId="6" fillId="0" borderId="1929" xfId="0" applyNumberFormat="1" applyFont="1" applyBorder="1" applyAlignment="1">
      <alignment horizontal="center" vertical="center" wrapText="1"/>
    </xf>
    <xf numFmtId="1" fontId="6" fillId="0" borderId="1944" xfId="0" applyNumberFormat="1" applyFont="1" applyBorder="1" applyAlignment="1">
      <alignment horizontal="center" vertical="center" wrapText="1"/>
    </xf>
    <xf numFmtId="1" fontId="6" fillId="0" borderId="1933" xfId="0" applyNumberFormat="1" applyFont="1" applyBorder="1" applyAlignment="1">
      <alignment horizontal="center" vertical="center"/>
    </xf>
    <xf numFmtId="1" fontId="6" fillId="0" borderId="1955" xfId="0" applyNumberFormat="1" applyFont="1" applyBorder="1" applyAlignment="1">
      <alignment horizontal="center" vertical="center"/>
    </xf>
    <xf numFmtId="1" fontId="6" fillId="5" borderId="1866" xfId="0" applyNumberFormat="1" applyFont="1" applyFill="1" applyBorder="1" applyProtection="1">
      <protection locked="0"/>
    </xf>
    <xf numFmtId="1" fontId="6" fillId="5" borderId="1864" xfId="0" applyNumberFormat="1" applyFont="1" applyFill="1" applyBorder="1" applyProtection="1">
      <protection locked="0"/>
    </xf>
    <xf numFmtId="1" fontId="6" fillId="5" borderId="1863" xfId="0" applyNumberFormat="1" applyFont="1" applyFill="1" applyBorder="1" applyProtection="1">
      <protection locked="0"/>
    </xf>
    <xf numFmtId="1" fontId="6" fillId="0" borderId="1863" xfId="0" applyNumberFormat="1" applyFont="1" applyBorder="1"/>
    <xf numFmtId="1" fontId="6" fillId="0" borderId="1866" xfId="0" applyNumberFormat="1" applyFont="1" applyBorder="1"/>
    <xf numFmtId="1" fontId="6" fillId="0" borderId="1854" xfId="0" applyNumberFormat="1" applyFont="1" applyBorder="1"/>
    <xf numFmtId="1" fontId="6" fillId="5" borderId="186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5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44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66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6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65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1164" xfId="0" applyNumberFormat="1" applyFont="1" applyFill="1" applyBorder="1" applyAlignment="1">
      <alignment horizontal="center" vertical="center" wrapText="1"/>
    </xf>
    <xf numFmtId="1" fontId="6" fillId="5" borderId="170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95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040" xfId="0" applyNumberFormat="1" applyFont="1" applyBorder="1" applyAlignment="1">
      <alignment horizontal="center" vertical="center" wrapText="1"/>
    </xf>
    <xf numFmtId="1" fontId="6" fillId="0" borderId="2035" xfId="0" applyNumberFormat="1" applyFont="1" applyBorder="1" applyAlignment="1">
      <alignment horizontal="center" vertical="center" wrapText="1"/>
    </xf>
    <xf numFmtId="1" fontId="6" fillId="0" borderId="2138" xfId="0" applyNumberFormat="1" applyFont="1" applyBorder="1" applyAlignment="1">
      <alignment horizontal="center" vertical="center" wrapText="1"/>
    </xf>
    <xf numFmtId="1" fontId="6" fillId="5" borderId="1058" xfId="28" applyNumberFormat="1" applyFont="1" applyFill="1" applyBorder="1" applyProtection="1">
      <protection locked="0"/>
    </xf>
    <xf numFmtId="1" fontId="6" fillId="5" borderId="1864" xfId="28" applyNumberFormat="1" applyFont="1" applyFill="1" applyBorder="1" applyProtection="1">
      <protection locked="0"/>
    </xf>
    <xf numFmtId="1" fontId="6" fillId="0" borderId="1874" xfId="0" applyNumberFormat="1" applyFont="1" applyBorder="1" applyAlignment="1">
      <alignment horizontal="right"/>
    </xf>
    <xf numFmtId="1" fontId="6" fillId="0" borderId="1875" xfId="0" applyNumberFormat="1" applyFont="1" applyBorder="1" applyAlignment="1">
      <alignment horizontal="right"/>
    </xf>
    <xf numFmtId="1" fontId="6" fillId="0" borderId="1876" xfId="0" applyNumberFormat="1" applyFont="1" applyBorder="1" applyAlignment="1">
      <alignment horizontal="right"/>
    </xf>
    <xf numFmtId="1" fontId="6" fillId="5" borderId="1874" xfId="0" applyNumberFormat="1" applyFont="1" applyFill="1" applyBorder="1" applyProtection="1">
      <protection locked="0"/>
    </xf>
    <xf numFmtId="1" fontId="6" fillId="5" borderId="1876" xfId="0" applyNumberFormat="1" applyFont="1" applyFill="1" applyBorder="1" applyProtection="1">
      <protection locked="0"/>
    </xf>
    <xf numFmtId="1" fontId="6" fillId="5" borderId="1726" xfId="0" applyNumberFormat="1" applyFont="1" applyFill="1" applyBorder="1" applyProtection="1">
      <protection locked="0"/>
    </xf>
    <xf numFmtId="1" fontId="6" fillId="5" borderId="2138" xfId="0" applyNumberFormat="1" applyFont="1" applyFill="1" applyBorder="1" applyProtection="1">
      <protection locked="0"/>
    </xf>
    <xf numFmtId="1" fontId="6" fillId="5" borderId="2143" xfId="0" applyNumberFormat="1" applyFont="1" applyFill="1" applyBorder="1" applyProtection="1">
      <protection locked="0"/>
    </xf>
    <xf numFmtId="1" fontId="53" fillId="3" borderId="0" xfId="0" applyNumberFormat="1" applyFont="1" applyFill="1" applyAlignment="1" applyProtection="1">
      <alignment horizontal="right"/>
      <protection locked="0"/>
    </xf>
    <xf numFmtId="1" fontId="53" fillId="3" borderId="0" xfId="0" applyNumberFormat="1" applyFont="1" applyFill="1" applyAlignment="1">
      <alignment horizontal="right"/>
    </xf>
    <xf numFmtId="1" fontId="49" fillId="3" borderId="0" xfId="0" applyNumberFormat="1" applyFont="1" applyFill="1" applyAlignment="1">
      <alignment vertical="center"/>
    </xf>
    <xf numFmtId="1" fontId="6" fillId="5" borderId="1862" xfId="0" applyNumberFormat="1" applyFont="1" applyFill="1" applyBorder="1" applyProtection="1">
      <protection locked="0"/>
    </xf>
    <xf numFmtId="1" fontId="6" fillId="0" borderId="2152" xfId="0" applyNumberFormat="1" applyFont="1" applyBorder="1"/>
    <xf numFmtId="1" fontId="6" fillId="4" borderId="2153" xfId="0" applyNumberFormat="1" applyFont="1" applyFill="1" applyBorder="1"/>
    <xf numFmtId="1" fontId="6" fillId="4" borderId="1920" xfId="0" applyNumberFormat="1" applyFont="1" applyFill="1" applyBorder="1"/>
    <xf numFmtId="1" fontId="6" fillId="4" borderId="1718" xfId="0" applyNumberFormat="1" applyFont="1" applyFill="1" applyBorder="1"/>
    <xf numFmtId="1" fontId="6" fillId="0" borderId="2154" xfId="0" applyNumberFormat="1" applyFont="1" applyBorder="1"/>
    <xf numFmtId="1" fontId="6" fillId="4" borderId="1682" xfId="0" applyNumberFormat="1" applyFont="1" applyFill="1" applyBorder="1"/>
    <xf numFmtId="1" fontId="9" fillId="3" borderId="2155" xfId="0" applyNumberFormat="1" applyFont="1" applyFill="1" applyBorder="1"/>
    <xf numFmtId="1" fontId="6" fillId="4" borderId="1636" xfId="0" applyNumberFormat="1" applyFont="1" applyFill="1" applyBorder="1"/>
    <xf numFmtId="1" fontId="6" fillId="4" borderId="1864" xfId="0" applyNumberFormat="1" applyFont="1" applyFill="1" applyBorder="1"/>
    <xf numFmtId="1" fontId="6" fillId="0" borderId="2122" xfId="0" applyNumberFormat="1" applyFont="1" applyBorder="1"/>
    <xf numFmtId="1" fontId="6" fillId="0" borderId="2143" xfId="0" applyNumberFormat="1" applyFont="1" applyBorder="1"/>
    <xf numFmtId="1" fontId="9" fillId="38" borderId="0" xfId="0" applyNumberFormat="1" applyFont="1" applyFill="1"/>
    <xf numFmtId="1" fontId="9" fillId="38" borderId="0" xfId="0" applyNumberFormat="1" applyFont="1" applyFill="1" applyProtection="1">
      <protection locked="0"/>
    </xf>
    <xf numFmtId="1" fontId="9" fillId="14" borderId="0" xfId="0" applyNumberFormat="1" applyFont="1" applyFill="1" applyAlignment="1" applyProtection="1">
      <alignment wrapText="1"/>
      <protection locked="0"/>
    </xf>
    <xf numFmtId="1" fontId="6" fillId="12" borderId="985" xfId="0" applyNumberFormat="1" applyFont="1" applyFill="1" applyBorder="1"/>
    <xf numFmtId="1" fontId="6" fillId="14" borderId="0" xfId="0" applyNumberFormat="1" applyFont="1" applyFill="1" applyAlignment="1" applyProtection="1">
      <alignment vertical="top" wrapText="1"/>
      <protection locked="0"/>
    </xf>
    <xf numFmtId="0" fontId="38" fillId="14" borderId="0" xfId="0" applyFont="1" applyFill="1" applyAlignment="1" applyProtection="1">
      <alignment vertical="top" wrapText="1"/>
      <protection locked="0"/>
    </xf>
    <xf numFmtId="1" fontId="6" fillId="14" borderId="0" xfId="0" applyNumberFormat="1" applyFont="1" applyFill="1" applyAlignment="1" applyProtection="1">
      <alignment wrapText="1"/>
      <protection locked="0"/>
    </xf>
    <xf numFmtId="1" fontId="5" fillId="14" borderId="0" xfId="0" applyNumberFormat="1" applyFont="1" applyFill="1" applyAlignment="1" applyProtection="1">
      <alignment wrapText="1"/>
      <protection locked="0"/>
    </xf>
    <xf numFmtId="1" fontId="6" fillId="0" borderId="0" xfId="0" applyNumberFormat="1" applyFont="1" applyAlignment="1" applyProtection="1">
      <alignment wrapText="1"/>
      <protection locked="0"/>
    </xf>
    <xf numFmtId="1" fontId="6" fillId="0" borderId="1235" xfId="0" applyNumberFormat="1" applyFont="1" applyBorder="1" applyAlignment="1" applyProtection="1">
      <alignment wrapText="1"/>
      <protection locked="0"/>
    </xf>
    <xf numFmtId="0" fontId="38" fillId="0" borderId="0" xfId="0" applyFont="1" applyProtection="1">
      <protection locked="0"/>
    </xf>
    <xf numFmtId="1" fontId="6" fillId="39" borderId="0" xfId="0" applyNumberFormat="1" applyFont="1" applyFill="1" applyProtection="1">
      <protection locked="0"/>
    </xf>
    <xf numFmtId="1" fontId="38" fillId="39" borderId="0" xfId="0" applyNumberFormat="1" applyFont="1" applyFill="1" applyProtection="1">
      <protection locked="0"/>
    </xf>
    <xf numFmtId="1" fontId="38" fillId="39" borderId="0" xfId="0" applyNumberFormat="1" applyFont="1" applyFill="1"/>
    <xf numFmtId="1" fontId="9" fillId="39" borderId="0" xfId="0" applyNumberFormat="1" applyFont="1" applyFill="1" applyProtection="1">
      <protection locked="0"/>
    </xf>
    <xf numFmtId="0" fontId="0" fillId="17" borderId="0" xfId="0" applyFill="1"/>
    <xf numFmtId="1" fontId="6" fillId="17" borderId="0" xfId="0" applyNumberFormat="1" applyFont="1" applyFill="1"/>
    <xf numFmtId="1" fontId="9" fillId="39" borderId="0" xfId="0" applyNumberFormat="1" applyFont="1" applyFill="1"/>
    <xf numFmtId="1" fontId="6" fillId="39" borderId="0" xfId="0" applyNumberFormat="1" applyFont="1" applyFill="1"/>
    <xf numFmtId="1" fontId="6" fillId="18" borderId="0" xfId="0" applyNumberFormat="1" applyFont="1" applyFill="1" applyProtection="1">
      <protection locked="0"/>
    </xf>
    <xf numFmtId="1" fontId="6" fillId="0" borderId="1699" xfId="0" applyNumberFormat="1" applyFont="1" applyBorder="1"/>
    <xf numFmtId="1" fontId="6" fillId="3" borderId="740" xfId="0" applyNumberFormat="1" applyFont="1" applyFill="1" applyBorder="1"/>
    <xf numFmtId="1" fontId="6" fillId="0" borderId="2149" xfId="0" applyNumberFormat="1" applyFont="1" applyBorder="1" applyAlignment="1">
      <alignment horizontal="center" vertical="center"/>
    </xf>
    <xf numFmtId="1" fontId="6" fillId="0" borderId="1868" xfId="0" applyNumberFormat="1" applyFont="1" applyBorder="1" applyAlignment="1">
      <alignment vertical="center" wrapText="1"/>
    </xf>
    <xf numFmtId="1" fontId="6" fillId="5" borderId="2161" xfId="0" applyNumberFormat="1" applyFont="1" applyFill="1" applyBorder="1" applyProtection="1">
      <protection locked="0"/>
    </xf>
    <xf numFmtId="1" fontId="6" fillId="5" borderId="933" xfId="0" applyNumberFormat="1" applyFont="1" applyFill="1" applyBorder="1" applyProtection="1">
      <protection locked="0"/>
    </xf>
    <xf numFmtId="1" fontId="6" fillId="3" borderId="1868" xfId="0" applyNumberFormat="1" applyFont="1" applyFill="1" applyBorder="1" applyAlignment="1">
      <alignment horizontal="right" wrapText="1"/>
    </xf>
    <xf numFmtId="1" fontId="6" fillId="0" borderId="1862" xfId="0" applyNumberFormat="1" applyFont="1" applyBorder="1"/>
    <xf numFmtId="1" fontId="6" fillId="0" borderId="1868" xfId="0" applyNumberFormat="1" applyFont="1" applyBorder="1"/>
    <xf numFmtId="1" fontId="6" fillId="0" borderId="1664" xfId="0" applyNumberFormat="1" applyFont="1" applyBorder="1" applyAlignment="1">
      <alignment vertical="center" wrapText="1"/>
    </xf>
    <xf numFmtId="1" fontId="6" fillId="4" borderId="1866" xfId="0" applyNumberFormat="1" applyFont="1" applyFill="1" applyBorder="1"/>
    <xf numFmtId="1" fontId="6" fillId="5" borderId="1868" xfId="0" applyNumberFormat="1" applyFont="1" applyFill="1" applyBorder="1" applyProtection="1">
      <protection locked="0"/>
    </xf>
    <xf numFmtId="1" fontId="6" fillId="5" borderId="1875" xfId="0" applyNumberFormat="1" applyFont="1" applyFill="1" applyBorder="1" applyProtection="1">
      <protection locked="0"/>
    </xf>
    <xf numFmtId="1" fontId="6" fillId="5" borderId="1958" xfId="0" applyNumberFormat="1" applyFont="1" applyFill="1" applyBorder="1" applyProtection="1">
      <protection locked="0"/>
    </xf>
    <xf numFmtId="1" fontId="6" fillId="0" borderId="2122" xfId="0" applyNumberFormat="1" applyFont="1" applyBorder="1" applyAlignment="1">
      <alignment horizontal="center" vertical="center" wrapText="1"/>
    </xf>
    <xf numFmtId="1" fontId="6" fillId="5" borderId="1683" xfId="0" applyNumberFormat="1" applyFont="1" applyFill="1" applyBorder="1" applyAlignment="1" applyProtection="1">
      <alignment wrapText="1"/>
      <protection locked="0"/>
    </xf>
    <xf numFmtId="1" fontId="6" fillId="5" borderId="1866" xfId="0" applyNumberFormat="1" applyFont="1" applyFill="1" applyBorder="1" applyAlignment="1" applyProtection="1">
      <alignment wrapText="1"/>
      <protection locked="0"/>
    </xf>
    <xf numFmtId="1" fontId="6" fillId="3" borderId="1871" xfId="0" applyNumberFormat="1" applyFont="1" applyFill="1" applyBorder="1"/>
    <xf numFmtId="1" fontId="6" fillId="3" borderId="2156" xfId="0" applyNumberFormat="1" applyFont="1" applyFill="1" applyBorder="1"/>
    <xf numFmtId="1" fontId="6" fillId="5" borderId="2175" xfId="0" applyNumberFormat="1" applyFont="1" applyFill="1" applyBorder="1" applyProtection="1">
      <protection locked="0"/>
    </xf>
    <xf numFmtId="1" fontId="6" fillId="0" borderId="1868" xfId="0" applyNumberFormat="1" applyFont="1" applyBorder="1" applyAlignment="1">
      <alignment horizontal="left" vertical="center" wrapText="1"/>
    </xf>
    <xf numFmtId="1" fontId="6" fillId="5" borderId="1690" xfId="0" applyNumberFormat="1" applyFont="1" applyFill="1" applyBorder="1" applyProtection="1">
      <protection locked="0"/>
    </xf>
    <xf numFmtId="1" fontId="6" fillId="3" borderId="1867" xfId="0" applyNumberFormat="1" applyFont="1" applyFill="1" applyBorder="1" applyAlignment="1">
      <alignment horizontal="right" wrapText="1"/>
    </xf>
    <xf numFmtId="1" fontId="6" fillId="3" borderId="1874" xfId="0" applyNumberFormat="1" applyFont="1" applyFill="1" applyBorder="1" applyAlignment="1">
      <alignment horizontal="right" wrapText="1"/>
    </xf>
    <xf numFmtId="1" fontId="6" fillId="0" borderId="2191" xfId="0" applyNumberFormat="1" applyFont="1" applyBorder="1"/>
    <xf numFmtId="1" fontId="6" fillId="0" borderId="1868" xfId="0" applyNumberFormat="1" applyFont="1" applyBorder="1" applyAlignment="1">
      <alignment horizontal="left" vertical="center"/>
    </xf>
    <xf numFmtId="1" fontId="6" fillId="3" borderId="1671" xfId="0" applyNumberFormat="1" applyFont="1" applyFill="1" applyBorder="1"/>
    <xf numFmtId="0" fontId="6" fillId="0" borderId="1699" xfId="0" applyFont="1" applyBorder="1" applyAlignment="1">
      <alignment vertical="center" wrapText="1"/>
    </xf>
    <xf numFmtId="1" fontId="58" fillId="38" borderId="0" xfId="0" applyNumberFormat="1" applyFont="1" applyFill="1" applyAlignment="1">
      <alignment wrapText="1"/>
    </xf>
    <xf numFmtId="1" fontId="59" fillId="38" borderId="0" xfId="0" applyNumberFormat="1" applyFont="1" applyFill="1" applyAlignment="1">
      <alignment wrapText="1"/>
    </xf>
    <xf numFmtId="1" fontId="60" fillId="38" borderId="0" xfId="0" applyNumberFormat="1" applyFont="1" applyFill="1" applyAlignment="1">
      <alignment wrapText="1"/>
    </xf>
    <xf numFmtId="1" fontId="38" fillId="42" borderId="0" xfId="0" applyNumberFormat="1" applyFont="1" applyFill="1" applyProtection="1">
      <protection locked="0"/>
    </xf>
    <xf numFmtId="1" fontId="38" fillId="42" borderId="0" xfId="0" applyNumberFormat="1" applyFont="1" applyFill="1"/>
    <xf numFmtId="1" fontId="6" fillId="0" borderId="778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1668" xfId="0" applyNumberFormat="1" applyFont="1" applyBorder="1" applyAlignment="1">
      <alignment horizontal="center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1697" xfId="0" applyNumberFormat="1" applyFont="1" applyBorder="1" applyAlignment="1">
      <alignment horizontal="center" vertical="center" wrapText="1"/>
    </xf>
    <xf numFmtId="1" fontId="6" fillId="0" borderId="1682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 wrapText="1"/>
    </xf>
    <xf numFmtId="1" fontId="6" fillId="0" borderId="1151" xfId="0" applyNumberFormat="1" applyFont="1" applyBorder="1" applyAlignment="1">
      <alignment horizontal="center" vertical="center"/>
    </xf>
    <xf numFmtId="1" fontId="6" fillId="0" borderId="1639" xfId="0" applyNumberFormat="1" applyFont="1" applyBorder="1" applyAlignment="1">
      <alignment horizontal="center" vertical="center" wrapText="1"/>
    </xf>
    <xf numFmtId="1" fontId="6" fillId="0" borderId="1255" xfId="0" applyNumberFormat="1" applyFont="1" applyBorder="1" applyAlignment="1">
      <alignment horizontal="center" vertical="center" wrapText="1"/>
    </xf>
    <xf numFmtId="1" fontId="6" fillId="0" borderId="1257" xfId="0" applyNumberFormat="1" applyFont="1" applyBorder="1" applyAlignment="1">
      <alignment horizontal="center" vertical="center" wrapText="1"/>
    </xf>
    <xf numFmtId="1" fontId="6" fillId="0" borderId="1256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/>
    </xf>
    <xf numFmtId="1" fontId="6" fillId="0" borderId="1305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2156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wrapText="1"/>
    </xf>
    <xf numFmtId="1" fontId="6" fillId="0" borderId="292" xfId="0" applyNumberFormat="1" applyFont="1" applyBorder="1"/>
    <xf numFmtId="1" fontId="6" fillId="0" borderId="1324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vertical="center"/>
    </xf>
    <xf numFmtId="1" fontId="6" fillId="3" borderId="750" xfId="0" applyNumberFormat="1" applyFont="1" applyFill="1" applyBorder="1" applyAlignment="1">
      <alignment horizontal="center" vertical="center"/>
    </xf>
    <xf numFmtId="1" fontId="6" fillId="14" borderId="1920" xfId="0" applyNumberFormat="1" applyFont="1" applyFill="1" applyBorder="1" applyAlignment="1">
      <alignment horizontal="center" vertical="center" wrapText="1"/>
    </xf>
    <xf numFmtId="1" fontId="6" fillId="0" borderId="1543" xfId="0" applyNumberFormat="1" applyFont="1" applyBorder="1" applyAlignment="1">
      <alignment horizontal="center" vertical="center"/>
    </xf>
    <xf numFmtId="1" fontId="6" fillId="0" borderId="669" xfId="0" applyNumberFormat="1" applyFont="1" applyBorder="1" applyAlignment="1">
      <alignment horizontal="center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1865" xfId="0" applyNumberFormat="1" applyFont="1" applyBorder="1" applyAlignment="1">
      <alignment horizontal="center" vertical="center" wrapText="1"/>
    </xf>
    <xf numFmtId="1" fontId="6" fillId="0" borderId="135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877" xfId="0" applyNumberFormat="1" applyFont="1" applyBorder="1" applyAlignment="1">
      <alignment horizontal="center" vertical="center" wrapText="1"/>
    </xf>
    <xf numFmtId="1" fontId="6" fillId="0" borderId="2193" xfId="0" applyNumberFormat="1" applyFont="1" applyBorder="1" applyAlignment="1">
      <alignment horizontal="center" vertical="center" wrapText="1"/>
    </xf>
    <xf numFmtId="1" fontId="6" fillId="0" borderId="2197" xfId="0" applyNumberFormat="1" applyFont="1" applyBorder="1" applyAlignment="1">
      <alignment horizontal="center" vertical="center" wrapText="1"/>
    </xf>
    <xf numFmtId="0" fontId="6" fillId="0" borderId="606" xfId="0" applyFont="1" applyBorder="1" applyAlignment="1">
      <alignment horizontal="left" vertical="center" wrapText="1"/>
    </xf>
    <xf numFmtId="1" fontId="6" fillId="0" borderId="957" xfId="0" applyNumberFormat="1" applyFont="1" applyBorder="1" applyAlignment="1">
      <alignment horizontal="center" vertical="center" wrapText="1"/>
    </xf>
    <xf numFmtId="1" fontId="6" fillId="0" borderId="957" xfId="0" applyNumberFormat="1" applyFont="1" applyBorder="1" applyAlignment="1">
      <alignment horizontal="center" vertical="center"/>
    </xf>
    <xf numFmtId="1" fontId="6" fillId="5" borderId="1616" xfId="0" applyNumberFormat="1" applyFont="1" applyFill="1" applyBorder="1" applyProtection="1">
      <protection locked="0"/>
    </xf>
    <xf numFmtId="1" fontId="6" fillId="5" borderId="2207" xfId="0" applyNumberFormat="1" applyFont="1" applyFill="1" applyBorder="1" applyProtection="1">
      <protection locked="0"/>
    </xf>
    <xf numFmtId="1" fontId="6" fillId="4" borderId="2203" xfId="0" applyNumberFormat="1" applyFont="1" applyFill="1" applyBorder="1"/>
    <xf numFmtId="1" fontId="6" fillId="4" borderId="1835" xfId="0" applyNumberFormat="1" applyFont="1" applyFill="1" applyBorder="1"/>
    <xf numFmtId="1" fontId="6" fillId="0" borderId="1857" xfId="0" applyNumberFormat="1" applyFont="1" applyBorder="1"/>
    <xf numFmtId="1" fontId="6" fillId="4" borderId="1686" xfId="0" applyNumberFormat="1" applyFont="1" applyFill="1" applyBorder="1"/>
    <xf numFmtId="1" fontId="6" fillId="0" borderId="2188" xfId="0" applyNumberFormat="1" applyFont="1" applyBorder="1"/>
    <xf numFmtId="1" fontId="6" fillId="3" borderId="2188" xfId="0" applyNumberFormat="1" applyFont="1" applyFill="1" applyBorder="1"/>
    <xf numFmtId="1" fontId="6" fillId="4" borderId="1658" xfId="0" applyNumberFormat="1" applyFont="1" applyFill="1" applyBorder="1"/>
    <xf numFmtId="1" fontId="6" fillId="4" borderId="1674" xfId="0" applyNumberFormat="1" applyFont="1" applyFill="1" applyBorder="1"/>
    <xf numFmtId="1" fontId="6" fillId="5" borderId="1920" xfId="0" applyNumberFormat="1" applyFont="1" applyFill="1" applyBorder="1" applyProtection="1">
      <protection locked="0"/>
    </xf>
    <xf numFmtId="1" fontId="6" fillId="3" borderId="2208" xfId="0" applyNumberFormat="1" applyFont="1" applyFill="1" applyBorder="1"/>
    <xf numFmtId="1" fontId="6" fillId="3" borderId="1522" xfId="14" applyNumberFormat="1" applyFont="1" applyFill="1" applyBorder="1" applyAlignment="1">
      <alignment horizontal="right"/>
    </xf>
    <xf numFmtId="1" fontId="6" fillId="3" borderId="1700" xfId="14" applyNumberFormat="1" applyFont="1" applyFill="1" applyBorder="1" applyAlignment="1">
      <alignment horizontal="right"/>
    </xf>
    <xf numFmtId="1" fontId="6" fillId="3" borderId="1520" xfId="14" applyNumberFormat="1" applyFont="1" applyFill="1" applyBorder="1" applyAlignment="1">
      <alignment horizontal="right"/>
    </xf>
    <xf numFmtId="1" fontId="6" fillId="15" borderId="1698" xfId="0" applyNumberFormat="1" applyFont="1" applyFill="1" applyBorder="1" applyProtection="1">
      <protection locked="0"/>
    </xf>
    <xf numFmtId="1" fontId="6" fillId="15" borderId="1520" xfId="0" applyNumberFormat="1" applyFont="1" applyFill="1" applyBorder="1" applyProtection="1">
      <protection locked="0"/>
    </xf>
    <xf numFmtId="1" fontId="6" fillId="15" borderId="1522" xfId="0" applyNumberFormat="1" applyFont="1" applyFill="1" applyBorder="1" applyProtection="1">
      <protection locked="0"/>
    </xf>
    <xf numFmtId="1" fontId="6" fillId="0" borderId="2208" xfId="0" applyNumberFormat="1" applyFont="1" applyBorder="1" applyAlignment="1">
      <alignment horizontal="left" vertical="center" wrapText="1"/>
    </xf>
    <xf numFmtId="1" fontId="6" fillId="5" borderId="2209" xfId="0" applyNumberFormat="1" applyFont="1" applyFill="1" applyBorder="1" applyProtection="1">
      <protection locked="0"/>
    </xf>
    <xf numFmtId="1" fontId="6" fillId="15" borderId="2209" xfId="0" applyNumberFormat="1" applyFont="1" applyFill="1" applyBorder="1" applyProtection="1">
      <protection locked="0"/>
    </xf>
    <xf numFmtId="1" fontId="6" fillId="15" borderId="1716" xfId="0" applyNumberFormat="1" applyFont="1" applyFill="1" applyBorder="1" applyProtection="1">
      <protection locked="0"/>
    </xf>
    <xf numFmtId="1" fontId="6" fillId="15" borderId="1733" xfId="0" applyNumberFormat="1" applyFont="1" applyFill="1" applyBorder="1" applyProtection="1">
      <protection locked="0"/>
    </xf>
    <xf numFmtId="1" fontId="6" fillId="15" borderId="950" xfId="0" applyNumberFormat="1" applyFont="1" applyFill="1" applyBorder="1" applyProtection="1">
      <protection locked="0"/>
    </xf>
    <xf numFmtId="1" fontId="6" fillId="0" borderId="593" xfId="0" applyNumberFormat="1" applyFont="1" applyBorder="1" applyAlignment="1">
      <alignment horizontal="center" vertical="center" wrapText="1"/>
    </xf>
    <xf numFmtId="1" fontId="4" fillId="3" borderId="1692" xfId="0" applyNumberFormat="1" applyFont="1" applyFill="1" applyBorder="1"/>
    <xf numFmtId="1" fontId="6" fillId="0" borderId="1058" xfId="23" applyNumberFormat="1" applyFont="1" applyBorder="1" applyAlignment="1">
      <alignment horizontal="left" vertical="center" wrapText="1"/>
    </xf>
    <xf numFmtId="1" fontId="6" fillId="0" borderId="1131" xfId="23" applyNumberFormat="1" applyFont="1" applyBorder="1" applyAlignment="1">
      <alignment horizontal="left" vertical="center" wrapText="1"/>
    </xf>
    <xf numFmtId="1" fontId="6" fillId="0" borderId="1117" xfId="23" applyNumberFormat="1" applyFont="1" applyBorder="1" applyAlignment="1">
      <alignment horizontal="left" vertical="center" wrapText="1"/>
    </xf>
    <xf numFmtId="1" fontId="6" fillId="0" borderId="1267" xfId="23" applyNumberFormat="1" applyFont="1" applyBorder="1" applyAlignment="1">
      <alignment horizontal="left" vertical="center" wrapText="1"/>
    </xf>
    <xf numFmtId="1" fontId="6" fillId="0" borderId="1091" xfId="23" applyNumberFormat="1" applyFont="1" applyBorder="1" applyAlignment="1">
      <alignment horizontal="left" vertical="center" wrapText="1"/>
    </xf>
    <xf numFmtId="1" fontId="6" fillId="0" borderId="1701" xfId="0" applyNumberFormat="1" applyFont="1" applyBorder="1" applyAlignment="1">
      <alignment horizontal="center" vertical="center" wrapText="1"/>
    </xf>
    <xf numFmtId="1" fontId="6" fillId="0" borderId="1723" xfId="0" applyNumberFormat="1" applyFont="1" applyBorder="1" applyAlignment="1">
      <alignment horizontal="center" vertical="center"/>
    </xf>
    <xf numFmtId="0" fontId="6" fillId="0" borderId="1858" xfId="0" applyFont="1" applyBorder="1" applyAlignment="1">
      <alignment vertical="center" wrapText="1"/>
    </xf>
    <xf numFmtId="1" fontId="6" fillId="0" borderId="1870" xfId="0" applyNumberFormat="1" applyFont="1" applyBorder="1"/>
    <xf numFmtId="1" fontId="6" fillId="0" borderId="1835" xfId="0" applyNumberFormat="1" applyFont="1" applyBorder="1"/>
    <xf numFmtId="1" fontId="6" fillId="0" borderId="1867" xfId="0" applyNumberFormat="1" applyFont="1" applyBorder="1"/>
    <xf numFmtId="1" fontId="6" fillId="0" borderId="1087" xfId="0" applyNumberFormat="1" applyFont="1" applyBorder="1"/>
    <xf numFmtId="0" fontId="6" fillId="0" borderId="1709" xfId="0" applyFont="1" applyBorder="1" applyAlignment="1">
      <alignment vertical="center" wrapText="1"/>
    </xf>
    <xf numFmtId="1" fontId="6" fillId="0" borderId="1744" xfId="0" applyNumberFormat="1" applyFont="1" applyBorder="1"/>
    <xf numFmtId="1" fontId="6" fillId="0" borderId="1682" xfId="0" applyNumberFormat="1" applyFont="1" applyBorder="1"/>
    <xf numFmtId="1" fontId="6" fillId="0" borderId="1668" xfId="0" applyNumberFormat="1" applyFont="1" applyBorder="1"/>
    <xf numFmtId="0" fontId="6" fillId="0" borderId="1671" xfId="0" applyFont="1" applyBorder="1" applyAlignment="1">
      <alignment vertical="center" wrapText="1"/>
    </xf>
    <xf numFmtId="0" fontId="6" fillId="0" borderId="1761" xfId="0" applyFont="1" applyBorder="1" applyAlignment="1">
      <alignment vertical="center" wrapText="1"/>
    </xf>
    <xf numFmtId="1" fontId="6" fillId="0" borderId="1701" xfId="0" applyNumberFormat="1" applyFont="1" applyBorder="1" applyAlignment="1">
      <alignment horizontal="center" vertical="center"/>
    </xf>
    <xf numFmtId="1" fontId="6" fillId="0" borderId="1907" xfId="0" applyNumberFormat="1" applyFont="1" applyBorder="1" applyAlignment="1">
      <alignment horizontal="center" vertical="center" wrapText="1"/>
    </xf>
    <xf numFmtId="1" fontId="6" fillId="0" borderId="1723" xfId="0" applyNumberFormat="1" applyFont="1" applyBorder="1" applyAlignment="1">
      <alignment horizontal="center" vertical="center" wrapText="1"/>
    </xf>
    <xf numFmtId="1" fontId="6" fillId="14" borderId="1797" xfId="0" applyNumberFormat="1" applyFont="1" applyFill="1" applyBorder="1" applyAlignment="1">
      <alignment vertical="center" wrapText="1"/>
    </xf>
    <xf numFmtId="1" fontId="6" fillId="14" borderId="1656" xfId="0" applyNumberFormat="1" applyFont="1" applyFill="1" applyBorder="1" applyAlignment="1">
      <alignment horizontal="right" wrapText="1"/>
    </xf>
    <xf numFmtId="1" fontId="6" fillId="14" borderId="1631" xfId="0" applyNumberFormat="1" applyFont="1" applyFill="1" applyBorder="1" applyAlignment="1">
      <alignment horizontal="right" wrapText="1"/>
    </xf>
    <xf numFmtId="1" fontId="6" fillId="14" borderId="1763" xfId="0" applyNumberFormat="1" applyFont="1" applyFill="1" applyBorder="1" applyAlignment="1">
      <alignment horizontal="right"/>
    </xf>
    <xf numFmtId="1" fontId="6" fillId="14" borderId="1664" xfId="0" applyNumberFormat="1" applyFont="1" applyFill="1" applyBorder="1" applyAlignment="1">
      <alignment vertical="center" wrapText="1"/>
    </xf>
    <xf numFmtId="1" fontId="6" fillId="14" borderId="1673" xfId="0" applyNumberFormat="1" applyFont="1" applyFill="1" applyBorder="1" applyAlignment="1">
      <alignment horizontal="right" wrapText="1"/>
    </xf>
    <xf numFmtId="1" fontId="6" fillId="14" borderId="1674" xfId="0" applyNumberFormat="1" applyFont="1" applyFill="1" applyBorder="1" applyAlignment="1">
      <alignment horizontal="right" wrapText="1"/>
    </xf>
    <xf numFmtId="1" fontId="6" fillId="14" borderId="1445" xfId="0" applyNumberFormat="1" applyFont="1" applyFill="1" applyBorder="1" applyAlignment="1">
      <alignment horizontal="right"/>
    </xf>
    <xf numFmtId="1" fontId="6" fillId="14" borderId="1760" xfId="0" applyNumberFormat="1" applyFont="1" applyFill="1" applyBorder="1" applyAlignment="1">
      <alignment horizontal="center"/>
    </xf>
    <xf numFmtId="1" fontId="6" fillId="14" borderId="1762" xfId="0" applyNumberFormat="1" applyFont="1" applyFill="1" applyBorder="1" applyAlignment="1">
      <alignment horizontal="right"/>
    </xf>
    <xf numFmtId="1" fontId="6" fillId="14" borderId="1765" xfId="0" applyNumberFormat="1" applyFont="1" applyFill="1" applyBorder="1" applyAlignment="1">
      <alignment horizontal="right"/>
    </xf>
    <xf numFmtId="1" fontId="6" fillId="14" borderId="1750" xfId="0" applyNumberFormat="1" applyFont="1" applyFill="1" applyBorder="1" applyAlignment="1">
      <alignment horizontal="right"/>
    </xf>
    <xf numFmtId="1" fontId="6" fillId="14" borderId="1607" xfId="0" applyNumberFormat="1" applyFont="1" applyFill="1" applyBorder="1" applyAlignment="1">
      <alignment horizontal="right" wrapText="1"/>
    </xf>
    <xf numFmtId="1" fontId="6" fillId="14" borderId="1700" xfId="0" applyNumberFormat="1" applyFont="1" applyFill="1" applyBorder="1" applyAlignment="1">
      <alignment horizontal="right" wrapText="1"/>
    </xf>
    <xf numFmtId="1" fontId="6" fillId="14" borderId="1683" xfId="0" applyNumberFormat="1" applyFont="1" applyFill="1" applyBorder="1" applyAlignment="1">
      <alignment horizontal="right"/>
    </xf>
    <xf numFmtId="1" fontId="6" fillId="14" borderId="1856" xfId="0" applyNumberFormat="1" applyFont="1" applyFill="1" applyBorder="1" applyAlignment="1">
      <alignment horizontal="center"/>
    </xf>
    <xf numFmtId="1" fontId="6" fillId="14" borderId="1906" xfId="0" applyNumberFormat="1" applyFont="1" applyFill="1" applyBorder="1" applyAlignment="1">
      <alignment horizontal="right"/>
    </xf>
    <xf numFmtId="1" fontId="6" fillId="14" borderId="1871" xfId="0" applyNumberFormat="1" applyFont="1" applyFill="1" applyBorder="1" applyAlignment="1">
      <alignment horizontal="right"/>
    </xf>
    <xf numFmtId="1" fontId="6" fillId="14" borderId="1927" xfId="0" applyNumberFormat="1" applyFont="1" applyFill="1" applyBorder="1" applyAlignment="1">
      <alignment horizontal="right"/>
    </xf>
    <xf numFmtId="1" fontId="6" fillId="14" borderId="1733" xfId="0" applyNumberFormat="1" applyFont="1" applyFill="1" applyBorder="1"/>
    <xf numFmtId="1" fontId="6" fillId="14" borderId="1682" xfId="0" applyNumberFormat="1" applyFont="1" applyFill="1" applyBorder="1"/>
    <xf numFmtId="1" fontId="6" fillId="14" borderId="1854" xfId="0" applyNumberFormat="1" applyFont="1" applyFill="1" applyBorder="1"/>
    <xf numFmtId="1" fontId="6" fillId="0" borderId="1762" xfId="0" applyNumberFormat="1" applyFont="1" applyBorder="1" applyAlignment="1">
      <alignment horizontal="center" vertical="center" wrapText="1"/>
    </xf>
    <xf numFmtId="1" fontId="6" fillId="14" borderId="1762" xfId="0" applyNumberFormat="1" applyFont="1" applyFill="1" applyBorder="1"/>
    <xf numFmtId="1" fontId="6" fillId="14" borderId="1750" xfId="0" applyNumberFormat="1" applyFont="1" applyFill="1" applyBorder="1"/>
    <xf numFmtId="1" fontId="6" fillId="14" borderId="1764" xfId="0" applyNumberFormat="1" applyFont="1" applyFill="1" applyBorder="1"/>
    <xf numFmtId="1" fontId="6" fillId="14" borderId="1758" xfId="0" applyNumberFormat="1" applyFont="1" applyFill="1" applyBorder="1"/>
    <xf numFmtId="1" fontId="6" fillId="14" borderId="1799" xfId="0" applyNumberFormat="1" applyFont="1" applyFill="1" applyBorder="1"/>
    <xf numFmtId="1" fontId="6" fillId="14" borderId="1760" xfId="0" applyNumberFormat="1" applyFont="1" applyFill="1" applyBorder="1"/>
    <xf numFmtId="1" fontId="6" fillId="14" borderId="1929" xfId="0" applyNumberFormat="1" applyFont="1" applyFill="1" applyBorder="1"/>
    <xf numFmtId="1" fontId="6" fillId="14" borderId="1927" xfId="0" applyNumberFormat="1" applyFont="1" applyFill="1" applyBorder="1"/>
    <xf numFmtId="1" fontId="6" fillId="14" borderId="1933" xfId="0" applyNumberFormat="1" applyFont="1" applyFill="1" applyBorder="1"/>
    <xf numFmtId="1" fontId="6" fillId="14" borderId="1928" xfId="0" applyNumberFormat="1" applyFont="1" applyFill="1" applyBorder="1"/>
    <xf numFmtId="1" fontId="6" fillId="14" borderId="901" xfId="0" applyNumberFormat="1" applyFont="1" applyFill="1" applyBorder="1"/>
    <xf numFmtId="1" fontId="6" fillId="14" borderId="1840" xfId="0" applyNumberFormat="1" applyFont="1" applyFill="1" applyBorder="1"/>
    <xf numFmtId="1" fontId="6" fillId="14" borderId="1091" xfId="0" applyNumberFormat="1" applyFont="1" applyFill="1" applyBorder="1"/>
    <xf numFmtId="1" fontId="6" fillId="14" borderId="1761" xfId="0" applyNumberFormat="1" applyFont="1" applyFill="1" applyBorder="1"/>
    <xf numFmtId="1" fontId="6" fillId="0" borderId="1718" xfId="0" applyNumberFormat="1" applyFont="1" applyBorder="1" applyAlignment="1">
      <alignment horizontal="center" vertical="center" wrapText="1"/>
    </xf>
    <xf numFmtId="1" fontId="6" fillId="0" borderId="1138" xfId="0" applyNumberFormat="1" applyFont="1" applyBorder="1" applyAlignment="1">
      <alignment vertical="center" wrapText="1"/>
    </xf>
    <xf numFmtId="1" fontId="6" fillId="0" borderId="1684" xfId="0" applyNumberFormat="1" applyFont="1" applyBorder="1" applyAlignment="1">
      <alignment vertical="center" wrapText="1"/>
    </xf>
    <xf numFmtId="1" fontId="6" fillId="0" borderId="1927" xfId="0" applyNumberFormat="1" applyFont="1" applyBorder="1" applyAlignment="1">
      <alignment horizontal="center" vertical="center" wrapText="1"/>
    </xf>
    <xf numFmtId="1" fontId="6" fillId="0" borderId="1523" xfId="0" applyNumberFormat="1" applyFont="1" applyBorder="1" applyAlignment="1">
      <alignment wrapText="1"/>
    </xf>
    <xf numFmtId="1" fontId="6" fillId="5" borderId="2210" xfId="0" applyNumberFormat="1" applyFont="1" applyFill="1" applyBorder="1" applyProtection="1">
      <protection locked="0"/>
    </xf>
    <xf numFmtId="1" fontId="6" fillId="2" borderId="2210" xfId="9" applyNumberFormat="1" applyFont="1" applyBorder="1" applyProtection="1">
      <protection locked="0"/>
    </xf>
    <xf numFmtId="1" fontId="6" fillId="2" borderId="2211" xfId="9" applyNumberFormat="1" applyFont="1" applyBorder="1" applyProtection="1">
      <protection locked="0"/>
    </xf>
    <xf numFmtId="1" fontId="6" fillId="4" borderId="1570" xfId="0" applyNumberFormat="1" applyFont="1" applyFill="1" applyBorder="1"/>
    <xf numFmtId="1" fontId="6" fillId="2" borderId="1570" xfId="9" applyNumberFormat="1" applyFont="1" applyBorder="1" applyProtection="1">
      <protection locked="0"/>
    </xf>
    <xf numFmtId="1" fontId="6" fillId="2" borderId="1522" xfId="9" applyNumberFormat="1" applyFont="1" applyBorder="1" applyProtection="1">
      <protection locked="0"/>
    </xf>
    <xf numFmtId="1" fontId="6" fillId="31" borderId="1522" xfId="0" applyNumberFormat="1" applyFont="1" applyFill="1" applyBorder="1"/>
    <xf numFmtId="1" fontId="6" fillId="31" borderId="1570" xfId="0" applyNumberFormat="1" applyFont="1" applyFill="1" applyBorder="1"/>
    <xf numFmtId="1" fontId="4" fillId="0" borderId="35" xfId="0" applyNumberFormat="1" applyFont="1" applyBorder="1"/>
    <xf numFmtId="1" fontId="6" fillId="14" borderId="2139" xfId="0" applyNumberFormat="1" applyFont="1" applyFill="1" applyBorder="1" applyAlignment="1">
      <alignment horizontal="center" vertical="center" wrapText="1"/>
    </xf>
    <xf numFmtId="1" fontId="6" fillId="14" borderId="2138" xfId="0" applyNumberFormat="1" applyFont="1" applyFill="1" applyBorder="1" applyAlignment="1">
      <alignment horizontal="center" vertical="center" wrapText="1"/>
    </xf>
    <xf numFmtId="1" fontId="6" fillId="14" borderId="1871" xfId="0" applyNumberFormat="1" applyFont="1" applyFill="1" applyBorder="1" applyAlignment="1">
      <alignment horizontal="center" vertical="center" wrapText="1"/>
    </xf>
    <xf numFmtId="1" fontId="6" fillId="14" borderId="1927" xfId="0" applyNumberFormat="1" applyFont="1" applyFill="1" applyBorder="1" applyAlignment="1">
      <alignment horizontal="center" vertical="center" wrapText="1"/>
    </xf>
    <xf numFmtId="1" fontId="6" fillId="14" borderId="2122" xfId="0" applyNumberFormat="1" applyFont="1" applyFill="1" applyBorder="1" applyAlignment="1">
      <alignment horizontal="center" vertical="center" wrapText="1"/>
    </xf>
    <xf numFmtId="1" fontId="6" fillId="14" borderId="2193" xfId="0" applyNumberFormat="1" applyFont="1" applyFill="1" applyBorder="1" applyAlignment="1">
      <alignment horizontal="center" vertical="center" wrapText="1"/>
    </xf>
    <xf numFmtId="1" fontId="6" fillId="14" borderId="2148" xfId="0" applyNumberFormat="1" applyFont="1" applyFill="1" applyBorder="1" applyAlignment="1">
      <alignment horizontal="center" vertical="center" wrapText="1"/>
    </xf>
    <xf numFmtId="1" fontId="6" fillId="16" borderId="2138" xfId="0" applyNumberFormat="1" applyFont="1" applyFill="1" applyBorder="1" applyAlignment="1">
      <alignment horizontal="center" vertical="center" wrapText="1"/>
    </xf>
    <xf numFmtId="1" fontId="6" fillId="16" borderId="2143" xfId="0" applyNumberFormat="1" applyFont="1" applyFill="1" applyBorder="1" applyAlignment="1">
      <alignment horizontal="center" vertical="center" wrapText="1"/>
    </xf>
    <xf numFmtId="1" fontId="6" fillId="0" borderId="2138" xfId="0" applyNumberFormat="1" applyFont="1" applyBorder="1" applyAlignment="1" applyProtection="1">
      <alignment horizontal="center" vertical="center" wrapText="1"/>
      <protection hidden="1"/>
    </xf>
    <xf numFmtId="1" fontId="6" fillId="0" borderId="1871" xfId="0" applyNumberFormat="1" applyFont="1" applyBorder="1" applyAlignment="1" applyProtection="1">
      <alignment horizontal="center" vertical="center" wrapText="1"/>
      <protection hidden="1"/>
    </xf>
    <xf numFmtId="1" fontId="6" fillId="0" borderId="2143" xfId="0" applyNumberFormat="1" applyFont="1" applyBorder="1" applyAlignment="1" applyProtection="1">
      <alignment horizontal="center" vertical="center" wrapText="1"/>
      <protection hidden="1"/>
    </xf>
    <xf numFmtId="1" fontId="6" fillId="14" borderId="2142" xfId="0" applyNumberFormat="1" applyFont="1" applyFill="1" applyBorder="1" applyProtection="1">
      <protection locked="0"/>
    </xf>
    <xf numFmtId="1" fontId="6" fillId="5" borderId="2149" xfId="0" applyNumberFormat="1" applyFont="1" applyFill="1" applyBorder="1" applyProtection="1">
      <protection locked="0"/>
    </xf>
    <xf numFmtId="1" fontId="6" fillId="5" borderId="2157" xfId="0" applyNumberFormat="1" applyFont="1" applyFill="1" applyBorder="1" applyProtection="1">
      <protection locked="0"/>
    </xf>
    <xf numFmtId="1" fontId="6" fillId="5" borderId="2205" xfId="0" applyNumberFormat="1" applyFont="1" applyFill="1" applyBorder="1" applyProtection="1">
      <protection locked="0"/>
    </xf>
    <xf numFmtId="1" fontId="6" fillId="14" borderId="2188" xfId="0" applyNumberFormat="1" applyFont="1" applyFill="1" applyBorder="1" applyProtection="1">
      <protection locked="0"/>
    </xf>
    <xf numFmtId="1" fontId="6" fillId="16" borderId="1867" xfId="0" applyNumberFormat="1" applyFont="1" applyFill="1" applyBorder="1" applyProtection="1">
      <protection locked="0"/>
    </xf>
    <xf numFmtId="1" fontId="6" fillId="16" borderId="1445" xfId="0" applyNumberFormat="1" applyFont="1" applyFill="1" applyBorder="1" applyProtection="1">
      <protection locked="0"/>
    </xf>
    <xf numFmtId="1" fontId="6" fillId="14" borderId="1857" xfId="0" applyNumberFormat="1" applyFont="1" applyFill="1" applyBorder="1" applyProtection="1">
      <protection locked="0"/>
    </xf>
    <xf numFmtId="1" fontId="6" fillId="14" borderId="1521" xfId="0" applyNumberFormat="1" applyFont="1" applyFill="1" applyBorder="1" applyProtection="1">
      <protection locked="0"/>
    </xf>
    <xf numFmtId="1" fontId="6" fillId="14" borderId="1699" xfId="0" applyNumberFormat="1" applyFont="1" applyFill="1" applyBorder="1" applyProtection="1">
      <protection locked="0"/>
    </xf>
    <xf numFmtId="1" fontId="6" fillId="14" borderId="1670" xfId="0" applyNumberFormat="1" applyFont="1" applyFill="1" applyBorder="1" applyProtection="1">
      <protection locked="0"/>
    </xf>
    <xf numFmtId="1" fontId="6" fillId="14" borderId="1671" xfId="0" applyNumberFormat="1" applyFont="1" applyFill="1" applyBorder="1" applyProtection="1">
      <protection locked="0"/>
    </xf>
    <xf numFmtId="1" fontId="6" fillId="16" borderId="1607" xfId="0" applyNumberFormat="1" applyFont="1" applyFill="1" applyBorder="1" applyProtection="1">
      <protection locked="0"/>
    </xf>
    <xf numFmtId="1" fontId="6" fillId="16" borderId="981" xfId="0" applyNumberFormat="1" applyFont="1" applyFill="1" applyBorder="1" applyProtection="1">
      <protection locked="0"/>
    </xf>
    <xf numFmtId="1" fontId="6" fillId="16" borderId="71" xfId="0" applyNumberFormat="1" applyFont="1" applyFill="1" applyBorder="1" applyProtection="1">
      <protection locked="0"/>
    </xf>
    <xf numFmtId="1" fontId="6" fillId="14" borderId="1868" xfId="0" applyNumberFormat="1" applyFont="1" applyFill="1" applyBorder="1" applyProtection="1">
      <protection locked="0"/>
    </xf>
    <xf numFmtId="1" fontId="6" fillId="14" borderId="1519" xfId="0" applyNumberFormat="1" applyFont="1" applyFill="1" applyBorder="1" applyProtection="1">
      <protection locked="0"/>
    </xf>
    <xf numFmtId="1" fontId="6" fillId="5" borderId="1873" xfId="0" applyNumberFormat="1" applyFont="1" applyFill="1" applyBorder="1" applyProtection="1">
      <protection locked="0"/>
    </xf>
    <xf numFmtId="1" fontId="6" fillId="16" borderId="1866" xfId="0" applyNumberFormat="1" applyFont="1" applyFill="1" applyBorder="1" applyProtection="1">
      <protection locked="0"/>
    </xf>
    <xf numFmtId="1" fontId="6" fillId="16" borderId="1873" xfId="0" applyNumberFormat="1" applyFont="1" applyFill="1" applyBorder="1" applyProtection="1">
      <protection locked="0"/>
    </xf>
    <xf numFmtId="1" fontId="13" fillId="0" borderId="2122" xfId="0" applyNumberFormat="1" applyFont="1" applyBorder="1" applyAlignment="1">
      <alignment horizontal="center" vertical="center"/>
    </xf>
    <xf numFmtId="1" fontId="6" fillId="0" borderId="2156" xfId="0" applyNumberFormat="1" applyFont="1" applyBorder="1"/>
    <xf numFmtId="1" fontId="6" fillId="3" borderId="1744" xfId="0" applyNumberFormat="1" applyFont="1" applyFill="1" applyBorder="1"/>
    <xf numFmtId="1" fontId="6" fillId="3" borderId="1682" xfId="0" applyNumberFormat="1" applyFont="1" applyFill="1" applyBorder="1"/>
    <xf numFmtId="1" fontId="6" fillId="3" borderId="741" xfId="0" applyNumberFormat="1" applyFont="1" applyFill="1" applyBorder="1"/>
    <xf numFmtId="1" fontId="4" fillId="0" borderId="517" xfId="0" applyNumberFormat="1" applyFont="1" applyBorder="1"/>
    <xf numFmtId="1" fontId="6" fillId="0" borderId="1331" xfId="0" applyNumberFormat="1" applyFont="1" applyBorder="1"/>
    <xf numFmtId="1" fontId="6" fillId="0" borderId="1140" xfId="0" applyNumberFormat="1" applyFont="1" applyBorder="1" applyAlignment="1">
      <alignment vertical="center"/>
    </xf>
    <xf numFmtId="1" fontId="6" fillId="0" borderId="1519" xfId="0" applyNumberFormat="1" applyFont="1" applyBorder="1" applyAlignment="1">
      <alignment vertical="center"/>
    </xf>
    <xf numFmtId="1" fontId="4" fillId="14" borderId="49" xfId="0" applyNumberFormat="1" applyFont="1" applyFill="1" applyBorder="1"/>
    <xf numFmtId="1" fontId="6" fillId="0" borderId="1325" xfId="0" applyNumberFormat="1" applyFont="1" applyBorder="1" applyAlignment="1">
      <alignment horizontal="center" vertical="center" wrapText="1"/>
    </xf>
    <xf numFmtId="1" fontId="4" fillId="14" borderId="226" xfId="0" applyNumberFormat="1" applyFont="1" applyFill="1" applyBorder="1"/>
    <xf numFmtId="1" fontId="4" fillId="3" borderId="175" xfId="0" applyNumberFormat="1" applyFont="1" applyFill="1" applyBorder="1" applyAlignment="1">
      <alignment horizontal="left"/>
    </xf>
    <xf numFmtId="1" fontId="4" fillId="3" borderId="2192" xfId="0" applyNumberFormat="1" applyFont="1" applyFill="1" applyBorder="1" applyAlignment="1">
      <alignment horizontal="left"/>
    </xf>
    <xf numFmtId="1" fontId="6" fillId="0" borderId="2195" xfId="0" applyNumberFormat="1" applyFont="1" applyBorder="1" applyAlignment="1">
      <alignment horizontal="center" vertical="center" wrapText="1"/>
    </xf>
    <xf numFmtId="1" fontId="6" fillId="0" borderId="2214" xfId="0" applyNumberFormat="1" applyFont="1" applyBorder="1"/>
    <xf numFmtId="1" fontId="6" fillId="0" borderId="2203" xfId="0" applyNumberFormat="1" applyFont="1" applyBorder="1"/>
    <xf numFmtId="1" fontId="6" fillId="0" borderId="2212" xfId="0" applyNumberFormat="1" applyFont="1" applyBorder="1"/>
    <xf numFmtId="1" fontId="6" fillId="5" borderId="2204" xfId="0" applyNumberFormat="1" applyFont="1" applyFill="1" applyBorder="1" applyProtection="1">
      <protection locked="0"/>
    </xf>
    <xf numFmtId="1" fontId="6" fillId="5" borderId="2194" xfId="0" applyNumberFormat="1" applyFont="1" applyFill="1" applyBorder="1" applyProtection="1">
      <protection locked="0"/>
    </xf>
    <xf numFmtId="1" fontId="6" fillId="5" borderId="2215" xfId="0" applyNumberFormat="1" applyFont="1" applyFill="1" applyBorder="1" applyProtection="1">
      <protection locked="0"/>
    </xf>
    <xf numFmtId="1" fontId="6" fillId="0" borderId="1526" xfId="0" applyNumberFormat="1" applyFont="1" applyBorder="1"/>
    <xf numFmtId="1" fontId="6" fillId="5" borderId="1523" xfId="0" applyNumberFormat="1" applyFont="1" applyFill="1" applyBorder="1" applyProtection="1">
      <protection locked="0"/>
    </xf>
    <xf numFmtId="1" fontId="6" fillId="0" borderId="1102" xfId="0" applyNumberFormat="1" applyFont="1" applyBorder="1"/>
    <xf numFmtId="1" fontId="6" fillId="0" borderId="1118" xfId="0" applyNumberFormat="1" applyFont="1" applyBorder="1"/>
    <xf numFmtId="1" fontId="6" fillId="0" borderId="861" xfId="28" applyNumberFormat="1" applyFont="1" applyBorder="1" applyAlignment="1">
      <alignment horizontal="center" vertical="center" wrapText="1"/>
    </xf>
    <xf numFmtId="1" fontId="6" fillId="0" borderId="1449" xfId="28" applyNumberFormat="1" applyFont="1" applyBorder="1" applyAlignment="1">
      <alignment horizontal="center" vertical="center" wrapText="1"/>
    </xf>
    <xf numFmtId="1" fontId="6" fillId="0" borderId="1442" xfId="28" applyNumberFormat="1" applyFont="1" applyBorder="1" applyAlignment="1">
      <alignment horizontal="center" vertical="center" wrapText="1"/>
    </xf>
    <xf numFmtId="1" fontId="4" fillId="14" borderId="482" xfId="28" applyNumberFormat="1" applyFont="1" applyFill="1" applyBorder="1" applyProtection="1">
      <protection hidden="1"/>
    </xf>
    <xf numFmtId="1" fontId="6" fillId="0" borderId="1468" xfId="28" applyNumberFormat="1" applyFont="1" applyBorder="1" applyAlignment="1">
      <alignment horizontal="center" vertical="center" wrapText="1"/>
    </xf>
    <xf numFmtId="1" fontId="6" fillId="0" borderId="1469" xfId="28" applyNumberFormat="1" applyFont="1" applyBorder="1" applyAlignment="1">
      <alignment horizontal="center" vertical="center" wrapText="1"/>
    </xf>
    <xf numFmtId="1" fontId="6" fillId="0" borderId="1928" xfId="28" applyNumberFormat="1" applyFont="1" applyBorder="1" applyAlignment="1">
      <alignment horizontal="center" vertical="center" wrapText="1"/>
    </xf>
    <xf numFmtId="1" fontId="6" fillId="0" borderId="1959" xfId="28" applyNumberFormat="1" applyFont="1" applyBorder="1" applyAlignment="1">
      <alignment horizontal="center" vertical="center" wrapText="1"/>
    </xf>
    <xf numFmtId="1" fontId="6" fillId="0" borderId="2216" xfId="28" applyNumberFormat="1" applyFont="1" applyBorder="1"/>
    <xf numFmtId="1" fontId="4" fillId="3" borderId="1666" xfId="0" applyNumberFormat="1" applyFont="1" applyFill="1" applyBorder="1" applyAlignment="1">
      <alignment horizontal="left"/>
    </xf>
    <xf numFmtId="1" fontId="6" fillId="0" borderId="1697" xfId="0" applyNumberFormat="1" applyFont="1" applyBorder="1" applyAlignment="1">
      <alignment wrapText="1"/>
    </xf>
    <xf numFmtId="1" fontId="6" fillId="5" borderId="306" xfId="0" applyNumberFormat="1" applyFont="1" applyFill="1" applyBorder="1" applyProtection="1">
      <protection locked="0"/>
    </xf>
    <xf numFmtId="1" fontId="6" fillId="5" borderId="1693" xfId="0" applyNumberFormat="1" applyFont="1" applyFill="1" applyBorder="1" applyProtection="1">
      <protection locked="0"/>
    </xf>
    <xf numFmtId="1" fontId="6" fillId="5" borderId="833" xfId="0" applyNumberFormat="1" applyFont="1" applyFill="1" applyBorder="1" applyProtection="1">
      <protection locked="0"/>
    </xf>
    <xf numFmtId="1" fontId="6" fillId="5" borderId="834" xfId="0" applyNumberFormat="1" applyFont="1" applyFill="1" applyBorder="1" applyProtection="1">
      <protection locked="0"/>
    </xf>
    <xf numFmtId="1" fontId="6" fillId="5" borderId="1730" xfId="0" applyNumberFormat="1" applyFont="1" applyFill="1" applyBorder="1" applyProtection="1">
      <protection locked="0"/>
    </xf>
    <xf numFmtId="1" fontId="6" fillId="5" borderId="835" xfId="0" applyNumberFormat="1" applyFont="1" applyFill="1" applyBorder="1" applyProtection="1">
      <protection locked="0"/>
    </xf>
    <xf numFmtId="1" fontId="6" fillId="5" borderId="836" xfId="0" applyNumberFormat="1" applyFont="1" applyFill="1" applyBorder="1" applyProtection="1">
      <protection locked="0"/>
    </xf>
    <xf numFmtId="1" fontId="6" fillId="0" borderId="1704" xfId="0" applyNumberFormat="1" applyFont="1" applyBorder="1" applyAlignment="1">
      <alignment vertical="center" wrapText="1"/>
    </xf>
    <xf numFmtId="1" fontId="6" fillId="5" borderId="1293" xfId="0" applyNumberFormat="1" applyFont="1" applyFill="1" applyBorder="1" applyProtection="1">
      <protection locked="0"/>
    </xf>
    <xf numFmtId="1" fontId="6" fillId="5" borderId="904" xfId="0" applyNumberFormat="1" applyFont="1" applyFill="1" applyBorder="1" applyProtection="1">
      <protection locked="0"/>
    </xf>
    <xf numFmtId="1" fontId="6" fillId="5" borderId="1723" xfId="0" applyNumberFormat="1" applyFont="1" applyFill="1" applyBorder="1" applyProtection="1">
      <protection locked="0"/>
    </xf>
    <xf numFmtId="1" fontId="6" fillId="5" borderId="1714" xfId="0" applyNumberFormat="1" applyFont="1" applyFill="1" applyBorder="1" applyProtection="1">
      <protection locked="0"/>
    </xf>
    <xf numFmtId="1" fontId="6" fillId="0" borderId="1730" xfId="0" applyNumberFormat="1" applyFont="1" applyBorder="1" applyAlignment="1">
      <alignment vertical="center" wrapText="1"/>
    </xf>
    <xf numFmtId="1" fontId="6" fillId="5" borderId="1729" xfId="0" applyNumberFormat="1" applyFont="1" applyFill="1" applyBorder="1" applyProtection="1">
      <protection locked="0"/>
    </xf>
    <xf numFmtId="1" fontId="6" fillId="3" borderId="1697" xfId="0" applyNumberFormat="1" applyFont="1" applyFill="1" applyBorder="1" applyAlignment="1">
      <alignment horizontal="center" vertical="center" wrapText="1"/>
    </xf>
    <xf numFmtId="1" fontId="6" fillId="14" borderId="1697" xfId="0" applyNumberFormat="1" applyFont="1" applyFill="1" applyBorder="1" applyAlignment="1">
      <alignment horizontal="center" vertical="center" wrapText="1"/>
    </xf>
    <xf numFmtId="1" fontId="6" fillId="5" borderId="1521" xfId="0" applyNumberFormat="1" applyFont="1" applyFill="1" applyBorder="1" applyProtection="1">
      <protection locked="0"/>
    </xf>
    <xf numFmtId="1" fontId="6" fillId="5" borderId="1708" xfId="0" applyNumberFormat="1" applyFont="1" applyFill="1" applyBorder="1" applyProtection="1">
      <protection locked="0"/>
    </xf>
    <xf numFmtId="1" fontId="6" fillId="14" borderId="1868" xfId="0" applyNumberFormat="1" applyFont="1" applyFill="1" applyBorder="1" applyAlignment="1">
      <alignment horizontal="left" vertical="center"/>
    </xf>
    <xf numFmtId="1" fontId="6" fillId="0" borderId="2175" xfId="0" applyNumberFormat="1" applyFont="1" applyBorder="1" applyAlignment="1">
      <alignment horizontal="right"/>
    </xf>
    <xf numFmtId="1" fontId="6" fillId="0" borderId="2210" xfId="0" applyNumberFormat="1" applyFont="1" applyBorder="1" applyAlignment="1">
      <alignment horizontal="right"/>
    </xf>
    <xf numFmtId="1" fontId="6" fillId="0" borderId="2211" xfId="0" applyNumberFormat="1" applyFont="1" applyBorder="1" applyAlignment="1">
      <alignment horizontal="right"/>
    </xf>
    <xf numFmtId="1" fontId="6" fillId="0" borderId="1518" xfId="0" applyNumberFormat="1" applyFont="1" applyBorder="1" applyAlignment="1">
      <alignment horizontal="right"/>
    </xf>
    <xf numFmtId="1" fontId="6" fillId="0" borderId="1674" xfId="0" applyNumberFormat="1" applyFont="1" applyBorder="1" applyAlignment="1">
      <alignment horizontal="right" wrapText="1"/>
    </xf>
    <xf numFmtId="1" fontId="11" fillId="14" borderId="1856" xfId="25" applyNumberFormat="1" applyFont="1" applyFill="1" applyBorder="1" applyAlignment="1">
      <alignment horizontal="center" wrapText="1"/>
    </xf>
    <xf numFmtId="1" fontId="11" fillId="14" borderId="1856" xfId="7" applyNumberFormat="1" applyFont="1" applyFill="1" applyBorder="1" applyAlignment="1">
      <alignment horizontal="center" vertical="center" wrapText="1"/>
    </xf>
    <xf numFmtId="1" fontId="11" fillId="14" borderId="1856" xfId="25" applyNumberFormat="1" applyFont="1" applyFill="1" applyBorder="1" applyAlignment="1">
      <alignment horizontal="center" vertical="center" wrapText="1"/>
    </xf>
    <xf numFmtId="1" fontId="11" fillId="14" borderId="1858" xfId="0" applyNumberFormat="1" applyFont="1" applyFill="1" applyBorder="1" applyAlignment="1" applyProtection="1">
      <alignment horizontal="right"/>
      <protection locked="0"/>
    </xf>
    <xf numFmtId="1" fontId="11" fillId="5" borderId="1858" xfId="0" applyNumberFormat="1" applyFont="1" applyFill="1" applyBorder="1" applyAlignment="1" applyProtection="1">
      <alignment horizontal="right"/>
      <protection locked="0"/>
    </xf>
    <xf numFmtId="1" fontId="11" fillId="14" borderId="700" xfId="0" applyNumberFormat="1" applyFont="1" applyFill="1" applyBorder="1" applyAlignment="1" applyProtection="1">
      <alignment horizontal="right"/>
      <protection locked="0"/>
    </xf>
    <xf numFmtId="1" fontId="11" fillId="5" borderId="700" xfId="0" applyNumberFormat="1" applyFont="1" applyFill="1" applyBorder="1" applyAlignment="1" applyProtection="1">
      <alignment horizontal="right"/>
      <protection locked="0"/>
    </xf>
    <xf numFmtId="1" fontId="11" fillId="14" borderId="1868" xfId="0" applyNumberFormat="1" applyFont="1" applyFill="1" applyBorder="1" applyAlignment="1" applyProtection="1">
      <alignment horizontal="right"/>
      <protection locked="0"/>
    </xf>
    <xf numFmtId="1" fontId="11" fillId="5" borderId="1868" xfId="0" applyNumberFormat="1" applyFont="1" applyFill="1" applyBorder="1" applyAlignment="1" applyProtection="1">
      <alignment horizontal="right"/>
      <protection locked="0"/>
    </xf>
    <xf numFmtId="1" fontId="11" fillId="14" borderId="1671" xfId="0" applyNumberFormat="1" applyFont="1" applyFill="1" applyBorder="1" applyAlignment="1" applyProtection="1">
      <alignment horizontal="right"/>
      <protection locked="0"/>
    </xf>
    <xf numFmtId="1" fontId="11" fillId="5" borderId="1671" xfId="0" applyNumberFormat="1" applyFont="1" applyFill="1" applyBorder="1" applyAlignment="1" applyProtection="1">
      <alignment horizontal="right"/>
      <protection locked="0"/>
    </xf>
    <xf numFmtId="1" fontId="11" fillId="14" borderId="1931" xfId="0" applyNumberFormat="1" applyFont="1" applyFill="1" applyBorder="1" applyAlignment="1" applyProtection="1">
      <alignment horizontal="right"/>
      <protection locked="0"/>
    </xf>
    <xf numFmtId="1" fontId="11" fillId="5" borderId="1931" xfId="0" applyNumberFormat="1" applyFont="1" applyFill="1" applyBorder="1" applyAlignment="1" applyProtection="1">
      <alignment horizontal="right"/>
      <protection locked="0"/>
    </xf>
    <xf numFmtId="1" fontId="11" fillId="14" borderId="1761" xfId="0" applyNumberFormat="1" applyFont="1" applyFill="1" applyBorder="1" applyAlignment="1" applyProtection="1">
      <alignment horizontal="right"/>
      <protection locked="0"/>
    </xf>
    <xf numFmtId="1" fontId="11" fillId="5" borderId="1761" xfId="0" applyNumberFormat="1" applyFont="1" applyFill="1" applyBorder="1" applyAlignment="1" applyProtection="1">
      <alignment horizontal="right"/>
      <protection locked="0"/>
    </xf>
    <xf numFmtId="1" fontId="11" fillId="14" borderId="1856" xfId="0" applyNumberFormat="1" applyFont="1" applyFill="1" applyBorder="1" applyAlignment="1">
      <alignment horizontal="left" vertical="center" wrapText="1"/>
    </xf>
    <xf numFmtId="1" fontId="11" fillId="14" borderId="1856" xfId="0" applyNumberFormat="1" applyFont="1" applyFill="1" applyBorder="1" applyAlignment="1" applyProtection="1">
      <alignment horizontal="right"/>
      <protection locked="0"/>
    </xf>
    <xf numFmtId="1" fontId="11" fillId="5" borderId="1856" xfId="0" applyNumberFormat="1" applyFont="1" applyFill="1" applyBorder="1" applyAlignment="1" applyProtection="1">
      <alignment horizontal="right"/>
      <protection locked="0"/>
    </xf>
    <xf numFmtId="1" fontId="6" fillId="14" borderId="1930" xfId="25" applyNumberFormat="1" applyFont="1" applyFill="1" applyBorder="1" applyAlignment="1">
      <alignment horizontal="center" vertical="center" wrapText="1"/>
    </xf>
    <xf numFmtId="1" fontId="6" fillId="5" borderId="686" xfId="0" applyNumberFormat="1" applyFont="1" applyFill="1" applyBorder="1" applyAlignment="1" applyProtection="1">
      <alignment wrapText="1"/>
      <protection locked="0"/>
    </xf>
    <xf numFmtId="1" fontId="6" fillId="0" borderId="1519" xfId="0" applyNumberFormat="1" applyFont="1" applyBorder="1" applyAlignment="1">
      <alignment wrapText="1"/>
    </xf>
    <xf numFmtId="1" fontId="6" fillId="0" borderId="1671" xfId="0" applyNumberFormat="1" applyFont="1" applyBorder="1" applyAlignment="1">
      <alignment wrapText="1"/>
    </xf>
    <xf numFmtId="1" fontId="6" fillId="5" borderId="1867" xfId="0" applyNumberFormat="1" applyFont="1" applyFill="1" applyBorder="1" applyAlignment="1" applyProtection="1">
      <alignment wrapText="1"/>
      <protection locked="0"/>
    </xf>
    <xf numFmtId="1" fontId="6" fillId="5" borderId="1087" xfId="0" applyNumberFormat="1" applyFont="1" applyFill="1" applyBorder="1" applyAlignment="1" applyProtection="1">
      <alignment wrapText="1"/>
      <protection locked="0"/>
    </xf>
    <xf numFmtId="1" fontId="6" fillId="0" borderId="1616" xfId="0" applyNumberFormat="1" applyFont="1" applyBorder="1" applyAlignment="1">
      <alignment wrapText="1"/>
    </xf>
    <xf numFmtId="1" fontId="6" fillId="0" borderId="2188" xfId="0" applyNumberFormat="1" applyFont="1" applyBorder="1" applyAlignment="1">
      <alignment wrapText="1"/>
    </xf>
    <xf numFmtId="1" fontId="6" fillId="0" borderId="2217" xfId="0" applyNumberFormat="1" applyFont="1" applyBorder="1" applyAlignment="1">
      <alignment wrapText="1"/>
    </xf>
    <xf numFmtId="1" fontId="13" fillId="3" borderId="1092" xfId="0" applyNumberFormat="1" applyFont="1" applyFill="1" applyBorder="1"/>
    <xf numFmtId="1" fontId="6" fillId="3" borderId="1092" xfId="0" applyNumberFormat="1" applyFont="1" applyFill="1" applyBorder="1"/>
    <xf numFmtId="1" fontId="6" fillId="3" borderId="1856" xfId="0" applyNumberFormat="1" applyFont="1" applyFill="1" applyBorder="1"/>
    <xf numFmtId="1" fontId="6" fillId="3" borderId="1926" xfId="0" applyNumberFormat="1" applyFont="1" applyFill="1" applyBorder="1"/>
    <xf numFmtId="1" fontId="6" fillId="3" borderId="1930" xfId="0" applyNumberFormat="1" applyFont="1" applyFill="1" applyBorder="1"/>
    <xf numFmtId="0" fontId="4" fillId="0" borderId="0" xfId="0" applyFont="1" applyAlignment="1">
      <alignment vertical="center"/>
    </xf>
    <xf numFmtId="1" fontId="6" fillId="5" borderId="1671" xfId="0" applyNumberFormat="1" applyFont="1" applyFill="1" applyBorder="1" applyAlignment="1" applyProtection="1">
      <alignment wrapText="1"/>
      <protection locked="0"/>
    </xf>
    <xf numFmtId="1" fontId="6" fillId="0" borderId="1894" xfId="6" applyNumberFormat="1" applyFont="1" applyBorder="1" applyAlignment="1">
      <alignment horizontal="center" vertical="center" wrapText="1"/>
    </xf>
    <xf numFmtId="1" fontId="6" fillId="0" borderId="1895" xfId="6" applyNumberFormat="1" applyFont="1" applyBorder="1" applyAlignment="1">
      <alignment horizontal="center" vertical="center" wrapText="1"/>
    </xf>
    <xf numFmtId="1" fontId="6" fillId="37" borderId="1791" xfId="6" applyNumberFormat="1" applyFont="1" applyFill="1" applyBorder="1"/>
    <xf numFmtId="1" fontId="6" fillId="37" borderId="1792" xfId="6" applyNumberFormat="1" applyFont="1" applyFill="1" applyBorder="1"/>
    <xf numFmtId="1" fontId="6" fillId="0" borderId="2225" xfId="0" applyNumberFormat="1" applyFont="1" applyBorder="1"/>
    <xf numFmtId="1" fontId="4" fillId="3" borderId="1337" xfId="0" applyNumberFormat="1" applyFont="1" applyFill="1" applyBorder="1" applyAlignment="1">
      <alignment horizontal="left"/>
    </xf>
    <xf numFmtId="1" fontId="6" fillId="0" borderId="1549" xfId="0" applyNumberFormat="1" applyFont="1" applyBorder="1" applyAlignment="1">
      <alignment horizontal="center" vertical="center" wrapText="1"/>
    </xf>
    <xf numFmtId="1" fontId="6" fillId="0" borderId="1424" xfId="0" applyNumberFormat="1" applyFont="1" applyBorder="1" applyAlignment="1">
      <alignment horizontal="center" vertical="center"/>
    </xf>
    <xf numFmtId="1" fontId="6" fillId="0" borderId="1421" xfId="0" applyNumberFormat="1" applyFont="1" applyBorder="1" applyAlignment="1">
      <alignment horizontal="center" vertical="center"/>
    </xf>
    <xf numFmtId="1" fontId="6" fillId="0" borderId="1420" xfId="0" applyNumberFormat="1" applyFont="1" applyBorder="1" applyAlignment="1">
      <alignment horizontal="center" vertical="center"/>
    </xf>
    <xf numFmtId="1" fontId="6" fillId="0" borderId="1411" xfId="0" applyNumberFormat="1" applyFont="1" applyBorder="1" applyAlignment="1">
      <alignment horizontal="center" vertical="center"/>
    </xf>
    <xf numFmtId="1" fontId="6" fillId="0" borderId="1422" xfId="0" applyNumberFormat="1" applyFont="1" applyBorder="1"/>
    <xf numFmtId="1" fontId="6" fillId="0" borderId="1421" xfId="0" applyNumberFormat="1" applyFont="1" applyBorder="1"/>
    <xf numFmtId="1" fontId="6" fillId="0" borderId="1424" xfId="0" applyNumberFormat="1" applyFont="1" applyBorder="1"/>
    <xf numFmtId="1" fontId="6" fillId="3" borderId="1421" xfId="0" applyNumberFormat="1" applyFont="1" applyFill="1" applyBorder="1"/>
    <xf numFmtId="1" fontId="6" fillId="3" borderId="1419" xfId="0" applyNumberFormat="1" applyFont="1" applyFill="1" applyBorder="1"/>
    <xf numFmtId="0" fontId="32" fillId="0" borderId="2188" xfId="0" applyFont="1" applyBorder="1" applyAlignment="1">
      <alignment vertical="center"/>
    </xf>
    <xf numFmtId="0" fontId="32" fillId="0" borderId="823" xfId="0" applyFont="1" applyBorder="1" applyAlignment="1">
      <alignment vertical="center"/>
    </xf>
    <xf numFmtId="0" fontId="32" fillId="0" borderId="1519" xfId="0" applyFont="1" applyBorder="1" applyAlignment="1">
      <alignment vertical="center"/>
    </xf>
    <xf numFmtId="0" fontId="6" fillId="0" borderId="1868" xfId="0" applyFont="1" applyBorder="1" applyAlignment="1">
      <alignment horizontal="left" vertical="center" wrapText="1"/>
    </xf>
    <xf numFmtId="0" fontId="6" fillId="0" borderId="1616" xfId="0" applyFont="1" applyBorder="1" applyAlignment="1">
      <alignment horizontal="right" vertical="center" wrapText="1"/>
    </xf>
    <xf numFmtId="0" fontId="6" fillId="0" borderId="2186" xfId="0" applyFont="1" applyBorder="1" applyAlignment="1">
      <alignment horizontal="right" vertical="center" wrapText="1"/>
    </xf>
    <xf numFmtId="0" fontId="9" fillId="14" borderId="0" xfId="0" applyFont="1" applyFill="1" applyProtection="1">
      <protection locked="0"/>
    </xf>
    <xf numFmtId="1" fontId="9" fillId="0" borderId="0" xfId="0" applyNumberFormat="1" applyFont="1" applyProtection="1">
      <protection locked="0"/>
    </xf>
    <xf numFmtId="1" fontId="6" fillId="0" borderId="1867" xfId="0" applyNumberFormat="1" applyFont="1" applyBorder="1" applyAlignment="1">
      <alignment horizontal="center" vertical="center" wrapText="1"/>
    </xf>
    <xf numFmtId="1" fontId="6" fillId="0" borderId="1674" xfId="0" applyNumberFormat="1" applyFont="1" applyBorder="1" applyAlignment="1">
      <alignment horizontal="center" vertical="center" wrapText="1"/>
    </xf>
    <xf numFmtId="1" fontId="6" fillId="5" borderId="144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1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2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1867" xfId="0" applyNumberFormat="1" applyFont="1" applyFill="1" applyBorder="1" applyAlignment="1">
      <alignment horizontal="center" vertical="center" wrapText="1"/>
    </xf>
    <xf numFmtId="1" fontId="6" fillId="3" borderId="1674" xfId="0" applyNumberFormat="1" applyFont="1" applyFill="1" applyBorder="1" applyAlignment="1">
      <alignment horizontal="center" vertical="center" wrapText="1"/>
    </xf>
    <xf numFmtId="1" fontId="6" fillId="5" borderId="109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16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6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518" xfId="0" applyNumberFormat="1" applyFont="1" applyBorder="1" applyAlignment="1">
      <alignment horizontal="center" vertical="center" wrapText="1"/>
    </xf>
    <xf numFmtId="1" fontId="6" fillId="5" borderId="219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193" xfId="0" applyNumberFormat="1" applyFont="1" applyFill="1" applyBorder="1" applyAlignment="1" applyProtection="1">
      <alignment horizontal="center" vertical="center" wrapText="1"/>
      <protection locked="0"/>
    </xf>
    <xf numFmtId="0" fontId="38" fillId="23" borderId="827" xfId="0" applyFont="1" applyFill="1" applyBorder="1"/>
    <xf numFmtId="1" fontId="6" fillId="0" borderId="1517" xfId="0" applyNumberFormat="1" applyFont="1" applyBorder="1" applyAlignment="1">
      <alignment horizontal="right" wrapText="1"/>
    </xf>
    <xf numFmtId="1" fontId="6" fillId="15" borderId="2207" xfId="0" applyNumberFormat="1" applyFont="1" applyFill="1" applyBorder="1" applyProtection="1">
      <protection locked="0"/>
    </xf>
    <xf numFmtId="1" fontId="6" fillId="15" borderId="1958" xfId="0" applyNumberFormat="1" applyFont="1" applyFill="1" applyBorder="1" applyProtection="1">
      <protection locked="0"/>
    </xf>
    <xf numFmtId="1" fontId="6" fillId="0" borderId="1445" xfId="0" applyNumberFormat="1" applyFont="1" applyBorder="1" applyAlignment="1">
      <alignment horizontal="right" wrapText="1"/>
    </xf>
    <xf numFmtId="1" fontId="6" fillId="4" borderId="2207" xfId="0" applyNumberFormat="1" applyFont="1" applyFill="1" applyBorder="1"/>
    <xf numFmtId="1" fontId="6" fillId="4" borderId="1958" xfId="0" applyNumberFormat="1" applyFont="1" applyFill="1" applyBorder="1"/>
    <xf numFmtId="1" fontId="6" fillId="12" borderId="1867" xfId="0" applyNumberFormat="1" applyFont="1" applyFill="1" applyBorder="1"/>
    <xf numFmtId="1" fontId="6" fillId="5" borderId="2223" xfId="0" applyNumberFormat="1" applyFont="1" applyFill="1" applyBorder="1" applyProtection="1">
      <protection locked="0"/>
    </xf>
    <xf numFmtId="1" fontId="6" fillId="12" borderId="2217" xfId="0" applyNumberFormat="1" applyFont="1" applyFill="1" applyBorder="1"/>
    <xf numFmtId="1" fontId="6" fillId="12" borderId="1675" xfId="0" applyNumberFormat="1" applyFont="1" applyFill="1" applyBorder="1"/>
    <xf numFmtId="1" fontId="6" fillId="12" borderId="1716" xfId="0" applyNumberFormat="1" applyFont="1" applyFill="1" applyBorder="1"/>
    <xf numFmtId="1" fontId="6" fillId="3" borderId="2217" xfId="0" applyNumberFormat="1" applyFont="1" applyFill="1" applyBorder="1" applyAlignment="1">
      <alignment horizontal="right" wrapText="1"/>
    </xf>
    <xf numFmtId="1" fontId="6" fillId="3" borderId="2217" xfId="0" applyNumberFormat="1" applyFont="1" applyFill="1" applyBorder="1" applyAlignment="1">
      <alignment horizontal="right"/>
    </xf>
    <xf numFmtId="1" fontId="6" fillId="14" borderId="1957" xfId="0" applyNumberFormat="1" applyFont="1" applyFill="1" applyBorder="1"/>
    <xf numFmtId="1" fontId="6" fillId="14" borderId="1716" xfId="0" applyNumberFormat="1" applyFont="1" applyFill="1" applyBorder="1"/>
    <xf numFmtId="1" fontId="6" fillId="14" borderId="2223" xfId="0" applyNumberFormat="1" applyFont="1" applyFill="1" applyBorder="1"/>
    <xf numFmtId="1" fontId="6" fillId="14" borderId="2217" xfId="0" applyNumberFormat="1" applyFont="1" applyFill="1" applyBorder="1"/>
    <xf numFmtId="1" fontId="6" fillId="12" borderId="1518" xfId="0" applyNumberFormat="1" applyFont="1" applyFill="1" applyBorder="1"/>
    <xf numFmtId="1" fontId="6" fillId="12" borderId="1674" xfId="0" applyNumberFormat="1" applyFont="1" applyFill="1" applyBorder="1"/>
    <xf numFmtId="1" fontId="6" fillId="0" borderId="2217" xfId="0" applyNumberFormat="1" applyFont="1" applyBorder="1" applyAlignment="1">
      <alignment horizontal="left" vertical="center"/>
    </xf>
    <xf numFmtId="1" fontId="6" fillId="3" borderId="1445" xfId="0" applyNumberFormat="1" applyFont="1" applyFill="1" applyBorder="1" applyAlignment="1">
      <alignment horizontal="right" wrapText="1"/>
    </xf>
    <xf numFmtId="1" fontId="6" fillId="4" borderId="1867" xfId="0" applyNumberFormat="1" applyFont="1" applyFill="1" applyBorder="1"/>
    <xf numFmtId="1" fontId="6" fillId="4" borderId="1445" xfId="0" applyNumberFormat="1" applyFont="1" applyFill="1" applyBorder="1"/>
    <xf numFmtId="1" fontId="6" fillId="12" borderId="2207" xfId="0" applyNumberFormat="1" applyFont="1" applyFill="1" applyBorder="1"/>
    <xf numFmtId="1" fontId="6" fillId="3" borderId="1445" xfId="0" applyNumberFormat="1" applyFont="1" applyFill="1" applyBorder="1" applyAlignment="1">
      <alignment horizontal="right"/>
    </xf>
    <xf numFmtId="1" fontId="6" fillId="4" borderId="1121" xfId="0" applyNumberFormat="1" applyFont="1" applyFill="1" applyBorder="1"/>
    <xf numFmtId="1" fontId="6" fillId="12" borderId="1867" xfId="0" applyNumberFormat="1" applyFont="1" applyFill="1" applyBorder="1" applyProtection="1">
      <protection locked="0"/>
    </xf>
    <xf numFmtId="1" fontId="6" fillId="4" borderId="1448" xfId="0" applyNumberFormat="1" applyFont="1" applyFill="1" applyBorder="1"/>
    <xf numFmtId="1" fontId="6" fillId="4" borderId="2161" xfId="0" applyNumberFormat="1" applyFont="1" applyFill="1" applyBorder="1"/>
    <xf numFmtId="1" fontId="6" fillId="12" borderId="1162" xfId="0" applyNumberFormat="1" applyFont="1" applyFill="1" applyBorder="1"/>
    <xf numFmtId="1" fontId="6" fillId="4" borderId="1266" xfId="0" applyNumberFormat="1" applyFont="1" applyFill="1" applyBorder="1"/>
    <xf numFmtId="1" fontId="6" fillId="12" borderId="1121" xfId="0" applyNumberFormat="1" applyFont="1" applyFill="1" applyBorder="1"/>
    <xf numFmtId="1" fontId="10" fillId="3" borderId="1957" xfId="0" applyNumberFormat="1" applyFont="1" applyFill="1" applyBorder="1" applyAlignment="1">
      <alignment horizontal="left"/>
    </xf>
    <xf numFmtId="1" fontId="11" fillId="0" borderId="2228" xfId="0" applyNumberFormat="1" applyFont="1" applyBorder="1"/>
    <xf numFmtId="1" fontId="11" fillId="0" borderId="2229" xfId="0" applyNumberFormat="1" applyFont="1" applyBorder="1"/>
    <xf numFmtId="1" fontId="6" fillId="0" borderId="2231" xfId="0" applyNumberFormat="1" applyFont="1" applyBorder="1" applyAlignment="1">
      <alignment horizontal="center" vertical="center" wrapText="1"/>
    </xf>
    <xf numFmtId="1" fontId="6" fillId="14" borderId="1957" xfId="0" applyNumberFormat="1" applyFont="1" applyFill="1" applyBorder="1" applyAlignment="1">
      <alignment wrapText="1"/>
    </xf>
    <xf numFmtId="1" fontId="6" fillId="0" borderId="1957" xfId="0" applyNumberFormat="1" applyFont="1" applyBorder="1" applyAlignment="1">
      <alignment wrapText="1"/>
    </xf>
    <xf numFmtId="1" fontId="6" fillId="14" borderId="2233" xfId="0" applyNumberFormat="1" applyFont="1" applyFill="1" applyBorder="1" applyAlignment="1">
      <alignment wrapText="1"/>
    </xf>
    <xf numFmtId="1" fontId="6" fillId="14" borderId="2234" xfId="0" applyNumberFormat="1" applyFont="1" applyFill="1" applyBorder="1" applyAlignment="1">
      <alignment wrapText="1"/>
    </xf>
    <xf numFmtId="1" fontId="9" fillId="0" borderId="1855" xfId="0" applyNumberFormat="1" applyFont="1" applyBorder="1"/>
    <xf numFmtId="1" fontId="9" fillId="0" borderId="1855" xfId="0" applyNumberFormat="1" applyFont="1" applyBorder="1" applyProtection="1">
      <protection locked="0"/>
    </xf>
    <xf numFmtId="1" fontId="9" fillId="14" borderId="348" xfId="0" applyNumberFormat="1" applyFont="1" applyFill="1" applyBorder="1" applyProtection="1">
      <protection locked="0"/>
    </xf>
    <xf numFmtId="1" fontId="6" fillId="5" borderId="1518" xfId="0" applyNumberFormat="1" applyFont="1" applyFill="1" applyBorder="1" applyAlignment="1" applyProtection="1">
      <alignment wrapText="1"/>
      <protection locked="0"/>
    </xf>
    <xf numFmtId="1" fontId="6" fillId="5" borderId="1116" xfId="0" applyNumberFormat="1" applyFont="1" applyFill="1" applyBorder="1" applyAlignment="1" applyProtection="1">
      <alignment wrapText="1"/>
      <protection locked="0"/>
    </xf>
    <xf numFmtId="1" fontId="6" fillId="5" borderId="1531" xfId="0" applyNumberFormat="1" applyFont="1" applyFill="1" applyBorder="1" applyAlignment="1" applyProtection="1">
      <alignment wrapText="1"/>
      <protection locked="0"/>
    </xf>
    <xf numFmtId="1" fontId="6" fillId="5" borderId="1266" xfId="0" applyNumberFormat="1" applyFont="1" applyFill="1" applyBorder="1" applyAlignment="1" applyProtection="1">
      <alignment wrapText="1"/>
      <protection locked="0"/>
    </xf>
    <xf numFmtId="1" fontId="6" fillId="5" borderId="1675" xfId="0" applyNumberFormat="1" applyFont="1" applyFill="1" applyBorder="1" applyAlignment="1" applyProtection="1">
      <alignment wrapText="1"/>
      <protection locked="0"/>
    </xf>
    <xf numFmtId="1" fontId="6" fillId="5" borderId="1086" xfId="0" applyNumberFormat="1" applyFont="1" applyFill="1" applyBorder="1" applyAlignment="1" applyProtection="1">
      <alignment wrapText="1"/>
      <protection locked="0"/>
    </xf>
    <xf numFmtId="1" fontId="6" fillId="5" borderId="1674" xfId="0" applyNumberFormat="1" applyFont="1" applyFill="1" applyBorder="1" applyAlignment="1" applyProtection="1">
      <alignment wrapText="1"/>
      <protection locked="0"/>
    </xf>
    <xf numFmtId="1" fontId="6" fillId="5" borderId="1164" xfId="0" applyNumberFormat="1" applyFont="1" applyFill="1" applyBorder="1" applyAlignment="1" applyProtection="1">
      <alignment wrapText="1"/>
      <protection locked="0"/>
    </xf>
    <xf numFmtId="1" fontId="6" fillId="5" borderId="1448" xfId="0" applyNumberFormat="1" applyFont="1" applyFill="1" applyBorder="1" applyAlignment="1" applyProtection="1">
      <alignment wrapText="1"/>
      <protection locked="0"/>
    </xf>
    <xf numFmtId="1" fontId="6" fillId="5" borderId="1192" xfId="0" applyNumberFormat="1" applyFont="1" applyFill="1" applyBorder="1" applyAlignment="1" applyProtection="1">
      <alignment wrapText="1"/>
      <protection locked="0"/>
    </xf>
    <xf numFmtId="1" fontId="6" fillId="5" borderId="2161" xfId="0" applyNumberFormat="1" applyFont="1" applyFill="1" applyBorder="1" applyAlignment="1" applyProtection="1">
      <alignment wrapText="1"/>
      <protection locked="0"/>
    </xf>
    <xf numFmtId="1" fontId="6" fillId="12" borderId="2161" xfId="0" applyNumberFormat="1" applyFont="1" applyFill="1" applyBorder="1" applyAlignment="1">
      <alignment wrapText="1"/>
    </xf>
    <xf numFmtId="1" fontId="6" fillId="0" borderId="1116" xfId="0" applyNumberFormat="1" applyFont="1" applyBorder="1" applyAlignment="1">
      <alignment horizontal="right" wrapText="1"/>
    </xf>
    <xf numFmtId="1" fontId="6" fillId="12" borderId="1266" xfId="0" applyNumberFormat="1" applyFont="1" applyFill="1" applyBorder="1" applyAlignment="1">
      <alignment wrapText="1"/>
    </xf>
    <xf numFmtId="1" fontId="6" fillId="0" borderId="1448" xfId="0" applyNumberFormat="1" applyFont="1" applyBorder="1" applyAlignment="1">
      <alignment horizontal="right" wrapText="1"/>
    </xf>
    <xf numFmtId="1" fontId="6" fillId="12" borderId="1531" xfId="0" applyNumberFormat="1" applyFont="1" applyFill="1" applyBorder="1" applyAlignment="1">
      <alignment wrapText="1"/>
    </xf>
    <xf numFmtId="1" fontId="6" fillId="0" borderId="1682" xfId="0" applyNumberFormat="1" applyFont="1" applyBorder="1" applyAlignment="1">
      <alignment horizontal="right" wrapText="1"/>
    </xf>
    <xf numFmtId="1" fontId="6" fillId="0" borderId="2227" xfId="0" applyNumberFormat="1" applyFont="1" applyBorder="1" applyAlignment="1">
      <alignment horizontal="right" wrapText="1"/>
    </xf>
    <xf numFmtId="1" fontId="6" fillId="5" borderId="2227" xfId="0" applyNumberFormat="1" applyFont="1" applyFill="1" applyBorder="1" applyAlignment="1" applyProtection="1">
      <alignment wrapText="1"/>
      <protection locked="0"/>
    </xf>
    <xf numFmtId="1" fontId="6" fillId="12" borderId="2235" xfId="0" applyNumberFormat="1" applyFont="1" applyFill="1" applyBorder="1" applyAlignment="1">
      <alignment wrapText="1"/>
    </xf>
    <xf numFmtId="1" fontId="6" fillId="12" borderId="2236" xfId="0" applyNumberFormat="1" applyFont="1" applyFill="1" applyBorder="1" applyAlignment="1">
      <alignment wrapText="1"/>
    </xf>
    <xf numFmtId="1" fontId="6" fillId="12" borderId="1682" xfId="0" applyNumberFormat="1" applyFont="1" applyFill="1" applyBorder="1" applyAlignment="1">
      <alignment wrapText="1"/>
    </xf>
    <xf numFmtId="1" fontId="6" fillId="5" borderId="1682" xfId="0" applyNumberFormat="1" applyFont="1" applyFill="1" applyBorder="1" applyAlignment="1" applyProtection="1">
      <alignment wrapText="1"/>
      <protection locked="0"/>
    </xf>
    <xf numFmtId="1" fontId="6" fillId="5" borderId="1716" xfId="0" applyNumberFormat="1" applyFont="1" applyFill="1" applyBorder="1" applyAlignment="1" applyProtection="1">
      <alignment wrapText="1"/>
      <protection locked="0"/>
    </xf>
    <xf numFmtId="1" fontId="6" fillId="4" borderId="1164" xfId="0" applyNumberFormat="1" applyFont="1" applyFill="1" applyBorder="1" applyAlignment="1">
      <alignment wrapText="1"/>
    </xf>
    <xf numFmtId="1" fontId="6" fillId="4" borderId="1448" xfId="0" applyNumberFormat="1" applyFont="1" applyFill="1" applyBorder="1" applyAlignment="1">
      <alignment wrapText="1"/>
    </xf>
    <xf numFmtId="1" fontId="6" fillId="4" borderId="1518" xfId="0" applyNumberFormat="1" applyFont="1" applyFill="1" applyBorder="1" applyAlignment="1">
      <alignment wrapText="1"/>
    </xf>
    <xf numFmtId="1" fontId="6" fillId="4" borderId="1116" xfId="0" applyNumberFormat="1" applyFont="1" applyFill="1" applyBorder="1" applyAlignment="1">
      <alignment wrapText="1"/>
    </xf>
    <xf numFmtId="1" fontId="6" fillId="4" borderId="1867" xfId="0" applyNumberFormat="1" applyFont="1" applyFill="1" applyBorder="1" applyAlignment="1">
      <alignment wrapText="1"/>
    </xf>
    <xf numFmtId="1" fontId="6" fillId="4" borderId="1675" xfId="0" applyNumberFormat="1" applyFont="1" applyFill="1" applyBorder="1" applyAlignment="1">
      <alignment wrapText="1"/>
    </xf>
    <xf numFmtId="1" fontId="6" fillId="12" borderId="1675" xfId="0" applyNumberFormat="1" applyFont="1" applyFill="1" applyBorder="1" applyAlignment="1">
      <alignment wrapText="1"/>
    </xf>
    <xf numFmtId="1" fontId="6" fillId="12" borderId="1867" xfId="0" applyNumberFormat="1" applyFont="1" applyFill="1" applyBorder="1" applyAlignment="1">
      <alignment wrapText="1"/>
    </xf>
    <xf numFmtId="1" fontId="6" fillId="12" borderId="2207" xfId="0" applyNumberFormat="1" applyFont="1" applyFill="1" applyBorder="1" applyAlignment="1">
      <alignment wrapText="1"/>
    </xf>
    <xf numFmtId="1" fontId="6" fillId="12" borderId="1958" xfId="0" applyNumberFormat="1" applyFont="1" applyFill="1" applyBorder="1" applyAlignment="1">
      <alignment wrapText="1"/>
    </xf>
    <xf numFmtId="1" fontId="6" fillId="12" borderId="784" xfId="0" applyNumberFormat="1" applyFont="1" applyFill="1" applyBorder="1" applyAlignment="1">
      <alignment wrapText="1"/>
    </xf>
    <xf numFmtId="1" fontId="6" fillId="0" borderId="385" xfId="0" applyNumberFormat="1" applyFont="1" applyBorder="1" applyAlignment="1">
      <alignment horizontal="right" wrapText="1"/>
    </xf>
    <xf numFmtId="1" fontId="6" fillId="12" borderId="1716" xfId="0" applyNumberFormat="1" applyFont="1" applyFill="1" applyBorder="1" applyAlignment="1">
      <alignment wrapText="1"/>
    </xf>
    <xf numFmtId="1" fontId="6" fillId="12" borderId="385" xfId="0" applyNumberFormat="1" applyFont="1" applyFill="1" applyBorder="1" applyAlignment="1">
      <alignment wrapText="1"/>
    </xf>
    <xf numFmtId="1" fontId="6" fillId="5" borderId="1042" xfId="0" applyNumberFormat="1" applyFont="1" applyFill="1" applyBorder="1" applyAlignment="1" applyProtection="1">
      <alignment wrapText="1"/>
      <protection locked="0"/>
    </xf>
    <xf numFmtId="1" fontId="6" fillId="5" borderId="382" xfId="0" applyNumberFormat="1" applyFont="1" applyFill="1" applyBorder="1" applyAlignment="1" applyProtection="1">
      <alignment wrapText="1"/>
      <protection locked="0"/>
    </xf>
    <xf numFmtId="1" fontId="6" fillId="5" borderId="1958" xfId="0" applyNumberFormat="1" applyFont="1" applyFill="1" applyBorder="1" applyAlignment="1" applyProtection="1">
      <alignment wrapText="1"/>
      <protection locked="0"/>
    </xf>
    <xf numFmtId="1" fontId="6" fillId="3" borderId="1674" xfId="0" applyNumberFormat="1" applyFont="1" applyFill="1" applyBorder="1" applyAlignment="1">
      <alignment horizontal="right" wrapText="1"/>
    </xf>
    <xf numFmtId="1" fontId="6" fillId="3" borderId="1675" xfId="0" applyNumberFormat="1" applyFont="1" applyFill="1" applyBorder="1" applyAlignment="1">
      <alignment horizontal="right" wrapText="1"/>
    </xf>
    <xf numFmtId="1" fontId="6" fillId="3" borderId="1518" xfId="0" applyNumberFormat="1" applyFont="1" applyFill="1" applyBorder="1" applyAlignment="1">
      <alignment horizontal="right" wrapText="1"/>
    </xf>
    <xf numFmtId="1" fontId="6" fillId="3" borderId="1116" xfId="0" applyNumberFormat="1" applyFont="1" applyFill="1" applyBorder="1" applyAlignment="1">
      <alignment horizontal="right" wrapText="1"/>
    </xf>
    <xf numFmtId="1" fontId="6" fillId="3" borderId="1266" xfId="0" applyNumberFormat="1" applyFont="1" applyFill="1" applyBorder="1" applyAlignment="1">
      <alignment horizontal="right" wrapText="1"/>
    </xf>
    <xf numFmtId="1" fontId="6" fillId="5" borderId="840" xfId="0" applyNumberFormat="1" applyFont="1" applyFill="1" applyBorder="1" applyProtection="1">
      <protection locked="0"/>
    </xf>
    <xf numFmtId="1" fontId="6" fillId="12" borderId="1958" xfId="0" applyNumberFormat="1" applyFont="1" applyFill="1" applyBorder="1"/>
    <xf numFmtId="1" fontId="6" fillId="12" borderId="828" xfId="0" applyNumberFormat="1" applyFont="1" applyFill="1" applyBorder="1"/>
    <xf numFmtId="1" fontId="6" fillId="0" borderId="647" xfId="0" applyNumberFormat="1" applyFont="1" applyBorder="1" applyAlignment="1">
      <alignment horizontal="center" vertical="center" wrapText="1"/>
    </xf>
    <xf numFmtId="1" fontId="6" fillId="0" borderId="1704" xfId="0" applyNumberFormat="1" applyFont="1" applyBorder="1" applyAlignment="1">
      <alignment wrapText="1"/>
    </xf>
    <xf numFmtId="1" fontId="6" fillId="15" borderId="1704" xfId="0" applyNumberFormat="1" applyFont="1" applyFill="1" applyBorder="1" applyProtection="1">
      <protection locked="0"/>
    </xf>
    <xf numFmtId="1" fontId="6" fillId="0" borderId="71" xfId="0" applyNumberFormat="1" applyFont="1" applyBorder="1" applyAlignment="1">
      <alignment wrapText="1"/>
    </xf>
    <xf numFmtId="1" fontId="6" fillId="15" borderId="1445" xfId="0" applyNumberFormat="1" applyFont="1" applyFill="1" applyBorder="1" applyProtection="1">
      <protection locked="0"/>
    </xf>
    <xf numFmtId="1" fontId="6" fillId="15" borderId="1683" xfId="0" applyNumberFormat="1" applyFont="1" applyFill="1" applyBorder="1" applyProtection="1">
      <protection locked="0"/>
    </xf>
    <xf numFmtId="1" fontId="13" fillId="0" borderId="1677" xfId="0" applyNumberFormat="1" applyFont="1" applyBorder="1" applyAlignment="1">
      <alignment wrapText="1"/>
    </xf>
    <xf numFmtId="0" fontId="6" fillId="0" borderId="2138" xfId="0" applyFont="1" applyBorder="1" applyAlignment="1">
      <alignment horizontal="center" vertical="center"/>
    </xf>
    <xf numFmtId="0" fontId="6" fillId="0" borderId="1871" xfId="0" applyFont="1" applyBorder="1" applyAlignment="1">
      <alignment horizontal="center" vertical="center"/>
    </xf>
    <xf numFmtId="0" fontId="6" fillId="0" borderId="1928" xfId="0" applyFont="1" applyBorder="1" applyAlignment="1">
      <alignment horizontal="center" vertical="center"/>
    </xf>
    <xf numFmtId="1" fontId="6" fillId="0" borderId="1222" xfId="0" applyNumberFormat="1" applyFont="1" applyBorder="1"/>
    <xf numFmtId="1" fontId="6" fillId="0" borderId="645" xfId="0" applyNumberFormat="1" applyFont="1" applyBorder="1" applyAlignment="1">
      <alignment horizontal="center" vertical="center"/>
    </xf>
    <xf numFmtId="1" fontId="6" fillId="0" borderId="2237" xfId="0" applyNumberFormat="1" applyFont="1" applyBorder="1" applyAlignment="1">
      <alignment horizontal="center" vertical="center" wrapText="1"/>
    </xf>
    <xf numFmtId="1" fontId="6" fillId="3" borderId="1518" xfId="14" applyNumberFormat="1" applyFont="1" applyFill="1" applyBorder="1" applyAlignment="1">
      <alignment horizontal="right"/>
    </xf>
    <xf numFmtId="1" fontId="6" fillId="3" borderId="1674" xfId="14" applyNumberFormat="1" applyFont="1" applyFill="1" applyBorder="1" applyAlignment="1">
      <alignment horizontal="right"/>
    </xf>
    <xf numFmtId="1" fontId="6" fillId="3" borderId="1675" xfId="14" applyNumberFormat="1" applyFont="1" applyFill="1" applyBorder="1" applyAlignment="1">
      <alignment horizontal="right"/>
    </xf>
    <xf numFmtId="1" fontId="6" fillId="6" borderId="2240" xfId="14" applyNumberFormat="1" applyFont="1" applyBorder="1" applyProtection="1">
      <protection locked="0"/>
    </xf>
    <xf numFmtId="1" fontId="6" fillId="6" borderId="2241" xfId="14" applyNumberFormat="1" applyFont="1" applyBorder="1" applyProtection="1">
      <protection locked="0"/>
    </xf>
    <xf numFmtId="1" fontId="6" fillId="0" borderId="2247" xfId="0" applyNumberFormat="1" applyFont="1" applyBorder="1" applyAlignment="1">
      <alignment horizontal="center" vertical="center"/>
    </xf>
    <xf numFmtId="1" fontId="6" fillId="0" borderId="2248" xfId="0" applyNumberFormat="1" applyFont="1" applyBorder="1" applyAlignment="1">
      <alignment horizontal="center" vertical="center"/>
    </xf>
    <xf numFmtId="1" fontId="6" fillId="0" borderId="2245" xfId="0" applyNumberFormat="1" applyFont="1" applyBorder="1" applyAlignment="1">
      <alignment horizontal="center" vertical="center"/>
    </xf>
    <xf numFmtId="1" fontId="6" fillId="0" borderId="2247" xfId="0" applyNumberFormat="1" applyFont="1" applyBorder="1" applyAlignment="1">
      <alignment horizontal="center" vertical="center" wrapText="1"/>
    </xf>
    <xf numFmtId="1" fontId="6" fillId="0" borderId="2249" xfId="0" applyNumberFormat="1" applyFont="1" applyBorder="1" applyAlignment="1">
      <alignment horizontal="center" vertical="center" wrapText="1"/>
    </xf>
    <xf numFmtId="1" fontId="6" fillId="0" borderId="2250" xfId="0" applyNumberFormat="1" applyFont="1" applyBorder="1" applyAlignment="1">
      <alignment horizontal="center" vertical="center" wrapText="1"/>
    </xf>
    <xf numFmtId="1" fontId="6" fillId="0" borderId="2253" xfId="0" applyNumberFormat="1" applyFont="1" applyBorder="1" applyAlignment="1">
      <alignment horizontal="right" wrapText="1"/>
    </xf>
    <xf numFmtId="1" fontId="6" fillId="5" borderId="2254" xfId="0" applyNumberFormat="1" applyFont="1" applyFill="1" applyBorder="1" applyAlignment="1" applyProtection="1">
      <alignment horizontal="right"/>
      <protection locked="0"/>
    </xf>
    <xf numFmtId="1" fontId="6" fillId="5" borderId="2255" xfId="0" applyNumberFormat="1" applyFont="1" applyFill="1" applyBorder="1" applyAlignment="1" applyProtection="1">
      <alignment horizontal="right"/>
      <protection locked="0"/>
    </xf>
    <xf numFmtId="1" fontId="6" fillId="5" borderId="2253" xfId="0" applyNumberFormat="1" applyFont="1" applyFill="1" applyBorder="1" applyAlignment="1" applyProtection="1">
      <alignment horizontal="right"/>
      <protection locked="0"/>
    </xf>
    <xf numFmtId="1" fontId="6" fillId="5" borderId="2256" xfId="0" applyNumberFormat="1" applyFont="1" applyFill="1" applyBorder="1" applyAlignment="1" applyProtection="1">
      <alignment horizontal="right"/>
      <protection locked="0"/>
    </xf>
    <xf numFmtId="1" fontId="6" fillId="5" borderId="385" xfId="0" applyNumberFormat="1" applyFont="1" applyFill="1" applyBorder="1" applyAlignment="1" applyProtection="1">
      <alignment horizontal="right"/>
      <protection locked="0"/>
    </xf>
    <xf numFmtId="1" fontId="6" fillId="5" borderId="2236" xfId="0" applyNumberFormat="1" applyFont="1" applyFill="1" applyBorder="1" applyAlignment="1" applyProtection="1">
      <alignment horizontal="right"/>
      <protection locked="0"/>
    </xf>
    <xf numFmtId="1" fontId="6" fillId="5" borderId="1733" xfId="0" applyNumberFormat="1" applyFont="1" applyFill="1" applyBorder="1" applyAlignment="1" applyProtection="1">
      <alignment horizontal="right"/>
      <protection locked="0"/>
    </xf>
    <xf numFmtId="1" fontId="6" fillId="5" borderId="1716" xfId="0" applyNumberFormat="1" applyFont="1" applyFill="1" applyBorder="1" applyAlignment="1" applyProtection="1">
      <alignment horizontal="right"/>
      <protection locked="0"/>
    </xf>
    <xf numFmtId="1" fontId="6" fillId="5" borderId="2252" xfId="0" applyNumberFormat="1" applyFont="1" applyFill="1" applyBorder="1" applyAlignment="1" applyProtection="1">
      <alignment horizontal="right"/>
      <protection locked="0"/>
    </xf>
    <xf numFmtId="1" fontId="6" fillId="0" borderId="2251" xfId="0" applyNumberFormat="1" applyFont="1" applyBorder="1" applyAlignment="1">
      <alignment horizontal="right" wrapText="1"/>
    </xf>
    <xf numFmtId="1" fontId="6" fillId="0" borderId="390" xfId="0" applyNumberFormat="1" applyFont="1" applyBorder="1" applyAlignment="1">
      <alignment horizontal="right"/>
    </xf>
    <xf numFmtId="1" fontId="6" fillId="0" borderId="2256" xfId="0" applyNumberFormat="1" applyFont="1" applyBorder="1" applyAlignment="1">
      <alignment horizontal="right"/>
    </xf>
    <xf numFmtId="1" fontId="6" fillId="5" borderId="1703" xfId="0" applyNumberFormat="1" applyFont="1" applyFill="1" applyBorder="1" applyProtection="1">
      <protection locked="0"/>
    </xf>
    <xf numFmtId="1" fontId="6" fillId="5" borderId="1713" xfId="0" applyNumberFormat="1" applyFont="1" applyFill="1" applyBorder="1" applyProtection="1">
      <protection locked="0"/>
    </xf>
    <xf numFmtId="1" fontId="11" fillId="5" borderId="1691" xfId="0" applyNumberFormat="1" applyFont="1" applyFill="1" applyBorder="1" applyProtection="1">
      <protection locked="0"/>
    </xf>
    <xf numFmtId="1" fontId="11" fillId="5" borderId="1697" xfId="0" applyNumberFormat="1" applyFont="1" applyFill="1" applyBorder="1" applyProtection="1">
      <protection locked="0"/>
    </xf>
    <xf numFmtId="1" fontId="6" fillId="14" borderId="1696" xfId="0" applyNumberFormat="1" applyFont="1" applyFill="1" applyBorder="1" applyAlignment="1">
      <alignment horizontal="center" vertical="center" wrapText="1"/>
    </xf>
    <xf numFmtId="1" fontId="6" fillId="14" borderId="1691" xfId="0" applyNumberFormat="1" applyFont="1" applyFill="1" applyBorder="1" applyAlignment="1">
      <alignment horizontal="center" vertical="center" wrapText="1"/>
    </xf>
    <xf numFmtId="1" fontId="6" fillId="0" borderId="1679" xfId="0" applyNumberFormat="1" applyFont="1" applyBorder="1" applyAlignment="1">
      <alignment vertical="center" wrapText="1"/>
    </xf>
    <xf numFmtId="1" fontId="6" fillId="0" borderId="1650" xfId="0" applyNumberFormat="1" applyFont="1" applyBorder="1" applyAlignment="1">
      <alignment horizontal="right" vertical="center"/>
    </xf>
    <xf numFmtId="1" fontId="6" fillId="0" borderId="1663" xfId="0" applyNumberFormat="1" applyFont="1" applyBorder="1" applyAlignment="1">
      <alignment wrapText="1"/>
    </xf>
    <xf numFmtId="1" fontId="6" fillId="0" borderId="1709" xfId="0" applyNumberFormat="1" applyFont="1" applyBorder="1" applyAlignment="1">
      <alignment wrapText="1"/>
    </xf>
    <xf numFmtId="1" fontId="2" fillId="14" borderId="0" xfId="0" applyNumberFormat="1" applyFont="1" applyFill="1"/>
    <xf numFmtId="1" fontId="6" fillId="0" borderId="1102" xfId="0" applyNumberFormat="1" applyFont="1" applyBorder="1" applyAlignment="1">
      <alignment vertical="center"/>
    </xf>
    <xf numFmtId="1" fontId="6" fillId="0" borderId="1220" xfId="0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left" vertical="center" wrapText="1"/>
    </xf>
    <xf numFmtId="1" fontId="6" fillId="4" borderId="277" xfId="0" applyNumberFormat="1" applyFont="1" applyFill="1" applyBorder="1"/>
    <xf numFmtId="1" fontId="4" fillId="0" borderId="224" xfId="0" applyNumberFormat="1" applyFont="1" applyBorder="1"/>
    <xf numFmtId="1" fontId="6" fillId="0" borderId="292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6" fillId="3" borderId="1449" xfId="0" applyNumberFormat="1" applyFont="1" applyFill="1" applyBorder="1" applyAlignment="1">
      <alignment horizontal="center" vertical="center" wrapText="1"/>
    </xf>
    <xf numFmtId="1" fontId="6" fillId="3" borderId="1420" xfId="0" applyNumberFormat="1" applyFont="1" applyFill="1" applyBorder="1" applyAlignment="1" applyProtection="1">
      <alignment horizontal="center"/>
      <protection locked="0"/>
    </xf>
    <xf numFmtId="1" fontId="6" fillId="3" borderId="228" xfId="0" applyNumberFormat="1" applyFont="1" applyFill="1" applyBorder="1" applyAlignment="1" applyProtection="1">
      <alignment horizontal="center"/>
      <protection locked="0"/>
    </xf>
    <xf numFmtId="1" fontId="6" fillId="3" borderId="292" xfId="0" applyNumberFormat="1" applyFont="1" applyFill="1" applyBorder="1" applyAlignment="1">
      <alignment vertical="center" wrapText="1"/>
    </xf>
    <xf numFmtId="1" fontId="6" fillId="3" borderId="1329" xfId="0" applyNumberFormat="1" applyFont="1" applyFill="1" applyBorder="1" applyAlignment="1">
      <alignment horizontal="right" wrapText="1"/>
    </xf>
    <xf numFmtId="1" fontId="6" fillId="3" borderId="1003" xfId="0" applyNumberFormat="1" applyFont="1" applyFill="1" applyBorder="1" applyAlignment="1">
      <alignment horizontal="right"/>
    </xf>
    <xf numFmtId="1" fontId="6" fillId="3" borderId="274" xfId="0" applyNumberFormat="1" applyFont="1" applyFill="1" applyBorder="1" applyAlignment="1">
      <alignment horizontal="right"/>
    </xf>
    <xf numFmtId="1" fontId="6" fillId="4" borderId="324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73" xfId="0" applyNumberFormat="1" applyFont="1" applyFill="1" applyBorder="1" applyAlignment="1">
      <alignment horizontal="right"/>
    </xf>
    <xf numFmtId="1" fontId="6" fillId="4" borderId="323" xfId="0" applyNumberFormat="1" applyFont="1" applyFill="1" applyBorder="1" applyAlignment="1">
      <alignment horizontal="right"/>
    </xf>
    <xf numFmtId="1" fontId="6" fillId="2" borderId="322" xfId="15" applyNumberFormat="1" applyFont="1" applyBorder="1" applyAlignment="1" applyProtection="1">
      <alignment horizontal="right"/>
      <protection locked="0"/>
    </xf>
    <xf numFmtId="1" fontId="6" fillId="2" borderId="321" xfId="15" applyNumberFormat="1" applyFont="1" applyBorder="1" applyAlignment="1" applyProtection="1">
      <alignment horizontal="right"/>
      <protection locked="0"/>
    </xf>
    <xf numFmtId="1" fontId="6" fillId="2" borderId="320" xfId="15" applyNumberFormat="1" applyFont="1" applyBorder="1" applyAlignment="1" applyProtection="1">
      <alignment horizontal="right"/>
      <protection locked="0"/>
    </xf>
    <xf numFmtId="1" fontId="6" fillId="2" borderId="319" xfId="15" applyNumberFormat="1" applyFont="1" applyBorder="1" applyAlignment="1" applyProtection="1">
      <alignment horizontal="right"/>
      <protection locked="0"/>
    </xf>
    <xf numFmtId="1" fontId="6" fillId="3" borderId="1448" xfId="0" applyNumberFormat="1" applyFont="1" applyFill="1" applyBorder="1" applyAlignment="1">
      <alignment horizontal="right"/>
    </xf>
    <xf numFmtId="1" fontId="6" fillId="2" borderId="317" xfId="15" applyNumberFormat="1" applyFont="1" applyBorder="1" applyAlignment="1" applyProtection="1">
      <alignment horizontal="right"/>
      <protection locked="0"/>
    </xf>
    <xf numFmtId="1" fontId="6" fillId="2" borderId="316" xfId="15" applyNumberFormat="1" applyFont="1" applyBorder="1" applyAlignment="1" applyProtection="1">
      <alignment horizontal="right"/>
      <protection locked="0"/>
    </xf>
    <xf numFmtId="1" fontId="6" fillId="2" borderId="193" xfId="15" applyNumberFormat="1" applyFont="1" applyBorder="1" applyAlignment="1" applyProtection="1">
      <alignment horizontal="right"/>
      <protection locked="0"/>
    </xf>
    <xf numFmtId="1" fontId="6" fillId="2" borderId="318" xfId="15" applyNumberFormat="1" applyFont="1" applyBorder="1" applyAlignment="1" applyProtection="1">
      <alignment horizontal="right"/>
      <protection locked="0"/>
    </xf>
    <xf numFmtId="1" fontId="6" fillId="3" borderId="61" xfId="0" applyNumberFormat="1" applyFont="1" applyFill="1" applyBorder="1" applyAlignment="1">
      <alignment vertical="center" wrapText="1"/>
    </xf>
    <xf numFmtId="1" fontId="6" fillId="3" borderId="23" xfId="0" applyNumberFormat="1" applyFont="1" applyFill="1" applyBorder="1" applyAlignment="1">
      <alignment vertical="center" wrapText="1"/>
    </xf>
    <xf numFmtId="1" fontId="6" fillId="3" borderId="1287" xfId="0" applyNumberFormat="1" applyFont="1" applyFill="1" applyBorder="1" applyAlignment="1">
      <alignment horizontal="right" wrapText="1"/>
    </xf>
    <xf numFmtId="1" fontId="6" fillId="3" borderId="1116" xfId="0" applyNumberFormat="1" applyFont="1" applyFill="1" applyBorder="1" applyAlignment="1">
      <alignment horizontal="right"/>
    </xf>
    <xf numFmtId="1" fontId="6" fillId="2" borderId="67" xfId="15" applyNumberFormat="1" applyFont="1" applyBorder="1" applyAlignment="1" applyProtection="1">
      <alignment horizontal="right"/>
      <protection locked="0"/>
    </xf>
    <xf numFmtId="1" fontId="6" fillId="2" borderId="313" xfId="15" applyNumberFormat="1" applyFont="1" applyBorder="1" applyAlignment="1" applyProtection="1">
      <alignment horizontal="right"/>
      <protection locked="0"/>
    </xf>
    <xf numFmtId="1" fontId="6" fillId="2" borderId="315" xfId="15" applyNumberFormat="1" applyFont="1" applyBorder="1" applyAlignment="1" applyProtection="1">
      <alignment horizontal="right"/>
      <protection locked="0"/>
    </xf>
    <xf numFmtId="1" fontId="6" fillId="2" borderId="314" xfId="15" applyNumberFormat="1" applyFont="1" applyBorder="1" applyAlignment="1" applyProtection="1">
      <alignment horizontal="right"/>
      <protection locked="0"/>
    </xf>
    <xf numFmtId="1" fontId="6" fillId="0" borderId="2258" xfId="0" applyNumberFormat="1" applyFont="1" applyBorder="1"/>
    <xf numFmtId="2" fontId="6" fillId="3" borderId="0" xfId="0" applyNumberFormat="1" applyFont="1" applyFill="1" applyAlignment="1">
      <alignment horizontal="center" vertical="center"/>
    </xf>
    <xf numFmtId="1" fontId="6" fillId="0" borderId="0" xfId="14" applyNumberFormat="1" applyFont="1" applyFill="1" applyBorder="1" applyAlignment="1" applyProtection="1">
      <alignment horizontal="center" vertical="center"/>
      <protection locked="0"/>
    </xf>
    <xf numFmtId="2" fontId="6" fillId="0" borderId="0" xfId="14" applyNumberFormat="1" applyFont="1" applyFill="1" applyBorder="1" applyAlignment="1" applyProtection="1">
      <alignment horizontal="center" vertical="center"/>
      <protection locked="0"/>
    </xf>
    <xf numFmtId="1" fontId="4" fillId="0" borderId="2261" xfId="28" applyNumberFormat="1" applyFont="1" applyBorder="1" applyAlignment="1">
      <alignment horizontal="center"/>
    </xf>
    <xf numFmtId="1" fontId="4" fillId="0" borderId="2262" xfId="28" applyNumberFormat="1" applyFont="1" applyBorder="1" applyAlignment="1">
      <alignment horizontal="center"/>
    </xf>
    <xf numFmtId="2" fontId="6" fillId="6" borderId="2263" xfId="14" applyNumberFormat="1" applyFont="1" applyBorder="1" applyAlignment="1" applyProtection="1">
      <alignment horizontal="center" vertical="center"/>
      <protection locked="0"/>
    </xf>
    <xf numFmtId="2" fontId="6" fillId="6" borderId="2264" xfId="14" applyNumberFormat="1" applyFont="1" applyBorder="1" applyAlignment="1" applyProtection="1">
      <alignment horizontal="center" vertical="center"/>
      <protection locked="0"/>
    </xf>
    <xf numFmtId="2" fontId="6" fillId="0" borderId="0" xfId="0" applyNumberFormat="1" applyFont="1" applyAlignment="1">
      <alignment horizontal="center" vertical="center"/>
    </xf>
    <xf numFmtId="1" fontId="6" fillId="0" borderId="2265" xfId="28" applyNumberFormat="1" applyFont="1" applyBorder="1" applyProtection="1">
      <protection hidden="1"/>
    </xf>
    <xf numFmtId="2" fontId="13" fillId="0" borderId="0" xfId="14" applyNumberFormat="1" applyFont="1" applyFill="1" applyBorder="1" applyAlignment="1" applyProtection="1">
      <alignment horizontal="center" vertical="center"/>
      <protection locked="0"/>
    </xf>
    <xf numFmtId="1" fontId="2" fillId="3" borderId="0" xfId="28" applyNumberFormat="1" applyFont="1" applyFill="1" applyAlignment="1">
      <alignment horizontal="left" vertical="center"/>
    </xf>
    <xf numFmtId="1" fontId="4" fillId="14" borderId="1677" xfId="28" applyNumberFormat="1" applyFont="1" applyFill="1" applyBorder="1"/>
    <xf numFmtId="1" fontId="6" fillId="0" borderId="2260" xfId="0" applyNumberFormat="1" applyFont="1" applyBorder="1" applyAlignment="1">
      <alignment horizontal="center" vertical="center" wrapText="1"/>
    </xf>
    <xf numFmtId="1" fontId="6" fillId="5" borderId="2269" xfId="0" applyNumberFormat="1" applyFont="1" applyFill="1" applyBorder="1" applyProtection="1">
      <protection locked="0"/>
    </xf>
    <xf numFmtId="1" fontId="6" fillId="0" borderId="1521" xfId="0" applyNumberFormat="1" applyFont="1" applyBorder="1" applyAlignment="1">
      <alignment horizontal="left" vertical="center" wrapText="1"/>
    </xf>
    <xf numFmtId="1" fontId="6" fillId="5" borderId="2275" xfId="0" applyNumberFormat="1" applyFont="1" applyFill="1" applyBorder="1" applyProtection="1">
      <protection locked="0"/>
    </xf>
    <xf numFmtId="1" fontId="6" fillId="0" borderId="2257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vertical="center" wrapText="1"/>
    </xf>
    <xf numFmtId="1" fontId="6" fillId="5" borderId="2242" xfId="0" applyNumberFormat="1" applyFont="1" applyFill="1" applyBorder="1" applyProtection="1">
      <protection locked="0"/>
    </xf>
    <xf numFmtId="1" fontId="6" fillId="5" borderId="2252" xfId="0" applyNumberFormat="1" applyFont="1" applyFill="1" applyBorder="1" applyProtection="1">
      <protection locked="0"/>
    </xf>
    <xf numFmtId="1" fontId="6" fillId="5" borderId="2276" xfId="0" applyNumberFormat="1" applyFont="1" applyFill="1" applyBorder="1" applyProtection="1">
      <protection locked="0"/>
    </xf>
    <xf numFmtId="1" fontId="6" fillId="5" borderId="2278" xfId="0" applyNumberFormat="1" applyFont="1" applyFill="1" applyBorder="1" applyProtection="1">
      <protection locked="0"/>
    </xf>
    <xf numFmtId="1" fontId="6" fillId="5" borderId="2277" xfId="0" applyNumberFormat="1" applyFont="1" applyFill="1" applyBorder="1" applyProtection="1">
      <protection locked="0"/>
    </xf>
    <xf numFmtId="1" fontId="6" fillId="0" borderId="1343" xfId="0" applyNumberFormat="1" applyFont="1" applyBorder="1" applyAlignment="1">
      <alignment horizontal="center" vertical="center" wrapText="1"/>
    </xf>
    <xf numFmtId="1" fontId="6" fillId="0" borderId="1293" xfId="0" applyNumberFormat="1" applyFont="1" applyBorder="1" applyAlignment="1">
      <alignment horizontal="left" wrapText="1"/>
    </xf>
    <xf numFmtId="1" fontId="6" fillId="0" borderId="1140" xfId="0" applyNumberFormat="1" applyFont="1" applyBorder="1" applyAlignment="1">
      <alignment horizontal="left" wrapText="1"/>
    </xf>
    <xf numFmtId="1" fontId="6" fillId="0" borderId="1287" xfId="0" applyNumberFormat="1" applyFont="1" applyBorder="1" applyAlignment="1">
      <alignment horizontal="left" wrapText="1"/>
    </xf>
    <xf numFmtId="1" fontId="6" fillId="0" borderId="757" xfId="0" applyNumberFormat="1" applyFont="1" applyBorder="1"/>
    <xf numFmtId="1" fontId="6" fillId="0" borderId="1857" xfId="0" applyNumberFormat="1" applyFont="1" applyBorder="1" applyAlignment="1">
      <alignment horizontal="left" vertical="center"/>
    </xf>
    <xf numFmtId="1" fontId="6" fillId="0" borderId="2257" xfId="0" applyNumberFormat="1" applyFont="1" applyBorder="1" applyAlignment="1">
      <alignment horizontal="left" vertical="center"/>
    </xf>
    <xf numFmtId="1" fontId="6" fillId="5" borderId="1519" xfId="0" applyNumberFormat="1" applyFont="1" applyFill="1" applyBorder="1" applyAlignment="1" applyProtection="1">
      <alignment wrapText="1"/>
      <protection locked="0"/>
    </xf>
    <xf numFmtId="1" fontId="6" fillId="0" borderId="1525" xfId="0" applyNumberFormat="1" applyFont="1" applyBorder="1" applyAlignment="1">
      <alignment wrapText="1"/>
    </xf>
    <xf numFmtId="1" fontId="6" fillId="0" borderId="1525" xfId="0" applyNumberFormat="1" applyFont="1" applyBorder="1"/>
    <xf numFmtId="1" fontId="6" fillId="0" borderId="50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4" fillId="36" borderId="1774" xfId="6" applyNumberFormat="1" applyFont="1" applyFill="1" applyBorder="1" applyAlignment="1">
      <alignment wrapText="1"/>
    </xf>
    <xf numFmtId="1" fontId="6" fillId="0" borderId="1775" xfId="6" applyNumberFormat="1" applyFont="1" applyBorder="1" applyAlignment="1">
      <alignment horizontal="center" vertical="center" wrapText="1"/>
    </xf>
    <xf numFmtId="1" fontId="6" fillId="0" borderId="1768" xfId="6" applyNumberFormat="1" applyFont="1" applyBorder="1" applyAlignment="1">
      <alignment horizontal="center" vertical="center" wrapText="1"/>
    </xf>
    <xf numFmtId="1" fontId="6" fillId="0" borderId="1896" xfId="6" applyNumberFormat="1" applyFont="1" applyBorder="1" applyAlignment="1">
      <alignment horizontal="center" vertical="center" wrapText="1"/>
    </xf>
    <xf numFmtId="1" fontId="6" fillId="0" borderId="1769" xfId="6" applyNumberFormat="1" applyFont="1" applyBorder="1" applyAlignment="1">
      <alignment horizontal="center" vertical="center" wrapText="1"/>
    </xf>
    <xf numFmtId="1" fontId="6" fillId="0" borderId="1793" xfId="6" applyNumberFormat="1" applyFont="1" applyBorder="1" applyAlignment="1">
      <alignment horizontal="right"/>
    </xf>
    <xf numFmtId="1" fontId="6" fillId="0" borderId="1887" xfId="6" applyNumberFormat="1" applyFont="1" applyBorder="1" applyAlignment="1">
      <alignment horizontal="right"/>
    </xf>
    <xf numFmtId="1" fontId="6" fillId="0" borderId="1781" xfId="6" applyNumberFormat="1" applyFont="1" applyBorder="1" applyAlignment="1">
      <alignment horizontal="right"/>
    </xf>
    <xf numFmtId="1" fontId="6" fillId="37" borderId="1819" xfId="6" applyNumberFormat="1" applyFont="1" applyFill="1" applyBorder="1"/>
    <xf numFmtId="1" fontId="6" fillId="37" borderId="1897" xfId="6" applyNumberFormat="1" applyFont="1" applyFill="1" applyBorder="1"/>
    <xf numFmtId="1" fontId="6" fillId="0" borderId="1791" xfId="6" applyNumberFormat="1" applyFont="1" applyBorder="1" applyAlignment="1">
      <alignment horizontal="right"/>
    </xf>
    <xf numFmtId="1" fontId="6" fillId="37" borderId="1899" xfId="6" applyNumberFormat="1" applyFont="1" applyFill="1" applyBorder="1"/>
    <xf numFmtId="1" fontId="6" fillId="0" borderId="1792" xfId="6" applyNumberFormat="1" applyFont="1" applyBorder="1" applyAlignment="1">
      <alignment horizontal="right" wrapText="1"/>
    </xf>
    <xf numFmtId="1" fontId="6" fillId="0" borderId="1901" xfId="6" applyNumberFormat="1" applyFont="1" applyBorder="1" applyAlignment="1">
      <alignment horizontal="right" wrapText="1"/>
    </xf>
    <xf numFmtId="1" fontId="6" fillId="0" borderId="1789" xfId="6" applyNumberFormat="1" applyFont="1" applyBorder="1" applyAlignment="1">
      <alignment horizontal="right" wrapText="1"/>
    </xf>
    <xf numFmtId="1" fontId="6" fillId="37" borderId="1902" xfId="6" applyNumberFormat="1" applyFont="1" applyFill="1" applyBorder="1"/>
    <xf numFmtId="1" fontId="6" fillId="37" borderId="1805" xfId="6" applyNumberFormat="1" applyFont="1" applyFill="1" applyBorder="1"/>
    <xf numFmtId="1" fontId="6" fillId="0" borderId="1794" xfId="6" applyNumberFormat="1" applyFont="1" applyBorder="1" applyAlignment="1">
      <alignment vertical="center" wrapText="1"/>
    </xf>
    <xf numFmtId="1" fontId="6" fillId="37" borderId="1793" xfId="6" applyNumberFormat="1" applyFont="1" applyFill="1" applyBorder="1"/>
    <xf numFmtId="1" fontId="6" fillId="37" borderId="1905" xfId="6" applyNumberFormat="1" applyFont="1" applyFill="1" applyBorder="1"/>
    <xf numFmtId="1" fontId="6" fillId="0" borderId="1791" xfId="6" applyNumberFormat="1" applyFont="1" applyBorder="1" applyAlignment="1">
      <alignment vertical="center" wrapText="1"/>
    </xf>
    <xf numFmtId="1" fontId="6" fillId="0" borderId="1792" xfId="6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left"/>
    </xf>
    <xf numFmtId="1" fontId="6" fillId="0" borderId="1079" xfId="0" applyNumberFormat="1" applyFont="1" applyBorder="1" applyAlignment="1">
      <alignment horizontal="left" vertical="center"/>
    </xf>
    <xf numFmtId="1" fontId="6" fillId="0" borderId="2249" xfId="0" applyNumberFormat="1" applyFont="1" applyBorder="1"/>
    <xf numFmtId="1" fontId="13" fillId="0" borderId="0" xfId="0" applyNumberFormat="1" applyFont="1" applyAlignment="1">
      <alignment wrapText="1"/>
    </xf>
    <xf numFmtId="1" fontId="62" fillId="3" borderId="175" xfId="0" applyNumberFormat="1" applyFont="1" applyFill="1" applyBorder="1"/>
    <xf numFmtId="1" fontId="32" fillId="0" borderId="275" xfId="0" applyNumberFormat="1" applyFont="1" applyBorder="1" applyAlignment="1">
      <alignment horizontal="left" vertical="center"/>
    </xf>
    <xf numFmtId="1" fontId="32" fillId="0" borderId="37" xfId="0" applyNumberFormat="1" applyFont="1" applyBorder="1" applyAlignment="1">
      <alignment horizontal="left" vertical="center" wrapText="1"/>
    </xf>
    <xf numFmtId="1" fontId="32" fillId="0" borderId="600" xfId="0" applyNumberFormat="1" applyFont="1" applyBorder="1" applyAlignment="1">
      <alignment horizontal="left" vertical="center"/>
    </xf>
    <xf numFmtId="1" fontId="32" fillId="0" borderId="1864" xfId="0" applyNumberFormat="1" applyFont="1" applyBorder="1" applyAlignment="1">
      <alignment horizontal="left" vertical="center"/>
    </xf>
    <xf numFmtId="1" fontId="6" fillId="4" borderId="2249" xfId="0" applyNumberFormat="1" applyFont="1" applyFill="1" applyBorder="1"/>
    <xf numFmtId="1" fontId="6" fillId="4" borderId="1675" xfId="0" applyNumberFormat="1" applyFont="1" applyFill="1" applyBorder="1"/>
    <xf numFmtId="1" fontId="64" fillId="3" borderId="0" xfId="0" applyNumberFormat="1" applyFont="1" applyFill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 wrapText="1"/>
    </xf>
    <xf numFmtId="0" fontId="62" fillId="0" borderId="0" xfId="0" applyFont="1"/>
    <xf numFmtId="1" fontId="63" fillId="3" borderId="0" xfId="0" applyNumberFormat="1" applyFont="1" applyFill="1"/>
    <xf numFmtId="164" fontId="65" fillId="14" borderId="0" xfId="32" applyNumberFormat="1" applyFont="1" applyFill="1" applyProtection="1"/>
    <xf numFmtId="164" fontId="66" fillId="14" borderId="0" xfId="33" applyNumberFormat="1" applyFont="1" applyFill="1" applyAlignment="1" applyProtection="1"/>
    <xf numFmtId="0" fontId="66" fillId="14" borderId="0" xfId="0" applyFont="1" applyFill="1"/>
    <xf numFmtId="0" fontId="66" fillId="0" borderId="0" xfId="0" applyFont="1"/>
    <xf numFmtId="164" fontId="65" fillId="14" borderId="0" xfId="32" applyNumberFormat="1" applyFont="1" applyFill="1" applyBorder="1" applyProtection="1"/>
    <xf numFmtId="164" fontId="65" fillId="14" borderId="0" xfId="33" applyNumberFormat="1" applyFont="1" applyFill="1" applyAlignment="1" applyProtection="1"/>
    <xf numFmtId="164" fontId="65" fillId="14" borderId="0" xfId="33" applyNumberFormat="1" applyFont="1" applyFill="1" applyAlignment="1" applyProtection="1">
      <alignment horizontal="center"/>
    </xf>
    <xf numFmtId="164" fontId="65" fillId="14" borderId="0" xfId="32" applyNumberFormat="1" applyFont="1" applyFill="1" applyAlignment="1" applyProtection="1"/>
    <xf numFmtId="0" fontId="65" fillId="14" borderId="0" xfId="0" applyFont="1" applyFill="1"/>
    <xf numFmtId="0" fontId="65" fillId="14" borderId="0" xfId="0" applyFont="1" applyFill="1" applyAlignment="1">
      <alignment horizontal="center"/>
    </xf>
    <xf numFmtId="0" fontId="66" fillId="14" borderId="0" xfId="6" applyFont="1" applyFill="1"/>
    <xf numFmtId="164" fontId="62" fillId="14" borderId="913" xfId="32" applyNumberFormat="1" applyFont="1" applyFill="1" applyBorder="1" applyAlignment="1" applyProtection="1">
      <alignment horizontal="left"/>
    </xf>
    <xf numFmtId="164" fontId="66" fillId="14" borderId="0" xfId="32" applyNumberFormat="1" applyFont="1" applyFill="1" applyProtection="1"/>
    <xf numFmtId="1" fontId="66" fillId="0" borderId="906" xfId="0" applyNumberFormat="1" applyFont="1" applyBorder="1" applyAlignment="1">
      <alignment horizontal="center" vertical="center" wrapText="1"/>
    </xf>
    <xf numFmtId="1" fontId="66" fillId="0" borderId="889" xfId="0" applyNumberFormat="1" applyFont="1" applyBorder="1" applyAlignment="1">
      <alignment horizontal="center" vertical="center" wrapText="1"/>
    </xf>
    <xf numFmtId="1" fontId="66" fillId="0" borderId="907" xfId="0" applyNumberFormat="1" applyFont="1" applyBorder="1" applyAlignment="1">
      <alignment horizontal="center" vertical="center" wrapText="1"/>
    </xf>
    <xf numFmtId="1" fontId="66" fillId="0" borderId="889" xfId="0" applyNumberFormat="1" applyFont="1" applyBorder="1" applyAlignment="1">
      <alignment horizontal="center" vertical="center"/>
    </xf>
    <xf numFmtId="1" fontId="66" fillId="0" borderId="863" xfId="0" applyNumberFormat="1" applyFont="1" applyBorder="1" applyAlignment="1">
      <alignment horizontal="center" vertical="center"/>
    </xf>
    <xf numFmtId="164" fontId="66" fillId="14" borderId="1422" xfId="32" applyNumberFormat="1" applyFont="1" applyFill="1" applyBorder="1" applyAlignment="1" applyProtection="1">
      <alignment horizontal="center" vertical="center" wrapText="1"/>
    </xf>
    <xf numFmtId="164" fontId="66" fillId="14" borderId="1424" xfId="32" applyNumberFormat="1" applyFont="1" applyFill="1" applyBorder="1" applyAlignment="1" applyProtection="1">
      <alignment horizontal="center" vertical="center"/>
    </xf>
    <xf numFmtId="164" fontId="32" fillId="14" borderId="914" xfId="32" applyNumberFormat="1" applyFont="1" applyFill="1" applyBorder="1" applyProtection="1"/>
    <xf numFmtId="166" fontId="66" fillId="14" borderId="634" xfId="32" applyNumberFormat="1" applyFont="1" applyFill="1" applyBorder="1" applyAlignment="1" applyProtection="1">
      <alignment horizontal="center"/>
    </xf>
    <xf numFmtId="1" fontId="32" fillId="5" borderId="824" xfId="0" applyNumberFormat="1" applyFont="1" applyFill="1" applyBorder="1" applyProtection="1">
      <protection locked="0"/>
    </xf>
    <xf numFmtId="1" fontId="32" fillId="5" borderId="825" xfId="0" applyNumberFormat="1" applyFont="1" applyFill="1" applyBorder="1" applyProtection="1">
      <protection locked="0"/>
    </xf>
    <xf numFmtId="1" fontId="32" fillId="5" borderId="915" xfId="0" applyNumberFormat="1" applyFont="1" applyFill="1" applyBorder="1" applyProtection="1">
      <protection locked="0"/>
    </xf>
    <xf numFmtId="1" fontId="32" fillId="5" borderId="800" xfId="0" applyNumberFormat="1" applyFont="1" applyFill="1" applyBorder="1" applyProtection="1">
      <protection locked="0"/>
    </xf>
    <xf numFmtId="1" fontId="32" fillId="5" borderId="832" xfId="0" applyNumberFormat="1" applyFont="1" applyFill="1" applyBorder="1" applyProtection="1">
      <protection locked="0"/>
    </xf>
    <xf numFmtId="1" fontId="32" fillId="5" borderId="1432" xfId="0" applyNumberFormat="1" applyFont="1" applyFill="1" applyBorder="1" applyProtection="1">
      <protection locked="0"/>
    </xf>
    <xf numFmtId="1" fontId="32" fillId="5" borderId="1434" xfId="0" applyNumberFormat="1" applyFont="1" applyFill="1" applyBorder="1" applyProtection="1">
      <protection locked="0"/>
    </xf>
    <xf numFmtId="1" fontId="32" fillId="5" borderId="1426" xfId="0" applyNumberFormat="1" applyFont="1" applyFill="1" applyBorder="1" applyProtection="1">
      <protection locked="0"/>
    </xf>
    <xf numFmtId="1" fontId="32" fillId="5" borderId="916" xfId="0" applyNumberFormat="1" applyFont="1" applyFill="1" applyBorder="1" applyProtection="1">
      <protection locked="0"/>
    </xf>
    <xf numFmtId="164" fontId="32" fillId="14" borderId="917" xfId="32" applyNumberFormat="1" applyFont="1" applyFill="1" applyBorder="1" applyProtection="1"/>
    <xf numFmtId="1" fontId="32" fillId="5" borderId="918" xfId="0" applyNumberFormat="1" applyFont="1" applyFill="1" applyBorder="1" applyProtection="1">
      <protection locked="0"/>
    </xf>
    <xf numFmtId="1" fontId="32" fillId="5" borderId="827" xfId="0" applyNumberFormat="1" applyFont="1" applyFill="1" applyBorder="1" applyProtection="1">
      <protection locked="0"/>
    </xf>
    <xf numFmtId="1" fontId="32" fillId="5" borderId="1290" xfId="0" applyNumberFormat="1" applyFont="1" applyFill="1" applyBorder="1" applyProtection="1">
      <protection locked="0"/>
    </xf>
    <xf numFmtId="1" fontId="32" fillId="5" borderId="1141" xfId="0" applyNumberFormat="1" applyFont="1" applyFill="1" applyBorder="1" applyProtection="1">
      <protection locked="0"/>
    </xf>
    <xf numFmtId="1" fontId="32" fillId="5" borderId="1283" xfId="0" applyNumberFormat="1" applyFont="1" applyFill="1" applyBorder="1" applyProtection="1">
      <protection locked="0"/>
    </xf>
    <xf numFmtId="1" fontId="32" fillId="5" borderId="919" xfId="0" applyNumberFormat="1" applyFont="1" applyFill="1" applyBorder="1" applyProtection="1">
      <protection locked="0"/>
    </xf>
    <xf numFmtId="164" fontId="32" fillId="14" borderId="795" xfId="32" applyNumberFormat="1" applyFont="1" applyFill="1" applyBorder="1" applyAlignment="1" applyProtection="1">
      <alignment vertical="center"/>
    </xf>
    <xf numFmtId="164" fontId="32" fillId="14" borderId="896" xfId="32" applyNumberFormat="1" applyFont="1" applyFill="1" applyBorder="1" applyAlignment="1" applyProtection="1">
      <alignment horizontal="left"/>
    </xf>
    <xf numFmtId="164" fontId="32" fillId="14" borderId="923" xfId="32" applyNumberFormat="1" applyFont="1" applyFill="1" applyBorder="1" applyProtection="1"/>
    <xf numFmtId="166" fontId="66" fillId="14" borderId="924" xfId="32" applyNumberFormat="1" applyFont="1" applyFill="1" applyBorder="1" applyAlignment="1" applyProtection="1">
      <alignment horizontal="center"/>
    </xf>
    <xf numFmtId="166" fontId="66" fillId="14" borderId="925" xfId="32" applyNumberFormat="1" applyFont="1" applyFill="1" applyBorder="1" applyAlignment="1" applyProtection="1">
      <alignment horizontal="center"/>
    </xf>
    <xf numFmtId="166" fontId="66" fillId="14" borderId="926" xfId="32" applyNumberFormat="1" applyFont="1" applyFill="1" applyBorder="1" applyAlignment="1" applyProtection="1">
      <alignment horizontal="center"/>
    </xf>
    <xf numFmtId="166" fontId="66" fillId="14" borderId="927" xfId="32" applyNumberFormat="1" applyFont="1" applyFill="1" applyBorder="1" applyAlignment="1" applyProtection="1">
      <alignment horizontal="center"/>
    </xf>
    <xf numFmtId="166" fontId="66" fillId="14" borderId="928" xfId="32" applyNumberFormat="1" applyFont="1" applyFill="1" applyBorder="1" applyAlignment="1" applyProtection="1">
      <alignment horizontal="center"/>
    </xf>
    <xf numFmtId="166" fontId="66" fillId="14" borderId="1422" xfId="32" applyNumberFormat="1" applyFont="1" applyFill="1" applyBorder="1" applyAlignment="1" applyProtection="1">
      <alignment horizontal="center"/>
    </xf>
    <xf numFmtId="166" fontId="66" fillId="14" borderId="1424" xfId="32" applyNumberFormat="1" applyFont="1" applyFill="1" applyBorder="1" applyAlignment="1" applyProtection="1">
      <alignment horizontal="center"/>
    </xf>
    <xf numFmtId="166" fontId="66" fillId="14" borderId="1324" xfId="32" applyNumberFormat="1" applyFont="1" applyFill="1" applyBorder="1" applyAlignment="1" applyProtection="1">
      <alignment horizontal="center"/>
    </xf>
    <xf numFmtId="166" fontId="66" fillId="14" borderId="929" xfId="32" applyNumberFormat="1" applyFont="1" applyFill="1" applyBorder="1" applyAlignment="1" applyProtection="1">
      <alignment horizontal="center"/>
    </xf>
    <xf numFmtId="166" fontId="66" fillId="14" borderId="0" xfId="32" applyNumberFormat="1" applyFont="1" applyFill="1" applyBorder="1" applyAlignment="1" applyProtection="1">
      <alignment horizontal="center"/>
    </xf>
    <xf numFmtId="164" fontId="66" fillId="14" borderId="0" xfId="32" applyNumberFormat="1" applyFont="1" applyFill="1" applyBorder="1" applyProtection="1"/>
    <xf numFmtId="164" fontId="66" fillId="14" borderId="0" xfId="32" applyNumberFormat="1" applyFont="1" applyFill="1" applyBorder="1" applyAlignment="1" applyProtection="1">
      <alignment horizontal="center"/>
    </xf>
    <xf numFmtId="1" fontId="66" fillId="0" borderId="925" xfId="0" applyNumberFormat="1" applyFont="1" applyBorder="1" applyAlignment="1">
      <alignment horizontal="center" vertical="center" wrapText="1"/>
    </xf>
    <xf numFmtId="1" fontId="66" fillId="0" borderId="927" xfId="0" applyNumberFormat="1" applyFont="1" applyBorder="1" applyAlignment="1">
      <alignment horizontal="center" vertical="center" wrapText="1"/>
    </xf>
    <xf numFmtId="1" fontId="66" fillId="0" borderId="926" xfId="0" applyNumberFormat="1" applyFont="1" applyBorder="1" applyAlignment="1">
      <alignment horizontal="center" vertical="center" wrapText="1"/>
    </xf>
    <xf numFmtId="1" fontId="66" fillId="0" borderId="931" xfId="0" applyNumberFormat="1" applyFont="1" applyBorder="1" applyAlignment="1">
      <alignment horizontal="center" vertical="center" wrapText="1"/>
    </xf>
    <xf numFmtId="1" fontId="66" fillId="0" borderId="928" xfId="0" applyNumberFormat="1" applyFont="1" applyBorder="1" applyAlignment="1">
      <alignment horizontal="center" vertical="center" wrapText="1"/>
    </xf>
    <xf numFmtId="0" fontId="32" fillId="0" borderId="2122" xfId="449" applyFont="1" applyBorder="1" applyAlignment="1">
      <alignment horizontal="left" vertical="center" wrapText="1"/>
    </xf>
    <xf numFmtId="166" fontId="66" fillId="14" borderId="2122" xfId="32" applyNumberFormat="1" applyFont="1" applyFill="1" applyBorder="1" applyAlignment="1" applyProtection="1">
      <alignment horizontal="center" vertical="center"/>
    </xf>
    <xf numFmtId="1" fontId="32" fillId="5" borderId="2138" xfId="0" applyNumberFormat="1" applyFont="1" applyFill="1" applyBorder="1" applyProtection="1">
      <protection locked="0"/>
    </xf>
    <xf numFmtId="1" fontId="32" fillId="5" borderId="1871" xfId="0" applyNumberFormat="1" applyFont="1" applyFill="1" applyBorder="1" applyProtection="1">
      <protection locked="0"/>
    </xf>
    <xf numFmtId="1" fontId="32" fillId="5" borderId="1927" xfId="0" applyNumberFormat="1" applyFont="1" applyFill="1" applyBorder="1" applyProtection="1">
      <protection locked="0"/>
    </xf>
    <xf numFmtId="1" fontId="32" fillId="5" borderId="2122" xfId="0" applyNumberFormat="1" applyFont="1" applyFill="1" applyBorder="1" applyProtection="1">
      <protection locked="0"/>
    </xf>
    <xf numFmtId="1" fontId="32" fillId="5" borderId="2144" xfId="0" applyNumberFormat="1" applyFont="1" applyFill="1" applyBorder="1" applyProtection="1">
      <protection locked="0"/>
    </xf>
    <xf numFmtId="1" fontId="32" fillId="5" borderId="2143" xfId="0" applyNumberFormat="1" applyFont="1" applyFill="1" applyBorder="1" applyProtection="1">
      <protection locked="0"/>
    </xf>
    <xf numFmtId="164" fontId="62" fillId="14" borderId="1855" xfId="32" applyNumberFormat="1" applyFont="1" applyFill="1" applyBorder="1" applyAlignment="1" applyProtection="1">
      <alignment horizontal="left"/>
    </xf>
    <xf numFmtId="166" fontId="66" fillId="0" borderId="0" xfId="32" applyNumberFormat="1" applyFont="1" applyBorder="1" applyAlignment="1" applyProtection="1">
      <alignment horizontal="center"/>
    </xf>
    <xf numFmtId="1" fontId="32" fillId="0" borderId="0" xfId="0" applyNumberFormat="1" applyFont="1" applyProtection="1">
      <protection locked="0"/>
    </xf>
    <xf numFmtId="0" fontId="68" fillId="0" borderId="0" xfId="0" applyFont="1"/>
    <xf numFmtId="1" fontId="32" fillId="0" borderId="925" xfId="0" applyNumberFormat="1" applyFont="1" applyBorder="1" applyAlignment="1">
      <alignment horizontal="center" vertical="center" wrapText="1"/>
    </xf>
    <xf numFmtId="1" fontId="32" fillId="0" borderId="927" xfId="0" applyNumberFormat="1" applyFont="1" applyBorder="1" applyAlignment="1">
      <alignment horizontal="center" vertical="center" wrapText="1"/>
    </xf>
    <xf numFmtId="1" fontId="32" fillId="0" borderId="928" xfId="0" applyNumberFormat="1" applyFont="1" applyBorder="1" applyAlignment="1">
      <alignment horizontal="center" vertical="center" wrapText="1"/>
    </xf>
    <xf numFmtId="164" fontId="32" fillId="14" borderId="987" xfId="32" applyNumberFormat="1" applyFont="1" applyFill="1" applyBorder="1" applyAlignment="1" applyProtection="1">
      <alignment horizontal="center" vertical="center" wrapText="1"/>
    </xf>
    <xf numFmtId="164" fontId="32" fillId="14" borderId="929" xfId="32" applyNumberFormat="1" applyFont="1" applyFill="1" applyBorder="1" applyAlignment="1" applyProtection="1">
      <alignment horizontal="center" vertical="center"/>
    </xf>
    <xf numFmtId="1" fontId="32" fillId="0" borderId="987" xfId="0" applyNumberFormat="1" applyFont="1" applyBorder="1" applyAlignment="1">
      <alignment horizontal="center" vertical="center" wrapText="1"/>
    </xf>
    <xf numFmtId="1" fontId="32" fillId="0" borderId="929" xfId="0" applyNumberFormat="1" applyFont="1" applyBorder="1" applyAlignment="1">
      <alignment horizontal="center" vertical="center" wrapText="1"/>
    </xf>
    <xf numFmtId="1" fontId="32" fillId="0" borderId="923" xfId="0" applyNumberFormat="1" applyFont="1" applyBorder="1" applyAlignment="1">
      <alignment horizontal="center" vertical="center"/>
    </xf>
    <xf numFmtId="1" fontId="32" fillId="0" borderId="925" xfId="0" applyNumberFormat="1" applyFont="1" applyBorder="1" applyAlignment="1">
      <alignment horizontal="center" vertical="center"/>
    </xf>
    <xf numFmtId="1" fontId="32" fillId="0" borderId="991" xfId="0" applyNumberFormat="1" applyFont="1" applyBorder="1" applyAlignment="1">
      <alignment horizontal="center" vertical="center" wrapText="1"/>
    </xf>
    <xf numFmtId="1" fontId="32" fillId="0" borderId="1871" xfId="0" applyNumberFormat="1" applyFont="1" applyBorder="1" applyAlignment="1">
      <alignment horizontal="center" vertical="center" wrapText="1"/>
    </xf>
    <xf numFmtId="1" fontId="32" fillId="0" borderId="1865" xfId="0" applyNumberFormat="1" applyFont="1" applyBorder="1" applyAlignment="1">
      <alignment horizontal="center" vertical="center" wrapText="1"/>
    </xf>
    <xf numFmtId="1" fontId="32" fillId="0" borderId="908" xfId="0" applyNumberFormat="1" applyFont="1" applyBorder="1" applyAlignment="1">
      <alignment horizontal="center" vertical="center"/>
    </xf>
    <xf numFmtId="3" fontId="66" fillId="0" borderId="0" xfId="0" applyNumberFormat="1" applyFont="1" applyAlignment="1">
      <alignment horizontal="center" vertical="center" wrapText="1"/>
    </xf>
    <xf numFmtId="1" fontId="32" fillId="0" borderId="1664" xfId="0" applyNumberFormat="1" applyFont="1" applyBorder="1"/>
    <xf numFmtId="1" fontId="32" fillId="5" borderId="1870" xfId="0" applyNumberFormat="1" applyFont="1" applyFill="1" applyBorder="1" applyProtection="1">
      <protection locked="0"/>
    </xf>
    <xf numFmtId="1" fontId="32" fillId="5" borderId="1631" xfId="0" applyNumberFormat="1" applyFont="1" applyFill="1" applyBorder="1" applyProtection="1">
      <protection locked="0"/>
    </xf>
    <xf numFmtId="1" fontId="32" fillId="2" borderId="2238" xfId="9" applyNumberFormat="1" applyFont="1" applyBorder="1" applyProtection="1">
      <protection locked="0"/>
    </xf>
    <xf numFmtId="1" fontId="32" fillId="2" borderId="2239" xfId="9" applyNumberFormat="1" applyFont="1" applyBorder="1" applyProtection="1">
      <protection locked="0"/>
    </xf>
    <xf numFmtId="1" fontId="32" fillId="5" borderId="911" xfId="0" applyNumberFormat="1" applyFont="1" applyFill="1" applyBorder="1" applyProtection="1">
      <protection locked="0"/>
    </xf>
    <xf numFmtId="1" fontId="32" fillId="0" borderId="933" xfId="0" applyNumberFormat="1" applyFont="1" applyBorder="1"/>
    <xf numFmtId="1" fontId="32" fillId="5" borderId="839" xfId="0" applyNumberFormat="1" applyFont="1" applyFill="1" applyBorder="1" applyProtection="1">
      <protection locked="0"/>
    </xf>
    <xf numFmtId="1" fontId="32" fillId="5" borderId="934" xfId="0" applyNumberFormat="1" applyFont="1" applyFill="1" applyBorder="1" applyProtection="1">
      <protection locked="0"/>
    </xf>
    <xf numFmtId="1" fontId="32" fillId="0" borderId="1523" xfId="0" applyNumberFormat="1" applyFont="1" applyBorder="1"/>
    <xf numFmtId="166" fontId="66" fillId="14" borderId="1294" xfId="32" applyNumberFormat="1" applyFont="1" applyFill="1" applyBorder="1" applyAlignment="1" applyProtection="1">
      <alignment horizontal="center"/>
    </xf>
    <xf numFmtId="1" fontId="32" fillId="5" borderId="724" xfId="0" applyNumberFormat="1" applyFont="1" applyFill="1" applyBorder="1" applyProtection="1">
      <protection locked="0"/>
    </xf>
    <xf numFmtId="1" fontId="32" fillId="5" borderId="1097" xfId="0" applyNumberFormat="1" applyFont="1" applyFill="1" applyBorder="1" applyProtection="1">
      <protection locked="0"/>
    </xf>
    <xf numFmtId="1" fontId="32" fillId="5" borderId="1088" xfId="0" applyNumberFormat="1" applyFont="1" applyFill="1" applyBorder="1" applyProtection="1">
      <protection locked="0"/>
    </xf>
    <xf numFmtId="1" fontId="32" fillId="5" borderId="1087" xfId="0" applyNumberFormat="1" applyFont="1" applyFill="1" applyBorder="1" applyProtection="1">
      <protection locked="0"/>
    </xf>
    <xf numFmtId="1" fontId="32" fillId="5" borderId="1089" xfId="0" applyNumberFormat="1" applyFont="1" applyFill="1" applyBorder="1" applyProtection="1">
      <protection locked="0"/>
    </xf>
    <xf numFmtId="1" fontId="32" fillId="5" borderId="1525" xfId="0" applyNumberFormat="1" applyFont="1" applyFill="1" applyBorder="1" applyProtection="1">
      <protection locked="0"/>
    </xf>
    <xf numFmtId="1" fontId="32" fillId="4" borderId="724" xfId="0" applyNumberFormat="1" applyFont="1" applyFill="1" applyBorder="1"/>
    <xf numFmtId="1" fontId="32" fillId="4" borderId="827" xfId="0" applyNumberFormat="1" applyFont="1" applyFill="1" applyBorder="1"/>
    <xf numFmtId="1" fontId="32" fillId="4" borderId="824" xfId="0" applyNumberFormat="1" applyFont="1" applyFill="1" applyBorder="1"/>
    <xf numFmtId="1" fontId="32" fillId="2" borderId="724" xfId="9" applyNumberFormat="1" applyFont="1" applyBorder="1" applyProtection="1">
      <protection locked="0"/>
    </xf>
    <xf numFmtId="1" fontId="32" fillId="2" borderId="824" xfId="9" applyNumberFormat="1" applyFont="1" applyBorder="1" applyProtection="1">
      <protection locked="0"/>
    </xf>
    <xf numFmtId="1" fontId="32" fillId="0" borderId="0" xfId="0" applyNumberFormat="1" applyFont="1"/>
    <xf numFmtId="1" fontId="32" fillId="0" borderId="1523" xfId="0" applyNumberFormat="1" applyFont="1" applyBorder="1" applyAlignment="1">
      <alignment wrapText="1"/>
    </xf>
    <xf numFmtId="1" fontId="32" fillId="5" borderId="841" xfId="0" applyNumberFormat="1" applyFont="1" applyFill="1" applyBorder="1" applyProtection="1">
      <protection locked="0"/>
    </xf>
    <xf numFmtId="0" fontId="66" fillId="0" borderId="0" xfId="33" applyFont="1" applyBorder="1" applyAlignment="1" applyProtection="1"/>
    <xf numFmtId="1" fontId="32" fillId="5" borderId="1522" xfId="0" applyNumberFormat="1" applyFont="1" applyFill="1" applyBorder="1" applyProtection="1">
      <protection locked="0"/>
    </xf>
    <xf numFmtId="1" fontId="32" fillId="5" borderId="1520" xfId="0" applyNumberFormat="1" applyFont="1" applyFill="1" applyBorder="1" applyProtection="1">
      <protection locked="0"/>
    </xf>
    <xf numFmtId="1" fontId="32" fillId="5" borderId="1570" xfId="0" applyNumberFormat="1" applyFont="1" applyFill="1" applyBorder="1" applyProtection="1">
      <protection locked="0"/>
    </xf>
    <xf numFmtId="1" fontId="32" fillId="5" borderId="1566" xfId="0" applyNumberFormat="1" applyFont="1" applyFill="1" applyBorder="1" applyProtection="1">
      <protection locked="0"/>
    </xf>
    <xf numFmtId="1" fontId="32" fillId="31" borderId="824" xfId="0" applyNumberFormat="1" applyFont="1" applyFill="1" applyBorder="1"/>
    <xf numFmtId="1" fontId="32" fillId="31" borderId="724" xfId="0" applyNumberFormat="1" applyFont="1" applyFill="1" applyBorder="1"/>
    <xf numFmtId="1" fontId="32" fillId="0" borderId="1158" xfId="0" applyNumberFormat="1" applyFont="1" applyBorder="1"/>
    <xf numFmtId="1" fontId="32" fillId="5" borderId="1517" xfId="0" applyNumberFormat="1" applyFont="1" applyFill="1" applyBorder="1" applyProtection="1">
      <protection locked="0"/>
    </xf>
    <xf numFmtId="1" fontId="32" fillId="5" borderId="821" xfId="0" applyNumberFormat="1" applyFont="1" applyFill="1" applyBorder="1" applyProtection="1">
      <protection locked="0"/>
    </xf>
    <xf numFmtId="1" fontId="32" fillId="5" borderId="1518" xfId="0" applyNumberFormat="1" applyFont="1" applyFill="1" applyBorder="1" applyProtection="1">
      <protection locked="0"/>
    </xf>
    <xf numFmtId="164" fontId="66" fillId="14" borderId="923" xfId="32" applyNumberFormat="1" applyFont="1" applyFill="1" applyBorder="1" applyAlignment="1" applyProtection="1">
      <alignment vertical="center" wrapText="1"/>
    </xf>
    <xf numFmtId="166" fontId="66" fillId="14" borderId="924" xfId="34" applyNumberFormat="1" applyFont="1" applyFill="1" applyBorder="1" applyAlignment="1" applyProtection="1">
      <alignment horizontal="center"/>
    </xf>
    <xf numFmtId="166" fontId="66" fillId="14" borderId="925" xfId="34" applyNumberFormat="1" applyFont="1" applyFill="1" applyBorder="1" applyProtection="1"/>
    <xf numFmtId="166" fontId="66" fillId="14" borderId="927" xfId="34" applyNumberFormat="1" applyFont="1" applyFill="1" applyBorder="1" applyProtection="1"/>
    <xf numFmtId="166" fontId="66" fillId="14" borderId="926" xfId="34" applyNumberFormat="1" applyFont="1" applyFill="1" applyBorder="1" applyProtection="1"/>
    <xf numFmtId="166" fontId="66" fillId="14" borderId="929" xfId="34" applyNumberFormat="1" applyFont="1" applyFill="1" applyBorder="1" applyProtection="1"/>
    <xf numFmtId="166" fontId="66" fillId="14" borderId="987" xfId="34" applyNumberFormat="1" applyFont="1" applyFill="1" applyBorder="1" applyProtection="1"/>
    <xf numFmtId="166" fontId="66" fillId="14" borderId="924" xfId="34" applyNumberFormat="1" applyFont="1" applyFill="1" applyBorder="1" applyProtection="1"/>
    <xf numFmtId="166" fontId="66" fillId="14" borderId="991" xfId="34" applyNumberFormat="1" applyFont="1" applyFill="1" applyBorder="1" applyProtection="1"/>
    <xf numFmtId="166" fontId="66" fillId="14" borderId="968" xfId="34" applyNumberFormat="1" applyFont="1" applyFill="1" applyBorder="1" applyProtection="1"/>
    <xf numFmtId="166" fontId="66" fillId="14" borderId="967" xfId="34" applyNumberFormat="1" applyFont="1" applyFill="1" applyBorder="1" applyProtection="1"/>
    <xf numFmtId="1" fontId="63" fillId="0" borderId="740" xfId="0" applyNumberFormat="1" applyFont="1" applyBorder="1"/>
    <xf numFmtId="1" fontId="32" fillId="3" borderId="0" xfId="0" applyNumberFormat="1" applyFont="1" applyFill="1"/>
    <xf numFmtId="0" fontId="66" fillId="14" borderId="0" xfId="33" applyFont="1" applyFill="1" applyAlignment="1" applyProtection="1"/>
    <xf numFmtId="1" fontId="32" fillId="0" borderId="927" xfId="0" applyNumberFormat="1" applyFont="1" applyBorder="1" applyAlignment="1">
      <alignment horizontal="center" vertical="center"/>
    </xf>
    <xf numFmtId="1" fontId="32" fillId="0" borderId="929" xfId="0" applyNumberFormat="1" applyFont="1" applyBorder="1" applyAlignment="1">
      <alignment horizontal="center" vertical="center"/>
    </xf>
    <xf numFmtId="1" fontId="32" fillId="0" borderId="942" xfId="0" applyNumberFormat="1" applyFont="1" applyBorder="1" applyAlignment="1">
      <alignment horizontal="center" vertical="center" wrapText="1"/>
    </xf>
    <xf numFmtId="1" fontId="32" fillId="0" borderId="903" xfId="0" applyNumberFormat="1" applyFont="1" applyBorder="1" applyAlignment="1">
      <alignment horizontal="center" vertical="center" wrapText="1"/>
    </xf>
    <xf numFmtId="1" fontId="32" fillId="0" borderId="888" xfId="0" applyNumberFormat="1" applyFont="1" applyBorder="1" applyAlignment="1">
      <alignment horizontal="center" vertical="center" wrapText="1"/>
    </xf>
    <xf numFmtId="1" fontId="32" fillId="0" borderId="925" xfId="0" applyNumberFormat="1" applyFont="1" applyBorder="1" applyAlignment="1">
      <alignment horizontal="right"/>
    </xf>
    <xf numFmtId="1" fontId="32" fillId="0" borderId="943" xfId="0" applyNumberFormat="1" applyFont="1" applyBorder="1" applyAlignment="1">
      <alignment horizontal="right"/>
    </xf>
    <xf numFmtId="1" fontId="32" fillId="0" borderId="903" xfId="0" applyNumberFormat="1" applyFont="1" applyBorder="1" applyAlignment="1">
      <alignment horizontal="right"/>
    </xf>
    <xf numFmtId="1" fontId="32" fillId="5" borderId="942" xfId="0" applyNumberFormat="1" applyFont="1" applyFill="1" applyBorder="1" applyProtection="1">
      <protection locked="0"/>
    </xf>
    <xf numFmtId="1" fontId="32" fillId="5" borderId="903" xfId="0" applyNumberFormat="1" applyFont="1" applyFill="1" applyBorder="1" applyProtection="1">
      <protection locked="0"/>
    </xf>
    <xf numFmtId="1" fontId="32" fillId="5" borderId="888" xfId="0" applyNumberFormat="1" applyFont="1" applyFill="1" applyBorder="1" applyProtection="1">
      <protection locked="0"/>
    </xf>
    <xf numFmtId="1" fontId="32" fillId="5" borderId="968" xfId="0" applyNumberFormat="1" applyFont="1" applyFill="1" applyBorder="1" applyProtection="1">
      <protection locked="0"/>
    </xf>
    <xf numFmtId="1" fontId="32" fillId="5" borderId="928" xfId="0" applyNumberFormat="1" applyFont="1" applyFill="1" applyBorder="1" applyProtection="1">
      <protection locked="0"/>
    </xf>
    <xf numFmtId="1" fontId="32" fillId="5" borderId="961" xfId="0" applyNumberFormat="1" applyFont="1" applyFill="1" applyBorder="1" applyProtection="1">
      <protection locked="0"/>
    </xf>
    <xf numFmtId="1" fontId="32" fillId="0" borderId="938" xfId="0" applyNumberFormat="1" applyFont="1" applyBorder="1"/>
    <xf numFmtId="1" fontId="32" fillId="0" borderId="630" xfId="0" applyNumberFormat="1" applyFont="1" applyBorder="1" applyAlignment="1">
      <alignment horizontal="right" wrapText="1"/>
    </xf>
    <xf numFmtId="1" fontId="32" fillId="4" borderId="800" xfId="0" applyNumberFormat="1" applyFont="1" applyFill="1" applyBorder="1" applyAlignment="1">
      <alignment horizontal="right"/>
    </xf>
    <xf numFmtId="1" fontId="32" fillId="4" borderId="911" xfId="0" applyNumberFormat="1" applyFont="1" applyFill="1" applyBorder="1"/>
    <xf numFmtId="1" fontId="32" fillId="4" borderId="916" xfId="0" applyNumberFormat="1" applyFont="1" applyFill="1" applyBorder="1"/>
    <xf numFmtId="1" fontId="32" fillId="5" borderId="633" xfId="0" applyNumberFormat="1" applyFont="1" applyFill="1" applyBorder="1" applyProtection="1">
      <protection locked="0"/>
    </xf>
    <xf numFmtId="1" fontId="32" fillId="5" borderId="738" xfId="0" applyNumberFormat="1" applyFont="1" applyFill="1" applyBorder="1" applyProtection="1">
      <protection locked="0"/>
    </xf>
    <xf numFmtId="1" fontId="32" fillId="5" borderId="431" xfId="0" applyNumberFormat="1" applyFont="1" applyFill="1" applyBorder="1" applyProtection="1">
      <protection locked="0"/>
    </xf>
    <xf numFmtId="1" fontId="32" fillId="0" borderId="917" xfId="0" applyNumberFormat="1" applyFont="1" applyBorder="1" applyAlignment="1">
      <alignment wrapText="1"/>
    </xf>
    <xf numFmtId="1" fontId="32" fillId="0" borderId="824" xfId="0" applyNumberFormat="1" applyFont="1" applyBorder="1" applyAlignment="1">
      <alignment horizontal="right" wrapText="1"/>
    </xf>
    <xf numFmtId="1" fontId="32" fillId="0" borderId="825" xfId="0" applyNumberFormat="1" applyFont="1" applyBorder="1" applyAlignment="1">
      <alignment horizontal="right"/>
    </xf>
    <xf numFmtId="1" fontId="32" fillId="0" borderId="919" xfId="0" applyNumberFormat="1" applyFont="1" applyBorder="1" applyAlignment="1">
      <alignment horizontal="right"/>
    </xf>
    <xf numFmtId="1" fontId="32" fillId="5" borderId="965" xfId="0" applyNumberFormat="1" applyFont="1" applyFill="1" applyBorder="1" applyProtection="1">
      <protection locked="0"/>
    </xf>
    <xf numFmtId="1" fontId="32" fillId="5" borderId="972" xfId="0" applyNumberFormat="1" applyFont="1" applyFill="1" applyBorder="1" applyProtection="1">
      <protection locked="0"/>
    </xf>
    <xf numFmtId="1" fontId="32" fillId="5" borderId="917" xfId="0" applyNumberFormat="1" applyFont="1" applyFill="1" applyBorder="1" applyProtection="1">
      <protection locked="0"/>
    </xf>
    <xf numFmtId="1" fontId="32" fillId="5" borderId="715" xfId="0" applyNumberFormat="1" applyFont="1" applyFill="1" applyBorder="1" applyProtection="1">
      <protection locked="0"/>
    </xf>
    <xf numFmtId="1" fontId="32" fillId="5" borderId="974" xfId="0" applyNumberFormat="1" applyFont="1" applyFill="1" applyBorder="1" applyProtection="1">
      <protection locked="0"/>
    </xf>
    <xf numFmtId="1" fontId="32" fillId="0" borderId="941" xfId="0" applyNumberFormat="1" applyFont="1" applyBorder="1"/>
    <xf numFmtId="1" fontId="32" fillId="0" borderId="908" xfId="0" applyNumberFormat="1" applyFont="1" applyBorder="1" applyAlignment="1">
      <alignment horizontal="right"/>
    </xf>
    <xf numFmtId="1" fontId="32" fillId="0" borderId="900" xfId="0" applyNumberFormat="1" applyFont="1" applyBorder="1" applyAlignment="1">
      <alignment horizontal="right"/>
    </xf>
    <xf numFmtId="1" fontId="32" fillId="0" borderId="741" xfId="0" applyNumberFormat="1" applyFont="1" applyBorder="1" applyAlignment="1">
      <alignment horizontal="right"/>
    </xf>
    <xf numFmtId="1" fontId="32" fillId="4" borderId="940" xfId="0" applyNumberFormat="1" applyFont="1" applyFill="1" applyBorder="1"/>
    <xf numFmtId="1" fontId="32" fillId="4" borderId="690" xfId="0" applyNumberFormat="1" applyFont="1" applyFill="1" applyBorder="1"/>
    <xf numFmtId="1" fontId="32" fillId="5" borderId="940" xfId="0" applyNumberFormat="1" applyFont="1" applyFill="1" applyBorder="1" applyProtection="1">
      <protection locked="0"/>
    </xf>
    <xf numFmtId="1" fontId="32" fillId="5" borderId="936" xfId="0" applyNumberFormat="1" applyFont="1" applyFill="1" applyBorder="1" applyProtection="1">
      <protection locked="0"/>
    </xf>
    <xf numFmtId="1" fontId="32" fillId="5" borderId="690" xfId="0" applyNumberFormat="1" applyFont="1" applyFill="1" applyBorder="1" applyProtection="1">
      <protection locked="0"/>
    </xf>
    <xf numFmtId="1" fontId="32" fillId="4" borderId="786" xfId="0" applyNumberFormat="1" applyFont="1" applyFill="1" applyBorder="1"/>
    <xf numFmtId="1" fontId="32" fillId="0" borderId="630" xfId="0" applyNumberFormat="1" applyFont="1" applyBorder="1" applyAlignment="1">
      <alignment horizontal="right"/>
    </xf>
    <xf numFmtId="1" fontId="32" fillId="0" borderId="631" xfId="0" applyNumberFormat="1" applyFont="1" applyBorder="1" applyAlignment="1">
      <alignment horizontal="right"/>
    </xf>
    <xf numFmtId="1" fontId="32" fillId="0" borderId="431" xfId="0" applyNumberFormat="1" applyFont="1" applyBorder="1" applyAlignment="1">
      <alignment horizontal="right"/>
    </xf>
    <xf numFmtId="1" fontId="32" fillId="5" borderId="879" xfId="0" applyNumberFormat="1" applyFont="1" applyFill="1" applyBorder="1" applyProtection="1">
      <protection locked="0"/>
    </xf>
    <xf numFmtId="1" fontId="32" fillId="5" borderId="629" xfId="0" applyNumberFormat="1" applyFont="1" applyFill="1" applyBorder="1" applyProtection="1">
      <protection locked="0"/>
    </xf>
    <xf numFmtId="1" fontId="32" fillId="5" borderId="768" xfId="0" applyNumberFormat="1" applyFont="1" applyFill="1" applyBorder="1" applyProtection="1">
      <protection locked="0"/>
    </xf>
    <xf numFmtId="1" fontId="32" fillId="0" borderId="824" xfId="0" applyNumberFormat="1" applyFont="1" applyBorder="1" applyAlignment="1">
      <alignment horizontal="right"/>
    </xf>
    <xf numFmtId="1" fontId="32" fillId="0" borderId="824" xfId="0" applyNumberFormat="1" applyFont="1" applyBorder="1" applyAlignment="1">
      <alignment horizontal="right" shrinkToFit="1"/>
    </xf>
    <xf numFmtId="1" fontId="32" fillId="0" borderId="825" xfId="0" applyNumberFormat="1" applyFont="1" applyBorder="1" applyAlignment="1">
      <alignment horizontal="right" shrinkToFit="1"/>
    </xf>
    <xf numFmtId="1" fontId="32" fillId="0" borderId="940" xfId="0" applyNumberFormat="1" applyFont="1" applyBorder="1" applyAlignment="1">
      <alignment horizontal="right"/>
    </xf>
    <xf numFmtId="1" fontId="32" fillId="0" borderId="921" xfId="0" applyNumberFormat="1" applyFont="1" applyBorder="1" applyAlignment="1">
      <alignment horizontal="right"/>
    </xf>
    <xf numFmtId="1" fontId="32" fillId="0" borderId="690" xfId="0" applyNumberFormat="1" applyFont="1" applyBorder="1" applyAlignment="1">
      <alignment horizontal="right"/>
    </xf>
    <xf numFmtId="1" fontId="32" fillId="5" borderId="939" xfId="0" applyNumberFormat="1" applyFont="1" applyFill="1" applyBorder="1" applyProtection="1">
      <protection locked="0"/>
    </xf>
    <xf numFmtId="1" fontId="32" fillId="5" borderId="945" xfId="0" applyNumberFormat="1" applyFont="1" applyFill="1" applyBorder="1" applyProtection="1">
      <protection locked="0"/>
    </xf>
    <xf numFmtId="1" fontId="32" fillId="5" borderId="975" xfId="0" applyNumberFormat="1" applyFont="1" applyFill="1" applyBorder="1" applyProtection="1">
      <protection locked="0"/>
    </xf>
    <xf numFmtId="1" fontId="32" fillId="5" borderId="922" xfId="0" applyNumberFormat="1" applyFont="1" applyFill="1" applyBorder="1" applyProtection="1">
      <protection locked="0"/>
    </xf>
    <xf numFmtId="1" fontId="32" fillId="0" borderId="908" xfId="0" applyNumberFormat="1" applyFont="1" applyBorder="1" applyAlignment="1">
      <alignment horizontal="right" wrapText="1"/>
    </xf>
    <xf numFmtId="1" fontId="32" fillId="0" borderId="900" xfId="0" applyNumberFormat="1" applyFont="1" applyBorder="1" applyAlignment="1">
      <alignment horizontal="right" wrapText="1"/>
    </xf>
    <xf numFmtId="1" fontId="32" fillId="0" borderId="908" xfId="0" applyNumberFormat="1" applyFont="1" applyBorder="1"/>
    <xf numFmtId="1" fontId="32" fillId="0" borderId="741" xfId="0" applyNumberFormat="1" applyFont="1" applyBorder="1"/>
    <xf numFmtId="1" fontId="32" fillId="0" borderId="925" xfId="0" applyNumberFormat="1" applyFont="1" applyBorder="1"/>
    <xf numFmtId="1" fontId="32" fillId="0" borderId="928" xfId="0" applyNumberFormat="1" applyFont="1" applyBorder="1"/>
    <xf numFmtId="1" fontId="32" fillId="0" borderId="966" xfId="0" applyNumberFormat="1" applyFont="1" applyBorder="1"/>
    <xf numFmtId="1" fontId="32" fillId="0" borderId="949" xfId="0" applyNumberFormat="1" applyFont="1" applyBorder="1"/>
    <xf numFmtId="166" fontId="66" fillId="14" borderId="741" xfId="34" applyNumberFormat="1" applyFont="1" applyFill="1" applyBorder="1" applyProtection="1"/>
    <xf numFmtId="0" fontId="66" fillId="14" borderId="0" xfId="33" applyFont="1" applyFill="1" applyBorder="1" applyAlignment="1" applyProtection="1">
      <alignment horizontal="left"/>
    </xf>
    <xf numFmtId="164" fontId="66" fillId="14" borderId="0" xfId="13" applyFont="1" applyFill="1" applyBorder="1" applyAlignment="1" applyProtection="1"/>
    <xf numFmtId="0" fontId="65" fillId="14" borderId="0" xfId="33" applyFont="1" applyFill="1" applyBorder="1" applyAlignment="1" applyProtection="1"/>
    <xf numFmtId="0" fontId="62" fillId="14" borderId="0" xfId="33" applyFont="1" applyFill="1" applyBorder="1" applyAlignment="1" applyProtection="1"/>
    <xf numFmtId="1" fontId="32" fillId="3" borderId="924" xfId="0" applyNumberFormat="1" applyFont="1" applyFill="1" applyBorder="1" applyAlignment="1">
      <alignment horizontal="center" vertical="center" wrapText="1"/>
    </xf>
    <xf numFmtId="1" fontId="32" fillId="3" borderId="929" xfId="0" applyNumberFormat="1" applyFont="1" applyFill="1" applyBorder="1" applyAlignment="1">
      <alignment horizontal="center" vertical="center" wrapText="1"/>
    </xf>
    <xf numFmtId="1" fontId="32" fillId="0" borderId="924" xfId="0" applyNumberFormat="1" applyFont="1" applyBorder="1" applyAlignment="1">
      <alignment horizontal="center" vertical="center" wrapText="1"/>
    </xf>
    <xf numFmtId="1" fontId="32" fillId="0" borderId="1550" xfId="0" applyNumberFormat="1" applyFont="1" applyBorder="1" applyAlignment="1">
      <alignment horizontal="center" vertical="center" wrapText="1"/>
    </xf>
    <xf numFmtId="1" fontId="32" fillId="0" borderId="1552" xfId="0" applyNumberFormat="1" applyFont="1" applyBorder="1" applyAlignment="1">
      <alignment horizontal="center" vertical="center" wrapText="1"/>
    </xf>
    <xf numFmtId="1" fontId="32" fillId="5" borderId="630" xfId="0" applyNumberFormat="1" applyFont="1" applyFill="1" applyBorder="1" applyProtection="1">
      <protection locked="0"/>
    </xf>
    <xf numFmtId="1" fontId="32" fillId="5" borderId="631" xfId="0" applyNumberFormat="1" applyFont="1" applyFill="1" applyBorder="1" applyProtection="1">
      <protection locked="0"/>
    </xf>
    <xf numFmtId="1" fontId="32" fillId="5" borderId="636" xfId="0" applyNumberFormat="1" applyFont="1" applyFill="1" applyBorder="1" applyProtection="1">
      <protection locked="0"/>
    </xf>
    <xf numFmtId="1" fontId="32" fillId="5" borderId="599" xfId="0" applyNumberFormat="1" applyFont="1" applyFill="1" applyBorder="1" applyProtection="1">
      <protection locked="0"/>
    </xf>
    <xf numFmtId="1" fontId="32" fillId="0" borderId="923" xfId="0" applyNumberFormat="1" applyFont="1" applyBorder="1" applyAlignment="1">
      <alignment vertical="center" wrapText="1"/>
    </xf>
    <xf numFmtId="1" fontId="32" fillId="0" borderId="924" xfId="0" applyNumberFormat="1" applyFont="1" applyBorder="1" applyAlignment="1">
      <alignment horizontal="center" wrapText="1"/>
    </xf>
    <xf numFmtId="1" fontId="32" fillId="0" borderId="929" xfId="0" applyNumberFormat="1" applyFont="1" applyBorder="1" applyAlignment="1">
      <alignment horizontal="right" wrapText="1"/>
    </xf>
    <xf numFmtId="1" fontId="32" fillId="0" borderId="924" xfId="0" applyNumberFormat="1" applyFont="1" applyBorder="1" applyAlignment="1">
      <alignment horizontal="right"/>
    </xf>
    <xf numFmtId="1" fontId="32" fillId="0" borderId="927" xfId="0" applyNumberFormat="1" applyFont="1" applyBorder="1" applyAlignment="1">
      <alignment horizontal="right"/>
    </xf>
    <xf numFmtId="1" fontId="32" fillId="0" borderId="949" xfId="0" applyNumberFormat="1" applyFont="1" applyBorder="1" applyAlignment="1">
      <alignment horizontal="right"/>
    </xf>
    <xf numFmtId="1" fontId="32" fillId="0" borderId="898" xfId="0" applyNumberFormat="1" applyFont="1" applyBorder="1" applyAlignment="1">
      <alignment horizontal="right"/>
    </xf>
    <xf numFmtId="1" fontId="32" fillId="3" borderId="991" xfId="0" applyNumberFormat="1" applyFont="1" applyFill="1" applyBorder="1" applyAlignment="1">
      <alignment horizontal="right"/>
    </xf>
    <xf numFmtId="1" fontId="32" fillId="3" borderId="929" xfId="0" applyNumberFormat="1" applyFont="1" applyFill="1" applyBorder="1" applyAlignment="1">
      <alignment horizontal="right"/>
    </xf>
    <xf numFmtId="0" fontId="62" fillId="14" borderId="1542" xfId="33" applyFont="1" applyFill="1" applyBorder="1" applyAlignment="1" applyProtection="1"/>
    <xf numFmtId="164" fontId="66" fillId="14" borderId="1542" xfId="13" applyFont="1" applyFill="1" applyBorder="1" applyAlignment="1" applyProtection="1"/>
    <xf numFmtId="0" fontId="65" fillId="14" borderId="1542" xfId="33" applyFont="1" applyFill="1" applyBorder="1" applyAlignment="1" applyProtection="1"/>
    <xf numFmtId="0" fontId="66" fillId="14" borderId="1542" xfId="33" applyFont="1" applyFill="1" applyBorder="1" applyAlignment="1" applyProtection="1"/>
    <xf numFmtId="1" fontId="32" fillId="3" borderId="1544" xfId="0" applyNumberFormat="1" applyFont="1" applyFill="1" applyBorder="1" applyAlignment="1">
      <alignment horizontal="center" vertical="center" wrapText="1"/>
    </xf>
    <xf numFmtId="1" fontId="32" fillId="0" borderId="1502" xfId="0" applyNumberFormat="1" applyFont="1" applyBorder="1" applyAlignment="1">
      <alignment horizontal="center" vertical="center" wrapText="1"/>
    </xf>
    <xf numFmtId="166" fontId="32" fillId="14" borderId="1294" xfId="32" applyNumberFormat="1" applyFont="1" applyFill="1" applyBorder="1" applyAlignment="1" applyProtection="1">
      <alignment horizontal="center"/>
    </xf>
    <xf numFmtId="1" fontId="32" fillId="5" borderId="1294" xfId="0" applyNumberFormat="1" applyFont="1" applyFill="1" applyBorder="1" applyProtection="1">
      <protection locked="0"/>
    </xf>
    <xf numFmtId="1" fontId="32" fillId="5" borderId="1445" xfId="0" applyNumberFormat="1" applyFont="1" applyFill="1" applyBorder="1" applyProtection="1">
      <protection locked="0"/>
    </xf>
    <xf numFmtId="1" fontId="32" fillId="5" borderId="1086" xfId="0" applyNumberFormat="1" applyFont="1" applyFill="1" applyBorder="1" applyProtection="1">
      <protection locked="0"/>
    </xf>
    <xf numFmtId="166" fontId="32" fillId="14" borderId="634" xfId="32" applyNumberFormat="1" applyFont="1" applyFill="1" applyBorder="1" applyAlignment="1" applyProtection="1">
      <alignment horizontal="center"/>
    </xf>
    <xf numFmtId="1" fontId="32" fillId="5" borderId="823" xfId="0" applyNumberFormat="1" applyFont="1" applyFill="1" applyBorder="1" applyProtection="1">
      <protection locked="0"/>
    </xf>
    <xf numFmtId="1" fontId="32" fillId="0" borderId="924" xfId="0" applyNumberFormat="1" applyFont="1" applyBorder="1" applyAlignment="1">
      <alignment horizontal="right" wrapText="1"/>
    </xf>
    <xf numFmtId="1" fontId="32" fillId="0" borderId="929" xfId="0" applyNumberFormat="1" applyFont="1" applyBorder="1" applyAlignment="1">
      <alignment horizontal="right"/>
    </xf>
    <xf numFmtId="1" fontId="32" fillId="0" borderId="991" xfId="0" applyNumberFormat="1" applyFont="1" applyBorder="1" applyAlignment="1">
      <alignment horizontal="right"/>
    </xf>
    <xf numFmtId="1" fontId="32" fillId="3" borderId="1565" xfId="0" applyNumberFormat="1" applyFont="1" applyFill="1" applyBorder="1" applyAlignment="1">
      <alignment horizontal="right"/>
    </xf>
    <xf numFmtId="1" fontId="32" fillId="3" borderId="1543" xfId="0" applyNumberFormat="1" applyFont="1" applyFill="1" applyBorder="1" applyAlignment="1">
      <alignment horizontal="right"/>
    </xf>
    <xf numFmtId="0" fontId="62" fillId="14" borderId="0" xfId="0" applyFont="1" applyFill="1"/>
    <xf numFmtId="164" fontId="62" fillId="14" borderId="1573" xfId="32" applyNumberFormat="1" applyFont="1" applyFill="1" applyBorder="1" applyAlignment="1" applyProtection="1">
      <alignment horizontal="left"/>
    </xf>
    <xf numFmtId="0" fontId="66" fillId="14" borderId="175" xfId="0" applyFont="1" applyFill="1" applyBorder="1"/>
    <xf numFmtId="164" fontId="32" fillId="14" borderId="1550" xfId="32" applyNumberFormat="1" applyFont="1" applyFill="1" applyBorder="1" applyAlignment="1" applyProtection="1">
      <alignment horizontal="center" vertical="center" wrapText="1"/>
    </xf>
    <xf numFmtId="164" fontId="32" fillId="14" borderId="1547" xfId="32" applyNumberFormat="1" applyFont="1" applyFill="1" applyBorder="1" applyAlignment="1" applyProtection="1">
      <alignment horizontal="center" vertical="center"/>
    </xf>
    <xf numFmtId="1" fontId="32" fillId="0" borderId="951" xfId="0" applyNumberFormat="1" applyFont="1" applyBorder="1" applyAlignment="1">
      <alignment vertical="center" wrapText="1"/>
    </xf>
    <xf numFmtId="1" fontId="32" fillId="3" borderId="938" xfId="0" applyNumberFormat="1" applyFont="1" applyFill="1" applyBorder="1" applyAlignment="1">
      <alignment horizontal="center" vertical="center"/>
    </xf>
    <xf numFmtId="1" fontId="32" fillId="15" borderId="824" xfId="0" applyNumberFormat="1" applyFont="1" applyFill="1" applyBorder="1" applyProtection="1">
      <protection locked="0"/>
    </xf>
    <xf numFmtId="1" fontId="32" fillId="15" borderId="825" xfId="0" applyNumberFormat="1" applyFont="1" applyFill="1" applyBorder="1" applyProtection="1">
      <protection locked="0"/>
    </xf>
    <xf numFmtId="1" fontId="32" fillId="15" borderId="919" xfId="0" applyNumberFormat="1" applyFont="1" applyFill="1" applyBorder="1" applyProtection="1">
      <protection locked="0"/>
    </xf>
    <xf numFmtId="1" fontId="32" fillId="15" borderId="1097" xfId="0" applyNumberFormat="1" applyFont="1" applyFill="1" applyBorder="1" applyProtection="1">
      <protection locked="0"/>
    </xf>
    <xf numFmtId="1" fontId="32" fillId="15" borderId="1035" xfId="0" applyNumberFormat="1" applyFont="1" applyFill="1" applyBorder="1" applyProtection="1">
      <protection locked="0"/>
    </xf>
    <xf numFmtId="1" fontId="32" fillId="15" borderId="2147" xfId="0" applyNumberFormat="1" applyFont="1" applyFill="1" applyBorder="1" applyProtection="1">
      <protection locked="0"/>
    </xf>
    <xf numFmtId="1" fontId="32" fillId="0" borderId="952" xfId="0" applyNumberFormat="1" applyFont="1" applyBorder="1" applyAlignment="1">
      <alignment vertical="center" wrapText="1"/>
    </xf>
    <xf numFmtId="1" fontId="32" fillId="3" borderId="823" xfId="0" applyNumberFormat="1" applyFont="1" applyFill="1" applyBorder="1" applyAlignment="1">
      <alignment horizontal="center" vertical="center"/>
    </xf>
    <xf numFmtId="1" fontId="32" fillId="15" borderId="995" xfId="0" applyNumberFormat="1" applyFont="1" applyFill="1" applyBorder="1" applyProtection="1">
      <protection locked="0"/>
    </xf>
    <xf numFmtId="1" fontId="32" fillId="15" borderId="989" xfId="0" applyNumberFormat="1" applyFont="1" applyFill="1" applyBorder="1" applyProtection="1">
      <protection locked="0"/>
    </xf>
    <xf numFmtId="1" fontId="32" fillId="0" borderId="985" xfId="0" applyNumberFormat="1" applyFont="1" applyBorder="1" applyAlignment="1">
      <alignment vertical="center" wrapText="1"/>
    </xf>
    <xf numFmtId="1" fontId="32" fillId="3" borderId="896" xfId="0" applyNumberFormat="1" applyFont="1" applyFill="1" applyBorder="1" applyAlignment="1">
      <alignment horizontal="center" vertical="center"/>
    </xf>
    <xf numFmtId="1" fontId="32" fillId="15" borderId="908" xfId="0" applyNumberFormat="1" applyFont="1" applyFill="1" applyBorder="1" applyProtection="1">
      <protection locked="0"/>
    </xf>
    <xf numFmtId="1" fontId="32" fillId="15" borderId="900" xfId="0" applyNumberFormat="1" applyFont="1" applyFill="1" applyBorder="1" applyProtection="1">
      <protection locked="0"/>
    </xf>
    <xf numFmtId="1" fontId="32" fillId="15" borderId="741" xfId="0" applyNumberFormat="1" applyFont="1" applyFill="1" applyBorder="1" applyProtection="1">
      <protection locked="0"/>
    </xf>
    <xf numFmtId="1" fontId="32" fillId="15" borderId="902" xfId="0" applyNumberFormat="1" applyFont="1" applyFill="1" applyBorder="1" applyProtection="1">
      <protection locked="0"/>
    </xf>
    <xf numFmtId="1" fontId="32" fillId="15" borderId="1843" xfId="0" applyNumberFormat="1" applyFont="1" applyFill="1" applyBorder="1" applyProtection="1">
      <protection locked="0"/>
    </xf>
    <xf numFmtId="1" fontId="32" fillId="0" borderId="926" xfId="0" applyNumberFormat="1" applyFont="1" applyBorder="1" applyAlignment="1">
      <alignment horizontal="center" vertical="center" wrapText="1"/>
    </xf>
    <xf numFmtId="1" fontId="32" fillId="0" borderId="914" xfId="0" applyNumberFormat="1" applyFont="1" applyBorder="1" applyAlignment="1">
      <alignment vertical="center" wrapText="1"/>
    </xf>
    <xf numFmtId="1" fontId="32" fillId="3" borderId="911" xfId="35" applyNumberFormat="1" applyFont="1" applyFill="1" applyBorder="1" applyAlignment="1">
      <alignment horizontal="right"/>
    </xf>
    <xf numFmtId="1" fontId="32" fillId="3" borderId="800" xfId="35" applyNumberFormat="1" applyFont="1" applyFill="1" applyBorder="1" applyAlignment="1">
      <alignment horizontal="right"/>
    </xf>
    <xf numFmtId="1" fontId="32" fillId="3" borderId="916" xfId="35" applyNumberFormat="1" applyFont="1" applyFill="1" applyBorder="1" applyAlignment="1">
      <alignment horizontal="right"/>
    </xf>
    <xf numFmtId="1" fontId="32" fillId="15" borderId="911" xfId="0" applyNumberFormat="1" applyFont="1" applyFill="1" applyBorder="1" applyProtection="1">
      <protection locked="0"/>
    </xf>
    <xf numFmtId="1" fontId="32" fillId="15" borderId="916" xfId="0" applyNumberFormat="1" applyFont="1" applyFill="1" applyBorder="1" applyProtection="1">
      <protection locked="0"/>
    </xf>
    <xf numFmtId="1" fontId="32" fillId="15" borderId="915" xfId="0" applyNumberFormat="1" applyFont="1" applyFill="1" applyBorder="1" applyProtection="1">
      <protection locked="0"/>
    </xf>
    <xf numFmtId="1" fontId="32" fillId="15" borderId="800" xfId="0" applyNumberFormat="1" applyFont="1" applyFill="1" applyBorder="1" applyProtection="1">
      <protection locked="0"/>
    </xf>
    <xf numFmtId="1" fontId="32" fillId="15" borderId="832" xfId="0" applyNumberFormat="1" applyFont="1" applyFill="1" applyBorder="1" applyProtection="1">
      <protection locked="0"/>
    </xf>
    <xf numFmtId="1" fontId="32" fillId="0" borderId="917" xfId="0" applyNumberFormat="1" applyFont="1" applyBorder="1" applyAlignment="1">
      <alignment vertical="center" wrapText="1"/>
    </xf>
    <xf numFmtId="1" fontId="32" fillId="3" borderId="824" xfId="35" applyNumberFormat="1" applyFont="1" applyFill="1" applyBorder="1" applyAlignment="1">
      <alignment horizontal="right"/>
    </xf>
    <xf numFmtId="1" fontId="32" fillId="3" borderId="825" xfId="35" applyNumberFormat="1" applyFont="1" applyFill="1" applyBorder="1" applyAlignment="1">
      <alignment horizontal="right"/>
    </xf>
    <xf numFmtId="1" fontId="32" fillId="3" borderId="919" xfId="35" applyNumberFormat="1" applyFont="1" applyFill="1" applyBorder="1" applyAlignment="1">
      <alignment horizontal="right"/>
    </xf>
    <xf numFmtId="1" fontId="32" fillId="15" borderId="918" xfId="0" applyNumberFormat="1" applyFont="1" applyFill="1" applyBorder="1" applyProtection="1">
      <protection locked="0"/>
    </xf>
    <xf numFmtId="1" fontId="32" fillId="15" borderId="827" xfId="0" applyNumberFormat="1" applyFont="1" applyFill="1" applyBorder="1" applyProtection="1">
      <protection locked="0"/>
    </xf>
    <xf numFmtId="1" fontId="32" fillId="0" borderId="1287" xfId="0" applyNumberFormat="1" applyFont="1" applyBorder="1" applyAlignment="1">
      <alignment vertical="center" wrapText="1"/>
    </xf>
    <xf numFmtId="1" fontId="32" fillId="3" borderId="1284" xfId="35" applyNumberFormat="1" applyFont="1" applyFill="1" applyBorder="1" applyAlignment="1">
      <alignment horizontal="right"/>
    </xf>
    <xf numFmtId="1" fontId="32" fillId="3" borderId="1285" xfId="35" applyNumberFormat="1" applyFont="1" applyFill="1" applyBorder="1" applyAlignment="1">
      <alignment horizontal="right"/>
    </xf>
    <xf numFmtId="1" fontId="32" fillId="3" borderId="1117" xfId="35" applyNumberFormat="1" applyFont="1" applyFill="1" applyBorder="1" applyAlignment="1">
      <alignment horizontal="right"/>
    </xf>
    <xf numFmtId="1" fontId="32" fillId="15" borderId="1284" xfId="0" applyNumberFormat="1" applyFont="1" applyFill="1" applyBorder="1" applyProtection="1">
      <protection locked="0"/>
    </xf>
    <xf numFmtId="1" fontId="32" fillId="15" borderId="1117" xfId="0" applyNumberFormat="1" applyFont="1" applyFill="1" applyBorder="1" applyProtection="1">
      <protection locked="0"/>
    </xf>
    <xf numFmtId="1" fontId="32" fillId="15" borderId="1116" xfId="0" applyNumberFormat="1" applyFont="1" applyFill="1" applyBorder="1" applyProtection="1">
      <protection locked="0"/>
    </xf>
    <xf numFmtId="1" fontId="32" fillId="15" borderId="1285" xfId="0" applyNumberFormat="1" applyFont="1" applyFill="1" applyBorder="1" applyProtection="1">
      <protection locked="0"/>
    </xf>
    <xf numFmtId="1" fontId="32" fillId="15" borderId="1130" xfId="0" applyNumberFormat="1" applyFont="1" applyFill="1" applyBorder="1" applyProtection="1">
      <protection locked="0"/>
    </xf>
    <xf numFmtId="1" fontId="32" fillId="0" borderId="112" xfId="0" applyNumberFormat="1" applyFont="1" applyBorder="1"/>
    <xf numFmtId="1" fontId="32" fillId="3" borderId="105" xfId="35" applyNumberFormat="1" applyFont="1" applyFill="1" applyBorder="1" applyAlignment="1">
      <alignment horizontal="right"/>
    </xf>
    <xf numFmtId="1" fontId="32" fillId="3" borderId="272" xfId="35" applyNumberFormat="1" applyFont="1" applyFill="1" applyBorder="1" applyAlignment="1">
      <alignment horizontal="right"/>
    </xf>
    <xf numFmtId="1" fontId="32" fillId="3" borderId="268" xfId="35" applyNumberFormat="1" applyFont="1" applyFill="1" applyBorder="1" applyAlignment="1">
      <alignment horizontal="right"/>
    </xf>
    <xf numFmtId="1" fontId="32" fillId="0" borderId="105" xfId="0" applyNumberFormat="1" applyFont="1" applyBorder="1" applyAlignment="1">
      <alignment horizontal="center" vertical="center" wrapText="1"/>
    </xf>
    <xf numFmtId="1" fontId="32" fillId="0" borderId="268" xfId="0" applyNumberFormat="1" applyFont="1" applyBorder="1" applyAlignment="1">
      <alignment horizontal="center" vertical="center" wrapText="1"/>
    </xf>
    <xf numFmtId="1" fontId="32" fillId="0" borderId="271" xfId="0" applyNumberFormat="1" applyFont="1" applyBorder="1" applyAlignment="1">
      <alignment horizontal="center" vertical="center" wrapText="1"/>
    </xf>
    <xf numFmtId="1" fontId="32" fillId="0" borderId="272" xfId="0" applyNumberFormat="1" applyFont="1" applyBorder="1" applyAlignment="1">
      <alignment horizontal="center" vertical="center" wrapText="1"/>
    </xf>
    <xf numFmtId="1" fontId="32" fillId="0" borderId="306" xfId="0" applyNumberFormat="1" applyFont="1" applyBorder="1" applyAlignment="1">
      <alignment horizontal="center" vertical="center" wrapText="1"/>
    </xf>
    <xf numFmtId="1" fontId="32" fillId="0" borderId="270" xfId="0" applyNumberFormat="1" applyFont="1" applyBorder="1" applyAlignment="1">
      <alignment horizontal="center" vertical="center" wrapText="1"/>
    </xf>
    <xf numFmtId="1" fontId="32" fillId="3" borderId="630" xfId="35" applyNumberFormat="1" applyFont="1" applyFill="1" applyBorder="1" applyAlignment="1">
      <alignment horizontal="right"/>
    </xf>
    <xf numFmtId="1" fontId="32" fillId="3" borderId="631" xfId="35" applyNumberFormat="1" applyFont="1" applyFill="1" applyBorder="1" applyAlignment="1">
      <alignment horizontal="right"/>
    </xf>
    <xf numFmtId="1" fontId="32" fillId="3" borderId="431" xfId="35" applyNumberFormat="1" applyFont="1" applyFill="1" applyBorder="1" applyAlignment="1">
      <alignment horizontal="right"/>
    </xf>
    <xf numFmtId="1" fontId="32" fillId="15" borderId="630" xfId="0" applyNumberFormat="1" applyFont="1" applyFill="1" applyBorder="1" applyProtection="1">
      <protection locked="0"/>
    </xf>
    <xf numFmtId="1" fontId="32" fillId="15" borderId="431" xfId="0" applyNumberFormat="1" applyFont="1" applyFill="1" applyBorder="1" applyProtection="1">
      <protection locked="0"/>
    </xf>
    <xf numFmtId="1" fontId="32" fillId="15" borderId="633" xfId="0" applyNumberFormat="1" applyFont="1" applyFill="1" applyBorder="1" applyProtection="1">
      <protection locked="0"/>
    </xf>
    <xf numFmtId="1" fontId="32" fillId="15" borderId="631" xfId="0" applyNumberFormat="1" applyFont="1" applyFill="1" applyBorder="1" applyProtection="1">
      <protection locked="0"/>
    </xf>
    <xf numFmtId="1" fontId="32" fillId="15" borderId="632" xfId="0" applyNumberFormat="1" applyFont="1" applyFill="1" applyBorder="1" applyProtection="1">
      <protection locked="0"/>
    </xf>
    <xf numFmtId="1" fontId="32" fillId="0" borderId="1102" xfId="0" applyNumberFormat="1" applyFont="1" applyBorder="1" applyAlignment="1">
      <alignment vertical="center" wrapText="1"/>
    </xf>
    <xf numFmtId="1" fontId="32" fillId="0" borderId="1436" xfId="0" applyNumberFormat="1" applyFont="1" applyBorder="1"/>
    <xf numFmtId="1" fontId="32" fillId="3" borderId="1437" xfId="35" applyNumberFormat="1" applyFont="1" applyFill="1" applyBorder="1" applyAlignment="1">
      <alignment horizontal="right"/>
    </xf>
    <xf numFmtId="1" fontId="32" fillId="3" borderId="900" xfId="35" applyNumberFormat="1" applyFont="1" applyFill="1" applyBorder="1" applyAlignment="1">
      <alignment horizontal="right"/>
    </xf>
    <xf numFmtId="1" fontId="32" fillId="3" borderId="1430" xfId="35" applyNumberFormat="1" applyFont="1" applyFill="1" applyBorder="1" applyAlignment="1">
      <alignment horizontal="right"/>
    </xf>
    <xf numFmtId="1" fontId="32" fillId="0" borderId="1437" xfId="0" applyNumberFormat="1" applyFont="1" applyBorder="1" applyAlignment="1">
      <alignment horizontal="center" vertical="center" wrapText="1"/>
    </xf>
    <xf numFmtId="1" fontId="32" fillId="0" borderId="1430" xfId="0" applyNumberFormat="1" applyFont="1" applyBorder="1" applyAlignment="1">
      <alignment horizontal="center" vertical="center" wrapText="1"/>
    </xf>
    <xf numFmtId="1" fontId="32" fillId="0" borderId="1438" xfId="0" applyNumberFormat="1" applyFont="1" applyBorder="1" applyAlignment="1">
      <alignment horizontal="center" vertical="center" wrapText="1"/>
    </xf>
    <xf numFmtId="1" fontId="32" fillId="0" borderId="900" xfId="0" applyNumberFormat="1" applyFont="1" applyBorder="1" applyAlignment="1">
      <alignment horizontal="center" vertical="center" wrapText="1"/>
    </xf>
    <xf numFmtId="1" fontId="32" fillId="0" borderId="1022" xfId="0" applyNumberFormat="1" applyFont="1" applyBorder="1" applyAlignment="1">
      <alignment horizontal="center" vertical="center" wrapText="1"/>
    </xf>
    <xf numFmtId="1" fontId="32" fillId="0" borderId="1367" xfId="0" applyNumberFormat="1" applyFont="1" applyBorder="1" applyAlignment="1">
      <alignment horizontal="center" vertical="center" wrapText="1"/>
    </xf>
    <xf numFmtId="1" fontId="63" fillId="3" borderId="740" xfId="0" applyNumberFormat="1" applyFont="1" applyFill="1" applyBorder="1"/>
    <xf numFmtId="1" fontId="32" fillId="0" borderId="0" xfId="0" applyNumberFormat="1" applyFont="1" applyAlignment="1">
      <alignment vertical="center" wrapText="1"/>
    </xf>
    <xf numFmtId="1" fontId="32" fillId="0" borderId="517" xfId="0" applyNumberFormat="1" applyFont="1" applyBorder="1" applyAlignment="1">
      <alignment vertical="center" wrapText="1"/>
    </xf>
    <xf numFmtId="1" fontId="32" fillId="0" borderId="961" xfId="0" applyNumberFormat="1" applyFont="1" applyBorder="1" applyAlignment="1">
      <alignment horizontal="center" vertical="center" wrapText="1"/>
    </xf>
    <xf numFmtId="1" fontId="32" fillId="0" borderId="967" xfId="0" applyNumberFormat="1" applyFont="1" applyBorder="1" applyAlignment="1">
      <alignment horizontal="center" vertical="center" wrapText="1"/>
    </xf>
    <xf numFmtId="1" fontId="32" fillId="3" borderId="953" xfId="35" applyNumberFormat="1" applyFont="1" applyFill="1" applyBorder="1" applyAlignment="1">
      <alignment horizontal="right"/>
    </xf>
    <xf numFmtId="1" fontId="32" fillId="5" borderId="982" xfId="0" applyNumberFormat="1" applyFont="1" applyFill="1" applyBorder="1" applyProtection="1">
      <protection locked="0"/>
    </xf>
    <xf numFmtId="1" fontId="32" fillId="5" borderId="984" xfId="0" applyNumberFormat="1" applyFont="1" applyFill="1" applyBorder="1" applyProtection="1">
      <protection locked="0"/>
    </xf>
    <xf numFmtId="1" fontId="32" fillId="5" borderId="870" xfId="0" applyNumberFormat="1" applyFont="1" applyFill="1" applyBorder="1" applyProtection="1">
      <protection locked="0"/>
    </xf>
    <xf numFmtId="1" fontId="32" fillId="0" borderId="823" xfId="0" applyNumberFormat="1" applyFont="1" applyBorder="1" applyAlignment="1">
      <alignment horizontal="left"/>
    </xf>
    <xf numFmtId="1" fontId="32" fillId="3" borderId="954" xfId="35" applyNumberFormat="1" applyFont="1" applyFill="1" applyBorder="1" applyAlignment="1">
      <alignment horizontal="right"/>
    </xf>
    <xf numFmtId="1" fontId="32" fillId="5" borderId="995" xfId="0" applyNumberFormat="1" applyFont="1" applyFill="1" applyBorder="1" applyProtection="1">
      <protection locked="0"/>
    </xf>
    <xf numFmtId="1" fontId="32" fillId="5" borderId="981" xfId="0" applyNumberFormat="1" applyFont="1" applyFill="1" applyBorder="1" applyProtection="1">
      <protection locked="0"/>
    </xf>
    <xf numFmtId="1" fontId="32" fillId="5" borderId="973" xfId="0" applyNumberFormat="1" applyFont="1" applyFill="1" applyBorder="1" applyProtection="1">
      <protection locked="0"/>
    </xf>
    <xf numFmtId="1" fontId="32" fillId="0" borderId="823" xfId="0" applyNumberFormat="1" applyFont="1" applyBorder="1"/>
    <xf numFmtId="1" fontId="32" fillId="3" borderId="955" xfId="35" applyNumberFormat="1" applyFont="1" applyFill="1" applyBorder="1" applyAlignment="1">
      <alignment horizontal="right"/>
    </xf>
    <xf numFmtId="1" fontId="32" fillId="3" borderId="921" xfId="35" applyNumberFormat="1" applyFont="1" applyFill="1" applyBorder="1" applyAlignment="1">
      <alignment horizontal="right"/>
    </xf>
    <xf numFmtId="1" fontId="32" fillId="3" borderId="690" xfId="35" applyNumberFormat="1" applyFont="1" applyFill="1" applyBorder="1" applyAlignment="1">
      <alignment horizontal="right"/>
    </xf>
    <xf numFmtId="1" fontId="32" fillId="5" borderId="985" xfId="0" applyNumberFormat="1" applyFont="1" applyFill="1" applyBorder="1" applyProtection="1">
      <protection locked="0"/>
    </xf>
    <xf numFmtId="1" fontId="32" fillId="0" borderId="905" xfId="1" applyNumberFormat="1" applyFont="1" applyBorder="1" applyAlignment="1">
      <alignment horizontal="right"/>
    </xf>
    <xf numFmtId="1" fontId="32" fillId="0" borderId="517" xfId="0" applyNumberFormat="1" applyFont="1" applyBorder="1" applyAlignment="1">
      <alignment horizontal="center" vertical="center" wrapText="1"/>
    </xf>
    <xf numFmtId="1" fontId="32" fillId="0" borderId="924" xfId="0" applyNumberFormat="1" applyFont="1" applyBorder="1" applyAlignment="1">
      <alignment horizontal="center" vertical="center"/>
    </xf>
    <xf numFmtId="1" fontId="32" fillId="0" borderId="957" xfId="0" applyNumberFormat="1" applyFont="1" applyBorder="1" applyAlignment="1">
      <alignment horizontal="center" vertical="center" wrapText="1"/>
    </xf>
    <xf numFmtId="1" fontId="32" fillId="0" borderId="958" xfId="0" applyNumberFormat="1" applyFont="1" applyBorder="1" applyAlignment="1">
      <alignment horizontal="center" vertical="center" wrapText="1"/>
    </xf>
    <xf numFmtId="1" fontId="32" fillId="0" borderId="634" xfId="0" applyNumberFormat="1" applyFont="1" applyBorder="1" applyAlignment="1">
      <alignment horizontal="left" vertical="center" wrapText="1"/>
    </xf>
    <xf numFmtId="1" fontId="32" fillId="3" borderId="938" xfId="35" applyNumberFormat="1" applyFont="1" applyFill="1" applyBorder="1" applyAlignment="1">
      <alignment horizontal="right"/>
    </xf>
    <xf numFmtId="1" fontId="32" fillId="5" borderId="847" xfId="0" applyNumberFormat="1" applyFont="1" applyFill="1" applyBorder="1" applyProtection="1">
      <protection locked="0"/>
    </xf>
    <xf numFmtId="1" fontId="32" fillId="5" borderId="938" xfId="0" applyNumberFormat="1" applyFont="1" applyFill="1" applyBorder="1" applyProtection="1">
      <protection locked="0"/>
    </xf>
    <xf numFmtId="1" fontId="32" fillId="3" borderId="634" xfId="35" applyNumberFormat="1" applyFont="1" applyFill="1" applyBorder="1" applyAlignment="1">
      <alignment horizontal="right"/>
    </xf>
    <xf numFmtId="1" fontId="32" fillId="5" borderId="830" xfId="0" applyNumberFormat="1" applyFont="1" applyFill="1" applyBorder="1" applyProtection="1">
      <protection locked="0"/>
    </xf>
    <xf numFmtId="1" fontId="32" fillId="5" borderId="632" xfId="0" applyNumberFormat="1" applyFont="1" applyFill="1" applyBorder="1" applyProtection="1">
      <protection locked="0"/>
    </xf>
    <xf numFmtId="1" fontId="32" fillId="5" borderId="73" xfId="0" applyNumberFormat="1" applyFont="1" applyFill="1" applyBorder="1" applyProtection="1">
      <protection locked="0"/>
    </xf>
    <xf numFmtId="1" fontId="32" fillId="5" borderId="634" xfId="0" applyNumberFormat="1" applyFont="1" applyFill="1" applyBorder="1" applyProtection="1">
      <protection locked="0"/>
    </xf>
    <xf numFmtId="1" fontId="32" fillId="29" borderId="941" xfId="35" applyNumberFormat="1" applyFont="1" applyFill="1" applyBorder="1" applyAlignment="1">
      <alignment horizontal="right"/>
    </xf>
    <xf numFmtId="1" fontId="32" fillId="29" borderId="908" xfId="0" applyNumberFormat="1" applyFont="1" applyFill="1" applyBorder="1"/>
    <xf numFmtId="1" fontId="32" fillId="29" borderId="910" xfId="0" applyNumberFormat="1" applyFont="1" applyFill="1" applyBorder="1"/>
    <xf numFmtId="1" fontId="32" fillId="29" borderId="959" xfId="0" applyNumberFormat="1" applyFont="1" applyFill="1" applyBorder="1"/>
    <xf numFmtId="1" fontId="32" fillId="5" borderId="896" xfId="0" applyNumberFormat="1" applyFont="1" applyFill="1" applyBorder="1" applyProtection="1">
      <protection locked="0"/>
    </xf>
    <xf numFmtId="1" fontId="32" fillId="29" borderId="896" xfId="0" applyNumberFormat="1" applyFont="1" applyFill="1" applyBorder="1"/>
    <xf numFmtId="0" fontId="62" fillId="14" borderId="1542" xfId="0" applyFont="1" applyFill="1" applyBorder="1"/>
    <xf numFmtId="0" fontId="66" fillId="14" borderId="958" xfId="0" applyFont="1" applyFill="1" applyBorder="1"/>
    <xf numFmtId="0" fontId="32" fillId="0" borderId="924" xfId="0" applyFont="1" applyBorder="1" applyAlignment="1">
      <alignment horizontal="center" vertical="center" wrapText="1"/>
    </xf>
    <xf numFmtId="0" fontId="32" fillId="0" borderId="1008" xfId="0" applyFont="1" applyBorder="1" applyAlignment="1">
      <alignment horizontal="center" vertical="center" wrapText="1"/>
    </xf>
    <xf numFmtId="1" fontId="32" fillId="5" borderId="1028" xfId="0" applyNumberFormat="1" applyFont="1" applyFill="1" applyBorder="1" applyProtection="1">
      <protection locked="0"/>
    </xf>
    <xf numFmtId="0" fontId="32" fillId="29" borderId="1010" xfId="0" applyFont="1" applyFill="1" applyBorder="1"/>
    <xf numFmtId="1" fontId="32" fillId="5" borderId="1027" xfId="0" applyNumberFormat="1" applyFont="1" applyFill="1" applyBorder="1" applyProtection="1">
      <protection locked="0"/>
    </xf>
    <xf numFmtId="0" fontId="32" fillId="0" borderId="823" xfId="0" applyFont="1" applyBorder="1"/>
    <xf numFmtId="0" fontId="32" fillId="29" borderId="1027" xfId="0" applyFont="1" applyFill="1" applyBorder="1"/>
    <xf numFmtId="1" fontId="32" fillId="0" borderId="941" xfId="0" applyNumberFormat="1" applyFont="1" applyBorder="1" applyAlignment="1">
      <alignment horizontal="left" vertical="center" wrapText="1"/>
    </xf>
    <xf numFmtId="0" fontId="32" fillId="0" borderId="896" xfId="0" applyFont="1" applyBorder="1"/>
    <xf numFmtId="1" fontId="32" fillId="0" borderId="896" xfId="0" applyNumberFormat="1" applyFont="1" applyBorder="1"/>
    <xf numFmtId="1" fontId="32" fillId="5" borderId="1026" xfId="0" applyNumberFormat="1" applyFont="1" applyFill="1" applyBorder="1" applyProtection="1">
      <protection locked="0"/>
    </xf>
    <xf numFmtId="0" fontId="32" fillId="29" borderId="1024" xfId="0" applyFont="1" applyFill="1" applyBorder="1"/>
    <xf numFmtId="1" fontId="32" fillId="5" borderId="1029" xfId="0" applyNumberFormat="1" applyFont="1" applyFill="1" applyBorder="1" applyProtection="1">
      <protection locked="0"/>
    </xf>
    <xf numFmtId="0" fontId="69" fillId="14" borderId="0" xfId="0" applyFont="1" applyFill="1"/>
    <xf numFmtId="0" fontId="70" fillId="0" borderId="1542" xfId="0" applyFont="1" applyBorder="1" applyAlignment="1">
      <alignment horizontal="center" vertical="center" wrapText="1"/>
    </xf>
    <xf numFmtId="0" fontId="69" fillId="0" borderId="0" xfId="0" applyFont="1"/>
    <xf numFmtId="0" fontId="55" fillId="0" borderId="0" xfId="0" applyFont="1"/>
    <xf numFmtId="0" fontId="71" fillId="14" borderId="0" xfId="0" applyFont="1" applyFill="1"/>
    <xf numFmtId="1" fontId="32" fillId="14" borderId="923" xfId="0" applyNumberFormat="1" applyFont="1" applyFill="1" applyBorder="1" applyAlignment="1">
      <alignment horizontal="center" vertical="center" wrapText="1"/>
    </xf>
    <xf numFmtId="1" fontId="32" fillId="14" borderId="942" xfId="0" applyNumberFormat="1" applyFont="1" applyFill="1" applyBorder="1" applyAlignment="1">
      <alignment horizontal="center" vertical="top" wrapText="1"/>
    </xf>
    <xf numFmtId="0" fontId="32" fillId="14" borderId="943" xfId="0" applyFont="1" applyFill="1" applyBorder="1" applyAlignment="1">
      <alignment horizontal="center" vertical="center" wrapText="1"/>
    </xf>
    <xf numFmtId="1" fontId="32" fillId="14" borderId="928" xfId="0" applyNumberFormat="1" applyFont="1" applyFill="1" applyBorder="1" applyAlignment="1" applyProtection="1">
      <alignment horizontal="center" vertical="center" wrapText="1"/>
      <protection locked="0"/>
    </xf>
    <xf numFmtId="1" fontId="32" fillId="0" borderId="634" xfId="0" applyNumberFormat="1" applyFont="1" applyBorder="1" applyAlignment="1">
      <alignment vertical="center"/>
    </xf>
    <xf numFmtId="0" fontId="32" fillId="29" borderId="634" xfId="0" applyFont="1" applyFill="1" applyBorder="1"/>
    <xf numFmtId="1" fontId="32" fillId="0" borderId="823" xfId="0" applyNumberFormat="1" applyFont="1" applyBorder="1" applyAlignment="1">
      <alignment vertical="center"/>
    </xf>
    <xf numFmtId="1" fontId="32" fillId="0" borderId="741" xfId="0" applyNumberFormat="1" applyFont="1" applyBorder="1" applyAlignment="1">
      <alignment vertical="center"/>
    </xf>
    <xf numFmtId="0" fontId="32" fillId="29" borderId="941" xfId="0" applyFont="1" applyFill="1" applyBorder="1"/>
    <xf numFmtId="1" fontId="32" fillId="5" borderId="921" xfId="0" applyNumberFormat="1" applyFont="1" applyFill="1" applyBorder="1" applyProtection="1">
      <protection locked="0"/>
    </xf>
    <xf numFmtId="1" fontId="71" fillId="3" borderId="0" xfId="0" applyNumberFormat="1" applyFont="1" applyFill="1" applyAlignment="1">
      <alignment wrapText="1"/>
    </xf>
    <xf numFmtId="1" fontId="32" fillId="14" borderId="925" xfId="0" applyNumberFormat="1" applyFont="1" applyFill="1" applyBorder="1" applyAlignment="1">
      <alignment horizontal="center" vertical="center" wrapText="1"/>
    </xf>
    <xf numFmtId="1" fontId="32" fillId="14" borderId="927" xfId="0" applyNumberFormat="1" applyFont="1" applyFill="1" applyBorder="1" applyAlignment="1">
      <alignment horizontal="center" vertical="center" wrapText="1"/>
    </xf>
    <xf numFmtId="1" fontId="32" fillId="14" borderId="957" xfId="0" applyNumberFormat="1" applyFont="1" applyFill="1" applyBorder="1" applyAlignment="1">
      <alignment horizontal="center" vertical="center" wrapText="1"/>
    </xf>
    <xf numFmtId="1" fontId="32" fillId="0" borderId="938" xfId="0" applyNumberFormat="1" applyFont="1" applyBorder="1" applyAlignment="1">
      <alignment horizontal="left" vertical="top"/>
    </xf>
    <xf numFmtId="0" fontId="32" fillId="29" borderId="938" xfId="0" applyFont="1" applyFill="1" applyBorder="1"/>
    <xf numFmtId="0" fontId="32" fillId="29" borderId="919" xfId="0" applyFont="1" applyFill="1" applyBorder="1"/>
    <xf numFmtId="1" fontId="32" fillId="0" borderId="823" xfId="0" applyNumberFormat="1" applyFont="1" applyBorder="1" applyAlignment="1">
      <alignment horizontal="left" vertical="top"/>
    </xf>
    <xf numFmtId="0" fontId="32" fillId="29" borderId="431" xfId="0" applyFont="1" applyFill="1" applyBorder="1"/>
    <xf numFmtId="0" fontId="32" fillId="0" borderId="941" xfId="0" applyFont="1" applyBorder="1" applyAlignment="1">
      <alignment horizontal="left" vertical="top" wrapText="1"/>
    </xf>
    <xf numFmtId="1" fontId="32" fillId="0" borderId="896" xfId="0" applyNumberFormat="1" applyFont="1" applyBorder="1" applyAlignment="1">
      <alignment wrapText="1"/>
    </xf>
    <xf numFmtId="1" fontId="32" fillId="5" borderId="941" xfId="0" applyNumberFormat="1" applyFont="1" applyFill="1" applyBorder="1" applyProtection="1">
      <protection locked="0"/>
    </xf>
    <xf numFmtId="0" fontId="32" fillId="29" borderId="920" xfId="0" applyFont="1" applyFill="1" applyBorder="1"/>
    <xf numFmtId="0" fontId="32" fillId="29" borderId="921" xfId="0" applyFont="1" applyFill="1" applyBorder="1"/>
    <xf numFmtId="0" fontId="65" fillId="0" borderId="0" xfId="0" applyFont="1"/>
    <xf numFmtId="0" fontId="68" fillId="14" borderId="0" xfId="0" applyFont="1" applyFill="1" applyProtection="1">
      <protection locked="0"/>
    </xf>
    <xf numFmtId="1" fontId="32" fillId="14" borderId="600" xfId="0" applyNumberFormat="1" applyFont="1" applyFill="1" applyBorder="1"/>
    <xf numFmtId="1" fontId="66" fillId="5" borderId="824" xfId="0" applyNumberFormat="1" applyFont="1" applyFill="1" applyBorder="1" applyProtection="1">
      <protection locked="0"/>
    </xf>
    <xf numFmtId="1" fontId="66" fillId="14" borderId="938" xfId="0" applyNumberFormat="1" applyFont="1" applyFill="1" applyBorder="1" applyAlignment="1">
      <alignment horizontal="right" wrapText="1"/>
    </xf>
    <xf numFmtId="1" fontId="66" fillId="5" borderId="918" xfId="0" applyNumberFormat="1" applyFont="1" applyFill="1" applyBorder="1" applyProtection="1">
      <protection locked="0"/>
    </xf>
    <xf numFmtId="1" fontId="66" fillId="5" borderId="825" xfId="0" applyNumberFormat="1" applyFont="1" applyFill="1" applyBorder="1" applyProtection="1">
      <protection locked="0"/>
    </xf>
    <xf numFmtId="1" fontId="66" fillId="5" borderId="827" xfId="0" applyNumberFormat="1" applyFont="1" applyFill="1" applyBorder="1" applyProtection="1">
      <protection locked="0"/>
    </xf>
    <xf numFmtId="1" fontId="66" fillId="5" borderId="633" xfId="0" applyNumberFormat="1" applyFont="1" applyFill="1" applyBorder="1" applyProtection="1">
      <protection locked="0"/>
    </xf>
    <xf numFmtId="1" fontId="66" fillId="5" borderId="634" xfId="0" applyNumberFormat="1" applyFont="1" applyFill="1" applyBorder="1" applyProtection="1">
      <protection locked="0"/>
    </xf>
    <xf numFmtId="1" fontId="66" fillId="14" borderId="823" xfId="0" applyNumberFormat="1" applyFont="1" applyFill="1" applyBorder="1" applyAlignment="1">
      <alignment horizontal="right" wrapText="1"/>
    </xf>
    <xf numFmtId="1" fontId="66" fillId="5" borderId="823" xfId="0" applyNumberFormat="1" applyFont="1" applyFill="1" applyBorder="1" applyProtection="1">
      <protection locked="0"/>
    </xf>
    <xf numFmtId="1" fontId="32" fillId="14" borderId="1709" xfId="0" applyNumberFormat="1" applyFont="1" applyFill="1" applyBorder="1"/>
    <xf numFmtId="1" fontId="66" fillId="5" borderId="941" xfId="0" applyNumberFormat="1" applyFont="1" applyFill="1" applyBorder="1" applyProtection="1">
      <protection locked="0"/>
    </xf>
    <xf numFmtId="1" fontId="66" fillId="14" borderId="896" xfId="0" applyNumberFormat="1" applyFont="1" applyFill="1" applyBorder="1" applyAlignment="1">
      <alignment horizontal="right" wrapText="1"/>
    </xf>
    <xf numFmtId="1" fontId="66" fillId="5" borderId="940" xfId="0" applyNumberFormat="1" applyFont="1" applyFill="1" applyBorder="1" applyProtection="1">
      <protection locked="0"/>
    </xf>
    <xf numFmtId="1" fontId="66" fillId="5" borderId="920" xfId="0" applyNumberFormat="1" applyFont="1" applyFill="1" applyBorder="1" applyProtection="1">
      <protection locked="0"/>
    </xf>
    <xf numFmtId="1" fontId="66" fillId="5" borderId="921" xfId="0" applyNumberFormat="1" applyFont="1" applyFill="1" applyBorder="1" applyProtection="1">
      <protection locked="0"/>
    </xf>
    <xf numFmtId="1" fontId="66" fillId="5" borderId="922" xfId="0" applyNumberFormat="1" applyFont="1" applyFill="1" applyBorder="1" applyProtection="1">
      <protection locked="0"/>
    </xf>
    <xf numFmtId="1" fontId="32" fillId="0" borderId="583" xfId="0" applyNumberFormat="1" applyFont="1" applyBorder="1" applyAlignment="1">
      <alignment horizontal="center" vertical="center"/>
    </xf>
    <xf numFmtId="1" fontId="32" fillId="0" borderId="581" xfId="0" applyNumberFormat="1" applyFont="1" applyBorder="1" applyAlignment="1">
      <alignment horizontal="center" vertical="center" wrapText="1"/>
    </xf>
    <xf numFmtId="1" fontId="32" fillId="5" borderId="1126" xfId="0" applyNumberFormat="1" applyFont="1" applyFill="1" applyBorder="1" applyProtection="1">
      <protection locked="0"/>
    </xf>
    <xf numFmtId="1" fontId="32" fillId="5" borderId="1129" xfId="0" applyNumberFormat="1" applyFont="1" applyFill="1" applyBorder="1" applyProtection="1">
      <protection locked="0"/>
    </xf>
    <xf numFmtId="1" fontId="32" fillId="5" borderId="1125" xfId="0" applyNumberFormat="1" applyFont="1" applyFill="1" applyBorder="1" applyProtection="1">
      <protection locked="0"/>
    </xf>
    <xf numFmtId="1" fontId="32" fillId="5" borderId="1437" xfId="0" applyNumberFormat="1" applyFont="1" applyFill="1" applyBorder="1" applyProtection="1">
      <protection locked="0"/>
    </xf>
    <xf numFmtId="1" fontId="32" fillId="5" borderId="1022" xfId="0" applyNumberFormat="1" applyFont="1" applyFill="1" applyBorder="1" applyProtection="1">
      <protection locked="0"/>
    </xf>
    <xf numFmtId="1" fontId="32" fillId="14" borderId="0" xfId="0" applyNumberFormat="1" applyFont="1" applyFill="1"/>
    <xf numFmtId="1" fontId="63" fillId="14" borderId="0" xfId="0" applyNumberFormat="1" applyFont="1" applyFill="1" applyProtection="1">
      <protection hidden="1"/>
    </xf>
    <xf numFmtId="1" fontId="32" fillId="14" borderId="1018" xfId="0" applyNumberFormat="1" applyFont="1" applyFill="1" applyBorder="1" applyAlignment="1">
      <alignment horizontal="center" vertical="center" wrapText="1"/>
    </xf>
    <xf numFmtId="1" fontId="32" fillId="14" borderId="1025" xfId="0" applyNumberFormat="1" applyFont="1" applyFill="1" applyBorder="1" applyAlignment="1">
      <alignment horizontal="center" vertical="center" wrapText="1"/>
    </xf>
    <xf numFmtId="1" fontId="32" fillId="14" borderId="1020" xfId="0" applyNumberFormat="1" applyFont="1" applyFill="1" applyBorder="1" applyAlignment="1">
      <alignment horizontal="center" vertical="center" wrapText="1"/>
    </xf>
    <xf numFmtId="1" fontId="32" fillId="14" borderId="1551" xfId="0" applyNumberFormat="1" applyFont="1" applyFill="1" applyBorder="1" applyAlignment="1">
      <alignment horizontal="center" vertical="center" wrapText="1"/>
    </xf>
    <xf numFmtId="1" fontId="32" fillId="14" borderId="1016" xfId="0" applyNumberFormat="1" applyFont="1" applyFill="1" applyBorder="1" applyAlignment="1">
      <alignment wrapText="1"/>
    </xf>
    <xf numFmtId="1" fontId="32" fillId="14" borderId="1008" xfId="0" applyNumberFormat="1" applyFont="1" applyFill="1" applyBorder="1"/>
    <xf numFmtId="1" fontId="66" fillId="5" borderId="1550" xfId="0" applyNumberFormat="1" applyFont="1" applyFill="1" applyBorder="1" applyProtection="1">
      <protection locked="0"/>
    </xf>
    <xf numFmtId="1" fontId="66" fillId="5" borderId="1565" xfId="0" applyNumberFormat="1" applyFont="1" applyFill="1" applyBorder="1" applyProtection="1">
      <protection locked="0"/>
    </xf>
    <xf numFmtId="1" fontId="66" fillId="5" borderId="1549" xfId="0" applyNumberFormat="1" applyFont="1" applyFill="1" applyBorder="1" applyProtection="1">
      <protection locked="0"/>
    </xf>
    <xf numFmtId="1" fontId="66" fillId="5" borderId="1551" xfId="0" applyNumberFormat="1" applyFont="1" applyFill="1" applyBorder="1" applyProtection="1">
      <protection locked="0"/>
    </xf>
    <xf numFmtId="1" fontId="32" fillId="0" borderId="444" xfId="0" applyNumberFormat="1" applyFont="1" applyBorder="1" applyAlignment="1">
      <alignment horizontal="center" vertical="center" wrapText="1"/>
    </xf>
    <xf numFmtId="1" fontId="32" fillId="0" borderId="447" xfId="0" applyNumberFormat="1" applyFont="1" applyBorder="1" applyAlignment="1">
      <alignment horizontal="center" vertical="center" wrapText="1"/>
    </xf>
    <xf numFmtId="1" fontId="32" fillId="0" borderId="583" xfId="0" applyNumberFormat="1" applyFont="1" applyBorder="1" applyAlignment="1">
      <alignment horizontal="center" vertical="center" wrapText="1"/>
    </xf>
    <xf numFmtId="1" fontId="32" fillId="0" borderId="581" xfId="0" applyNumberFormat="1" applyFont="1" applyBorder="1" applyAlignment="1">
      <alignment vertical="center" wrapText="1"/>
    </xf>
    <xf numFmtId="1" fontId="32" fillId="0" borderId="1008" xfId="0" applyNumberFormat="1" applyFont="1" applyBorder="1" applyAlignment="1">
      <alignment vertical="center" wrapText="1"/>
    </xf>
    <xf numFmtId="1" fontId="32" fillId="5" borderId="1008" xfId="0" applyNumberFormat="1" applyFont="1" applyFill="1" applyBorder="1" applyProtection="1">
      <protection locked="0"/>
    </xf>
    <xf numFmtId="1" fontId="32" fillId="5" borderId="1025" xfId="0" applyNumberFormat="1" applyFont="1" applyFill="1" applyBorder="1" applyProtection="1">
      <protection locked="0"/>
    </xf>
    <xf numFmtId="1" fontId="32" fillId="5" borderId="1019" xfId="0" applyNumberFormat="1" applyFont="1" applyFill="1" applyBorder="1" applyProtection="1">
      <protection locked="0"/>
    </xf>
    <xf numFmtId="166" fontId="66" fillId="21" borderId="0" xfId="0" applyNumberFormat="1" applyFont="1" applyFill="1"/>
    <xf numFmtId="0" fontId="66" fillId="21" borderId="0" xfId="0" applyFont="1" applyFill="1"/>
    <xf numFmtId="1" fontId="62" fillId="14" borderId="175" xfId="0" applyNumberFormat="1" applyFont="1" applyFill="1" applyBorder="1" applyAlignment="1">
      <alignment horizontal="left"/>
    </xf>
    <xf numFmtId="1" fontId="62" fillId="0" borderId="175" xfId="0" applyNumberFormat="1" applyFont="1" applyBorder="1"/>
    <xf numFmtId="1" fontId="72" fillId="3" borderId="0" xfId="0" applyNumberFormat="1" applyFont="1" applyFill="1"/>
    <xf numFmtId="1" fontId="72" fillId="3" borderId="0" xfId="0" applyNumberFormat="1" applyFont="1" applyFill="1" applyProtection="1">
      <protection locked="0"/>
    </xf>
    <xf numFmtId="1" fontId="72" fillId="14" borderId="0" xfId="0" applyNumberFormat="1" applyFont="1" applyFill="1" applyProtection="1">
      <protection locked="0"/>
    </xf>
    <xf numFmtId="1" fontId="72" fillId="28" borderId="0" xfId="0" applyNumberFormat="1" applyFont="1" applyFill="1" applyProtection="1">
      <protection locked="0"/>
    </xf>
    <xf numFmtId="1" fontId="72" fillId="28" borderId="0" xfId="0" applyNumberFormat="1" applyFont="1" applyFill="1"/>
    <xf numFmtId="1" fontId="72" fillId="43" borderId="0" xfId="0" applyNumberFormat="1" applyFont="1" applyFill="1"/>
    <xf numFmtId="1" fontId="72" fillId="14" borderId="0" xfId="0" applyNumberFormat="1" applyFont="1" applyFill="1"/>
    <xf numFmtId="1" fontId="64" fillId="3" borderId="0" xfId="0" applyNumberFormat="1" applyFont="1" applyFill="1" applyAlignment="1">
      <alignment vertical="center" wrapText="1"/>
    </xf>
    <xf numFmtId="1" fontId="64" fillId="3" borderId="0" xfId="0" applyNumberFormat="1" applyFont="1" applyFill="1" applyAlignment="1">
      <alignment horizontal="center"/>
    </xf>
    <xf numFmtId="1" fontId="73" fillId="3" borderId="0" xfId="0" applyNumberFormat="1" applyFont="1" applyFill="1"/>
    <xf numFmtId="1" fontId="62" fillId="3" borderId="0" xfId="0" applyNumberFormat="1" applyFont="1" applyFill="1"/>
    <xf numFmtId="1" fontId="74" fillId="3" borderId="0" xfId="0" applyNumberFormat="1" applyFont="1" applyFill="1"/>
    <xf numFmtId="1" fontId="32" fillId="0" borderId="582" xfId="0" applyNumberFormat="1" applyFont="1" applyBorder="1" applyAlignment="1">
      <alignment horizontal="center" vertical="center" wrapText="1"/>
    </xf>
    <xf numFmtId="1" fontId="32" fillId="0" borderId="580" xfId="0" applyNumberFormat="1" applyFont="1" applyBorder="1" applyAlignment="1">
      <alignment horizontal="center" vertical="center" wrapText="1"/>
    </xf>
    <xf numFmtId="1" fontId="32" fillId="0" borderId="591" xfId="0" applyNumberFormat="1" applyFont="1" applyBorder="1" applyAlignment="1">
      <alignment horizontal="center" vertical="center" wrapText="1"/>
    </xf>
    <xf numFmtId="1" fontId="32" fillId="0" borderId="616" xfId="0" applyNumberFormat="1" applyFont="1" applyBorder="1" applyAlignment="1">
      <alignment horizontal="center" vertical="center" wrapText="1"/>
    </xf>
    <xf numFmtId="1" fontId="32" fillId="0" borderId="588" xfId="0" applyNumberFormat="1" applyFont="1" applyBorder="1" applyAlignment="1">
      <alignment horizontal="center" vertical="center" wrapText="1"/>
    </xf>
    <xf numFmtId="1" fontId="32" fillId="3" borderId="617" xfId="0" applyNumberFormat="1" applyFont="1" applyFill="1" applyBorder="1" applyAlignment="1">
      <alignment horizontal="center" vertical="center" wrapText="1"/>
    </xf>
    <xf numFmtId="1" fontId="32" fillId="0" borderId="619" xfId="0" applyNumberFormat="1" applyFont="1" applyBorder="1" applyAlignment="1">
      <alignment horizontal="center" vertical="center" wrapText="1"/>
    </xf>
    <xf numFmtId="1" fontId="32" fillId="3" borderId="616" xfId="0" applyNumberFormat="1" applyFont="1" applyFill="1" applyBorder="1" applyAlignment="1">
      <alignment horizontal="center" vertical="center" wrapText="1"/>
    </xf>
    <xf numFmtId="1" fontId="32" fillId="0" borderId="1175" xfId="0" applyNumberFormat="1" applyFont="1" applyBorder="1" applyAlignment="1">
      <alignment horizontal="center" vertical="center" wrapText="1"/>
    </xf>
    <xf numFmtId="1" fontId="32" fillId="0" borderId="1109" xfId="0" applyNumberFormat="1" applyFont="1" applyBorder="1" applyAlignment="1">
      <alignment horizontal="center" vertical="center" wrapText="1"/>
    </xf>
    <xf numFmtId="1" fontId="32" fillId="0" borderId="600" xfId="0" applyNumberFormat="1" applyFont="1" applyBorder="1" applyAlignment="1">
      <alignment horizontal="right" vertical="center" wrapText="1"/>
    </xf>
    <xf numFmtId="1" fontId="32" fillId="5" borderId="571" xfId="0" applyNumberFormat="1" applyFont="1" applyFill="1" applyBorder="1" applyAlignment="1" applyProtection="1">
      <alignment horizontal="right"/>
      <protection locked="0"/>
    </xf>
    <xf numFmtId="1" fontId="32" fillId="5" borderId="63" xfId="0" applyNumberFormat="1" applyFont="1" applyFill="1" applyBorder="1" applyAlignment="1" applyProtection="1">
      <alignment horizontal="right"/>
      <protection locked="0"/>
    </xf>
    <xf numFmtId="1" fontId="32" fillId="5" borderId="351" xfId="0" applyNumberFormat="1" applyFont="1" applyFill="1" applyBorder="1" applyAlignment="1" applyProtection="1">
      <alignment horizontal="right"/>
      <protection locked="0"/>
    </xf>
    <xf numFmtId="1" fontId="32" fillId="5" borderId="71" xfId="0" applyNumberFormat="1" applyFont="1" applyFill="1" applyBorder="1" applyAlignment="1" applyProtection="1">
      <alignment horizontal="right"/>
      <protection locked="0"/>
    </xf>
    <xf numFmtId="1" fontId="32" fillId="5" borderId="182" xfId="0" applyNumberFormat="1" applyFont="1" applyFill="1" applyBorder="1" applyAlignment="1" applyProtection="1">
      <alignment horizontal="right"/>
      <protection locked="0"/>
    </xf>
    <xf numFmtId="1" fontId="32" fillId="5" borderId="599" xfId="0" applyNumberFormat="1" applyFont="1" applyFill="1" applyBorder="1" applyAlignment="1" applyProtection="1">
      <alignment horizontal="right"/>
      <protection locked="0"/>
    </xf>
    <xf numFmtId="1" fontId="32" fillId="5" borderId="84" xfId="0" applyNumberFormat="1" applyFont="1" applyFill="1" applyBorder="1" applyAlignment="1" applyProtection="1">
      <alignment horizontal="right"/>
      <protection locked="0"/>
    </xf>
    <xf numFmtId="1" fontId="32" fillId="4" borderId="1184" xfId="0" applyNumberFormat="1" applyFont="1" applyFill="1" applyBorder="1" applyAlignment="1">
      <alignment horizontal="right"/>
    </xf>
    <xf numFmtId="1" fontId="32" fillId="5" borderId="1131" xfId="0" applyNumberFormat="1" applyFont="1" applyFill="1" applyBorder="1" applyAlignment="1" applyProtection="1">
      <alignment horizontal="right"/>
      <protection locked="0"/>
    </xf>
    <xf numFmtId="1" fontId="32" fillId="14" borderId="0" xfId="0" applyNumberFormat="1" applyFont="1" applyFill="1" applyAlignment="1">
      <alignment vertical="top"/>
    </xf>
    <xf numFmtId="1" fontId="32" fillId="14" borderId="0" xfId="0" applyNumberFormat="1" applyFont="1" applyFill="1" applyAlignment="1">
      <alignment vertical="top" wrapText="1"/>
    </xf>
    <xf numFmtId="1" fontId="72" fillId="40" borderId="0" xfId="0" applyNumberFormat="1" applyFont="1" applyFill="1"/>
    <xf numFmtId="1" fontId="72" fillId="44" borderId="0" xfId="0" applyNumberFormat="1" applyFont="1" applyFill="1"/>
    <xf numFmtId="1" fontId="72" fillId="43" borderId="0" xfId="0" applyNumberFormat="1" applyFont="1" applyFill="1" applyProtection="1">
      <protection locked="0"/>
    </xf>
    <xf numFmtId="1" fontId="72" fillId="17" borderId="0" xfId="0" applyNumberFormat="1" applyFont="1" applyFill="1" applyProtection="1">
      <protection locked="0"/>
    </xf>
    <xf numFmtId="1" fontId="32" fillId="5" borderId="601" xfId="0" applyNumberFormat="1" applyFont="1" applyFill="1" applyBorder="1" applyAlignment="1" applyProtection="1">
      <alignment horizontal="right"/>
      <protection locked="0"/>
    </xf>
    <xf numFmtId="1" fontId="32" fillId="5" borderId="602" xfId="0" applyNumberFormat="1" applyFont="1" applyFill="1" applyBorder="1" applyAlignment="1" applyProtection="1">
      <alignment horizontal="right"/>
      <protection locked="0"/>
    </xf>
    <xf numFmtId="1" fontId="32" fillId="5" borderId="618" xfId="0" applyNumberFormat="1" applyFont="1" applyFill="1" applyBorder="1" applyAlignment="1" applyProtection="1">
      <alignment horizontal="right"/>
      <protection locked="0"/>
    </xf>
    <xf numFmtId="1" fontId="32" fillId="5" borderId="612" xfId="0" applyNumberFormat="1" applyFont="1" applyFill="1" applyBorder="1" applyAlignment="1" applyProtection="1">
      <alignment horizontal="right"/>
      <protection locked="0"/>
    </xf>
    <xf numFmtId="1" fontId="32" fillId="5" borderId="183" xfId="0" applyNumberFormat="1" applyFont="1" applyFill="1" applyBorder="1" applyAlignment="1" applyProtection="1">
      <alignment horizontal="right"/>
      <protection locked="0"/>
    </xf>
    <xf numFmtId="1" fontId="32" fillId="5" borderId="605" xfId="0" applyNumberFormat="1" applyFont="1" applyFill="1" applyBorder="1" applyAlignment="1" applyProtection="1">
      <alignment horizontal="right"/>
      <protection locked="0"/>
    </xf>
    <xf numFmtId="1" fontId="32" fillId="4" borderId="1142" xfId="0" applyNumberFormat="1" applyFont="1" applyFill="1" applyBorder="1" applyAlignment="1">
      <alignment horizontal="right"/>
    </xf>
    <xf numFmtId="1" fontId="32" fillId="5" borderId="1142" xfId="0" applyNumberFormat="1" applyFont="1" applyFill="1" applyBorder="1" applyAlignment="1" applyProtection="1">
      <alignment horizontal="right"/>
      <protection locked="0"/>
    </xf>
    <xf numFmtId="1" fontId="32" fillId="5" borderId="603" xfId="0" applyNumberFormat="1" applyFont="1" applyFill="1" applyBorder="1" applyAlignment="1" applyProtection="1">
      <alignment horizontal="right"/>
      <protection locked="0"/>
    </xf>
    <xf numFmtId="1" fontId="32" fillId="0" borderId="976" xfId="0" applyNumberFormat="1" applyFont="1" applyBorder="1" applyAlignment="1">
      <alignment horizontal="right" vertical="center" wrapText="1"/>
    </xf>
    <xf numFmtId="1" fontId="32" fillId="5" borderId="974" xfId="0" applyNumberFormat="1" applyFont="1" applyFill="1" applyBorder="1" applyAlignment="1" applyProtection="1">
      <alignment horizontal="right"/>
      <protection locked="0"/>
    </xf>
    <xf numFmtId="1" fontId="32" fillId="5" borderId="980" xfId="0" applyNumberFormat="1" applyFont="1" applyFill="1" applyBorder="1" applyAlignment="1" applyProtection="1">
      <alignment horizontal="right"/>
      <protection locked="0"/>
    </xf>
    <xf numFmtId="1" fontId="32" fillId="5" borderId="973" xfId="0" applyNumberFormat="1" applyFont="1" applyFill="1" applyBorder="1" applyAlignment="1" applyProtection="1">
      <alignment horizontal="right"/>
      <protection locked="0"/>
    </xf>
    <xf numFmtId="1" fontId="32" fillId="5" borderId="1005" xfId="0" applyNumberFormat="1" applyFont="1" applyFill="1" applyBorder="1" applyAlignment="1" applyProtection="1">
      <alignment horizontal="right"/>
      <protection locked="0"/>
    </xf>
    <xf numFmtId="1" fontId="32" fillId="5" borderId="952" xfId="0" applyNumberFormat="1" applyFont="1" applyFill="1" applyBorder="1" applyAlignment="1" applyProtection="1">
      <alignment horizontal="right"/>
      <protection locked="0"/>
    </xf>
    <xf numFmtId="1" fontId="32" fillId="0" borderId="1290" xfId="0" applyNumberFormat="1" applyFont="1" applyBorder="1" applyAlignment="1">
      <alignment horizontal="right" vertical="center" wrapText="1"/>
    </xf>
    <xf numFmtId="1" fontId="32" fillId="5" borderId="1125" xfId="0" applyNumberFormat="1" applyFont="1" applyFill="1" applyBorder="1" applyAlignment="1" applyProtection="1">
      <alignment horizontal="right"/>
      <protection locked="0"/>
    </xf>
    <xf numFmtId="1" fontId="32" fillId="5" borderId="1127" xfId="0" applyNumberFormat="1" applyFont="1" applyFill="1" applyBorder="1" applyAlignment="1" applyProtection="1">
      <alignment horizontal="right"/>
      <protection locked="0"/>
    </xf>
    <xf numFmtId="1" fontId="32" fillId="5" borderId="1132" xfId="0" applyNumberFormat="1" applyFont="1" applyFill="1" applyBorder="1" applyAlignment="1" applyProtection="1">
      <alignment horizontal="right"/>
      <protection locked="0"/>
    </xf>
    <xf numFmtId="1" fontId="32" fillId="5" borderId="1138" xfId="0" applyNumberFormat="1" applyFont="1" applyFill="1" applyBorder="1" applyAlignment="1" applyProtection="1">
      <alignment horizontal="right"/>
      <protection locked="0"/>
    </xf>
    <xf numFmtId="1" fontId="32" fillId="5" borderId="1346" xfId="0" applyNumberFormat="1" applyFont="1" applyFill="1" applyBorder="1" applyAlignment="1" applyProtection="1">
      <alignment horizontal="right"/>
      <protection locked="0"/>
    </xf>
    <xf numFmtId="1" fontId="32" fillId="5" borderId="1283" xfId="0" applyNumberFormat="1" applyFont="1" applyFill="1" applyBorder="1" applyAlignment="1" applyProtection="1">
      <alignment horizontal="right"/>
      <protection locked="0"/>
    </xf>
    <xf numFmtId="1" fontId="32" fillId="0" borderId="1294" xfId="0" applyNumberFormat="1" applyFont="1" applyBorder="1" applyAlignment="1">
      <alignment horizontal="right" vertical="center" wrapText="1"/>
    </xf>
    <xf numFmtId="1" fontId="32" fillId="5" borderId="1074" xfId="0" applyNumberFormat="1" applyFont="1" applyFill="1" applyBorder="1" applyAlignment="1" applyProtection="1">
      <alignment horizontal="right"/>
      <protection locked="0"/>
    </xf>
    <xf numFmtId="1" fontId="32" fillId="5" borderId="1087" xfId="0" applyNumberFormat="1" applyFont="1" applyFill="1" applyBorder="1" applyAlignment="1" applyProtection="1">
      <alignment horizontal="right"/>
      <protection locked="0"/>
    </xf>
    <xf numFmtId="1" fontId="32" fillId="5" borderId="1089" xfId="0" applyNumberFormat="1" applyFont="1" applyFill="1" applyBorder="1" applyAlignment="1" applyProtection="1">
      <alignment horizontal="right"/>
      <protection locked="0"/>
    </xf>
    <xf numFmtId="1" fontId="32" fillId="5" borderId="1006" xfId="0" applyNumberFormat="1" applyFont="1" applyFill="1" applyBorder="1" applyAlignment="1" applyProtection="1">
      <alignment horizontal="right"/>
      <protection locked="0"/>
    </xf>
    <xf numFmtId="1" fontId="32" fillId="5" borderId="1058" xfId="0" applyNumberFormat="1" applyFont="1" applyFill="1" applyBorder="1" applyAlignment="1" applyProtection="1">
      <alignment horizontal="right"/>
      <protection locked="0"/>
    </xf>
    <xf numFmtId="1" fontId="32" fillId="0" borderId="1287" xfId="0" applyNumberFormat="1" applyFont="1" applyBorder="1" applyAlignment="1">
      <alignment horizontal="right" vertical="center" wrapText="1"/>
    </xf>
    <xf numFmtId="1" fontId="32" fillId="5" borderId="1116" xfId="0" applyNumberFormat="1" applyFont="1" applyFill="1" applyBorder="1" applyAlignment="1" applyProtection="1">
      <alignment horizontal="right"/>
      <protection locked="0"/>
    </xf>
    <xf numFmtId="1" fontId="32" fillId="5" borderId="1285" xfId="0" applyNumberFormat="1" applyFont="1" applyFill="1" applyBorder="1" applyAlignment="1" applyProtection="1">
      <alignment horizontal="right"/>
      <protection locked="0"/>
    </xf>
    <xf numFmtId="1" fontId="32" fillId="5" borderId="1133" xfId="0" applyNumberFormat="1" applyFont="1" applyFill="1" applyBorder="1" applyAlignment="1" applyProtection="1">
      <alignment horizontal="right"/>
      <protection locked="0"/>
    </xf>
    <xf numFmtId="1" fontId="32" fillId="5" borderId="1118" xfId="0" applyNumberFormat="1" applyFont="1" applyFill="1" applyBorder="1" applyAlignment="1" applyProtection="1">
      <alignment horizontal="right"/>
      <protection locked="0"/>
    </xf>
    <xf numFmtId="1" fontId="32" fillId="5" borderId="1345" xfId="0" applyNumberFormat="1" applyFont="1" applyFill="1" applyBorder="1" applyAlignment="1" applyProtection="1">
      <alignment horizontal="right"/>
      <protection locked="0"/>
    </xf>
    <xf numFmtId="1" fontId="32" fillId="5" borderId="1121" xfId="0" applyNumberFormat="1" applyFont="1" applyFill="1" applyBorder="1" applyAlignment="1" applyProtection="1">
      <alignment horizontal="right"/>
      <protection locked="0"/>
    </xf>
    <xf numFmtId="1" fontId="32" fillId="5" borderId="1117" xfId="0" applyNumberFormat="1" applyFont="1" applyFill="1" applyBorder="1" applyAlignment="1" applyProtection="1">
      <alignment horizontal="right"/>
      <protection locked="0"/>
    </xf>
    <xf numFmtId="1" fontId="32" fillId="3" borderId="2148" xfId="0" applyNumberFormat="1" applyFont="1" applyFill="1" applyBorder="1" applyAlignment="1">
      <alignment horizontal="center" vertical="center" wrapText="1"/>
    </xf>
    <xf numFmtId="1" fontId="32" fillId="0" borderId="1703" xfId="0" applyNumberFormat="1" applyFont="1" applyBorder="1" applyAlignment="1">
      <alignment horizontal="center" vertical="center" wrapText="1"/>
    </xf>
    <xf numFmtId="1" fontId="32" fillId="3" borderId="1703" xfId="0" applyNumberFormat="1" applyFont="1" applyFill="1" applyBorder="1" applyAlignment="1">
      <alignment horizontal="center" vertical="center" wrapText="1"/>
    </xf>
    <xf numFmtId="1" fontId="32" fillId="0" borderId="1691" xfId="0" applyNumberFormat="1" applyFont="1" applyBorder="1" applyAlignment="1">
      <alignment horizontal="center" vertical="center" wrapText="1"/>
    </xf>
    <xf numFmtId="1" fontId="32" fillId="0" borderId="1858" xfId="0" applyNumberFormat="1" applyFont="1" applyBorder="1" applyAlignment="1">
      <alignment vertical="center" wrapText="1"/>
    </xf>
    <xf numFmtId="1" fontId="32" fillId="5" borderId="1870" xfId="0" applyNumberFormat="1" applyFont="1" applyFill="1" applyBorder="1" applyAlignment="1" applyProtection="1">
      <alignment horizontal="center" vertical="center"/>
      <protection locked="0"/>
    </xf>
    <xf numFmtId="1" fontId="32" fillId="5" borderId="1835" xfId="0" applyNumberFormat="1" applyFont="1" applyFill="1" applyBorder="1" applyAlignment="1" applyProtection="1">
      <alignment horizontal="center" vertical="center"/>
      <protection locked="0"/>
    </xf>
    <xf numFmtId="1" fontId="32" fillId="5" borderId="1862" xfId="0" applyNumberFormat="1" applyFont="1" applyFill="1" applyBorder="1" applyAlignment="1" applyProtection="1">
      <alignment horizontal="center" vertical="center"/>
      <protection locked="0"/>
    </xf>
    <xf numFmtId="1" fontId="32" fillId="0" borderId="700" xfId="0" applyNumberFormat="1" applyFont="1" applyBorder="1" applyAlignment="1">
      <alignment vertical="center" wrapText="1"/>
    </xf>
    <xf numFmtId="1" fontId="32" fillId="5" borderId="686" xfId="0" applyNumberFormat="1" applyFont="1" applyFill="1" applyBorder="1" applyAlignment="1" applyProtection="1">
      <alignment horizontal="center" vertical="center"/>
      <protection locked="0"/>
    </xf>
    <xf numFmtId="1" fontId="32" fillId="5" borderId="724" xfId="0" applyNumberFormat="1" applyFont="1" applyFill="1" applyBorder="1" applyAlignment="1" applyProtection="1">
      <alignment horizontal="center" vertical="center"/>
      <protection locked="0"/>
    </xf>
    <xf numFmtId="1" fontId="32" fillId="5" borderId="1683" xfId="0" applyNumberFormat="1" applyFont="1" applyFill="1" applyBorder="1" applyAlignment="1" applyProtection="1">
      <alignment horizontal="center" vertical="center"/>
      <protection locked="0"/>
    </xf>
    <xf numFmtId="1" fontId="32" fillId="0" borderId="1761" xfId="0" applyNumberFormat="1" applyFont="1" applyBorder="1" applyAlignment="1">
      <alignment vertical="center" wrapText="1"/>
    </xf>
    <xf numFmtId="1" fontId="32" fillId="5" borderId="1744" xfId="0" applyNumberFormat="1" applyFont="1" applyFill="1" applyBorder="1" applyAlignment="1" applyProtection="1">
      <alignment horizontal="center" vertical="center"/>
      <protection locked="0"/>
    </xf>
    <xf numFmtId="1" fontId="32" fillId="5" borderId="1682" xfId="0" applyNumberFormat="1" applyFont="1" applyFill="1" applyBorder="1" applyAlignment="1" applyProtection="1">
      <alignment horizontal="center" vertical="center"/>
      <protection locked="0"/>
    </xf>
    <xf numFmtId="1" fontId="32" fillId="5" borderId="1920" xfId="0" applyNumberFormat="1" applyFont="1" applyFill="1" applyBorder="1" applyAlignment="1" applyProtection="1">
      <alignment horizontal="center" vertical="center"/>
      <protection locked="0"/>
    </xf>
    <xf numFmtId="1" fontId="62" fillId="3" borderId="175" xfId="0" applyNumberFormat="1" applyFont="1" applyFill="1" applyBorder="1" applyAlignment="1">
      <alignment horizontal="left"/>
    </xf>
    <xf numFmtId="1" fontId="32" fillId="3" borderId="0" xfId="0" applyNumberFormat="1" applyFont="1" applyFill="1" applyAlignment="1">
      <alignment horizontal="center" vertical="center"/>
    </xf>
    <xf numFmtId="1" fontId="32" fillId="0" borderId="2142" xfId="0" applyNumberFormat="1" applyFont="1" applyBorder="1" applyAlignment="1">
      <alignment horizontal="center" vertical="center"/>
    </xf>
    <xf numFmtId="1" fontId="32" fillId="0" borderId="2149" xfId="0" applyNumberFormat="1" applyFont="1" applyBorder="1" applyAlignment="1">
      <alignment horizontal="center" vertical="center"/>
    </xf>
    <xf numFmtId="1" fontId="32" fillId="0" borderId="2139" xfId="0" applyNumberFormat="1" applyFont="1" applyBorder="1" applyAlignment="1">
      <alignment horizontal="center" vertical="center"/>
    </xf>
    <xf numFmtId="1" fontId="32" fillId="0" borderId="811" xfId="0" applyNumberFormat="1" applyFont="1" applyBorder="1" applyAlignment="1">
      <alignment horizontal="center" vertical="center"/>
    </xf>
    <xf numFmtId="1" fontId="32" fillId="3" borderId="175" xfId="0" applyNumberFormat="1" applyFont="1" applyFill="1" applyBorder="1" applyAlignment="1">
      <alignment horizontal="left" vertical="center"/>
    </xf>
    <xf numFmtId="1" fontId="32" fillId="3" borderId="175" xfId="0" applyNumberFormat="1" applyFont="1" applyFill="1" applyBorder="1"/>
    <xf numFmtId="1" fontId="32" fillId="0" borderId="242" xfId="0" applyNumberFormat="1" applyFont="1" applyBorder="1" applyAlignment="1">
      <alignment horizontal="center" vertical="center" wrapText="1"/>
    </xf>
    <xf numFmtId="1" fontId="32" fillId="0" borderId="454" xfId="0" applyNumberFormat="1" applyFont="1" applyBorder="1" applyAlignment="1">
      <alignment horizontal="center" vertical="center" wrapText="1"/>
    </xf>
    <xf numFmtId="1" fontId="32" fillId="0" borderId="446" xfId="0" applyNumberFormat="1" applyFont="1" applyBorder="1" applyAlignment="1">
      <alignment horizontal="center" vertical="center" wrapText="1"/>
    </xf>
    <xf numFmtId="1" fontId="32" fillId="0" borderId="1160" xfId="0" applyNumberFormat="1" applyFont="1" applyBorder="1" applyAlignment="1">
      <alignment horizontal="center" vertical="center" wrapText="1"/>
    </xf>
    <xf numFmtId="1" fontId="32" fillId="3" borderId="453" xfId="0" applyNumberFormat="1" applyFont="1" applyFill="1" applyBorder="1" applyAlignment="1">
      <alignment horizontal="right"/>
    </xf>
    <xf numFmtId="1" fontId="32" fillId="5" borderId="450" xfId="0" applyNumberFormat="1" applyFont="1" applyFill="1" applyBorder="1" applyProtection="1">
      <protection locked="0"/>
    </xf>
    <xf numFmtId="1" fontId="32" fillId="5" borderId="452" xfId="0" applyNumberFormat="1" applyFont="1" applyFill="1" applyBorder="1" applyProtection="1">
      <protection locked="0"/>
    </xf>
    <xf numFmtId="1" fontId="32" fillId="5" borderId="473" xfId="0" applyNumberFormat="1" applyFont="1" applyFill="1" applyBorder="1" applyProtection="1">
      <protection locked="0"/>
    </xf>
    <xf numFmtId="1" fontId="32" fillId="4" borderId="453" xfId="0" applyNumberFormat="1" applyFont="1" applyFill="1" applyBorder="1"/>
    <xf numFmtId="1" fontId="32" fillId="5" borderId="1142" xfId="0" applyNumberFormat="1" applyFont="1" applyFill="1" applyBorder="1" applyProtection="1">
      <protection locked="0"/>
    </xf>
    <xf numFmtId="1" fontId="32" fillId="5" borderId="1167" xfId="0" applyNumberFormat="1" applyFont="1" applyFill="1" applyBorder="1" applyProtection="1">
      <protection locked="0"/>
    </xf>
    <xf numFmtId="1" fontId="32" fillId="5" borderId="1131" xfId="0" applyNumberFormat="1" applyFont="1" applyFill="1" applyBorder="1" applyProtection="1">
      <protection locked="0"/>
    </xf>
    <xf numFmtId="1" fontId="32" fillId="3" borderId="40" xfId="0" applyNumberFormat="1" applyFont="1" applyFill="1" applyBorder="1" applyAlignment="1">
      <alignment horizontal="right"/>
    </xf>
    <xf numFmtId="1" fontId="32" fillId="5" borderId="38" xfId="0" applyNumberFormat="1" applyFont="1" applyFill="1" applyBorder="1" applyProtection="1">
      <protection locked="0"/>
    </xf>
    <xf numFmtId="1" fontId="32" fillId="5" borderId="62" xfId="0" applyNumberFormat="1" applyFont="1" applyFill="1" applyBorder="1" applyProtection="1">
      <protection locked="0"/>
    </xf>
    <xf numFmtId="1" fontId="32" fillId="5" borderId="59" xfId="0" applyNumberFormat="1" applyFont="1" applyFill="1" applyBorder="1" applyProtection="1">
      <protection locked="0"/>
    </xf>
    <xf numFmtId="1" fontId="32" fillId="4" borderId="40" xfId="0" applyNumberFormat="1" applyFont="1" applyFill="1" applyBorder="1"/>
    <xf numFmtId="1" fontId="32" fillId="0" borderId="37" xfId="0" applyNumberFormat="1" applyFont="1" applyBorder="1" applyAlignment="1">
      <alignment horizontal="right" vertical="center" wrapText="1"/>
    </xf>
    <xf numFmtId="1" fontId="32" fillId="5" borderId="72" xfId="0" applyNumberFormat="1" applyFont="1" applyFill="1" applyBorder="1" applyProtection="1">
      <protection locked="0"/>
    </xf>
    <xf numFmtId="1" fontId="32" fillId="4" borderId="61" xfId="0" applyNumberFormat="1" applyFont="1" applyFill="1" applyBorder="1"/>
    <xf numFmtId="1" fontId="32" fillId="5" borderId="1121" xfId="0" applyNumberFormat="1" applyFont="1" applyFill="1" applyBorder="1" applyProtection="1">
      <protection locked="0"/>
    </xf>
    <xf numFmtId="1" fontId="32" fillId="5" borderId="1108" xfId="0" applyNumberFormat="1" applyFont="1" applyFill="1" applyBorder="1" applyProtection="1">
      <protection locked="0"/>
    </xf>
    <xf numFmtId="1" fontId="32" fillId="5" borderId="1117" xfId="0" applyNumberFormat="1" applyFont="1" applyFill="1" applyBorder="1" applyProtection="1">
      <protection locked="0"/>
    </xf>
    <xf numFmtId="1" fontId="32" fillId="0" borderId="459" xfId="0" applyNumberFormat="1" applyFont="1" applyBorder="1" applyAlignment="1">
      <alignment vertical="center" wrapText="1"/>
    </xf>
    <xf numFmtId="1" fontId="32" fillId="0" borderId="459" xfId="0" applyNumberFormat="1" applyFont="1" applyBorder="1" applyAlignment="1">
      <alignment horizontal="right" vertical="center" wrapText="1"/>
    </xf>
    <xf numFmtId="1" fontId="32" fillId="5" borderId="1090" xfId="0" applyNumberFormat="1" applyFont="1" applyFill="1" applyBorder="1" applyProtection="1">
      <protection locked="0"/>
    </xf>
    <xf numFmtId="1" fontId="32" fillId="5" borderId="1196" xfId="0" applyNumberFormat="1" applyFont="1" applyFill="1" applyBorder="1" applyProtection="1">
      <protection locked="0"/>
    </xf>
    <xf numFmtId="1" fontId="32" fillId="5" borderId="1058" xfId="0" applyNumberFormat="1" applyFont="1" applyFill="1" applyBorder="1" applyProtection="1">
      <protection locked="0"/>
    </xf>
    <xf numFmtId="1" fontId="32" fillId="0" borderId="37" xfId="0" applyNumberFormat="1" applyFont="1" applyBorder="1" applyAlignment="1">
      <alignment vertical="center" wrapText="1"/>
    </xf>
    <xf numFmtId="1" fontId="32" fillId="0" borderId="24" xfId="0" applyNumberFormat="1" applyFont="1" applyBorder="1" applyAlignment="1">
      <alignment vertical="center" wrapText="1"/>
    </xf>
    <xf numFmtId="1" fontId="32" fillId="0" borderId="24" xfId="0" applyNumberFormat="1" applyFont="1" applyBorder="1" applyAlignment="1">
      <alignment horizontal="right" vertical="center" wrapText="1"/>
    </xf>
    <xf numFmtId="1" fontId="32" fillId="5" borderId="20" xfId="0" applyNumberFormat="1" applyFont="1" applyFill="1" applyBorder="1" applyProtection="1">
      <protection locked="0"/>
    </xf>
    <xf numFmtId="1" fontId="32" fillId="5" borderId="45" xfId="0" applyNumberFormat="1" applyFont="1" applyFill="1" applyBorder="1" applyProtection="1">
      <protection locked="0"/>
    </xf>
    <xf numFmtId="1" fontId="32" fillId="5" borderId="57" xfId="0" applyNumberFormat="1" applyFont="1" applyFill="1" applyBorder="1" applyProtection="1">
      <protection locked="0"/>
    </xf>
    <xf numFmtId="1" fontId="32" fillId="4" borderId="23" xfId="0" applyNumberFormat="1" applyFont="1" applyFill="1" applyBorder="1"/>
    <xf numFmtId="1" fontId="32" fillId="5" borderId="492" xfId="0" applyNumberFormat="1" applyFont="1" applyFill="1" applyBorder="1" applyProtection="1">
      <protection locked="0"/>
    </xf>
    <xf numFmtId="1" fontId="32" fillId="5" borderId="1184" xfId="0" applyNumberFormat="1" applyFont="1" applyFill="1" applyBorder="1" applyProtection="1">
      <protection locked="0"/>
    </xf>
    <xf numFmtId="1" fontId="32" fillId="5" borderId="1185" xfId="0" applyNumberFormat="1" applyFont="1" applyFill="1" applyBorder="1" applyProtection="1">
      <protection locked="0"/>
    </xf>
    <xf numFmtId="1" fontId="32" fillId="5" borderId="1173" xfId="0" applyNumberFormat="1" applyFont="1" applyFill="1" applyBorder="1" applyProtection="1">
      <protection locked="0"/>
    </xf>
    <xf numFmtId="1" fontId="32" fillId="5" borderId="66" xfId="0" applyNumberFormat="1" applyFont="1" applyFill="1" applyBorder="1" applyProtection="1">
      <protection locked="0"/>
    </xf>
    <xf numFmtId="1" fontId="32" fillId="5" borderId="87" xfId="0" applyNumberFormat="1" applyFont="1" applyFill="1" applyBorder="1" applyProtection="1">
      <protection locked="0"/>
    </xf>
    <xf numFmtId="1" fontId="32" fillId="0" borderId="445" xfId="0" applyNumberFormat="1" applyFont="1" applyBorder="1" applyAlignment="1">
      <alignment horizontal="right"/>
    </xf>
    <xf numFmtId="1" fontId="32" fillId="0" borderId="446" xfId="0" applyNumberFormat="1" applyFont="1" applyBorder="1" applyAlignment="1">
      <alignment horizontal="right"/>
    </xf>
    <xf numFmtId="1" fontId="32" fillId="0" borderId="443" xfId="0" applyNumberFormat="1" applyFont="1" applyBorder="1" applyAlignment="1">
      <alignment horizontal="right"/>
    </xf>
    <xf numFmtId="1" fontId="32" fillId="0" borderId="461" xfId="0" applyNumberFormat="1" applyFont="1" applyBorder="1" applyAlignment="1">
      <alignment horizontal="right"/>
    </xf>
    <xf numFmtId="1" fontId="32" fillId="0" borderId="1175" xfId="0" applyNumberFormat="1" applyFont="1" applyBorder="1" applyAlignment="1">
      <alignment horizontal="right"/>
    </xf>
    <xf numFmtId="1" fontId="32" fillId="0" borderId="1160" xfId="0" applyNumberFormat="1" applyFont="1" applyBorder="1" applyAlignment="1">
      <alignment horizontal="right"/>
    </xf>
    <xf numFmtId="1" fontId="32" fillId="0" borderId="1109" xfId="0" applyNumberFormat="1" applyFont="1" applyBorder="1" applyAlignment="1">
      <alignment horizontal="right"/>
    </xf>
    <xf numFmtId="1" fontId="63" fillId="3" borderId="240" xfId="0" applyNumberFormat="1" applyFont="1" applyFill="1" applyBorder="1" applyAlignment="1">
      <alignment vertical="center"/>
    </xf>
    <xf numFmtId="1" fontId="32" fillId="3" borderId="240" xfId="0" applyNumberFormat="1" applyFont="1" applyFill="1" applyBorder="1" applyAlignment="1">
      <alignment horizontal="center"/>
    </xf>
    <xf numFmtId="1" fontId="74" fillId="3" borderId="240" xfId="0" applyNumberFormat="1" applyFont="1" applyFill="1" applyBorder="1"/>
    <xf numFmtId="1" fontId="75" fillId="3" borderId="175" xfId="0" applyNumberFormat="1" applyFont="1" applyFill="1" applyBorder="1"/>
    <xf numFmtId="1" fontId="75" fillId="3" borderId="0" xfId="0" applyNumberFormat="1" applyFont="1" applyFill="1"/>
    <xf numFmtId="1" fontId="32" fillId="0" borderId="1449" xfId="0" applyNumberFormat="1" applyFont="1" applyBorder="1" applyAlignment="1">
      <alignment horizontal="center" vertical="center" wrapText="1"/>
    </xf>
    <xf numFmtId="1" fontId="32" fillId="0" borderId="1458" xfId="0" applyNumberFormat="1" applyFont="1" applyBorder="1" applyAlignment="1">
      <alignment horizontal="center" vertical="center" wrapText="1"/>
    </xf>
    <xf numFmtId="1" fontId="32" fillId="0" borderId="1928" xfId="0" applyNumberFormat="1" applyFont="1" applyBorder="1" applyAlignment="1">
      <alignment horizontal="center" vertical="center" wrapText="1"/>
    </xf>
    <xf numFmtId="1" fontId="32" fillId="0" borderId="1470" xfId="0" applyNumberFormat="1" applyFont="1" applyBorder="1" applyAlignment="1">
      <alignment horizontal="center" vertical="center" wrapText="1"/>
    </xf>
    <xf numFmtId="1" fontId="32" fillId="3" borderId="1461" xfId="0" applyNumberFormat="1" applyFont="1" applyFill="1" applyBorder="1"/>
    <xf numFmtId="1" fontId="32" fillId="5" borderId="1459" xfId="0" applyNumberFormat="1" applyFont="1" applyFill="1" applyBorder="1" applyProtection="1">
      <protection locked="0"/>
    </xf>
    <xf numFmtId="1" fontId="32" fillId="5" borderId="1837" xfId="0" applyNumberFormat="1" applyFont="1" applyFill="1" applyBorder="1" applyProtection="1">
      <protection locked="0"/>
    </xf>
    <xf numFmtId="1" fontId="32" fillId="5" borderId="1908" xfId="0" applyNumberFormat="1" applyFont="1" applyFill="1" applyBorder="1" applyAlignment="1" applyProtection="1">
      <alignment horizontal="center" vertical="center"/>
      <protection locked="0"/>
    </xf>
    <xf numFmtId="1" fontId="32" fillId="5" borderId="1631" xfId="0" applyNumberFormat="1" applyFont="1" applyFill="1" applyBorder="1" applyAlignment="1" applyProtection="1">
      <alignment horizontal="center" vertical="center"/>
      <protection locked="0"/>
    </xf>
    <xf numFmtId="1" fontId="32" fillId="5" borderId="1465" xfId="0" applyNumberFormat="1" applyFont="1" applyFill="1" applyBorder="1" applyAlignment="1" applyProtection="1">
      <alignment horizontal="center" vertical="center"/>
      <protection locked="0"/>
    </xf>
    <xf numFmtId="1" fontId="32" fillId="3" borderId="1428" xfId="0" applyNumberFormat="1" applyFont="1" applyFill="1" applyBorder="1"/>
    <xf numFmtId="1" fontId="32" fillId="5" borderId="1685" xfId="0" applyNumberFormat="1" applyFont="1" applyFill="1" applyBorder="1" applyProtection="1">
      <protection locked="0"/>
    </xf>
    <xf numFmtId="1" fontId="32" fillId="5" borderId="1686" xfId="0" applyNumberFormat="1" applyFont="1" applyFill="1" applyBorder="1" applyProtection="1">
      <protection locked="0"/>
    </xf>
    <xf numFmtId="1" fontId="32" fillId="5" borderId="843" xfId="0" applyNumberFormat="1" applyFont="1" applyFill="1" applyBorder="1" applyProtection="1">
      <protection locked="0"/>
    </xf>
    <xf numFmtId="1" fontId="32" fillId="5" borderId="1636" xfId="0" applyNumberFormat="1" applyFont="1" applyFill="1" applyBorder="1" applyAlignment="1" applyProtection="1">
      <alignment horizontal="center" vertical="center"/>
      <protection locked="0"/>
    </xf>
    <xf numFmtId="1" fontId="32" fillId="5" borderId="1686" xfId="0" applyNumberFormat="1" applyFont="1" applyFill="1" applyBorder="1" applyAlignment="1" applyProtection="1">
      <alignment horizontal="center" vertical="center"/>
      <protection locked="0"/>
    </xf>
    <xf numFmtId="1" fontId="32" fillId="5" borderId="1635" xfId="0" applyNumberFormat="1" applyFont="1" applyFill="1" applyBorder="1" applyAlignment="1" applyProtection="1">
      <alignment horizontal="center" vertical="center"/>
      <protection locked="0"/>
    </xf>
    <xf numFmtId="1" fontId="32" fillId="5" borderId="1673" xfId="0" applyNumberFormat="1" applyFont="1" applyFill="1" applyBorder="1" applyProtection="1">
      <protection locked="0"/>
    </xf>
    <xf numFmtId="1" fontId="32" fillId="5" borderId="1674" xfId="0" applyNumberFormat="1" applyFont="1" applyFill="1" applyBorder="1" applyProtection="1">
      <protection locked="0"/>
    </xf>
    <xf numFmtId="1" fontId="32" fillId="5" borderId="1658" xfId="0" applyNumberFormat="1" applyFont="1" applyFill="1" applyBorder="1" applyAlignment="1" applyProtection="1">
      <alignment horizontal="center" vertical="center"/>
      <protection locked="0"/>
    </xf>
    <xf numFmtId="1" fontId="32" fillId="5" borderId="1674" xfId="0" applyNumberFormat="1" applyFont="1" applyFill="1" applyBorder="1" applyAlignment="1" applyProtection="1">
      <alignment horizontal="center" vertical="center"/>
      <protection locked="0"/>
    </xf>
    <xf numFmtId="1" fontId="32" fillId="5" borderId="1445" xfId="0" applyNumberFormat="1" applyFont="1" applyFill="1" applyBorder="1" applyAlignment="1" applyProtection="1">
      <alignment horizontal="center" vertical="center"/>
      <protection locked="0"/>
    </xf>
    <xf numFmtId="1" fontId="32" fillId="0" borderId="1699" xfId="0" applyNumberFormat="1" applyFont="1" applyBorder="1" applyAlignment="1">
      <alignment vertical="center" wrapText="1"/>
    </xf>
    <xf numFmtId="1" fontId="32" fillId="3" borderId="1699" xfId="0" applyNumberFormat="1" applyFont="1" applyFill="1" applyBorder="1"/>
    <xf numFmtId="1" fontId="32" fillId="5" borderId="1700" xfId="0" applyNumberFormat="1" applyFont="1" applyFill="1" applyBorder="1" applyProtection="1">
      <protection locked="0"/>
    </xf>
    <xf numFmtId="1" fontId="32" fillId="5" borderId="733" xfId="0" applyNumberFormat="1" applyFont="1" applyFill="1" applyBorder="1" applyAlignment="1" applyProtection="1">
      <alignment horizontal="center" vertical="center"/>
      <protection locked="0"/>
    </xf>
    <xf numFmtId="1" fontId="32" fillId="5" borderId="1700" xfId="0" applyNumberFormat="1" applyFont="1" applyFill="1" applyBorder="1" applyAlignment="1" applyProtection="1">
      <alignment horizontal="center" vertical="center"/>
      <protection locked="0"/>
    </xf>
    <xf numFmtId="1" fontId="32" fillId="5" borderId="1283" xfId="0" applyNumberFormat="1" applyFont="1" applyFill="1" applyBorder="1" applyAlignment="1" applyProtection="1">
      <alignment horizontal="center" vertical="center"/>
      <protection locked="0"/>
    </xf>
    <xf numFmtId="1" fontId="32" fillId="0" borderId="1699" xfId="0" applyNumberFormat="1" applyFont="1" applyBorder="1" applyAlignment="1">
      <alignment horizontal="left" vertical="center" wrapText="1"/>
    </xf>
    <xf numFmtId="1" fontId="32" fillId="3" borderId="1663" xfId="0" applyNumberFormat="1" applyFont="1" applyFill="1" applyBorder="1"/>
    <xf numFmtId="1" fontId="74" fillId="0" borderId="1699" xfId="0" applyNumberFormat="1" applyFont="1" applyBorder="1" applyAlignment="1">
      <alignment vertical="center" wrapText="1"/>
    </xf>
    <xf numFmtId="1" fontId="32" fillId="3" borderId="1681" xfId="0" applyNumberFormat="1" applyFont="1" applyFill="1" applyBorder="1"/>
    <xf numFmtId="1" fontId="32" fillId="5" borderId="1682" xfId="0" applyNumberFormat="1" applyFont="1" applyFill="1" applyBorder="1" applyProtection="1">
      <protection locked="0"/>
    </xf>
    <xf numFmtId="1" fontId="32" fillId="5" borderId="1840" xfId="0" applyNumberFormat="1" applyFont="1" applyFill="1" applyBorder="1" applyProtection="1">
      <protection locked="0"/>
    </xf>
    <xf numFmtId="1" fontId="32" fillId="5" borderId="1718" xfId="0" applyNumberFormat="1" applyFont="1" applyFill="1" applyBorder="1" applyAlignment="1" applyProtection="1">
      <alignment horizontal="center" vertical="center"/>
      <protection locked="0"/>
    </xf>
    <xf numFmtId="1" fontId="32" fillId="5" borderId="1430" xfId="0" applyNumberFormat="1" applyFont="1" applyFill="1" applyBorder="1" applyAlignment="1" applyProtection="1">
      <alignment horizontal="center" vertical="center"/>
      <protection locked="0"/>
    </xf>
    <xf numFmtId="1" fontId="75" fillId="14" borderId="175" xfId="0" applyNumberFormat="1" applyFont="1" applyFill="1" applyBorder="1"/>
    <xf numFmtId="1" fontId="76" fillId="14" borderId="175" xfId="0" applyNumberFormat="1" applyFont="1" applyFill="1" applyBorder="1"/>
    <xf numFmtId="1" fontId="74" fillId="14" borderId="0" xfId="0" applyNumberFormat="1" applyFont="1" applyFill="1"/>
    <xf numFmtId="1" fontId="32" fillId="0" borderId="445" xfId="0" applyNumberFormat="1" applyFont="1" applyBorder="1" applyAlignment="1">
      <alignment horizontal="center" vertical="center" wrapText="1"/>
    </xf>
    <xf numFmtId="1" fontId="32" fillId="0" borderId="443" xfId="0" applyNumberFormat="1" applyFont="1" applyBorder="1" applyAlignment="1">
      <alignment horizontal="center" vertical="center" wrapText="1"/>
    </xf>
    <xf numFmtId="1" fontId="32" fillId="0" borderId="442" xfId="0" applyNumberFormat="1" applyFont="1" applyBorder="1" applyAlignment="1">
      <alignment horizontal="center" vertical="center" wrapText="1"/>
    </xf>
    <xf numFmtId="1" fontId="32" fillId="3" borderId="453" xfId="0" applyNumberFormat="1" applyFont="1" applyFill="1" applyBorder="1"/>
    <xf numFmtId="1" fontId="32" fillId="5" borderId="449" xfId="0" applyNumberFormat="1" applyFont="1" applyFill="1" applyBorder="1" applyProtection="1">
      <protection locked="0"/>
    </xf>
    <xf numFmtId="1" fontId="32" fillId="5" borderId="453" xfId="0" applyNumberFormat="1" applyFont="1" applyFill="1" applyBorder="1" applyProtection="1">
      <protection locked="0"/>
    </xf>
    <xf numFmtId="1" fontId="32" fillId="5" borderId="490" xfId="0" applyNumberFormat="1" applyFont="1" applyFill="1" applyBorder="1" applyProtection="1">
      <protection locked="0"/>
    </xf>
    <xf numFmtId="1" fontId="32" fillId="5" borderId="459" xfId="0" applyNumberFormat="1" applyFont="1" applyFill="1" applyBorder="1" applyProtection="1">
      <protection locked="0"/>
    </xf>
    <xf numFmtId="1" fontId="32" fillId="3" borderId="40" xfId="0" applyNumberFormat="1" applyFont="1" applyFill="1" applyBorder="1"/>
    <xf numFmtId="1" fontId="32" fillId="5" borderId="36" xfId="0" applyNumberFormat="1" applyFont="1" applyFill="1" applyBorder="1" applyProtection="1">
      <protection locked="0"/>
    </xf>
    <xf numFmtId="1" fontId="32" fillId="5" borderId="40" xfId="0" applyNumberFormat="1" applyFont="1" applyFill="1" applyBorder="1" applyProtection="1">
      <protection locked="0"/>
    </xf>
    <xf numFmtId="1" fontId="32" fillId="5" borderId="79" xfId="0" applyNumberFormat="1" applyFont="1" applyFill="1" applyBorder="1" applyProtection="1">
      <protection locked="0"/>
    </xf>
    <xf numFmtId="1" fontId="32" fillId="5" borderId="37" xfId="0" applyNumberFormat="1" applyFont="1" applyFill="1" applyBorder="1" applyProtection="1">
      <protection locked="0"/>
    </xf>
    <xf numFmtId="1" fontId="32" fillId="3" borderId="1137" xfId="0" applyNumberFormat="1" applyFont="1" applyFill="1" applyBorder="1"/>
    <xf numFmtId="1" fontId="32" fillId="5" borderId="1127" xfId="0" applyNumberFormat="1" applyFont="1" applyFill="1" applyBorder="1" applyProtection="1">
      <protection locked="0"/>
    </xf>
    <xf numFmtId="1" fontId="32" fillId="5" borderId="1137" xfId="0" applyNumberFormat="1" applyFont="1" applyFill="1" applyBorder="1" applyProtection="1">
      <protection locked="0"/>
    </xf>
    <xf numFmtId="1" fontId="32" fillId="3" borderId="23" xfId="0" applyNumberFormat="1" applyFont="1" applyFill="1" applyBorder="1"/>
    <xf numFmtId="1" fontId="32" fillId="5" borderId="22" xfId="0" applyNumberFormat="1" applyFont="1" applyFill="1" applyBorder="1" applyProtection="1">
      <protection locked="0"/>
    </xf>
    <xf numFmtId="1" fontId="32" fillId="5" borderId="23" xfId="0" applyNumberFormat="1" applyFont="1" applyFill="1" applyBorder="1" applyProtection="1">
      <protection locked="0"/>
    </xf>
    <xf numFmtId="1" fontId="32" fillId="5" borderId="86" xfId="0" applyNumberFormat="1" applyFont="1" applyFill="1" applyBorder="1" applyProtection="1">
      <protection locked="0"/>
    </xf>
    <xf numFmtId="1" fontId="32" fillId="5" borderId="24" xfId="0" applyNumberFormat="1" applyFont="1" applyFill="1" applyBorder="1" applyProtection="1">
      <protection locked="0"/>
    </xf>
    <xf numFmtId="1" fontId="62" fillId="0" borderId="0" xfId="0" applyNumberFormat="1" applyFont="1"/>
    <xf numFmtId="1" fontId="72" fillId="0" borderId="0" xfId="0" applyNumberFormat="1" applyFont="1"/>
    <xf numFmtId="1" fontId="75" fillId="3" borderId="0" xfId="0" applyNumberFormat="1" applyFont="1" applyFill="1" applyProtection="1">
      <protection hidden="1"/>
    </xf>
    <xf numFmtId="1" fontId="32" fillId="0" borderId="457" xfId="0" applyNumberFormat="1" applyFont="1" applyBorder="1" applyAlignment="1">
      <alignment horizontal="center" vertical="center" wrapText="1"/>
    </xf>
    <xf numFmtId="1" fontId="32" fillId="0" borderId="241" xfId="0" applyNumberFormat="1" applyFont="1" applyBorder="1"/>
    <xf numFmtId="1" fontId="32" fillId="0" borderId="459" xfId="0" applyNumberFormat="1" applyFont="1" applyBorder="1"/>
    <xf numFmtId="1" fontId="32" fillId="5" borderId="470" xfId="0" applyNumberFormat="1" applyFont="1" applyFill="1" applyBorder="1" applyProtection="1">
      <protection locked="0"/>
    </xf>
    <xf numFmtId="1" fontId="32" fillId="5" borderId="451" xfId="0" applyNumberFormat="1" applyFont="1" applyFill="1" applyBorder="1" applyProtection="1">
      <protection locked="0"/>
    </xf>
    <xf numFmtId="1" fontId="32" fillId="0" borderId="24" xfId="0" applyNumberFormat="1" applyFont="1" applyBorder="1" applyAlignment="1" applyProtection="1">
      <alignment vertical="center" wrapText="1"/>
      <protection hidden="1"/>
    </xf>
    <xf numFmtId="1" fontId="32" fillId="0" borderId="237" xfId="0" applyNumberFormat="1" applyFont="1" applyBorder="1"/>
    <xf numFmtId="1" fontId="32" fillId="5" borderId="21" xfId="0" applyNumberFormat="1" applyFont="1" applyFill="1" applyBorder="1" applyProtection="1">
      <protection locked="0"/>
    </xf>
    <xf numFmtId="1" fontId="32" fillId="0" borderId="456" xfId="0" applyNumberFormat="1" applyFont="1" applyBorder="1" applyAlignment="1">
      <alignment wrapText="1"/>
    </xf>
    <xf numFmtId="1" fontId="32" fillId="5" borderId="447" xfId="0" applyNumberFormat="1" applyFont="1" applyFill="1" applyBorder="1" applyProtection="1">
      <protection locked="0"/>
    </xf>
    <xf numFmtId="164" fontId="62" fillId="14" borderId="349" xfId="32" applyNumberFormat="1" applyFont="1" applyFill="1" applyBorder="1" applyAlignment="1" applyProtection="1"/>
    <xf numFmtId="164" fontId="67" fillId="14" borderId="0" xfId="32" applyNumberFormat="1" applyFont="1" applyFill="1" applyProtection="1"/>
    <xf numFmtId="164" fontId="32" fillId="14" borderId="924" xfId="32" applyNumberFormat="1" applyFont="1" applyFill="1" applyBorder="1" applyAlignment="1" applyProtection="1">
      <alignment horizontal="center" vertical="center" wrapText="1"/>
    </xf>
    <xf numFmtId="164" fontId="32" fillId="14" borderId="914" xfId="32" applyNumberFormat="1" applyFont="1" applyFill="1" applyBorder="1" applyAlignment="1" applyProtection="1">
      <alignment vertical="center" wrapText="1"/>
    </xf>
    <xf numFmtId="164" fontId="32" fillId="14" borderId="629" xfId="32" applyNumberFormat="1" applyFont="1" applyFill="1" applyBorder="1" applyAlignment="1" applyProtection="1">
      <alignment horizontal="left" vertical="center" wrapText="1"/>
    </xf>
    <xf numFmtId="164" fontId="32" fillId="14" borderId="939" xfId="32" applyNumberFormat="1" applyFont="1" applyFill="1" applyBorder="1" applyAlignment="1" applyProtection="1">
      <alignment vertical="center" wrapText="1"/>
    </xf>
    <xf numFmtId="164" fontId="32" fillId="14" borderId="923" xfId="32" applyNumberFormat="1" applyFont="1" applyFill="1" applyBorder="1" applyAlignment="1" applyProtection="1">
      <alignment vertical="center" wrapText="1"/>
    </xf>
    <xf numFmtId="166" fontId="32" fillId="14" borderId="924" xfId="34" applyNumberFormat="1" applyFont="1" applyFill="1" applyBorder="1" applyAlignment="1" applyProtection="1">
      <alignment horizontal="center"/>
    </xf>
    <xf numFmtId="166" fontId="32" fillId="14" borderId="925" xfId="34" applyNumberFormat="1" applyFont="1" applyFill="1" applyBorder="1" applyProtection="1"/>
    <xf numFmtId="166" fontId="32" fillId="14" borderId="927" xfId="34" applyNumberFormat="1" applyFont="1" applyFill="1" applyBorder="1" applyProtection="1"/>
    <xf numFmtId="166" fontId="32" fillId="14" borderId="926" xfId="34" applyNumberFormat="1" applyFont="1" applyFill="1" applyBorder="1" applyProtection="1"/>
    <xf numFmtId="166" fontId="32" fillId="14" borderId="929" xfId="34" applyNumberFormat="1" applyFont="1" applyFill="1" applyBorder="1" applyProtection="1"/>
    <xf numFmtId="166" fontId="32" fillId="14" borderId="924" xfId="34" applyNumberFormat="1" applyFont="1" applyFill="1" applyBorder="1" applyProtection="1"/>
    <xf numFmtId="1" fontId="72" fillId="13" borderId="0" xfId="0" applyNumberFormat="1" applyFont="1" applyFill="1"/>
    <xf numFmtId="1" fontId="72" fillId="13" borderId="0" xfId="0" applyNumberFormat="1" applyFont="1" applyFill="1" applyProtection="1">
      <protection locked="0"/>
    </xf>
    <xf numFmtId="1" fontId="32" fillId="3" borderId="1744" xfId="0" applyNumberFormat="1" applyFont="1" applyFill="1" applyBorder="1"/>
    <xf numFmtId="1" fontId="32" fillId="3" borderId="741" xfId="0" applyNumberFormat="1" applyFont="1" applyFill="1" applyBorder="1"/>
    <xf numFmtId="1" fontId="6" fillId="0" borderId="385" xfId="0" applyNumberFormat="1" applyFont="1" applyBorder="1"/>
    <xf numFmtId="1" fontId="6" fillId="5" borderId="2254" xfId="0" applyNumberFormat="1" applyFont="1" applyFill="1" applyBorder="1" applyProtection="1">
      <protection locked="0"/>
    </xf>
    <xf numFmtId="1" fontId="6" fillId="5" borderId="2239" xfId="0" applyNumberFormat="1" applyFont="1" applyFill="1" applyBorder="1" applyProtection="1">
      <protection locked="0"/>
    </xf>
    <xf numFmtId="1" fontId="6" fillId="0" borderId="1716" xfId="0" applyNumberFormat="1" applyFont="1" applyBorder="1"/>
    <xf numFmtId="1" fontId="6" fillId="0" borderId="2247" xfId="0" applyNumberFormat="1" applyFont="1" applyBorder="1"/>
    <xf numFmtId="1" fontId="6" fillId="2" borderId="1519" xfId="26" applyNumberFormat="1" applyFont="1" applyBorder="1" applyProtection="1">
      <protection locked="0"/>
    </xf>
    <xf numFmtId="1" fontId="6" fillId="0" borderId="2282" xfId="6" applyNumberFormat="1" applyFont="1" applyBorder="1" applyAlignment="1">
      <alignment horizontal="right" wrapText="1"/>
    </xf>
    <xf numFmtId="1" fontId="6" fillId="0" borderId="1819" xfId="6" applyNumberFormat="1" applyFont="1" applyBorder="1" applyAlignment="1">
      <alignment horizontal="right" wrapText="1"/>
    </xf>
    <xf numFmtId="1" fontId="6" fillId="0" borderId="1885" xfId="6" applyNumberFormat="1" applyFont="1" applyBorder="1" applyAlignment="1">
      <alignment horizontal="right" wrapText="1"/>
    </xf>
    <xf numFmtId="1" fontId="6" fillId="0" borderId="1897" xfId="6" applyNumberFormat="1" applyFont="1" applyBorder="1" applyAlignment="1">
      <alignment horizontal="right" wrapText="1"/>
    </xf>
    <xf numFmtId="1" fontId="6" fillId="0" borderId="1887" xfId="6" applyNumberFormat="1" applyFont="1" applyBorder="1" applyAlignment="1">
      <alignment horizontal="right" wrapText="1"/>
    </xf>
    <xf numFmtId="1" fontId="6" fillId="0" borderId="1899" xfId="6" applyNumberFormat="1" applyFont="1" applyBorder="1" applyAlignment="1">
      <alignment horizontal="right" wrapText="1"/>
    </xf>
    <xf numFmtId="1" fontId="6" fillId="0" borderId="2284" xfId="6" applyNumberFormat="1" applyFont="1" applyBorder="1" applyAlignment="1">
      <alignment horizontal="right" wrapText="1"/>
    </xf>
    <xf numFmtId="1" fontId="6" fillId="0" borderId="2283" xfId="6" applyNumberFormat="1" applyFont="1" applyBorder="1" applyAlignment="1">
      <alignment horizontal="right" wrapText="1"/>
    </xf>
    <xf numFmtId="1" fontId="6" fillId="0" borderId="2248" xfId="0" applyNumberFormat="1" applyFont="1" applyBorder="1"/>
    <xf numFmtId="1" fontId="6" fillId="0" borderId="1017" xfId="0" applyNumberFormat="1" applyFont="1" applyBorder="1" applyAlignment="1">
      <alignment horizontal="center" vertical="center" wrapText="1"/>
    </xf>
    <xf numFmtId="1" fontId="6" fillId="0" borderId="370" xfId="0" applyNumberFormat="1" applyFont="1" applyBorder="1" applyAlignment="1">
      <alignment horizontal="center" vertical="center"/>
    </xf>
    <xf numFmtId="1" fontId="6" fillId="0" borderId="2217" xfId="0" applyNumberFormat="1" applyFont="1" applyBorder="1" applyAlignment="1">
      <alignment horizontal="center" vertical="center" wrapText="1"/>
    </xf>
    <xf numFmtId="1" fontId="6" fillId="0" borderId="2193" xfId="0" applyNumberFormat="1" applyFont="1" applyBorder="1" applyAlignment="1">
      <alignment horizontal="center" vertical="center"/>
    </xf>
    <xf numFmtId="1" fontId="6" fillId="0" borderId="2217" xfId="0" applyNumberFormat="1" applyFont="1" applyBorder="1" applyAlignment="1">
      <alignment horizontal="center" vertical="center"/>
    </xf>
    <xf numFmtId="1" fontId="6" fillId="0" borderId="1445" xfId="0" applyNumberFormat="1" applyFont="1" applyBorder="1" applyAlignment="1">
      <alignment horizontal="center" vertical="center" wrapText="1"/>
    </xf>
    <xf numFmtId="0" fontId="38" fillId="0" borderId="384" xfId="0" applyFont="1" applyBorder="1"/>
    <xf numFmtId="1" fontId="6" fillId="0" borderId="1868" xfId="0" applyNumberFormat="1" applyFont="1" applyBorder="1" applyAlignment="1">
      <alignment horizontal="center" vertical="center" wrapText="1"/>
    </xf>
    <xf numFmtId="1" fontId="6" fillId="3" borderId="1701" xfId="0" applyNumberFormat="1" applyFont="1" applyFill="1" applyBorder="1" applyAlignment="1">
      <alignment horizontal="center" vertical="center" wrapText="1"/>
    </xf>
    <xf numFmtId="1" fontId="32" fillId="0" borderId="224" xfId="0" applyNumberFormat="1" applyFont="1" applyBorder="1" applyAlignment="1" applyProtection="1">
      <alignment horizontal="center" vertical="center" wrapText="1"/>
      <protection hidden="1"/>
    </xf>
    <xf numFmtId="1" fontId="32" fillId="0" borderId="224" xfId="0" applyNumberFormat="1" applyFont="1" applyBorder="1" applyAlignment="1">
      <alignment horizontal="center" vertical="center" wrapText="1"/>
    </xf>
    <xf numFmtId="1" fontId="32" fillId="0" borderId="175" xfId="0" applyNumberFormat="1" applyFont="1" applyBorder="1" applyAlignment="1">
      <alignment horizontal="center" vertical="center"/>
    </xf>
    <xf numFmtId="1" fontId="32" fillId="0" borderId="243" xfId="0" applyNumberFormat="1" applyFont="1" applyBorder="1" applyAlignment="1">
      <alignment horizontal="center" vertical="center" wrapText="1"/>
    </xf>
    <xf numFmtId="1" fontId="32" fillId="0" borderId="177" xfId="0" applyNumberFormat="1" applyFont="1" applyBorder="1" applyAlignment="1">
      <alignment horizontal="center" vertical="center"/>
    </xf>
    <xf numFmtId="1" fontId="32" fillId="0" borderId="461" xfId="0" applyNumberFormat="1" applyFont="1" applyBorder="1" applyAlignment="1">
      <alignment horizontal="center" vertical="center"/>
    </xf>
    <xf numFmtId="1" fontId="32" fillId="0" borderId="40" xfId="0" applyNumberFormat="1" applyFont="1" applyBorder="1" applyAlignment="1">
      <alignment horizontal="left" vertical="center" wrapText="1"/>
    </xf>
    <xf numFmtId="1" fontId="32" fillId="0" borderId="2112" xfId="0" applyNumberFormat="1" applyFont="1" applyBorder="1" applyAlignment="1">
      <alignment horizontal="center" vertical="center"/>
    </xf>
    <xf numFmtId="1" fontId="32" fillId="0" borderId="2143" xfId="0" applyNumberFormat="1" applyFont="1" applyBorder="1" applyAlignment="1">
      <alignment horizontal="center" vertical="center"/>
    </xf>
    <xf numFmtId="1" fontId="32" fillId="3" borderId="2143" xfId="0" applyNumberFormat="1" applyFont="1" applyFill="1" applyBorder="1" applyAlignment="1">
      <alignment horizontal="center" vertical="center"/>
    </xf>
    <xf numFmtId="1" fontId="32" fillId="3" borderId="2139" xfId="0" applyNumberFormat="1" applyFont="1" applyFill="1" applyBorder="1" applyAlignment="1">
      <alignment horizontal="center" vertical="center"/>
    </xf>
    <xf numFmtId="1" fontId="32" fillId="0" borderId="2140" xfId="0" applyNumberFormat="1" applyFont="1" applyBorder="1" applyAlignment="1">
      <alignment horizontal="center" vertical="center"/>
    </xf>
    <xf numFmtId="1" fontId="6" fillId="0" borderId="2277" xfId="0" applyNumberFormat="1" applyFont="1" applyBorder="1" applyAlignment="1">
      <alignment horizontal="left" vertical="center"/>
    </xf>
    <xf numFmtId="1" fontId="32" fillId="0" borderId="544" xfId="0" applyNumberFormat="1" applyFont="1" applyBorder="1" applyAlignment="1">
      <alignment horizontal="center" vertical="center" wrapText="1"/>
    </xf>
    <xf numFmtId="1" fontId="32" fillId="0" borderId="517" xfId="0" applyNumberFormat="1" applyFont="1" applyBorder="1" applyAlignment="1">
      <alignment horizontal="center" vertical="center"/>
    </xf>
    <xf numFmtId="1" fontId="32" fillId="0" borderId="741" xfId="0" applyNumberFormat="1" applyFont="1" applyBorder="1" applyAlignment="1">
      <alignment horizontal="center" vertical="center"/>
    </xf>
    <xf numFmtId="0" fontId="6" fillId="0" borderId="1578" xfId="0" applyFont="1" applyBorder="1" applyAlignment="1">
      <alignment horizontal="center" vertical="center" wrapText="1"/>
    </xf>
    <xf numFmtId="1" fontId="6" fillId="12" borderId="1524" xfId="0" applyNumberFormat="1" applyFont="1" applyFill="1" applyBorder="1"/>
    <xf numFmtId="1" fontId="6" fillId="5" borderId="2291" xfId="0" applyNumberFormat="1" applyFont="1" applyFill="1" applyBorder="1" applyProtection="1">
      <protection locked="0"/>
    </xf>
    <xf numFmtId="1" fontId="6" fillId="5" borderId="2292" xfId="0" applyNumberFormat="1" applyFont="1" applyFill="1" applyBorder="1" applyProtection="1">
      <protection locked="0"/>
    </xf>
    <xf numFmtId="1" fontId="6" fillId="5" borderId="2293" xfId="0" applyNumberFormat="1" applyFont="1" applyFill="1" applyBorder="1" applyProtection="1">
      <protection locked="0"/>
    </xf>
    <xf numFmtId="1" fontId="6" fillId="0" borderId="2294" xfId="0" applyNumberFormat="1" applyFont="1" applyBorder="1" applyAlignment="1">
      <alignment horizontal="center" vertical="center"/>
    </xf>
    <xf numFmtId="1" fontId="6" fillId="0" borderId="2288" xfId="0" applyNumberFormat="1" applyFont="1" applyBorder="1" applyAlignment="1">
      <alignment horizontal="center" vertical="center" wrapText="1"/>
    </xf>
    <xf numFmtId="1" fontId="6" fillId="0" borderId="2274" xfId="0" applyNumberFormat="1" applyFont="1" applyBorder="1" applyAlignment="1">
      <alignment horizontal="center" vertical="center" wrapText="1"/>
    </xf>
    <xf numFmtId="1" fontId="6" fillId="0" borderId="2254" xfId="0" applyNumberFormat="1" applyFont="1" applyBorder="1"/>
    <xf numFmtId="1" fontId="6" fillId="0" borderId="2297" xfId="0" applyNumberFormat="1" applyFont="1" applyBorder="1"/>
    <xf numFmtId="1" fontId="6" fillId="0" borderId="2298" xfId="0" applyNumberFormat="1" applyFont="1" applyBorder="1"/>
    <xf numFmtId="1" fontId="6" fillId="5" borderId="2253" xfId="0" applyNumberFormat="1" applyFont="1" applyFill="1" applyBorder="1" applyProtection="1">
      <protection locked="0"/>
    </xf>
    <xf numFmtId="1" fontId="6" fillId="5" borderId="2299" xfId="0" applyNumberFormat="1" applyFont="1" applyFill="1" applyBorder="1" applyProtection="1">
      <protection locked="0"/>
    </xf>
    <xf numFmtId="1" fontId="6" fillId="5" borderId="2300" xfId="0" applyNumberFormat="1" applyFont="1" applyFill="1" applyBorder="1" applyProtection="1">
      <protection locked="0"/>
    </xf>
    <xf numFmtId="1" fontId="6" fillId="0" borderId="1700" xfId="0" applyNumberFormat="1" applyFont="1" applyBorder="1"/>
    <xf numFmtId="1" fontId="6" fillId="0" borderId="1524" xfId="0" applyNumberFormat="1" applyFont="1" applyBorder="1"/>
    <xf numFmtId="1" fontId="11" fillId="3" borderId="2287" xfId="0" applyNumberFormat="1" applyFont="1" applyFill="1" applyBorder="1" applyAlignment="1">
      <alignment vertical="top"/>
    </xf>
    <xf numFmtId="1" fontId="6" fillId="0" borderId="2248" xfId="0" applyNumberFormat="1" applyFont="1" applyBorder="1" applyAlignment="1">
      <alignment horizontal="center" vertical="center" wrapText="1"/>
    </xf>
    <xf numFmtId="1" fontId="6" fillId="0" borderId="2294" xfId="0" applyNumberFormat="1" applyFont="1" applyBorder="1" applyAlignment="1">
      <alignment horizontal="center" vertical="center" wrapText="1"/>
    </xf>
    <xf numFmtId="1" fontId="6" fillId="0" borderId="2287" xfId="0" applyNumberFormat="1" applyFont="1" applyBorder="1" applyAlignment="1">
      <alignment horizontal="center" vertical="center" wrapText="1"/>
    </xf>
    <xf numFmtId="1" fontId="6" fillId="0" borderId="2253" xfId="0" applyNumberFormat="1" applyFont="1" applyBorder="1"/>
    <xf numFmtId="1" fontId="6" fillId="5" borderId="2298" xfId="0" applyNumberFormat="1" applyFont="1" applyFill="1" applyBorder="1" applyProtection="1">
      <protection locked="0"/>
    </xf>
    <xf numFmtId="1" fontId="6" fillId="5" borderId="2295" xfId="0" applyNumberFormat="1" applyFont="1" applyFill="1" applyBorder="1" applyProtection="1">
      <protection locked="0"/>
    </xf>
    <xf numFmtId="1" fontId="6" fillId="5" borderId="2301" xfId="0" applyNumberFormat="1" applyFont="1" applyFill="1" applyBorder="1" applyProtection="1">
      <protection locked="0"/>
    </xf>
    <xf numFmtId="1" fontId="11" fillId="5" borderId="2252" xfId="0" applyNumberFormat="1" applyFont="1" applyFill="1" applyBorder="1" applyProtection="1">
      <protection locked="0"/>
    </xf>
    <xf numFmtId="1" fontId="11" fillId="5" borderId="2258" xfId="0" applyNumberFormat="1" applyFont="1" applyFill="1" applyBorder="1" applyProtection="1">
      <protection locked="0"/>
    </xf>
    <xf numFmtId="1" fontId="6" fillId="0" borderId="1522" xfId="0" applyNumberFormat="1" applyFont="1" applyBorder="1"/>
    <xf numFmtId="1" fontId="11" fillId="5" borderId="1525" xfId="0" applyNumberFormat="1" applyFont="1" applyFill="1" applyBorder="1" applyProtection="1">
      <protection locked="0"/>
    </xf>
    <xf numFmtId="1" fontId="11" fillId="5" borderId="1521" xfId="0" applyNumberFormat="1" applyFont="1" applyFill="1" applyBorder="1" applyProtection="1">
      <protection locked="0"/>
    </xf>
    <xf numFmtId="1" fontId="6" fillId="3" borderId="1522" xfId="0" applyNumberFormat="1" applyFont="1" applyFill="1" applyBorder="1"/>
    <xf numFmtId="1" fontId="6" fillId="0" borderId="2288" xfId="0" applyNumberFormat="1" applyFont="1" applyBorder="1"/>
    <xf numFmtId="1" fontId="6" fillId="0" borderId="2294" xfId="0" applyNumberFormat="1" applyFont="1" applyBorder="1"/>
    <xf numFmtId="1" fontId="6" fillId="0" borderId="2287" xfId="0" applyNumberFormat="1" applyFont="1" applyBorder="1"/>
    <xf numFmtId="1" fontId="6" fillId="0" borderId="2274" xfId="0" applyNumberFormat="1" applyFont="1" applyBorder="1"/>
    <xf numFmtId="1" fontId="6" fillId="0" borderId="2257" xfId="0" applyNumberFormat="1" applyFont="1" applyBorder="1"/>
    <xf numFmtId="1" fontId="6" fillId="0" borderId="2288" xfId="0" applyNumberFormat="1" applyFont="1" applyBorder="1" applyAlignment="1">
      <alignment horizontal="center" vertical="center"/>
    </xf>
    <xf numFmtId="1" fontId="6" fillId="0" borderId="2286" xfId="0" applyNumberFormat="1" applyFont="1" applyBorder="1" applyAlignment="1">
      <alignment horizontal="center" vertical="center" wrapText="1"/>
    </xf>
    <xf numFmtId="1" fontId="6" fillId="0" borderId="2253" xfId="0" applyNumberFormat="1" applyFont="1" applyBorder="1" applyAlignment="1">
      <alignment horizontal="center" vertical="center" wrapText="1"/>
    </xf>
    <xf numFmtId="1" fontId="6" fillId="0" borderId="2297" xfId="0" applyNumberFormat="1" applyFont="1" applyBorder="1" applyAlignment="1">
      <alignment horizontal="center" vertical="center" wrapText="1"/>
    </xf>
    <xf numFmtId="1" fontId="6" fillId="0" borderId="2252" xfId="0" applyNumberFormat="1" applyFont="1" applyBorder="1" applyAlignment="1">
      <alignment horizontal="center" vertical="center" wrapText="1"/>
    </xf>
    <xf numFmtId="1" fontId="6" fillId="5" borderId="22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9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30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52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1608" xfId="0" applyNumberFormat="1" applyFont="1" applyFill="1" applyBorder="1"/>
    <xf numFmtId="1" fontId="6" fillId="4" borderId="2147" xfId="0" applyNumberFormat="1" applyFont="1" applyFill="1" applyBorder="1"/>
    <xf numFmtId="1" fontId="6" fillId="0" borderId="1522" xfId="0" applyNumberFormat="1" applyFont="1" applyBorder="1" applyAlignment="1">
      <alignment horizontal="center" vertical="center" wrapText="1"/>
    </xf>
    <xf numFmtId="1" fontId="6" fillId="0" borderId="1700" xfId="0" applyNumberFormat="1" applyFont="1" applyBorder="1" applyAlignment="1">
      <alignment horizontal="center" vertical="center" wrapText="1"/>
    </xf>
    <xf numFmtId="1" fontId="6" fillId="0" borderId="1525" xfId="0" applyNumberFormat="1" applyFont="1" applyBorder="1" applyAlignment="1">
      <alignment horizontal="center" vertical="center" wrapText="1"/>
    </xf>
    <xf numFmtId="1" fontId="6" fillId="5" borderId="152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5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60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1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52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874" xfId="0" applyNumberFormat="1" applyFont="1" applyBorder="1" applyAlignment="1">
      <alignment horizontal="center" vertical="center" wrapText="1"/>
    </xf>
    <xf numFmtId="1" fontId="6" fillId="0" borderId="1875" xfId="0" applyNumberFormat="1" applyFont="1" applyBorder="1" applyAlignment="1">
      <alignment horizontal="center" vertical="center" wrapText="1"/>
    </xf>
    <xf numFmtId="1" fontId="6" fillId="0" borderId="1876" xfId="0" applyNumberFormat="1" applyFont="1" applyBorder="1" applyAlignment="1">
      <alignment horizontal="center" vertical="center" wrapText="1"/>
    </xf>
    <xf numFmtId="1" fontId="6" fillId="4" borderId="1874" xfId="0" applyNumberFormat="1" applyFont="1" applyFill="1" applyBorder="1"/>
    <xf numFmtId="1" fontId="6" fillId="4" borderId="1876" xfId="0" applyNumberFormat="1" applyFont="1" applyFill="1" applyBorder="1"/>
    <xf numFmtId="1" fontId="6" fillId="5" borderId="186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5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864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2247" xfId="0" applyNumberFormat="1" applyFont="1" applyFill="1" applyBorder="1"/>
    <xf numFmtId="1" fontId="6" fillId="4" borderId="2288" xfId="0" applyNumberFormat="1" applyFont="1" applyFill="1" applyBorder="1"/>
    <xf numFmtId="1" fontId="6" fillId="0" borderId="2303" xfId="0" applyNumberFormat="1" applyFont="1" applyBorder="1" applyAlignment="1">
      <alignment horizontal="center" vertical="center" wrapText="1"/>
    </xf>
    <xf numFmtId="1" fontId="6" fillId="0" borderId="2257" xfId="0" applyNumberFormat="1" applyFont="1" applyBorder="1" applyAlignment="1">
      <alignment horizontal="center" vertical="center" wrapText="1"/>
    </xf>
    <xf numFmtId="1" fontId="6" fillId="5" borderId="22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8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8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9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3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167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2277" xfId="0" applyNumberFormat="1" applyFont="1" applyFill="1" applyBorder="1" applyAlignment="1">
      <alignment horizontal="center" vertical="center" wrapText="1"/>
    </xf>
    <xf numFmtId="1" fontId="6" fillId="5" borderId="227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521" xfId="0" applyNumberFormat="1" applyFont="1" applyBorder="1" applyAlignment="1">
      <alignment horizontal="center" vertical="center" wrapText="1"/>
    </xf>
    <xf numFmtId="1" fontId="6" fillId="5" borderId="152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523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857" xfId="0" applyNumberFormat="1" applyFont="1" applyBorder="1" applyAlignment="1">
      <alignment horizontal="center" vertical="center" wrapText="1"/>
    </xf>
    <xf numFmtId="1" fontId="6" fillId="5" borderId="18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87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866" xfId="0" applyNumberFormat="1" applyFont="1" applyBorder="1" applyAlignment="1">
      <alignment horizontal="center" vertical="center" wrapText="1"/>
    </xf>
    <xf numFmtId="1" fontId="6" fillId="3" borderId="1524" xfId="0" applyNumberFormat="1" applyFont="1" applyFill="1" applyBorder="1" applyAlignment="1">
      <alignment horizontal="center" vertical="center" wrapText="1"/>
    </xf>
    <xf numFmtId="1" fontId="6" fillId="0" borderId="1864" xfId="0" applyNumberFormat="1" applyFont="1" applyBorder="1" applyAlignment="1">
      <alignment horizontal="center" vertical="center" wrapText="1"/>
    </xf>
    <xf numFmtId="1" fontId="6" fillId="5" borderId="187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863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277" xfId="0" applyNumberFormat="1" applyFont="1" applyBorder="1" applyAlignment="1">
      <alignment horizontal="center" vertical="center" wrapText="1"/>
    </xf>
    <xf numFmtId="1" fontId="6" fillId="3" borderId="2297" xfId="0" applyNumberFormat="1" applyFont="1" applyFill="1" applyBorder="1" applyAlignment="1">
      <alignment horizontal="center" vertical="center" wrapText="1"/>
    </xf>
    <xf numFmtId="1" fontId="6" fillId="0" borderId="2298" xfId="0" applyNumberFormat="1" applyFont="1" applyBorder="1" applyAlignment="1">
      <alignment horizontal="center" vertical="center" wrapText="1"/>
    </xf>
    <xf numFmtId="1" fontId="6" fillId="5" borderId="2258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1700" xfId="0" applyNumberFormat="1" applyFont="1" applyFill="1" applyBorder="1" applyAlignment="1">
      <alignment horizontal="center" vertical="center" wrapText="1"/>
    </xf>
    <xf numFmtId="1" fontId="6" fillId="5" borderId="15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868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2247" xfId="0" applyNumberFormat="1" applyFont="1" applyFill="1" applyBorder="1" applyAlignment="1">
      <alignment horizontal="center" vertical="center" wrapText="1"/>
    </xf>
    <xf numFmtId="1" fontId="6" fillId="3" borderId="2248" xfId="0" applyNumberFormat="1" applyFont="1" applyFill="1" applyBorder="1" applyAlignment="1">
      <alignment horizontal="center" vertical="center" wrapText="1"/>
    </xf>
    <xf numFmtId="1" fontId="6" fillId="3" borderId="2249" xfId="0" applyNumberFormat="1" applyFont="1" applyFill="1" applyBorder="1" applyAlignment="1">
      <alignment horizontal="center" vertical="center" wrapText="1"/>
    </xf>
    <xf numFmtId="1" fontId="6" fillId="3" borderId="2294" xfId="0" applyNumberFormat="1" applyFont="1" applyFill="1" applyBorder="1" applyAlignment="1">
      <alignment horizontal="center" vertical="center" wrapText="1"/>
    </xf>
    <xf numFmtId="1" fontId="6" fillId="3" borderId="2303" xfId="0" applyNumberFormat="1" applyFont="1" applyFill="1" applyBorder="1" applyAlignment="1">
      <alignment horizontal="center" vertical="center" wrapText="1"/>
    </xf>
    <xf numFmtId="1" fontId="6" fillId="3" borderId="2257" xfId="0" applyNumberFormat="1" applyFont="1" applyFill="1" applyBorder="1" applyAlignment="1">
      <alignment horizontal="center" vertical="center" wrapText="1"/>
    </xf>
    <xf numFmtId="0" fontId="38" fillId="23" borderId="2253" xfId="0" applyFont="1" applyFill="1" applyBorder="1"/>
    <xf numFmtId="0" fontId="38" fillId="23" borderId="2298" xfId="0" applyFont="1" applyFill="1" applyBorder="1"/>
    <xf numFmtId="0" fontId="38" fillId="23" borderId="2254" xfId="0" applyFont="1" applyFill="1" applyBorder="1"/>
    <xf numFmtId="1" fontId="6" fillId="12" borderId="1874" xfId="0" applyNumberFormat="1" applyFont="1" applyFill="1" applyBorder="1" applyAlignment="1">
      <alignment horizontal="center" vertical="center" wrapText="1"/>
    </xf>
    <xf numFmtId="1" fontId="6" fillId="5" borderId="2304" xfId="0" applyNumberFormat="1" applyFont="1" applyFill="1" applyBorder="1" applyAlignment="1" applyProtection="1">
      <alignment horizontal="center" vertical="center" wrapText="1"/>
      <protection locked="0"/>
    </xf>
    <xf numFmtId="0" fontId="38" fillId="23" borderId="1522" xfId="0" applyFont="1" applyFill="1" applyBorder="1"/>
    <xf numFmtId="1" fontId="6" fillId="5" borderId="1857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2247" xfId="0" applyNumberFormat="1" applyFont="1" applyFill="1" applyBorder="1" applyAlignment="1">
      <alignment horizontal="center" vertical="center" wrapText="1"/>
    </xf>
    <xf numFmtId="1" fontId="6" fillId="12" borderId="2288" xfId="0" applyNumberFormat="1" applyFont="1" applyFill="1" applyBorder="1" applyAlignment="1">
      <alignment horizontal="center" vertical="center" wrapText="1"/>
    </xf>
    <xf numFmtId="1" fontId="6" fillId="12" borderId="2249" xfId="0" applyNumberFormat="1" applyFont="1" applyFill="1" applyBorder="1" applyAlignment="1">
      <alignment horizontal="center" vertical="center" wrapText="1"/>
    </xf>
    <xf numFmtId="1" fontId="6" fillId="0" borderId="2167" xfId="0" applyNumberFormat="1" applyFont="1" applyBorder="1" applyAlignment="1">
      <alignment horizontal="center" vertical="center" wrapText="1"/>
    </xf>
    <xf numFmtId="1" fontId="6" fillId="15" borderId="2257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2277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521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2258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857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2258" xfId="0" applyNumberFormat="1" applyFont="1" applyFill="1" applyBorder="1" applyAlignment="1" applyProtection="1">
      <alignment horizontal="right" vertical="center"/>
      <protection locked="0"/>
    </xf>
    <xf numFmtId="1" fontId="6" fillId="15" borderId="2258" xfId="0" applyNumberFormat="1" applyFont="1" applyFill="1" applyBorder="1" applyAlignment="1" applyProtection="1">
      <alignment horizontal="right" vertical="top" wrapText="1"/>
      <protection locked="0"/>
    </xf>
    <xf numFmtId="1" fontId="6" fillId="15" borderId="1521" xfId="0" applyNumberFormat="1" applyFont="1" applyFill="1" applyBorder="1" applyAlignment="1" applyProtection="1">
      <alignment horizontal="right" vertical="center"/>
      <protection locked="0"/>
    </xf>
    <xf numFmtId="1" fontId="6" fillId="15" borderId="1521" xfId="0" applyNumberFormat="1" applyFont="1" applyFill="1" applyBorder="1" applyAlignment="1" applyProtection="1">
      <alignment horizontal="right" vertical="top" wrapText="1"/>
      <protection locked="0"/>
    </xf>
    <xf numFmtId="1" fontId="6" fillId="15" borderId="1868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868" xfId="0" applyNumberFormat="1" applyFont="1" applyFill="1" applyBorder="1" applyAlignment="1" applyProtection="1">
      <alignment horizontal="right" vertical="center"/>
      <protection locked="0"/>
    </xf>
    <xf numFmtId="1" fontId="6" fillId="15" borderId="1868" xfId="0" applyNumberFormat="1" applyFont="1" applyFill="1" applyBorder="1" applyAlignment="1" applyProtection="1">
      <alignment horizontal="right" vertical="top" wrapText="1"/>
      <protection locked="0"/>
    </xf>
    <xf numFmtId="1" fontId="6" fillId="0" borderId="2249" xfId="0" applyNumberFormat="1" applyFont="1" applyBorder="1" applyAlignment="1">
      <alignment horizontal="center" vertical="center"/>
    </xf>
    <xf numFmtId="1" fontId="6" fillId="5" borderId="2258" xfId="0" applyNumberFormat="1" applyFont="1" applyFill="1" applyBorder="1" applyProtection="1">
      <protection locked="0"/>
    </xf>
    <xf numFmtId="1" fontId="6" fillId="0" borderId="1522" xfId="0" applyNumberFormat="1" applyFont="1" applyBorder="1" applyAlignment="1">
      <alignment horizontal="right" wrapText="1"/>
    </xf>
    <xf numFmtId="1" fontId="6" fillId="12" borderId="1522" xfId="0" applyNumberFormat="1" applyFont="1" applyFill="1" applyBorder="1"/>
    <xf numFmtId="1" fontId="6" fillId="12" borderId="1534" xfId="0" applyNumberFormat="1" applyFont="1" applyFill="1" applyBorder="1"/>
    <xf numFmtId="1" fontId="6" fillId="12" borderId="2147" xfId="0" applyNumberFormat="1" applyFont="1" applyFill="1" applyBorder="1"/>
    <xf numFmtId="1" fontId="6" fillId="12" borderId="1608" xfId="0" applyNumberFormat="1" applyFont="1" applyFill="1" applyBorder="1"/>
    <xf numFmtId="1" fontId="6" fillId="12" borderId="1521" xfId="0" applyNumberFormat="1" applyFont="1" applyFill="1" applyBorder="1"/>
    <xf numFmtId="1" fontId="6" fillId="15" borderId="1521" xfId="0" applyNumberFormat="1" applyFont="1" applyFill="1" applyBorder="1" applyProtection="1">
      <protection locked="0"/>
    </xf>
    <xf numFmtId="1" fontId="6" fillId="15" borderId="1534" xfId="0" applyNumberFormat="1" applyFont="1" applyFill="1" applyBorder="1" applyProtection="1">
      <protection locked="0"/>
    </xf>
    <xf numFmtId="1" fontId="6" fillId="15" borderId="1525" xfId="0" applyNumberFormat="1" applyFont="1" applyFill="1" applyBorder="1" applyProtection="1">
      <protection locked="0"/>
    </xf>
    <xf numFmtId="1" fontId="6" fillId="0" borderId="1866" xfId="0" applyNumberFormat="1" applyFont="1" applyBorder="1" applyAlignment="1">
      <alignment horizontal="right" wrapText="1"/>
    </xf>
    <xf numFmtId="1" fontId="6" fillId="0" borderId="2247" xfId="0" applyNumberFormat="1" applyFont="1" applyBorder="1" applyAlignment="1">
      <alignment horizontal="right" wrapText="1"/>
    </xf>
    <xf numFmtId="1" fontId="6" fillId="0" borderId="2288" xfId="0" applyNumberFormat="1" applyFont="1" applyBorder="1" applyAlignment="1">
      <alignment horizontal="right" wrapText="1"/>
    </xf>
    <xf numFmtId="1" fontId="6" fillId="0" borderId="2287" xfId="0" applyNumberFormat="1" applyFont="1" applyBorder="1" applyAlignment="1">
      <alignment horizontal="right" wrapText="1"/>
    </xf>
    <xf numFmtId="1" fontId="6" fillId="0" borderId="2286" xfId="0" applyNumberFormat="1" applyFont="1" applyBorder="1" applyAlignment="1">
      <alignment horizontal="right"/>
    </xf>
    <xf numFmtId="1" fontId="6" fillId="0" borderId="2288" xfId="0" applyNumberFormat="1" applyFont="1" applyBorder="1" applyAlignment="1">
      <alignment horizontal="right"/>
    </xf>
    <xf numFmtId="1" fontId="6" fillId="0" borderId="2287" xfId="0" applyNumberFormat="1" applyFont="1" applyBorder="1" applyAlignment="1">
      <alignment horizontal="right"/>
    </xf>
    <xf numFmtId="1" fontId="6" fillId="0" borderId="2274" xfId="0" applyNumberFormat="1" applyFont="1" applyBorder="1" applyAlignment="1">
      <alignment horizontal="right"/>
    </xf>
    <xf numFmtId="1" fontId="6" fillId="0" borderId="2167" xfId="0" applyNumberFormat="1" applyFont="1" applyBorder="1" applyAlignment="1">
      <alignment horizontal="right"/>
    </xf>
    <xf numFmtId="1" fontId="6" fillId="0" borderId="2257" xfId="0" applyNumberFormat="1" applyFont="1" applyBorder="1" applyAlignment="1">
      <alignment horizontal="right"/>
    </xf>
    <xf numFmtId="1" fontId="6" fillId="0" borderId="2258" xfId="0" applyNumberFormat="1" applyFont="1" applyBorder="1" applyAlignment="1">
      <alignment horizontal="right" wrapText="1"/>
    </xf>
    <xf numFmtId="1" fontId="6" fillId="5" borderId="2297" xfId="0" applyNumberFormat="1" applyFont="1" applyFill="1" applyBorder="1" applyProtection="1">
      <protection locked="0"/>
    </xf>
    <xf numFmtId="1" fontId="6" fillId="0" borderId="1525" xfId="0" applyNumberFormat="1" applyFont="1" applyBorder="1" applyAlignment="1">
      <alignment horizontal="right" wrapText="1"/>
    </xf>
    <xf numFmtId="1" fontId="6" fillId="3" borderId="1525" xfId="0" applyNumberFormat="1" applyFont="1" applyFill="1" applyBorder="1" applyAlignment="1">
      <alignment horizontal="right" wrapText="1"/>
    </xf>
    <xf numFmtId="1" fontId="6" fillId="0" borderId="2247" xfId="0" applyNumberFormat="1" applyFont="1" applyBorder="1" applyAlignment="1">
      <alignment horizontal="right"/>
    </xf>
    <xf numFmtId="1" fontId="6" fillId="0" borderId="2294" xfId="0" applyNumberFormat="1" applyFont="1" applyBorder="1" applyAlignment="1">
      <alignment horizontal="right"/>
    </xf>
    <xf numFmtId="1" fontId="6" fillId="3" borderId="2257" xfId="0" applyNumberFormat="1" applyFont="1" applyFill="1" applyBorder="1" applyAlignment="1">
      <alignment horizontal="right"/>
    </xf>
    <xf numFmtId="1" fontId="6" fillId="3" borderId="2258" xfId="0" applyNumberFormat="1" applyFont="1" applyFill="1" applyBorder="1" applyAlignment="1">
      <alignment horizontal="right" wrapText="1"/>
    </xf>
    <xf numFmtId="1" fontId="6" fillId="12" borderId="2258" xfId="0" applyNumberFormat="1" applyFont="1" applyFill="1" applyBorder="1" applyAlignment="1">
      <alignment horizontal="right" wrapText="1"/>
    </xf>
    <xf numFmtId="1" fontId="6" fillId="3" borderId="2258" xfId="0" applyNumberFormat="1" applyFont="1" applyFill="1" applyBorder="1" applyAlignment="1">
      <alignment horizontal="right"/>
    </xf>
    <xf numFmtId="1" fontId="6" fillId="4" borderId="2253" xfId="0" applyNumberFormat="1" applyFont="1" applyFill="1" applyBorder="1"/>
    <xf numFmtId="1" fontId="6" fillId="4" borderId="2298" xfId="0" applyNumberFormat="1" applyFont="1" applyFill="1" applyBorder="1"/>
    <xf numFmtId="1" fontId="6" fillId="12" borderId="2253" xfId="0" applyNumberFormat="1" applyFont="1" applyFill="1" applyBorder="1"/>
    <xf numFmtId="1" fontId="6" fillId="5" borderId="2302" xfId="0" applyNumberFormat="1" applyFont="1" applyFill="1" applyBorder="1" applyProtection="1">
      <protection locked="0"/>
    </xf>
    <xf numFmtId="1" fontId="6" fillId="12" borderId="2258" xfId="0" applyNumberFormat="1" applyFont="1" applyFill="1" applyBorder="1"/>
    <xf numFmtId="1" fontId="6" fillId="3" borderId="1521" xfId="0" applyNumberFormat="1" applyFont="1" applyFill="1" applyBorder="1" applyAlignment="1">
      <alignment horizontal="right" wrapText="1"/>
    </xf>
    <xf numFmtId="1" fontId="6" fillId="12" borderId="1521" xfId="0" applyNumberFormat="1" applyFont="1" applyFill="1" applyBorder="1" applyAlignment="1">
      <alignment horizontal="right" wrapText="1"/>
    </xf>
    <xf numFmtId="1" fontId="6" fillId="3" borderId="1521" xfId="0" applyNumberFormat="1" applyFont="1" applyFill="1" applyBorder="1" applyAlignment="1">
      <alignment horizontal="right"/>
    </xf>
    <xf numFmtId="1" fontId="6" fillId="12" borderId="2277" xfId="0" applyNumberFormat="1" applyFont="1" applyFill="1" applyBorder="1"/>
    <xf numFmtId="1" fontId="6" fillId="12" borderId="2276" xfId="0" applyNumberFormat="1" applyFont="1" applyFill="1" applyBorder="1"/>
    <xf numFmtId="1" fontId="6" fillId="12" borderId="1857" xfId="0" applyNumberFormat="1" applyFont="1" applyFill="1" applyBorder="1" applyAlignment="1">
      <alignment horizontal="right" wrapText="1"/>
    </xf>
    <xf numFmtId="1" fontId="6" fillId="12" borderId="435" xfId="0" applyNumberFormat="1" applyFont="1" applyFill="1" applyBorder="1"/>
    <xf numFmtId="1" fontId="6" fillId="12" borderId="1868" xfId="0" applyNumberFormat="1" applyFont="1" applyFill="1" applyBorder="1" applyAlignment="1">
      <alignment horizontal="right" wrapText="1"/>
    </xf>
    <xf numFmtId="1" fontId="6" fillId="3" borderId="1857" xfId="0" applyNumberFormat="1" applyFont="1" applyFill="1" applyBorder="1" applyAlignment="1">
      <alignment horizontal="right"/>
    </xf>
    <xf numFmtId="1" fontId="6" fillId="12" borderId="1715" xfId="0" applyNumberFormat="1" applyFont="1" applyFill="1" applyBorder="1"/>
    <xf numFmtId="1" fontId="6" fillId="12" borderId="2247" xfId="0" applyNumberFormat="1" applyFont="1" applyFill="1" applyBorder="1"/>
    <xf numFmtId="1" fontId="6" fillId="0" borderId="2167" xfId="0" applyNumberFormat="1" applyFont="1" applyBorder="1"/>
    <xf numFmtId="1" fontId="6" fillId="3" borderId="2277" xfId="0" applyNumberFormat="1" applyFont="1" applyFill="1" applyBorder="1" applyAlignment="1">
      <alignment horizontal="right" wrapText="1"/>
    </xf>
    <xf numFmtId="1" fontId="6" fillId="3" borderId="2277" xfId="0" applyNumberFormat="1" applyFont="1" applyFill="1" applyBorder="1" applyAlignment="1">
      <alignment horizontal="right"/>
    </xf>
    <xf numFmtId="1" fontId="6" fillId="0" borderId="1521" xfId="0" applyNumberFormat="1" applyFont="1" applyBorder="1" applyAlignment="1">
      <alignment horizontal="left" vertical="center"/>
    </xf>
    <xf numFmtId="1" fontId="6" fillId="5" borderId="2147" xfId="0" applyNumberFormat="1" applyFont="1" applyFill="1" applyBorder="1" applyProtection="1">
      <protection locked="0"/>
    </xf>
    <xf numFmtId="1" fontId="6" fillId="3" borderId="1868" xfId="0" applyNumberFormat="1" applyFont="1" applyFill="1" applyBorder="1" applyAlignment="1">
      <alignment horizontal="right"/>
    </xf>
    <xf numFmtId="1" fontId="6" fillId="3" borderId="2258" xfId="0" applyNumberFormat="1" applyFont="1" applyFill="1" applyBorder="1" applyAlignment="1">
      <alignment vertical="center"/>
    </xf>
    <xf numFmtId="1" fontId="6" fillId="12" borderId="2298" xfId="0" applyNumberFormat="1" applyFont="1" applyFill="1" applyBorder="1"/>
    <xf numFmtId="1" fontId="6" fillId="12" borderId="2252" xfId="0" applyNumberFormat="1" applyFont="1" applyFill="1" applyBorder="1"/>
    <xf numFmtId="1" fontId="6" fillId="3" borderId="2277" xfId="0" applyNumberFormat="1" applyFont="1" applyFill="1" applyBorder="1" applyAlignment="1">
      <alignment vertical="center"/>
    </xf>
    <xf numFmtId="1" fontId="6" fillId="12" borderId="2277" xfId="0" applyNumberFormat="1" applyFont="1" applyFill="1" applyBorder="1" applyAlignment="1">
      <alignment horizontal="right"/>
    </xf>
    <xf numFmtId="1" fontId="6" fillId="12" borderId="435" xfId="0" applyNumberFormat="1" applyFont="1" applyFill="1" applyBorder="1" applyAlignment="1">
      <alignment horizontal="right"/>
    </xf>
    <xf numFmtId="1" fontId="6" fillId="12" borderId="1868" xfId="0" applyNumberFormat="1" applyFont="1" applyFill="1" applyBorder="1" applyAlignment="1">
      <alignment horizontal="right"/>
    </xf>
    <xf numFmtId="1" fontId="6" fillId="12" borderId="1920" xfId="0" applyNumberFormat="1" applyFont="1" applyFill="1" applyBorder="1"/>
    <xf numFmtId="1" fontId="6" fillId="12" borderId="1868" xfId="0" applyNumberFormat="1" applyFont="1" applyFill="1" applyBorder="1"/>
    <xf numFmtId="1" fontId="6" fillId="14" borderId="2258" xfId="0" applyNumberFormat="1" applyFont="1" applyFill="1" applyBorder="1" applyAlignment="1">
      <alignment horizontal="left" vertical="center"/>
    </xf>
    <xf numFmtId="1" fontId="6" fillId="14" borderId="1715" xfId="0" applyNumberFormat="1" applyFont="1" applyFill="1" applyBorder="1"/>
    <xf numFmtId="1" fontId="6" fillId="14" borderId="1920" xfId="0" applyNumberFormat="1" applyFont="1" applyFill="1" applyBorder="1"/>
    <xf numFmtId="1" fontId="6" fillId="14" borderId="2247" xfId="0" applyNumberFormat="1" applyFont="1" applyFill="1" applyBorder="1"/>
    <xf numFmtId="1" fontId="6" fillId="5" borderId="2296" xfId="0" applyNumberFormat="1" applyFont="1" applyFill="1" applyBorder="1" applyProtection="1">
      <protection locked="0"/>
    </xf>
    <xf numFmtId="1" fontId="6" fillId="14" borderId="2277" xfId="0" applyNumberFormat="1" applyFont="1" applyFill="1" applyBorder="1" applyAlignment="1">
      <alignment horizontal="left" vertical="center" wrapText="1"/>
    </xf>
    <xf numFmtId="1" fontId="6" fillId="0" borderId="2258" xfId="0" applyNumberFormat="1" applyFont="1" applyBorder="1" applyAlignment="1">
      <alignment horizontal="left" vertical="center"/>
    </xf>
    <xf numFmtId="1" fontId="6" fillId="3" borderId="1857" xfId="0" applyNumberFormat="1" applyFont="1" applyFill="1" applyBorder="1" applyAlignment="1">
      <alignment horizontal="right" wrapText="1"/>
    </xf>
    <xf numFmtId="1" fontId="6" fillId="12" borderId="1874" xfId="0" applyNumberFormat="1" applyFont="1" applyFill="1" applyBorder="1"/>
    <xf numFmtId="1" fontId="6" fillId="12" borderId="1876" xfId="0" applyNumberFormat="1" applyFont="1" applyFill="1" applyBorder="1"/>
    <xf numFmtId="1" fontId="6" fillId="12" borderId="1857" xfId="0" applyNumberFormat="1" applyFont="1" applyFill="1" applyBorder="1"/>
    <xf numFmtId="1" fontId="6" fillId="0" borderId="435" xfId="0" applyNumberFormat="1" applyFont="1" applyBorder="1" applyAlignment="1">
      <alignment horizontal="left" vertical="center"/>
    </xf>
    <xf numFmtId="1" fontId="6" fillId="12" borderId="1866" xfId="0" applyNumberFormat="1" applyFont="1" applyFill="1" applyBorder="1"/>
    <xf numFmtId="1" fontId="6" fillId="12" borderId="1873" xfId="0" applyNumberFormat="1" applyFont="1" applyFill="1" applyBorder="1"/>
    <xf numFmtId="1" fontId="6" fillId="12" borderId="1864" xfId="0" applyNumberFormat="1" applyFont="1" applyFill="1" applyBorder="1"/>
    <xf numFmtId="1" fontId="6" fillId="3" borderId="2257" xfId="0" applyNumberFormat="1" applyFont="1" applyFill="1" applyBorder="1" applyAlignment="1">
      <alignment horizontal="right" wrapText="1"/>
    </xf>
    <xf numFmtId="1" fontId="6" fillId="5" borderId="2247" xfId="0" applyNumberFormat="1" applyFont="1" applyFill="1" applyBorder="1" applyProtection="1">
      <protection locked="0"/>
    </xf>
    <xf numFmtId="1" fontId="6" fillId="5" borderId="2288" xfId="0" applyNumberFormat="1" applyFont="1" applyFill="1" applyBorder="1" applyProtection="1">
      <protection locked="0"/>
    </xf>
    <xf numFmtId="1" fontId="6" fillId="5" borderId="2167" xfId="0" applyNumberFormat="1" applyFont="1" applyFill="1" applyBorder="1" applyProtection="1">
      <protection locked="0"/>
    </xf>
    <xf numFmtId="1" fontId="6" fillId="5" borderId="2249" xfId="0" applyNumberFormat="1" applyFont="1" applyFill="1" applyBorder="1" applyProtection="1">
      <protection locked="0"/>
    </xf>
    <xf numFmtId="1" fontId="6" fillId="5" borderId="2257" xfId="0" applyNumberFormat="1" applyFont="1" applyFill="1" applyBorder="1" applyProtection="1">
      <protection locked="0"/>
    </xf>
    <xf numFmtId="1" fontId="6" fillId="3" borderId="1864" xfId="0" applyNumberFormat="1" applyFont="1" applyFill="1" applyBorder="1" applyAlignment="1">
      <alignment horizontal="right" wrapText="1"/>
    </xf>
    <xf numFmtId="1" fontId="6" fillId="4" borderId="2252" xfId="0" applyNumberFormat="1" applyFont="1" applyFill="1" applyBorder="1"/>
    <xf numFmtId="1" fontId="6" fillId="4" borderId="1715" xfId="0" applyNumberFormat="1" applyFont="1" applyFill="1" applyBorder="1"/>
    <xf numFmtId="1" fontId="6" fillId="0" borderId="2258" xfId="0" applyNumberFormat="1" applyFont="1" applyBorder="1" applyAlignment="1">
      <alignment wrapText="1"/>
    </xf>
    <xf numFmtId="1" fontId="6" fillId="3" borderId="2252" xfId="0" applyNumberFormat="1" applyFont="1" applyFill="1" applyBorder="1" applyAlignment="1">
      <alignment horizontal="right"/>
    </xf>
    <xf numFmtId="1" fontId="6" fillId="0" borderId="1857" xfId="0" applyNumberFormat="1" applyFont="1" applyBorder="1" applyAlignment="1">
      <alignment wrapText="1"/>
    </xf>
    <xf numFmtId="1" fontId="6" fillId="3" borderId="1525" xfId="0" applyNumberFormat="1" applyFont="1" applyFill="1" applyBorder="1" applyAlignment="1">
      <alignment horizontal="right"/>
    </xf>
    <xf numFmtId="1" fontId="6" fillId="0" borderId="1868" xfId="0" applyNumberFormat="1" applyFont="1" applyBorder="1" applyAlignment="1">
      <alignment wrapText="1"/>
    </xf>
    <xf numFmtId="1" fontId="6" fillId="3" borderId="1864" xfId="0" applyNumberFormat="1" applyFont="1" applyFill="1" applyBorder="1" applyAlignment="1">
      <alignment horizontal="right"/>
    </xf>
    <xf numFmtId="1" fontId="6" fillId="0" borderId="2258" xfId="0" applyNumberFormat="1" applyFont="1" applyBorder="1" applyAlignment="1">
      <alignment vertical="center" wrapText="1"/>
    </xf>
    <xf numFmtId="1" fontId="6" fillId="4" borderId="2302" xfId="0" applyNumberFormat="1" applyFont="1" applyFill="1" applyBorder="1"/>
    <xf numFmtId="1" fontId="6" fillId="4" borderId="2258" xfId="0" applyNumberFormat="1" applyFont="1" applyFill="1" applyBorder="1"/>
    <xf numFmtId="1" fontId="6" fillId="4" borderId="1868" xfId="0" applyNumberFormat="1" applyFont="1" applyFill="1" applyBorder="1"/>
    <xf numFmtId="1" fontId="6" fillId="3" borderId="2253" xfId="0" applyNumberFormat="1" applyFont="1" applyFill="1" applyBorder="1" applyAlignment="1">
      <alignment horizontal="right" wrapText="1"/>
    </xf>
    <xf numFmtId="1" fontId="6" fillId="0" borderId="2252" xfId="0" applyNumberFormat="1" applyFont="1" applyBorder="1"/>
    <xf numFmtId="1" fontId="6" fillId="12" borderId="2253" xfId="0" applyNumberFormat="1" applyFont="1" applyFill="1" applyBorder="1" applyProtection="1">
      <protection locked="0"/>
    </xf>
    <xf numFmtId="1" fontId="6" fillId="12" borderId="2252" xfId="0" applyNumberFormat="1" applyFont="1" applyFill="1" applyBorder="1" applyProtection="1">
      <protection locked="0"/>
    </xf>
    <xf numFmtId="1" fontId="6" fillId="12" borderId="2296" xfId="0" applyNumberFormat="1" applyFont="1" applyFill="1" applyBorder="1" applyProtection="1">
      <protection locked="0"/>
    </xf>
    <xf numFmtId="1" fontId="6" fillId="3" borderId="1522" xfId="0" applyNumberFormat="1" applyFont="1" applyFill="1" applyBorder="1" applyAlignment="1">
      <alignment horizontal="right" wrapText="1"/>
    </xf>
    <xf numFmtId="1" fontId="6" fillId="0" borderId="1700" xfId="0" applyNumberFormat="1" applyFont="1" applyBorder="1" applyAlignment="1">
      <alignment horizontal="right"/>
    </xf>
    <xf numFmtId="1" fontId="6" fillId="12" borderId="1522" xfId="0" applyNumberFormat="1" applyFont="1" applyFill="1" applyBorder="1" applyProtection="1">
      <protection locked="0"/>
    </xf>
    <xf numFmtId="1" fontId="6" fillId="12" borderId="1526" xfId="0" applyNumberFormat="1" applyFont="1" applyFill="1" applyBorder="1" applyProtection="1">
      <protection locked="0"/>
    </xf>
    <xf numFmtId="1" fontId="6" fillId="12" borderId="1874" xfId="0" applyNumberFormat="1" applyFont="1" applyFill="1" applyBorder="1" applyAlignment="1">
      <alignment horizontal="right" wrapText="1"/>
    </xf>
    <xf numFmtId="1" fontId="6" fillId="12" borderId="1875" xfId="0" applyNumberFormat="1" applyFont="1" applyFill="1" applyBorder="1" applyAlignment="1">
      <alignment horizontal="right"/>
    </xf>
    <xf numFmtId="1" fontId="6" fillId="12" borderId="1876" xfId="0" applyNumberFormat="1" applyFont="1" applyFill="1" applyBorder="1" applyAlignment="1">
      <alignment horizontal="right"/>
    </xf>
    <xf numFmtId="1" fontId="6" fillId="12" borderId="1866" xfId="0" applyNumberFormat="1" applyFont="1" applyFill="1" applyBorder="1" applyAlignment="1">
      <alignment horizontal="right" wrapText="1"/>
    </xf>
    <xf numFmtId="1" fontId="6" fillId="12" borderId="1524" xfId="0" applyNumberFormat="1" applyFont="1" applyFill="1" applyBorder="1" applyAlignment="1">
      <alignment horizontal="right"/>
    </xf>
    <xf numFmtId="1" fontId="6" fillId="12" borderId="1864" xfId="0" applyNumberFormat="1" applyFont="1" applyFill="1" applyBorder="1" applyAlignment="1">
      <alignment horizontal="right"/>
    </xf>
    <xf numFmtId="1" fontId="6" fillId="0" borderId="2286" xfId="0" applyNumberFormat="1" applyFont="1" applyBorder="1" applyAlignment="1">
      <alignment horizontal="center" vertical="center"/>
    </xf>
    <xf numFmtId="1" fontId="6" fillId="5" borderId="2305" xfId="0" applyNumberFormat="1" applyFont="1" applyFill="1" applyBorder="1" applyProtection="1">
      <protection locked="0"/>
    </xf>
    <xf numFmtId="1" fontId="6" fillId="0" borderId="1868" xfId="0" applyNumberFormat="1" applyFont="1" applyBorder="1" applyAlignment="1">
      <alignment horizontal="right" wrapText="1"/>
    </xf>
    <xf numFmtId="1" fontId="6" fillId="3" borderId="2307" xfId="0" applyNumberFormat="1" applyFont="1" applyFill="1" applyBorder="1" applyAlignment="1">
      <alignment horizontal="center" vertical="center" wrapText="1"/>
    </xf>
    <xf numFmtId="1" fontId="6" fillId="3" borderId="2253" xfId="0" applyNumberFormat="1" applyFont="1" applyFill="1" applyBorder="1" applyAlignment="1">
      <alignment horizontal="right" vertical="center" wrapText="1"/>
    </xf>
    <xf numFmtId="1" fontId="6" fillId="3" borderId="2297" xfId="0" applyNumberFormat="1" applyFont="1" applyFill="1" applyBorder="1" applyAlignment="1">
      <alignment horizontal="right" vertical="center" wrapText="1"/>
    </xf>
    <xf numFmtId="1" fontId="6" fillId="0" borderId="2252" xfId="0" applyNumberFormat="1" applyFont="1" applyBorder="1" applyAlignment="1">
      <alignment horizontal="right" vertical="center" wrapText="1"/>
    </xf>
    <xf numFmtId="1" fontId="6" fillId="5" borderId="2253" xfId="0" applyNumberFormat="1" applyFont="1" applyFill="1" applyBorder="1" applyAlignment="1" applyProtection="1">
      <alignment wrapText="1"/>
      <protection locked="0"/>
    </xf>
    <xf numFmtId="1" fontId="6" fillId="5" borderId="2298" xfId="0" applyNumberFormat="1" applyFont="1" applyFill="1" applyBorder="1" applyAlignment="1" applyProtection="1">
      <alignment wrapText="1"/>
      <protection locked="0"/>
    </xf>
    <xf numFmtId="1" fontId="6" fillId="5" borderId="2254" xfId="0" applyNumberFormat="1" applyFont="1" applyFill="1" applyBorder="1" applyAlignment="1" applyProtection="1">
      <alignment wrapText="1"/>
      <protection locked="0"/>
    </xf>
    <xf numFmtId="1" fontId="6" fillId="5" borderId="2252" xfId="0" applyNumberFormat="1" applyFont="1" applyFill="1" applyBorder="1" applyAlignment="1" applyProtection="1">
      <alignment wrapText="1"/>
      <protection locked="0"/>
    </xf>
    <xf numFmtId="1" fontId="6" fillId="5" borderId="2305" xfId="0" applyNumberFormat="1" applyFont="1" applyFill="1" applyBorder="1" applyAlignment="1" applyProtection="1">
      <alignment wrapText="1"/>
      <protection locked="0"/>
    </xf>
    <xf numFmtId="1" fontId="6" fillId="5" borderId="2295" xfId="0" applyNumberFormat="1" applyFont="1" applyFill="1" applyBorder="1" applyAlignment="1" applyProtection="1">
      <alignment wrapText="1"/>
      <protection locked="0"/>
    </xf>
    <xf numFmtId="1" fontId="6" fillId="12" borderId="1522" xfId="0" applyNumberFormat="1" applyFont="1" applyFill="1" applyBorder="1" applyAlignment="1">
      <alignment wrapText="1"/>
    </xf>
    <xf numFmtId="1" fontId="6" fillId="5" borderId="2297" xfId="0" applyNumberFormat="1" applyFont="1" applyFill="1" applyBorder="1" applyAlignment="1" applyProtection="1">
      <alignment wrapText="1"/>
      <protection locked="0"/>
    </xf>
    <xf numFmtId="1" fontId="6" fillId="3" borderId="1866" xfId="0" applyNumberFormat="1" applyFont="1" applyFill="1" applyBorder="1" applyAlignment="1">
      <alignment horizontal="right" vertical="center" wrapText="1"/>
    </xf>
    <xf numFmtId="1" fontId="6" fillId="3" borderId="1524" xfId="0" applyNumberFormat="1" applyFont="1" applyFill="1" applyBorder="1" applyAlignment="1">
      <alignment horizontal="right" vertical="center" wrapText="1"/>
    </xf>
    <xf numFmtId="1" fontId="6" fillId="0" borderId="1864" xfId="0" applyNumberFormat="1" applyFont="1" applyBorder="1" applyAlignment="1">
      <alignment horizontal="right" vertical="center" wrapText="1"/>
    </xf>
    <xf numFmtId="1" fontId="6" fillId="5" borderId="1524" xfId="0" applyNumberFormat="1" applyFont="1" applyFill="1" applyBorder="1" applyAlignment="1" applyProtection="1">
      <alignment wrapText="1"/>
      <protection locked="0"/>
    </xf>
    <xf numFmtId="1" fontId="6" fillId="0" borderId="2276" xfId="0" applyNumberFormat="1" applyFont="1" applyBorder="1" applyAlignment="1">
      <alignment horizontal="right" wrapText="1"/>
    </xf>
    <xf numFmtId="1" fontId="6" fillId="5" borderId="2276" xfId="0" applyNumberFormat="1" applyFont="1" applyFill="1" applyBorder="1" applyAlignment="1" applyProtection="1">
      <alignment wrapText="1"/>
      <protection locked="0"/>
    </xf>
    <xf numFmtId="1" fontId="6" fillId="0" borderId="1534" xfId="0" applyNumberFormat="1" applyFont="1" applyBorder="1" applyAlignment="1">
      <alignment horizontal="right" wrapText="1"/>
    </xf>
    <xf numFmtId="1" fontId="6" fillId="5" borderId="1522" xfId="0" applyNumberFormat="1" applyFont="1" applyFill="1" applyBorder="1" applyAlignment="1" applyProtection="1">
      <alignment wrapText="1"/>
      <protection locked="0"/>
    </xf>
    <xf numFmtId="1" fontId="6" fillId="5" borderId="1534" xfId="0" applyNumberFormat="1" applyFont="1" applyFill="1" applyBorder="1" applyAlignment="1" applyProtection="1">
      <alignment wrapText="1"/>
      <protection locked="0"/>
    </xf>
    <xf numFmtId="1" fontId="6" fillId="5" borderId="1700" xfId="0" applyNumberFormat="1" applyFont="1" applyFill="1" applyBorder="1" applyAlignment="1" applyProtection="1">
      <alignment wrapText="1"/>
      <protection locked="0"/>
    </xf>
    <xf numFmtId="1" fontId="6" fillId="5" borderId="1874" xfId="0" applyNumberFormat="1" applyFont="1" applyFill="1" applyBorder="1" applyAlignment="1" applyProtection="1">
      <alignment wrapText="1"/>
      <protection locked="0"/>
    </xf>
    <xf numFmtId="1" fontId="6" fillId="5" borderId="1876" xfId="0" applyNumberFormat="1" applyFont="1" applyFill="1" applyBorder="1" applyAlignment="1" applyProtection="1">
      <alignment wrapText="1"/>
      <protection locked="0"/>
    </xf>
    <xf numFmtId="1" fontId="6" fillId="12" borderId="1874" xfId="0" applyNumberFormat="1" applyFont="1" applyFill="1" applyBorder="1" applyAlignment="1">
      <alignment wrapText="1"/>
    </xf>
    <xf numFmtId="1" fontId="6" fillId="5" borderId="1875" xfId="0" applyNumberFormat="1" applyFont="1" applyFill="1" applyBorder="1" applyAlignment="1" applyProtection="1">
      <alignment wrapText="1"/>
      <protection locked="0"/>
    </xf>
    <xf numFmtId="1" fontId="6" fillId="3" borderId="1866" xfId="0" applyNumberFormat="1" applyFont="1" applyFill="1" applyBorder="1" applyAlignment="1">
      <alignment horizontal="right" wrapText="1"/>
    </xf>
    <xf numFmtId="1" fontId="6" fillId="0" borderId="1524" xfId="0" applyNumberFormat="1" applyFont="1" applyBorder="1" applyAlignment="1">
      <alignment horizontal="right" wrapText="1"/>
    </xf>
    <xf numFmtId="1" fontId="6" fillId="12" borderId="1866" xfId="0" applyNumberFormat="1" applyFont="1" applyFill="1" applyBorder="1" applyAlignment="1">
      <alignment wrapText="1"/>
    </xf>
    <xf numFmtId="1" fontId="6" fillId="0" borderId="2297" xfId="0" applyNumberFormat="1" applyFont="1" applyBorder="1" applyAlignment="1">
      <alignment horizontal="right" wrapText="1"/>
    </xf>
    <xf numFmtId="1" fontId="6" fillId="0" borderId="2254" xfId="0" applyNumberFormat="1" applyFont="1" applyBorder="1" applyAlignment="1">
      <alignment horizontal="right" wrapText="1"/>
    </xf>
    <xf numFmtId="1" fontId="6" fillId="12" borderId="1700" xfId="0" applyNumberFormat="1" applyFont="1" applyFill="1" applyBorder="1" applyAlignment="1">
      <alignment wrapText="1"/>
    </xf>
    <xf numFmtId="1" fontId="6" fillId="4" borderId="2295" xfId="0" applyNumberFormat="1" applyFont="1" applyFill="1" applyBorder="1" applyAlignment="1">
      <alignment wrapText="1"/>
    </xf>
    <xf numFmtId="1" fontId="6" fillId="4" borderId="2305" xfId="0" applyNumberFormat="1" applyFont="1" applyFill="1" applyBorder="1" applyAlignment="1">
      <alignment wrapText="1"/>
    </xf>
    <xf numFmtId="1" fontId="6" fillId="12" borderId="2305" xfId="0" applyNumberFormat="1" applyFont="1" applyFill="1" applyBorder="1" applyAlignment="1">
      <alignment wrapText="1"/>
    </xf>
    <xf numFmtId="1" fontId="6" fillId="12" borderId="2295" xfId="0" applyNumberFormat="1" applyFont="1" applyFill="1" applyBorder="1" applyAlignment="1">
      <alignment wrapText="1"/>
    </xf>
    <xf numFmtId="1" fontId="6" fillId="3" borderId="1715" xfId="0" applyNumberFormat="1" applyFont="1" applyFill="1" applyBorder="1" applyAlignment="1">
      <alignment horizontal="right" wrapText="1"/>
    </xf>
    <xf numFmtId="1" fontId="6" fillId="5" borderId="1920" xfId="0" applyNumberFormat="1" applyFont="1" applyFill="1" applyBorder="1" applyAlignment="1" applyProtection="1">
      <alignment wrapText="1"/>
      <protection locked="0"/>
    </xf>
    <xf numFmtId="1" fontId="6" fillId="12" borderId="1715" xfId="0" applyNumberFormat="1" applyFont="1" applyFill="1" applyBorder="1" applyAlignment="1">
      <alignment wrapText="1"/>
    </xf>
    <xf numFmtId="1" fontId="6" fillId="12" borderId="1875" xfId="0" applyNumberFormat="1" applyFont="1" applyFill="1" applyBorder="1" applyAlignment="1">
      <alignment wrapText="1"/>
    </xf>
    <xf numFmtId="1" fontId="6" fillId="0" borderId="1875" xfId="0" applyNumberFormat="1" applyFont="1" applyBorder="1" applyAlignment="1">
      <alignment horizontal="right" wrapText="1"/>
    </xf>
    <xf numFmtId="1" fontId="6" fillId="12" borderId="1524" xfId="0" applyNumberFormat="1" applyFont="1" applyFill="1" applyBorder="1" applyAlignment="1">
      <alignment wrapText="1"/>
    </xf>
    <xf numFmtId="1" fontId="6" fillId="4" borderId="2253" xfId="0" applyNumberFormat="1" applyFont="1" applyFill="1" applyBorder="1" applyAlignment="1">
      <alignment wrapText="1"/>
    </xf>
    <xf numFmtId="1" fontId="6" fillId="4" borderId="2298" xfId="0" applyNumberFormat="1" applyFont="1" applyFill="1" applyBorder="1" applyAlignment="1">
      <alignment wrapText="1"/>
    </xf>
    <xf numFmtId="1" fontId="6" fillId="4" borderId="2254" xfId="0" applyNumberFormat="1" applyFont="1" applyFill="1" applyBorder="1" applyAlignment="1">
      <alignment wrapText="1"/>
    </xf>
    <xf numFmtId="1" fontId="6" fillId="12" borderId="2253" xfId="0" applyNumberFormat="1" applyFont="1" applyFill="1" applyBorder="1" applyAlignment="1">
      <alignment wrapText="1"/>
    </xf>
    <xf numFmtId="1" fontId="6" fillId="12" borderId="2298" xfId="0" applyNumberFormat="1" applyFont="1" applyFill="1" applyBorder="1" applyAlignment="1">
      <alignment wrapText="1"/>
    </xf>
    <xf numFmtId="1" fontId="6" fillId="12" borderId="2254" xfId="0" applyNumberFormat="1" applyFont="1" applyFill="1" applyBorder="1" applyAlignment="1">
      <alignment wrapText="1"/>
    </xf>
    <xf numFmtId="1" fontId="6" fillId="0" borderId="2308" xfId="9" applyNumberFormat="1" applyFont="1" applyFill="1" applyBorder="1" applyAlignment="1">
      <alignment horizontal="right" wrapText="1"/>
    </xf>
    <xf numFmtId="1" fontId="6" fillId="0" borderId="2309" xfId="9" applyNumberFormat="1" applyFont="1" applyFill="1" applyBorder="1" applyAlignment="1">
      <alignment horizontal="right" wrapText="1"/>
    </xf>
    <xf numFmtId="1" fontId="6" fillId="4" borderId="1522" xfId="0" applyNumberFormat="1" applyFont="1" applyFill="1" applyBorder="1" applyAlignment="1">
      <alignment wrapText="1"/>
    </xf>
    <xf numFmtId="1" fontId="6" fillId="4" borderId="1534" xfId="0" applyNumberFormat="1" applyFont="1" applyFill="1" applyBorder="1" applyAlignment="1">
      <alignment wrapText="1"/>
    </xf>
    <xf numFmtId="1" fontId="6" fillId="12" borderId="1534" xfId="0" applyNumberFormat="1" applyFont="1" applyFill="1" applyBorder="1" applyAlignment="1">
      <alignment wrapText="1"/>
    </xf>
    <xf numFmtId="1" fontId="6" fillId="4" borderId="1874" xfId="0" applyNumberFormat="1" applyFont="1" applyFill="1" applyBorder="1" applyAlignment="1">
      <alignment wrapText="1"/>
    </xf>
    <xf numFmtId="1" fontId="6" fillId="0" borderId="2310" xfId="9" applyNumberFormat="1" applyFont="1" applyFill="1" applyBorder="1" applyAlignment="1">
      <alignment horizontal="right" wrapText="1"/>
    </xf>
    <xf numFmtId="1" fontId="6" fillId="0" borderId="2311" xfId="9" applyNumberFormat="1" applyFont="1" applyFill="1" applyBorder="1" applyAlignment="1">
      <alignment horizontal="right" wrapText="1"/>
    </xf>
    <xf numFmtId="1" fontId="6" fillId="4" borderId="1866" xfId="0" applyNumberFormat="1" applyFont="1" applyFill="1" applyBorder="1" applyAlignment="1">
      <alignment wrapText="1"/>
    </xf>
    <xf numFmtId="1" fontId="6" fillId="0" borderId="2312" xfId="9" applyNumberFormat="1" applyFont="1" applyFill="1" applyBorder="1" applyAlignment="1">
      <alignment horizontal="right" wrapText="1"/>
    </xf>
    <xf numFmtId="1" fontId="6" fillId="0" borderId="2313" xfId="9" applyNumberFormat="1" applyFont="1" applyFill="1" applyBorder="1" applyAlignment="1">
      <alignment horizontal="right" wrapText="1"/>
    </xf>
    <xf numFmtId="1" fontId="6" fillId="4" borderId="2276" xfId="0" applyNumberFormat="1" applyFont="1" applyFill="1" applyBorder="1" applyAlignment="1">
      <alignment wrapText="1"/>
    </xf>
    <xf numFmtId="1" fontId="6" fillId="12" borderId="2276" xfId="0" applyNumberFormat="1" applyFont="1" applyFill="1" applyBorder="1" applyAlignment="1">
      <alignment wrapText="1"/>
    </xf>
    <xf numFmtId="1" fontId="6" fillId="0" borderId="2315" xfId="9" applyNumberFormat="1" applyFont="1" applyFill="1" applyBorder="1" applyAlignment="1">
      <alignment horizontal="right" wrapText="1"/>
    </xf>
    <xf numFmtId="1" fontId="6" fillId="0" borderId="2316" xfId="9" applyNumberFormat="1" applyFont="1" applyFill="1" applyBorder="1" applyAlignment="1">
      <alignment horizontal="right" wrapText="1"/>
    </xf>
    <xf numFmtId="1" fontId="6" fillId="5" borderId="2319" xfId="0" applyNumberFormat="1" applyFont="1" applyFill="1" applyBorder="1" applyAlignment="1" applyProtection="1">
      <alignment wrapText="1"/>
      <protection locked="0"/>
    </xf>
    <xf numFmtId="1" fontId="6" fillId="0" borderId="2322" xfId="14" applyNumberFormat="1" applyFont="1" applyFill="1" applyBorder="1" applyAlignment="1">
      <alignment horizontal="right" wrapText="1"/>
    </xf>
    <xf numFmtId="1" fontId="6" fillId="0" borderId="2323" xfId="14" applyNumberFormat="1" applyFont="1" applyFill="1" applyBorder="1" applyAlignment="1">
      <alignment horizontal="right" wrapText="1"/>
    </xf>
    <xf numFmtId="1" fontId="6" fillId="6" borderId="2324" xfId="14" applyNumberFormat="1" applyFont="1" applyBorder="1" applyAlignment="1" applyProtection="1">
      <alignment wrapText="1"/>
      <protection locked="0"/>
    </xf>
    <xf numFmtId="1" fontId="6" fillId="6" borderId="2325" xfId="14" applyNumberFormat="1" applyFont="1" applyBorder="1" applyAlignment="1" applyProtection="1">
      <alignment wrapText="1"/>
      <protection locked="0"/>
    </xf>
    <xf numFmtId="1" fontId="6" fillId="6" borderId="2326" xfId="14" applyNumberFormat="1" applyFont="1" applyBorder="1" applyAlignment="1" applyProtection="1">
      <alignment wrapText="1"/>
      <protection locked="0"/>
    </xf>
    <xf numFmtId="1" fontId="6" fillId="6" borderId="2323" xfId="14" applyNumberFormat="1" applyFont="1" applyBorder="1" applyAlignment="1" applyProtection="1">
      <alignment wrapText="1"/>
      <protection locked="0"/>
    </xf>
    <xf numFmtId="1" fontId="6" fillId="6" borderId="2327" xfId="14" applyNumberFormat="1" applyFont="1" applyBorder="1" applyAlignment="1" applyProtection="1">
      <alignment wrapText="1"/>
      <protection locked="0"/>
    </xf>
    <xf numFmtId="1" fontId="6" fillId="6" borderId="2328" xfId="14" applyNumberFormat="1" applyFont="1" applyBorder="1" applyAlignment="1" applyProtection="1">
      <alignment wrapText="1"/>
      <protection locked="0"/>
    </xf>
    <xf numFmtId="1" fontId="6" fillId="6" borderId="2329" xfId="14" applyNumberFormat="1" applyFont="1" applyBorder="1" applyAlignment="1" applyProtection="1">
      <alignment wrapText="1"/>
      <protection locked="0"/>
    </xf>
    <xf numFmtId="1" fontId="6" fillId="5" borderId="2330" xfId="0" applyNumberFormat="1" applyFont="1" applyFill="1" applyBorder="1" applyAlignment="1" applyProtection="1">
      <alignment wrapText="1"/>
      <protection locked="0"/>
    </xf>
    <xf numFmtId="1" fontId="6" fillId="5" borderId="1836" xfId="0" applyNumberFormat="1" applyFont="1" applyFill="1" applyBorder="1" applyAlignment="1" applyProtection="1">
      <alignment wrapText="1"/>
      <protection locked="0"/>
    </xf>
    <xf numFmtId="1" fontId="6" fillId="0" borderId="2331" xfId="14" applyNumberFormat="1" applyFont="1" applyFill="1" applyBorder="1" applyAlignment="1">
      <alignment horizontal="right" wrapText="1"/>
    </xf>
    <xf numFmtId="1" fontId="6" fillId="0" borderId="2332" xfId="14" applyNumberFormat="1" applyFont="1" applyFill="1" applyBorder="1" applyAlignment="1">
      <alignment horizontal="right" wrapText="1"/>
    </xf>
    <xf numFmtId="1" fontId="6" fillId="6" borderId="2333" xfId="14" applyNumberFormat="1" applyFont="1" applyBorder="1" applyAlignment="1" applyProtection="1">
      <alignment wrapText="1"/>
      <protection locked="0"/>
    </xf>
    <xf numFmtId="1" fontId="6" fillId="6" borderId="2334" xfId="14" applyNumberFormat="1" applyFont="1" applyBorder="1" applyAlignment="1" applyProtection="1">
      <alignment wrapText="1"/>
      <protection locked="0"/>
    </xf>
    <xf numFmtId="1" fontId="6" fillId="6" borderId="2335" xfId="14" applyNumberFormat="1" applyFont="1" applyBorder="1" applyAlignment="1" applyProtection="1">
      <alignment wrapText="1"/>
      <protection locked="0"/>
    </xf>
    <xf numFmtId="1" fontId="6" fillId="6" borderId="2332" xfId="14" applyNumberFormat="1" applyFont="1" applyBorder="1" applyAlignment="1" applyProtection="1">
      <alignment wrapText="1"/>
      <protection locked="0"/>
    </xf>
    <xf numFmtId="1" fontId="6" fillId="6" borderId="2336" xfId="14" applyNumberFormat="1" applyFont="1" applyBorder="1" applyAlignment="1" applyProtection="1">
      <alignment wrapText="1"/>
      <protection locked="0"/>
    </xf>
    <xf numFmtId="1" fontId="6" fillId="6" borderId="2337" xfId="14" applyNumberFormat="1" applyFont="1" applyBorder="1" applyAlignment="1" applyProtection="1">
      <alignment wrapText="1"/>
      <protection locked="0"/>
    </xf>
    <xf numFmtId="1" fontId="6" fillId="6" borderId="2338" xfId="14" applyNumberFormat="1" applyFont="1" applyBorder="1" applyAlignment="1" applyProtection="1">
      <alignment wrapText="1"/>
      <protection locked="0"/>
    </xf>
    <xf numFmtId="1" fontId="6" fillId="6" borderId="2339" xfId="14" applyNumberFormat="1" applyFont="1" applyBorder="1" applyAlignment="1" applyProtection="1">
      <alignment wrapText="1"/>
      <protection locked="0"/>
    </xf>
    <xf numFmtId="1" fontId="6" fillId="6" borderId="2340" xfId="14" applyNumberFormat="1" applyFont="1" applyBorder="1" applyAlignment="1" applyProtection="1">
      <alignment wrapText="1"/>
      <protection locked="0"/>
    </xf>
    <xf numFmtId="1" fontId="6" fillId="6" borderId="2341" xfId="14" applyNumberFormat="1" applyFont="1" applyBorder="1" applyAlignment="1" applyProtection="1">
      <alignment wrapText="1"/>
      <protection locked="0"/>
    </xf>
    <xf numFmtId="1" fontId="6" fillId="5" borderId="2342" xfId="0" applyNumberFormat="1" applyFont="1" applyFill="1" applyBorder="1" applyAlignment="1" applyProtection="1">
      <alignment wrapText="1"/>
      <protection locked="0"/>
    </xf>
    <xf numFmtId="1" fontId="6" fillId="5" borderId="2343" xfId="0" applyNumberFormat="1" applyFont="1" applyFill="1" applyBorder="1" applyAlignment="1" applyProtection="1">
      <alignment wrapText="1"/>
      <protection locked="0"/>
    </xf>
    <xf numFmtId="1" fontId="6" fillId="5" borderId="2344" xfId="0" applyNumberFormat="1" applyFont="1" applyFill="1" applyBorder="1" applyAlignment="1" applyProtection="1">
      <alignment wrapText="1"/>
      <protection locked="0"/>
    </xf>
    <xf numFmtId="1" fontId="6" fillId="5" borderId="2345" xfId="0" applyNumberFormat="1" applyFont="1" applyFill="1" applyBorder="1" applyAlignment="1" applyProtection="1">
      <alignment wrapText="1"/>
      <protection locked="0"/>
    </xf>
    <xf numFmtId="1" fontId="6" fillId="0" borderId="2346" xfId="14" applyNumberFormat="1" applyFont="1" applyFill="1" applyBorder="1" applyAlignment="1">
      <alignment horizontal="right" wrapText="1"/>
    </xf>
    <xf numFmtId="1" fontId="6" fillId="0" borderId="2347" xfId="14" applyNumberFormat="1" applyFont="1" applyFill="1" applyBorder="1" applyAlignment="1">
      <alignment horizontal="right" wrapText="1"/>
    </xf>
    <xf numFmtId="1" fontId="6" fillId="6" borderId="2348" xfId="14" applyNumberFormat="1" applyFont="1" applyBorder="1" applyAlignment="1" applyProtection="1">
      <alignment wrapText="1"/>
      <protection locked="0"/>
    </xf>
    <xf numFmtId="1" fontId="6" fillId="6" borderId="2349" xfId="14" applyNumberFormat="1" applyFont="1" applyBorder="1" applyAlignment="1" applyProtection="1">
      <alignment wrapText="1"/>
      <protection locked="0"/>
    </xf>
    <xf numFmtId="1" fontId="6" fillId="6" borderId="2350" xfId="14" applyNumberFormat="1" applyFont="1" applyBorder="1" applyAlignment="1" applyProtection="1">
      <alignment wrapText="1"/>
      <protection locked="0"/>
    </xf>
    <xf numFmtId="1" fontId="6" fillId="6" borderId="2351" xfId="14" applyNumberFormat="1" applyFont="1" applyBorder="1" applyAlignment="1" applyProtection="1">
      <alignment wrapText="1"/>
      <protection locked="0"/>
    </xf>
    <xf numFmtId="1" fontId="6" fillId="5" borderId="388" xfId="0" applyNumberFormat="1" applyFont="1" applyFill="1" applyBorder="1" applyAlignment="1" applyProtection="1">
      <alignment wrapText="1"/>
      <protection locked="0"/>
    </xf>
    <xf numFmtId="1" fontId="6" fillId="5" borderId="2352" xfId="0" applyNumberFormat="1" applyFont="1" applyFill="1" applyBorder="1" applyAlignment="1" applyProtection="1">
      <alignment wrapText="1"/>
      <protection locked="0"/>
    </xf>
    <xf numFmtId="1" fontId="6" fillId="12" borderId="330" xfId="0" applyNumberFormat="1" applyFont="1" applyFill="1" applyBorder="1" applyAlignment="1">
      <alignment wrapText="1"/>
    </xf>
    <xf numFmtId="1" fontId="6" fillId="12" borderId="1238" xfId="0" applyNumberFormat="1" applyFont="1" applyFill="1" applyBorder="1" applyAlignment="1">
      <alignment wrapText="1"/>
    </xf>
    <xf numFmtId="1" fontId="6" fillId="5" borderId="2353" xfId="0" applyNumberFormat="1" applyFont="1" applyFill="1" applyBorder="1" applyAlignment="1" applyProtection="1">
      <alignment wrapText="1"/>
      <protection locked="0"/>
    </xf>
    <xf numFmtId="1" fontId="6" fillId="5" borderId="1238" xfId="0" applyNumberFormat="1" applyFont="1" applyFill="1" applyBorder="1" applyAlignment="1" applyProtection="1">
      <alignment wrapText="1"/>
      <protection locked="0"/>
    </xf>
    <xf numFmtId="1" fontId="6" fillId="3" borderId="2276" xfId="0" applyNumberFormat="1" applyFont="1" applyFill="1" applyBorder="1" applyAlignment="1">
      <alignment horizontal="right" wrapText="1"/>
    </xf>
    <xf numFmtId="1" fontId="6" fillId="3" borderId="1534" xfId="0" applyNumberFormat="1" applyFont="1" applyFill="1" applyBorder="1" applyAlignment="1">
      <alignment horizontal="right" wrapText="1"/>
    </xf>
    <xf numFmtId="1" fontId="6" fillId="12" borderId="1522" xfId="0" applyNumberFormat="1" applyFont="1" applyFill="1" applyBorder="1" applyAlignment="1">
      <alignment horizontal="right" wrapText="1"/>
    </xf>
    <xf numFmtId="1" fontId="6" fillId="12" borderId="1700" xfId="0" applyNumberFormat="1" applyFont="1" applyFill="1" applyBorder="1" applyAlignment="1">
      <alignment horizontal="right" wrapText="1"/>
    </xf>
    <xf numFmtId="1" fontId="6" fillId="3" borderId="1524" xfId="0" applyNumberFormat="1" applyFont="1" applyFill="1" applyBorder="1" applyAlignment="1">
      <alignment horizontal="right" wrapText="1"/>
    </xf>
    <xf numFmtId="1" fontId="6" fillId="12" borderId="1524" xfId="0" applyNumberFormat="1" applyFont="1" applyFill="1" applyBorder="1" applyAlignment="1">
      <alignment horizontal="right" wrapText="1"/>
    </xf>
    <xf numFmtId="1" fontId="6" fillId="0" borderId="2363" xfId="0" applyNumberFormat="1" applyFont="1" applyBorder="1" applyAlignment="1">
      <alignment horizontal="center" vertical="center" wrapText="1"/>
    </xf>
    <xf numFmtId="1" fontId="6" fillId="0" borderId="2362" xfId="0" applyNumberFormat="1" applyFont="1" applyBorder="1" applyAlignment="1">
      <alignment horizontal="center" vertical="center" wrapText="1"/>
    </xf>
    <xf numFmtId="1" fontId="6" fillId="0" borderId="2364" xfId="0" applyNumberFormat="1" applyFont="1" applyBorder="1" applyAlignment="1">
      <alignment horizontal="center" vertical="center" wrapText="1"/>
    </xf>
    <xf numFmtId="1" fontId="6" fillId="0" borderId="2368" xfId="0" applyNumberFormat="1" applyFont="1" applyBorder="1" applyAlignment="1">
      <alignment horizontal="right" wrapText="1"/>
    </xf>
    <xf numFmtId="1" fontId="6" fillId="0" borderId="2368" xfId="0" applyNumberFormat="1" applyFont="1" applyBorder="1"/>
    <xf numFmtId="1" fontId="6" fillId="5" borderId="2369" xfId="0" applyNumberFormat="1" applyFont="1" applyFill="1" applyBorder="1" applyProtection="1">
      <protection locked="0"/>
    </xf>
    <xf numFmtId="1" fontId="6" fillId="5" borderId="2370" xfId="0" applyNumberFormat="1" applyFont="1" applyFill="1" applyBorder="1" applyProtection="1">
      <protection locked="0"/>
    </xf>
    <xf numFmtId="1" fontId="6" fillId="5" borderId="2371" xfId="0" applyNumberFormat="1" applyFont="1" applyFill="1" applyBorder="1" applyProtection="1">
      <protection locked="0"/>
    </xf>
    <xf numFmtId="1" fontId="2" fillId="14" borderId="175" xfId="0" applyNumberFormat="1" applyFont="1" applyFill="1" applyBorder="1" applyAlignment="1">
      <alignment horizontal="left"/>
    </xf>
    <xf numFmtId="1" fontId="2" fillId="3" borderId="175" xfId="0" applyNumberFormat="1" applyFont="1" applyFill="1" applyBorder="1" applyAlignment="1">
      <alignment horizontal="left"/>
    </xf>
    <xf numFmtId="1" fontId="6" fillId="0" borderId="2372" xfId="0" applyNumberFormat="1" applyFont="1" applyBorder="1" applyAlignment="1" applyProtection="1">
      <alignment horizontal="center" vertical="center" wrapText="1"/>
      <protection hidden="1"/>
    </xf>
    <xf numFmtId="1" fontId="6" fillId="5" borderId="2368" xfId="0" applyNumberFormat="1" applyFont="1" applyFill="1" applyBorder="1" applyProtection="1">
      <protection locked="0"/>
    </xf>
    <xf numFmtId="1" fontId="6" fillId="0" borderId="423" xfId="0" applyNumberFormat="1" applyFont="1" applyBorder="1" applyAlignment="1">
      <alignment vertical="center"/>
    </xf>
    <xf numFmtId="1" fontId="32" fillId="0" borderId="750" xfId="0" applyNumberFormat="1" applyFont="1" applyBorder="1" applyAlignment="1">
      <alignment horizontal="center" vertical="center" wrapText="1"/>
    </xf>
    <xf numFmtId="1" fontId="32" fillId="0" borderId="340" xfId="0" applyNumberFormat="1" applyFont="1" applyBorder="1" applyAlignment="1">
      <alignment horizontal="center" vertical="center" wrapText="1"/>
    </xf>
    <xf numFmtId="1" fontId="32" fillId="0" borderId="751" xfId="0" applyNumberFormat="1" applyFont="1" applyBorder="1" applyAlignment="1">
      <alignment horizontal="center" vertical="center" wrapText="1"/>
    </xf>
    <xf numFmtId="1" fontId="32" fillId="0" borderId="755" xfId="0" applyNumberFormat="1" applyFont="1" applyBorder="1" applyAlignment="1">
      <alignment horizontal="center" vertical="center" wrapText="1"/>
    </xf>
    <xf numFmtId="1" fontId="32" fillId="0" borderId="765" xfId="0" applyNumberFormat="1" applyFont="1" applyBorder="1" applyAlignment="1">
      <alignment horizontal="center" vertical="center" wrapText="1"/>
    </xf>
    <xf numFmtId="1" fontId="32" fillId="0" borderId="798" xfId="0" applyNumberFormat="1" applyFont="1" applyBorder="1"/>
    <xf numFmtId="1" fontId="32" fillId="0" borderId="799" xfId="0" applyNumberFormat="1" applyFont="1" applyBorder="1"/>
    <xf numFmtId="1" fontId="32" fillId="0" borderId="800" xfId="0" applyNumberFormat="1" applyFont="1" applyBorder="1"/>
    <xf numFmtId="1" fontId="32" fillId="0" borderId="801" xfId="0" applyNumberFormat="1" applyFont="1" applyBorder="1"/>
    <xf numFmtId="1" fontId="32" fillId="5" borderId="753" xfId="0" applyNumberFormat="1" applyFont="1" applyFill="1" applyBorder="1" applyProtection="1">
      <protection locked="0"/>
    </xf>
    <xf numFmtId="1" fontId="32" fillId="5" borderId="759" xfId="0" applyNumberFormat="1" applyFont="1" applyFill="1" applyBorder="1" applyProtection="1">
      <protection locked="0"/>
    </xf>
    <xf numFmtId="1" fontId="32" fillId="5" borderId="782" xfId="0" applyNumberFormat="1" applyFont="1" applyFill="1" applyBorder="1" applyProtection="1">
      <protection locked="0"/>
    </xf>
    <xf numFmtId="1" fontId="32" fillId="5" borderId="773" xfId="0" applyNumberFormat="1" applyFont="1" applyFill="1" applyBorder="1" applyProtection="1">
      <protection locked="0"/>
    </xf>
    <xf numFmtId="1" fontId="32" fillId="0" borderId="700" xfId="0" applyNumberFormat="1" applyFont="1" applyBorder="1"/>
    <xf numFmtId="1" fontId="32" fillId="0" borderId="686" xfId="0" applyNumberFormat="1" applyFont="1" applyBorder="1"/>
    <xf numFmtId="1" fontId="32" fillId="0" borderId="724" xfId="0" applyNumberFormat="1" applyFont="1" applyBorder="1"/>
    <xf numFmtId="1" fontId="32" fillId="0" borderId="699" xfId="0" applyNumberFormat="1" applyFont="1" applyBorder="1"/>
    <xf numFmtId="1" fontId="32" fillId="5" borderId="797" xfId="0" applyNumberFormat="1" applyFont="1" applyFill="1" applyBorder="1" applyProtection="1">
      <protection locked="0"/>
    </xf>
    <xf numFmtId="1" fontId="32" fillId="5" borderId="641" xfId="0" applyNumberFormat="1" applyFont="1" applyFill="1" applyBorder="1" applyProtection="1">
      <protection locked="0"/>
    </xf>
    <xf numFmtId="1" fontId="32" fillId="5" borderId="686" xfId="0" applyNumberFormat="1" applyFont="1" applyFill="1" applyBorder="1" applyProtection="1">
      <protection locked="0"/>
    </xf>
    <xf numFmtId="1" fontId="32" fillId="5" borderId="699" xfId="0" applyNumberFormat="1" applyFont="1" applyFill="1" applyBorder="1" applyProtection="1">
      <protection locked="0"/>
    </xf>
    <xf numFmtId="1" fontId="32" fillId="5" borderId="783" xfId="0" applyNumberFormat="1" applyFont="1" applyFill="1" applyBorder="1" applyProtection="1">
      <protection locked="0"/>
    </xf>
    <xf numFmtId="1" fontId="32" fillId="5" borderId="733" xfId="0" applyNumberFormat="1" applyFont="1" applyFill="1" applyBorder="1" applyProtection="1">
      <protection locked="0"/>
    </xf>
    <xf numFmtId="1" fontId="32" fillId="0" borderId="700" xfId="0" applyNumberFormat="1" applyFont="1" applyBorder="1" applyAlignment="1">
      <alignment wrapText="1"/>
    </xf>
    <xf numFmtId="1" fontId="32" fillId="5" borderId="696" xfId="0" applyNumberFormat="1" applyFont="1" applyFill="1" applyBorder="1" applyProtection="1">
      <protection locked="0"/>
    </xf>
    <xf numFmtId="1" fontId="32" fillId="5" borderId="39" xfId="0" applyNumberFormat="1" applyFont="1" applyFill="1" applyBorder="1" applyProtection="1">
      <protection locked="0"/>
    </xf>
    <xf numFmtId="1" fontId="32" fillId="5" borderId="308" xfId="0" applyNumberFormat="1" applyFont="1" applyFill="1" applyBorder="1" applyProtection="1">
      <protection locked="0"/>
    </xf>
    <xf numFmtId="1" fontId="32" fillId="5" borderId="785" xfId="0" applyNumberFormat="1" applyFont="1" applyFill="1" applyBorder="1" applyProtection="1">
      <protection locked="0"/>
    </xf>
    <xf numFmtId="1" fontId="32" fillId="5" borderId="795" xfId="0" applyNumberFormat="1" applyFont="1" applyFill="1" applyBorder="1" applyProtection="1">
      <protection locked="0"/>
    </xf>
    <xf numFmtId="1" fontId="32" fillId="0" borderId="691" xfId="0" applyNumberFormat="1" applyFont="1" applyBorder="1"/>
    <xf numFmtId="1" fontId="32" fillId="0" borderId="693" xfId="0" applyNumberFormat="1" applyFont="1" applyBorder="1"/>
    <xf numFmtId="1" fontId="32" fillId="0" borderId="690" xfId="0" applyNumberFormat="1" applyFont="1" applyBorder="1"/>
    <xf numFmtId="1" fontId="32" fillId="5" borderId="691" xfId="0" applyNumberFormat="1" applyFont="1" applyFill="1" applyBorder="1" applyProtection="1">
      <protection locked="0"/>
    </xf>
    <xf numFmtId="1" fontId="32" fillId="5" borderId="786" xfId="0" applyNumberFormat="1" applyFont="1" applyFill="1" applyBorder="1" applyProtection="1">
      <protection locked="0"/>
    </xf>
    <xf numFmtId="1" fontId="32" fillId="5" borderId="734" xfId="0" applyNumberFormat="1" applyFont="1" applyFill="1" applyBorder="1" applyProtection="1">
      <protection locked="0"/>
    </xf>
    <xf numFmtId="1" fontId="32" fillId="0" borderId="753" xfId="0" applyNumberFormat="1" applyFont="1" applyBorder="1"/>
    <xf numFmtId="1" fontId="32" fillId="0" borderId="781" xfId="0" applyNumberFormat="1" applyFont="1" applyBorder="1"/>
    <xf numFmtId="1" fontId="32" fillId="0" borderId="759" xfId="0" applyNumberFormat="1" applyFont="1" applyBorder="1"/>
    <xf numFmtId="1" fontId="32" fillId="0" borderId="696" xfId="0" applyNumberFormat="1" applyFont="1" applyBorder="1"/>
    <xf numFmtId="1" fontId="32" fillId="0" borderId="575" xfId="0" applyNumberFormat="1" applyFont="1" applyBorder="1"/>
    <xf numFmtId="1" fontId="32" fillId="0" borderId="39" xfId="0" applyNumberFormat="1" applyFont="1" applyBorder="1"/>
    <xf numFmtId="1" fontId="32" fillId="5" borderId="1699" xfId="0" applyNumberFormat="1" applyFont="1" applyFill="1" applyBorder="1" applyProtection="1">
      <protection locked="0"/>
    </xf>
    <xf numFmtId="1" fontId="32" fillId="0" borderId="114" xfId="0" applyNumberFormat="1" applyFont="1" applyBorder="1" applyAlignment="1">
      <alignment horizontal="center" vertical="center" wrapText="1"/>
    </xf>
    <xf numFmtId="1" fontId="63" fillId="14" borderId="423" xfId="0" applyNumberFormat="1" applyFont="1" applyFill="1" applyBorder="1" applyAlignment="1" applyProtection="1">
      <alignment vertical="center"/>
      <protection locked="0"/>
    </xf>
    <xf numFmtId="1" fontId="32" fillId="14" borderId="0" xfId="0" applyNumberFormat="1" applyFont="1" applyFill="1" applyAlignment="1">
      <alignment vertical="center"/>
    </xf>
    <xf numFmtId="1" fontId="32" fillId="5" borderId="1836" xfId="0" applyNumberFormat="1" applyFont="1" applyFill="1" applyBorder="1" applyProtection="1">
      <protection locked="0"/>
    </xf>
    <xf numFmtId="1" fontId="32" fillId="5" borderId="1675" xfId="0" applyNumberFormat="1" applyFont="1" applyFill="1" applyBorder="1" applyProtection="1">
      <protection locked="0"/>
    </xf>
    <xf numFmtId="1" fontId="32" fillId="5" borderId="1671" xfId="0" applyNumberFormat="1" applyFont="1" applyFill="1" applyBorder="1" applyProtection="1">
      <protection locked="0"/>
    </xf>
    <xf numFmtId="1" fontId="32" fillId="5" borderId="1607" xfId="0" applyNumberFormat="1" applyFont="1" applyFill="1" applyBorder="1" applyProtection="1">
      <protection locked="0"/>
    </xf>
    <xf numFmtId="1" fontId="32" fillId="5" borderId="1608" xfId="0" applyNumberFormat="1" applyFont="1" applyFill="1" applyBorder="1" applyProtection="1">
      <protection locked="0"/>
    </xf>
    <xf numFmtId="1" fontId="32" fillId="5" borderId="1683" xfId="0" applyNumberFormat="1" applyFont="1" applyFill="1" applyBorder="1" applyProtection="1">
      <protection locked="0"/>
    </xf>
    <xf numFmtId="1" fontId="32" fillId="0" borderId="2372" xfId="0" applyNumberFormat="1" applyFont="1" applyBorder="1" applyAlignment="1">
      <alignment horizontal="center" vertical="center" wrapText="1"/>
    </xf>
    <xf numFmtId="1" fontId="32" fillId="0" borderId="2375" xfId="0" applyNumberFormat="1" applyFont="1" applyBorder="1" applyAlignment="1">
      <alignment horizontal="center" vertical="center" wrapText="1"/>
    </xf>
    <xf numFmtId="164" fontId="62" fillId="0" borderId="913" xfId="32" applyNumberFormat="1" applyFont="1" applyBorder="1" applyAlignment="1" applyProtection="1">
      <alignment horizontal="left"/>
    </xf>
    <xf numFmtId="1" fontId="32" fillId="5" borderId="71" xfId="0" applyNumberFormat="1" applyFont="1" applyFill="1" applyBorder="1" applyProtection="1">
      <protection locked="0"/>
    </xf>
    <xf numFmtId="1" fontId="32" fillId="5" borderId="1873" xfId="0" applyNumberFormat="1" applyFont="1" applyFill="1" applyBorder="1" applyProtection="1">
      <protection locked="0"/>
    </xf>
    <xf numFmtId="1" fontId="6" fillId="6" borderId="2379" xfId="14" applyNumberFormat="1" applyFont="1" applyBorder="1" applyProtection="1">
      <protection locked="0"/>
    </xf>
    <xf numFmtId="1" fontId="6" fillId="6" borderId="2383" xfId="14" applyNumberFormat="1" applyFont="1" applyBorder="1" applyProtection="1">
      <protection locked="0"/>
    </xf>
    <xf numFmtId="1" fontId="6" fillId="6" borderId="136" xfId="14" applyNumberFormat="1" applyFont="1" applyBorder="1" applyProtection="1">
      <protection locked="0"/>
    </xf>
    <xf numFmtId="1" fontId="6" fillId="12" borderId="2382" xfId="1" applyNumberFormat="1" applyFont="1" applyFill="1" applyBorder="1" applyProtection="1"/>
    <xf numFmtId="1" fontId="6" fillId="12" borderId="2384" xfId="1" applyNumberFormat="1" applyFont="1" applyFill="1" applyBorder="1" applyProtection="1"/>
    <xf numFmtId="1" fontId="6" fillId="12" borderId="2276" xfId="1" applyNumberFormat="1" applyFont="1" applyFill="1" applyBorder="1" applyProtection="1"/>
    <xf numFmtId="1" fontId="6" fillId="6" borderId="1002" xfId="14" applyNumberFormat="1" applyFont="1" applyBorder="1" applyProtection="1">
      <protection locked="0"/>
    </xf>
    <xf numFmtId="1" fontId="6" fillId="6" borderId="2385" xfId="14" applyNumberFormat="1" applyFont="1" applyBorder="1" applyProtection="1">
      <protection locked="0"/>
    </xf>
    <xf numFmtId="1" fontId="6" fillId="6" borderId="2386" xfId="14" applyNumberFormat="1" applyFont="1" applyBorder="1" applyProtection="1">
      <protection locked="0"/>
    </xf>
    <xf numFmtId="1" fontId="6" fillId="6" borderId="2387" xfId="14" applyNumberFormat="1" applyFont="1" applyBorder="1" applyProtection="1">
      <protection locked="0"/>
    </xf>
    <xf numFmtId="1" fontId="6" fillId="6" borderId="2388" xfId="14" applyNumberFormat="1" applyFont="1" applyBorder="1" applyProtection="1">
      <protection locked="0"/>
    </xf>
    <xf numFmtId="1" fontId="6" fillId="6" borderId="2389" xfId="14" applyNumberFormat="1" applyFont="1" applyBorder="1" applyProtection="1">
      <protection locked="0"/>
    </xf>
    <xf numFmtId="1" fontId="6" fillId="12" borderId="2390" xfId="1" applyNumberFormat="1" applyFont="1" applyFill="1" applyBorder="1" applyProtection="1"/>
    <xf numFmtId="1" fontId="6" fillId="6" borderId="143" xfId="14" applyNumberFormat="1" applyFont="1" applyBorder="1" applyProtection="1">
      <protection locked="0"/>
    </xf>
    <xf numFmtId="1" fontId="6" fillId="12" borderId="2391" xfId="1" applyNumberFormat="1" applyFont="1" applyFill="1" applyBorder="1" applyProtection="1"/>
    <xf numFmtId="1" fontId="6" fillId="6" borderId="2392" xfId="14" applyNumberFormat="1" applyFont="1" applyBorder="1" applyProtection="1">
      <protection locked="0"/>
    </xf>
    <xf numFmtId="1" fontId="6" fillId="6" borderId="2393" xfId="14" applyNumberFormat="1" applyFont="1" applyBorder="1" applyProtection="1">
      <protection locked="0"/>
    </xf>
    <xf numFmtId="1" fontId="6" fillId="6" borderId="2394" xfId="14" applyNumberFormat="1" applyFont="1" applyBorder="1" applyProtection="1">
      <protection locked="0"/>
    </xf>
    <xf numFmtId="1" fontId="6" fillId="6" borderId="2395" xfId="14" applyNumberFormat="1" applyFont="1" applyBorder="1" applyProtection="1">
      <protection locked="0"/>
    </xf>
    <xf numFmtId="0" fontId="0" fillId="14" borderId="0" xfId="0" applyFill="1"/>
    <xf numFmtId="1" fontId="63" fillId="3" borderId="0" xfId="0" applyNumberFormat="1" applyFont="1" applyFill="1" applyAlignment="1">
      <alignment vertical="center" wrapText="1"/>
    </xf>
    <xf numFmtId="1" fontId="72" fillId="18" borderId="0" xfId="0" applyNumberFormat="1" applyFont="1" applyFill="1" applyProtection="1">
      <protection locked="0"/>
    </xf>
    <xf numFmtId="1" fontId="76" fillId="3" borderId="0" xfId="0" applyNumberFormat="1" applyFont="1" applyFill="1"/>
    <xf numFmtId="1" fontId="62" fillId="14" borderId="2165" xfId="0" applyNumberFormat="1" applyFont="1" applyFill="1" applyBorder="1"/>
    <xf numFmtId="1" fontId="62" fillId="0" borderId="2165" xfId="0" applyNumberFormat="1" applyFont="1" applyBorder="1"/>
    <xf numFmtId="1" fontId="32" fillId="0" borderId="2138" xfId="0" applyNumberFormat="1" applyFont="1" applyBorder="1" applyAlignment="1">
      <alignment horizontal="center" vertical="center" wrapText="1"/>
    </xf>
    <xf numFmtId="1" fontId="32" fillId="0" borderId="2143" xfId="0" applyNumberFormat="1" applyFont="1" applyBorder="1" applyAlignment="1">
      <alignment horizontal="center" vertical="center" wrapText="1"/>
    </xf>
    <xf numFmtId="1" fontId="32" fillId="0" borderId="2151" xfId="0" applyNumberFormat="1" applyFont="1" applyBorder="1" applyAlignment="1">
      <alignment horizontal="center" vertical="center" wrapText="1"/>
    </xf>
    <xf numFmtId="1" fontId="63" fillId="0" borderId="2122" xfId="0" applyNumberFormat="1" applyFont="1" applyBorder="1"/>
    <xf numFmtId="1" fontId="32" fillId="0" borderId="2138" xfId="0" applyNumberFormat="1" applyFont="1" applyBorder="1"/>
    <xf numFmtId="1" fontId="32" fillId="0" borderId="1871" xfId="0" applyNumberFormat="1" applyFont="1" applyBorder="1"/>
    <xf numFmtId="1" fontId="32" fillId="0" borderId="2143" xfId="0" applyNumberFormat="1" applyFont="1" applyBorder="1"/>
    <xf numFmtId="1" fontId="32" fillId="5" borderId="1928" xfId="0" applyNumberFormat="1" applyFont="1" applyFill="1" applyBorder="1" applyProtection="1">
      <protection locked="0"/>
    </xf>
    <xf numFmtId="1" fontId="32" fillId="5" borderId="2148" xfId="0" applyNumberFormat="1" applyFont="1" applyFill="1" applyBorder="1" applyProtection="1">
      <protection locked="0"/>
    </xf>
    <xf numFmtId="1" fontId="32" fillId="14" borderId="1158" xfId="0" applyNumberFormat="1" applyFont="1" applyFill="1" applyBorder="1" applyAlignment="1">
      <alignment vertical="center"/>
    </xf>
    <xf numFmtId="1" fontId="32" fillId="14" borderId="0" xfId="0" applyNumberFormat="1" applyFont="1" applyFill="1" applyAlignment="1">
      <alignment vertical="center" wrapText="1"/>
    </xf>
    <xf numFmtId="1" fontId="72" fillId="17" borderId="0" xfId="0" applyNumberFormat="1" applyFont="1" applyFill="1"/>
    <xf numFmtId="1" fontId="72" fillId="18" borderId="0" xfId="0" applyNumberFormat="1" applyFont="1" applyFill="1"/>
    <xf numFmtId="1" fontId="32" fillId="0" borderId="1671" xfId="0" applyNumberFormat="1" applyFont="1" applyBorder="1" applyAlignment="1">
      <alignment vertical="center" wrapText="1"/>
    </xf>
    <xf numFmtId="1" fontId="32" fillId="0" borderId="1867" xfId="0" applyNumberFormat="1" applyFont="1" applyBorder="1" applyAlignment="1">
      <alignment vertical="center" wrapText="1"/>
    </xf>
    <xf numFmtId="1" fontId="32" fillId="0" borderId="1674" xfId="0" applyNumberFormat="1" applyFont="1" applyBorder="1" applyAlignment="1">
      <alignment vertical="center" wrapText="1"/>
    </xf>
    <xf numFmtId="1" fontId="32" fillId="0" borderId="1445" xfId="0" applyNumberFormat="1" applyFont="1" applyBorder="1"/>
    <xf numFmtId="1" fontId="32" fillId="5" borderId="1867" xfId="0" applyNumberFormat="1" applyFont="1" applyFill="1" applyBorder="1" applyProtection="1">
      <protection locked="0"/>
    </xf>
    <xf numFmtId="1" fontId="32" fillId="5" borderId="1658" xfId="0" applyNumberFormat="1" applyFont="1" applyFill="1" applyBorder="1" applyProtection="1">
      <protection locked="0"/>
    </xf>
    <xf numFmtId="1" fontId="32" fillId="0" borderId="1607" xfId="0" applyNumberFormat="1" applyFont="1" applyBorder="1" applyAlignment="1">
      <alignment vertical="center" wrapText="1"/>
    </xf>
    <xf numFmtId="1" fontId="32" fillId="0" borderId="825" xfId="0" applyNumberFormat="1" applyFont="1" applyBorder="1" applyAlignment="1">
      <alignment vertical="center" wrapText="1"/>
    </xf>
    <xf numFmtId="1" fontId="32" fillId="0" borderId="1683" xfId="0" applyNumberFormat="1" applyFont="1" applyBorder="1"/>
    <xf numFmtId="1" fontId="32" fillId="4" borderId="1607" xfId="0" applyNumberFormat="1" applyFont="1" applyFill="1" applyBorder="1"/>
    <xf numFmtId="1" fontId="32" fillId="4" borderId="1683" xfId="0" applyNumberFormat="1" applyFont="1" applyFill="1" applyBorder="1"/>
    <xf numFmtId="1" fontId="32" fillId="4" borderId="981" xfId="0" applyNumberFormat="1" applyFont="1" applyFill="1" applyBorder="1"/>
    <xf numFmtId="1" fontId="32" fillId="5" borderId="1698" xfId="0" applyNumberFormat="1" applyFont="1" applyFill="1" applyBorder="1" applyProtection="1">
      <protection locked="0"/>
    </xf>
    <xf numFmtId="1" fontId="32" fillId="3" borderId="1699" xfId="0" applyNumberFormat="1" applyFont="1" applyFill="1" applyBorder="1" applyAlignment="1">
      <alignment vertical="center" wrapText="1"/>
    </xf>
    <xf numFmtId="1" fontId="32" fillId="3" borderId="1607" xfId="0" applyNumberFormat="1" applyFont="1" applyFill="1" applyBorder="1" applyAlignment="1">
      <alignment vertical="center" wrapText="1"/>
    </xf>
    <xf numFmtId="1" fontId="32" fillId="3" borderId="1875" xfId="0" applyNumberFormat="1" applyFont="1" applyFill="1" applyBorder="1" applyAlignment="1">
      <alignment vertical="center" wrapText="1"/>
    </xf>
    <xf numFmtId="1" fontId="32" fillId="0" borderId="827" xfId="0" applyNumberFormat="1" applyFont="1" applyBorder="1"/>
    <xf numFmtId="1" fontId="32" fillId="3" borderId="1874" xfId="0" applyNumberFormat="1" applyFont="1" applyFill="1" applyBorder="1" applyAlignment="1">
      <alignment vertical="center" wrapText="1"/>
    </xf>
    <xf numFmtId="1" fontId="32" fillId="3" borderId="825" xfId="0" applyNumberFormat="1" applyFont="1" applyFill="1" applyBorder="1" applyAlignment="1">
      <alignment vertical="center" wrapText="1"/>
    </xf>
    <xf numFmtId="1" fontId="32" fillId="5" borderId="408" xfId="0" applyNumberFormat="1" applyFont="1" applyFill="1" applyBorder="1" applyProtection="1">
      <protection locked="0"/>
    </xf>
    <xf numFmtId="1" fontId="32" fillId="5" borderId="1857" xfId="0" applyNumberFormat="1" applyFont="1" applyFill="1" applyBorder="1" applyProtection="1">
      <protection locked="0"/>
    </xf>
    <xf numFmtId="1" fontId="32" fillId="3" borderId="1866" xfId="0" applyNumberFormat="1" applyFont="1" applyFill="1" applyBorder="1" applyAlignment="1">
      <alignment vertical="center" wrapText="1"/>
    </xf>
    <xf numFmtId="1" fontId="32" fillId="3" borderId="1682" xfId="0" applyNumberFormat="1" applyFont="1" applyFill="1" applyBorder="1" applyAlignment="1">
      <alignment vertical="center" wrapText="1"/>
    </xf>
    <xf numFmtId="1" fontId="32" fillId="0" borderId="1864" xfId="0" applyNumberFormat="1" applyFont="1" applyBorder="1"/>
    <xf numFmtId="1" fontId="32" fillId="4" borderId="1866" xfId="0" applyNumberFormat="1" applyFont="1" applyFill="1" applyBorder="1"/>
    <xf numFmtId="1" fontId="32" fillId="4" borderId="741" xfId="0" applyNumberFormat="1" applyFont="1" applyFill="1" applyBorder="1"/>
    <xf numFmtId="1" fontId="32" fillId="4" borderId="1744" xfId="0" applyNumberFormat="1" applyFont="1" applyFill="1" applyBorder="1"/>
    <xf numFmtId="1" fontId="32" fillId="4" borderId="1854" xfId="0" applyNumberFormat="1" applyFont="1" applyFill="1" applyBorder="1"/>
    <xf numFmtId="1" fontId="32" fillId="5" borderId="1744" xfId="0" applyNumberFormat="1" applyFont="1" applyFill="1" applyBorder="1" applyProtection="1">
      <protection locked="0"/>
    </xf>
    <xf numFmtId="1" fontId="32" fillId="5" borderId="1854" xfId="0" applyNumberFormat="1" applyFont="1" applyFill="1" applyBorder="1" applyProtection="1">
      <protection locked="0"/>
    </xf>
    <xf numFmtId="1" fontId="32" fillId="5" borderId="1868" xfId="0" applyNumberFormat="1" applyFont="1" applyFill="1" applyBorder="1" applyProtection="1">
      <protection locked="0"/>
    </xf>
    <xf numFmtId="1" fontId="32" fillId="5" borderId="901" xfId="0" applyNumberFormat="1" applyFont="1" applyFill="1" applyBorder="1" applyProtection="1">
      <protection locked="0"/>
    </xf>
    <xf numFmtId="1" fontId="32" fillId="5" borderId="1864" xfId="0" applyNumberFormat="1" applyFont="1" applyFill="1" applyBorder="1" applyProtection="1">
      <protection locked="0"/>
    </xf>
    <xf numFmtId="1" fontId="32" fillId="3" borderId="1686" xfId="0" applyNumberFormat="1" applyFont="1" applyFill="1" applyBorder="1" applyAlignment="1">
      <alignment vertical="center" wrapText="1"/>
    </xf>
    <xf numFmtId="1" fontId="32" fillId="0" borderId="1927" xfId="0" applyNumberFormat="1" applyFont="1" applyBorder="1"/>
    <xf numFmtId="1" fontId="32" fillId="0" borderId="1928" xfId="0" applyNumberFormat="1" applyFont="1" applyBorder="1"/>
    <xf numFmtId="1" fontId="32" fillId="0" borderId="2148" xfId="0" applyNumberFormat="1" applyFont="1" applyBorder="1"/>
    <xf numFmtId="1" fontId="32" fillId="0" borderId="2139" xfId="0" applyNumberFormat="1" applyFont="1" applyBorder="1"/>
    <xf numFmtId="1" fontId="32" fillId="5" borderId="1874" xfId="0" applyNumberFormat="1" applyFont="1" applyFill="1" applyBorder="1" applyProtection="1">
      <protection locked="0"/>
    </xf>
    <xf numFmtId="1" fontId="32" fillId="5" borderId="1876" xfId="0" applyNumberFormat="1" applyFont="1" applyFill="1" applyBorder="1" applyProtection="1">
      <protection locked="0"/>
    </xf>
    <xf numFmtId="1" fontId="32" fillId="5" borderId="1726" xfId="0" applyNumberFormat="1" applyFont="1" applyFill="1" applyBorder="1" applyProtection="1">
      <protection locked="0"/>
    </xf>
    <xf numFmtId="1" fontId="32" fillId="5" borderId="2162" xfId="0" applyNumberFormat="1" applyFont="1" applyFill="1" applyBorder="1" applyProtection="1">
      <protection locked="0"/>
    </xf>
    <xf numFmtId="1" fontId="32" fillId="5" borderId="2142" xfId="0" applyNumberFormat="1" applyFont="1" applyFill="1" applyBorder="1" applyProtection="1">
      <protection locked="0"/>
    </xf>
    <xf numFmtId="1" fontId="32" fillId="5" borderId="1448" xfId="0" applyNumberFormat="1" applyFont="1" applyFill="1" applyBorder="1" applyProtection="1">
      <protection locked="0"/>
    </xf>
    <xf numFmtId="1" fontId="32" fillId="5" borderId="1875" xfId="0" applyNumberFormat="1" applyFont="1" applyFill="1" applyBorder="1" applyProtection="1">
      <protection locked="0"/>
    </xf>
    <xf numFmtId="1" fontId="32" fillId="0" borderId="1857" xfId="0" applyNumberFormat="1" applyFont="1" applyBorder="1" applyAlignment="1">
      <alignment vertical="center" wrapText="1"/>
    </xf>
    <xf numFmtId="1" fontId="32" fillId="3" borderId="408" xfId="0" applyNumberFormat="1" applyFont="1" applyFill="1" applyBorder="1" applyAlignment="1">
      <alignment vertical="center" wrapText="1"/>
    </xf>
    <xf numFmtId="1" fontId="32" fillId="3" borderId="382" xfId="0" applyNumberFormat="1" applyFont="1" applyFill="1" applyBorder="1" applyAlignment="1">
      <alignment vertical="center" wrapText="1"/>
    </xf>
    <xf numFmtId="1" fontId="32" fillId="0" borderId="517" xfId="0" applyNumberFormat="1" applyFont="1" applyBorder="1"/>
    <xf numFmtId="1" fontId="32" fillId="5" borderId="517" xfId="0" applyNumberFormat="1" applyFont="1" applyFill="1" applyBorder="1" applyProtection="1">
      <protection locked="0"/>
    </xf>
    <xf numFmtId="1" fontId="32" fillId="5" borderId="1958" xfId="0" applyNumberFormat="1" applyFont="1" applyFill="1" applyBorder="1" applyProtection="1">
      <protection locked="0"/>
    </xf>
    <xf numFmtId="1" fontId="32" fillId="5" borderId="2160" xfId="0" applyNumberFormat="1" applyFont="1" applyFill="1" applyBorder="1" applyProtection="1">
      <protection locked="0"/>
    </xf>
    <xf numFmtId="1" fontId="32" fillId="5" borderId="1670" xfId="0" applyNumberFormat="1" applyFont="1" applyFill="1" applyBorder="1" applyProtection="1">
      <protection locked="0"/>
    </xf>
    <xf numFmtId="1" fontId="32" fillId="5" borderId="784" xfId="0" applyNumberFormat="1" applyFont="1" applyFill="1" applyBorder="1" applyProtection="1">
      <protection locked="0"/>
    </xf>
    <xf numFmtId="1" fontId="32" fillId="5" borderId="382" xfId="0" applyNumberFormat="1" applyFont="1" applyFill="1" applyBorder="1" applyProtection="1">
      <protection locked="0"/>
    </xf>
    <xf numFmtId="1" fontId="32" fillId="0" borderId="981" xfId="0" applyNumberFormat="1" applyFont="1" applyBorder="1" applyAlignment="1">
      <alignment vertical="center" wrapText="1"/>
    </xf>
    <xf numFmtId="1" fontId="32" fillId="0" borderId="1868" xfId="0" applyNumberFormat="1" applyFont="1" applyBorder="1" applyAlignment="1">
      <alignment vertical="center" wrapText="1"/>
    </xf>
    <xf numFmtId="1" fontId="32" fillId="5" borderId="741" xfId="0" applyNumberFormat="1" applyFont="1" applyFill="1" applyBorder="1" applyProtection="1">
      <protection locked="0"/>
    </xf>
    <xf numFmtId="1" fontId="62" fillId="14" borderId="0" xfId="0" applyNumberFormat="1" applyFont="1" applyFill="1"/>
    <xf numFmtId="1" fontId="32" fillId="0" borderId="2122" xfId="0" applyNumberFormat="1" applyFont="1" applyBorder="1" applyAlignment="1">
      <alignment horizontal="center" vertical="center" wrapText="1"/>
    </xf>
    <xf numFmtId="1" fontId="32" fillId="0" borderId="2148" xfId="0" applyNumberFormat="1" applyFont="1" applyBorder="1" applyAlignment="1">
      <alignment horizontal="center" vertical="center" wrapText="1"/>
    </xf>
    <xf numFmtId="1" fontId="32" fillId="0" borderId="2150" xfId="0" applyNumberFormat="1" applyFont="1" applyBorder="1" applyAlignment="1">
      <alignment horizontal="center" vertical="center" wrapText="1"/>
    </xf>
    <xf numFmtId="1" fontId="32" fillId="14" borderId="2155" xfId="0" applyNumberFormat="1" applyFont="1" applyFill="1" applyBorder="1" applyAlignment="1">
      <alignment vertical="center"/>
    </xf>
    <xf numFmtId="1" fontId="32" fillId="14" borderId="1683" xfId="0" applyNumberFormat="1" applyFont="1" applyFill="1" applyBorder="1" applyAlignment="1">
      <alignment horizontal="left"/>
    </xf>
    <xf numFmtId="1" fontId="32" fillId="0" borderId="1858" xfId="0" applyNumberFormat="1" applyFont="1" applyBorder="1" applyAlignment="1">
      <alignment horizontal="right" vertical="center"/>
    </xf>
    <xf numFmtId="1" fontId="32" fillId="5" borderId="1867" xfId="0" applyNumberFormat="1" applyFont="1" applyFill="1" applyBorder="1" applyAlignment="1" applyProtection="1">
      <alignment horizontal="right"/>
      <protection locked="0"/>
    </xf>
    <xf numFmtId="1" fontId="32" fillId="5" borderId="1675" xfId="0" applyNumberFormat="1" applyFont="1" applyFill="1" applyBorder="1" applyAlignment="1" applyProtection="1">
      <alignment horizontal="right"/>
      <protection locked="0"/>
    </xf>
    <xf numFmtId="1" fontId="32" fillId="5" borderId="1445" xfId="0" applyNumberFormat="1" applyFont="1" applyFill="1" applyBorder="1" applyAlignment="1" applyProtection="1">
      <alignment horizontal="right"/>
      <protection locked="0"/>
    </xf>
    <xf numFmtId="1" fontId="32" fillId="5" borderId="1658" xfId="0" applyNumberFormat="1" applyFont="1" applyFill="1" applyBorder="1" applyAlignment="1" applyProtection="1">
      <alignment horizontal="right"/>
      <protection locked="0"/>
    </xf>
    <xf numFmtId="1" fontId="32" fillId="0" borderId="1699" xfId="0" applyNumberFormat="1" applyFont="1" applyBorder="1" applyAlignment="1">
      <alignment horizontal="right" vertical="center"/>
    </xf>
    <xf numFmtId="1" fontId="32" fillId="5" borderId="1607" xfId="0" applyNumberFormat="1" applyFont="1" applyFill="1" applyBorder="1" applyAlignment="1" applyProtection="1">
      <alignment horizontal="right"/>
      <protection locked="0"/>
    </xf>
    <xf numFmtId="1" fontId="32" fillId="5" borderId="981" xfId="0" applyNumberFormat="1" applyFont="1" applyFill="1" applyBorder="1" applyAlignment="1" applyProtection="1">
      <alignment horizontal="right"/>
      <protection locked="0"/>
    </xf>
    <xf numFmtId="1" fontId="32" fillId="5" borderId="1683" xfId="0" applyNumberFormat="1" applyFont="1" applyFill="1" applyBorder="1" applyAlignment="1" applyProtection="1">
      <alignment horizontal="right"/>
      <protection locked="0"/>
    </xf>
    <xf numFmtId="1" fontId="32" fillId="5" borderId="1698" xfId="0" applyNumberFormat="1" applyFont="1" applyFill="1" applyBorder="1" applyAlignment="1" applyProtection="1">
      <alignment horizontal="right"/>
      <protection locked="0"/>
    </xf>
    <xf numFmtId="1" fontId="32" fillId="5" borderId="1690" xfId="0" applyNumberFormat="1" applyFont="1" applyFill="1" applyBorder="1" applyAlignment="1" applyProtection="1">
      <alignment horizontal="right"/>
      <protection locked="0"/>
    </xf>
    <xf numFmtId="1" fontId="32" fillId="0" borderId="1683" xfId="0" applyNumberFormat="1" applyFont="1" applyBorder="1" applyAlignment="1">
      <alignment wrapText="1"/>
    </xf>
    <xf numFmtId="1" fontId="32" fillId="14" borderId="1683" xfId="0" applyNumberFormat="1" applyFont="1" applyFill="1" applyBorder="1" applyAlignment="1">
      <alignment horizontal="left" wrapText="1"/>
    </xf>
    <xf numFmtId="1" fontId="32" fillId="0" borderId="1683" xfId="0" applyNumberFormat="1" applyFont="1" applyBorder="1" applyAlignment="1">
      <alignment horizontal="left" vertical="center"/>
    </xf>
    <xf numFmtId="1" fontId="32" fillId="0" borderId="1683" xfId="0" applyNumberFormat="1" applyFont="1" applyBorder="1" applyAlignment="1">
      <alignment horizontal="left" vertical="center" wrapText="1"/>
    </xf>
    <xf numFmtId="1" fontId="32" fillId="14" borderId="1876" xfId="0" applyNumberFormat="1" applyFont="1" applyFill="1" applyBorder="1" applyAlignment="1">
      <alignment horizontal="left" vertical="center" wrapText="1"/>
    </xf>
    <xf numFmtId="1" fontId="32" fillId="0" borderId="1671" xfId="0" applyNumberFormat="1" applyFont="1" applyBorder="1" applyAlignment="1">
      <alignment horizontal="right" vertical="center"/>
    </xf>
    <xf numFmtId="1" fontId="32" fillId="5" borderId="825" xfId="0" applyNumberFormat="1" applyFont="1" applyFill="1" applyBorder="1" applyAlignment="1" applyProtection="1">
      <alignment horizontal="right"/>
      <protection locked="0"/>
    </xf>
    <xf numFmtId="1" fontId="32" fillId="5" borderId="977" xfId="0" applyNumberFormat="1" applyFont="1" applyFill="1" applyBorder="1" applyAlignment="1" applyProtection="1">
      <alignment horizontal="right"/>
      <protection locked="0"/>
    </xf>
    <xf numFmtId="1" fontId="32" fillId="14" borderId="1699" xfId="0" applyNumberFormat="1" applyFont="1" applyFill="1" applyBorder="1" applyAlignment="1">
      <alignment horizontal="left"/>
    </xf>
    <xf numFmtId="1" fontId="32" fillId="0" borderId="1445" xfId="0" applyNumberFormat="1" applyFont="1" applyBorder="1" applyAlignment="1">
      <alignment horizontal="right" vertical="center"/>
    </xf>
    <xf numFmtId="1" fontId="32" fillId="0" borderId="517" xfId="0" applyNumberFormat="1" applyFont="1" applyBorder="1" applyAlignment="1">
      <alignment horizontal="right" vertical="center"/>
    </xf>
    <xf numFmtId="1" fontId="32" fillId="5" borderId="1874" xfId="0" applyNumberFormat="1" applyFont="1" applyFill="1" applyBorder="1" applyAlignment="1" applyProtection="1">
      <alignment horizontal="right"/>
      <protection locked="0"/>
    </xf>
    <xf numFmtId="1" fontId="32" fillId="5" borderId="1726" xfId="0" applyNumberFormat="1" applyFont="1" applyFill="1" applyBorder="1" applyAlignment="1" applyProtection="1">
      <alignment horizontal="right"/>
      <protection locked="0"/>
    </xf>
    <xf numFmtId="1" fontId="32" fillId="5" borderId="1876" xfId="0" applyNumberFormat="1" applyFont="1" applyFill="1" applyBorder="1" applyAlignment="1" applyProtection="1">
      <alignment horizontal="right"/>
      <protection locked="0"/>
    </xf>
    <xf numFmtId="1" fontId="32" fillId="5" borderId="1448" xfId="0" applyNumberFormat="1" applyFont="1" applyFill="1" applyBorder="1" applyAlignment="1" applyProtection="1">
      <alignment horizontal="right"/>
      <protection locked="0"/>
    </xf>
    <xf numFmtId="1" fontId="32" fillId="5" borderId="2161" xfId="0" applyNumberFormat="1" applyFont="1" applyFill="1" applyBorder="1" applyAlignment="1" applyProtection="1">
      <alignment horizontal="right"/>
      <protection locked="0"/>
    </xf>
    <xf numFmtId="1" fontId="32" fillId="14" borderId="1868" xfId="0" applyNumberFormat="1" applyFont="1" applyFill="1" applyBorder="1" applyAlignment="1">
      <alignment horizontal="left"/>
    </xf>
    <xf numFmtId="1" fontId="32" fillId="0" borderId="1864" xfId="0" applyNumberFormat="1" applyFont="1" applyBorder="1" applyAlignment="1">
      <alignment horizontal="right" vertical="center"/>
    </xf>
    <xf numFmtId="1" fontId="32" fillId="5" borderId="1866" xfId="0" applyNumberFormat="1" applyFont="1" applyFill="1" applyBorder="1" applyAlignment="1" applyProtection="1">
      <alignment horizontal="right"/>
      <protection locked="0"/>
    </xf>
    <xf numFmtId="1" fontId="32" fillId="5" borderId="1687" xfId="0" applyNumberFormat="1" applyFont="1" applyFill="1" applyBorder="1" applyAlignment="1" applyProtection="1">
      <alignment horizontal="right"/>
      <protection locked="0"/>
    </xf>
    <xf numFmtId="1" fontId="32" fillId="5" borderId="1864" xfId="0" applyNumberFormat="1" applyFont="1" applyFill="1" applyBorder="1" applyAlignment="1" applyProtection="1">
      <alignment horizontal="right"/>
      <protection locked="0"/>
    </xf>
    <xf numFmtId="1" fontId="32" fillId="5" borderId="1636" xfId="0" applyNumberFormat="1" applyFont="1" applyFill="1" applyBorder="1" applyAlignment="1" applyProtection="1">
      <alignment horizontal="right"/>
      <protection locked="0"/>
    </xf>
    <xf numFmtId="1" fontId="32" fillId="5" borderId="820" xfId="0" applyNumberFormat="1" applyFont="1" applyFill="1" applyBorder="1" applyAlignment="1" applyProtection="1">
      <alignment horizontal="right"/>
      <protection locked="0"/>
    </xf>
    <xf numFmtId="1" fontId="32" fillId="0" borderId="1861" xfId="0" applyNumberFormat="1" applyFont="1" applyBorder="1" applyAlignment="1">
      <alignment vertical="center"/>
    </xf>
    <xf numFmtId="1" fontId="32" fillId="0" borderId="1445" xfId="0" applyNumberFormat="1" applyFont="1" applyBorder="1" applyAlignment="1">
      <alignment vertical="center"/>
    </xf>
    <xf numFmtId="1" fontId="32" fillId="0" borderId="1863" xfId="0" applyNumberFormat="1" applyFont="1" applyBorder="1" applyAlignment="1">
      <alignment vertical="center"/>
    </xf>
    <xf numFmtId="1" fontId="32" fillId="0" borderId="1864" xfId="0" applyNumberFormat="1" applyFont="1" applyBorder="1" applyAlignment="1">
      <alignment vertical="center"/>
    </xf>
    <xf numFmtId="1" fontId="32" fillId="0" borderId="1868" xfId="0" applyNumberFormat="1" applyFont="1" applyBorder="1" applyAlignment="1">
      <alignment horizontal="right" vertical="center"/>
    </xf>
    <xf numFmtId="1" fontId="32" fillId="5" borderId="1873" xfId="0" applyNumberFormat="1" applyFont="1" applyFill="1" applyBorder="1" applyAlignment="1" applyProtection="1">
      <alignment horizontal="right"/>
      <protection locked="0"/>
    </xf>
    <xf numFmtId="1" fontId="32" fillId="0" borderId="0" xfId="0" applyNumberFormat="1" applyFont="1" applyAlignment="1">
      <alignment horizontal="left" vertical="center"/>
    </xf>
    <xf numFmtId="1" fontId="63" fillId="14" borderId="1158" xfId="0" applyNumberFormat="1" applyFont="1" applyFill="1" applyBorder="1" applyAlignment="1">
      <alignment vertical="center"/>
    </xf>
    <xf numFmtId="1" fontId="32" fillId="0" borderId="1671" xfId="0" applyNumberFormat="1" applyFont="1" applyBorder="1" applyAlignment="1">
      <alignment horizontal="left"/>
    </xf>
    <xf numFmtId="1" fontId="32" fillId="0" borderId="1671" xfId="0" applyNumberFormat="1" applyFont="1" applyBorder="1" applyAlignment="1">
      <alignment horizontal="right"/>
    </xf>
    <xf numFmtId="1" fontId="32" fillId="5" borderId="1445" xfId="0" applyNumberFormat="1" applyFont="1" applyFill="1" applyBorder="1" applyAlignment="1" applyProtection="1">
      <alignment wrapText="1"/>
      <protection locked="0"/>
    </xf>
    <xf numFmtId="1" fontId="32" fillId="5" borderId="1607" xfId="0" applyNumberFormat="1" applyFont="1" applyFill="1" applyBorder="1" applyAlignment="1" applyProtection="1">
      <alignment wrapText="1"/>
      <protection locked="0"/>
    </xf>
    <xf numFmtId="1" fontId="32" fillId="5" borderId="825" xfId="0" applyNumberFormat="1" applyFont="1" applyFill="1" applyBorder="1" applyAlignment="1" applyProtection="1">
      <alignment wrapText="1"/>
      <protection locked="0"/>
    </xf>
    <xf numFmtId="1" fontId="32" fillId="5" borderId="1089" xfId="0" applyNumberFormat="1" applyFont="1" applyFill="1" applyBorder="1" applyAlignment="1" applyProtection="1">
      <alignment wrapText="1"/>
      <protection locked="0"/>
    </xf>
    <xf numFmtId="1" fontId="32" fillId="0" borderId="1699" xfId="0" applyNumberFormat="1" applyFont="1" applyBorder="1" applyAlignment="1">
      <alignment horizontal="left"/>
    </xf>
    <xf numFmtId="1" fontId="32" fillId="5" borderId="1683" xfId="0" applyNumberFormat="1" applyFont="1" applyFill="1" applyBorder="1" applyAlignment="1" applyProtection="1">
      <alignment wrapText="1"/>
      <protection locked="0"/>
    </xf>
    <xf numFmtId="1" fontId="32" fillId="5" borderId="1608" xfId="0" applyNumberFormat="1" applyFont="1" applyFill="1" applyBorder="1" applyAlignment="1" applyProtection="1">
      <alignment wrapText="1"/>
      <protection locked="0"/>
    </xf>
    <xf numFmtId="1" fontId="32" fillId="5" borderId="1864" xfId="0" applyNumberFormat="1" applyFont="1" applyFill="1" applyBorder="1" applyAlignment="1" applyProtection="1">
      <alignment wrapText="1"/>
      <protection locked="0"/>
    </xf>
    <xf numFmtId="1" fontId="32" fillId="5" borderId="1866" xfId="0" applyNumberFormat="1" applyFont="1" applyFill="1" applyBorder="1" applyAlignment="1" applyProtection="1">
      <alignment wrapText="1"/>
      <protection locked="0"/>
    </xf>
    <xf numFmtId="1" fontId="32" fillId="5" borderId="1686" xfId="0" applyNumberFormat="1" applyFont="1" applyFill="1" applyBorder="1" applyAlignment="1" applyProtection="1">
      <alignment wrapText="1"/>
      <protection locked="0"/>
    </xf>
    <xf numFmtId="1" fontId="32" fillId="5" borderId="945" xfId="0" applyNumberFormat="1" applyFont="1" applyFill="1" applyBorder="1" applyAlignment="1" applyProtection="1">
      <alignment wrapText="1"/>
      <protection locked="0"/>
    </xf>
    <xf numFmtId="1" fontId="63" fillId="3" borderId="2112" xfId="0" applyNumberFormat="1" applyFont="1" applyFill="1" applyBorder="1" applyAlignment="1">
      <alignment wrapText="1"/>
    </xf>
    <xf numFmtId="1" fontId="32" fillId="3" borderId="2122" xfId="0" applyNumberFormat="1" applyFont="1" applyFill="1" applyBorder="1" applyAlignment="1">
      <alignment horizontal="right" wrapText="1"/>
    </xf>
    <xf numFmtId="1" fontId="32" fillId="0" borderId="1864" xfId="0" applyNumberFormat="1" applyFont="1" applyBorder="1" applyAlignment="1">
      <alignment wrapText="1"/>
    </xf>
    <xf numFmtId="1" fontId="32" fillId="0" borderId="1866" xfId="0" applyNumberFormat="1" applyFont="1" applyBorder="1" applyAlignment="1">
      <alignment wrapText="1"/>
    </xf>
    <xf numFmtId="1" fontId="32" fillId="0" borderId="1686" xfId="0" applyNumberFormat="1" applyFont="1" applyBorder="1" applyAlignment="1">
      <alignment wrapText="1"/>
    </xf>
    <xf numFmtId="1" fontId="32" fillId="0" borderId="1731" xfId="0" applyNumberFormat="1" applyFont="1" applyBorder="1" applyAlignment="1">
      <alignment wrapText="1"/>
    </xf>
    <xf numFmtId="1" fontId="32" fillId="14" borderId="2122" xfId="0" applyNumberFormat="1" applyFont="1" applyFill="1" applyBorder="1" applyAlignment="1">
      <alignment horizontal="center" vertical="center"/>
    </xf>
    <xf numFmtId="1" fontId="32" fillId="14" borderId="2144" xfId="0" applyNumberFormat="1" applyFont="1" applyFill="1" applyBorder="1" applyAlignment="1">
      <alignment horizontal="center" vertical="center"/>
    </xf>
    <xf numFmtId="1" fontId="32" fillId="14" borderId="2122" xfId="0" applyNumberFormat="1" applyFont="1" applyFill="1" applyBorder="1" applyAlignment="1">
      <alignment horizontal="center" vertical="center" wrapText="1"/>
    </xf>
    <xf numFmtId="1" fontId="32" fillId="14" borderId="1671" xfId="0" applyNumberFormat="1" applyFont="1" applyFill="1" applyBorder="1"/>
    <xf numFmtId="1" fontId="32" fillId="5" borderId="1699" xfId="0" applyNumberFormat="1" applyFont="1" applyFill="1" applyBorder="1" applyAlignment="1" applyProtection="1">
      <alignment wrapText="1"/>
      <protection locked="0"/>
    </xf>
    <xf numFmtId="1" fontId="32" fillId="5" borderId="1732" xfId="0" applyNumberFormat="1" applyFont="1" applyFill="1" applyBorder="1" applyAlignment="1" applyProtection="1">
      <alignment wrapText="1"/>
      <protection locked="0"/>
    </xf>
    <xf numFmtId="1" fontId="32" fillId="14" borderId="1699" xfId="0" applyNumberFormat="1" applyFont="1" applyFill="1" applyBorder="1"/>
    <xf numFmtId="1" fontId="32" fillId="14" borderId="1868" xfId="0" applyNumberFormat="1" applyFont="1" applyFill="1" applyBorder="1"/>
    <xf numFmtId="1" fontId="32" fillId="5" borderId="1636" xfId="0" applyNumberFormat="1" applyFont="1" applyFill="1" applyBorder="1" applyProtection="1">
      <protection locked="0"/>
    </xf>
    <xf numFmtId="1" fontId="32" fillId="3" borderId="2112" xfId="0" applyNumberFormat="1" applyFont="1" applyFill="1" applyBorder="1" applyAlignment="1">
      <alignment wrapText="1"/>
    </xf>
    <xf numFmtId="1" fontId="32" fillId="3" borderId="2122" xfId="0" applyNumberFormat="1" applyFont="1" applyFill="1" applyBorder="1"/>
    <xf numFmtId="1" fontId="32" fillId="14" borderId="2122" xfId="0" applyNumberFormat="1" applyFont="1" applyFill="1" applyBorder="1"/>
    <xf numFmtId="1" fontId="32" fillId="14" borderId="2144" xfId="0" applyNumberFormat="1" applyFont="1" applyFill="1" applyBorder="1"/>
    <xf numFmtId="1" fontId="32" fillId="14" borderId="2220" xfId="0" applyNumberFormat="1" applyFont="1" applyFill="1" applyBorder="1"/>
    <xf numFmtId="1" fontId="32" fillId="14" borderId="2186" xfId="0" applyNumberFormat="1" applyFont="1" applyFill="1" applyBorder="1"/>
    <xf numFmtId="1" fontId="32" fillId="14" borderId="2200" xfId="0" applyNumberFormat="1" applyFont="1" applyFill="1" applyBorder="1"/>
    <xf numFmtId="1" fontId="32" fillId="5" borderId="1866" xfId="0" applyNumberFormat="1" applyFont="1" applyFill="1" applyBorder="1" applyProtection="1">
      <protection locked="0"/>
    </xf>
    <xf numFmtId="1" fontId="32" fillId="3" borderId="2138" xfId="0" applyNumberFormat="1" applyFont="1" applyFill="1" applyBorder="1"/>
    <xf numFmtId="1" fontId="62" fillId="0" borderId="0" xfId="0" applyNumberFormat="1" applyFont="1" applyAlignment="1">
      <alignment horizontal="left"/>
    </xf>
    <xf numFmtId="1" fontId="32" fillId="3" borderId="0" xfId="0" applyNumberFormat="1" applyFont="1" applyFill="1" applyAlignment="1">
      <alignment horizontal="left" wrapText="1"/>
    </xf>
    <xf numFmtId="1" fontId="32" fillId="0" borderId="2122" xfId="0" applyNumberFormat="1" applyFont="1" applyBorder="1" applyAlignment="1">
      <alignment horizontal="center" vertical="center"/>
    </xf>
    <xf numFmtId="1" fontId="32" fillId="3" borderId="1871" xfId="0" applyNumberFormat="1" applyFont="1" applyFill="1" applyBorder="1" applyAlignment="1">
      <alignment horizontal="center" vertical="center" wrapText="1"/>
    </xf>
    <xf numFmtId="1" fontId="32" fillId="3" borderId="1927" xfId="0" applyNumberFormat="1" applyFont="1" applyFill="1" applyBorder="1" applyAlignment="1">
      <alignment horizontal="center" vertical="center" wrapText="1"/>
    </xf>
    <xf numFmtId="1" fontId="32" fillId="0" borderId="1699" xfId="0" applyNumberFormat="1" applyFont="1" applyBorder="1" applyAlignment="1">
      <alignment horizontal="left" wrapText="1"/>
    </xf>
    <xf numFmtId="1" fontId="32" fillId="22" borderId="1699" xfId="0" applyNumberFormat="1" applyFont="1" applyFill="1" applyBorder="1" applyAlignment="1">
      <alignment horizontal="left" wrapText="1"/>
    </xf>
    <xf numFmtId="1" fontId="32" fillId="0" borderId="1670" xfId="0" applyNumberFormat="1" applyFont="1" applyBorder="1" applyAlignment="1">
      <alignment horizontal="left" wrapText="1"/>
    </xf>
    <xf numFmtId="1" fontId="32" fillId="0" borderId="1857" xfId="0" applyNumberFormat="1" applyFont="1" applyBorder="1" applyAlignment="1">
      <alignment horizontal="left" wrapText="1"/>
    </xf>
    <xf numFmtId="1" fontId="63" fillId="0" borderId="2122" xfId="0" applyNumberFormat="1" applyFont="1" applyBorder="1" applyAlignment="1">
      <alignment horizontal="left" vertical="center"/>
    </xf>
    <xf numFmtId="1" fontId="32" fillId="3" borderId="2148" xfId="0" applyNumberFormat="1" applyFont="1" applyFill="1" applyBorder="1"/>
    <xf numFmtId="1" fontId="32" fillId="3" borderId="1871" xfId="0" applyNumberFormat="1" applyFont="1" applyFill="1" applyBorder="1"/>
    <xf numFmtId="1" fontId="32" fillId="3" borderId="1927" xfId="0" applyNumberFormat="1" applyFont="1" applyFill="1" applyBorder="1"/>
    <xf numFmtId="1" fontId="62" fillId="3" borderId="0" xfId="0" applyNumberFormat="1" applyFont="1" applyFill="1" applyAlignment="1">
      <alignment horizontal="left"/>
    </xf>
    <xf numFmtId="1" fontId="32" fillId="3" borderId="2122" xfId="0" applyNumberFormat="1" applyFont="1" applyFill="1" applyBorder="1" applyAlignment="1">
      <alignment horizontal="center" vertical="center"/>
    </xf>
    <xf numFmtId="1" fontId="79" fillId="3" borderId="0" xfId="0" applyNumberFormat="1" applyFont="1" applyFill="1"/>
    <xf numFmtId="1" fontId="32" fillId="3" borderId="1858" xfId="0" applyNumberFormat="1" applyFont="1" applyFill="1" applyBorder="1" applyAlignment="1">
      <alignment horizontal="left"/>
    </xf>
    <xf numFmtId="1" fontId="32" fillId="3" borderId="1699" xfId="0" applyNumberFormat="1" applyFont="1" applyFill="1" applyBorder="1" applyAlignment="1">
      <alignment horizontal="left"/>
    </xf>
    <xf numFmtId="1" fontId="32" fillId="3" borderId="1868" xfId="0" applyNumberFormat="1" applyFont="1" applyFill="1" applyBorder="1" applyAlignment="1">
      <alignment wrapText="1"/>
    </xf>
    <xf numFmtId="1" fontId="32" fillId="5" borderId="1687" xfId="0" applyNumberFormat="1" applyFont="1" applyFill="1" applyBorder="1" applyProtection="1">
      <protection locked="0"/>
    </xf>
    <xf numFmtId="1" fontId="72" fillId="14" borderId="1600" xfId="0" applyNumberFormat="1" applyFont="1" applyFill="1" applyBorder="1"/>
    <xf numFmtId="1" fontId="72" fillId="14" borderId="1600" xfId="0" applyNumberFormat="1" applyFont="1" applyFill="1" applyBorder="1" applyProtection="1">
      <protection locked="0"/>
    </xf>
    <xf numFmtId="1" fontId="32" fillId="3" borderId="1861" xfId="0" applyNumberFormat="1" applyFont="1" applyFill="1" applyBorder="1" applyAlignment="1">
      <alignment vertical="center"/>
    </xf>
    <xf numFmtId="1" fontId="32" fillId="3" borderId="1858" xfId="0" applyNumberFormat="1" applyFont="1" applyFill="1" applyBorder="1"/>
    <xf numFmtId="1" fontId="32" fillId="5" borderId="1908" xfId="0" applyNumberFormat="1" applyFont="1" applyFill="1" applyBorder="1" applyProtection="1">
      <protection locked="0"/>
    </xf>
    <xf numFmtId="1" fontId="32" fillId="5" borderId="1835" xfId="0" applyNumberFormat="1" applyFont="1" applyFill="1" applyBorder="1" applyProtection="1">
      <protection locked="0"/>
    </xf>
    <xf numFmtId="1" fontId="32" fillId="5" borderId="1862" xfId="0" applyNumberFormat="1" applyFont="1" applyFill="1" applyBorder="1" applyProtection="1">
      <protection locked="0"/>
    </xf>
    <xf numFmtId="1" fontId="72" fillId="14" borderId="1599" xfId="0" applyNumberFormat="1" applyFont="1" applyFill="1" applyBorder="1"/>
    <xf numFmtId="1" fontId="32" fillId="3" borderId="877" xfId="0" applyNumberFormat="1" applyFont="1" applyFill="1" applyBorder="1" applyAlignment="1">
      <alignment vertical="center"/>
    </xf>
    <xf numFmtId="1" fontId="32" fillId="3" borderId="2156" xfId="0" applyNumberFormat="1" applyFont="1" applyFill="1" applyBorder="1"/>
    <xf numFmtId="1" fontId="76" fillId="14" borderId="0" xfId="0" applyNumberFormat="1" applyFont="1" applyFill="1"/>
    <xf numFmtId="1" fontId="74" fillId="0" borderId="0" xfId="0" applyNumberFormat="1" applyFont="1" applyProtection="1">
      <protection locked="0"/>
    </xf>
    <xf numFmtId="1" fontId="74" fillId="0" borderId="1597" xfId="0" applyNumberFormat="1" applyFont="1" applyBorder="1" applyProtection="1">
      <protection locked="0"/>
    </xf>
    <xf numFmtId="1" fontId="74" fillId="0" borderId="1598" xfId="0" applyNumberFormat="1" applyFont="1" applyBorder="1" applyAlignment="1">
      <alignment vertical="center"/>
    </xf>
    <xf numFmtId="1" fontId="72" fillId="0" borderId="1597" xfId="0" applyNumberFormat="1" applyFont="1" applyBorder="1"/>
    <xf numFmtId="1" fontId="72" fillId="0" borderId="2168" xfId="0" applyNumberFormat="1" applyFont="1" applyBorder="1"/>
    <xf numFmtId="1" fontId="72" fillId="0" borderId="1666" xfId="0" applyNumberFormat="1" applyFont="1" applyBorder="1"/>
    <xf numFmtId="1" fontId="32" fillId="3" borderId="2173" xfId="0" applyNumberFormat="1" applyFont="1" applyFill="1" applyBorder="1" applyAlignment="1">
      <alignment horizontal="center" vertical="center" wrapText="1"/>
    </xf>
    <xf numFmtId="1" fontId="32" fillId="3" borderId="2170" xfId="0" applyNumberFormat="1" applyFont="1" applyFill="1" applyBorder="1" applyAlignment="1">
      <alignment horizontal="center" vertical="center" wrapText="1"/>
    </xf>
    <xf numFmtId="1" fontId="32" fillId="0" borderId="2170" xfId="0" applyNumberFormat="1" applyFont="1" applyBorder="1" applyAlignment="1">
      <alignment horizontal="center" vertical="center" wrapText="1"/>
    </xf>
    <xf numFmtId="1" fontId="32" fillId="0" borderId="2174" xfId="0" applyNumberFormat="1" applyFont="1" applyBorder="1" applyAlignment="1">
      <alignment horizontal="left" vertical="center" wrapText="1"/>
    </xf>
    <xf numFmtId="1" fontId="32" fillId="0" borderId="2174" xfId="0" applyNumberFormat="1" applyFont="1" applyBorder="1"/>
    <xf numFmtId="1" fontId="32" fillId="5" borderId="2175" xfId="0" applyNumberFormat="1" applyFont="1" applyFill="1" applyBorder="1" applyProtection="1">
      <protection locked="0"/>
    </xf>
    <xf numFmtId="1" fontId="32" fillId="5" borderId="2174" xfId="0" applyNumberFormat="1" applyFont="1" applyFill="1" applyBorder="1" applyProtection="1">
      <protection locked="0"/>
    </xf>
    <xf numFmtId="1" fontId="32" fillId="5" borderId="2176" xfId="0" applyNumberFormat="1" applyFont="1" applyFill="1" applyBorder="1" applyProtection="1">
      <protection locked="0"/>
    </xf>
    <xf numFmtId="1" fontId="32" fillId="5" borderId="2177" xfId="0" applyNumberFormat="1" applyFont="1" applyFill="1" applyBorder="1" applyProtection="1">
      <protection locked="0"/>
    </xf>
    <xf numFmtId="1" fontId="32" fillId="0" borderId="1699" xfId="0" applyNumberFormat="1" applyFont="1" applyBorder="1"/>
    <xf numFmtId="1" fontId="32" fillId="5" borderId="1702" xfId="0" applyNumberFormat="1" applyFont="1" applyFill="1" applyBorder="1" applyProtection="1">
      <protection locked="0"/>
    </xf>
    <xf numFmtId="1" fontId="32" fillId="0" borderId="1868" xfId="0" applyNumberFormat="1" applyFont="1" applyBorder="1" applyAlignment="1">
      <alignment horizontal="left" vertical="center" wrapText="1"/>
    </xf>
    <xf numFmtId="1" fontId="32" fillId="0" borderId="1868" xfId="0" applyNumberFormat="1" applyFont="1" applyBorder="1"/>
    <xf numFmtId="1" fontId="32" fillId="5" borderId="2178" xfId="0" applyNumberFormat="1" applyFont="1" applyFill="1" applyBorder="1" applyProtection="1">
      <protection locked="0"/>
    </xf>
    <xf numFmtId="1" fontId="32" fillId="0" borderId="2173" xfId="0" applyNumberFormat="1" applyFont="1" applyBorder="1" applyAlignment="1">
      <alignment horizontal="center" vertical="center" wrapText="1"/>
    </xf>
    <xf numFmtId="1" fontId="32" fillId="0" borderId="2139" xfId="0" applyNumberFormat="1" applyFont="1" applyBorder="1" applyAlignment="1">
      <alignment horizontal="center" vertical="center" wrapText="1"/>
    </xf>
    <xf numFmtId="1" fontId="32" fillId="0" borderId="2179" xfId="0" applyNumberFormat="1" applyFont="1" applyBorder="1" applyAlignment="1">
      <alignment horizontal="center" vertical="center" wrapText="1"/>
    </xf>
    <xf numFmtId="1" fontId="72" fillId="14" borderId="248" xfId="0" applyNumberFormat="1" applyFont="1" applyFill="1" applyBorder="1"/>
    <xf numFmtId="1" fontId="72" fillId="0" borderId="248" xfId="0" applyNumberFormat="1" applyFont="1" applyBorder="1"/>
    <xf numFmtId="1" fontId="32" fillId="5" borderId="2180" xfId="0" applyNumberFormat="1" applyFont="1" applyFill="1" applyBorder="1" applyProtection="1">
      <protection locked="0"/>
    </xf>
    <xf numFmtId="1" fontId="32" fillId="5" borderId="1732" xfId="0" applyNumberFormat="1" applyFont="1" applyFill="1" applyBorder="1" applyProtection="1">
      <protection locked="0"/>
    </xf>
    <xf numFmtId="1" fontId="32" fillId="5" borderId="1731" xfId="0" applyNumberFormat="1" applyFont="1" applyFill="1" applyBorder="1" applyProtection="1">
      <protection locked="0"/>
    </xf>
    <xf numFmtId="1" fontId="72" fillId="18" borderId="2206" xfId="0" applyNumberFormat="1" applyFont="1" applyFill="1" applyBorder="1" applyProtection="1">
      <protection locked="0"/>
    </xf>
    <xf numFmtId="1" fontId="32" fillId="0" borderId="1670" xfId="0" applyNumberFormat="1" applyFont="1" applyBorder="1" applyAlignment="1">
      <alignment horizontal="left" vertical="center" wrapText="1"/>
    </xf>
    <xf numFmtId="1" fontId="32" fillId="5" borderId="1168" xfId="0" applyNumberFormat="1" applyFont="1" applyFill="1" applyBorder="1" applyProtection="1">
      <protection locked="0"/>
    </xf>
    <xf numFmtId="1" fontId="32" fillId="5" borderId="114" xfId="0" applyNumberFormat="1" applyFont="1" applyFill="1" applyBorder="1" applyProtection="1">
      <protection locked="0"/>
    </xf>
    <xf numFmtId="1" fontId="32" fillId="0" borderId="2170" xfId="0" applyNumberFormat="1" applyFont="1" applyBorder="1" applyAlignment="1">
      <alignment horizontal="left" vertical="center" wrapText="1"/>
    </xf>
    <xf numFmtId="1" fontId="32" fillId="5" borderId="2173" xfId="0" applyNumberFormat="1" applyFont="1" applyFill="1" applyBorder="1" applyProtection="1">
      <protection locked="0"/>
    </xf>
    <xf numFmtId="1" fontId="32" fillId="5" borderId="2179" xfId="0" applyNumberFormat="1" applyFont="1" applyFill="1" applyBorder="1" applyProtection="1">
      <protection locked="0"/>
    </xf>
    <xf numFmtId="1" fontId="76" fillId="0" borderId="0" xfId="0" applyNumberFormat="1" applyFont="1"/>
    <xf numFmtId="1" fontId="76" fillId="0" borderId="2181" xfId="0" applyNumberFormat="1" applyFont="1" applyBorder="1"/>
    <xf numFmtId="1" fontId="76" fillId="0" borderId="2182" xfId="0" applyNumberFormat="1" applyFont="1" applyBorder="1"/>
    <xf numFmtId="1" fontId="32" fillId="0" borderId="2182" xfId="0" applyNumberFormat="1" applyFont="1" applyBorder="1"/>
    <xf numFmtId="1" fontId="32" fillId="0" borderId="2181" xfId="0" applyNumberFormat="1" applyFont="1" applyBorder="1"/>
    <xf numFmtId="1" fontId="32" fillId="0" borderId="2183" xfId="0" applyNumberFormat="1" applyFont="1" applyBorder="1"/>
    <xf numFmtId="1" fontId="72" fillId="14" borderId="2184" xfId="0" applyNumberFormat="1" applyFont="1" applyFill="1" applyBorder="1"/>
    <xf numFmtId="1" fontId="32" fillId="0" borderId="2186" xfId="0" applyNumberFormat="1" applyFont="1" applyBorder="1" applyAlignment="1">
      <alignment horizontal="center" vertical="center" wrapText="1"/>
    </xf>
    <xf numFmtId="1" fontId="32" fillId="0" borderId="2187" xfId="0" applyNumberFormat="1" applyFont="1" applyBorder="1" applyAlignment="1">
      <alignment horizontal="center" vertical="center" wrapText="1"/>
    </xf>
    <xf numFmtId="1" fontId="32" fillId="3" borderId="2188" xfId="0" applyNumberFormat="1" applyFont="1" applyFill="1" applyBorder="1" applyAlignment="1">
      <alignment horizontal="left" wrapText="1"/>
    </xf>
    <xf numFmtId="1" fontId="32" fillId="5" borderId="1690" xfId="0" applyNumberFormat="1" applyFont="1" applyFill="1" applyBorder="1" applyProtection="1">
      <protection locked="0"/>
    </xf>
    <xf numFmtId="1" fontId="32" fillId="3" borderId="1699" xfId="0" applyNumberFormat="1" applyFont="1" applyFill="1" applyBorder="1" applyAlignment="1">
      <alignment horizontal="left" wrapText="1"/>
    </xf>
    <xf numFmtId="1" fontId="32" fillId="3" borderId="1699" xfId="0" applyNumberFormat="1" applyFont="1" applyFill="1" applyBorder="1" applyAlignment="1">
      <alignment horizontal="right" wrapText="1"/>
    </xf>
    <xf numFmtId="1" fontId="32" fillId="3" borderId="1867" xfId="0" applyNumberFormat="1" applyFont="1" applyFill="1" applyBorder="1" applyAlignment="1">
      <alignment horizontal="right" wrapText="1"/>
    </xf>
    <xf numFmtId="1" fontId="32" fillId="3" borderId="1607" xfId="0" applyNumberFormat="1" applyFont="1" applyFill="1" applyBorder="1" applyAlignment="1">
      <alignment horizontal="right" wrapText="1"/>
    </xf>
    <xf numFmtId="1" fontId="32" fillId="3" borderId="1874" xfId="0" applyNumberFormat="1" applyFont="1" applyFill="1" applyBorder="1" applyAlignment="1">
      <alignment horizontal="right" wrapText="1"/>
    </xf>
    <xf numFmtId="1" fontId="32" fillId="14" borderId="2156" xfId="0" applyNumberFormat="1" applyFont="1" applyFill="1" applyBorder="1" applyAlignment="1">
      <alignment horizontal="left"/>
    </xf>
    <xf numFmtId="1" fontId="32" fillId="0" borderId="2186" xfId="0" applyNumberFormat="1" applyFont="1" applyBorder="1" applyAlignment="1">
      <alignment horizontal="center"/>
    </xf>
    <xf numFmtId="1" fontId="32" fillId="3" borderId="2189" xfId="0" applyNumberFormat="1" applyFont="1" applyFill="1" applyBorder="1" applyAlignment="1">
      <alignment horizontal="right" wrapText="1"/>
    </xf>
    <xf numFmtId="1" fontId="32" fillId="0" borderId="2189" xfId="0" applyNumberFormat="1" applyFont="1" applyBorder="1"/>
    <xf numFmtId="1" fontId="32" fillId="0" borderId="2191" xfId="0" applyNumberFormat="1" applyFont="1" applyBorder="1"/>
    <xf numFmtId="1" fontId="32" fillId="0" borderId="2192" xfId="0" applyNumberFormat="1" applyFont="1" applyBorder="1"/>
    <xf numFmtId="1" fontId="32" fillId="0" borderId="2186" xfId="0" applyNumberFormat="1" applyFont="1" applyBorder="1"/>
    <xf numFmtId="1" fontId="32" fillId="0" borderId="2187" xfId="0" applyNumberFormat="1" applyFont="1" applyBorder="1"/>
    <xf numFmtId="1" fontId="32" fillId="3" borderId="408" xfId="0" applyNumberFormat="1" applyFont="1" applyFill="1" applyBorder="1" applyAlignment="1">
      <alignment horizontal="right" wrapText="1"/>
    </xf>
    <xf numFmtId="1" fontId="32" fillId="5" borderId="977" xfId="0" applyNumberFormat="1" applyFont="1" applyFill="1" applyBorder="1" applyProtection="1">
      <protection locked="0"/>
    </xf>
    <xf numFmtId="1" fontId="32" fillId="0" borderId="1868" xfId="0" applyNumberFormat="1" applyFont="1" applyBorder="1" applyAlignment="1">
      <alignment horizontal="left"/>
    </xf>
    <xf numFmtId="1" fontId="32" fillId="0" borderId="2185" xfId="0" applyNumberFormat="1" applyFont="1" applyBorder="1" applyAlignment="1">
      <alignment horizontal="right"/>
    </xf>
    <xf numFmtId="1" fontId="32" fillId="14" borderId="2186" xfId="0" applyNumberFormat="1" applyFont="1" applyFill="1" applyBorder="1" applyAlignment="1">
      <alignment horizontal="center" vertical="center"/>
    </xf>
    <xf numFmtId="1" fontId="32" fillId="14" borderId="2200" xfId="0" applyNumberFormat="1" applyFont="1" applyFill="1" applyBorder="1" applyAlignment="1">
      <alignment horizontal="center" vertical="center"/>
    </xf>
    <xf numFmtId="1" fontId="32" fillId="14" borderId="2187" xfId="0" applyNumberFormat="1" applyFont="1" applyFill="1" applyBorder="1" applyAlignment="1">
      <alignment horizontal="center" vertical="center" wrapText="1"/>
    </xf>
    <xf numFmtId="1" fontId="32" fillId="14" borderId="2186" xfId="0" applyNumberFormat="1" applyFont="1" applyFill="1" applyBorder="1" applyAlignment="1">
      <alignment horizontal="center" vertical="center" wrapText="1"/>
    </xf>
    <xf numFmtId="1" fontId="32" fillId="0" borderId="1699" xfId="0" applyNumberFormat="1" applyFont="1" applyBorder="1" applyAlignment="1">
      <alignment horizontal="left" vertical="center"/>
    </xf>
    <xf numFmtId="1" fontId="32" fillId="0" borderId="1857" xfId="0" applyNumberFormat="1" applyFont="1" applyBorder="1" applyAlignment="1">
      <alignment horizontal="left" vertical="center"/>
    </xf>
    <xf numFmtId="1" fontId="32" fillId="0" borderId="1868" xfId="0" applyNumberFormat="1" applyFont="1" applyBorder="1" applyAlignment="1">
      <alignment horizontal="left" vertical="center"/>
    </xf>
    <xf numFmtId="1" fontId="32" fillId="14" borderId="2199" xfId="0" applyNumberFormat="1" applyFont="1" applyFill="1" applyBorder="1"/>
    <xf numFmtId="1" fontId="32" fillId="5" borderId="1665" xfId="0" applyNumberFormat="1" applyFont="1" applyFill="1" applyBorder="1" applyProtection="1">
      <protection locked="0"/>
    </xf>
    <xf numFmtId="1" fontId="32" fillId="3" borderId="2199" xfId="0" applyNumberFormat="1" applyFont="1" applyFill="1" applyBorder="1" applyAlignment="1">
      <alignment horizontal="left" wrapText="1"/>
    </xf>
    <xf numFmtId="1" fontId="32" fillId="0" borderId="1854" xfId="0" applyNumberFormat="1" applyFont="1" applyBorder="1"/>
    <xf numFmtId="1" fontId="32" fillId="5" borderId="2201" xfId="0" applyNumberFormat="1" applyFont="1" applyFill="1" applyBorder="1" applyProtection="1">
      <protection locked="0"/>
    </xf>
    <xf numFmtId="1" fontId="32" fillId="5" borderId="2188" xfId="0" applyNumberFormat="1" applyFont="1" applyFill="1" applyBorder="1" applyProtection="1">
      <protection locked="0"/>
    </xf>
    <xf numFmtId="1" fontId="32" fillId="0" borderId="1671" xfId="0" applyNumberFormat="1" applyFont="1" applyBorder="1" applyAlignment="1">
      <alignment horizontal="left" vertical="center"/>
    </xf>
    <xf numFmtId="1" fontId="32" fillId="14" borderId="1670" xfId="0" applyNumberFormat="1" applyFont="1" applyFill="1" applyBorder="1"/>
    <xf numFmtId="1" fontId="32" fillId="5" borderId="2199" xfId="0" applyNumberFormat="1" applyFont="1" applyFill="1" applyBorder="1" applyProtection="1">
      <protection locked="0"/>
    </xf>
    <xf numFmtId="1" fontId="32" fillId="3" borderId="2198" xfId="0" applyNumberFormat="1" applyFont="1" applyFill="1" applyBorder="1" applyAlignment="1">
      <alignment horizontal="left" wrapText="1"/>
    </xf>
    <xf numFmtId="1" fontId="32" fillId="14" borderId="2202" xfId="0" applyNumberFormat="1" applyFont="1" applyFill="1" applyBorder="1"/>
    <xf numFmtId="1" fontId="32" fillId="0" borderId="2186" xfId="0" applyNumberFormat="1" applyFont="1" applyBorder="1" applyAlignment="1">
      <alignment horizontal="center" vertical="center"/>
    </xf>
    <xf numFmtId="1" fontId="32" fillId="3" borderId="1671" xfId="0" applyNumberFormat="1" applyFont="1" applyFill="1" applyBorder="1"/>
    <xf numFmtId="1" fontId="32" fillId="3" borderId="1868" xfId="0" applyNumberFormat="1" applyFont="1" applyFill="1" applyBorder="1"/>
    <xf numFmtId="1" fontId="32" fillId="0" borderId="2198" xfId="0" applyNumberFormat="1" applyFont="1" applyBorder="1" applyAlignment="1">
      <alignment horizontal="center" vertical="center" wrapText="1"/>
    </xf>
    <xf numFmtId="1" fontId="32" fillId="3" borderId="1699" xfId="0" applyNumberFormat="1" applyFont="1" applyFill="1" applyBorder="1" applyAlignment="1">
      <alignment wrapText="1"/>
    </xf>
    <xf numFmtId="1" fontId="32" fillId="3" borderId="2196" xfId="0" applyNumberFormat="1" applyFont="1" applyFill="1" applyBorder="1" applyAlignment="1">
      <alignment horizontal="left" wrapText="1"/>
    </xf>
    <xf numFmtId="1" fontId="32" fillId="0" borderId="2199" xfId="0" applyNumberFormat="1" applyFont="1" applyBorder="1"/>
    <xf numFmtId="49" fontId="32" fillId="0" borderId="2190" xfId="0" applyNumberFormat="1" applyFont="1" applyBorder="1" applyAlignment="1">
      <alignment horizontal="center" vertical="center" wrapText="1"/>
    </xf>
    <xf numFmtId="0" fontId="32" fillId="0" borderId="2190" xfId="0" applyFont="1" applyBorder="1" applyAlignment="1">
      <alignment horizontal="center" vertical="center" wrapText="1"/>
    </xf>
    <xf numFmtId="0" fontId="32" fillId="0" borderId="2187" xfId="0" applyFont="1" applyBorder="1" applyAlignment="1">
      <alignment horizontal="center" vertical="center"/>
    </xf>
    <xf numFmtId="0" fontId="32" fillId="0" borderId="2188" xfId="0" applyFont="1" applyBorder="1" applyAlignment="1">
      <alignment vertical="center" wrapText="1"/>
    </xf>
    <xf numFmtId="1" fontId="32" fillId="0" borderId="2188" xfId="0" applyNumberFormat="1" applyFont="1" applyBorder="1" applyAlignment="1">
      <alignment horizontal="right" vertical="center" wrapText="1"/>
    </xf>
    <xf numFmtId="1" fontId="32" fillId="5" borderId="2203" xfId="0" applyNumberFormat="1" applyFont="1" applyFill="1" applyBorder="1" applyProtection="1">
      <protection locked="0"/>
    </xf>
    <xf numFmtId="1" fontId="32" fillId="5" borderId="1644" xfId="0" applyNumberFormat="1" applyFont="1" applyFill="1" applyBorder="1" applyProtection="1">
      <protection locked="0"/>
    </xf>
    <xf numFmtId="0" fontId="32" fillId="0" borderId="1699" xfId="0" applyFont="1" applyBorder="1" applyAlignment="1">
      <alignment vertical="center" wrapText="1"/>
    </xf>
    <xf numFmtId="1" fontId="32" fillId="0" borderId="1699" xfId="0" applyNumberFormat="1" applyFont="1" applyBorder="1" applyAlignment="1">
      <alignment horizontal="right" vertical="center" wrapText="1"/>
    </xf>
    <xf numFmtId="0" fontId="32" fillId="0" borderId="741" xfId="0" applyFont="1" applyBorder="1" applyAlignment="1">
      <alignment vertical="center" wrapText="1"/>
    </xf>
    <xf numFmtId="1" fontId="32" fillId="0" borderId="2199" xfId="0" applyNumberFormat="1" applyFont="1" applyBorder="1" applyAlignment="1">
      <alignment horizontal="right" vertical="center" wrapText="1"/>
    </xf>
    <xf numFmtId="1" fontId="32" fillId="0" borderId="0" xfId="0" applyNumberFormat="1" applyFont="1" applyAlignment="1">
      <alignment horizontal="right" vertical="center" wrapText="1"/>
    </xf>
    <xf numFmtId="1" fontId="32" fillId="0" borderId="1671" xfId="0" applyNumberFormat="1" applyFont="1" applyBorder="1"/>
    <xf numFmtId="1" fontId="32" fillId="0" borderId="1699" xfId="0" applyNumberFormat="1" applyFont="1" applyBorder="1" applyAlignment="1">
      <alignment wrapText="1"/>
    </xf>
    <xf numFmtId="1" fontId="32" fillId="0" borderId="1876" xfId="0" applyNumberFormat="1" applyFont="1" applyBorder="1"/>
    <xf numFmtId="1" fontId="32" fillId="0" borderId="1876" xfId="0" applyNumberFormat="1" applyFont="1" applyBorder="1" applyAlignment="1">
      <alignment wrapText="1"/>
    </xf>
    <xf numFmtId="1" fontId="32" fillId="0" borderId="2188" xfId="0" applyNumberFormat="1" applyFont="1" applyBorder="1" applyAlignment="1">
      <alignment horizontal="left" vertical="center"/>
    </xf>
    <xf numFmtId="1" fontId="32" fillId="0" borderId="1857" xfId="0" applyNumberFormat="1" applyFont="1" applyBorder="1" applyAlignment="1">
      <alignment horizontal="right" vertical="center" wrapText="1"/>
    </xf>
    <xf numFmtId="1" fontId="32" fillId="0" borderId="2199" xfId="0" applyNumberFormat="1" applyFont="1" applyBorder="1" applyAlignment="1">
      <alignment horizontal="left"/>
    </xf>
    <xf numFmtId="1" fontId="32" fillId="0" borderId="1868" xfId="0" applyNumberFormat="1" applyFont="1" applyBorder="1" applyAlignment="1">
      <alignment horizontal="right" vertical="center" wrapText="1"/>
    </xf>
    <xf numFmtId="1" fontId="0" fillId="20" borderId="0" xfId="21" applyNumberFormat="1" applyFont="1"/>
    <xf numFmtId="1" fontId="0" fillId="14" borderId="0" xfId="21" applyNumberFormat="1" applyFont="1" applyFill="1"/>
    <xf numFmtId="1" fontId="0" fillId="14" borderId="0" xfId="21" applyNumberFormat="1" applyFont="1" applyFill="1" applyProtection="1">
      <protection locked="0"/>
    </xf>
    <xf numFmtId="1" fontId="0" fillId="20" borderId="0" xfId="21" applyNumberFormat="1" applyFont="1" applyProtection="1">
      <protection locked="0"/>
    </xf>
    <xf numFmtId="1" fontId="32" fillId="0" borderId="648" xfId="0" applyNumberFormat="1" applyFont="1" applyBorder="1" applyAlignment="1">
      <alignment horizontal="center" vertical="center" wrapText="1"/>
    </xf>
    <xf numFmtId="1" fontId="32" fillId="0" borderId="648" xfId="0" applyNumberFormat="1" applyFont="1" applyBorder="1" applyAlignment="1">
      <alignment horizontal="center" vertical="center"/>
    </xf>
    <xf numFmtId="1" fontId="32" fillId="0" borderId="370" xfId="0" applyNumberFormat="1" applyFont="1" applyBorder="1" applyAlignment="1">
      <alignment horizontal="center" vertical="center"/>
    </xf>
    <xf numFmtId="1" fontId="32" fillId="0" borderId="281" xfId="0" applyNumberFormat="1" applyFont="1" applyBorder="1" applyAlignment="1">
      <alignment horizontal="center" vertical="center"/>
    </xf>
    <xf numFmtId="1" fontId="32" fillId="0" borderId="352" xfId="0" applyNumberFormat="1" applyFont="1" applyBorder="1" applyAlignment="1">
      <alignment horizontal="center" vertical="center"/>
    </xf>
    <xf numFmtId="1" fontId="32" fillId="0" borderId="1906" xfId="0" applyNumberFormat="1" applyFont="1" applyBorder="1" applyAlignment="1">
      <alignment horizontal="center" vertical="center"/>
    </xf>
    <xf numFmtId="1" fontId="32" fillId="0" borderId="1922" xfId="0" applyNumberFormat="1" applyFont="1" applyBorder="1" applyAlignment="1">
      <alignment horizontal="center" vertical="center"/>
    </xf>
    <xf numFmtId="0" fontId="32" fillId="0" borderId="1865" xfId="0" applyFont="1" applyBorder="1" applyAlignment="1">
      <alignment horizontal="center" vertical="center" wrapText="1"/>
    </xf>
    <xf numFmtId="0" fontId="32" fillId="0" borderId="288" xfId="0" applyFont="1" applyBorder="1" applyAlignment="1">
      <alignment horizontal="center" vertical="center" wrapText="1"/>
    </xf>
    <xf numFmtId="0" fontId="32" fillId="0" borderId="1329" xfId="0" applyFont="1" applyBorder="1" applyAlignment="1">
      <alignment horizontal="center" vertical="center" wrapText="1"/>
    </xf>
    <xf numFmtId="0" fontId="32" fillId="0" borderId="1472" xfId="0" applyFont="1" applyBorder="1" applyAlignment="1">
      <alignment horizontal="center" vertical="center" wrapText="1"/>
    </xf>
    <xf numFmtId="1" fontId="63" fillId="0" borderId="748" xfId="0" applyNumberFormat="1" applyFont="1" applyBorder="1" applyAlignment="1">
      <alignment vertical="center"/>
    </xf>
    <xf numFmtId="1" fontId="72" fillId="41" borderId="0" xfId="0" applyNumberFormat="1" applyFont="1" applyFill="1"/>
    <xf numFmtId="1" fontId="32" fillId="0" borderId="816" xfId="0" applyNumberFormat="1" applyFont="1" applyBorder="1" applyAlignment="1">
      <alignment vertical="center"/>
    </xf>
    <xf numFmtId="1" fontId="32" fillId="0" borderId="637" xfId="0" applyNumberFormat="1" applyFont="1" applyBorder="1" applyAlignment="1">
      <alignment wrapText="1"/>
    </xf>
    <xf numFmtId="1" fontId="32" fillId="0" borderId="635" xfId="0" applyNumberFormat="1" applyFont="1" applyBorder="1" applyAlignment="1">
      <alignment wrapText="1"/>
    </xf>
    <xf numFmtId="1" fontId="32" fillId="5" borderId="367" xfId="0" applyNumberFormat="1" applyFont="1" applyFill="1" applyBorder="1" applyProtection="1">
      <protection locked="0"/>
    </xf>
    <xf numFmtId="1" fontId="32" fillId="5" borderId="400" xfId="0" applyNumberFormat="1" applyFont="1" applyFill="1" applyBorder="1" applyProtection="1">
      <protection locked="0"/>
    </xf>
    <xf numFmtId="1" fontId="32" fillId="5" borderId="1919" xfId="0" applyNumberFormat="1" applyFont="1" applyFill="1" applyBorder="1" applyProtection="1">
      <protection locked="0"/>
    </xf>
    <xf numFmtId="1" fontId="32" fillId="5" borderId="25" xfId="0" applyNumberFormat="1" applyFont="1" applyFill="1" applyBorder="1" applyProtection="1">
      <protection locked="0"/>
    </xf>
    <xf numFmtId="1" fontId="32" fillId="5" borderId="1461" xfId="0" applyNumberFormat="1" applyFont="1" applyFill="1" applyBorder="1" applyProtection="1">
      <protection locked="0"/>
    </xf>
    <xf numFmtId="1" fontId="32" fillId="5" borderId="1427" xfId="0" applyNumberFormat="1" applyFont="1" applyFill="1" applyBorder="1" applyProtection="1">
      <protection locked="0"/>
    </xf>
    <xf numFmtId="1" fontId="32" fillId="0" borderId="698" xfId="0" applyNumberFormat="1" applyFont="1" applyBorder="1" applyAlignment="1">
      <alignment vertical="center"/>
    </xf>
    <xf numFmtId="1" fontId="32" fillId="0" borderId="509" xfId="0" applyNumberFormat="1" applyFont="1" applyBorder="1" applyAlignment="1">
      <alignment wrapText="1"/>
    </xf>
    <xf numFmtId="1" fontId="32" fillId="0" borderId="39" xfId="0" applyNumberFormat="1" applyFont="1" applyBorder="1" applyAlignment="1">
      <alignment wrapText="1"/>
    </xf>
    <xf numFmtId="1" fontId="32" fillId="5" borderId="576" xfId="0" applyNumberFormat="1" applyFont="1" applyFill="1" applyBorder="1" applyProtection="1">
      <protection locked="0"/>
    </xf>
    <xf numFmtId="1" fontId="32" fillId="5" borderId="1154" xfId="0" applyNumberFormat="1" applyFont="1" applyFill="1" applyBorder="1" applyProtection="1">
      <protection locked="0"/>
    </xf>
    <xf numFmtId="1" fontId="32" fillId="5" borderId="1155" xfId="0" applyNumberFormat="1" applyFont="1" applyFill="1" applyBorder="1" applyProtection="1">
      <protection locked="0"/>
    </xf>
    <xf numFmtId="1" fontId="32" fillId="5" borderId="509" xfId="0" applyNumberFormat="1" applyFont="1" applyFill="1" applyBorder="1" applyProtection="1">
      <protection locked="0"/>
    </xf>
    <xf numFmtId="1" fontId="32" fillId="5" borderId="1291" xfId="0" applyNumberFormat="1" applyFont="1" applyFill="1" applyBorder="1" applyProtection="1">
      <protection locked="0"/>
    </xf>
    <xf numFmtId="1" fontId="32" fillId="0" borderId="600" xfId="0" applyNumberFormat="1" applyFont="1" applyBorder="1" applyAlignment="1">
      <alignment wrapText="1"/>
    </xf>
    <xf numFmtId="1" fontId="32" fillId="0" borderId="607" xfId="0" applyNumberFormat="1" applyFont="1" applyBorder="1" applyAlignment="1">
      <alignment wrapText="1"/>
    </xf>
    <xf numFmtId="1" fontId="32" fillId="5" borderId="601" xfId="0" applyNumberFormat="1" applyFont="1" applyFill="1" applyBorder="1" applyProtection="1">
      <protection locked="0"/>
    </xf>
    <xf numFmtId="1" fontId="32" fillId="5" borderId="607" xfId="0" applyNumberFormat="1" applyFont="1" applyFill="1" applyBorder="1" applyProtection="1">
      <protection locked="0"/>
    </xf>
    <xf numFmtId="1" fontId="32" fillId="5" borderId="600" xfId="0" applyNumberFormat="1" applyFont="1" applyFill="1" applyBorder="1" applyProtection="1">
      <protection locked="0"/>
    </xf>
    <xf numFmtId="1" fontId="32" fillId="12" borderId="1862" xfId="0" applyNumberFormat="1" applyFont="1" applyFill="1" applyBorder="1"/>
    <xf numFmtId="1" fontId="32" fillId="12" borderId="396" xfId="0" applyNumberFormat="1" applyFont="1" applyFill="1" applyBorder="1"/>
    <xf numFmtId="1" fontId="32" fillId="12" borderId="400" xfId="0" applyNumberFormat="1" applyFont="1" applyFill="1" applyBorder="1"/>
    <xf numFmtId="1" fontId="32" fillId="12" borderId="1196" xfId="0" applyNumberFormat="1" applyFont="1" applyFill="1" applyBorder="1"/>
    <xf numFmtId="1" fontId="32" fillId="0" borderId="816" xfId="0" applyNumberFormat="1" applyFont="1" applyBorder="1" applyAlignment="1">
      <alignment vertical="center" wrapText="1"/>
    </xf>
    <xf numFmtId="1" fontId="32" fillId="0" borderId="396" xfId="0" applyNumberFormat="1" applyFont="1" applyBorder="1" applyAlignment="1">
      <alignment wrapText="1"/>
    </xf>
    <xf numFmtId="1" fontId="32" fillId="12" borderId="1683" xfId="0" applyNumberFormat="1" applyFont="1" applyFill="1" applyBorder="1"/>
    <xf numFmtId="1" fontId="32" fillId="12" borderId="37" xfId="0" applyNumberFormat="1" applyFont="1" applyFill="1" applyBorder="1"/>
    <xf numFmtId="1" fontId="32" fillId="12" borderId="50" xfId="0" applyNumberFormat="1" applyFont="1" applyFill="1" applyBorder="1"/>
    <xf numFmtId="1" fontId="32" fillId="12" borderId="1291" xfId="0" applyNumberFormat="1" applyFont="1" applyFill="1" applyBorder="1"/>
    <xf numFmtId="1" fontId="32" fillId="5" borderId="1464" xfId="0" applyNumberFormat="1" applyFont="1" applyFill="1" applyBorder="1" applyProtection="1">
      <protection locked="0"/>
    </xf>
    <xf numFmtId="1" fontId="32" fillId="5" borderId="1010" xfId="0" applyNumberFormat="1" applyFont="1" applyFill="1" applyBorder="1" applyProtection="1">
      <protection locked="0"/>
    </xf>
    <xf numFmtId="1" fontId="32" fillId="3" borderId="69" xfId="0" applyNumberFormat="1" applyFont="1" applyFill="1" applyBorder="1"/>
    <xf numFmtId="1" fontId="32" fillId="0" borderId="37" xfId="0" applyNumberFormat="1" applyFont="1" applyBorder="1" applyAlignment="1">
      <alignment wrapText="1"/>
    </xf>
    <xf numFmtId="1" fontId="32" fillId="5" borderId="50" xfId="0" applyNumberFormat="1" applyFont="1" applyFill="1" applyBorder="1" applyProtection="1">
      <protection locked="0"/>
    </xf>
    <xf numFmtId="1" fontId="32" fillId="12" borderId="1690" xfId="0" applyNumberFormat="1" applyFont="1" applyFill="1" applyBorder="1"/>
    <xf numFmtId="1" fontId="32" fillId="5" borderId="976" xfId="0" applyNumberFormat="1" applyFont="1" applyFill="1" applyBorder="1" applyProtection="1">
      <protection locked="0"/>
    </xf>
    <xf numFmtId="1" fontId="32" fillId="0" borderId="40" xfId="0" applyNumberFormat="1" applyFont="1" applyBorder="1" applyAlignment="1">
      <alignment wrapText="1"/>
    </xf>
    <xf numFmtId="1" fontId="32" fillId="5" borderId="69" xfId="0" applyNumberFormat="1" applyFont="1" applyFill="1" applyBorder="1" applyProtection="1">
      <protection locked="0"/>
    </xf>
    <xf numFmtId="0" fontId="32" fillId="0" borderId="69" xfId="0" applyFont="1" applyBorder="1"/>
    <xf numFmtId="0" fontId="32" fillId="0" borderId="70" xfId="0" applyFont="1" applyBorder="1"/>
    <xf numFmtId="1" fontId="32" fillId="5" borderId="1532" xfId="0" applyNumberFormat="1" applyFont="1" applyFill="1" applyBorder="1" applyProtection="1">
      <protection locked="0"/>
    </xf>
    <xf numFmtId="1" fontId="32" fillId="12" borderId="1290" xfId="0" applyNumberFormat="1" applyFont="1" applyFill="1" applyBorder="1"/>
    <xf numFmtId="1" fontId="32" fillId="5" borderId="1116" xfId="0" applyNumberFormat="1" applyFont="1" applyFill="1" applyBorder="1" applyProtection="1">
      <protection locked="0"/>
    </xf>
    <xf numFmtId="1" fontId="63" fillId="3" borderId="749" xfId="0" applyNumberFormat="1" applyFont="1" applyFill="1" applyBorder="1"/>
    <xf numFmtId="1" fontId="32" fillId="12" borderId="1635" xfId="0" applyNumberFormat="1" applyFont="1" applyFill="1" applyBorder="1"/>
    <xf numFmtId="1" fontId="32" fillId="12" borderId="1287" xfId="0" applyNumberFormat="1" applyFont="1" applyFill="1" applyBorder="1"/>
    <xf numFmtId="1" fontId="32" fillId="12" borderId="1117" xfId="0" applyNumberFormat="1" applyFont="1" applyFill="1" applyBorder="1"/>
    <xf numFmtId="1" fontId="32" fillId="5" borderId="1287" xfId="0" applyNumberFormat="1" applyFont="1" applyFill="1" applyBorder="1" applyProtection="1">
      <protection locked="0"/>
    </xf>
    <xf numFmtId="1" fontId="32" fillId="12" borderId="1289" xfId="0" applyNumberFormat="1" applyFont="1" applyFill="1" applyBorder="1"/>
    <xf numFmtId="1" fontId="32" fillId="3" borderId="402" xfId="0" applyNumberFormat="1" applyFont="1" applyFill="1" applyBorder="1"/>
    <xf numFmtId="1" fontId="32" fillId="0" borderId="224" xfId="0" applyNumberFormat="1" applyFont="1" applyBorder="1" applyAlignment="1">
      <alignment wrapText="1"/>
    </xf>
    <xf numFmtId="1" fontId="32" fillId="5" borderId="222" xfId="0" applyNumberFormat="1" applyFont="1" applyFill="1" applyBorder="1" applyProtection="1">
      <protection locked="0"/>
    </xf>
    <xf numFmtId="1" fontId="32" fillId="5" borderId="241" xfId="0" applyNumberFormat="1" applyFont="1" applyFill="1" applyBorder="1" applyProtection="1">
      <protection locked="0"/>
    </xf>
    <xf numFmtId="1" fontId="32" fillId="5" borderId="1701" xfId="0" applyNumberFormat="1" applyFont="1" applyFill="1" applyBorder="1" applyProtection="1">
      <protection locked="0"/>
    </xf>
    <xf numFmtId="1" fontId="32" fillId="5" borderId="1734" xfId="0" applyNumberFormat="1" applyFont="1" applyFill="1" applyBorder="1" applyProtection="1">
      <protection locked="0"/>
    </xf>
    <xf numFmtId="1" fontId="32" fillId="12" borderId="1445" xfId="0" applyNumberFormat="1" applyFont="1" applyFill="1" applyBorder="1"/>
    <xf numFmtId="1" fontId="32" fillId="12" borderId="1294" xfId="0" applyNumberFormat="1" applyFont="1" applyFill="1" applyBorder="1"/>
    <xf numFmtId="1" fontId="32" fillId="5" borderId="1074" xfId="0" applyNumberFormat="1" applyFont="1" applyFill="1" applyBorder="1" applyProtection="1">
      <protection locked="0"/>
    </xf>
    <xf numFmtId="1" fontId="32" fillId="0" borderId="24" xfId="0" applyNumberFormat="1" applyFont="1" applyBorder="1" applyAlignment="1">
      <alignment wrapText="1"/>
    </xf>
    <xf numFmtId="1" fontId="32" fillId="3" borderId="808" xfId="0" applyNumberFormat="1" applyFont="1" applyFill="1" applyBorder="1"/>
    <xf numFmtId="1" fontId="32" fillId="0" borderId="838" xfId="0" applyNumberFormat="1" applyFont="1" applyBorder="1" applyAlignment="1">
      <alignment wrapText="1"/>
    </xf>
    <xf numFmtId="1" fontId="32" fillId="5" borderId="401" xfId="0" applyNumberFormat="1" applyFont="1" applyFill="1" applyBorder="1" applyProtection="1">
      <protection locked="0"/>
    </xf>
    <xf numFmtId="0" fontId="32" fillId="0" borderId="713" xfId="0" applyFont="1" applyBorder="1"/>
    <xf numFmtId="1" fontId="32" fillId="0" borderId="721" xfId="0" applyNumberFormat="1" applyFont="1" applyBorder="1" applyAlignment="1">
      <alignment wrapText="1"/>
    </xf>
    <xf numFmtId="1" fontId="32" fillId="12" borderId="24" xfId="0" applyNumberFormat="1" applyFont="1" applyFill="1" applyBorder="1"/>
    <xf numFmtId="1" fontId="32" fillId="12" borderId="21" xfId="0" applyNumberFormat="1" applyFont="1" applyFill="1" applyBorder="1"/>
    <xf numFmtId="1" fontId="32" fillId="5" borderId="1284" xfId="0" applyNumberFormat="1" applyFont="1" applyFill="1" applyBorder="1" applyProtection="1">
      <protection locked="0"/>
    </xf>
    <xf numFmtId="1" fontId="32" fillId="5" borderId="1289" xfId="0" applyNumberFormat="1" applyFont="1" applyFill="1" applyBorder="1" applyProtection="1">
      <protection locked="0"/>
    </xf>
    <xf numFmtId="1" fontId="72" fillId="0" borderId="175" xfId="0" applyNumberFormat="1" applyFont="1" applyBorder="1"/>
    <xf numFmtId="1" fontId="72" fillId="14" borderId="175" xfId="0" applyNumberFormat="1" applyFont="1" applyFill="1" applyBorder="1"/>
    <xf numFmtId="1" fontId="32" fillId="0" borderId="290" xfId="0" applyNumberFormat="1" applyFont="1" applyBorder="1" applyAlignment="1">
      <alignment horizontal="center" vertical="center"/>
    </xf>
    <xf numFmtId="1" fontId="32" fillId="0" borderId="290" xfId="0" applyNumberFormat="1" applyFont="1" applyBorder="1" applyAlignment="1">
      <alignment horizontal="center" vertical="center" wrapText="1"/>
    </xf>
    <xf numFmtId="1" fontId="32" fillId="0" borderId="241" xfId="0" applyNumberFormat="1" applyFont="1" applyBorder="1" applyAlignment="1">
      <alignment horizontal="center" vertical="center" wrapText="1"/>
    </xf>
    <xf numFmtId="1" fontId="78" fillId="0" borderId="1009" xfId="0" applyNumberFormat="1" applyFont="1" applyBorder="1" applyAlignment="1">
      <alignment horizontal="center" vertical="center" wrapText="1"/>
    </xf>
    <xf numFmtId="1" fontId="78" fillId="0" borderId="1034" xfId="0" applyNumberFormat="1" applyFont="1" applyBorder="1" applyAlignment="1">
      <alignment horizontal="center" vertical="center" wrapText="1"/>
    </xf>
    <xf numFmtId="1" fontId="32" fillId="0" borderId="225" xfId="0" applyNumberFormat="1" applyFont="1" applyBorder="1"/>
    <xf numFmtId="1" fontId="32" fillId="0" borderId="288" xfId="0" applyNumberFormat="1" applyFont="1" applyBorder="1" applyAlignment="1">
      <alignment wrapText="1"/>
    </xf>
    <xf numFmtId="1" fontId="32" fillId="2" borderId="281" xfId="22" applyNumberFormat="1" applyFont="1" applyBorder="1" applyProtection="1">
      <protection locked="0"/>
    </xf>
    <xf numFmtId="1" fontId="32" fillId="2" borderId="290" xfId="22" applyNumberFormat="1" applyFont="1" applyBorder="1" applyProtection="1">
      <protection locked="0"/>
    </xf>
    <xf numFmtId="1" fontId="32" fillId="2" borderId="228" xfId="22" applyNumberFormat="1" applyFont="1" applyBorder="1" applyProtection="1">
      <protection locked="0"/>
    </xf>
    <xf numFmtId="1" fontId="32" fillId="12" borderId="1147" xfId="22" applyNumberFormat="1" applyFont="1" applyFill="1" applyBorder="1"/>
    <xf numFmtId="1" fontId="32" fillId="12" borderId="1148" xfId="22" applyNumberFormat="1" applyFont="1" applyFill="1" applyBorder="1"/>
    <xf numFmtId="1" fontId="32" fillId="2" borderId="1131" xfId="22" applyNumberFormat="1" applyFont="1" applyBorder="1" applyProtection="1">
      <protection locked="0"/>
    </xf>
    <xf numFmtId="1" fontId="32" fillId="2" borderId="37" xfId="22" applyNumberFormat="1" applyFont="1" applyBorder="1" applyProtection="1">
      <protection locked="0"/>
    </xf>
    <xf numFmtId="1" fontId="32" fillId="0" borderId="288" xfId="0" applyNumberFormat="1" applyFont="1" applyBorder="1"/>
    <xf numFmtId="1" fontId="32" fillId="0" borderId="281" xfId="22" applyNumberFormat="1" applyFont="1" applyFill="1" applyBorder="1"/>
    <xf numFmtId="1" fontId="32" fillId="0" borderId="290" xfId="22" applyNumberFormat="1" applyFont="1" applyFill="1" applyBorder="1"/>
    <xf numFmtId="1" fontId="32" fillId="0" borderId="231" xfId="22" applyNumberFormat="1" applyFont="1" applyFill="1" applyBorder="1"/>
    <xf numFmtId="1" fontId="32" fillId="2" borderId="1124" xfId="22" applyNumberFormat="1" applyFont="1" applyBorder="1" applyProtection="1">
      <protection locked="0"/>
    </xf>
    <xf numFmtId="1" fontId="32" fillId="2" borderId="1167" xfId="22" applyNumberFormat="1" applyFont="1" applyBorder="1" applyProtection="1">
      <protection locked="0"/>
    </xf>
    <xf numFmtId="1" fontId="32" fillId="0" borderId="25" xfId="0" applyNumberFormat="1" applyFont="1" applyBorder="1"/>
    <xf numFmtId="1" fontId="32" fillId="0" borderId="25" xfId="0" applyNumberFormat="1" applyFont="1" applyBorder="1" applyAlignment="1">
      <alignment wrapText="1"/>
    </xf>
    <xf numFmtId="1" fontId="32" fillId="2" borderId="41" xfId="22" applyNumberFormat="1" applyFont="1" applyBorder="1" applyProtection="1">
      <protection locked="0"/>
    </xf>
    <xf numFmtId="1" fontId="32" fillId="2" borderId="63" xfId="22" applyNumberFormat="1" applyFont="1" applyBorder="1" applyProtection="1">
      <protection locked="0"/>
    </xf>
    <xf numFmtId="1" fontId="32" fillId="2" borderId="31" xfId="22" applyNumberFormat="1" applyFont="1" applyBorder="1" applyProtection="1">
      <protection locked="0"/>
    </xf>
    <xf numFmtId="1" fontId="32" fillId="12" borderId="1078" xfId="22" applyNumberFormat="1" applyFont="1" applyFill="1" applyBorder="1"/>
    <xf numFmtId="1" fontId="32" fillId="12" borderId="1196" xfId="22" applyNumberFormat="1" applyFont="1" applyFill="1" applyBorder="1"/>
    <xf numFmtId="1" fontId="32" fillId="0" borderId="37" xfId="0" applyNumberFormat="1" applyFont="1" applyBorder="1"/>
    <xf numFmtId="1" fontId="32" fillId="2" borderId="38" xfId="22" applyNumberFormat="1" applyFont="1" applyBorder="1" applyProtection="1">
      <protection locked="0"/>
    </xf>
    <xf numFmtId="1" fontId="32" fillId="2" borderId="62" xfId="22" applyNumberFormat="1" applyFont="1" applyBorder="1" applyProtection="1">
      <protection locked="0"/>
    </xf>
    <xf numFmtId="1" fontId="32" fillId="2" borderId="50" xfId="22" applyNumberFormat="1" applyFont="1" applyBorder="1" applyProtection="1">
      <protection locked="0"/>
    </xf>
    <xf numFmtId="1" fontId="32" fillId="12" borderId="1124" xfId="22" applyNumberFormat="1" applyFont="1" applyFill="1" applyBorder="1"/>
    <xf numFmtId="1" fontId="32" fillId="12" borderId="1167" xfId="22" applyNumberFormat="1" applyFont="1" applyFill="1" applyBorder="1"/>
    <xf numFmtId="1" fontId="32" fillId="2" borderId="399" xfId="22" applyNumberFormat="1" applyFont="1" applyBorder="1" applyProtection="1">
      <protection locked="0"/>
    </xf>
    <xf numFmtId="1" fontId="32" fillId="2" borderId="398" xfId="22" applyNumberFormat="1" applyFont="1" applyBorder="1" applyProtection="1">
      <protection locked="0"/>
    </xf>
    <xf numFmtId="1" fontId="32" fillId="2" borderId="397" xfId="22" applyNumberFormat="1" applyFont="1" applyBorder="1" applyProtection="1">
      <protection locked="0"/>
    </xf>
    <xf numFmtId="1" fontId="32" fillId="12" borderId="1197" xfId="22" applyNumberFormat="1" applyFont="1" applyFill="1" applyBorder="1"/>
    <xf numFmtId="1" fontId="32" fillId="12" borderId="1198" xfId="22" applyNumberFormat="1" applyFont="1" applyFill="1" applyBorder="1"/>
    <xf numFmtId="1" fontId="32" fillId="2" borderId="394" xfId="22" applyNumberFormat="1" applyFont="1" applyBorder="1" applyProtection="1">
      <protection locked="0"/>
    </xf>
    <xf numFmtId="1" fontId="32" fillId="2" borderId="393" xfId="22" applyNumberFormat="1" applyFont="1" applyBorder="1" applyProtection="1">
      <protection locked="0"/>
    </xf>
    <xf numFmtId="1" fontId="32" fillId="2" borderId="392" xfId="22" applyNumberFormat="1" applyFont="1" applyBorder="1" applyProtection="1">
      <protection locked="0"/>
    </xf>
    <xf numFmtId="1" fontId="32" fillId="12" borderId="1199" xfId="22" applyNumberFormat="1" applyFont="1" applyFill="1" applyBorder="1"/>
    <xf numFmtId="1" fontId="32" fillId="12" borderId="1200" xfId="22" applyNumberFormat="1" applyFont="1" applyFill="1" applyBorder="1"/>
    <xf numFmtId="1" fontId="32" fillId="2" borderId="20" xfId="22" applyNumberFormat="1" applyFont="1" applyBorder="1" applyProtection="1">
      <protection locked="0"/>
    </xf>
    <xf numFmtId="1" fontId="32" fillId="2" borderId="382" xfId="22" applyNumberFormat="1" applyFont="1" applyBorder="1" applyProtection="1">
      <protection locked="0"/>
    </xf>
    <xf numFmtId="1" fontId="32" fillId="2" borderId="68" xfId="22" applyNumberFormat="1" applyFont="1" applyBorder="1" applyProtection="1">
      <protection locked="0"/>
    </xf>
    <xf numFmtId="1" fontId="32" fillId="12" borderId="1159" xfId="22" applyNumberFormat="1" applyFont="1" applyFill="1" applyBorder="1"/>
    <xf numFmtId="1" fontId="32" fillId="12" borderId="1072" xfId="22" applyNumberFormat="1" applyFont="1" applyFill="1" applyBorder="1"/>
    <xf numFmtId="1" fontId="32" fillId="2" borderId="1121" xfId="22" applyNumberFormat="1" applyFont="1" applyBorder="1" applyProtection="1">
      <protection locked="0"/>
    </xf>
    <xf numFmtId="1" fontId="32" fillId="2" borderId="1104" xfId="22" applyNumberFormat="1" applyFont="1" applyBorder="1" applyProtection="1">
      <protection locked="0"/>
    </xf>
    <xf numFmtId="1" fontId="32" fillId="0" borderId="339" xfId="0" applyNumberFormat="1" applyFont="1" applyBorder="1" applyAlignment="1">
      <alignment wrapText="1"/>
    </xf>
    <xf numFmtId="1" fontId="32" fillId="2" borderId="334" xfId="22" applyNumberFormat="1" applyFont="1" applyBorder="1" applyProtection="1">
      <protection locked="0"/>
    </xf>
    <xf numFmtId="1" fontId="32" fillId="2" borderId="363" xfId="22" applyNumberFormat="1" applyFont="1" applyBorder="1" applyProtection="1">
      <protection locked="0"/>
    </xf>
    <xf numFmtId="1" fontId="32" fillId="12" borderId="731" xfId="22" applyNumberFormat="1" applyFont="1" applyFill="1" applyBorder="1"/>
    <xf numFmtId="1" fontId="32" fillId="12" borderId="1043" xfId="22" applyNumberFormat="1" applyFont="1" applyFill="1" applyBorder="1"/>
    <xf numFmtId="1" fontId="32" fillId="2" borderId="1058" xfId="22" applyNumberFormat="1" applyFont="1" applyBorder="1" applyProtection="1">
      <protection locked="0"/>
    </xf>
    <xf numFmtId="1" fontId="32" fillId="2" borderId="1078" xfId="22" applyNumberFormat="1" applyFont="1" applyBorder="1" applyProtection="1">
      <protection locked="0"/>
    </xf>
    <xf numFmtId="1" fontId="32" fillId="0" borderId="369" xfId="0" applyNumberFormat="1" applyFont="1" applyBorder="1" applyAlignment="1">
      <alignment vertical="center" wrapText="1"/>
    </xf>
    <xf numFmtId="1" fontId="32" fillId="2" borderId="359" xfId="22" applyNumberFormat="1" applyFont="1" applyBorder="1" applyProtection="1">
      <protection locked="0"/>
    </xf>
    <xf numFmtId="1" fontId="32" fillId="2" borderId="383" xfId="22" applyNumberFormat="1" applyFont="1" applyBorder="1" applyProtection="1">
      <protection locked="0"/>
    </xf>
    <xf numFmtId="1" fontId="32" fillId="2" borderId="370" xfId="22" applyNumberFormat="1" applyFont="1" applyBorder="1" applyProtection="1">
      <protection locked="0"/>
    </xf>
    <xf numFmtId="1" fontId="32" fillId="12" borderId="1201" xfId="22" applyNumberFormat="1" applyFont="1" applyFill="1" applyBorder="1"/>
    <xf numFmtId="1" fontId="32" fillId="12" borderId="1105" xfId="22" applyNumberFormat="1" applyFont="1" applyFill="1" applyBorder="1"/>
    <xf numFmtId="1" fontId="32" fillId="0" borderId="240" xfId="0" applyNumberFormat="1" applyFont="1" applyBorder="1"/>
    <xf numFmtId="1" fontId="32" fillId="2" borderId="337" xfId="22" applyNumberFormat="1" applyFont="1" applyBorder="1" applyProtection="1">
      <protection locked="0"/>
    </xf>
    <xf numFmtId="1" fontId="32" fillId="0" borderId="29" xfId="0" applyNumberFormat="1" applyFont="1" applyBorder="1"/>
    <xf numFmtId="1" fontId="32" fillId="0" borderId="24" xfId="0" applyNumberFormat="1" applyFont="1" applyBorder="1"/>
    <xf numFmtId="1" fontId="32" fillId="0" borderId="369" xfId="0" applyNumberFormat="1" applyFont="1" applyBorder="1" applyAlignment="1">
      <alignment wrapText="1"/>
    </xf>
    <xf numFmtId="1" fontId="32" fillId="0" borderId="659" xfId="0" applyNumberFormat="1" applyFont="1" applyBorder="1" applyAlignment="1">
      <alignment wrapText="1"/>
    </xf>
    <xf numFmtId="1" fontId="32" fillId="2" borderId="660" xfId="22" applyNumberFormat="1" applyFont="1" applyBorder="1" applyProtection="1">
      <protection locked="0"/>
    </xf>
    <xf numFmtId="1" fontId="32" fillId="2" borderId="661" xfId="22" applyNumberFormat="1" applyFont="1" applyBorder="1" applyProtection="1">
      <protection locked="0"/>
    </xf>
    <xf numFmtId="1" fontId="32" fillId="2" borderId="662" xfId="22" applyNumberFormat="1" applyFont="1" applyBorder="1" applyProtection="1">
      <protection locked="0"/>
    </xf>
    <xf numFmtId="1" fontId="32" fillId="2" borderId="601" xfId="22" applyNumberFormat="1" applyFont="1" applyBorder="1" applyProtection="1">
      <protection locked="0"/>
    </xf>
    <xf numFmtId="1" fontId="32" fillId="2" borderId="602" xfId="22" applyNumberFormat="1" applyFont="1" applyBorder="1" applyProtection="1">
      <protection locked="0"/>
    </xf>
    <xf numFmtId="1" fontId="32" fillId="2" borderId="607" xfId="22" applyNumberFormat="1" applyFont="1" applyBorder="1" applyProtection="1">
      <protection locked="0"/>
    </xf>
    <xf numFmtId="1" fontId="32" fillId="0" borderId="435" xfId="0" applyNumberFormat="1" applyFont="1" applyBorder="1" applyAlignment="1">
      <alignment wrapText="1"/>
    </xf>
    <xf numFmtId="1" fontId="32" fillId="2" borderId="408" xfId="22" applyNumberFormat="1" applyFont="1" applyBorder="1" applyProtection="1">
      <protection locked="0"/>
    </xf>
    <xf numFmtId="1" fontId="32" fillId="2" borderId="517" xfId="22" applyNumberFormat="1" applyFont="1" applyBorder="1" applyProtection="1">
      <protection locked="0"/>
    </xf>
    <xf numFmtId="1" fontId="32" fillId="2" borderId="324" xfId="22" applyNumberFormat="1" applyFont="1" applyBorder="1" applyProtection="1">
      <protection locked="0"/>
    </xf>
    <xf numFmtId="1" fontId="32" fillId="2" borderId="395" xfId="22" applyNumberFormat="1" applyFont="1" applyBorder="1" applyProtection="1">
      <protection locked="0"/>
    </xf>
    <xf numFmtId="1" fontId="32" fillId="2" borderId="331" xfId="22" applyNumberFormat="1" applyFont="1" applyBorder="1" applyProtection="1">
      <protection locked="0"/>
    </xf>
    <xf numFmtId="1" fontId="32" fillId="12" borderId="1202" xfId="22" applyNumberFormat="1" applyFont="1" applyFill="1" applyBorder="1"/>
    <xf numFmtId="1" fontId="32" fillId="12" borderId="1203" xfId="22" applyNumberFormat="1" applyFont="1" applyFill="1" applyBorder="1"/>
    <xf numFmtId="1" fontId="32" fillId="2" borderId="1204" xfId="22" applyNumberFormat="1" applyFont="1" applyBorder="1" applyProtection="1">
      <protection locked="0"/>
    </xf>
    <xf numFmtId="1" fontId="32" fillId="2" borderId="1205" xfId="22" applyNumberFormat="1" applyFont="1" applyBorder="1" applyProtection="1">
      <protection locked="0"/>
    </xf>
    <xf numFmtId="1" fontId="32" fillId="0" borderId="224" xfId="0" applyNumberFormat="1" applyFont="1" applyBorder="1"/>
    <xf numFmtId="1" fontId="32" fillId="0" borderId="366" xfId="0" applyNumberFormat="1" applyFont="1" applyBorder="1" applyAlignment="1">
      <alignment wrapText="1"/>
    </xf>
    <xf numFmtId="1" fontId="32" fillId="2" borderId="367" xfId="22" applyNumberFormat="1" applyFont="1" applyBorder="1" applyProtection="1">
      <protection locked="0"/>
    </xf>
    <xf numFmtId="1" fontId="32" fillId="2" borderId="391" xfId="22" applyNumberFormat="1" applyFont="1" applyBorder="1" applyProtection="1">
      <protection locked="0"/>
    </xf>
    <xf numFmtId="1" fontId="32" fillId="12" borderId="1206" xfId="22" applyNumberFormat="1" applyFont="1" applyFill="1" applyBorder="1"/>
    <xf numFmtId="1" fontId="32" fillId="12" borderId="1207" xfId="22" applyNumberFormat="1" applyFont="1" applyFill="1" applyBorder="1"/>
    <xf numFmtId="1" fontId="32" fillId="3" borderId="24" xfId="0" applyNumberFormat="1" applyFont="1" applyFill="1" applyBorder="1" applyAlignment="1">
      <alignment wrapText="1"/>
    </xf>
    <xf numFmtId="1" fontId="32" fillId="2" borderId="33" xfId="22" applyNumberFormat="1" applyFont="1" applyBorder="1" applyProtection="1">
      <protection locked="0"/>
    </xf>
    <xf numFmtId="1" fontId="32" fillId="0" borderId="886" xfId="0" applyNumberFormat="1" applyFont="1" applyBorder="1"/>
    <xf numFmtId="1" fontId="32" fillId="2" borderId="696" xfId="22" applyNumberFormat="1" applyFont="1" applyBorder="1" applyProtection="1">
      <protection locked="0"/>
    </xf>
    <xf numFmtId="1" fontId="32" fillId="12" borderId="882" xfId="22" applyNumberFormat="1" applyFont="1" applyFill="1" applyBorder="1"/>
    <xf numFmtId="1" fontId="32" fillId="12" borderId="850" xfId="22" applyNumberFormat="1" applyFont="1" applyFill="1" applyBorder="1"/>
    <xf numFmtId="1" fontId="32" fillId="12" borderId="895" xfId="22" applyNumberFormat="1" applyFont="1" applyFill="1" applyBorder="1"/>
    <xf numFmtId="1" fontId="32" fillId="12" borderId="1009" xfId="22" applyNumberFormat="1" applyFont="1" applyFill="1" applyBorder="1"/>
    <xf numFmtId="1" fontId="32" fillId="12" borderId="1034" xfId="22" applyNumberFormat="1" applyFont="1" applyFill="1" applyBorder="1"/>
    <xf numFmtId="1" fontId="32" fillId="0" borderId="861" xfId="0" applyNumberFormat="1" applyFont="1" applyBorder="1"/>
    <xf numFmtId="1" fontId="32" fillId="0" borderId="893" xfId="0" applyNumberFormat="1" applyFont="1" applyBorder="1"/>
    <xf numFmtId="1" fontId="32" fillId="0" borderId="890" xfId="22" applyNumberFormat="1" applyFont="1" applyFill="1" applyBorder="1"/>
    <xf numFmtId="1" fontId="32" fillId="0" borderId="844" xfId="22" applyNumberFormat="1" applyFont="1" applyFill="1" applyBorder="1"/>
    <xf numFmtId="1" fontId="32" fillId="0" borderId="891" xfId="22" applyNumberFormat="1" applyFont="1" applyFill="1" applyBorder="1"/>
    <xf numFmtId="1" fontId="32" fillId="2" borderId="1147" xfId="22" applyNumberFormat="1" applyFont="1" applyBorder="1" applyProtection="1">
      <protection locked="0"/>
    </xf>
    <xf numFmtId="1" fontId="32" fillId="2" borderId="1148" xfId="22" applyNumberFormat="1" applyFont="1" applyBorder="1" applyProtection="1">
      <protection locked="0"/>
    </xf>
    <xf numFmtId="1" fontId="32" fillId="0" borderId="634" xfId="0" applyNumberFormat="1" applyFont="1" applyBorder="1" applyAlignment="1">
      <alignment vertical="center" wrapText="1"/>
    </xf>
    <xf numFmtId="1" fontId="32" fillId="0" borderId="431" xfId="0" applyNumberFormat="1" applyFont="1" applyBorder="1"/>
    <xf numFmtId="1" fontId="32" fillId="2" borderId="879" xfId="22" applyNumberFormat="1" applyFont="1" applyBorder="1" applyProtection="1">
      <protection locked="0"/>
    </xf>
    <xf numFmtId="1" fontId="32" fillId="2" borderId="744" xfId="22" applyNumberFormat="1" applyFont="1" applyBorder="1" applyProtection="1">
      <protection locked="0"/>
    </xf>
    <xf numFmtId="1" fontId="32" fillId="2" borderId="431" xfId="22" applyNumberFormat="1" applyFont="1" applyBorder="1" applyProtection="1">
      <protection locked="0"/>
    </xf>
    <xf numFmtId="1" fontId="32" fillId="0" borderId="9" xfId="0" applyNumberFormat="1" applyFont="1" applyBorder="1"/>
    <xf numFmtId="1" fontId="32" fillId="3" borderId="24" xfId="0" applyNumberFormat="1" applyFont="1" applyFill="1" applyBorder="1"/>
    <xf numFmtId="1" fontId="32" fillId="12" borderId="367" xfId="22" applyNumberFormat="1" applyFont="1" applyFill="1" applyBorder="1"/>
    <xf numFmtId="1" fontId="32" fillId="12" borderId="391" xfId="22" applyNumberFormat="1" applyFont="1" applyFill="1" applyBorder="1"/>
    <xf numFmtId="1" fontId="32" fillId="12" borderId="363" xfId="22" applyNumberFormat="1" applyFont="1" applyFill="1" applyBorder="1"/>
    <xf numFmtId="1" fontId="32" fillId="12" borderId="20" xfId="22" applyNumberFormat="1" applyFont="1" applyFill="1" applyBorder="1"/>
    <xf numFmtId="1" fontId="32" fillId="12" borderId="45" xfId="22" applyNumberFormat="1" applyFont="1" applyFill="1" applyBorder="1"/>
    <xf numFmtId="1" fontId="32" fillId="12" borderId="21" xfId="22" applyNumberFormat="1" applyFont="1" applyFill="1" applyBorder="1"/>
    <xf numFmtId="1" fontId="32" fillId="2" borderId="1108" xfId="22" applyNumberFormat="1" applyFont="1" applyBorder="1" applyProtection="1">
      <protection locked="0"/>
    </xf>
    <xf numFmtId="1" fontId="32" fillId="0" borderId="1450" xfId="0" applyNumberFormat="1" applyFont="1" applyBorder="1" applyAlignment="1">
      <alignment wrapText="1"/>
    </xf>
    <xf numFmtId="1" fontId="32" fillId="2" borderId="1451" xfId="22" applyNumberFormat="1" applyFont="1" applyBorder="1" applyAlignment="1" applyProtection="1">
      <alignment horizontal="right" vertical="center"/>
      <protection locked="0"/>
    </xf>
    <xf numFmtId="1" fontId="32" fillId="0" borderId="1137" xfId="0" applyNumberFormat="1" applyFont="1" applyBorder="1" applyAlignment="1">
      <alignment wrapText="1"/>
    </xf>
    <xf numFmtId="1" fontId="32" fillId="2" borderId="1452" xfId="22" applyNumberFormat="1" applyFont="1" applyBorder="1" applyAlignment="1" applyProtection="1">
      <alignment horizontal="right" vertical="center"/>
      <protection locked="0"/>
    </xf>
    <xf numFmtId="1" fontId="32" fillId="0" borderId="1137" xfId="0" applyNumberFormat="1" applyFont="1" applyBorder="1" applyAlignment="1">
      <alignment vertical="center" wrapText="1"/>
    </xf>
    <xf numFmtId="1" fontId="32" fillId="0" borderId="1137" xfId="0" applyNumberFormat="1" applyFont="1" applyBorder="1"/>
    <xf numFmtId="1" fontId="32" fillId="2" borderId="1453" xfId="22" applyNumberFormat="1" applyFont="1" applyBorder="1" applyAlignment="1" applyProtection="1">
      <alignment horizontal="right" vertical="center"/>
      <protection locked="0"/>
    </xf>
    <xf numFmtId="1" fontId="32" fillId="0" borderId="1102" xfId="0" applyNumberFormat="1" applyFont="1" applyBorder="1" applyAlignment="1">
      <alignment wrapText="1"/>
    </xf>
    <xf numFmtId="1" fontId="32" fillId="2" borderId="1454" xfId="22" applyNumberFormat="1" applyFont="1" applyBorder="1" applyAlignment="1" applyProtection="1">
      <alignment horizontal="right" vertical="center"/>
      <protection locked="0"/>
    </xf>
    <xf numFmtId="1" fontId="32" fillId="0" borderId="1485" xfId="0" applyNumberFormat="1" applyFont="1" applyBorder="1" applyAlignment="1">
      <alignment wrapText="1"/>
    </xf>
    <xf numFmtId="1" fontId="32" fillId="2" borderId="1455" xfId="22" applyNumberFormat="1" applyFont="1" applyBorder="1" applyAlignment="1" applyProtection="1">
      <alignment horizontal="right" vertical="center"/>
      <protection locked="0"/>
    </xf>
    <xf numFmtId="1" fontId="32" fillId="0" borderId="831" xfId="0" applyNumberFormat="1" applyFont="1" applyBorder="1" applyAlignment="1">
      <alignment wrapText="1"/>
    </xf>
    <xf numFmtId="1" fontId="32" fillId="0" borderId="1137" xfId="0" applyNumberFormat="1" applyFont="1" applyBorder="1" applyAlignment="1">
      <alignment horizontal="left" wrapText="1"/>
    </xf>
    <xf numFmtId="1" fontId="32" fillId="0" borderId="831" xfId="0" applyNumberFormat="1" applyFont="1" applyBorder="1" applyAlignment="1">
      <alignment horizontal="left" vertical="top" wrapText="1"/>
    </xf>
    <xf numFmtId="1" fontId="32" fillId="2" borderId="1456" xfId="22" applyNumberFormat="1" applyFont="1" applyBorder="1" applyAlignment="1" applyProtection="1">
      <alignment horizontal="right" vertical="center"/>
      <protection locked="0"/>
    </xf>
    <xf numFmtId="1" fontId="32" fillId="2" borderId="823" xfId="22" applyNumberFormat="1" applyFont="1" applyBorder="1" applyAlignment="1" applyProtection="1">
      <alignment horizontal="right" vertical="center"/>
      <protection locked="0"/>
    </xf>
    <xf numFmtId="1" fontId="32" fillId="2" borderId="828" xfId="22" applyNumberFormat="1" applyFont="1" applyBorder="1" applyAlignment="1" applyProtection="1">
      <alignment horizontal="right" vertical="center"/>
      <protection locked="0"/>
    </xf>
    <xf numFmtId="1" fontId="32" fillId="2" borderId="1487" xfId="22" applyNumberFormat="1" applyFont="1" applyBorder="1" applyAlignment="1" applyProtection="1">
      <alignment horizontal="right" vertical="center"/>
      <protection locked="0"/>
    </xf>
    <xf numFmtId="1" fontId="32" fillId="2" borderId="701" xfId="22" applyNumberFormat="1" applyFont="1" applyBorder="1" applyAlignment="1" applyProtection="1">
      <alignment horizontal="right" vertical="center"/>
      <protection locked="0"/>
    </xf>
    <xf numFmtId="0" fontId="0" fillId="0" borderId="423" xfId="0" applyBorder="1"/>
    <xf numFmtId="1" fontId="62" fillId="14" borderId="175" xfId="0" applyNumberFormat="1" applyFont="1" applyFill="1" applyBorder="1"/>
    <xf numFmtId="1" fontId="72" fillId="3" borderId="175" xfId="0" applyNumberFormat="1" applyFont="1" applyFill="1" applyBorder="1"/>
    <xf numFmtId="1" fontId="32" fillId="0" borderId="228" xfId="0" applyNumberFormat="1" applyFont="1" applyBorder="1" applyAlignment="1">
      <alignment horizontal="center" vertical="center"/>
    </xf>
    <xf numFmtId="1" fontId="32" fillId="2" borderId="339" xfId="22" applyNumberFormat="1" applyFont="1" applyBorder="1" applyAlignment="1" applyProtection="1">
      <alignment wrapText="1"/>
      <protection locked="0"/>
    </xf>
    <xf numFmtId="1" fontId="32" fillId="0" borderId="689" xfId="0" applyNumberFormat="1" applyFont="1" applyBorder="1" applyAlignment="1">
      <alignment vertical="center"/>
    </xf>
    <xf numFmtId="1" fontId="32" fillId="2" borderId="369" xfId="22" applyNumberFormat="1" applyFont="1" applyBorder="1" applyProtection="1">
      <protection locked="0"/>
    </xf>
    <xf numFmtId="1" fontId="72" fillId="14" borderId="1158" xfId="0" applyNumberFormat="1" applyFont="1" applyFill="1" applyBorder="1"/>
    <xf numFmtId="1" fontId="62" fillId="0" borderId="175" xfId="0" applyNumberFormat="1" applyFont="1" applyBorder="1" applyAlignment="1">
      <alignment horizontal="left"/>
    </xf>
    <xf numFmtId="1" fontId="72" fillId="3" borderId="0" xfId="0" applyNumberFormat="1" applyFont="1" applyFill="1" applyAlignment="1">
      <alignment horizontal="left"/>
    </xf>
    <xf numFmtId="1" fontId="62" fillId="0" borderId="814" xfId="0" applyNumberFormat="1" applyFont="1" applyBorder="1" applyAlignment="1">
      <alignment horizontal="center"/>
    </xf>
    <xf numFmtId="1" fontId="32" fillId="0" borderId="798" xfId="0" applyNumberFormat="1" applyFont="1" applyBorder="1" applyAlignment="1">
      <alignment vertical="center"/>
    </xf>
    <xf numFmtId="1" fontId="32" fillId="2" borderId="659" xfId="22" applyNumberFormat="1" applyFont="1" applyBorder="1" applyProtection="1">
      <protection locked="0"/>
    </xf>
    <xf numFmtId="1" fontId="32" fillId="0" borderId="700" xfId="0" applyNumberFormat="1" applyFont="1" applyBorder="1" applyAlignment="1">
      <alignment vertical="center"/>
    </xf>
    <xf numFmtId="1" fontId="32" fillId="2" borderId="634" xfId="22" applyNumberFormat="1" applyFont="1" applyBorder="1" applyProtection="1">
      <protection locked="0"/>
    </xf>
    <xf numFmtId="1" fontId="32" fillId="2" borderId="700" xfId="22" applyNumberFormat="1" applyFont="1" applyBorder="1" applyProtection="1">
      <protection locked="0"/>
    </xf>
    <xf numFmtId="1" fontId="32" fillId="0" borderId="701" xfId="0" applyNumberFormat="1" applyFont="1" applyBorder="1" applyAlignment="1">
      <alignment vertical="center"/>
    </xf>
    <xf numFmtId="1" fontId="32" fillId="2" borderId="701" xfId="22" applyNumberFormat="1" applyFont="1" applyBorder="1" applyProtection="1">
      <protection locked="0"/>
    </xf>
    <xf numFmtId="41" fontId="32" fillId="0" borderId="721" xfId="30" applyFont="1" applyBorder="1" applyAlignment="1">
      <alignment vertical="center" wrapText="1"/>
    </xf>
    <xf numFmtId="1" fontId="32" fillId="14" borderId="701" xfId="22" applyNumberFormat="1" applyFont="1" applyFill="1" applyBorder="1" applyProtection="1"/>
    <xf numFmtId="1" fontId="72" fillId="3" borderId="1158" xfId="0" applyNumberFormat="1" applyFont="1" applyFill="1" applyBorder="1"/>
    <xf numFmtId="1" fontId="32" fillId="5" borderId="1858" xfId="0" applyNumberFormat="1" applyFont="1" applyFill="1" applyBorder="1" applyProtection="1">
      <protection locked="0"/>
    </xf>
    <xf numFmtId="1" fontId="32" fillId="5" borderId="1545" xfId="0" applyNumberFormat="1" applyFont="1" applyFill="1" applyBorder="1" applyProtection="1">
      <protection locked="0"/>
    </xf>
    <xf numFmtId="1" fontId="72" fillId="21" borderId="0" xfId="0" applyNumberFormat="1" applyFont="1" applyFill="1"/>
    <xf numFmtId="1" fontId="72" fillId="21" borderId="0" xfId="0" applyNumberFormat="1" applyFont="1" applyFill="1" applyProtection="1">
      <protection locked="0"/>
    </xf>
    <xf numFmtId="1" fontId="62" fillId="3" borderId="740" xfId="0" applyNumberFormat="1" applyFont="1" applyFill="1" applyBorder="1"/>
    <xf numFmtId="1" fontId="32" fillId="3" borderId="740" xfId="0" applyNumberFormat="1" applyFont="1" applyFill="1" applyBorder="1"/>
    <xf numFmtId="1" fontId="72" fillId="3" borderId="740" xfId="0" applyNumberFormat="1" applyFont="1" applyFill="1" applyBorder="1"/>
    <xf numFmtId="1" fontId="32" fillId="0" borderId="2141" xfId="0" applyNumberFormat="1" applyFont="1" applyBorder="1" applyAlignment="1">
      <alignment horizontal="center" vertical="center"/>
    </xf>
    <xf numFmtId="1" fontId="32" fillId="0" borderId="2158" xfId="0" applyNumberFormat="1" applyFont="1" applyBorder="1" applyAlignment="1">
      <alignment horizontal="center" vertical="center"/>
    </xf>
    <xf numFmtId="1" fontId="32" fillId="0" borderId="1870" xfId="0" applyNumberFormat="1" applyFont="1" applyBorder="1" applyAlignment="1">
      <alignment vertical="center"/>
    </xf>
    <xf numFmtId="1" fontId="32" fillId="0" borderId="1908" xfId="0" applyNumberFormat="1" applyFont="1" applyBorder="1" applyAlignment="1">
      <alignment horizontal="right" vertical="center"/>
    </xf>
    <xf numFmtId="1" fontId="32" fillId="0" borderId="1862" xfId="0" applyNumberFormat="1" applyFont="1" applyBorder="1" applyAlignment="1">
      <alignment horizontal="right" vertical="center"/>
    </xf>
    <xf numFmtId="1" fontId="32" fillId="5" borderId="1870" xfId="0" applyNumberFormat="1" applyFont="1" applyFill="1" applyBorder="1" applyAlignment="1" applyProtection="1">
      <alignment horizontal="right"/>
      <protection locked="0"/>
    </xf>
    <xf numFmtId="1" fontId="32" fillId="5" borderId="1862" xfId="0" applyNumberFormat="1" applyFont="1" applyFill="1" applyBorder="1" applyAlignment="1" applyProtection="1">
      <alignment horizontal="right"/>
      <protection locked="0"/>
    </xf>
    <xf numFmtId="1" fontId="32" fillId="5" borderId="1836" xfId="0" applyNumberFormat="1" applyFont="1" applyFill="1" applyBorder="1" applyAlignment="1" applyProtection="1">
      <alignment horizontal="right"/>
      <protection locked="0"/>
    </xf>
    <xf numFmtId="1" fontId="32" fillId="5" borderId="1908" xfId="0" applyNumberFormat="1" applyFont="1" applyFill="1" applyBorder="1" applyAlignment="1" applyProtection="1">
      <alignment horizontal="right"/>
      <protection locked="0"/>
    </xf>
    <xf numFmtId="1" fontId="32" fillId="5" borderId="1841" xfId="0" applyNumberFormat="1" applyFont="1" applyFill="1" applyBorder="1" applyAlignment="1" applyProtection="1">
      <alignment horizontal="right"/>
      <protection locked="0"/>
    </xf>
    <xf numFmtId="1" fontId="32" fillId="5" borderId="1872" xfId="0" applyNumberFormat="1" applyFont="1" applyFill="1" applyBorder="1" applyAlignment="1" applyProtection="1">
      <alignment horizontal="right"/>
      <protection locked="0"/>
    </xf>
    <xf numFmtId="1" fontId="32" fillId="5" borderId="1837" xfId="0" applyNumberFormat="1" applyFont="1" applyFill="1" applyBorder="1" applyAlignment="1" applyProtection="1">
      <alignment horizontal="right"/>
      <protection locked="0"/>
    </xf>
    <xf numFmtId="1" fontId="32" fillId="0" borderId="933" xfId="0" applyNumberFormat="1" applyFont="1" applyBorder="1" applyAlignment="1">
      <alignment vertical="center"/>
    </xf>
    <xf numFmtId="1" fontId="32" fillId="0" borderId="1698" xfId="0" applyNumberFormat="1" applyFont="1" applyBorder="1" applyAlignment="1">
      <alignment horizontal="right" vertical="center"/>
    </xf>
    <xf numFmtId="1" fontId="32" fillId="0" borderId="1683" xfId="0" applyNumberFormat="1" applyFont="1" applyBorder="1" applyAlignment="1">
      <alignment horizontal="right" vertical="center"/>
    </xf>
    <xf numFmtId="1" fontId="32" fillId="5" borderId="1608" xfId="0" applyNumberFormat="1" applyFont="1" applyFill="1" applyBorder="1" applyAlignment="1" applyProtection="1">
      <alignment horizontal="right"/>
      <protection locked="0"/>
    </xf>
    <xf numFmtId="1" fontId="32" fillId="0" borderId="933" xfId="0" applyNumberFormat="1" applyFont="1" applyBorder="1" applyAlignment="1">
      <alignment vertical="center" wrapText="1"/>
    </xf>
    <xf numFmtId="1" fontId="32" fillId="0" borderId="1698" xfId="0" applyNumberFormat="1" applyFont="1" applyBorder="1" applyAlignment="1">
      <alignment horizontal="right" vertical="center" wrapText="1"/>
    </xf>
    <xf numFmtId="1" fontId="32" fillId="0" borderId="1607" xfId="0" applyNumberFormat="1" applyFont="1" applyBorder="1" applyAlignment="1">
      <alignment vertical="center"/>
    </xf>
    <xf numFmtId="1" fontId="32" fillId="4" borderId="1607" xfId="0" applyNumberFormat="1" applyFont="1" applyFill="1" applyBorder="1" applyAlignment="1">
      <alignment horizontal="right"/>
    </xf>
    <xf numFmtId="1" fontId="32" fillId="4" borderId="981" xfId="0" applyNumberFormat="1" applyFont="1" applyFill="1" applyBorder="1" applyAlignment="1">
      <alignment horizontal="right"/>
    </xf>
    <xf numFmtId="1" fontId="32" fillId="4" borderId="1698" xfId="0" applyNumberFormat="1" applyFont="1" applyFill="1" applyBorder="1" applyAlignment="1">
      <alignment horizontal="right"/>
    </xf>
    <xf numFmtId="1" fontId="32" fillId="4" borderId="977" xfId="0" applyNumberFormat="1" applyFont="1" applyFill="1" applyBorder="1" applyAlignment="1">
      <alignment horizontal="right"/>
    </xf>
    <xf numFmtId="1" fontId="32" fillId="4" borderId="1690" xfId="0" applyNumberFormat="1" applyFont="1" applyFill="1" applyBorder="1" applyAlignment="1">
      <alignment horizontal="right"/>
    </xf>
    <xf numFmtId="1" fontId="32" fillId="4" borderId="1608" xfId="0" applyNumberFormat="1" applyFont="1" applyFill="1" applyBorder="1" applyAlignment="1">
      <alignment horizontal="right"/>
    </xf>
    <xf numFmtId="1" fontId="32" fillId="4" borderId="1683" xfId="0" applyNumberFormat="1" applyFont="1" applyFill="1" applyBorder="1" applyAlignment="1">
      <alignment horizontal="right"/>
    </xf>
    <xf numFmtId="1" fontId="32" fillId="0" borderId="1866" xfId="0" applyNumberFormat="1" applyFont="1" applyBorder="1" applyAlignment="1">
      <alignment vertical="center" wrapText="1"/>
    </xf>
    <xf numFmtId="1" fontId="32" fillId="0" borderId="1636" xfId="0" applyNumberFormat="1" applyFont="1" applyBorder="1" applyAlignment="1">
      <alignment horizontal="right" vertical="center" wrapText="1"/>
    </xf>
    <xf numFmtId="1" fontId="32" fillId="5" borderId="945" xfId="0" applyNumberFormat="1" applyFont="1" applyFill="1" applyBorder="1" applyAlignment="1" applyProtection="1">
      <alignment horizontal="right"/>
      <protection locked="0"/>
    </xf>
    <xf numFmtId="1" fontId="32" fillId="0" borderId="2156" xfId="0" applyNumberFormat="1" applyFont="1" applyBorder="1" applyAlignment="1">
      <alignment horizontal="center" vertical="center"/>
    </xf>
    <xf numFmtId="1" fontId="32" fillId="0" borderId="2156" xfId="0" applyNumberFormat="1" applyFont="1" applyBorder="1" applyAlignment="1">
      <alignment horizontal="right" vertical="center"/>
    </xf>
    <xf numFmtId="1" fontId="32" fillId="0" borderId="901" xfId="0" applyNumberFormat="1" applyFont="1" applyBorder="1" applyAlignment="1">
      <alignment horizontal="right" vertical="center"/>
    </xf>
    <xf numFmtId="1" fontId="32" fillId="0" borderId="741" xfId="0" applyNumberFormat="1" applyFont="1" applyBorder="1" applyAlignment="1">
      <alignment horizontal="right" vertical="center"/>
    </xf>
    <xf numFmtId="1" fontId="32" fillId="0" borderId="2138" xfId="0" applyNumberFormat="1" applyFont="1" applyBorder="1" applyAlignment="1">
      <alignment horizontal="right"/>
    </xf>
    <xf numFmtId="1" fontId="32" fillId="0" borderId="2143" xfId="0" applyNumberFormat="1" applyFont="1" applyBorder="1" applyAlignment="1">
      <alignment horizontal="right"/>
    </xf>
    <xf numFmtId="1" fontId="32" fillId="0" borderId="1927" xfId="0" applyNumberFormat="1" applyFont="1" applyBorder="1" applyAlignment="1">
      <alignment horizontal="right"/>
    </xf>
    <xf numFmtId="1" fontId="32" fillId="0" borderId="2148" xfId="0" applyNumberFormat="1" applyFont="1" applyBorder="1" applyAlignment="1">
      <alignment horizontal="right"/>
    </xf>
    <xf numFmtId="1" fontId="32" fillId="0" borderId="2159" xfId="0" applyNumberFormat="1" applyFont="1" applyBorder="1" applyAlignment="1">
      <alignment horizontal="right"/>
    </xf>
    <xf numFmtId="1" fontId="32" fillId="0" borderId="1928" xfId="0" applyNumberFormat="1" applyFont="1" applyBorder="1" applyAlignment="1">
      <alignment horizontal="right"/>
    </xf>
    <xf numFmtId="1" fontId="32" fillId="3" borderId="811" xfId="0" applyNumberFormat="1" applyFont="1" applyFill="1" applyBorder="1"/>
    <xf numFmtId="1" fontId="32" fillId="3" borderId="2150" xfId="0" applyNumberFormat="1" applyFont="1" applyFill="1" applyBorder="1"/>
    <xf numFmtId="1" fontId="72" fillId="3" borderId="2150" xfId="0" applyNumberFormat="1" applyFont="1" applyFill="1" applyBorder="1"/>
    <xf numFmtId="1" fontId="32" fillId="0" borderId="2138" xfId="0" applyNumberFormat="1" applyFont="1" applyBorder="1" applyAlignment="1">
      <alignment horizontal="center" vertical="center"/>
    </xf>
    <xf numFmtId="1" fontId="32" fillId="0" borderId="1871" xfId="0" applyNumberFormat="1" applyFont="1" applyBorder="1" applyAlignment="1">
      <alignment horizontal="center" vertical="center"/>
    </xf>
    <xf numFmtId="1" fontId="32" fillId="0" borderId="1734" xfId="0" applyNumberFormat="1" applyFont="1" applyBorder="1" applyAlignment="1">
      <alignment horizontal="center" vertical="center"/>
    </xf>
    <xf numFmtId="1" fontId="32" fillId="0" borderId="1867" xfId="0" applyNumberFormat="1" applyFont="1" applyBorder="1" applyAlignment="1">
      <alignment horizontal="right" vertical="center" wrapText="1"/>
    </xf>
    <xf numFmtId="1" fontId="32" fillId="0" borderId="1674" xfId="0" applyNumberFormat="1" applyFont="1" applyBorder="1" applyAlignment="1">
      <alignment horizontal="right" vertical="center" wrapText="1"/>
    </xf>
    <xf numFmtId="1" fontId="32" fillId="4" borderId="1867" xfId="0" applyNumberFormat="1" applyFont="1" applyFill="1" applyBorder="1" applyAlignment="1">
      <alignment horizontal="right"/>
    </xf>
    <xf numFmtId="1" fontId="32" fillId="4" borderId="1675" xfId="0" applyNumberFormat="1" applyFont="1" applyFill="1" applyBorder="1" applyAlignment="1">
      <alignment horizontal="right"/>
    </xf>
    <xf numFmtId="1" fontId="32" fillId="4" borderId="2149" xfId="0" applyNumberFormat="1" applyFont="1" applyFill="1" applyBorder="1" applyAlignment="1">
      <alignment horizontal="right"/>
    </xf>
    <xf numFmtId="1" fontId="32" fillId="4" borderId="1664" xfId="0" applyNumberFormat="1" applyFont="1" applyFill="1" applyBorder="1" applyAlignment="1">
      <alignment horizontal="right"/>
    </xf>
    <xf numFmtId="1" fontId="32" fillId="4" borderId="1837" xfId="0" applyNumberFormat="1" applyFont="1" applyFill="1" applyBorder="1" applyAlignment="1">
      <alignment horizontal="right"/>
    </xf>
    <xf numFmtId="1" fontId="32" fillId="4" borderId="1089" xfId="0" applyNumberFormat="1" applyFont="1" applyFill="1" applyBorder="1" applyAlignment="1">
      <alignment horizontal="right"/>
    </xf>
    <xf numFmtId="1" fontId="32" fillId="0" borderId="408" xfId="0" applyNumberFormat="1" applyFont="1" applyBorder="1" applyAlignment="1">
      <alignment horizontal="right" vertical="center" wrapText="1"/>
    </xf>
    <xf numFmtId="1" fontId="32" fillId="0" borderId="382" xfId="0" applyNumberFormat="1" applyFont="1" applyBorder="1" applyAlignment="1">
      <alignment horizontal="right" vertical="center" wrapText="1"/>
    </xf>
    <xf numFmtId="1" fontId="32" fillId="5" borderId="408" xfId="0" applyNumberFormat="1" applyFont="1" applyFill="1" applyBorder="1" applyAlignment="1" applyProtection="1">
      <alignment horizontal="right"/>
      <protection locked="0"/>
    </xf>
    <xf numFmtId="1" fontId="32" fillId="5" borderId="517" xfId="0" applyNumberFormat="1" applyFont="1" applyFill="1" applyBorder="1" applyAlignment="1" applyProtection="1">
      <alignment horizontal="right"/>
      <protection locked="0"/>
    </xf>
    <xf numFmtId="1" fontId="32" fillId="5" borderId="1958" xfId="0" applyNumberFormat="1" applyFont="1" applyFill="1" applyBorder="1" applyAlignment="1" applyProtection="1">
      <alignment horizontal="right"/>
      <protection locked="0"/>
    </xf>
    <xf numFmtId="1" fontId="32" fillId="4" borderId="408" xfId="0" applyNumberFormat="1" applyFont="1" applyFill="1" applyBorder="1" applyAlignment="1">
      <alignment horizontal="right"/>
    </xf>
    <xf numFmtId="1" fontId="32" fillId="4" borderId="1958" xfId="0" applyNumberFormat="1" applyFont="1" applyFill="1" applyBorder="1" applyAlignment="1">
      <alignment horizontal="right"/>
    </xf>
    <xf numFmtId="1" fontId="32" fillId="4" borderId="2155" xfId="0" applyNumberFormat="1" applyFont="1" applyFill="1" applyBorder="1" applyAlignment="1">
      <alignment horizontal="right"/>
    </xf>
    <xf numFmtId="1" fontId="32" fillId="4" borderId="2160" xfId="0" applyNumberFormat="1" applyFont="1" applyFill="1" applyBorder="1" applyAlignment="1">
      <alignment horizontal="right"/>
    </xf>
    <xf numFmtId="1" fontId="32" fillId="0" borderId="1870" xfId="0" applyNumberFormat="1" applyFont="1" applyBorder="1" applyAlignment="1">
      <alignment horizontal="right" vertical="center" wrapText="1"/>
    </xf>
    <xf numFmtId="1" fontId="32" fillId="0" borderId="1835" xfId="0" applyNumberFormat="1" applyFont="1" applyBorder="1" applyAlignment="1">
      <alignment horizontal="right" vertical="center" wrapText="1"/>
    </xf>
    <xf numFmtId="1" fontId="32" fillId="4" borderId="1870" xfId="25" applyNumberFormat="1" applyFont="1" applyFill="1" applyBorder="1"/>
    <xf numFmtId="1" fontId="32" fillId="4" borderId="1862" xfId="25" applyNumberFormat="1" applyFont="1" applyFill="1" applyBorder="1"/>
    <xf numFmtId="1" fontId="32" fillId="5" borderId="1861" xfId="0" applyNumberFormat="1" applyFont="1" applyFill="1" applyBorder="1" applyAlignment="1" applyProtection="1">
      <alignment horizontal="right"/>
      <protection locked="0"/>
    </xf>
    <xf numFmtId="1" fontId="32" fillId="4" borderId="1607" xfId="25" applyNumberFormat="1" applyFont="1" applyFill="1" applyBorder="1"/>
    <xf numFmtId="1" fontId="32" fillId="4" borderId="1683" xfId="25" applyNumberFormat="1" applyFont="1" applyFill="1" applyBorder="1"/>
    <xf numFmtId="1" fontId="32" fillId="5" borderId="1664" xfId="0" applyNumberFormat="1" applyFont="1" applyFill="1" applyBorder="1" applyAlignment="1" applyProtection="1">
      <alignment horizontal="right"/>
      <protection locked="0"/>
    </xf>
    <xf numFmtId="1" fontId="32" fillId="4" borderId="1876" xfId="25" applyNumberFormat="1" applyFont="1" applyFill="1" applyBorder="1"/>
    <xf numFmtId="1" fontId="32" fillId="5" borderId="1863" xfId="0" applyNumberFormat="1" applyFont="1" applyFill="1" applyBorder="1" applyAlignment="1" applyProtection="1">
      <alignment horizontal="right"/>
      <protection locked="0"/>
    </xf>
    <xf numFmtId="1" fontId="32" fillId="4" borderId="1870" xfId="0" applyNumberFormat="1" applyFont="1" applyFill="1" applyBorder="1" applyAlignment="1">
      <alignment horizontal="right"/>
    </xf>
    <xf numFmtId="1" fontId="32" fillId="4" borderId="1836" xfId="0" applyNumberFormat="1" applyFont="1" applyFill="1" applyBorder="1" applyAlignment="1">
      <alignment horizontal="right"/>
    </xf>
    <xf numFmtId="1" fontId="32" fillId="0" borderId="1866" xfId="0" applyNumberFormat="1" applyFont="1" applyBorder="1" applyAlignment="1">
      <alignment horizontal="right" vertical="center" wrapText="1"/>
    </xf>
    <xf numFmtId="1" fontId="32" fillId="0" borderId="1686" xfId="0" applyNumberFormat="1" applyFont="1" applyBorder="1" applyAlignment="1">
      <alignment horizontal="right" vertical="center" wrapText="1"/>
    </xf>
    <xf numFmtId="1" fontId="32" fillId="4" borderId="1866" xfId="0" applyNumberFormat="1" applyFont="1" applyFill="1" applyBorder="1" applyAlignment="1">
      <alignment horizontal="right"/>
    </xf>
    <xf numFmtId="1" fontId="32" fillId="4" borderId="1687" xfId="0" applyNumberFormat="1" applyFont="1" applyFill="1" applyBorder="1" applyAlignment="1">
      <alignment horizontal="right"/>
    </xf>
    <xf numFmtId="1" fontId="32" fillId="0" borderId="1867" xfId="0" applyNumberFormat="1" applyFont="1" applyBorder="1" applyAlignment="1">
      <alignment horizontal="right" vertical="center"/>
    </xf>
    <xf numFmtId="1" fontId="32" fillId="0" borderId="1674" xfId="0" applyNumberFormat="1" applyFont="1" applyBorder="1" applyAlignment="1">
      <alignment horizontal="right" vertical="center"/>
    </xf>
    <xf numFmtId="1" fontId="32" fillId="0" borderId="1607" xfId="0" applyNumberFormat="1" applyFont="1" applyBorder="1" applyAlignment="1">
      <alignment horizontal="right" vertical="center"/>
    </xf>
    <xf numFmtId="1" fontId="32" fillId="0" borderId="825" xfId="0" applyNumberFormat="1" applyFont="1" applyBorder="1" applyAlignment="1">
      <alignment horizontal="right" vertical="center"/>
    </xf>
    <xf numFmtId="1" fontId="32" fillId="5" borderId="933" xfId="0" applyNumberFormat="1" applyFont="1" applyFill="1" applyBorder="1" applyAlignment="1" applyProtection="1">
      <alignment horizontal="right"/>
      <protection locked="0"/>
    </xf>
    <xf numFmtId="1" fontId="32" fillId="0" borderId="1607" xfId="0" applyNumberFormat="1" applyFont="1" applyBorder="1" applyAlignment="1">
      <alignment horizontal="right" vertical="center" wrapText="1"/>
    </xf>
    <xf numFmtId="1" fontId="32" fillId="0" borderId="825" xfId="0" applyNumberFormat="1" applyFont="1" applyBorder="1" applyAlignment="1">
      <alignment horizontal="right" vertical="center" wrapText="1"/>
    </xf>
    <xf numFmtId="1" fontId="32" fillId="0" borderId="1866" xfId="0" applyNumberFormat="1" applyFont="1" applyBorder="1" applyAlignment="1">
      <alignment horizontal="right" vertical="center"/>
    </xf>
    <xf numFmtId="1" fontId="32" fillId="0" borderId="1875" xfId="0" applyNumberFormat="1" applyFont="1" applyBorder="1" applyAlignment="1">
      <alignment horizontal="right" vertical="center"/>
    </xf>
    <xf numFmtId="1" fontId="32" fillId="0" borderId="2138" xfId="0" applyNumberFormat="1" applyFont="1" applyBorder="1" applyAlignment="1">
      <alignment horizontal="right" vertical="center"/>
    </xf>
    <xf numFmtId="1" fontId="32" fillId="0" borderId="1871" xfId="0" applyNumberFormat="1" applyFont="1" applyBorder="1" applyAlignment="1">
      <alignment horizontal="right" vertical="center"/>
    </xf>
    <xf numFmtId="1" fontId="32" fillId="0" borderId="2143" xfId="0" applyNumberFormat="1" applyFont="1" applyBorder="1" applyAlignment="1">
      <alignment horizontal="right" vertical="center"/>
    </xf>
    <xf numFmtId="1" fontId="32" fillId="0" borderId="2112" xfId="0" applyNumberFormat="1" applyFont="1" applyBorder="1" applyAlignment="1">
      <alignment horizontal="right"/>
    </xf>
    <xf numFmtId="1" fontId="32" fillId="0" borderId="2150" xfId="0" applyNumberFormat="1" applyFont="1" applyBorder="1" applyAlignment="1">
      <alignment horizontal="right"/>
    </xf>
    <xf numFmtId="1" fontId="32" fillId="0" borderId="2122" xfId="0" applyNumberFormat="1" applyFont="1" applyBorder="1" applyAlignment="1">
      <alignment horizontal="right"/>
    </xf>
    <xf numFmtId="1" fontId="62" fillId="3" borderId="0" xfId="0" applyNumberFormat="1" applyFont="1" applyFill="1" applyAlignment="1">
      <alignment horizontal="center"/>
    </xf>
    <xf numFmtId="1" fontId="32" fillId="0" borderId="0" xfId="0" applyNumberFormat="1" applyFont="1" applyAlignment="1">
      <alignment horizontal="right"/>
    </xf>
    <xf numFmtId="1" fontId="32" fillId="0" borderId="2148" xfId="0" applyNumberFormat="1" applyFont="1" applyBorder="1" applyAlignment="1">
      <alignment horizontal="center" vertical="center"/>
    </xf>
    <xf numFmtId="1" fontId="32" fillId="0" borderId="1861" xfId="0" applyNumberFormat="1" applyFont="1" applyBorder="1"/>
    <xf numFmtId="1" fontId="32" fillId="0" borderId="1658" xfId="0" applyNumberFormat="1" applyFont="1" applyBorder="1" applyAlignment="1">
      <alignment horizontal="right"/>
    </xf>
    <xf numFmtId="1" fontId="32" fillId="0" borderId="1445" xfId="0" applyNumberFormat="1" applyFont="1" applyBorder="1" applyAlignment="1">
      <alignment horizontal="right"/>
    </xf>
    <xf numFmtId="1" fontId="32" fillId="5" borderId="790" xfId="0" applyNumberFormat="1" applyFont="1" applyFill="1" applyBorder="1" applyProtection="1">
      <protection locked="0"/>
    </xf>
    <xf numFmtId="1" fontId="32" fillId="5" borderId="1664" xfId="0" applyNumberFormat="1" applyFont="1" applyFill="1" applyBorder="1" applyProtection="1">
      <protection locked="0"/>
    </xf>
    <xf numFmtId="1" fontId="32" fillId="12" borderId="1671" xfId="0" applyNumberFormat="1" applyFont="1" applyFill="1" applyBorder="1"/>
    <xf numFmtId="1" fontId="32" fillId="0" borderId="1863" xfId="0" applyNumberFormat="1" applyFont="1" applyBorder="1"/>
    <xf numFmtId="1" fontId="32" fillId="0" borderId="1670" xfId="0" applyNumberFormat="1" applyFont="1" applyBorder="1" applyAlignment="1">
      <alignment horizontal="right"/>
    </xf>
    <xf numFmtId="1" fontId="32" fillId="0" borderId="784" xfId="0" applyNumberFormat="1" applyFont="1" applyBorder="1" applyAlignment="1">
      <alignment horizontal="right"/>
    </xf>
    <xf numFmtId="1" fontId="32" fillId="0" borderId="517" xfId="0" applyNumberFormat="1" applyFont="1" applyBorder="1" applyAlignment="1">
      <alignment horizontal="right"/>
    </xf>
    <xf numFmtId="1" fontId="32" fillId="5" borderId="2161" xfId="0" applyNumberFormat="1" applyFont="1" applyFill="1" applyBorder="1" applyProtection="1">
      <protection locked="0"/>
    </xf>
    <xf numFmtId="1" fontId="32" fillId="5" borderId="1165" xfId="0" applyNumberFormat="1" applyFont="1" applyFill="1" applyBorder="1" applyProtection="1">
      <protection locked="0"/>
    </xf>
    <xf numFmtId="1" fontId="32" fillId="0" borderId="2112" xfId="0" applyNumberFormat="1" applyFont="1" applyBorder="1" applyAlignment="1">
      <alignment horizontal="center"/>
    </xf>
    <xf numFmtId="1" fontId="32" fillId="0" borderId="2159" xfId="0" applyNumberFormat="1" applyFont="1" applyBorder="1"/>
    <xf numFmtId="1" fontId="32" fillId="0" borderId="2112" xfId="0" applyNumberFormat="1" applyFont="1" applyBorder="1"/>
    <xf numFmtId="1" fontId="32" fillId="0" borderId="2122" xfId="0" applyNumberFormat="1" applyFont="1" applyBorder="1"/>
    <xf numFmtId="1" fontId="32" fillId="0" borderId="2142" xfId="25" applyNumberFormat="1" applyFont="1" applyBorder="1" applyAlignment="1">
      <alignment horizontal="center" vertical="center" wrapText="1"/>
    </xf>
    <xf numFmtId="1" fontId="32" fillId="0" borderId="2141" xfId="25" applyNumberFormat="1" applyFont="1" applyBorder="1" applyAlignment="1">
      <alignment horizontal="center" vertical="center" wrapText="1"/>
    </xf>
    <xf numFmtId="1" fontId="32" fillId="0" borderId="517" xfId="25" applyNumberFormat="1" applyFont="1" applyBorder="1" applyAlignment="1">
      <alignment horizontal="center" vertical="center"/>
    </xf>
    <xf numFmtId="1" fontId="32" fillId="0" borderId="1861" xfId="23" applyNumberFormat="1" applyFont="1" applyBorder="1" applyAlignment="1">
      <alignment wrapText="1"/>
    </xf>
    <xf numFmtId="1" fontId="32" fillId="0" borderId="1858" xfId="23" applyNumberFormat="1" applyFont="1" applyBorder="1" applyAlignment="1">
      <alignment horizontal="right" wrapText="1"/>
    </xf>
    <xf numFmtId="1" fontId="32" fillId="0" borderId="1908" xfId="23" applyNumberFormat="1" applyFont="1" applyBorder="1" applyAlignment="1">
      <alignment horizontal="right" wrapText="1"/>
    </xf>
    <xf numFmtId="1" fontId="32" fillId="0" borderId="1862" xfId="25" applyNumberFormat="1" applyFont="1" applyBorder="1" applyAlignment="1">
      <alignment horizontal="right"/>
    </xf>
    <xf numFmtId="1" fontId="32" fillId="5" borderId="1870" xfId="25" applyNumberFormat="1" applyFont="1" applyFill="1" applyBorder="1" applyProtection="1">
      <protection locked="0"/>
    </xf>
    <xf numFmtId="1" fontId="32" fillId="5" borderId="1862" xfId="25" applyNumberFormat="1" applyFont="1" applyFill="1" applyBorder="1" applyProtection="1">
      <protection locked="0"/>
    </xf>
    <xf numFmtId="1" fontId="32" fillId="4" borderId="1445" xfId="25" applyNumberFormat="1" applyFont="1" applyFill="1" applyBorder="1"/>
    <xf numFmtId="1" fontId="32" fillId="4" borderId="1919" xfId="25" applyNumberFormat="1" applyFont="1" applyFill="1" applyBorder="1"/>
    <xf numFmtId="1" fontId="32" fillId="5" borderId="1658" xfId="25" applyNumberFormat="1" applyFont="1" applyFill="1" applyBorder="1" applyProtection="1">
      <protection locked="0"/>
    </xf>
    <xf numFmtId="1" fontId="32" fillId="5" borderId="1675" xfId="25" applyNumberFormat="1" applyFont="1" applyFill="1" applyBorder="1" applyProtection="1">
      <protection locked="0"/>
    </xf>
    <xf numFmtId="1" fontId="32" fillId="14" borderId="2155" xfId="0" applyNumberFormat="1" applyFont="1" applyFill="1" applyBorder="1" applyAlignment="1" applyProtection="1">
      <alignment vertical="center"/>
      <protection locked="0"/>
    </xf>
    <xf numFmtId="1" fontId="32" fillId="0" borderId="933" xfId="24" applyNumberFormat="1" applyFont="1" applyBorder="1" applyAlignment="1">
      <alignment vertical="center" wrapText="1"/>
    </xf>
    <xf numFmtId="1" fontId="32" fillId="0" borderId="1699" xfId="24" applyNumberFormat="1" applyFont="1" applyBorder="1" applyAlignment="1">
      <alignment horizontal="right" wrapText="1"/>
    </xf>
    <xf numFmtId="1" fontId="32" fillId="0" borderId="1698" xfId="24" applyNumberFormat="1" applyFont="1" applyBorder="1" applyAlignment="1">
      <alignment horizontal="right" wrapText="1"/>
    </xf>
    <xf numFmtId="1" fontId="32" fillId="0" borderId="1683" xfId="25" applyNumberFormat="1" applyFont="1" applyBorder="1" applyAlignment="1">
      <alignment horizontal="right"/>
    </xf>
    <xf numFmtId="1" fontId="32" fillId="4" borderId="517" xfId="25" applyNumberFormat="1" applyFont="1" applyFill="1" applyBorder="1"/>
    <xf numFmtId="1" fontId="32" fillId="5" borderId="408" xfId="25" applyNumberFormat="1" applyFont="1" applyFill="1" applyBorder="1" applyProtection="1">
      <protection locked="0"/>
    </xf>
    <xf numFmtId="1" fontId="32" fillId="5" borderId="517" xfId="25" applyNumberFormat="1" applyFont="1" applyFill="1" applyBorder="1" applyProtection="1">
      <protection locked="0"/>
    </xf>
    <xf numFmtId="1" fontId="32" fillId="5" borderId="1874" xfId="25" applyNumberFormat="1" applyFont="1" applyFill="1" applyBorder="1" applyProtection="1">
      <protection locked="0"/>
    </xf>
    <xf numFmtId="1" fontId="32" fillId="5" borderId="1876" xfId="25" applyNumberFormat="1" applyFont="1" applyFill="1" applyBorder="1" applyProtection="1">
      <protection locked="0"/>
    </xf>
    <xf numFmtId="1" fontId="32" fillId="5" borderId="1607" xfId="25" applyNumberFormat="1" applyFont="1" applyFill="1" applyBorder="1" applyProtection="1">
      <protection locked="0"/>
    </xf>
    <xf numFmtId="1" fontId="32" fillId="5" borderId="1683" xfId="25" applyNumberFormat="1" applyFont="1" applyFill="1" applyBorder="1" applyProtection="1">
      <protection locked="0"/>
    </xf>
    <xf numFmtId="1" fontId="32" fillId="5" borderId="1732" xfId="25" applyNumberFormat="1" applyFont="1" applyFill="1" applyBorder="1" applyProtection="1">
      <protection locked="0"/>
    </xf>
    <xf numFmtId="1" fontId="32" fillId="5" borderId="1698" xfId="25" applyNumberFormat="1" applyFont="1" applyFill="1" applyBorder="1" applyProtection="1">
      <protection locked="0"/>
    </xf>
    <xf numFmtId="1" fontId="32" fillId="5" borderId="981" xfId="25" applyNumberFormat="1" applyFont="1" applyFill="1" applyBorder="1" applyProtection="1">
      <protection locked="0"/>
    </xf>
    <xf numFmtId="1" fontId="32" fillId="0" borderId="1671" xfId="24" applyNumberFormat="1" applyFont="1" applyBorder="1" applyAlignment="1">
      <alignment horizontal="right" wrapText="1"/>
    </xf>
    <xf numFmtId="1" fontId="32" fillId="0" borderId="1658" xfId="24" applyNumberFormat="1" applyFont="1" applyBorder="1" applyAlignment="1">
      <alignment horizontal="right" wrapText="1"/>
    </xf>
    <xf numFmtId="1" fontId="32" fillId="0" borderId="1445" xfId="25" applyNumberFormat="1" applyFont="1" applyBorder="1" applyAlignment="1">
      <alignment horizontal="right"/>
    </xf>
    <xf numFmtId="1" fontId="32" fillId="4" borderId="1867" xfId="25" applyNumberFormat="1" applyFont="1" applyFill="1" applyBorder="1"/>
    <xf numFmtId="1" fontId="32" fillId="5" borderId="1867" xfId="25" applyNumberFormat="1" applyFont="1" applyFill="1" applyBorder="1" applyProtection="1">
      <protection locked="0"/>
    </xf>
    <xf numFmtId="1" fontId="32" fillId="5" borderId="1445" xfId="25" applyNumberFormat="1" applyFont="1" applyFill="1" applyBorder="1" applyProtection="1">
      <protection locked="0"/>
    </xf>
    <xf numFmtId="1" fontId="32" fillId="5" borderId="1035" xfId="25" applyNumberFormat="1" applyFont="1" applyFill="1" applyBorder="1" applyProtection="1">
      <protection locked="0"/>
    </xf>
    <xf numFmtId="1" fontId="32" fillId="0" borderId="1664" xfId="0" applyNumberFormat="1" applyFont="1" applyBorder="1" applyAlignment="1">
      <alignment vertical="center"/>
    </xf>
    <xf numFmtId="1" fontId="32" fillId="5" borderId="1035" xfId="0" applyNumberFormat="1" applyFont="1" applyFill="1" applyBorder="1" applyAlignment="1" applyProtection="1">
      <alignment horizontal="right"/>
      <protection locked="0"/>
    </xf>
    <xf numFmtId="1" fontId="32" fillId="0" borderId="933" xfId="23" applyNumberFormat="1" applyFont="1" applyBorder="1" applyAlignment="1">
      <alignment vertical="center" wrapText="1"/>
    </xf>
    <xf numFmtId="1" fontId="32" fillId="0" borderId="1699" xfId="23" applyNumberFormat="1" applyFont="1" applyBorder="1" applyAlignment="1">
      <alignment vertical="center" wrapText="1"/>
    </xf>
    <xf numFmtId="1" fontId="32" fillId="5" borderId="1448" xfId="25" applyNumberFormat="1" applyFont="1" applyFill="1" applyBorder="1" applyProtection="1">
      <protection locked="0"/>
    </xf>
    <xf numFmtId="1" fontId="32" fillId="5" borderId="1726" xfId="25" applyNumberFormat="1" applyFont="1" applyFill="1" applyBorder="1" applyProtection="1">
      <protection locked="0"/>
    </xf>
    <xf numFmtId="1" fontId="32" fillId="0" borderId="1690" xfId="0" applyNumberFormat="1" applyFont="1" applyBorder="1" applyAlignment="1">
      <alignment vertical="center" wrapText="1"/>
    </xf>
    <xf numFmtId="1" fontId="32" fillId="0" borderId="1699" xfId="0" applyNumberFormat="1" applyFont="1" applyBorder="1" applyAlignment="1">
      <alignment horizontal="right"/>
    </xf>
    <xf numFmtId="1" fontId="32" fillId="0" borderId="1698" xfId="0" applyNumberFormat="1" applyFont="1" applyBorder="1" applyAlignment="1">
      <alignment horizontal="right"/>
    </xf>
    <xf numFmtId="1" fontId="32" fillId="0" borderId="1868" xfId="23" applyNumberFormat="1" applyFont="1" applyBorder="1" applyAlignment="1">
      <alignment vertical="center" wrapText="1"/>
    </xf>
    <xf numFmtId="1" fontId="32" fillId="0" borderId="2156" xfId="0" applyNumberFormat="1" applyFont="1" applyBorder="1" applyAlignment="1">
      <alignment horizontal="right"/>
    </xf>
    <xf numFmtId="1" fontId="32" fillId="0" borderId="901" xfId="0" applyNumberFormat="1" applyFont="1" applyBorder="1" applyAlignment="1">
      <alignment horizontal="right"/>
    </xf>
    <xf numFmtId="1" fontId="32" fillId="0" borderId="1864" xfId="25" applyNumberFormat="1" applyFont="1" applyBorder="1" applyAlignment="1">
      <alignment horizontal="right"/>
    </xf>
    <xf numFmtId="1" fontId="32" fillId="5" borderId="1866" xfId="25" applyNumberFormat="1" applyFont="1" applyFill="1" applyBorder="1" applyProtection="1">
      <protection locked="0"/>
    </xf>
    <xf numFmtId="1" fontId="32" fillId="5" borderId="1864" xfId="25" applyNumberFormat="1" applyFont="1" applyFill="1" applyBorder="1" applyProtection="1">
      <protection locked="0"/>
    </xf>
    <xf numFmtId="1" fontId="32" fillId="5" borderId="1731" xfId="25" applyNumberFormat="1" applyFont="1" applyFill="1" applyBorder="1" applyProtection="1">
      <protection locked="0"/>
    </xf>
    <xf numFmtId="1" fontId="32" fillId="5" borderId="1636" xfId="25" applyNumberFormat="1" applyFont="1" applyFill="1" applyBorder="1" applyProtection="1">
      <protection locked="0"/>
    </xf>
    <xf numFmtId="1" fontId="32" fillId="5" borderId="1687" xfId="25" applyNumberFormat="1" applyFont="1" applyFill="1" applyBorder="1" applyProtection="1">
      <protection locked="0"/>
    </xf>
    <xf numFmtId="1" fontId="32" fillId="0" borderId="2150" xfId="0" applyNumberFormat="1" applyFont="1" applyBorder="1" applyAlignment="1">
      <alignment horizontal="center" vertical="center"/>
    </xf>
    <xf numFmtId="1" fontId="32" fillId="0" borderId="2151" xfId="0" applyNumberFormat="1" applyFont="1" applyBorder="1" applyAlignment="1">
      <alignment horizontal="center" vertical="center"/>
    </xf>
    <xf numFmtId="1" fontId="32" fillId="5" borderId="2159" xfId="0" applyNumberFormat="1" applyFont="1" applyFill="1" applyBorder="1" applyProtection="1">
      <protection locked="0"/>
    </xf>
    <xf numFmtId="1" fontId="32" fillId="0" borderId="2142" xfId="0" applyNumberFormat="1" applyFont="1" applyBorder="1"/>
    <xf numFmtId="1" fontId="32" fillId="0" borderId="1858" xfId="0" applyNumberFormat="1" applyFont="1" applyBorder="1" applyAlignment="1">
      <alignment horizontal="right"/>
    </xf>
    <xf numFmtId="1" fontId="32" fillId="0" borderId="1908" xfId="0" applyNumberFormat="1" applyFont="1" applyBorder="1" applyAlignment="1">
      <alignment horizontal="right"/>
    </xf>
    <xf numFmtId="1" fontId="32" fillId="0" borderId="1862" xfId="0" applyNumberFormat="1" applyFont="1" applyBorder="1" applyAlignment="1">
      <alignment horizontal="right"/>
    </xf>
    <xf numFmtId="1" fontId="32" fillId="5" borderId="1841" xfId="0" applyNumberFormat="1" applyFont="1" applyFill="1" applyBorder="1" applyProtection="1">
      <protection locked="0"/>
    </xf>
    <xf numFmtId="1" fontId="32" fillId="5" borderId="1861" xfId="0" applyNumberFormat="1" applyFont="1" applyFill="1" applyBorder="1" applyProtection="1">
      <protection locked="0"/>
    </xf>
    <xf numFmtId="1" fontId="32" fillId="5" borderId="2139" xfId="0" applyNumberFormat="1" applyFont="1" applyFill="1" applyBorder="1" applyProtection="1">
      <protection locked="0"/>
    </xf>
    <xf numFmtId="1" fontId="32" fillId="0" borderId="1683" xfId="0" applyNumberFormat="1" applyFont="1" applyBorder="1" applyAlignment="1">
      <alignment horizontal="right"/>
    </xf>
    <xf numFmtId="1" fontId="32" fillId="5" borderId="933" xfId="0" applyNumberFormat="1" applyFont="1" applyFill="1" applyBorder="1" applyProtection="1">
      <protection locked="0"/>
    </xf>
    <xf numFmtId="1" fontId="32" fillId="0" borderId="1670" xfId="0" applyNumberFormat="1" applyFont="1" applyBorder="1"/>
    <xf numFmtId="1" fontId="32" fillId="0" borderId="1868" xfId="0" applyNumberFormat="1" applyFont="1" applyBorder="1" applyAlignment="1">
      <alignment horizontal="right"/>
    </xf>
    <xf numFmtId="1" fontId="32" fillId="0" borderId="1636" xfId="0" applyNumberFormat="1" applyFont="1" applyBorder="1" applyAlignment="1">
      <alignment horizontal="right"/>
    </xf>
    <xf numFmtId="1" fontId="32" fillId="0" borderId="1864" xfId="0" applyNumberFormat="1" applyFont="1" applyBorder="1" applyAlignment="1">
      <alignment horizontal="right"/>
    </xf>
    <xf numFmtId="1" fontId="32" fillId="0" borderId="2122" xfId="0" applyNumberFormat="1" applyFont="1" applyBorder="1" applyAlignment="1">
      <alignment horizontal="center"/>
    </xf>
    <xf numFmtId="1" fontId="32" fillId="14" borderId="0" xfId="0" applyNumberFormat="1" applyFont="1" applyFill="1" applyProtection="1">
      <protection locked="0"/>
    </xf>
    <xf numFmtId="1" fontId="32" fillId="4" borderId="1836" xfId="25" applyNumberFormat="1" applyFont="1" applyFill="1" applyBorder="1"/>
    <xf numFmtId="1" fontId="32" fillId="4" borderId="1908" xfId="25" applyNumberFormat="1" applyFont="1" applyFill="1" applyBorder="1"/>
    <xf numFmtId="1" fontId="32" fillId="4" borderId="1841" xfId="25" applyNumberFormat="1" applyFont="1" applyFill="1" applyBorder="1"/>
    <xf numFmtId="1" fontId="32" fillId="4" borderId="1861" xfId="25" applyNumberFormat="1" applyFont="1" applyFill="1" applyBorder="1"/>
    <xf numFmtId="1" fontId="32" fillId="3" borderId="0" xfId="0" applyNumberFormat="1" applyFont="1" applyFill="1" applyProtection="1">
      <protection locked="0"/>
    </xf>
    <xf numFmtId="1" fontId="32" fillId="4" borderId="1698" xfId="25" applyNumberFormat="1" applyFont="1" applyFill="1" applyBorder="1"/>
    <xf numFmtId="1" fontId="32" fillId="4" borderId="977" xfId="25" applyNumberFormat="1" applyFont="1" applyFill="1" applyBorder="1"/>
    <xf numFmtId="1" fontId="32" fillId="4" borderId="981" xfId="25" applyNumberFormat="1" applyFont="1" applyFill="1" applyBorder="1"/>
    <xf numFmtId="1" fontId="32" fillId="0" borderId="1165" xfId="0" applyNumberFormat="1" applyFont="1" applyBorder="1" applyAlignment="1">
      <alignment vertical="center"/>
    </xf>
    <xf numFmtId="1" fontId="32" fillId="0" borderId="1857" xfId="0" applyNumberFormat="1" applyFont="1" applyBorder="1" applyAlignment="1">
      <alignment horizontal="right"/>
    </xf>
    <xf numFmtId="1" fontId="32" fillId="0" borderId="1448" xfId="0" applyNumberFormat="1" applyFont="1" applyBorder="1" applyAlignment="1">
      <alignment horizontal="right"/>
    </xf>
    <xf numFmtId="1" fontId="32" fillId="5" borderId="820" xfId="0" applyNumberFormat="1" applyFont="1" applyFill="1" applyBorder="1" applyProtection="1">
      <protection locked="0"/>
    </xf>
    <xf numFmtId="1" fontId="32" fillId="5" borderId="1863" xfId="0" applyNumberFormat="1" applyFont="1" applyFill="1" applyBorder="1" applyProtection="1">
      <protection locked="0"/>
    </xf>
    <xf numFmtId="1" fontId="63" fillId="3" borderId="0" xfId="0" applyNumberFormat="1" applyFont="1" applyFill="1" applyAlignment="1">
      <alignment horizontal="center"/>
    </xf>
    <xf numFmtId="1" fontId="32" fillId="0" borderId="823" xfId="0" applyNumberFormat="1" applyFont="1" applyBorder="1" applyAlignment="1">
      <alignment horizontal="right" vertical="center"/>
    </xf>
    <xf numFmtId="1" fontId="32" fillId="5" borderId="827" xfId="0" applyNumberFormat="1" applyFont="1" applyFill="1" applyBorder="1" applyAlignment="1" applyProtection="1">
      <alignment horizontal="right"/>
      <protection locked="0"/>
    </xf>
    <xf numFmtId="1" fontId="32" fillId="5" borderId="824" xfId="0" applyNumberFormat="1" applyFont="1" applyFill="1" applyBorder="1" applyAlignment="1" applyProtection="1">
      <alignment horizontal="right"/>
      <protection locked="0"/>
    </xf>
    <xf numFmtId="1" fontId="32" fillId="0" borderId="2186" xfId="0" applyNumberFormat="1" applyFont="1" applyBorder="1" applyAlignment="1">
      <alignment horizontal="right" vertical="center"/>
    </xf>
    <xf numFmtId="1" fontId="32" fillId="0" borderId="2189" xfId="0" applyNumberFormat="1" applyFont="1" applyBorder="1" applyAlignment="1">
      <alignment horizontal="right"/>
    </xf>
    <xf numFmtId="1" fontId="32" fillId="0" borderId="2219" xfId="0" applyNumberFormat="1" applyFont="1" applyBorder="1" applyAlignment="1">
      <alignment horizontal="right"/>
    </xf>
    <xf numFmtId="1" fontId="62" fillId="3" borderId="811" xfId="0" applyNumberFormat="1" applyFont="1" applyFill="1" applyBorder="1"/>
    <xf numFmtId="1" fontId="32" fillId="4" borderId="1862" xfId="0" applyNumberFormat="1" applyFont="1" applyFill="1" applyBorder="1" applyAlignment="1">
      <alignment horizontal="right"/>
    </xf>
    <xf numFmtId="1" fontId="32" fillId="4" borderId="1445" xfId="0" applyNumberFormat="1" applyFont="1" applyFill="1" applyBorder="1" applyAlignment="1">
      <alignment horizontal="right"/>
    </xf>
    <xf numFmtId="1" fontId="32" fillId="5" borderId="790" xfId="0" applyNumberFormat="1" applyFont="1" applyFill="1" applyBorder="1" applyAlignment="1" applyProtection="1">
      <alignment horizontal="right"/>
      <protection locked="0"/>
    </xf>
    <xf numFmtId="1" fontId="32" fillId="3" borderId="933" xfId="0" applyNumberFormat="1" applyFont="1" applyFill="1" applyBorder="1" applyAlignment="1">
      <alignment vertical="center" wrapText="1"/>
    </xf>
    <xf numFmtId="1" fontId="32" fillId="3" borderId="1698" xfId="0" applyNumberFormat="1" applyFont="1" applyFill="1" applyBorder="1" applyAlignment="1">
      <alignment horizontal="right" wrapText="1"/>
    </xf>
    <xf numFmtId="1" fontId="32" fillId="5" borderId="291" xfId="0" applyNumberFormat="1" applyFont="1" applyFill="1" applyBorder="1" applyAlignment="1" applyProtection="1">
      <alignment horizontal="right"/>
      <protection locked="0"/>
    </xf>
    <xf numFmtId="1" fontId="32" fillId="3" borderId="1863" xfId="0" applyNumberFormat="1" applyFont="1" applyFill="1" applyBorder="1" applyAlignment="1">
      <alignment vertical="center" wrapText="1"/>
    </xf>
    <xf numFmtId="1" fontId="32" fillId="3" borderId="1868" xfId="0" applyNumberFormat="1" applyFont="1" applyFill="1" applyBorder="1" applyAlignment="1">
      <alignment horizontal="right" wrapText="1"/>
    </xf>
    <xf numFmtId="1" fontId="32" fillId="3" borderId="1636" xfId="0" applyNumberFormat="1" applyFont="1" applyFill="1" applyBorder="1" applyAlignment="1">
      <alignment horizontal="right" wrapText="1"/>
    </xf>
    <xf numFmtId="1" fontId="32" fillId="0" borderId="1861" xfId="0" applyNumberFormat="1" applyFont="1" applyBorder="1" applyAlignment="1">
      <alignment vertical="center" wrapText="1"/>
    </xf>
    <xf numFmtId="1" fontId="32" fillId="0" borderId="1636" xfId="0" applyNumberFormat="1" applyFont="1" applyBorder="1" applyAlignment="1">
      <alignment horizontal="right" vertical="center"/>
    </xf>
    <xf numFmtId="1" fontId="32" fillId="3" borderId="933" xfId="0" applyNumberFormat="1" applyFont="1" applyFill="1" applyBorder="1"/>
    <xf numFmtId="1" fontId="32" fillId="0" borderId="1863" xfId="0" applyNumberFormat="1" applyFont="1" applyBorder="1" applyAlignment="1">
      <alignment vertical="center" wrapText="1"/>
    </xf>
    <xf numFmtId="1" fontId="32" fillId="3" borderId="1868" xfId="0" applyNumberFormat="1" applyFont="1" applyFill="1" applyBorder="1" applyAlignment="1">
      <alignment horizontal="right" vertical="center"/>
    </xf>
    <xf numFmtId="1" fontId="32" fillId="3" borderId="2148" xfId="0" applyNumberFormat="1" applyFont="1" applyFill="1" applyBorder="1" applyAlignment="1">
      <alignment horizontal="center" vertical="center"/>
    </xf>
    <xf numFmtId="1" fontId="32" fillId="0" borderId="2192" xfId="0" applyNumberFormat="1" applyFont="1" applyBorder="1" applyAlignment="1">
      <alignment horizontal="center" vertical="center"/>
    </xf>
    <xf numFmtId="1" fontId="32" fillId="3" borderId="1861" xfId="0" applyNumberFormat="1" applyFont="1" applyFill="1" applyBorder="1" applyAlignment="1">
      <alignment vertical="center" wrapText="1"/>
    </xf>
    <xf numFmtId="1" fontId="32" fillId="3" borderId="1683" xfId="0" applyNumberFormat="1" applyFont="1" applyFill="1" applyBorder="1" applyAlignment="1">
      <alignment horizontal="right"/>
    </xf>
    <xf numFmtId="1" fontId="32" fillId="5" borderId="2221" xfId="0" applyNumberFormat="1" applyFont="1" applyFill="1" applyBorder="1" applyAlignment="1" applyProtection="1">
      <alignment horizontal="right"/>
      <protection locked="0"/>
    </xf>
    <xf numFmtId="1" fontId="32" fillId="5" borderId="2224" xfId="0" applyNumberFormat="1" applyFont="1" applyFill="1" applyBorder="1" applyAlignment="1" applyProtection="1">
      <alignment horizontal="right"/>
      <protection locked="0"/>
    </xf>
    <xf numFmtId="1" fontId="32" fillId="3" borderId="933" xfId="0" applyNumberFormat="1" applyFont="1" applyFill="1" applyBorder="1" applyAlignment="1">
      <alignment vertical="center"/>
    </xf>
    <xf numFmtId="1" fontId="32" fillId="3" borderId="1699" xfId="0" applyNumberFormat="1" applyFont="1" applyFill="1" applyBorder="1" applyAlignment="1">
      <alignment horizontal="right"/>
    </xf>
    <xf numFmtId="1" fontId="32" fillId="3" borderId="1698" xfId="0" applyNumberFormat="1" applyFont="1" applyFill="1" applyBorder="1" applyAlignment="1">
      <alignment horizontal="right"/>
    </xf>
    <xf numFmtId="1" fontId="32" fillId="4" borderId="933" xfId="0" applyNumberFormat="1" applyFont="1" applyFill="1" applyBorder="1" applyAlignment="1">
      <alignment horizontal="right"/>
    </xf>
    <xf numFmtId="1" fontId="32" fillId="4" borderId="830" xfId="0" applyNumberFormat="1" applyFont="1" applyFill="1" applyBorder="1" applyAlignment="1">
      <alignment horizontal="right"/>
    </xf>
    <xf numFmtId="1" fontId="32" fillId="5" borderId="842" xfId="0" applyNumberFormat="1" applyFont="1" applyFill="1" applyBorder="1" applyAlignment="1" applyProtection="1">
      <alignment horizontal="right"/>
      <protection locked="0"/>
    </xf>
    <xf numFmtId="1" fontId="32" fillId="5" borderId="830" xfId="0" applyNumberFormat="1" applyFont="1" applyFill="1" applyBorder="1" applyAlignment="1" applyProtection="1">
      <alignment horizontal="right"/>
      <protection locked="0"/>
    </xf>
    <xf numFmtId="1" fontId="32" fillId="3" borderId="1863" xfId="0" applyNumberFormat="1" applyFont="1" applyFill="1" applyBorder="1" applyAlignment="1">
      <alignment vertical="center"/>
    </xf>
    <xf numFmtId="1" fontId="32" fillId="5" borderId="1266" xfId="0" applyNumberFormat="1" applyFont="1" applyFill="1" applyBorder="1" applyAlignment="1" applyProtection="1">
      <alignment horizontal="right"/>
      <protection locked="0"/>
    </xf>
    <xf numFmtId="1" fontId="32" fillId="3" borderId="2112" xfId="0" applyNumberFormat="1" applyFont="1" applyFill="1" applyBorder="1" applyAlignment="1">
      <alignment vertical="center"/>
    </xf>
    <xf numFmtId="1" fontId="32" fillId="3" borderId="2122" xfId="0" applyNumberFormat="1" applyFont="1" applyFill="1" applyBorder="1" applyAlignment="1">
      <alignment horizontal="right"/>
    </xf>
    <xf numFmtId="1" fontId="32" fillId="3" borderId="2148" xfId="0" applyNumberFormat="1" applyFont="1" applyFill="1" applyBorder="1" applyAlignment="1">
      <alignment horizontal="right"/>
    </xf>
    <xf numFmtId="1" fontId="32" fillId="3" borderId="2143" xfId="0" applyNumberFormat="1" applyFont="1" applyFill="1" applyBorder="1" applyAlignment="1">
      <alignment horizontal="right"/>
    </xf>
    <xf numFmtId="1" fontId="32" fillId="3" borderId="2138" xfId="0" applyNumberFormat="1" applyFont="1" applyFill="1" applyBorder="1" applyAlignment="1">
      <alignment horizontal="right"/>
    </xf>
    <xf numFmtId="1" fontId="32" fillId="3" borderId="2159" xfId="0" applyNumberFormat="1" applyFont="1" applyFill="1" applyBorder="1" applyAlignment="1">
      <alignment horizontal="right"/>
    </xf>
    <xf numFmtId="1" fontId="32" fillId="3" borderId="1927" xfId="0" applyNumberFormat="1" applyFont="1" applyFill="1" applyBorder="1" applyAlignment="1">
      <alignment horizontal="right"/>
    </xf>
    <xf numFmtId="1" fontId="32" fillId="3" borderId="2112" xfId="0" applyNumberFormat="1" applyFont="1" applyFill="1" applyBorder="1" applyAlignment="1">
      <alignment horizontal="right"/>
    </xf>
    <xf numFmtId="1" fontId="32" fillId="3" borderId="2222" xfId="0" applyNumberFormat="1" applyFont="1" applyFill="1" applyBorder="1" applyAlignment="1">
      <alignment horizontal="right"/>
    </xf>
    <xf numFmtId="1" fontId="32" fillId="3" borderId="2220" xfId="0" applyNumberFormat="1" applyFont="1" applyFill="1" applyBorder="1" applyAlignment="1">
      <alignment horizontal="right"/>
    </xf>
    <xf numFmtId="1" fontId="63" fillId="3" borderId="0" xfId="0" applyNumberFormat="1" applyFont="1" applyFill="1" applyAlignment="1">
      <alignment horizontal="left"/>
    </xf>
    <xf numFmtId="1" fontId="32" fillId="3" borderId="0" xfId="0" applyNumberFormat="1" applyFont="1" applyFill="1" applyAlignment="1">
      <alignment horizontal="left"/>
    </xf>
    <xf numFmtId="1" fontId="32" fillId="0" borderId="1858" xfId="0" applyNumberFormat="1" applyFont="1" applyBorder="1"/>
    <xf numFmtId="1" fontId="32" fillId="0" borderId="1862" xfId="0" applyNumberFormat="1" applyFont="1" applyBorder="1"/>
    <xf numFmtId="1" fontId="32" fillId="0" borderId="1683" xfId="0" applyNumberFormat="1" applyFont="1" applyBorder="1" applyAlignment="1">
      <alignment vertical="center"/>
    </xf>
    <xf numFmtId="1" fontId="62" fillId="3" borderId="2150" xfId="0" applyNumberFormat="1" applyFont="1" applyFill="1" applyBorder="1"/>
    <xf numFmtId="1" fontId="32" fillId="3" borderId="2138" xfId="0" applyNumberFormat="1" applyFont="1" applyFill="1" applyBorder="1" applyAlignment="1">
      <alignment horizontal="center" vertical="center" wrapText="1"/>
    </xf>
    <xf numFmtId="1" fontId="32" fillId="3" borderId="1908" xfId="0" applyNumberFormat="1" applyFont="1" applyFill="1" applyBorder="1" applyAlignment="1">
      <alignment vertical="center" wrapText="1"/>
    </xf>
    <xf numFmtId="1" fontId="32" fillId="5" borderId="1835" xfId="0" applyNumberFormat="1" applyFont="1" applyFill="1" applyBorder="1" applyAlignment="1" applyProtection="1">
      <alignment horizontal="right"/>
      <protection locked="0"/>
    </xf>
    <xf numFmtId="1" fontId="32" fillId="3" borderId="1698" xfId="0" applyNumberFormat="1" applyFont="1" applyFill="1" applyBorder="1" applyAlignment="1">
      <alignment vertical="center" wrapText="1"/>
    </xf>
    <xf numFmtId="1" fontId="32" fillId="3" borderId="1636" xfId="0" applyNumberFormat="1" applyFont="1" applyFill="1" applyBorder="1" applyAlignment="1">
      <alignment vertical="center" wrapText="1"/>
    </xf>
    <xf numFmtId="1" fontId="32" fillId="5" borderId="1674" xfId="0" applyNumberFormat="1" applyFont="1" applyFill="1" applyBorder="1" applyAlignment="1" applyProtection="1">
      <alignment horizontal="right"/>
      <protection locked="0"/>
    </xf>
    <xf numFmtId="1" fontId="32" fillId="14" borderId="0" xfId="0" applyNumberFormat="1" applyFont="1" applyFill="1" applyAlignment="1" applyProtection="1">
      <alignment vertical="center"/>
      <protection locked="0"/>
    </xf>
    <xf numFmtId="1" fontId="32" fillId="3" borderId="1744" xfId="0" applyNumberFormat="1" applyFont="1" applyFill="1" applyBorder="1" applyAlignment="1">
      <alignment horizontal="right"/>
    </xf>
    <xf numFmtId="1" fontId="32" fillId="3" borderId="1854" xfId="0" applyNumberFormat="1" applyFont="1" applyFill="1" applyBorder="1" applyAlignment="1">
      <alignment horizontal="right"/>
    </xf>
    <xf numFmtId="1" fontId="32" fillId="14" borderId="0" xfId="0" applyNumberFormat="1" applyFont="1" applyFill="1" applyAlignment="1">
      <alignment horizontal="left" wrapText="1"/>
    </xf>
    <xf numFmtId="1" fontId="63" fillId="14" borderId="0" xfId="0" applyNumberFormat="1" applyFont="1" applyFill="1"/>
    <xf numFmtId="1" fontId="32" fillId="14" borderId="0" xfId="0" applyNumberFormat="1" applyFont="1" applyFill="1" applyAlignment="1">
      <alignment horizontal="left"/>
    </xf>
    <xf numFmtId="1" fontId="32" fillId="3" borderId="1927" xfId="0" applyNumberFormat="1" applyFont="1" applyFill="1" applyBorder="1" applyAlignment="1">
      <alignment horizontal="center" vertical="center"/>
    </xf>
    <xf numFmtId="1" fontId="32" fillId="0" borderId="1927" xfId="0" applyNumberFormat="1" applyFont="1" applyBorder="1" applyAlignment="1">
      <alignment horizontal="center" vertical="center"/>
    </xf>
    <xf numFmtId="1" fontId="32" fillId="3" borderId="1858" xfId="0" applyNumberFormat="1" applyFont="1" applyFill="1" applyBorder="1" applyAlignment="1">
      <alignment vertical="center" wrapText="1"/>
    </xf>
    <xf numFmtId="1" fontId="32" fillId="3" borderId="1858" xfId="0" applyNumberFormat="1" applyFont="1" applyFill="1" applyBorder="1" applyAlignment="1">
      <alignment horizontal="right" vertical="center" wrapText="1"/>
    </xf>
    <xf numFmtId="1" fontId="32" fillId="14" borderId="1658" xfId="0" applyNumberFormat="1" applyFont="1" applyFill="1" applyBorder="1" applyAlignment="1">
      <alignment horizontal="right"/>
    </xf>
    <xf numFmtId="1" fontId="32" fillId="14" borderId="1675" xfId="0" applyNumberFormat="1" applyFont="1" applyFill="1" applyBorder="1" applyAlignment="1">
      <alignment horizontal="right"/>
    </xf>
    <xf numFmtId="1" fontId="32" fillId="0" borderId="1664" xfId="0" applyNumberFormat="1" applyFont="1" applyBorder="1" applyAlignment="1">
      <alignment vertical="center" wrapText="1"/>
    </xf>
    <xf numFmtId="1" fontId="32" fillId="3" borderId="1671" xfId="0" applyNumberFormat="1" applyFont="1" applyFill="1" applyBorder="1" applyAlignment="1">
      <alignment horizontal="right" wrapText="1"/>
    </xf>
    <xf numFmtId="1" fontId="32" fillId="14" borderId="1698" xfId="0" applyNumberFormat="1" applyFont="1" applyFill="1" applyBorder="1" applyAlignment="1">
      <alignment horizontal="right"/>
    </xf>
    <xf numFmtId="1" fontId="32" fillId="14" borderId="981" xfId="0" applyNumberFormat="1" applyFont="1" applyFill="1" applyBorder="1" applyAlignment="1">
      <alignment horizontal="right"/>
    </xf>
    <xf numFmtId="1" fontId="32" fillId="14" borderId="1448" xfId="0" applyNumberFormat="1" applyFont="1" applyFill="1" applyBorder="1" applyAlignment="1">
      <alignment horizontal="right"/>
    </xf>
    <xf numFmtId="1" fontId="32" fillId="14" borderId="1726" xfId="0" applyNumberFormat="1" applyFont="1" applyFill="1" applyBorder="1" applyAlignment="1">
      <alignment horizontal="right"/>
    </xf>
    <xf numFmtId="1" fontId="32" fillId="14" borderId="1636" xfId="0" applyNumberFormat="1" applyFont="1" applyFill="1" applyBorder="1" applyAlignment="1">
      <alignment horizontal="right"/>
    </xf>
    <xf numFmtId="1" fontId="32" fillId="14" borderId="1687" xfId="0" applyNumberFormat="1" applyFont="1" applyFill="1" applyBorder="1" applyAlignment="1">
      <alignment horizontal="right"/>
    </xf>
    <xf numFmtId="1" fontId="32" fillId="3" borderId="2139" xfId="0" applyNumberFormat="1" applyFont="1" applyFill="1" applyBorder="1" applyAlignment="1">
      <alignment horizontal="center" vertical="center" wrapText="1"/>
    </xf>
    <xf numFmtId="1" fontId="32" fillId="3" borderId="1858" xfId="0" applyNumberFormat="1" applyFont="1" applyFill="1" applyBorder="1" applyAlignment="1">
      <alignment horizontal="left" vertical="center" wrapText="1"/>
    </xf>
    <xf numFmtId="1" fontId="32" fillId="5" borderId="2142" xfId="0" applyNumberFormat="1" applyFont="1" applyFill="1" applyBorder="1" applyAlignment="1" applyProtection="1">
      <alignment horizontal="right"/>
      <protection locked="0"/>
    </xf>
    <xf numFmtId="1" fontId="32" fillId="3" borderId="1699" xfId="0" applyNumberFormat="1" applyFont="1" applyFill="1" applyBorder="1" applyAlignment="1">
      <alignment horizontal="left" vertical="center" wrapText="1"/>
    </xf>
    <xf numFmtId="1" fontId="32" fillId="5" borderId="1857" xfId="0" applyNumberFormat="1" applyFont="1" applyFill="1" applyBorder="1" applyAlignment="1" applyProtection="1">
      <alignment horizontal="right"/>
      <protection locked="0"/>
    </xf>
    <xf numFmtId="1" fontId="32" fillId="3" borderId="1868" xfId="0" applyNumberFormat="1" applyFont="1" applyFill="1" applyBorder="1" applyAlignment="1">
      <alignment horizontal="left" vertical="center" wrapText="1"/>
    </xf>
    <xf numFmtId="1" fontId="32" fillId="5" borderId="1868" xfId="0" applyNumberFormat="1" applyFont="1" applyFill="1" applyBorder="1" applyAlignment="1" applyProtection="1">
      <alignment horizontal="right"/>
      <protection locked="0"/>
    </xf>
    <xf numFmtId="1" fontId="32" fillId="5" borderId="1670" xfId="0" applyNumberFormat="1" applyFont="1" applyFill="1" applyBorder="1" applyAlignment="1" applyProtection="1">
      <alignment horizontal="right"/>
      <protection locked="0"/>
    </xf>
    <xf numFmtId="1" fontId="32" fillId="3" borderId="2156" xfId="0" applyNumberFormat="1" applyFont="1" applyFill="1" applyBorder="1" applyAlignment="1">
      <alignment horizontal="left" vertical="center" wrapText="1"/>
    </xf>
    <xf numFmtId="1" fontId="32" fillId="3" borderId="2138" xfId="0" applyNumberFormat="1" applyFont="1" applyFill="1" applyBorder="1" applyAlignment="1">
      <alignment horizontal="center" vertical="center"/>
    </xf>
    <xf numFmtId="1" fontId="75" fillId="0" borderId="0" xfId="0" applyNumberFormat="1" applyFont="1" applyAlignment="1">
      <alignment horizontal="left"/>
    </xf>
    <xf numFmtId="1" fontId="75" fillId="3" borderId="0" xfId="0" applyNumberFormat="1" applyFont="1" applyFill="1" applyAlignment="1">
      <alignment horizontal="left"/>
    </xf>
    <xf numFmtId="1" fontId="76" fillId="3" borderId="0" xfId="0" applyNumberFormat="1" applyFont="1" applyFill="1" applyAlignment="1">
      <alignment horizontal="left" wrapText="1"/>
    </xf>
    <xf numFmtId="1" fontId="32" fillId="3" borderId="1870" xfId="0" applyNumberFormat="1" applyFont="1" applyFill="1" applyBorder="1" applyAlignment="1">
      <alignment vertical="center" wrapText="1"/>
    </xf>
    <xf numFmtId="1" fontId="32" fillId="3" borderId="1862" xfId="0" applyNumberFormat="1" applyFont="1" applyFill="1" applyBorder="1" applyAlignment="1">
      <alignment vertical="center" wrapText="1"/>
    </xf>
    <xf numFmtId="1" fontId="32" fillId="3" borderId="1868" xfId="0" applyNumberFormat="1" applyFont="1" applyFill="1" applyBorder="1" applyAlignment="1">
      <alignment vertical="center" wrapText="1"/>
    </xf>
    <xf numFmtId="1" fontId="32" fillId="3" borderId="1864" xfId="0" applyNumberFormat="1" applyFont="1" applyFill="1" applyBorder="1" applyAlignment="1">
      <alignment vertical="center" wrapText="1"/>
    </xf>
    <xf numFmtId="1" fontId="32" fillId="3" borderId="1671" xfId="0" applyNumberFormat="1" applyFont="1" applyFill="1" applyBorder="1" applyAlignment="1">
      <alignment horizontal="left" vertical="center" wrapText="1"/>
    </xf>
    <xf numFmtId="1" fontId="32" fillId="3" borderId="1671" xfId="0" applyNumberFormat="1" applyFont="1" applyFill="1" applyBorder="1" applyAlignment="1">
      <alignment vertical="center" wrapText="1"/>
    </xf>
    <xf numFmtId="1" fontId="32" fillId="3" borderId="1867" xfId="0" applyNumberFormat="1" applyFont="1" applyFill="1" applyBorder="1" applyAlignment="1">
      <alignment vertical="center" wrapText="1"/>
    </xf>
    <xf numFmtId="1" fontId="32" fillId="3" borderId="1445" xfId="0" applyNumberFormat="1" applyFont="1" applyFill="1" applyBorder="1" applyAlignment="1">
      <alignment vertical="center" wrapText="1"/>
    </xf>
    <xf numFmtId="1" fontId="6" fillId="5" borderId="2396" xfId="0" applyNumberFormat="1" applyFont="1" applyFill="1" applyBorder="1" applyProtection="1">
      <protection locked="0"/>
    </xf>
    <xf numFmtId="1" fontId="72" fillId="39" borderId="0" xfId="0" applyNumberFormat="1" applyFont="1" applyFill="1"/>
    <xf numFmtId="1" fontId="62" fillId="3" borderId="95" xfId="0" applyNumberFormat="1" applyFont="1" applyFill="1" applyBorder="1" applyAlignment="1">
      <alignment horizontal="left"/>
    </xf>
    <xf numFmtId="1" fontId="73" fillId="3" borderId="0" xfId="0" applyNumberFormat="1" applyFont="1" applyFill="1" applyAlignment="1">
      <alignment horizontal="left"/>
    </xf>
    <xf numFmtId="1" fontId="73" fillId="3" borderId="0" xfId="0" applyNumberFormat="1" applyFont="1" applyFill="1" applyAlignment="1">
      <alignment wrapText="1"/>
    </xf>
    <xf numFmtId="1" fontId="63" fillId="3" borderId="0" xfId="0" applyNumberFormat="1" applyFont="1" applyFill="1" applyAlignment="1">
      <alignment wrapText="1"/>
    </xf>
    <xf numFmtId="1" fontId="64" fillId="3" borderId="0" xfId="0" applyNumberFormat="1" applyFont="1" applyFill="1"/>
    <xf numFmtId="1" fontId="64" fillId="3" borderId="0" xfId="0" applyNumberFormat="1" applyFont="1" applyFill="1" applyAlignment="1">
      <alignment wrapText="1"/>
    </xf>
    <xf numFmtId="1" fontId="32" fillId="0" borderId="222" xfId="0" applyNumberFormat="1" applyFont="1" applyBorder="1" applyAlignment="1">
      <alignment horizontal="center" vertical="center" wrapText="1"/>
    </xf>
    <xf numFmtId="1" fontId="32" fillId="0" borderId="68" xfId="0" applyNumberFormat="1" applyFont="1" applyBorder="1" applyAlignment="1">
      <alignment horizontal="center" vertical="center" wrapText="1"/>
    </xf>
    <xf numFmtId="1" fontId="32" fillId="0" borderId="869" xfId="0" applyNumberFormat="1" applyFont="1" applyBorder="1" applyAlignment="1">
      <alignment horizontal="center" vertical="center" wrapText="1"/>
    </xf>
    <xf numFmtId="1" fontId="32" fillId="0" borderId="453" xfId="0" applyNumberFormat="1" applyFont="1" applyBorder="1" applyAlignment="1">
      <alignment vertical="center" wrapText="1"/>
    </xf>
    <xf numFmtId="1" fontId="32" fillId="0" borderId="450" xfId="0" applyNumberFormat="1" applyFont="1" applyBorder="1" applyAlignment="1">
      <alignment horizontal="right" wrapText="1"/>
    </xf>
    <xf numFmtId="1" fontId="32" fillId="0" borderId="452" xfId="0" applyNumberFormat="1" applyFont="1" applyBorder="1" applyAlignment="1">
      <alignment horizontal="right" wrapText="1"/>
    </xf>
    <xf numFmtId="1" fontId="32" fillId="0" borderId="451" xfId="0" applyNumberFormat="1" applyFont="1" applyBorder="1" applyAlignment="1">
      <alignment horizontal="right"/>
    </xf>
    <xf numFmtId="1" fontId="32" fillId="5" borderId="857" xfId="0" applyNumberFormat="1" applyFont="1" applyFill="1" applyBorder="1" applyProtection="1">
      <protection locked="0"/>
    </xf>
    <xf numFmtId="1" fontId="32" fillId="5" borderId="856" xfId="0" applyNumberFormat="1" applyFont="1" applyFill="1" applyBorder="1" applyProtection="1">
      <protection locked="0"/>
    </xf>
    <xf numFmtId="1" fontId="32" fillId="5" borderId="864" xfId="0" applyNumberFormat="1" applyFont="1" applyFill="1" applyBorder="1" applyProtection="1">
      <protection locked="0"/>
    </xf>
    <xf numFmtId="1" fontId="32" fillId="5" borderId="872" xfId="0" applyNumberFormat="1" applyFont="1" applyFill="1" applyBorder="1" applyProtection="1">
      <protection locked="0"/>
    </xf>
    <xf numFmtId="1" fontId="72" fillId="40" borderId="0" xfId="0" applyNumberFormat="1" applyFont="1" applyFill="1" applyAlignment="1">
      <alignment wrapText="1"/>
    </xf>
    <xf numFmtId="1" fontId="32" fillId="0" borderId="40" xfId="0" applyNumberFormat="1" applyFont="1" applyBorder="1" applyAlignment="1">
      <alignment vertical="center" wrapText="1"/>
    </xf>
    <xf numFmtId="1" fontId="32" fillId="0" borderId="38" xfId="0" applyNumberFormat="1" applyFont="1" applyBorder="1" applyAlignment="1">
      <alignment horizontal="right" wrapText="1"/>
    </xf>
    <xf numFmtId="1" fontId="32" fillId="0" borderId="62" xfId="0" applyNumberFormat="1" applyFont="1" applyBorder="1" applyAlignment="1">
      <alignment horizontal="right" wrapText="1"/>
    </xf>
    <xf numFmtId="1" fontId="32" fillId="0" borderId="50" xfId="0" applyNumberFormat="1" applyFont="1" applyBorder="1" applyAlignment="1">
      <alignment horizontal="right"/>
    </xf>
    <xf numFmtId="1" fontId="32" fillId="5" borderId="828" xfId="0" applyNumberFormat="1" applyFont="1" applyFill="1" applyBorder="1" applyProtection="1">
      <protection locked="0"/>
    </xf>
    <xf numFmtId="1" fontId="32" fillId="5" borderId="831" xfId="0" applyNumberFormat="1" applyFont="1" applyFill="1" applyBorder="1" applyProtection="1">
      <protection locked="0"/>
    </xf>
    <xf numFmtId="1" fontId="32" fillId="0" borderId="30" xfId="0" applyNumberFormat="1" applyFont="1" applyBorder="1" applyAlignment="1">
      <alignment horizontal="right" wrapText="1"/>
    </xf>
    <xf numFmtId="1" fontId="32" fillId="0" borderId="72" xfId="0" applyNumberFormat="1" applyFont="1" applyBorder="1" applyAlignment="1">
      <alignment horizontal="right" wrapText="1"/>
    </xf>
    <xf numFmtId="1" fontId="32" fillId="0" borderId="39" xfId="0" applyNumberFormat="1" applyFont="1" applyBorder="1" applyAlignment="1">
      <alignment horizontal="right"/>
    </xf>
    <xf numFmtId="1" fontId="32" fillId="5" borderId="687" xfId="0" applyNumberFormat="1" applyFont="1" applyFill="1" applyBorder="1" applyProtection="1">
      <protection locked="0"/>
    </xf>
    <xf numFmtId="1" fontId="32" fillId="5" borderId="536" xfId="0" applyNumberFormat="1" applyFont="1" applyFill="1" applyBorder="1" applyProtection="1">
      <protection locked="0"/>
    </xf>
    <xf numFmtId="1" fontId="32" fillId="5" borderId="697" xfId="0" applyNumberFormat="1" applyFont="1" applyFill="1" applyBorder="1" applyProtection="1">
      <protection locked="0"/>
    </xf>
    <xf numFmtId="1" fontId="32" fillId="0" borderId="45" xfId="0" applyNumberFormat="1" applyFont="1" applyBorder="1" applyAlignment="1">
      <alignment horizontal="right" wrapText="1"/>
    </xf>
    <xf numFmtId="1" fontId="32" fillId="0" borderId="447" xfId="0" applyNumberFormat="1" applyFont="1" applyBorder="1" applyAlignment="1">
      <alignment horizontal="center"/>
    </xf>
    <xf numFmtId="1" fontId="32" fillId="0" borderId="442" xfId="0" applyNumberFormat="1" applyFont="1" applyBorder="1" applyAlignment="1">
      <alignment horizontal="right"/>
    </xf>
    <xf numFmtId="1" fontId="32" fillId="0" borderId="869" xfId="0" applyNumberFormat="1" applyFont="1" applyBorder="1"/>
    <xf numFmtId="1" fontId="32" fillId="0" borderId="860" xfId="0" applyNumberFormat="1" applyFont="1" applyBorder="1"/>
    <xf numFmtId="1" fontId="32" fillId="0" borderId="863" xfId="0" applyNumberFormat="1" applyFont="1" applyBorder="1"/>
    <xf numFmtId="1" fontId="32" fillId="0" borderId="866" xfId="0" applyNumberFormat="1" applyFont="1" applyBorder="1"/>
    <xf numFmtId="1" fontId="32" fillId="0" borderId="871" xfId="0" applyNumberFormat="1" applyFont="1" applyBorder="1"/>
    <xf numFmtId="1" fontId="32" fillId="0" borderId="442" xfId="0" applyNumberFormat="1" applyFont="1" applyBorder="1"/>
    <xf numFmtId="1" fontId="72" fillId="17" borderId="0" xfId="0" applyNumberFormat="1" applyFont="1" applyFill="1" applyAlignment="1">
      <alignment wrapText="1"/>
    </xf>
    <xf numFmtId="1" fontId="32" fillId="0" borderId="445" xfId="0" applyNumberFormat="1" applyFont="1" applyBorder="1" applyAlignment="1">
      <alignment horizontal="right" wrapText="1"/>
    </xf>
    <xf numFmtId="1" fontId="32" fillId="0" borderId="446" xfId="0" applyNumberFormat="1" applyFont="1" applyBorder="1" applyAlignment="1">
      <alignment horizontal="right" wrapText="1"/>
    </xf>
    <xf numFmtId="1" fontId="32" fillId="5" borderId="869" xfId="0" applyNumberFormat="1" applyFont="1" applyFill="1" applyBorder="1" applyProtection="1">
      <protection locked="0"/>
    </xf>
    <xf numFmtId="1" fontId="32" fillId="5" borderId="860" xfId="0" applyNumberFormat="1" applyFont="1" applyFill="1" applyBorder="1" applyProtection="1">
      <protection locked="0"/>
    </xf>
    <xf numFmtId="1" fontId="32" fillId="5" borderId="863" xfId="0" applyNumberFormat="1" applyFont="1" applyFill="1" applyBorder="1" applyProtection="1">
      <protection locked="0"/>
    </xf>
    <xf numFmtId="1" fontId="32" fillId="5" borderId="866" xfId="0" applyNumberFormat="1" applyFont="1" applyFill="1" applyBorder="1" applyProtection="1">
      <protection locked="0"/>
    </xf>
    <xf numFmtId="1" fontId="32" fillId="5" borderId="871" xfId="0" applyNumberFormat="1" applyFont="1" applyFill="1" applyBorder="1" applyProtection="1">
      <protection locked="0"/>
    </xf>
    <xf numFmtId="1" fontId="32" fillId="5" borderId="442" xfId="0" applyNumberFormat="1" applyFont="1" applyFill="1" applyBorder="1" applyProtection="1">
      <protection locked="0"/>
    </xf>
    <xf numFmtId="1" fontId="32" fillId="0" borderId="242" xfId="0" applyNumberFormat="1" applyFont="1" applyBorder="1" applyAlignment="1">
      <alignment horizontal="left" vertical="center" wrapText="1"/>
    </xf>
    <xf numFmtId="1" fontId="32" fillId="0" borderId="222" xfId="0" applyNumberFormat="1" applyFont="1" applyBorder="1" applyAlignment="1">
      <alignment horizontal="right" wrapText="1"/>
    </xf>
    <xf numFmtId="1" fontId="32" fillId="0" borderId="454" xfId="0" applyNumberFormat="1" applyFont="1" applyBorder="1" applyAlignment="1">
      <alignment horizontal="right" wrapText="1"/>
    </xf>
    <xf numFmtId="1" fontId="32" fillId="0" borderId="241" xfId="0" applyNumberFormat="1" applyFont="1" applyBorder="1" applyAlignment="1">
      <alignment horizontal="right"/>
    </xf>
    <xf numFmtId="1" fontId="32" fillId="5" borderId="873" xfId="0" applyNumberFormat="1" applyFont="1" applyFill="1" applyBorder="1" applyProtection="1">
      <protection locked="0"/>
    </xf>
    <xf numFmtId="1" fontId="32" fillId="5" borderId="865" xfId="0" applyNumberFormat="1" applyFont="1" applyFill="1" applyBorder="1" applyProtection="1">
      <protection locked="0"/>
    </xf>
    <xf numFmtId="1" fontId="32" fillId="5" borderId="874" xfId="0" applyNumberFormat="1" applyFont="1" applyFill="1" applyBorder="1" applyProtection="1">
      <protection locked="0"/>
    </xf>
    <xf numFmtId="1" fontId="32" fillId="5" borderId="875" xfId="0" applyNumberFormat="1" applyFont="1" applyFill="1" applyBorder="1" applyProtection="1">
      <protection locked="0"/>
    </xf>
    <xf numFmtId="1" fontId="32" fillId="5" borderId="876" xfId="0" applyNumberFormat="1" applyFont="1" applyFill="1" applyBorder="1" applyProtection="1">
      <protection locked="0"/>
    </xf>
    <xf numFmtId="1" fontId="32" fillId="0" borderId="459" xfId="0" applyNumberFormat="1" applyFont="1" applyBorder="1" applyAlignment="1">
      <alignment horizontal="left" vertical="center" wrapText="1"/>
    </xf>
    <xf numFmtId="1" fontId="32" fillId="0" borderId="239" xfId="0" applyNumberFormat="1" applyFont="1" applyBorder="1" applyAlignment="1">
      <alignment horizontal="left" vertical="center" wrapText="1"/>
    </xf>
    <xf numFmtId="1" fontId="32" fillId="0" borderId="142" xfId="0" applyNumberFormat="1" applyFont="1" applyBorder="1" applyAlignment="1">
      <alignment horizontal="right" wrapText="1"/>
    </xf>
    <xf numFmtId="1" fontId="32" fillId="0" borderId="136" xfId="0" applyNumberFormat="1" applyFont="1" applyBorder="1" applyAlignment="1">
      <alignment horizontal="right" wrapText="1"/>
    </xf>
    <xf numFmtId="1" fontId="32" fillId="0" borderId="175" xfId="0" applyNumberFormat="1" applyFont="1" applyBorder="1" applyAlignment="1">
      <alignment horizontal="right"/>
    </xf>
    <xf numFmtId="1" fontId="32" fillId="5" borderId="822" xfId="0" applyNumberFormat="1" applyFont="1" applyFill="1" applyBorder="1" applyProtection="1">
      <protection locked="0"/>
    </xf>
    <xf numFmtId="1" fontId="32" fillId="5" borderId="877" xfId="0" applyNumberFormat="1" applyFont="1" applyFill="1" applyBorder="1" applyProtection="1">
      <protection locked="0"/>
    </xf>
    <xf numFmtId="1" fontId="32" fillId="5" borderId="689" xfId="0" applyNumberFormat="1" applyFont="1" applyFill="1" applyBorder="1" applyProtection="1">
      <protection locked="0"/>
    </xf>
    <xf numFmtId="1" fontId="64" fillId="3" borderId="0" xfId="0" applyNumberFormat="1" applyFont="1" applyFill="1" applyAlignment="1">
      <alignment horizontal="left"/>
    </xf>
    <xf numFmtId="1" fontId="72" fillId="39" borderId="0" xfId="0" applyNumberFormat="1" applyFont="1" applyFill="1" applyProtection="1">
      <protection locked="0"/>
    </xf>
    <xf numFmtId="1" fontId="32" fillId="0" borderId="703" xfId="0" applyNumberFormat="1" applyFont="1" applyBorder="1" applyAlignment="1">
      <alignment horizontal="center" vertical="center" wrapText="1"/>
    </xf>
    <xf numFmtId="1" fontId="32" fillId="0" borderId="704" xfId="0" applyNumberFormat="1" applyFont="1" applyBorder="1" applyAlignment="1">
      <alignment horizontal="center" vertical="center" wrapText="1"/>
    </xf>
    <xf numFmtId="1" fontId="32" fillId="0" borderId="705" xfId="0" applyNumberFormat="1" applyFont="1" applyBorder="1" applyAlignment="1">
      <alignment horizontal="center" vertical="center" wrapText="1"/>
    </xf>
    <xf numFmtId="1" fontId="32" fillId="0" borderId="708" xfId="0" applyNumberFormat="1" applyFont="1" applyBorder="1" applyAlignment="1">
      <alignment horizontal="center" vertical="center" wrapText="1"/>
    </xf>
    <xf numFmtId="1" fontId="72" fillId="14" borderId="407" xfId="0" applyNumberFormat="1" applyFont="1" applyFill="1" applyBorder="1"/>
    <xf numFmtId="1" fontId="32" fillId="0" borderId="719" xfId="0" applyNumberFormat="1" applyFont="1" applyBorder="1" applyAlignment="1">
      <alignment horizontal="left" vertical="center" wrapText="1"/>
    </xf>
    <xf numFmtId="1" fontId="32" fillId="0" borderId="855" xfId="0" applyNumberFormat="1" applyFont="1" applyBorder="1" applyAlignment="1">
      <alignment horizontal="right" vertical="center" wrapText="1"/>
    </xf>
    <xf numFmtId="1" fontId="32" fillId="5" borderId="855" xfId="0" applyNumberFormat="1" applyFont="1" applyFill="1" applyBorder="1" applyProtection="1">
      <protection locked="0"/>
    </xf>
    <xf numFmtId="1" fontId="32" fillId="0" borderId="858" xfId="0" applyNumberFormat="1" applyFont="1" applyBorder="1"/>
    <xf numFmtId="1" fontId="32" fillId="0" borderId="727" xfId="0" applyNumberFormat="1" applyFont="1" applyBorder="1"/>
    <xf numFmtId="1" fontId="32" fillId="0" borderId="723" xfId="0" applyNumberFormat="1" applyFont="1" applyBorder="1"/>
    <xf numFmtId="1" fontId="32" fillId="5" borderId="726" xfId="0" applyNumberFormat="1" applyFont="1" applyFill="1" applyBorder="1" applyProtection="1">
      <protection locked="0"/>
    </xf>
    <xf numFmtId="1" fontId="32" fillId="5" borderId="723" xfId="0" applyNumberFormat="1" applyFont="1" applyFill="1" applyBorder="1" applyProtection="1">
      <protection locked="0"/>
    </xf>
    <xf numFmtId="1" fontId="32" fillId="5" borderId="668" xfId="0" applyNumberFormat="1" applyFont="1" applyFill="1" applyBorder="1" applyProtection="1">
      <protection locked="0"/>
    </xf>
    <xf numFmtId="1" fontId="32" fillId="5" borderId="722" xfId="0" applyNumberFormat="1" applyFont="1" applyFill="1" applyBorder="1" applyProtection="1">
      <protection locked="0"/>
    </xf>
    <xf numFmtId="1" fontId="32" fillId="5" borderId="1539" xfId="0" applyNumberFormat="1" applyFont="1" applyFill="1" applyBorder="1" applyProtection="1">
      <protection locked="0"/>
    </xf>
    <xf numFmtId="1" fontId="32" fillId="14" borderId="701" xfId="0" applyNumberFormat="1" applyFont="1" applyFill="1" applyBorder="1" applyAlignment="1">
      <alignment horizontal="left" vertical="center" wrapText="1"/>
    </xf>
    <xf numFmtId="1" fontId="32" fillId="0" borderId="701" xfId="0" applyNumberFormat="1" applyFont="1" applyBorder="1" applyAlignment="1">
      <alignment horizontal="right" vertical="center" wrapText="1"/>
    </xf>
    <xf numFmtId="1" fontId="32" fillId="5" borderId="701" xfId="0" applyNumberFormat="1" applyFont="1" applyFill="1" applyBorder="1" applyProtection="1">
      <protection locked="0"/>
    </xf>
    <xf numFmtId="1" fontId="32" fillId="0" borderId="734" xfId="0" applyNumberFormat="1" applyFont="1" applyBorder="1"/>
    <xf numFmtId="1" fontId="32" fillId="5" borderId="692" xfId="0" applyNumberFormat="1" applyFont="1" applyFill="1" applyBorder="1" applyProtection="1">
      <protection locked="0"/>
    </xf>
    <xf numFmtId="1" fontId="32" fillId="5" borderId="1519" xfId="0" applyNumberFormat="1" applyFont="1" applyFill="1" applyBorder="1" applyProtection="1">
      <protection locked="0"/>
    </xf>
    <xf numFmtId="0" fontId="0" fillId="0" borderId="709" xfId="0" applyBorder="1" applyAlignment="1">
      <alignment horizontal="center"/>
    </xf>
    <xf numFmtId="1" fontId="0" fillId="0" borderId="861" xfId="0" applyNumberFormat="1" applyBorder="1"/>
    <xf numFmtId="1" fontId="0" fillId="0" borderId="860" xfId="0" applyNumberFormat="1" applyBorder="1"/>
    <xf numFmtId="1" fontId="0" fillId="0" borderId="862" xfId="0" applyNumberFormat="1" applyBorder="1"/>
    <xf numFmtId="1" fontId="0" fillId="0" borderId="710" xfId="0" applyNumberFormat="1" applyBorder="1"/>
    <xf numFmtId="1" fontId="32" fillId="14" borderId="703" xfId="0" applyNumberFormat="1" applyFont="1" applyFill="1" applyBorder="1"/>
    <xf numFmtId="1" fontId="32" fillId="14" borderId="710" xfId="0" applyNumberFormat="1" applyFont="1" applyFill="1" applyBorder="1"/>
    <xf numFmtId="1" fontId="32" fillId="14" borderId="705" xfId="0" applyNumberFormat="1" applyFont="1" applyFill="1" applyBorder="1"/>
    <xf numFmtId="1" fontId="32" fillId="14" borderId="1511" xfId="0" applyNumberFormat="1" applyFont="1" applyFill="1" applyBorder="1"/>
    <xf numFmtId="1" fontId="32" fillId="14" borderId="1543" xfId="0" applyNumberFormat="1" applyFont="1" applyFill="1" applyBorder="1"/>
    <xf numFmtId="1" fontId="72" fillId="14" borderId="702" xfId="0" applyNumberFormat="1" applyFont="1" applyFill="1" applyBorder="1"/>
    <xf numFmtId="1" fontId="32" fillId="14" borderId="108" xfId="0" applyNumberFormat="1" applyFont="1" applyFill="1" applyBorder="1"/>
    <xf numFmtId="1" fontId="32" fillId="0" borderId="721" xfId="0" applyNumberFormat="1" applyFont="1" applyBorder="1" applyAlignment="1">
      <alignment horizontal="center" vertical="center" wrapText="1"/>
    </xf>
    <xf numFmtId="1" fontId="32" fillId="0" borderId="813" xfId="0" applyNumberFormat="1" applyFont="1" applyBorder="1" applyAlignment="1">
      <alignment horizontal="center" vertical="center" wrapText="1"/>
    </xf>
    <xf numFmtId="9" fontId="32" fillId="0" borderId="750" xfId="31" applyFont="1" applyBorder="1" applyAlignment="1">
      <alignment horizontal="center" vertical="center" wrapText="1"/>
    </xf>
    <xf numFmtId="0" fontId="32" fillId="0" borderId="751" xfId="0" applyFont="1" applyBorder="1" applyAlignment="1">
      <alignment horizontal="center" vertical="center" wrapText="1"/>
    </xf>
    <xf numFmtId="0" fontId="32" fillId="0" borderId="813" xfId="0" applyFont="1" applyBorder="1" applyAlignment="1">
      <alignment horizontal="center" vertical="center" wrapText="1"/>
    </xf>
    <xf numFmtId="0" fontId="32" fillId="0" borderId="750" xfId="0" applyFont="1" applyBorder="1" applyAlignment="1">
      <alignment horizontal="center" vertical="center" wrapText="1"/>
    </xf>
    <xf numFmtId="1" fontId="32" fillId="0" borderId="855" xfId="0" applyNumberFormat="1" applyFont="1" applyBorder="1" applyAlignment="1">
      <alignment horizontal="left" vertical="center" wrapText="1"/>
    </xf>
    <xf numFmtId="1" fontId="32" fillId="0" borderId="857" xfId="0" applyNumberFormat="1" applyFont="1" applyBorder="1"/>
    <xf numFmtId="1" fontId="32" fillId="5" borderId="858" xfId="0" applyNumberFormat="1" applyFont="1" applyFill="1" applyBorder="1" applyProtection="1">
      <protection locked="0"/>
    </xf>
    <xf numFmtId="1" fontId="32" fillId="5" borderId="859" xfId="0" applyNumberFormat="1" applyFont="1" applyFill="1" applyBorder="1" applyProtection="1">
      <protection locked="0"/>
    </xf>
    <xf numFmtId="1" fontId="32" fillId="0" borderId="721" xfId="0" applyNumberFormat="1" applyFont="1" applyBorder="1" applyAlignment="1">
      <alignment horizontal="left" vertical="center" wrapText="1"/>
    </xf>
    <xf numFmtId="1" fontId="32" fillId="0" borderId="721" xfId="0" applyNumberFormat="1" applyFont="1" applyBorder="1" applyAlignment="1">
      <alignment horizontal="right" vertical="center" wrapText="1"/>
    </xf>
    <xf numFmtId="1" fontId="32" fillId="0" borderId="718" xfId="0" applyNumberFormat="1" applyFont="1" applyBorder="1"/>
    <xf numFmtId="1" fontId="32" fillId="5" borderId="771" xfId="0" applyNumberFormat="1" applyFont="1" applyFill="1" applyBorder="1" applyProtection="1">
      <protection locked="0"/>
    </xf>
    <xf numFmtId="1" fontId="32" fillId="5" borderId="718" xfId="0" applyNumberFormat="1" applyFont="1" applyFill="1" applyBorder="1" applyProtection="1">
      <protection locked="0"/>
    </xf>
    <xf numFmtId="1" fontId="32" fillId="5" borderId="383" xfId="0" applyNumberFormat="1" applyFont="1" applyFill="1" applyBorder="1" applyProtection="1">
      <protection locked="0"/>
    </xf>
    <xf numFmtId="1" fontId="32" fillId="5" borderId="513" xfId="0" applyNumberFormat="1" applyFont="1" applyFill="1" applyBorder="1" applyProtection="1">
      <protection locked="0"/>
    </xf>
    <xf numFmtId="0" fontId="0" fillId="0" borderId="728" xfId="0" applyBorder="1" applyAlignment="1">
      <alignment horizontal="center"/>
    </xf>
    <xf numFmtId="1" fontId="0" fillId="0" borderId="728" xfId="0" applyNumberFormat="1" applyBorder="1"/>
    <xf numFmtId="1" fontId="32" fillId="14" borderId="751" xfId="0" applyNumberFormat="1" applyFont="1" applyFill="1" applyBorder="1"/>
    <xf numFmtId="1" fontId="32" fillId="14" borderId="728" xfId="0" applyNumberFormat="1" applyFont="1" applyFill="1" applyBorder="1"/>
    <xf numFmtId="1" fontId="0" fillId="14" borderId="751" xfId="0" applyNumberFormat="1" applyFill="1" applyBorder="1"/>
    <xf numFmtId="1" fontId="32" fillId="14" borderId="805" xfId="0" applyNumberFormat="1" applyFont="1" applyFill="1" applyBorder="1"/>
    <xf numFmtId="1" fontId="32" fillId="14" borderId="813" xfId="0" applyNumberFormat="1" applyFont="1" applyFill="1" applyBorder="1"/>
    <xf numFmtId="1" fontId="32" fillId="14" borderId="863" xfId="0" applyNumberFormat="1" applyFont="1" applyFill="1" applyBorder="1"/>
    <xf numFmtId="1" fontId="64" fillId="3" borderId="0" xfId="0" applyNumberFormat="1" applyFont="1" applyFill="1" applyAlignment="1">
      <alignment horizontal="left" wrapText="1"/>
    </xf>
    <xf numFmtId="1" fontId="80" fillId="3" borderId="0" xfId="0" applyNumberFormat="1" applyFont="1" applyFill="1" applyAlignment="1">
      <alignment horizontal="left" wrapText="1"/>
    </xf>
    <xf numFmtId="1" fontId="63" fillId="3" borderId="0" xfId="0" applyNumberFormat="1" applyFont="1" applyFill="1" applyAlignment="1">
      <alignment horizontal="left" wrapText="1"/>
    </xf>
    <xf numFmtId="1" fontId="32" fillId="3" borderId="407" xfId="0" applyNumberFormat="1" applyFont="1" applyFill="1" applyBorder="1"/>
    <xf numFmtId="1" fontId="32" fillId="0" borderId="407" xfId="0" applyNumberFormat="1" applyFont="1" applyBorder="1"/>
    <xf numFmtId="1" fontId="76" fillId="3" borderId="0" xfId="0" applyNumberFormat="1" applyFont="1" applyFill="1" applyProtection="1">
      <protection locked="0"/>
    </xf>
    <xf numFmtId="1" fontId="32" fillId="5" borderId="224" xfId="0" applyNumberFormat="1" applyFont="1" applyFill="1" applyBorder="1" applyProtection="1">
      <protection locked="0"/>
    </xf>
    <xf numFmtId="1" fontId="32" fillId="0" borderId="23" xfId="0" applyNumberFormat="1" applyFont="1" applyBorder="1" applyAlignment="1">
      <alignment horizontal="left" vertical="center" wrapText="1"/>
    </xf>
    <xf numFmtId="1" fontId="76" fillId="3" borderId="423" xfId="0" applyNumberFormat="1" applyFont="1" applyFill="1" applyBorder="1" applyProtection="1">
      <protection locked="0"/>
    </xf>
    <xf numFmtId="1" fontId="64" fillId="3" borderId="456" xfId="0" applyNumberFormat="1" applyFont="1" applyFill="1" applyBorder="1" applyAlignment="1" applyProtection="1">
      <alignment horizontal="left"/>
      <protection hidden="1"/>
    </xf>
    <xf numFmtId="1" fontId="64" fillId="3" borderId="175" xfId="0" applyNumberFormat="1" applyFont="1" applyFill="1" applyBorder="1" applyAlignment="1" applyProtection="1">
      <alignment horizontal="left"/>
      <protection hidden="1"/>
    </xf>
    <xf numFmtId="1" fontId="63" fillId="3" borderId="175" xfId="0" applyNumberFormat="1" applyFont="1" applyFill="1" applyBorder="1" applyAlignment="1">
      <alignment horizontal="left" wrapText="1"/>
    </xf>
    <xf numFmtId="1" fontId="63" fillId="3" borderId="175" xfId="0" applyNumberFormat="1" applyFont="1" applyFill="1" applyBorder="1" applyAlignment="1" applyProtection="1">
      <alignment horizontal="left" wrapText="1"/>
      <protection hidden="1"/>
    </xf>
    <xf numFmtId="1" fontId="63" fillId="3" borderId="175" xfId="0" applyNumberFormat="1" applyFont="1" applyFill="1" applyBorder="1" applyProtection="1">
      <protection hidden="1"/>
    </xf>
    <xf numFmtId="1" fontId="32" fillId="3" borderId="175" xfId="0" applyNumberFormat="1" applyFont="1" applyFill="1" applyBorder="1" applyProtection="1">
      <protection hidden="1"/>
    </xf>
    <xf numFmtId="1" fontId="63" fillId="3" borderId="175" xfId="0" applyNumberFormat="1" applyFont="1" applyFill="1" applyBorder="1" applyAlignment="1" applyProtection="1">
      <alignment wrapText="1"/>
      <protection hidden="1"/>
    </xf>
    <xf numFmtId="1" fontId="32" fillId="3" borderId="0" xfId="0" applyNumberFormat="1" applyFont="1" applyFill="1" applyProtection="1">
      <protection hidden="1"/>
    </xf>
    <xf numFmtId="1" fontId="32" fillId="14" borderId="0" xfId="0" applyNumberFormat="1" applyFont="1" applyFill="1" applyProtection="1">
      <protection hidden="1"/>
    </xf>
    <xf numFmtId="1" fontId="32" fillId="0" borderId="222" xfId="0" applyNumberFormat="1" applyFont="1" applyBorder="1" applyAlignment="1" applyProtection="1">
      <alignment horizontal="center" vertical="center"/>
      <protection hidden="1"/>
    </xf>
    <xf numFmtId="1" fontId="32" fillId="0" borderId="454" xfId="0" applyNumberFormat="1" applyFont="1" applyBorder="1" applyAlignment="1" applyProtection="1">
      <alignment horizontal="center" vertical="center"/>
      <protection hidden="1"/>
    </xf>
    <xf numFmtId="1" fontId="32" fillId="0" borderId="177" xfId="0" applyNumberFormat="1" applyFont="1" applyBorder="1" applyAlignment="1" applyProtection="1">
      <alignment horizontal="center" vertical="center" wrapText="1"/>
      <protection hidden="1"/>
    </xf>
    <xf numFmtId="1" fontId="32" fillId="0" borderId="960" xfId="0" applyNumberFormat="1" applyFont="1" applyBorder="1" applyAlignment="1">
      <alignment horizontal="center" vertical="center" wrapText="1"/>
    </xf>
    <xf numFmtId="1" fontId="32" fillId="0" borderId="968" xfId="0" applyNumberFormat="1" applyFont="1" applyBorder="1" applyAlignment="1">
      <alignment horizontal="center" vertical="center" wrapText="1"/>
    </xf>
    <xf numFmtId="1" fontId="32" fillId="0" borderId="224" xfId="0" applyNumberFormat="1" applyFont="1" applyBorder="1" applyAlignment="1" applyProtection="1">
      <alignment horizontal="left" vertical="center" wrapText="1"/>
      <protection hidden="1"/>
    </xf>
    <xf numFmtId="1" fontId="32" fillId="5" borderId="960" xfId="0" applyNumberFormat="1" applyFont="1" applyFill="1" applyBorder="1" applyProtection="1">
      <protection locked="0"/>
    </xf>
    <xf numFmtId="1" fontId="32" fillId="5" borderId="969" xfId="0" applyNumberFormat="1" applyFont="1" applyFill="1" applyBorder="1" applyProtection="1">
      <protection locked="0"/>
    </xf>
    <xf numFmtId="1" fontId="32" fillId="5" borderId="966" xfId="0" applyNumberFormat="1" applyFont="1" applyFill="1" applyBorder="1" applyProtection="1">
      <protection locked="0"/>
    </xf>
    <xf numFmtId="1" fontId="32" fillId="5" borderId="958" xfId="0" applyNumberFormat="1" applyFont="1" applyFill="1" applyBorder="1" applyProtection="1">
      <protection locked="0"/>
    </xf>
    <xf numFmtId="1" fontId="32" fillId="5" borderId="970" xfId="0" applyNumberFormat="1" applyFont="1" applyFill="1" applyBorder="1" applyProtection="1">
      <protection locked="0"/>
    </xf>
    <xf numFmtId="1" fontId="32" fillId="5" borderId="442" xfId="0" applyNumberFormat="1" applyFont="1" applyFill="1" applyBorder="1" applyAlignment="1" applyProtection="1">
      <alignment wrapText="1"/>
      <protection locked="0"/>
    </xf>
    <xf numFmtId="1" fontId="32" fillId="0" borderId="447" xfId="0" applyNumberFormat="1" applyFont="1" applyBorder="1" applyAlignment="1" applyProtection="1">
      <alignment horizontal="center" vertical="center" wrapText="1"/>
      <protection hidden="1"/>
    </xf>
    <xf numFmtId="1" fontId="32" fillId="0" borderId="447" xfId="0" applyNumberFormat="1" applyFont="1" applyBorder="1" applyAlignment="1" applyProtection="1">
      <alignment horizontal="left" vertical="center" wrapText="1"/>
      <protection hidden="1"/>
    </xf>
    <xf numFmtId="1" fontId="32" fillId="0" borderId="177" xfId="0" applyNumberFormat="1" applyFont="1" applyBorder="1" applyAlignment="1">
      <alignment horizontal="right"/>
    </xf>
    <xf numFmtId="1" fontId="32" fillId="5" borderId="908" xfId="0" applyNumberFormat="1" applyFont="1" applyFill="1" applyBorder="1" applyProtection="1">
      <protection locked="0"/>
    </xf>
    <xf numFmtId="1" fontId="32" fillId="5" borderId="910" xfId="0" applyNumberFormat="1" applyFont="1" applyFill="1" applyBorder="1" applyProtection="1">
      <protection locked="0"/>
    </xf>
    <xf numFmtId="1" fontId="32" fillId="5" borderId="740" xfId="0" applyNumberFormat="1" applyFont="1" applyFill="1" applyBorder="1" applyProtection="1">
      <protection locked="0"/>
    </xf>
    <xf numFmtId="1" fontId="32" fillId="5" borderId="950" xfId="0" applyNumberFormat="1" applyFont="1" applyFill="1" applyBorder="1" applyProtection="1">
      <protection locked="0"/>
    </xf>
    <xf numFmtId="1" fontId="32" fillId="5" borderId="177" xfId="0" applyNumberFormat="1" applyFont="1" applyFill="1" applyBorder="1" applyAlignment="1" applyProtection="1">
      <alignment wrapText="1"/>
      <protection locked="0"/>
    </xf>
    <xf numFmtId="1" fontId="63" fillId="3" borderId="0" xfId="0" applyNumberFormat="1" applyFont="1" applyFill="1" applyProtection="1">
      <protection hidden="1"/>
    </xf>
    <xf numFmtId="1" fontId="63" fillId="3" borderId="0" xfId="0" applyNumberFormat="1" applyFont="1" applyFill="1" applyAlignment="1" applyProtection="1">
      <alignment wrapText="1"/>
      <protection hidden="1"/>
    </xf>
    <xf numFmtId="1" fontId="32" fillId="0" borderId="445" xfId="0" applyNumberFormat="1" applyFont="1" applyBorder="1" applyAlignment="1" applyProtection="1">
      <alignment horizontal="center" vertical="center"/>
      <protection hidden="1"/>
    </xf>
    <xf numFmtId="1" fontId="32" fillId="0" borderId="446" xfId="0" applyNumberFormat="1" applyFont="1" applyBorder="1" applyAlignment="1" applyProtection="1">
      <alignment horizontal="center" vertical="center"/>
      <protection hidden="1"/>
    </xf>
    <xf numFmtId="1" fontId="32" fillId="0" borderId="68" xfId="0" applyNumberFormat="1" applyFont="1" applyBorder="1" applyAlignment="1" applyProtection="1">
      <alignment horizontal="center" vertical="center" wrapText="1"/>
      <protection hidden="1"/>
    </xf>
    <xf numFmtId="1" fontId="32" fillId="0" borderId="361" xfId="0" applyNumberFormat="1" applyFont="1" applyBorder="1" applyAlignment="1">
      <alignment horizontal="center" vertical="center" wrapText="1"/>
    </xf>
    <xf numFmtId="1" fontId="32" fillId="0" borderId="453" xfId="0" applyNumberFormat="1" applyFont="1" applyBorder="1" applyAlignment="1" applyProtection="1">
      <alignment horizontal="left" vertical="center" wrapText="1"/>
      <protection hidden="1"/>
    </xf>
    <xf numFmtId="1" fontId="32" fillId="5" borderId="914" xfId="0" applyNumberFormat="1" applyFont="1" applyFill="1" applyBorder="1" applyProtection="1">
      <protection locked="0"/>
    </xf>
    <xf numFmtId="1" fontId="32" fillId="5" borderId="451" xfId="0" applyNumberFormat="1" applyFont="1" applyFill="1" applyBorder="1" applyAlignment="1" applyProtection="1">
      <alignment wrapText="1"/>
      <protection locked="0"/>
    </xf>
    <xf numFmtId="1" fontId="32" fillId="0" borderId="37" xfId="0" applyNumberFormat="1" applyFont="1" applyBorder="1" applyAlignment="1" applyProtection="1">
      <alignment horizontal="left" vertical="center" wrapText="1"/>
      <protection hidden="1"/>
    </xf>
    <xf numFmtId="1" fontId="32" fillId="4" borderId="965" xfId="0" applyNumberFormat="1" applyFont="1" applyFill="1" applyBorder="1"/>
    <xf numFmtId="1" fontId="32" fillId="4" borderId="934" xfId="0" applyNumberFormat="1" applyFont="1" applyFill="1" applyBorder="1"/>
    <xf numFmtId="1" fontId="32" fillId="5" borderId="50" xfId="0" applyNumberFormat="1" applyFont="1" applyFill="1" applyBorder="1" applyAlignment="1" applyProtection="1">
      <alignment wrapText="1"/>
      <protection locked="0"/>
    </xf>
    <xf numFmtId="1" fontId="32" fillId="0" borderId="24" xfId="0" applyNumberFormat="1" applyFont="1" applyBorder="1" applyAlignment="1" applyProtection="1">
      <alignment horizontal="left" vertical="center" wrapText="1"/>
      <protection hidden="1"/>
    </xf>
    <xf numFmtId="1" fontId="32" fillId="0" borderId="20" xfId="0" applyNumberFormat="1" applyFont="1" applyBorder="1" applyAlignment="1">
      <alignment horizontal="right" wrapText="1"/>
    </xf>
    <xf numFmtId="1" fontId="32" fillId="0" borderId="21" xfId="0" applyNumberFormat="1" applyFont="1" applyBorder="1" applyAlignment="1">
      <alignment horizontal="right"/>
    </xf>
    <xf numFmtId="1" fontId="32" fillId="5" borderId="21" xfId="0" applyNumberFormat="1" applyFont="1" applyFill="1" applyBorder="1" applyAlignment="1" applyProtection="1">
      <alignment wrapText="1"/>
      <protection locked="0"/>
    </xf>
    <xf numFmtId="1" fontId="32" fillId="4" borderId="914" xfId="0" applyNumberFormat="1" applyFont="1" applyFill="1" applyBorder="1"/>
    <xf numFmtId="1" fontId="32" fillId="4" borderId="832" xfId="0" applyNumberFormat="1" applyFont="1" applyFill="1" applyBorder="1"/>
    <xf numFmtId="1" fontId="32" fillId="4" borderId="839" xfId="0" applyNumberFormat="1" applyFont="1" applyFill="1" applyBorder="1"/>
    <xf numFmtId="1" fontId="32" fillId="4" borderId="939" xfId="0" applyNumberFormat="1" applyFont="1" applyFill="1" applyBorder="1"/>
    <xf numFmtId="1" fontId="32" fillId="4" borderId="936" xfId="0" applyNumberFormat="1" applyFont="1" applyFill="1" applyBorder="1"/>
    <xf numFmtId="1" fontId="32" fillId="4" borderId="945" xfId="0" applyNumberFormat="1" applyFont="1" applyFill="1" applyBorder="1"/>
    <xf numFmtId="1" fontId="32" fillId="4" borderId="917" xfId="0" applyNumberFormat="1" applyFont="1" applyFill="1" applyBorder="1"/>
    <xf numFmtId="1" fontId="32" fillId="4" borderId="972" xfId="0" applyNumberFormat="1" applyFont="1" applyFill="1" applyBorder="1"/>
    <xf numFmtId="1" fontId="32" fillId="4" borderId="973" xfId="0" applyNumberFormat="1" applyFont="1" applyFill="1" applyBorder="1"/>
    <xf numFmtId="1" fontId="62" fillId="3" borderId="456" xfId="0" applyNumberFormat="1" applyFont="1" applyFill="1" applyBorder="1" applyAlignment="1" applyProtection="1">
      <alignment horizontal="left"/>
      <protection hidden="1"/>
    </xf>
    <xf numFmtId="1" fontId="64" fillId="3" borderId="456" xfId="0" applyNumberFormat="1" applyFont="1" applyFill="1" applyBorder="1" applyAlignment="1" applyProtection="1">
      <alignment horizontal="left" wrapText="1"/>
      <protection hidden="1"/>
    </xf>
    <xf numFmtId="1" fontId="64" fillId="3" borderId="175" xfId="0" applyNumberFormat="1" applyFont="1" applyFill="1" applyBorder="1" applyAlignment="1" applyProtection="1">
      <alignment horizontal="left" wrapText="1"/>
      <protection hidden="1"/>
    </xf>
    <xf numFmtId="1" fontId="64" fillId="3" borderId="0" xfId="0" applyNumberFormat="1" applyFont="1" applyFill="1" applyAlignment="1" applyProtection="1">
      <alignment wrapText="1"/>
      <protection hidden="1"/>
    </xf>
    <xf numFmtId="1" fontId="73" fillId="3" borderId="0" xfId="0" applyNumberFormat="1" applyFont="1" applyFill="1" applyProtection="1">
      <protection hidden="1"/>
    </xf>
    <xf numFmtId="1" fontId="63" fillId="3" borderId="407" xfId="0" applyNumberFormat="1" applyFont="1" applyFill="1" applyBorder="1" applyAlignment="1" applyProtection="1">
      <alignment wrapText="1"/>
      <protection hidden="1"/>
    </xf>
    <xf numFmtId="1" fontId="32" fillId="0" borderId="407" xfId="0" applyNumberFormat="1" applyFont="1" applyBorder="1" applyProtection="1">
      <protection hidden="1"/>
    </xf>
    <xf numFmtId="1" fontId="32" fillId="0" borderId="445" xfId="0" applyNumberFormat="1" applyFont="1" applyBorder="1" applyAlignment="1" applyProtection="1">
      <alignment horizontal="center" vertical="center" wrapText="1"/>
      <protection hidden="1"/>
    </xf>
    <xf numFmtId="1" fontId="32" fillId="0" borderId="443" xfId="0" applyNumberFormat="1" applyFont="1" applyBorder="1" applyAlignment="1" applyProtection="1">
      <alignment horizontal="center" vertical="center" wrapText="1"/>
      <protection hidden="1"/>
    </xf>
    <xf numFmtId="1" fontId="32" fillId="0" borderId="464" xfId="0" applyNumberFormat="1" applyFont="1" applyBorder="1" applyAlignment="1" applyProtection="1">
      <alignment horizontal="center" vertical="center" wrapText="1"/>
      <protection hidden="1"/>
    </xf>
    <xf numFmtId="1" fontId="32" fillId="0" borderId="457" xfId="0" applyNumberFormat="1" applyFont="1" applyBorder="1" applyAlignment="1" applyProtection="1">
      <alignment horizontal="center" vertical="center" wrapText="1"/>
      <protection hidden="1"/>
    </xf>
    <xf numFmtId="1" fontId="32" fillId="0" borderId="459" xfId="0" applyNumberFormat="1" applyFont="1" applyBorder="1" applyAlignment="1" applyProtection="1">
      <alignment vertical="center" wrapText="1"/>
      <protection hidden="1"/>
    </xf>
    <xf numFmtId="1" fontId="32" fillId="5" borderId="450" xfId="0" applyNumberFormat="1" applyFont="1" applyFill="1" applyBorder="1" applyAlignment="1" applyProtection="1">
      <alignment wrapText="1"/>
      <protection locked="0"/>
    </xf>
    <xf numFmtId="1" fontId="32" fillId="5" borderId="449" xfId="0" applyNumberFormat="1" applyFont="1" applyFill="1" applyBorder="1" applyAlignment="1" applyProtection="1">
      <alignment wrapText="1"/>
      <protection locked="0"/>
    </xf>
    <xf numFmtId="1" fontId="32" fillId="5" borderId="471" xfId="0" applyNumberFormat="1" applyFont="1" applyFill="1" applyBorder="1" applyAlignment="1" applyProtection="1">
      <alignment wrapText="1"/>
      <protection locked="0"/>
    </xf>
    <xf numFmtId="1" fontId="32" fillId="5" borderId="470" xfId="0" applyNumberFormat="1" applyFont="1" applyFill="1" applyBorder="1" applyAlignment="1" applyProtection="1">
      <alignment wrapText="1"/>
      <protection locked="0"/>
    </xf>
    <xf numFmtId="1" fontId="32" fillId="0" borderId="37" xfId="0" applyNumberFormat="1" applyFont="1" applyBorder="1" applyAlignment="1" applyProtection="1">
      <alignment vertical="center" wrapText="1"/>
      <protection hidden="1"/>
    </xf>
    <xf numFmtId="1" fontId="32" fillId="5" borderId="38" xfId="0" applyNumberFormat="1" applyFont="1" applyFill="1" applyBorder="1" applyAlignment="1" applyProtection="1">
      <alignment wrapText="1"/>
      <protection locked="0"/>
    </xf>
    <xf numFmtId="1" fontId="32" fillId="5" borderId="36" xfId="0" applyNumberFormat="1" applyFont="1" applyFill="1" applyBorder="1" applyAlignment="1" applyProtection="1">
      <alignment wrapText="1"/>
      <protection locked="0"/>
    </xf>
    <xf numFmtId="1" fontId="32" fillId="5" borderId="93" xfId="0" applyNumberFormat="1" applyFont="1" applyFill="1" applyBorder="1" applyAlignment="1" applyProtection="1">
      <alignment wrapText="1"/>
      <protection locked="0"/>
    </xf>
    <xf numFmtId="1" fontId="32" fillId="5" borderId="54" xfId="0" applyNumberFormat="1" applyFont="1" applyFill="1" applyBorder="1" applyAlignment="1" applyProtection="1">
      <alignment wrapText="1"/>
      <protection locked="0"/>
    </xf>
    <xf numFmtId="1" fontId="32" fillId="4" borderId="22" xfId="0" applyNumberFormat="1" applyFont="1" applyFill="1" applyBorder="1"/>
    <xf numFmtId="1" fontId="32" fillId="4" borderId="94" xfId="0" applyNumberFormat="1" applyFont="1" applyFill="1" applyBorder="1"/>
    <xf numFmtId="1" fontId="75" fillId="3" borderId="175" xfId="0" applyNumberFormat="1" applyFont="1" applyFill="1" applyBorder="1" applyAlignment="1" applyProtection="1">
      <alignment horizontal="left"/>
      <protection hidden="1"/>
    </xf>
    <xf numFmtId="1" fontId="75" fillId="3" borderId="0" xfId="0" applyNumberFormat="1" applyFont="1" applyFill="1" applyAlignment="1" applyProtection="1">
      <alignment wrapText="1"/>
      <protection hidden="1"/>
    </xf>
    <xf numFmtId="1" fontId="32" fillId="3" borderId="466" xfId="0" applyNumberFormat="1" applyFont="1" applyFill="1" applyBorder="1" applyProtection="1">
      <protection hidden="1"/>
    </xf>
    <xf numFmtId="1" fontId="32" fillId="3" borderId="407" xfId="0" applyNumberFormat="1" applyFont="1" applyFill="1" applyBorder="1" applyProtection="1">
      <protection hidden="1"/>
    </xf>
    <xf numFmtId="1" fontId="32" fillId="3" borderId="469" xfId="0" applyNumberFormat="1" applyFont="1" applyFill="1" applyBorder="1"/>
    <xf numFmtId="1" fontId="32" fillId="3" borderId="468" xfId="0" applyNumberFormat="1" applyFont="1" applyFill="1" applyBorder="1" applyAlignment="1" applyProtection="1">
      <alignment wrapText="1"/>
      <protection hidden="1"/>
    </xf>
    <xf numFmtId="1" fontId="73" fillId="3" borderId="468" xfId="0" applyNumberFormat="1" applyFont="1" applyFill="1" applyBorder="1" applyProtection="1">
      <protection hidden="1"/>
    </xf>
    <xf numFmtId="1" fontId="72" fillId="0" borderId="407" xfId="0" applyNumberFormat="1" applyFont="1" applyBorder="1"/>
    <xf numFmtId="1" fontId="72" fillId="0" borderId="95" xfId="0" applyNumberFormat="1" applyFont="1" applyBorder="1"/>
    <xf numFmtId="1" fontId="32" fillId="3" borderId="95" xfId="0" applyNumberFormat="1" applyFont="1" applyFill="1" applyBorder="1" applyProtection="1">
      <protection hidden="1"/>
    </xf>
    <xf numFmtId="1" fontId="72" fillId="3" borderId="407" xfId="0" applyNumberFormat="1" applyFont="1" applyFill="1" applyBorder="1"/>
    <xf numFmtId="1" fontId="32" fillId="3" borderId="0" xfId="0" applyNumberFormat="1" applyFont="1" applyFill="1" applyAlignment="1" applyProtection="1">
      <alignment wrapText="1"/>
      <protection hidden="1"/>
    </xf>
    <xf numFmtId="1" fontId="32" fillId="0" borderId="433" xfId="0" applyNumberFormat="1" applyFont="1" applyBorder="1" applyAlignment="1" applyProtection="1">
      <alignment vertical="center" wrapText="1"/>
      <protection hidden="1"/>
    </xf>
    <xf numFmtId="1" fontId="32" fillId="5" borderId="459" xfId="0" applyNumberFormat="1" applyFont="1" applyFill="1" applyBorder="1" applyAlignment="1" applyProtection="1">
      <alignment horizontal="right" wrapText="1"/>
      <protection locked="0"/>
    </xf>
    <xf numFmtId="1" fontId="32" fillId="5" borderId="450" xfId="0" applyNumberFormat="1" applyFont="1" applyFill="1" applyBorder="1" applyAlignment="1" applyProtection="1">
      <alignment horizontal="right"/>
      <protection locked="0"/>
    </xf>
    <xf numFmtId="1" fontId="32" fillId="5" borderId="451" xfId="0" applyNumberFormat="1" applyFont="1" applyFill="1" applyBorder="1" applyAlignment="1" applyProtection="1">
      <alignment horizontal="right"/>
      <protection locked="0"/>
    </xf>
    <xf numFmtId="1" fontId="32" fillId="5" borderId="37" xfId="0" applyNumberFormat="1" applyFont="1" applyFill="1" applyBorder="1" applyAlignment="1" applyProtection="1">
      <alignment horizontal="right" wrapText="1"/>
      <protection locked="0"/>
    </xf>
    <xf numFmtId="1" fontId="32" fillId="5" borderId="38" xfId="0" applyNumberFormat="1" applyFont="1" applyFill="1" applyBorder="1" applyAlignment="1" applyProtection="1">
      <alignment horizontal="right"/>
      <protection locked="0"/>
    </xf>
    <xf numFmtId="1" fontId="32" fillId="5" borderId="50" xfId="0" applyNumberFormat="1" applyFont="1" applyFill="1" applyBorder="1" applyAlignment="1" applyProtection="1">
      <alignment horizontal="right"/>
      <protection locked="0"/>
    </xf>
    <xf numFmtId="1" fontId="32" fillId="3" borderId="37" xfId="0" applyNumberFormat="1" applyFont="1" applyFill="1" applyBorder="1" applyAlignment="1" applyProtection="1">
      <alignment vertical="center" wrapText="1"/>
      <protection hidden="1"/>
    </xf>
    <xf numFmtId="1" fontId="32" fillId="0" borderId="68" xfId="0" applyNumberFormat="1" applyFont="1" applyBorder="1" applyAlignment="1">
      <alignment wrapText="1"/>
    </xf>
    <xf numFmtId="1" fontId="32" fillId="5" borderId="50" xfId="0" applyNumberFormat="1" applyFont="1" applyFill="1" applyBorder="1" applyAlignment="1" applyProtection="1">
      <alignment horizontal="right" wrapText="1"/>
      <protection locked="0"/>
    </xf>
    <xf numFmtId="1" fontId="32" fillId="5" borderId="1126" xfId="0" applyNumberFormat="1" applyFont="1" applyFill="1" applyBorder="1" applyAlignment="1" applyProtection="1">
      <alignment horizontal="right"/>
      <protection locked="0"/>
    </xf>
    <xf numFmtId="1" fontId="72" fillId="0" borderId="467" xfId="0" applyNumberFormat="1" applyFont="1" applyBorder="1"/>
    <xf numFmtId="1" fontId="72" fillId="3" borderId="467" xfId="0" applyNumberFormat="1" applyFont="1" applyFill="1" applyBorder="1"/>
    <xf numFmtId="1" fontId="32" fillId="0" borderId="1920" xfId="0" applyNumberFormat="1" applyFont="1" applyBorder="1" applyAlignment="1">
      <alignment wrapText="1"/>
    </xf>
    <xf numFmtId="1" fontId="32" fillId="5" borderId="1709" xfId="0" applyNumberFormat="1" applyFont="1" applyFill="1" applyBorder="1" applyAlignment="1" applyProtection="1">
      <alignment horizontal="right" wrapText="1"/>
      <protection locked="0"/>
    </xf>
    <xf numFmtId="1" fontId="32" fillId="5" borderId="1685" xfId="0" applyNumberFormat="1" applyFont="1" applyFill="1" applyBorder="1" applyAlignment="1" applyProtection="1">
      <alignment horizontal="right"/>
      <protection locked="0"/>
    </xf>
    <xf numFmtId="1" fontId="32" fillId="5" borderId="1635" xfId="0" applyNumberFormat="1" applyFont="1" applyFill="1" applyBorder="1" applyAlignment="1" applyProtection="1">
      <alignment horizontal="right"/>
      <protection locked="0"/>
    </xf>
    <xf numFmtId="1" fontId="72" fillId="0" borderId="466" xfId="0" applyNumberFormat="1" applyFont="1" applyBorder="1"/>
    <xf numFmtId="1" fontId="62" fillId="3" borderId="175" xfId="0" applyNumberFormat="1" applyFont="1" applyFill="1" applyBorder="1" applyProtection="1">
      <protection hidden="1"/>
    </xf>
    <xf numFmtId="1" fontId="64" fillId="3" borderId="0" xfId="0" applyNumberFormat="1" applyFont="1" applyFill="1" applyProtection="1">
      <protection hidden="1"/>
    </xf>
    <xf numFmtId="1" fontId="32" fillId="0" borderId="465" xfId="0" applyNumberFormat="1" applyFont="1" applyBorder="1" applyProtection="1">
      <protection hidden="1"/>
    </xf>
    <xf numFmtId="1" fontId="32" fillId="0" borderId="442" xfId="0" applyNumberFormat="1" applyFont="1" applyBorder="1" applyAlignment="1" applyProtection="1">
      <alignment horizontal="center" vertical="center" wrapText="1"/>
      <protection hidden="1"/>
    </xf>
    <xf numFmtId="1" fontId="72" fillId="3" borderId="0" xfId="0" applyNumberFormat="1" applyFont="1" applyFill="1" applyProtection="1">
      <protection hidden="1"/>
    </xf>
    <xf numFmtId="1" fontId="76" fillId="3" borderId="0" xfId="0" applyNumberFormat="1" applyFont="1" applyFill="1" applyProtection="1">
      <protection hidden="1"/>
    </xf>
    <xf numFmtId="1" fontId="32" fillId="0" borderId="444" xfId="0" applyNumberFormat="1" applyFont="1" applyBorder="1" applyAlignment="1" applyProtection="1">
      <alignment horizontal="center" vertical="center" wrapText="1"/>
      <protection hidden="1"/>
    </xf>
    <xf numFmtId="1" fontId="32" fillId="0" borderId="1279" xfId="0" applyNumberFormat="1" applyFont="1" applyBorder="1" applyAlignment="1" applyProtection="1">
      <alignment horizontal="center" vertical="center" wrapText="1"/>
      <protection hidden="1"/>
    </xf>
    <xf numFmtId="1" fontId="32" fillId="3" borderId="447" xfId="0" applyNumberFormat="1" applyFont="1" applyFill="1" applyBorder="1" applyAlignment="1">
      <alignment wrapText="1"/>
    </xf>
    <xf numFmtId="1" fontId="32" fillId="3" borderId="445" xfId="0" applyNumberFormat="1" applyFont="1" applyFill="1" applyBorder="1" applyAlignment="1">
      <alignment wrapText="1"/>
    </xf>
    <xf numFmtId="1" fontId="32" fillId="3" borderId="442" xfId="0" applyNumberFormat="1" applyFont="1" applyFill="1" applyBorder="1" applyAlignment="1">
      <alignment wrapText="1"/>
    </xf>
    <xf numFmtId="1" fontId="62" fillId="0" borderId="95" xfId="0" applyNumberFormat="1" applyFont="1" applyBorder="1" applyAlignment="1">
      <alignment horizontal="left"/>
    </xf>
    <xf numFmtId="1" fontId="32" fillId="3" borderId="1075" xfId="0" applyNumberFormat="1" applyFont="1" applyFill="1" applyBorder="1" applyProtection="1">
      <protection hidden="1"/>
    </xf>
    <xf numFmtId="1" fontId="72" fillId="3" borderId="175" xfId="0" applyNumberFormat="1" applyFont="1" applyFill="1" applyBorder="1" applyProtection="1">
      <protection hidden="1"/>
    </xf>
    <xf numFmtId="1" fontId="76" fillId="3" borderId="175" xfId="0" applyNumberFormat="1" applyFont="1" applyFill="1" applyBorder="1" applyProtection="1">
      <protection hidden="1"/>
    </xf>
    <xf numFmtId="1" fontId="32" fillId="3" borderId="465" xfId="0" applyNumberFormat="1" applyFont="1" applyFill="1" applyBorder="1" applyProtection="1">
      <protection hidden="1"/>
    </xf>
    <xf numFmtId="1" fontId="32" fillId="3" borderId="1151" xfId="0" applyNumberFormat="1" applyFont="1" applyFill="1" applyBorder="1" applyProtection="1">
      <protection hidden="1"/>
    </xf>
    <xf numFmtId="1" fontId="32" fillId="0" borderId="971" xfId="0" applyNumberFormat="1" applyFont="1" applyBorder="1" applyAlignment="1">
      <alignment horizontal="center" vertical="center"/>
    </xf>
    <xf numFmtId="1" fontId="32" fillId="0" borderId="968" xfId="0" applyNumberFormat="1" applyFont="1" applyBorder="1" applyAlignment="1">
      <alignment horizontal="center" vertical="center"/>
    </xf>
    <xf numFmtId="1" fontId="32" fillId="0" borderId="177" xfId="0" applyNumberFormat="1" applyFont="1" applyBorder="1" applyAlignment="1">
      <alignment horizontal="center" vertical="center" wrapText="1"/>
    </xf>
    <xf numFmtId="1" fontId="32" fillId="0" borderId="1186" xfId="0" applyNumberFormat="1" applyFont="1" applyBorder="1" applyAlignment="1">
      <alignment horizontal="center" vertical="center" wrapText="1"/>
    </xf>
    <xf numFmtId="1" fontId="32" fillId="0" borderId="1151" xfId="0" applyNumberFormat="1" applyFont="1" applyBorder="1" applyAlignment="1">
      <alignment horizontal="center" vertical="center" wrapText="1"/>
    </xf>
    <xf numFmtId="1" fontId="32" fillId="0" borderId="938" xfId="0" applyNumberFormat="1" applyFont="1" applyBorder="1" applyAlignment="1">
      <alignment horizontal="right" wrapText="1"/>
    </xf>
    <xf numFmtId="1" fontId="32" fillId="0" borderId="915" xfId="0" applyNumberFormat="1" applyFont="1" applyBorder="1" applyAlignment="1">
      <alignment horizontal="right" wrapText="1"/>
    </xf>
    <xf numFmtId="1" fontId="32" fillId="5" borderId="1180" xfId="0" applyNumberFormat="1" applyFont="1" applyFill="1" applyBorder="1" applyAlignment="1" applyProtection="1">
      <alignment horizontal="right"/>
      <protection locked="0"/>
    </xf>
    <xf numFmtId="1" fontId="32" fillId="5" borderId="1173" xfId="0" applyNumberFormat="1" applyFont="1" applyFill="1" applyBorder="1" applyAlignment="1" applyProtection="1">
      <alignment horizontal="right"/>
      <protection locked="0"/>
    </xf>
    <xf numFmtId="1" fontId="32" fillId="5" borderId="1181" xfId="0" applyNumberFormat="1" applyFont="1" applyFill="1" applyBorder="1" applyAlignment="1" applyProtection="1">
      <alignment horizontal="right"/>
      <protection locked="0"/>
    </xf>
    <xf numFmtId="1" fontId="32" fillId="5" borderId="1195" xfId="0" applyNumberFormat="1" applyFont="1" applyFill="1" applyBorder="1" applyAlignment="1" applyProtection="1">
      <alignment horizontal="right"/>
      <protection locked="0"/>
    </xf>
    <xf numFmtId="1" fontId="32" fillId="5" borderId="1095" xfId="0" applyNumberFormat="1" applyFont="1" applyFill="1" applyBorder="1" applyAlignment="1" applyProtection="1">
      <alignment horizontal="right"/>
      <protection locked="0"/>
    </xf>
    <xf numFmtId="1" fontId="32" fillId="0" borderId="1699" xfId="0" applyNumberFormat="1" applyFont="1" applyBorder="1" applyAlignment="1">
      <alignment horizontal="right" wrapText="1"/>
    </xf>
    <xf numFmtId="1" fontId="32" fillId="0" borderId="1698" xfId="0" applyNumberFormat="1" applyFont="1" applyBorder="1" applyAlignment="1">
      <alignment horizontal="right" wrapText="1"/>
    </xf>
    <xf numFmtId="1" fontId="32" fillId="0" borderId="237" xfId="0" applyNumberFormat="1" applyFont="1" applyBorder="1" applyAlignment="1">
      <alignment horizontal="left" vertical="center" wrapText="1"/>
    </xf>
    <xf numFmtId="1" fontId="32" fillId="0" borderId="896" xfId="0" applyNumberFormat="1" applyFont="1" applyBorder="1" applyAlignment="1">
      <alignment horizontal="right" wrapText="1"/>
    </xf>
    <xf numFmtId="1" fontId="32" fillId="0" borderId="901" xfId="0" applyNumberFormat="1" applyFont="1" applyBorder="1" applyAlignment="1">
      <alignment horizontal="right" wrapText="1"/>
    </xf>
    <xf numFmtId="1" fontId="32" fillId="5" borderId="1100" xfId="0" applyNumberFormat="1" applyFont="1" applyFill="1" applyBorder="1" applyAlignment="1" applyProtection="1">
      <alignment horizontal="right"/>
      <protection locked="0"/>
    </xf>
    <xf numFmtId="1" fontId="32" fillId="5" borderId="1081" xfId="0" applyNumberFormat="1" applyFont="1" applyFill="1" applyBorder="1" applyAlignment="1" applyProtection="1">
      <alignment horizontal="right"/>
      <protection locked="0"/>
    </xf>
    <xf numFmtId="1" fontId="32" fillId="5" borderId="513" xfId="0" applyNumberFormat="1" applyFont="1" applyFill="1" applyBorder="1" applyAlignment="1" applyProtection="1">
      <alignment horizontal="right"/>
      <protection locked="0"/>
    </xf>
    <xf numFmtId="1" fontId="32" fillId="5" borderId="1075" xfId="0" applyNumberFormat="1" applyFont="1" applyFill="1" applyBorder="1" applyAlignment="1" applyProtection="1">
      <alignment horizontal="right"/>
      <protection locked="0"/>
    </xf>
    <xf numFmtId="1" fontId="32" fillId="5" borderId="521" xfId="0" applyNumberFormat="1" applyFont="1" applyFill="1" applyBorder="1" applyAlignment="1" applyProtection="1">
      <alignment horizontal="right"/>
      <protection locked="0"/>
    </xf>
    <xf numFmtId="1" fontId="62" fillId="14" borderId="0" xfId="0" applyNumberFormat="1" applyFont="1" applyFill="1" applyAlignment="1">
      <alignment horizontal="left"/>
    </xf>
    <xf numFmtId="1" fontId="32" fillId="0" borderId="445" xfId="0" applyNumberFormat="1" applyFont="1" applyBorder="1" applyAlignment="1">
      <alignment horizontal="center" vertical="center"/>
    </xf>
    <xf numFmtId="0" fontId="0" fillId="0" borderId="447" xfId="0" applyBorder="1"/>
    <xf numFmtId="1" fontId="32" fillId="5" borderId="445" xfId="0" applyNumberFormat="1" applyFont="1" applyFill="1" applyBorder="1" applyAlignment="1" applyProtection="1">
      <alignment horizontal="right"/>
      <protection locked="0"/>
    </xf>
    <xf numFmtId="1" fontId="32" fillId="5" borderId="461" xfId="0" applyNumberFormat="1" applyFont="1" applyFill="1" applyBorder="1" applyAlignment="1" applyProtection="1">
      <alignment horizontal="right"/>
      <protection locked="0"/>
    </xf>
    <xf numFmtId="1" fontId="32" fillId="5" borderId="460" xfId="0" applyNumberFormat="1" applyFont="1" applyFill="1" applyBorder="1" applyAlignment="1" applyProtection="1">
      <alignment horizontal="right"/>
      <protection locked="0"/>
    </xf>
    <xf numFmtId="1" fontId="73" fillId="3" borderId="175" xfId="0" applyNumberFormat="1" applyFont="1" applyFill="1" applyBorder="1" applyProtection="1">
      <protection hidden="1"/>
    </xf>
    <xf numFmtId="1" fontId="32" fillId="5" borderId="449" xfId="0" applyNumberFormat="1" applyFont="1" applyFill="1" applyBorder="1" applyAlignment="1" applyProtection="1">
      <alignment horizontal="right"/>
      <protection locked="0"/>
    </xf>
    <xf numFmtId="1" fontId="32" fillId="0" borderId="433" xfId="0" applyNumberFormat="1" applyFont="1" applyBorder="1" applyAlignment="1">
      <alignment horizontal="left" vertical="center" wrapText="1"/>
    </xf>
    <xf numFmtId="1" fontId="32" fillId="0" borderId="634" xfId="0" applyNumberFormat="1" applyFont="1" applyBorder="1" applyAlignment="1">
      <alignment horizontal="right" wrapText="1"/>
    </xf>
    <xf numFmtId="1" fontId="32" fillId="0" borderId="633" xfId="0" applyNumberFormat="1" applyFont="1" applyBorder="1" applyAlignment="1">
      <alignment horizontal="right" wrapText="1"/>
    </xf>
    <xf numFmtId="1" fontId="32" fillId="5" borderId="432" xfId="0" applyNumberFormat="1" applyFont="1" applyFill="1" applyBorder="1" applyAlignment="1" applyProtection="1">
      <alignment horizontal="right"/>
      <protection locked="0"/>
    </xf>
    <xf numFmtId="1" fontId="32" fillId="5" borderId="431" xfId="0" applyNumberFormat="1" applyFont="1" applyFill="1" applyBorder="1" applyAlignment="1" applyProtection="1">
      <alignment horizontal="right"/>
      <protection locked="0"/>
    </xf>
    <xf numFmtId="1" fontId="32" fillId="5" borderId="42" xfId="0" applyNumberFormat="1" applyFont="1" applyFill="1" applyBorder="1" applyAlignment="1" applyProtection="1">
      <alignment horizontal="right"/>
      <protection locked="0"/>
    </xf>
    <xf numFmtId="1" fontId="32" fillId="0" borderId="1519" xfId="0" applyNumberFormat="1" applyFont="1" applyBorder="1" applyAlignment="1">
      <alignment horizontal="left" vertical="center" wrapText="1"/>
    </xf>
    <xf numFmtId="1" fontId="32" fillId="5" borderId="142" xfId="0" applyNumberFormat="1" applyFont="1" applyFill="1" applyBorder="1" applyAlignment="1" applyProtection="1">
      <alignment horizontal="right"/>
      <protection locked="0"/>
    </xf>
    <xf numFmtId="1" fontId="32" fillId="5" borderId="177" xfId="0" applyNumberFormat="1" applyFont="1" applyFill="1" applyBorder="1" applyAlignment="1" applyProtection="1">
      <alignment horizontal="right"/>
      <protection locked="0"/>
    </xf>
    <xf numFmtId="1" fontId="32" fillId="5" borderId="143" xfId="0" applyNumberFormat="1" applyFont="1" applyFill="1" applyBorder="1" applyAlignment="1" applyProtection="1">
      <alignment horizontal="right"/>
      <protection locked="0"/>
    </xf>
    <xf numFmtId="1" fontId="64" fillId="0" borderId="95" xfId="0" applyNumberFormat="1" applyFont="1" applyBorder="1" applyAlignment="1">
      <alignment horizontal="left"/>
    </xf>
    <xf numFmtId="1" fontId="70" fillId="0" borderId="458" xfId="0" applyNumberFormat="1" applyFont="1" applyBorder="1" applyAlignment="1">
      <alignment horizontal="center" vertical="center" wrapText="1"/>
    </xf>
    <xf numFmtId="1" fontId="70" fillId="0" borderId="0" xfId="0" applyNumberFormat="1" applyFont="1" applyAlignment="1">
      <alignment horizontal="center" vertical="center" wrapText="1"/>
    </xf>
    <xf numFmtId="1" fontId="70" fillId="0" borderId="175" xfId="0" applyNumberFormat="1" applyFont="1" applyBorder="1" applyAlignment="1">
      <alignment horizontal="center" vertical="center" wrapText="1"/>
    </xf>
    <xf numFmtId="1" fontId="70" fillId="3" borderId="175" xfId="0" applyNumberFormat="1" applyFont="1" applyFill="1" applyBorder="1" applyAlignment="1" applyProtection="1">
      <alignment horizontal="center" vertical="center" wrapText="1"/>
      <protection hidden="1"/>
    </xf>
    <xf numFmtId="1" fontId="32" fillId="0" borderId="447" xfId="0" applyNumberFormat="1" applyFont="1" applyBorder="1" applyAlignment="1">
      <alignment vertical="center" wrapText="1"/>
    </xf>
    <xf numFmtId="1" fontId="70" fillId="0" borderId="447" xfId="0" applyNumberFormat="1" applyFont="1" applyBorder="1" applyAlignment="1">
      <alignment horizontal="right" vertical="center" wrapText="1"/>
    </xf>
    <xf numFmtId="1" fontId="32" fillId="5" borderId="457" xfId="0" applyNumberFormat="1" applyFont="1" applyFill="1" applyBorder="1" applyAlignment="1" applyProtection="1">
      <alignment horizontal="right"/>
      <protection locked="0"/>
    </xf>
    <xf numFmtId="1" fontId="32" fillId="5" borderId="443" xfId="0" applyNumberFormat="1" applyFont="1" applyFill="1" applyBorder="1" applyAlignment="1" applyProtection="1">
      <alignment horizontal="right"/>
      <protection locked="0"/>
    </xf>
    <xf numFmtId="1" fontId="32" fillId="5" borderId="442" xfId="0" applyNumberFormat="1" applyFont="1" applyFill="1" applyBorder="1" applyAlignment="1" applyProtection="1">
      <alignment horizontal="right"/>
      <protection locked="0"/>
    </xf>
    <xf numFmtId="1" fontId="32" fillId="14" borderId="453" xfId="0" applyNumberFormat="1" applyFont="1" applyFill="1" applyBorder="1" applyAlignment="1">
      <alignment vertical="center" wrapText="1"/>
    </xf>
    <xf numFmtId="1" fontId="32" fillId="14" borderId="450" xfId="0" applyNumberFormat="1" applyFont="1" applyFill="1" applyBorder="1" applyAlignment="1">
      <alignment horizontal="right" wrapText="1"/>
    </xf>
    <xf numFmtId="1" fontId="32" fillId="14" borderId="452" xfId="0" applyNumberFormat="1" applyFont="1" applyFill="1" applyBorder="1" applyAlignment="1">
      <alignment horizontal="right" wrapText="1"/>
    </xf>
    <xf numFmtId="1" fontId="32" fillId="14" borderId="451" xfId="0" applyNumberFormat="1" applyFont="1" applyFill="1" applyBorder="1" applyAlignment="1">
      <alignment horizontal="right"/>
    </xf>
    <xf numFmtId="1" fontId="32" fillId="5" borderId="635" xfId="0" applyNumberFormat="1" applyFont="1" applyFill="1" applyBorder="1" applyProtection="1">
      <protection locked="0"/>
    </xf>
    <xf numFmtId="1" fontId="32" fillId="5" borderId="637" xfId="0" applyNumberFormat="1" applyFont="1" applyFill="1" applyBorder="1" applyProtection="1">
      <protection locked="0"/>
    </xf>
    <xf numFmtId="1" fontId="32" fillId="14" borderId="423" xfId="0" applyNumberFormat="1" applyFont="1" applyFill="1" applyBorder="1" applyAlignment="1">
      <alignment vertical="center"/>
    </xf>
    <xf numFmtId="1" fontId="32" fillId="14" borderId="40" xfId="0" applyNumberFormat="1" applyFont="1" applyFill="1" applyBorder="1" applyAlignment="1">
      <alignment vertical="center" wrapText="1"/>
    </xf>
    <xf numFmtId="1" fontId="32" fillId="14" borderId="38" xfId="0" applyNumberFormat="1" applyFont="1" applyFill="1" applyBorder="1" applyAlignment="1">
      <alignment horizontal="right" wrapText="1"/>
    </xf>
    <xf numFmtId="1" fontId="32" fillId="14" borderId="62" xfId="0" applyNumberFormat="1" applyFont="1" applyFill="1" applyBorder="1" applyAlignment="1">
      <alignment horizontal="right" wrapText="1"/>
    </xf>
    <xf numFmtId="1" fontId="32" fillId="14" borderId="50" xfId="0" applyNumberFormat="1" applyFont="1" applyFill="1" applyBorder="1" applyAlignment="1">
      <alignment horizontal="right"/>
    </xf>
    <xf numFmtId="1" fontId="32" fillId="5" borderId="572" xfId="0" applyNumberFormat="1" applyFont="1" applyFill="1" applyBorder="1" applyProtection="1">
      <protection locked="0"/>
    </xf>
    <xf numFmtId="1" fontId="32" fillId="5" borderId="574" xfId="0" applyNumberFormat="1" applyFont="1" applyFill="1" applyBorder="1" applyProtection="1">
      <protection locked="0"/>
    </xf>
    <xf numFmtId="1" fontId="32" fillId="14" borderId="447" xfId="0" applyNumberFormat="1" applyFont="1" applyFill="1" applyBorder="1" applyAlignment="1">
      <alignment horizontal="center"/>
    </xf>
    <xf numFmtId="1" fontId="32" fillId="14" borderId="445" xfId="0" applyNumberFormat="1" applyFont="1" applyFill="1" applyBorder="1" applyAlignment="1">
      <alignment horizontal="right"/>
    </xf>
    <xf numFmtId="1" fontId="32" fillId="14" borderId="446" xfId="0" applyNumberFormat="1" applyFont="1" applyFill="1" applyBorder="1" applyAlignment="1">
      <alignment horizontal="right"/>
    </xf>
    <xf numFmtId="1" fontId="32" fillId="14" borderId="442" xfId="0" applyNumberFormat="1" applyFont="1" applyFill="1" applyBorder="1" applyAlignment="1">
      <alignment horizontal="right"/>
    </xf>
    <xf numFmtId="1" fontId="32" fillId="14" borderId="869" xfId="0" applyNumberFormat="1" applyFont="1" applyFill="1" applyBorder="1"/>
    <xf numFmtId="1" fontId="32" fillId="14" borderId="860" xfId="0" applyNumberFormat="1" applyFont="1" applyFill="1" applyBorder="1"/>
    <xf numFmtId="1" fontId="32" fillId="14" borderId="866" xfId="0" applyNumberFormat="1" applyFont="1" applyFill="1" applyBorder="1"/>
    <xf numFmtId="1" fontId="32" fillId="14" borderId="871" xfId="0" applyNumberFormat="1" applyFont="1" applyFill="1" applyBorder="1"/>
    <xf numFmtId="1" fontId="32" fillId="14" borderId="581" xfId="0" applyNumberFormat="1" applyFont="1" applyFill="1" applyBorder="1"/>
    <xf numFmtId="1" fontId="32" fillId="14" borderId="582" xfId="0" applyNumberFormat="1" applyFont="1" applyFill="1" applyBorder="1"/>
    <xf numFmtId="1" fontId="32" fillId="0" borderId="461" xfId="0" applyNumberFormat="1" applyFont="1" applyBorder="1" applyAlignment="1">
      <alignment vertical="center"/>
    </xf>
    <xf numFmtId="1" fontId="32" fillId="0" borderId="1708" xfId="0" applyNumberFormat="1" applyFont="1" applyBorder="1" applyAlignment="1">
      <alignment horizontal="center" vertical="center" wrapText="1"/>
    </xf>
    <xf numFmtId="1" fontId="32" fillId="0" borderId="1696" xfId="0" applyNumberFormat="1" applyFont="1" applyBorder="1" applyAlignment="1">
      <alignment horizontal="center" vertical="center" wrapText="1"/>
    </xf>
    <xf numFmtId="1" fontId="32" fillId="0" borderId="40" xfId="0" applyNumberFormat="1" applyFont="1" applyBorder="1"/>
    <xf numFmtId="1" fontId="32" fillId="0" borderId="40" xfId="0" quotePrefix="1" applyNumberFormat="1" applyFont="1" applyBorder="1"/>
    <xf numFmtId="1" fontId="32" fillId="3" borderId="1165" xfId="0" applyNumberFormat="1" applyFont="1" applyFill="1" applyBorder="1"/>
    <xf numFmtId="1" fontId="32" fillId="5" borderId="479" xfId="0" applyNumberFormat="1" applyFont="1" applyFill="1" applyBorder="1" applyProtection="1">
      <protection locked="0"/>
    </xf>
    <xf numFmtId="1" fontId="32" fillId="5" borderId="1725" xfId="0" applyNumberFormat="1" applyFont="1" applyFill="1" applyBorder="1" applyProtection="1">
      <protection locked="0"/>
    </xf>
    <xf numFmtId="1" fontId="32" fillId="5" borderId="1727" xfId="0" applyNumberFormat="1" applyFont="1" applyFill="1" applyBorder="1" applyProtection="1">
      <protection locked="0"/>
    </xf>
    <xf numFmtId="1" fontId="32" fillId="5" borderId="1140" xfId="0" applyNumberFormat="1" applyFont="1" applyFill="1" applyBorder="1" applyProtection="1">
      <protection locked="0"/>
    </xf>
    <xf numFmtId="1" fontId="32" fillId="0" borderId="1717" xfId="0" applyNumberFormat="1" applyFont="1" applyBorder="1"/>
    <xf numFmtId="1" fontId="32" fillId="5" borderId="700" xfId="0" applyNumberFormat="1" applyFont="1" applyFill="1" applyBorder="1" applyProtection="1">
      <protection locked="0"/>
    </xf>
    <xf numFmtId="1" fontId="72" fillId="3" borderId="196" xfId="0" applyNumberFormat="1" applyFont="1" applyFill="1" applyBorder="1"/>
    <xf numFmtId="1" fontId="76" fillId="3" borderId="196" xfId="0" applyNumberFormat="1" applyFont="1" applyFill="1" applyBorder="1"/>
    <xf numFmtId="1" fontId="76" fillId="0" borderId="196" xfId="0" applyNumberFormat="1" applyFont="1" applyBorder="1"/>
    <xf numFmtId="1" fontId="32" fillId="0" borderId="281" xfId="0" applyNumberFormat="1" applyFont="1" applyBorder="1" applyAlignment="1">
      <alignment horizontal="center" vertical="center" wrapText="1"/>
    </xf>
    <xf numFmtId="1" fontId="72" fillId="14" borderId="99" xfId="0" applyNumberFormat="1" applyFont="1" applyFill="1" applyBorder="1"/>
    <xf numFmtId="1" fontId="32" fillId="3" borderId="196" xfId="0" applyNumberFormat="1" applyFont="1" applyFill="1" applyBorder="1"/>
    <xf numFmtId="1" fontId="32" fillId="0" borderId="196" xfId="0" applyNumberFormat="1" applyFont="1" applyBorder="1"/>
    <xf numFmtId="1" fontId="32" fillId="3" borderId="275" xfId="0" applyNumberFormat="1" applyFont="1" applyFill="1" applyBorder="1"/>
    <xf numFmtId="1" fontId="32" fillId="5" borderId="276" xfId="0" applyNumberFormat="1" applyFont="1" applyFill="1" applyBorder="1" applyProtection="1">
      <protection locked="0"/>
    </xf>
    <xf numFmtId="1" fontId="32" fillId="5" borderId="279" xfId="0" applyNumberFormat="1" applyFont="1" applyFill="1" applyBorder="1" applyProtection="1">
      <protection locked="0"/>
    </xf>
    <xf numFmtId="1" fontId="32" fillId="5" borderId="296" xfId="0" applyNumberFormat="1" applyFont="1" applyFill="1" applyBorder="1" applyProtection="1">
      <protection locked="0"/>
    </xf>
    <xf numFmtId="1" fontId="32" fillId="5" borderId="294" xfId="0" applyNumberFormat="1" applyFont="1" applyFill="1" applyBorder="1" applyProtection="1">
      <protection locked="0"/>
    </xf>
    <xf numFmtId="1" fontId="32" fillId="5" borderId="293" xfId="0" applyNumberFormat="1" applyFont="1" applyFill="1" applyBorder="1" applyProtection="1">
      <protection locked="0"/>
    </xf>
    <xf numFmtId="1" fontId="32" fillId="14" borderId="0" xfId="0" applyNumberFormat="1" applyFont="1" applyFill="1" applyAlignment="1" applyProtection="1">
      <alignment vertical="top"/>
      <protection locked="0"/>
    </xf>
    <xf numFmtId="1" fontId="32" fillId="3" borderId="37" xfId="0" applyNumberFormat="1" applyFont="1" applyFill="1" applyBorder="1"/>
    <xf numFmtId="1" fontId="32" fillId="5" borderId="93" xfId="0" applyNumberFormat="1" applyFont="1" applyFill="1" applyBorder="1" applyProtection="1">
      <protection locked="0"/>
    </xf>
    <xf numFmtId="1" fontId="32" fillId="3" borderId="701" xfId="0" applyNumberFormat="1" applyFont="1" applyFill="1" applyBorder="1"/>
    <xf numFmtId="1" fontId="32" fillId="5" borderId="927" xfId="0" applyNumberFormat="1" applyFont="1" applyFill="1" applyBorder="1" applyProtection="1">
      <protection locked="0"/>
    </xf>
    <xf numFmtId="1" fontId="32" fillId="14" borderId="35" xfId="0" applyNumberFormat="1" applyFont="1" applyFill="1" applyBorder="1" applyAlignment="1" applyProtection="1">
      <alignment vertical="center"/>
      <protection locked="0"/>
    </xf>
    <xf numFmtId="1" fontId="72" fillId="17" borderId="0" xfId="0" applyNumberFormat="1" applyFont="1" applyFill="1" applyAlignment="1" applyProtection="1">
      <alignment wrapText="1"/>
      <protection locked="0"/>
    </xf>
    <xf numFmtId="1" fontId="32" fillId="5" borderId="744" xfId="0" applyNumberFormat="1" applyFont="1" applyFill="1" applyBorder="1" applyProtection="1">
      <protection locked="0"/>
    </xf>
    <xf numFmtId="1" fontId="32" fillId="5" borderId="575" xfId="0" applyNumberFormat="1" applyFont="1" applyFill="1" applyBorder="1" applyProtection="1">
      <protection locked="0"/>
    </xf>
    <xf numFmtId="1" fontId="32" fillId="3" borderId="664" xfId="0" applyNumberFormat="1" applyFont="1" applyFill="1" applyBorder="1"/>
    <xf numFmtId="1" fontId="32" fillId="0" borderId="664" xfId="0" applyNumberFormat="1" applyFont="1" applyBorder="1"/>
    <xf numFmtId="1" fontId="32" fillId="0" borderId="665" xfId="0" applyNumberFormat="1" applyFont="1" applyBorder="1"/>
    <xf numFmtId="1" fontId="72" fillId="3" borderId="666" xfId="0" applyNumberFormat="1" applyFont="1" applyFill="1" applyBorder="1"/>
    <xf numFmtId="1" fontId="32" fillId="5" borderId="935" xfId="0" applyNumberFormat="1" applyFont="1" applyFill="1" applyBorder="1" applyProtection="1">
      <protection locked="0"/>
    </xf>
    <xf numFmtId="1" fontId="76" fillId="3" borderId="200" xfId="0" applyNumberFormat="1" applyFont="1" applyFill="1" applyBorder="1"/>
    <xf numFmtId="1" fontId="72" fillId="3" borderId="201" xfId="0" applyNumberFormat="1" applyFont="1" applyFill="1" applyBorder="1"/>
    <xf numFmtId="1" fontId="32" fillId="0" borderId="35" xfId="0" applyNumberFormat="1" applyFont="1" applyBorder="1"/>
    <xf numFmtId="1" fontId="63" fillId="0" borderId="0" xfId="0" applyNumberFormat="1" applyFont="1"/>
    <xf numFmtId="1" fontId="72" fillId="0" borderId="201" xfId="0" applyNumberFormat="1" applyFont="1" applyBorder="1"/>
    <xf numFmtId="1" fontId="32" fillId="0" borderId="805" xfId="0" applyNumberFormat="1" applyFont="1" applyBorder="1" applyAlignment="1">
      <alignment horizontal="center" vertical="center"/>
    </xf>
    <xf numFmtId="1" fontId="32" fillId="0" borderId="813" xfId="0" applyNumberFormat="1" applyFont="1" applyBorder="1" applyAlignment="1">
      <alignment horizontal="center" vertical="center"/>
    </xf>
    <xf numFmtId="1" fontId="32" fillId="0" borderId="807" xfId="0" applyNumberFormat="1" applyFont="1" applyBorder="1" applyAlignment="1">
      <alignment horizontal="center" vertical="center"/>
    </xf>
    <xf numFmtId="1" fontId="72" fillId="0" borderId="99" xfId="0" applyNumberFormat="1" applyFont="1" applyBorder="1"/>
    <xf numFmtId="1" fontId="32" fillId="3" borderId="200" xfId="0" applyNumberFormat="1" applyFont="1" applyFill="1" applyBorder="1"/>
    <xf numFmtId="1" fontId="32" fillId="0" borderId="2364" xfId="0" applyNumberFormat="1" applyFont="1" applyBorder="1"/>
    <xf numFmtId="1" fontId="32" fillId="0" borderId="2377" xfId="0" applyNumberFormat="1" applyFont="1" applyBorder="1"/>
    <xf numFmtId="1" fontId="72" fillId="0" borderId="2279" xfId="0" applyNumberFormat="1" applyFont="1" applyBorder="1"/>
    <xf numFmtId="1" fontId="72" fillId="0" borderId="302" xfId="0" applyNumberFormat="1" applyFont="1" applyBorder="1"/>
    <xf numFmtId="1" fontId="32" fillId="0" borderId="275" xfId="0" applyNumberFormat="1" applyFont="1" applyBorder="1"/>
    <xf numFmtId="1" fontId="32" fillId="5" borderId="799" xfId="0" applyNumberFormat="1" applyFont="1" applyFill="1" applyBorder="1" applyProtection="1">
      <protection locked="0"/>
    </xf>
    <xf numFmtId="1" fontId="32" fillId="12" borderId="803" xfId="0" applyNumberFormat="1" applyFont="1" applyFill="1" applyBorder="1"/>
    <xf numFmtId="1" fontId="32" fillId="12" borderId="800" xfId="0" applyNumberFormat="1" applyFont="1" applyFill="1" applyBorder="1"/>
    <xf numFmtId="1" fontId="32" fillId="12" borderId="796" xfId="0" applyNumberFormat="1" applyFont="1" applyFill="1" applyBorder="1"/>
    <xf numFmtId="1" fontId="32" fillId="5" borderId="274" xfId="0" applyNumberFormat="1" applyFont="1" applyFill="1" applyBorder="1" applyProtection="1">
      <protection locked="0"/>
    </xf>
    <xf numFmtId="1" fontId="32" fillId="5" borderId="693" xfId="0" applyNumberFormat="1" applyFont="1" applyFill="1" applyBorder="1" applyProtection="1">
      <protection locked="0"/>
    </xf>
    <xf numFmtId="1" fontId="32" fillId="12" borderId="734" xfId="0" applyNumberFormat="1" applyFont="1" applyFill="1" applyBorder="1"/>
    <xf numFmtId="1" fontId="32" fillId="12" borderId="693" xfId="0" applyNumberFormat="1" applyFont="1" applyFill="1" applyBorder="1"/>
    <xf numFmtId="1" fontId="32" fillId="12" borderId="769" xfId="0" applyNumberFormat="1" applyFont="1" applyFill="1" applyBorder="1"/>
    <xf numFmtId="1" fontId="32" fillId="0" borderId="2289" xfId="0" applyNumberFormat="1" applyFont="1" applyBorder="1" applyAlignment="1" applyProtection="1">
      <alignment wrapText="1"/>
      <protection hidden="1"/>
    </xf>
    <xf numFmtId="1" fontId="32" fillId="0" borderId="1525" xfId="0" applyNumberFormat="1" applyFont="1" applyBorder="1" applyAlignment="1" applyProtection="1">
      <alignment wrapText="1"/>
      <protection hidden="1"/>
    </xf>
    <xf numFmtId="1" fontId="32" fillId="12" borderId="733" xfId="0" applyNumberFormat="1" applyFont="1" applyFill="1" applyBorder="1"/>
    <xf numFmtId="1" fontId="32" fillId="12" borderId="724" xfId="0" applyNumberFormat="1" applyFont="1" applyFill="1" applyBorder="1"/>
    <xf numFmtId="1" fontId="32" fillId="12" borderId="715" xfId="0" applyNumberFormat="1" applyFont="1" applyFill="1" applyBorder="1"/>
    <xf numFmtId="1" fontId="32" fillId="0" borderId="1876" xfId="0" applyNumberFormat="1" applyFont="1" applyBorder="1" applyAlignment="1" applyProtection="1">
      <alignment wrapText="1"/>
      <protection hidden="1"/>
    </xf>
    <xf numFmtId="1" fontId="32" fillId="0" borderId="435" xfId="0" applyNumberFormat="1" applyFont="1" applyBorder="1"/>
    <xf numFmtId="1" fontId="32" fillId="5" borderId="2207" xfId="0" applyNumberFormat="1" applyFont="1" applyFill="1" applyBorder="1" applyProtection="1">
      <protection locked="0"/>
    </xf>
    <xf numFmtId="1" fontId="32" fillId="12" borderId="784" xfId="0" applyNumberFormat="1" applyFont="1" applyFill="1" applyBorder="1"/>
    <xf numFmtId="1" fontId="32" fillId="12" borderId="382" xfId="0" applyNumberFormat="1" applyFont="1" applyFill="1" applyBorder="1"/>
    <xf numFmtId="1" fontId="32" fillId="12" borderId="2160" xfId="0" applyNumberFormat="1" applyFont="1" applyFill="1" applyBorder="1"/>
    <xf numFmtId="1" fontId="32" fillId="5" borderId="1524" xfId="0" applyNumberFormat="1" applyFont="1" applyFill="1" applyBorder="1" applyProtection="1">
      <protection locked="0"/>
    </xf>
    <xf numFmtId="1" fontId="32" fillId="12" borderId="1116" xfId="0" applyNumberFormat="1" applyFont="1" applyFill="1" applyBorder="1"/>
    <xf numFmtId="1" fontId="32" fillId="12" borderId="1524" xfId="0" applyNumberFormat="1" applyFont="1" applyFill="1" applyBorder="1"/>
    <xf numFmtId="1" fontId="32" fillId="12" borderId="1532" xfId="0" applyNumberFormat="1" applyFont="1" applyFill="1" applyBorder="1"/>
    <xf numFmtId="1" fontId="32" fillId="3" borderId="1011" xfId="0" applyNumberFormat="1" applyFont="1" applyFill="1" applyBorder="1"/>
    <xf numFmtId="1" fontId="32" fillId="0" borderId="1011" xfId="0" applyNumberFormat="1" applyFont="1" applyBorder="1"/>
    <xf numFmtId="1" fontId="32" fillId="0" borderId="274" xfId="0" applyNumberFormat="1" applyFont="1" applyBorder="1" applyAlignment="1" applyProtection="1">
      <alignment wrapText="1"/>
      <protection hidden="1"/>
    </xf>
    <xf numFmtId="1" fontId="32" fillId="0" borderId="24" xfId="0" applyNumberFormat="1" applyFont="1" applyBorder="1" applyAlignment="1" applyProtection="1">
      <alignment wrapText="1"/>
      <protection hidden="1"/>
    </xf>
    <xf numFmtId="1" fontId="32" fillId="0" borderId="31" xfId="0" applyNumberFormat="1" applyFont="1" applyBorder="1" applyAlignment="1" applyProtection="1">
      <alignment wrapText="1"/>
      <protection hidden="1"/>
    </xf>
    <xf numFmtId="1" fontId="32" fillId="0" borderId="268" xfId="0" applyNumberFormat="1" applyFont="1" applyBorder="1" applyAlignment="1" applyProtection="1">
      <alignment wrapText="1"/>
      <protection hidden="1"/>
    </xf>
    <xf numFmtId="1" fontId="32" fillId="0" borderId="269" xfId="0" applyNumberFormat="1" applyFont="1" applyBorder="1"/>
    <xf numFmtId="1" fontId="32" fillId="5" borderId="105" xfId="0" applyNumberFormat="1" applyFont="1" applyFill="1" applyBorder="1" applyProtection="1">
      <protection locked="0"/>
    </xf>
    <xf numFmtId="1" fontId="32" fillId="5" borderId="272" xfId="0" applyNumberFormat="1" applyFont="1" applyFill="1" applyBorder="1" applyProtection="1">
      <protection locked="0"/>
    </xf>
    <xf numFmtId="1" fontId="32" fillId="12" borderId="271" xfId="0" applyNumberFormat="1" applyFont="1" applyFill="1" applyBorder="1"/>
    <xf numFmtId="1" fontId="32" fillId="12" borderId="272" xfId="0" applyNumberFormat="1" applyFont="1" applyFill="1" applyBorder="1"/>
    <xf numFmtId="1" fontId="32" fillId="12" borderId="311" xfId="0" applyNumberFormat="1" applyFont="1" applyFill="1" applyBorder="1"/>
    <xf numFmtId="1" fontId="32" fillId="5" borderId="268" xfId="0" applyNumberFormat="1" applyFont="1" applyFill="1" applyBorder="1" applyProtection="1">
      <protection locked="0"/>
    </xf>
    <xf numFmtId="1" fontId="32" fillId="12" borderId="633" xfId="0" applyNumberFormat="1" applyFont="1" applyFill="1" applyBorder="1"/>
    <xf numFmtId="1" fontId="32" fillId="12" borderId="744" xfId="0" applyNumberFormat="1" applyFont="1" applyFill="1" applyBorder="1"/>
    <xf numFmtId="1" fontId="32" fillId="12" borderId="768" xfId="0" applyNumberFormat="1" applyFont="1" applyFill="1" applyBorder="1"/>
    <xf numFmtId="1" fontId="32" fillId="5" borderId="31" xfId="0" applyNumberFormat="1" applyFont="1" applyFill="1" applyBorder="1" applyProtection="1">
      <protection locked="0"/>
    </xf>
    <xf numFmtId="1" fontId="32" fillId="12" borderId="771" xfId="0" applyNumberFormat="1" applyFont="1" applyFill="1" applyBorder="1"/>
    <xf numFmtId="1" fontId="32" fillId="12" borderId="383" xfId="0" applyNumberFormat="1" applyFont="1" applyFill="1" applyBorder="1"/>
    <xf numFmtId="1" fontId="32" fillId="12" borderId="521" xfId="0" applyNumberFormat="1" applyFont="1" applyFill="1" applyBorder="1"/>
    <xf numFmtId="1" fontId="32" fillId="5" borderId="177" xfId="0" applyNumberFormat="1" applyFont="1" applyFill="1" applyBorder="1" applyProtection="1">
      <protection locked="0"/>
    </xf>
    <xf numFmtId="1" fontId="32" fillId="0" borderId="275" xfId="0" applyNumberFormat="1" applyFont="1" applyBorder="1" applyAlignment="1" applyProtection="1">
      <alignment wrapText="1"/>
      <protection hidden="1"/>
    </xf>
    <xf numFmtId="1" fontId="32" fillId="5" borderId="803" xfId="0" applyNumberFormat="1" applyFont="1" applyFill="1" applyBorder="1" applyProtection="1">
      <protection locked="0"/>
    </xf>
    <xf numFmtId="1" fontId="32" fillId="5" borderId="796" xfId="0" applyNumberFormat="1" applyFont="1" applyFill="1" applyBorder="1" applyProtection="1">
      <protection locked="0"/>
    </xf>
    <xf numFmtId="1" fontId="32" fillId="0" borderId="237" xfId="0" applyNumberFormat="1" applyFont="1" applyBorder="1" applyAlignment="1" applyProtection="1">
      <alignment wrapText="1"/>
      <protection hidden="1"/>
    </xf>
    <xf numFmtId="1" fontId="32" fillId="5" borderId="521" xfId="0" applyNumberFormat="1" applyFont="1" applyFill="1" applyBorder="1" applyProtection="1">
      <protection locked="0"/>
    </xf>
    <xf numFmtId="1" fontId="32" fillId="3" borderId="9" xfId="0" applyNumberFormat="1" applyFont="1" applyFill="1" applyBorder="1"/>
    <xf numFmtId="1" fontId="32" fillId="3" borderId="35" xfId="0" applyNumberFormat="1" applyFont="1" applyFill="1" applyBorder="1"/>
    <xf numFmtId="1" fontId="76" fillId="3" borderId="745" xfId="0" applyNumberFormat="1" applyFont="1" applyFill="1" applyBorder="1"/>
    <xf numFmtId="1" fontId="76" fillId="3" borderId="747" xfId="0" applyNumberFormat="1" applyFont="1" applyFill="1" applyBorder="1"/>
    <xf numFmtId="1" fontId="32" fillId="0" borderId="1109" xfId="0" applyNumberFormat="1" applyFont="1" applyBorder="1"/>
    <xf numFmtId="1" fontId="32" fillId="5" borderId="1180" xfId="0" applyNumberFormat="1" applyFont="1" applyFill="1" applyBorder="1" applyProtection="1">
      <protection locked="0"/>
    </xf>
    <xf numFmtId="1" fontId="32" fillId="5" borderId="1211" xfId="0" applyNumberFormat="1" applyFont="1" applyFill="1" applyBorder="1" applyProtection="1">
      <protection locked="0"/>
    </xf>
    <xf numFmtId="1" fontId="32" fillId="12" borderId="1171" xfId="0" applyNumberFormat="1" applyFont="1" applyFill="1" applyBorder="1"/>
    <xf numFmtId="1" fontId="32" fillId="12" borderId="1211" xfId="0" applyNumberFormat="1" applyFont="1" applyFill="1" applyBorder="1"/>
    <xf numFmtId="1" fontId="32" fillId="12" borderId="1172" xfId="0" applyNumberFormat="1" applyFont="1" applyFill="1" applyBorder="1"/>
    <xf numFmtId="1" fontId="32" fillId="5" borderId="1103" xfId="0" applyNumberFormat="1" applyFont="1" applyFill="1" applyBorder="1" applyProtection="1">
      <protection locked="0"/>
    </xf>
    <xf numFmtId="1" fontId="32" fillId="5" borderId="1128" xfId="0" applyNumberFormat="1" applyFont="1" applyFill="1" applyBorder="1" applyProtection="1">
      <protection locked="0"/>
    </xf>
    <xf numFmtId="1" fontId="32" fillId="12" borderId="1128" xfId="0" applyNumberFormat="1" applyFont="1" applyFill="1" applyBorder="1"/>
    <xf numFmtId="1" fontId="32" fillId="12" borderId="1133" xfId="0" applyNumberFormat="1" applyFont="1" applyFill="1" applyBorder="1"/>
    <xf numFmtId="1" fontId="32" fillId="0" borderId="2252" xfId="0" applyNumberFormat="1" applyFont="1" applyBorder="1" applyAlignment="1" applyProtection="1">
      <alignment wrapText="1"/>
      <protection hidden="1"/>
    </xf>
    <xf numFmtId="1" fontId="32" fillId="12" borderId="1125" xfId="0" applyNumberFormat="1" applyFont="1" applyFill="1" applyBorder="1"/>
    <xf numFmtId="1" fontId="32" fillId="12" borderId="1127" xfId="0" applyNumberFormat="1" applyFont="1" applyFill="1" applyBorder="1"/>
    <xf numFmtId="1" fontId="32" fillId="12" borderId="1132" xfId="0" applyNumberFormat="1" applyFont="1" applyFill="1" applyBorder="1"/>
    <xf numFmtId="1" fontId="76" fillId="3" borderId="1177" xfId="0" applyNumberFormat="1" applyFont="1" applyFill="1" applyBorder="1"/>
    <xf numFmtId="1" fontId="76" fillId="3" borderId="1178" xfId="0" applyNumberFormat="1" applyFont="1" applyFill="1" applyBorder="1"/>
    <xf numFmtId="1" fontId="32" fillId="0" borderId="1173" xfId="0" applyNumberFormat="1" applyFont="1" applyBorder="1" applyAlignment="1" applyProtection="1">
      <alignment wrapText="1"/>
      <protection hidden="1"/>
    </xf>
    <xf numFmtId="1" fontId="32" fillId="0" borderId="1179" xfId="0" applyNumberFormat="1" applyFont="1" applyBorder="1"/>
    <xf numFmtId="1" fontId="32" fillId="5" borderId="1182" xfId="0" applyNumberFormat="1" applyFont="1" applyFill="1" applyBorder="1" applyProtection="1">
      <protection locked="0"/>
    </xf>
    <xf numFmtId="1" fontId="32" fillId="5" borderId="900" xfId="0" applyNumberFormat="1" applyFont="1" applyFill="1" applyBorder="1" applyProtection="1">
      <protection locked="0"/>
    </xf>
    <xf numFmtId="1" fontId="32" fillId="12" borderId="901" xfId="0" applyNumberFormat="1" applyFont="1" applyFill="1" applyBorder="1"/>
    <xf numFmtId="1" fontId="32" fillId="12" borderId="900" xfId="0" applyNumberFormat="1" applyFont="1" applyFill="1" applyBorder="1"/>
    <xf numFmtId="1" fontId="32" fillId="12" borderId="950" xfId="0" applyNumberFormat="1" applyFont="1" applyFill="1" applyBorder="1"/>
    <xf numFmtId="1" fontId="32" fillId="5" borderId="1171" xfId="0" applyNumberFormat="1" applyFont="1" applyFill="1" applyBorder="1" applyProtection="1">
      <protection locked="0"/>
    </xf>
    <xf numFmtId="1" fontId="32" fillId="5" borderId="1172" xfId="0" applyNumberFormat="1" applyFont="1" applyFill="1" applyBorder="1" applyProtection="1">
      <protection locked="0"/>
    </xf>
    <xf numFmtId="1" fontId="32" fillId="5" borderId="1014" xfId="0" applyNumberFormat="1" applyFont="1" applyFill="1" applyBorder="1" applyProtection="1">
      <protection locked="0"/>
    </xf>
    <xf numFmtId="1" fontId="32" fillId="5" borderId="1081" xfId="0" applyNumberFormat="1" applyFont="1" applyFill="1" applyBorder="1" applyProtection="1">
      <protection locked="0"/>
    </xf>
    <xf numFmtId="1" fontId="32" fillId="5" borderId="1023" xfId="0" applyNumberFormat="1" applyFont="1" applyFill="1" applyBorder="1" applyProtection="1">
      <protection locked="0"/>
    </xf>
    <xf numFmtId="1" fontId="62" fillId="3" borderId="77" xfId="0" applyNumberFormat="1" applyFont="1" applyFill="1" applyBorder="1"/>
    <xf numFmtId="1" fontId="76" fillId="3" borderId="208" xfId="0" applyNumberFormat="1" applyFont="1" applyFill="1" applyBorder="1"/>
    <xf numFmtId="1" fontId="32" fillId="0" borderId="288" xfId="0" applyNumberFormat="1" applyFont="1" applyBorder="1" applyAlignment="1">
      <alignment horizontal="center" vertical="center" wrapText="1"/>
    </xf>
    <xf numFmtId="1" fontId="32" fillId="5" borderId="288" xfId="0" applyNumberFormat="1" applyFont="1" applyFill="1" applyBorder="1" applyProtection="1">
      <protection locked="0"/>
    </xf>
    <xf numFmtId="1" fontId="62" fillId="0" borderId="77" xfId="0" applyNumberFormat="1" applyFont="1" applyBorder="1"/>
    <xf numFmtId="1" fontId="32" fillId="0" borderId="280" xfId="0" applyNumberFormat="1" applyFont="1" applyBorder="1" applyAlignment="1">
      <alignment horizontal="center" vertical="center" wrapText="1"/>
    </xf>
    <xf numFmtId="1" fontId="32" fillId="3" borderId="0" xfId="0" applyNumberFormat="1" applyFont="1" applyFill="1" applyAlignment="1">
      <alignment wrapText="1"/>
    </xf>
    <xf numFmtId="1" fontId="32" fillId="3" borderId="196" xfId="0" applyNumberFormat="1" applyFont="1" applyFill="1" applyBorder="1" applyAlignment="1">
      <alignment wrapText="1"/>
    </xf>
    <xf numFmtId="1" fontId="32" fillId="0" borderId="196" xfId="0" applyNumberFormat="1" applyFont="1" applyBorder="1" applyAlignment="1">
      <alignment wrapText="1"/>
    </xf>
    <xf numFmtId="1" fontId="32" fillId="5" borderId="281" xfId="0" applyNumberFormat="1" applyFont="1" applyFill="1" applyBorder="1" applyProtection="1">
      <protection locked="0"/>
    </xf>
    <xf numFmtId="1" fontId="32" fillId="5" borderId="228" xfId="0" applyNumberFormat="1" applyFont="1" applyFill="1" applyBorder="1" applyProtection="1">
      <protection locked="0"/>
    </xf>
    <xf numFmtId="1" fontId="32" fillId="3" borderId="0" xfId="0" applyNumberFormat="1" applyFont="1" applyFill="1" applyAlignment="1" applyProtection="1">
      <alignment wrapText="1"/>
      <protection locked="0"/>
    </xf>
    <xf numFmtId="1" fontId="32" fillId="0" borderId="809" xfId="0" applyNumberFormat="1" applyFont="1" applyBorder="1" applyAlignment="1">
      <alignment horizontal="center" vertical="center" wrapText="1"/>
    </xf>
    <xf numFmtId="1" fontId="32" fillId="0" borderId="802" xfId="0" applyNumberFormat="1" applyFont="1" applyBorder="1" applyAlignment="1">
      <alignment horizontal="center" vertical="center" wrapText="1"/>
    </xf>
    <xf numFmtId="1" fontId="32" fillId="0" borderId="228" xfId="0" applyNumberFormat="1" applyFont="1" applyBorder="1" applyAlignment="1">
      <alignment horizontal="center" vertical="center" wrapText="1"/>
    </xf>
    <xf numFmtId="1" fontId="32" fillId="0" borderId="778" xfId="0" applyNumberFormat="1" applyFont="1" applyBorder="1" applyAlignment="1">
      <alignment horizontal="center" vertical="center" wrapText="1"/>
    </xf>
    <xf numFmtId="1" fontId="32" fillId="0" borderId="0" xfId="0" applyNumberFormat="1" applyFont="1" applyAlignment="1">
      <alignment wrapText="1"/>
    </xf>
    <xf numFmtId="1" fontId="32" fillId="0" borderId="276" xfId="0" applyNumberFormat="1" applyFont="1" applyBorder="1"/>
    <xf numFmtId="1" fontId="32" fillId="0" borderId="279" xfId="0" applyNumberFormat="1" applyFont="1" applyBorder="1"/>
    <xf numFmtId="1" fontId="32" fillId="0" borderId="274" xfId="0" applyNumberFormat="1" applyFont="1" applyBorder="1"/>
    <xf numFmtId="1" fontId="32" fillId="5" borderId="801" xfId="0" applyNumberFormat="1" applyFont="1" applyFill="1" applyBorder="1" applyProtection="1">
      <protection locked="0"/>
    </xf>
    <xf numFmtId="1" fontId="32" fillId="5" borderId="804" xfId="0" applyNumberFormat="1" applyFont="1" applyFill="1" applyBorder="1" applyProtection="1">
      <protection locked="0"/>
    </xf>
    <xf numFmtId="1" fontId="32" fillId="5" borderId="292" xfId="0" applyNumberFormat="1" applyFont="1" applyFill="1" applyBorder="1" applyProtection="1">
      <protection locked="0"/>
    </xf>
    <xf numFmtId="1" fontId="32" fillId="5" borderId="275" xfId="0" applyNumberFormat="1" applyFont="1" applyFill="1" applyBorder="1" applyProtection="1">
      <protection locked="0"/>
    </xf>
    <xf numFmtId="1" fontId="32" fillId="0" borderId="38" xfId="0" applyNumberFormat="1" applyFont="1" applyBorder="1"/>
    <xf numFmtId="1" fontId="32" fillId="0" borderId="62" xfId="0" applyNumberFormat="1" applyFont="1" applyBorder="1"/>
    <xf numFmtId="1" fontId="32" fillId="0" borderId="50" xfId="0" applyNumberFormat="1" applyFont="1" applyBorder="1"/>
    <xf numFmtId="1" fontId="32" fillId="0" borderId="142" xfId="0" applyNumberFormat="1" applyFont="1" applyBorder="1"/>
    <xf numFmtId="1" fontId="32" fillId="0" borderId="136" xfId="0" applyNumberFormat="1" applyFont="1" applyBorder="1"/>
    <xf numFmtId="1" fontId="32" fillId="0" borderId="177" xfId="0" applyNumberFormat="1" applyFont="1" applyBorder="1"/>
    <xf numFmtId="1" fontId="32" fillId="4" borderId="237" xfId="0" applyNumberFormat="1" applyFont="1" applyFill="1" applyBorder="1"/>
    <xf numFmtId="1" fontId="32" fillId="0" borderId="227" xfId="0" applyNumberFormat="1" applyFont="1" applyBorder="1" applyAlignment="1">
      <alignment horizontal="center" vertical="center" wrapText="1"/>
    </xf>
    <xf numFmtId="1" fontId="32" fillId="0" borderId="225" xfId="0" applyNumberFormat="1" applyFont="1" applyBorder="1" applyAlignment="1">
      <alignment horizontal="center" vertical="center" wrapText="1"/>
    </xf>
    <xf numFmtId="1" fontId="32" fillId="5" borderId="300" xfId="0" applyNumberFormat="1" applyFont="1" applyFill="1" applyBorder="1" applyProtection="1">
      <protection locked="0"/>
    </xf>
    <xf numFmtId="1" fontId="32" fillId="5" borderId="277" xfId="0" applyNumberFormat="1" applyFont="1" applyFill="1" applyBorder="1" applyProtection="1">
      <protection locked="0"/>
    </xf>
    <xf numFmtId="1" fontId="32" fillId="5" borderId="110" xfId="0" applyNumberFormat="1" applyFont="1" applyFill="1" applyBorder="1" applyProtection="1">
      <protection locked="0"/>
    </xf>
    <xf numFmtId="1" fontId="32" fillId="5" borderId="54" xfId="0" applyNumberFormat="1" applyFont="1" applyFill="1" applyBorder="1" applyProtection="1">
      <protection locked="0"/>
    </xf>
    <xf numFmtId="1" fontId="32" fillId="0" borderId="208" xfId="0" applyNumberFormat="1" applyFont="1" applyBorder="1" applyAlignment="1" applyProtection="1">
      <alignment wrapText="1"/>
      <protection locked="0"/>
    </xf>
    <xf numFmtId="1" fontId="32" fillId="0" borderId="208" xfId="0" applyNumberFormat="1" applyFont="1" applyBorder="1" applyAlignment="1">
      <alignment wrapText="1"/>
    </xf>
    <xf numFmtId="1" fontId="32" fillId="5" borderId="111" xfId="0" applyNumberFormat="1" applyFont="1" applyFill="1" applyBorder="1" applyProtection="1">
      <protection locked="0"/>
    </xf>
    <xf numFmtId="1" fontId="32" fillId="3" borderId="208" xfId="0" applyNumberFormat="1" applyFont="1" applyFill="1" applyBorder="1" applyAlignment="1">
      <alignment wrapText="1"/>
    </xf>
    <xf numFmtId="1" fontId="72" fillId="3" borderId="0" xfId="0" applyNumberFormat="1" applyFont="1" applyFill="1" applyAlignment="1">
      <alignment wrapText="1"/>
    </xf>
    <xf numFmtId="1" fontId="32" fillId="0" borderId="77" xfId="0" applyNumberFormat="1" applyFont="1" applyBorder="1" applyAlignment="1">
      <alignment wrapText="1"/>
    </xf>
    <xf numFmtId="1" fontId="32" fillId="0" borderId="95" xfId="0" applyNumberFormat="1" applyFont="1" applyBorder="1" applyAlignment="1">
      <alignment wrapText="1"/>
    </xf>
    <xf numFmtId="1" fontId="32" fillId="0" borderId="222" xfId="0" applyNumberFormat="1" applyFont="1" applyBorder="1" applyAlignment="1">
      <alignment horizontal="center" vertical="center"/>
    </xf>
    <xf numFmtId="1" fontId="32" fillId="3" borderId="281" xfId="14" applyNumberFormat="1" applyFont="1" applyFill="1" applyBorder="1"/>
    <xf numFmtId="1" fontId="32" fillId="3" borderId="290" xfId="14" applyNumberFormat="1" applyFont="1" applyFill="1" applyBorder="1"/>
    <xf numFmtId="1" fontId="32" fillId="3" borderId="310" xfId="14" applyNumberFormat="1" applyFont="1" applyFill="1" applyBorder="1"/>
    <xf numFmtId="1" fontId="32" fillId="5" borderId="280" xfId="0" applyNumberFormat="1" applyFont="1" applyFill="1" applyBorder="1" applyProtection="1">
      <protection locked="0"/>
    </xf>
    <xf numFmtId="1" fontId="62" fillId="3" borderId="244" xfId="0" applyNumberFormat="1" applyFont="1" applyFill="1" applyBorder="1"/>
    <xf numFmtId="1" fontId="32" fillId="14" borderId="196" xfId="0" applyNumberFormat="1" applyFont="1" applyFill="1" applyBorder="1"/>
    <xf numFmtId="1" fontId="72" fillId="14" borderId="201" xfId="0" applyNumberFormat="1" applyFont="1" applyFill="1" applyBorder="1"/>
    <xf numFmtId="1" fontId="32" fillId="14" borderId="208" xfId="0" applyNumberFormat="1" applyFont="1" applyFill="1" applyBorder="1"/>
    <xf numFmtId="1" fontId="32" fillId="0" borderId="307" xfId="0" applyNumberFormat="1" applyFont="1" applyBorder="1"/>
    <xf numFmtId="1" fontId="32" fillId="0" borderId="2373" xfId="0" applyNumberFormat="1" applyFont="1" applyBorder="1"/>
    <xf numFmtId="1" fontId="32" fillId="0" borderId="1867" xfId="0" applyNumberFormat="1" applyFont="1" applyBorder="1"/>
    <xf numFmtId="1" fontId="32" fillId="0" borderId="1674" xfId="0" applyNumberFormat="1" applyFont="1" applyBorder="1"/>
    <xf numFmtId="1" fontId="32" fillId="0" borderId="1675" xfId="0" applyNumberFormat="1" applyFont="1" applyBorder="1"/>
    <xf numFmtId="1" fontId="32" fillId="0" borderId="1522" xfId="0" applyNumberFormat="1" applyFont="1" applyBorder="1"/>
    <xf numFmtId="1" fontId="32" fillId="0" borderId="1700" xfId="0" applyNumberFormat="1" applyFont="1" applyBorder="1"/>
    <xf numFmtId="1" fontId="32" fillId="5" borderId="1534" xfId="0" applyNumberFormat="1" applyFont="1" applyFill="1" applyBorder="1" applyProtection="1">
      <protection locked="0"/>
    </xf>
    <xf numFmtId="1" fontId="32" fillId="14" borderId="304" xfId="0" applyNumberFormat="1" applyFont="1" applyFill="1" applyBorder="1"/>
    <xf numFmtId="1" fontId="76" fillId="14" borderId="196" xfId="0" applyNumberFormat="1" applyFont="1" applyFill="1" applyBorder="1"/>
    <xf numFmtId="1" fontId="32" fillId="14" borderId="1323" xfId="0" applyNumberFormat="1" applyFont="1" applyFill="1" applyBorder="1"/>
    <xf numFmtId="1" fontId="72" fillId="14" borderId="1328" xfId="0" applyNumberFormat="1" applyFont="1" applyFill="1" applyBorder="1"/>
    <xf numFmtId="1" fontId="32" fillId="14" borderId="2270" xfId="0" applyNumberFormat="1" applyFont="1" applyFill="1" applyBorder="1"/>
    <xf numFmtId="1" fontId="72" fillId="14" borderId="2271" xfId="0" applyNumberFormat="1" applyFont="1" applyFill="1" applyBorder="1"/>
    <xf numFmtId="1" fontId="32" fillId="0" borderId="1874" xfId="0" applyNumberFormat="1" applyFont="1" applyBorder="1"/>
    <xf numFmtId="1" fontId="32" fillId="0" borderId="1875" xfId="0" applyNumberFormat="1" applyFont="1" applyBorder="1"/>
    <xf numFmtId="1" fontId="32" fillId="0" borderId="1164" xfId="0" applyNumberFormat="1" applyFont="1" applyBorder="1"/>
    <xf numFmtId="1" fontId="32" fillId="5" borderId="1179" xfId="0" applyNumberFormat="1" applyFont="1" applyFill="1" applyBorder="1" applyProtection="1">
      <protection locked="0"/>
    </xf>
    <xf numFmtId="1" fontId="32" fillId="5" borderId="1124" xfId="0" applyNumberFormat="1" applyFont="1" applyFill="1" applyBorder="1" applyProtection="1">
      <protection locked="0"/>
    </xf>
    <xf numFmtId="1" fontId="76" fillId="14" borderId="208" xfId="0" applyNumberFormat="1" applyFont="1" applyFill="1" applyBorder="1"/>
    <xf numFmtId="1" fontId="76" fillId="14" borderId="200" xfId="0" applyNumberFormat="1" applyFont="1" applyFill="1" applyBorder="1"/>
    <xf numFmtId="1" fontId="72" fillId="14" borderId="196" xfId="0" applyNumberFormat="1" applyFont="1" applyFill="1" applyBorder="1"/>
    <xf numFmtId="1" fontId="32" fillId="5" borderId="1162" xfId="0" applyNumberFormat="1" applyFont="1" applyFill="1" applyBorder="1" applyProtection="1">
      <protection locked="0"/>
    </xf>
    <xf numFmtId="1" fontId="76" fillId="14" borderId="1335" xfId="0" applyNumberFormat="1" applyFont="1" applyFill="1" applyBorder="1"/>
    <xf numFmtId="1" fontId="76" fillId="14" borderId="1336" xfId="0" applyNumberFormat="1" applyFont="1" applyFill="1" applyBorder="1"/>
    <xf numFmtId="1" fontId="72" fillId="14" borderId="1335" xfId="0" applyNumberFormat="1" applyFont="1" applyFill="1" applyBorder="1"/>
    <xf numFmtId="1" fontId="76" fillId="14" borderId="2270" xfId="0" applyNumberFormat="1" applyFont="1" applyFill="1" applyBorder="1"/>
    <xf numFmtId="1" fontId="76" fillId="14" borderId="2272" xfId="0" applyNumberFormat="1" applyFont="1" applyFill="1" applyBorder="1"/>
    <xf numFmtId="1" fontId="72" fillId="14" borderId="2270" xfId="0" applyNumberFormat="1" applyFont="1" applyFill="1" applyBorder="1"/>
    <xf numFmtId="1" fontId="32" fillId="5" borderId="1104" xfId="0" applyNumberFormat="1" applyFont="1" applyFill="1" applyBorder="1" applyProtection="1">
      <protection locked="0"/>
    </xf>
    <xf numFmtId="1" fontId="32" fillId="14" borderId="200" xfId="0" applyNumberFormat="1" applyFont="1" applyFill="1" applyBorder="1"/>
    <xf numFmtId="1" fontId="32" fillId="0" borderId="208" xfId="0" applyNumberFormat="1" applyFont="1" applyBorder="1"/>
    <xf numFmtId="1" fontId="32" fillId="0" borderId="30" xfId="0" applyNumberFormat="1" applyFont="1" applyBorder="1"/>
    <xf numFmtId="1" fontId="32" fillId="0" borderId="72" xfId="0" applyNumberFormat="1" applyFont="1" applyBorder="1"/>
    <xf numFmtId="1" fontId="32" fillId="5" borderId="30" xfId="0" applyNumberFormat="1" applyFont="1" applyFill="1" applyBorder="1" applyProtection="1">
      <protection locked="0"/>
    </xf>
    <xf numFmtId="1" fontId="32" fillId="5" borderId="29" xfId="0" applyNumberFormat="1" applyFont="1" applyFill="1" applyBorder="1" applyProtection="1">
      <protection locked="0"/>
    </xf>
    <xf numFmtId="1" fontId="32" fillId="0" borderId="0" xfId="0" applyNumberFormat="1" applyFont="1" applyAlignment="1">
      <alignment vertical="top" wrapText="1"/>
    </xf>
    <xf numFmtId="1" fontId="32" fillId="0" borderId="20" xfId="0" applyNumberFormat="1" applyFont="1" applyBorder="1"/>
    <xf numFmtId="1" fontId="32" fillId="0" borderId="45" xfId="0" applyNumberFormat="1" applyFont="1" applyBorder="1"/>
    <xf numFmtId="1" fontId="32" fillId="0" borderId="21" xfId="0" applyNumberFormat="1" applyFont="1" applyBorder="1"/>
    <xf numFmtId="1" fontId="32" fillId="5" borderId="142" xfId="0" applyNumberFormat="1" applyFont="1" applyFill="1" applyBorder="1" applyProtection="1">
      <protection locked="0"/>
    </xf>
    <xf numFmtId="1" fontId="32" fillId="5" borderId="152" xfId="0" applyNumberFormat="1" applyFont="1" applyFill="1" applyBorder="1" applyProtection="1">
      <protection locked="0"/>
    </xf>
    <xf numFmtId="1" fontId="32" fillId="5" borderId="237" xfId="0" applyNumberFormat="1" applyFont="1" applyFill="1" applyBorder="1" applyProtection="1">
      <protection locked="0"/>
    </xf>
    <xf numFmtId="1" fontId="72" fillId="3" borderId="226" xfId="0" applyNumberFormat="1" applyFont="1" applyFill="1" applyBorder="1"/>
    <xf numFmtId="1" fontId="32" fillId="0" borderId="201" xfId="0" applyNumberFormat="1" applyFont="1" applyBorder="1"/>
    <xf numFmtId="1" fontId="32" fillId="5" borderId="41" xfId="0" applyNumberFormat="1" applyFont="1" applyFill="1" applyBorder="1" applyProtection="1">
      <protection locked="0"/>
    </xf>
    <xf numFmtId="1" fontId="32" fillId="5" borderId="1085" xfId="0" applyNumberFormat="1" applyFont="1" applyFill="1" applyBorder="1" applyProtection="1">
      <protection locked="0"/>
    </xf>
    <xf numFmtId="1" fontId="32" fillId="5" borderId="1035" xfId="0" applyNumberFormat="1" applyFont="1" applyFill="1" applyBorder="1" applyProtection="1">
      <protection locked="0"/>
    </xf>
    <xf numFmtId="1" fontId="32" fillId="0" borderId="29" xfId="0" applyNumberFormat="1" applyFont="1" applyBorder="1" applyAlignment="1" applyProtection="1">
      <alignment wrapText="1"/>
      <protection hidden="1"/>
    </xf>
    <xf numFmtId="1" fontId="32" fillId="0" borderId="281" xfId="0" applyNumberFormat="1" applyFont="1" applyBorder="1"/>
    <xf numFmtId="1" fontId="32" fillId="0" borderId="290" xfId="0" applyNumberFormat="1" applyFont="1" applyBorder="1"/>
    <xf numFmtId="1" fontId="32" fillId="0" borderId="228" xfId="0" applyNumberFormat="1" applyFont="1" applyBorder="1"/>
    <xf numFmtId="1" fontId="32" fillId="0" borderId="1186" xfId="0" applyNumberFormat="1" applyFont="1" applyBorder="1"/>
    <xf numFmtId="1" fontId="32" fillId="0" borderId="1151" xfId="0" applyNumberFormat="1" applyFont="1" applyBorder="1"/>
    <xf numFmtId="1" fontId="32" fillId="0" borderId="1175" xfId="0" applyNumberFormat="1" applyFont="1" applyBorder="1"/>
    <xf numFmtId="1" fontId="32" fillId="0" borderId="41" xfId="0" applyNumberFormat="1" applyFont="1" applyBorder="1"/>
    <xf numFmtId="1" fontId="32" fillId="0" borderId="63" xfId="0" applyNumberFormat="1" applyFont="1" applyBorder="1"/>
    <xf numFmtId="1" fontId="32" fillId="0" borderId="31" xfId="0" applyNumberFormat="1" applyFont="1" applyBorder="1"/>
    <xf numFmtId="1" fontId="32" fillId="0" borderId="304" xfId="0" applyNumberFormat="1" applyFont="1" applyBorder="1"/>
    <xf numFmtId="1" fontId="72" fillId="14" borderId="0" xfId="0" applyNumberFormat="1" applyFont="1" applyFill="1" applyAlignment="1">
      <alignment wrapText="1"/>
    </xf>
    <xf numFmtId="1" fontId="76" fillId="14" borderId="248" xfId="0" applyNumberFormat="1" applyFont="1" applyFill="1" applyBorder="1"/>
    <xf numFmtId="1" fontId="76" fillId="0" borderId="201" xfId="0" applyNumberFormat="1" applyFont="1" applyBorder="1"/>
    <xf numFmtId="1" fontId="32" fillId="14" borderId="201" xfId="0" applyNumberFormat="1" applyFont="1" applyFill="1" applyBorder="1"/>
    <xf numFmtId="1" fontId="32" fillId="3" borderId="201" xfId="0" applyNumberFormat="1" applyFont="1" applyFill="1" applyBorder="1"/>
    <xf numFmtId="1" fontId="32" fillId="0" borderId="1100" xfId="0" applyNumberFormat="1" applyFont="1" applyBorder="1"/>
    <xf numFmtId="1" fontId="32" fillId="0" borderId="1082" xfId="0" applyNumberFormat="1" applyFont="1" applyBorder="1"/>
    <xf numFmtId="1" fontId="32" fillId="0" borderId="1101" xfId="0" applyNumberFormat="1" applyFont="1" applyBorder="1"/>
    <xf numFmtId="1" fontId="32" fillId="0" borderId="1081" xfId="0" applyNumberFormat="1" applyFont="1" applyBorder="1"/>
    <xf numFmtId="1" fontId="32" fillId="14" borderId="201" xfId="0" applyNumberFormat="1" applyFont="1" applyFill="1" applyBorder="1" applyAlignment="1">
      <alignment horizontal="center" vertical="center" wrapText="1"/>
    </xf>
    <xf numFmtId="1" fontId="32" fillId="14" borderId="196" xfId="0" applyNumberFormat="1" applyFont="1" applyFill="1" applyBorder="1" applyAlignment="1">
      <alignment horizontal="center" vertical="center" wrapText="1"/>
    </xf>
    <xf numFmtId="1" fontId="32" fillId="14" borderId="196" xfId="0" applyNumberFormat="1" applyFont="1" applyFill="1" applyBorder="1" applyProtection="1">
      <protection locked="0"/>
    </xf>
    <xf numFmtId="1" fontId="32" fillId="14" borderId="208" xfId="0" applyNumberFormat="1" applyFont="1" applyFill="1" applyBorder="1" applyProtection="1">
      <protection locked="0"/>
    </xf>
    <xf numFmtId="1" fontId="76" fillId="0" borderId="208" xfId="0" applyNumberFormat="1" applyFont="1" applyBorder="1"/>
    <xf numFmtId="1" fontId="32" fillId="3" borderId="208" xfId="0" applyNumberFormat="1" applyFont="1" applyFill="1" applyBorder="1"/>
    <xf numFmtId="1" fontId="32" fillId="0" borderId="226" xfId="0" applyNumberFormat="1" applyFont="1" applyBorder="1" applyAlignment="1">
      <alignment horizontal="center" vertical="center" wrapText="1"/>
    </xf>
    <xf numFmtId="1" fontId="32" fillId="0" borderId="1187" xfId="0" applyNumberFormat="1" applyFont="1" applyBorder="1" applyAlignment="1">
      <alignment horizontal="center" vertical="center" wrapText="1"/>
    </xf>
    <xf numFmtId="1" fontId="32" fillId="0" borderId="1188" xfId="0" applyNumberFormat="1" applyFont="1" applyBorder="1" applyAlignment="1">
      <alignment horizontal="center" vertical="center" wrapText="1"/>
    </xf>
    <xf numFmtId="1" fontId="32" fillId="14" borderId="200" xfId="0" applyNumberFormat="1" applyFont="1" applyFill="1" applyBorder="1" applyProtection="1">
      <protection locked="0"/>
    </xf>
    <xf numFmtId="1" fontId="32" fillId="0" borderId="276" xfId="0" applyNumberFormat="1" applyFont="1" applyBorder="1" applyAlignment="1">
      <alignment horizontal="right" vertical="center" wrapText="1"/>
    </xf>
    <xf numFmtId="1" fontId="32" fillId="0" borderId="279" xfId="0" applyNumberFormat="1" applyFont="1" applyBorder="1" applyAlignment="1">
      <alignment horizontal="right"/>
    </xf>
    <xf numFmtId="1" fontId="32" fillId="0" borderId="274" xfId="0" applyNumberFormat="1" applyFont="1" applyBorder="1" applyAlignment="1">
      <alignment horizontal="right"/>
    </xf>
    <xf numFmtId="1" fontId="32" fillId="5" borderId="278" xfId="0" applyNumberFormat="1" applyFont="1" applyFill="1" applyBorder="1" applyProtection="1">
      <protection locked="0"/>
    </xf>
    <xf numFmtId="1" fontId="32" fillId="5" borderId="1189" xfId="0" applyNumberFormat="1" applyFont="1" applyFill="1" applyBorder="1" applyProtection="1">
      <protection locked="0"/>
    </xf>
    <xf numFmtId="1" fontId="32" fillId="5" borderId="1093" xfId="0" applyNumberFormat="1" applyFont="1" applyFill="1" applyBorder="1" applyProtection="1">
      <protection locked="0"/>
    </xf>
    <xf numFmtId="1" fontId="32" fillId="5" borderId="1190" xfId="0" applyNumberFormat="1" applyFont="1" applyFill="1" applyBorder="1" applyProtection="1">
      <protection locked="0"/>
    </xf>
    <xf numFmtId="1" fontId="32" fillId="0" borderId="38" xfId="0" applyNumberFormat="1" applyFont="1" applyBorder="1" applyAlignment="1">
      <alignment horizontal="right"/>
    </xf>
    <xf numFmtId="1" fontId="32" fillId="0" borderId="62" xfId="0" applyNumberFormat="1" applyFont="1" applyBorder="1" applyAlignment="1">
      <alignment horizontal="right"/>
    </xf>
    <xf numFmtId="1" fontId="32" fillId="5" borderId="1191" xfId="0" applyNumberFormat="1" applyFont="1" applyFill="1" applyBorder="1" applyProtection="1">
      <protection locked="0"/>
    </xf>
    <xf numFmtId="1" fontId="32" fillId="0" borderId="30" xfId="0" applyNumberFormat="1" applyFont="1" applyBorder="1" applyAlignment="1">
      <alignment horizontal="right"/>
    </xf>
    <xf numFmtId="1" fontId="32" fillId="0" borderId="72" xfId="0" applyNumberFormat="1" applyFont="1" applyBorder="1" applyAlignment="1">
      <alignment horizontal="right"/>
    </xf>
    <xf numFmtId="1" fontId="32" fillId="5" borderId="291" xfId="0" applyNumberFormat="1" applyFont="1" applyFill="1" applyBorder="1" applyProtection="1">
      <protection locked="0"/>
    </xf>
    <xf numFmtId="1" fontId="32" fillId="5" borderId="1192" xfId="0" applyNumberFormat="1" applyFont="1" applyFill="1" applyBorder="1" applyProtection="1">
      <protection locked="0"/>
    </xf>
    <xf numFmtId="1" fontId="32" fillId="5" borderId="1193" xfId="0" applyNumberFormat="1" applyFont="1" applyFill="1" applyBorder="1" applyProtection="1">
      <protection locked="0"/>
    </xf>
    <xf numFmtId="1" fontId="32" fillId="0" borderId="281" xfId="0" applyNumberFormat="1" applyFont="1" applyBorder="1" applyAlignment="1">
      <alignment horizontal="right"/>
    </xf>
    <xf numFmtId="1" fontId="32" fillId="0" borderId="290" xfId="0" applyNumberFormat="1" applyFont="1" applyBorder="1" applyAlignment="1">
      <alignment horizontal="right"/>
    </xf>
    <xf numFmtId="1" fontId="32" fillId="0" borderId="228" xfId="0" applyNumberFormat="1" applyFont="1" applyBorder="1" applyAlignment="1">
      <alignment horizontal="right"/>
    </xf>
    <xf numFmtId="1" fontId="32" fillId="0" borderId="226" xfId="0" applyNumberFormat="1" applyFont="1" applyBorder="1" applyAlignment="1">
      <alignment horizontal="right"/>
    </xf>
    <xf numFmtId="1" fontId="32" fillId="0" borderId="1187" xfId="0" applyNumberFormat="1" applyFont="1" applyBorder="1" applyAlignment="1">
      <alignment horizontal="right"/>
    </xf>
    <xf numFmtId="1" fontId="32" fillId="0" borderId="1188" xfId="0" applyNumberFormat="1" applyFont="1" applyBorder="1" applyAlignment="1">
      <alignment horizontal="right"/>
    </xf>
    <xf numFmtId="1" fontId="32" fillId="0" borderId="1151" xfId="0" applyNumberFormat="1" applyFont="1" applyBorder="1" applyAlignment="1">
      <alignment horizontal="right"/>
    </xf>
    <xf numFmtId="1" fontId="32" fillId="0" borderId="41" xfId="0" applyNumberFormat="1" applyFont="1" applyBorder="1" applyAlignment="1">
      <alignment horizontal="right"/>
    </xf>
    <xf numFmtId="1" fontId="32" fillId="0" borderId="63" xfId="0" applyNumberFormat="1" applyFont="1" applyBorder="1" applyAlignment="1">
      <alignment horizontal="right"/>
    </xf>
    <xf numFmtId="1" fontId="32" fillId="0" borderId="31" xfId="0" applyNumberFormat="1" applyFont="1" applyBorder="1" applyAlignment="1">
      <alignment horizontal="right"/>
    </xf>
    <xf numFmtId="1" fontId="32" fillId="0" borderId="142" xfId="0" applyNumberFormat="1" applyFont="1" applyBorder="1" applyAlignment="1">
      <alignment horizontal="right"/>
    </xf>
    <xf numFmtId="1" fontId="32" fillId="0" borderId="136" xfId="0" applyNumberFormat="1" applyFont="1" applyBorder="1" applyAlignment="1">
      <alignment horizontal="right"/>
    </xf>
    <xf numFmtId="1" fontId="32" fillId="0" borderId="1194" xfId="0" applyNumberFormat="1" applyFont="1" applyBorder="1" applyAlignment="1">
      <alignment horizontal="right"/>
    </xf>
    <xf numFmtId="1" fontId="32" fillId="0" borderId="383" xfId="0" applyNumberFormat="1" applyFont="1" applyBorder="1" applyAlignment="1">
      <alignment horizontal="right"/>
    </xf>
    <xf numFmtId="1" fontId="32" fillId="0" borderId="1082" xfId="0" applyNumberFormat="1" applyFont="1" applyBorder="1" applyAlignment="1">
      <alignment horizontal="right"/>
    </xf>
    <xf numFmtId="1" fontId="32" fillId="0" borderId="1081" xfId="0" applyNumberFormat="1" applyFont="1" applyBorder="1" applyAlignment="1">
      <alignment horizontal="right"/>
    </xf>
    <xf numFmtId="1" fontId="32" fillId="0" borderId="200" xfId="0" applyNumberFormat="1" applyFont="1" applyBorder="1"/>
    <xf numFmtId="1" fontId="72" fillId="0" borderId="196" xfId="0" applyNumberFormat="1" applyFont="1" applyBorder="1"/>
    <xf numFmtId="1" fontId="32" fillId="0" borderId="1170" xfId="0" applyNumberFormat="1" applyFont="1" applyBorder="1" applyAlignment="1">
      <alignment horizontal="center" vertical="center" wrapText="1"/>
    </xf>
    <xf numFmtId="1" fontId="32" fillId="0" borderId="2258" xfId="0" applyNumberFormat="1" applyFont="1" applyBorder="1"/>
    <xf numFmtId="1" fontId="72" fillId="17" borderId="196" xfId="0" applyNumberFormat="1" applyFont="1" applyFill="1" applyBorder="1" applyProtection="1">
      <protection locked="0"/>
    </xf>
    <xf numFmtId="1" fontId="32" fillId="4" borderId="38" xfId="0" applyNumberFormat="1" applyFont="1" applyFill="1" applyBorder="1"/>
    <xf numFmtId="1" fontId="32" fillId="4" borderId="50" xfId="0" applyNumberFormat="1" applyFont="1" applyFill="1" applyBorder="1"/>
    <xf numFmtId="1" fontId="32" fillId="0" borderId="1519" xfId="0" applyNumberFormat="1" applyFont="1" applyBorder="1"/>
    <xf numFmtId="1" fontId="32" fillId="0" borderId="105" xfId="0" applyNumberFormat="1" applyFont="1" applyBorder="1"/>
    <xf numFmtId="1" fontId="32" fillId="0" borderId="272" xfId="0" applyNumberFormat="1" applyFont="1" applyBorder="1"/>
    <xf numFmtId="1" fontId="32" fillId="0" borderId="268" xfId="0" applyNumberFormat="1" applyFont="1" applyBorder="1"/>
    <xf numFmtId="1" fontId="32" fillId="0" borderId="311" xfId="0" applyNumberFormat="1" applyFont="1" applyBorder="1"/>
    <xf numFmtId="1" fontId="32" fillId="5" borderId="0" xfId="0" applyNumberFormat="1" applyFont="1" applyFill="1" applyProtection="1">
      <protection locked="0"/>
    </xf>
    <xf numFmtId="1" fontId="32" fillId="14" borderId="302" xfId="0" applyNumberFormat="1" applyFont="1" applyFill="1" applyBorder="1"/>
    <xf numFmtId="1" fontId="32" fillId="0" borderId="302" xfId="0" applyNumberFormat="1" applyFont="1" applyBorder="1"/>
    <xf numFmtId="1" fontId="76" fillId="0" borderId="303" xfId="0" applyNumberFormat="1" applyFont="1" applyBorder="1"/>
    <xf numFmtId="1" fontId="76" fillId="0" borderId="302" xfId="0" applyNumberFormat="1" applyFont="1" applyBorder="1"/>
    <xf numFmtId="1" fontId="76" fillId="0" borderId="99" xfId="0" applyNumberFormat="1" applyFont="1" applyBorder="1"/>
    <xf numFmtId="1" fontId="76" fillId="0" borderId="77" xfId="0" applyNumberFormat="1" applyFont="1" applyBorder="1"/>
    <xf numFmtId="1" fontId="76" fillId="0" borderId="108" xfId="0" applyNumberFormat="1" applyFont="1" applyBorder="1"/>
    <xf numFmtId="1" fontId="62" fillId="14" borderId="77" xfId="0" applyNumberFormat="1" applyFont="1" applyFill="1" applyBorder="1"/>
    <xf numFmtId="1" fontId="32" fillId="0" borderId="438" xfId="0" applyNumberFormat="1" applyFont="1" applyBorder="1" applyAlignment="1">
      <alignment horizontal="center" vertical="center" wrapText="1"/>
    </xf>
    <xf numFmtId="1" fontId="32" fillId="0" borderId="439" xfId="0" applyNumberFormat="1" applyFont="1" applyBorder="1" applyAlignment="1">
      <alignment horizontal="center" vertical="center" wrapText="1"/>
    </xf>
    <xf numFmtId="1" fontId="32" fillId="0" borderId="281" xfId="0" applyNumberFormat="1" applyFont="1" applyBorder="1" applyAlignment="1">
      <alignment wrapText="1"/>
    </xf>
    <xf numFmtId="1" fontId="32" fillId="0" borderId="290" xfId="0" applyNumberFormat="1" applyFont="1" applyBorder="1" applyAlignment="1">
      <alignment wrapText="1"/>
    </xf>
    <xf numFmtId="1" fontId="32" fillId="5" borderId="68" xfId="0" applyNumberFormat="1" applyFont="1" applyFill="1" applyBorder="1" applyProtection="1">
      <protection locked="0"/>
    </xf>
    <xf numFmtId="1" fontId="32" fillId="5" borderId="301" xfId="0" applyNumberFormat="1" applyFont="1" applyFill="1" applyBorder="1" applyProtection="1">
      <protection locked="0"/>
    </xf>
    <xf numFmtId="1" fontId="32" fillId="5" borderId="9" xfId="0" applyNumberFormat="1" applyFont="1" applyFill="1" applyBorder="1" applyProtection="1">
      <protection locked="0"/>
    </xf>
    <xf numFmtId="1" fontId="32" fillId="5" borderId="2245" xfId="0" applyNumberFormat="1" applyFont="1" applyFill="1" applyBorder="1" applyProtection="1">
      <protection locked="0"/>
    </xf>
    <xf numFmtId="1" fontId="32" fillId="12" borderId="225" xfId="0" applyNumberFormat="1" applyFont="1" applyFill="1" applyBorder="1" applyAlignment="1">
      <alignment horizontal="center"/>
    </xf>
    <xf numFmtId="1" fontId="32" fillId="12" borderId="226" xfId="0" applyNumberFormat="1" applyFont="1" applyFill="1" applyBorder="1" applyAlignment="1">
      <alignment horizontal="center"/>
    </xf>
    <xf numFmtId="1" fontId="32" fillId="0" borderId="274" xfId="0" applyNumberFormat="1" applyFont="1" applyBorder="1" applyAlignment="1">
      <alignment wrapText="1"/>
    </xf>
    <xf numFmtId="1" fontId="32" fillId="0" borderId="276" xfId="0" applyNumberFormat="1" applyFont="1" applyBorder="1" applyAlignment="1">
      <alignment wrapText="1"/>
    </xf>
    <xf numFmtId="1" fontId="32" fillId="0" borderId="279" xfId="0" applyNumberFormat="1" applyFont="1" applyBorder="1" applyAlignment="1">
      <alignment wrapText="1"/>
    </xf>
    <xf numFmtId="1" fontId="32" fillId="5" borderId="299" xfId="0" applyNumberFormat="1" applyFont="1" applyFill="1" applyBorder="1" applyProtection="1">
      <protection locked="0"/>
    </xf>
    <xf numFmtId="1" fontId="32" fillId="5" borderId="2252" xfId="0" applyNumberFormat="1" applyFont="1" applyFill="1" applyBorder="1" applyProtection="1">
      <protection locked="0"/>
    </xf>
    <xf numFmtId="1" fontId="32" fillId="0" borderId="21" xfId="0" applyNumberFormat="1" applyFont="1" applyBorder="1" applyAlignment="1">
      <alignment wrapText="1"/>
    </xf>
    <xf numFmtId="1" fontId="32" fillId="0" borderId="142" xfId="0" applyNumberFormat="1" applyFont="1" applyBorder="1" applyAlignment="1">
      <alignment wrapText="1"/>
    </xf>
    <xf numFmtId="1" fontId="32" fillId="0" borderId="136" xfId="0" applyNumberFormat="1" applyFont="1" applyBorder="1" applyAlignment="1">
      <alignment wrapText="1"/>
    </xf>
    <xf numFmtId="1" fontId="32" fillId="0" borderId="177" xfId="0" applyNumberFormat="1" applyFont="1" applyBorder="1" applyAlignment="1">
      <alignment wrapText="1"/>
    </xf>
    <xf numFmtId="1" fontId="32" fillId="5" borderId="175" xfId="0" applyNumberFormat="1" applyFont="1" applyFill="1" applyBorder="1" applyProtection="1">
      <protection locked="0"/>
    </xf>
    <xf numFmtId="1" fontId="32" fillId="5" borderId="82" xfId="0" applyNumberFormat="1" applyFont="1" applyFill="1" applyBorder="1" applyProtection="1">
      <protection locked="0"/>
    </xf>
    <xf numFmtId="1" fontId="32" fillId="5" borderId="370" xfId="0" applyNumberFormat="1" applyFont="1" applyFill="1" applyBorder="1" applyProtection="1">
      <protection locked="0"/>
    </xf>
    <xf numFmtId="1" fontId="32" fillId="0" borderId="228" xfId="0" applyNumberFormat="1" applyFont="1" applyBorder="1" applyAlignment="1">
      <alignment wrapText="1"/>
    </xf>
    <xf numFmtId="1" fontId="32" fillId="5" borderId="226" xfId="0" applyNumberFormat="1" applyFont="1" applyFill="1" applyBorder="1" applyProtection="1">
      <protection locked="0"/>
    </xf>
    <xf numFmtId="1" fontId="32" fillId="0" borderId="33" xfId="0" applyNumberFormat="1" applyFont="1" applyBorder="1" applyAlignment="1">
      <alignment wrapText="1"/>
    </xf>
    <xf numFmtId="1" fontId="32" fillId="0" borderId="65" xfId="0" applyNumberFormat="1" applyFont="1" applyBorder="1" applyAlignment="1">
      <alignment wrapText="1"/>
    </xf>
    <xf numFmtId="1" fontId="32" fillId="5" borderId="33" xfId="0" applyNumberFormat="1" applyFont="1" applyFill="1" applyBorder="1" applyProtection="1">
      <protection locked="0"/>
    </xf>
    <xf numFmtId="1" fontId="63" fillId="0" borderId="225" xfId="0" applyNumberFormat="1" applyFont="1" applyBorder="1"/>
    <xf numFmtId="1" fontId="63" fillId="0" borderId="226" xfId="0" applyNumberFormat="1" applyFont="1" applyBorder="1"/>
    <xf numFmtId="1" fontId="32" fillId="0" borderId="31" xfId="0" applyNumberFormat="1" applyFont="1" applyBorder="1" applyAlignment="1">
      <alignment wrapText="1"/>
    </xf>
    <xf numFmtId="1" fontId="32" fillId="0" borderId="41" xfId="0" applyNumberFormat="1" applyFont="1" applyBorder="1" applyAlignment="1">
      <alignment wrapText="1"/>
    </xf>
    <xf numFmtId="1" fontId="32" fillId="0" borderId="63" xfId="0" applyNumberFormat="1" applyFont="1" applyBorder="1" applyAlignment="1">
      <alignment wrapText="1"/>
    </xf>
    <xf numFmtId="1" fontId="32" fillId="5" borderId="81" xfId="0" applyNumberFormat="1" applyFont="1" applyFill="1" applyBorder="1" applyProtection="1">
      <protection locked="0"/>
    </xf>
    <xf numFmtId="1" fontId="32" fillId="0" borderId="50" xfId="0" applyNumberFormat="1" applyFont="1" applyBorder="1" applyAlignment="1">
      <alignment wrapText="1"/>
    </xf>
    <xf numFmtId="1" fontId="32" fillId="0" borderId="38" xfId="0" applyNumberFormat="1" applyFont="1" applyBorder="1" applyAlignment="1">
      <alignment wrapText="1"/>
    </xf>
    <xf numFmtId="1" fontId="32" fillId="0" borderId="62" xfId="0" applyNumberFormat="1" applyFont="1" applyBorder="1" applyAlignment="1">
      <alignment wrapText="1"/>
    </xf>
    <xf numFmtId="1" fontId="32" fillId="0" borderId="72" xfId="0" applyNumberFormat="1" applyFont="1" applyBorder="1" applyAlignment="1">
      <alignment wrapText="1"/>
    </xf>
    <xf numFmtId="1" fontId="32" fillId="5" borderId="80" xfId="0" applyNumberFormat="1" applyFont="1" applyFill="1" applyBorder="1" applyProtection="1">
      <protection locked="0"/>
    </xf>
    <xf numFmtId="1" fontId="32" fillId="0" borderId="69" xfId="0" applyNumberFormat="1" applyFont="1" applyBorder="1" applyAlignment="1">
      <alignment wrapText="1"/>
    </xf>
    <xf numFmtId="1" fontId="32" fillId="4" borderId="65" xfId="0" applyNumberFormat="1" applyFont="1" applyFill="1" applyBorder="1"/>
    <xf numFmtId="1" fontId="32" fillId="4" borderId="601" xfId="0" applyNumberFormat="1" applyFont="1" applyFill="1" applyBorder="1"/>
    <xf numFmtId="1" fontId="32" fillId="4" borderId="607" xfId="0" applyNumberFormat="1" applyFont="1" applyFill="1" applyBorder="1"/>
    <xf numFmtId="1" fontId="32" fillId="5" borderId="612" xfId="0" applyNumberFormat="1" applyFont="1" applyFill="1" applyBorder="1" applyProtection="1">
      <protection locked="0"/>
    </xf>
    <xf numFmtId="1" fontId="32" fillId="5" borderId="577" xfId="0" applyNumberFormat="1" applyFont="1" applyFill="1" applyBorder="1" applyProtection="1">
      <protection locked="0"/>
    </xf>
    <xf numFmtId="1" fontId="32" fillId="5" borderId="640" xfId="0" applyNumberFormat="1" applyFont="1" applyFill="1" applyBorder="1" applyProtection="1">
      <protection locked="0"/>
    </xf>
    <xf numFmtId="1" fontId="32" fillId="0" borderId="71" xfId="6" applyNumberFormat="1" applyFont="1" applyBorder="1" applyAlignment="1">
      <alignment wrapText="1"/>
    </xf>
    <xf numFmtId="1" fontId="32" fillId="0" borderId="69" xfId="6" applyNumberFormat="1" applyFont="1" applyBorder="1" applyAlignment="1">
      <alignment wrapText="1"/>
    </xf>
    <xf numFmtId="1" fontId="32" fillId="0" borderId="291" xfId="6" applyNumberFormat="1" applyFont="1" applyBorder="1" applyAlignment="1">
      <alignment wrapText="1"/>
    </xf>
    <xf numFmtId="1" fontId="32" fillId="0" borderId="30" xfId="0" applyNumberFormat="1" applyFont="1" applyBorder="1" applyAlignment="1">
      <alignment wrapText="1"/>
    </xf>
    <xf numFmtId="1" fontId="32" fillId="0" borderId="278" xfId="0" applyNumberFormat="1" applyFont="1" applyBorder="1" applyAlignment="1">
      <alignment wrapText="1"/>
    </xf>
    <xf numFmtId="1" fontId="32" fillId="5" borderId="2197" xfId="0" applyNumberFormat="1" applyFont="1" applyFill="1" applyBorder="1" applyProtection="1">
      <protection locked="0"/>
    </xf>
    <xf numFmtId="1" fontId="32" fillId="0" borderId="1155" xfId="0" applyNumberFormat="1" applyFont="1" applyBorder="1" applyAlignment="1">
      <alignment wrapText="1"/>
    </xf>
    <xf numFmtId="1" fontId="32" fillId="0" borderId="1154" xfId="0" applyNumberFormat="1" applyFont="1" applyBorder="1" applyAlignment="1">
      <alignment wrapText="1"/>
    </xf>
    <xf numFmtId="1" fontId="32" fillId="0" borderId="1193" xfId="0" applyNumberFormat="1" applyFont="1" applyBorder="1" applyAlignment="1">
      <alignment wrapText="1"/>
    </xf>
    <xf numFmtId="1" fontId="32" fillId="0" borderId="20" xfId="0" applyNumberFormat="1" applyFont="1" applyBorder="1" applyAlignment="1">
      <alignment wrapText="1"/>
    </xf>
    <xf numFmtId="1" fontId="32" fillId="0" borderId="45" xfId="0" applyNumberFormat="1" applyFont="1" applyBorder="1" applyAlignment="1">
      <alignment wrapText="1"/>
    </xf>
    <xf numFmtId="1" fontId="32" fillId="5" borderId="70" xfId="0" applyNumberFormat="1" applyFont="1" applyFill="1" applyBorder="1" applyProtection="1">
      <protection locked="0"/>
    </xf>
    <xf numFmtId="1" fontId="32" fillId="0" borderId="719" xfId="0" applyNumberFormat="1" applyFont="1" applyBorder="1" applyAlignment="1">
      <alignment wrapText="1"/>
    </xf>
    <xf numFmtId="1" fontId="32" fillId="5" borderId="84" xfId="0" applyNumberFormat="1" applyFont="1" applyFill="1" applyBorder="1" applyProtection="1">
      <protection locked="0"/>
    </xf>
    <xf numFmtId="1" fontId="32" fillId="0" borderId="51" xfId="0" applyNumberFormat="1" applyFont="1" applyBorder="1" applyAlignment="1">
      <alignment wrapText="1"/>
    </xf>
    <xf numFmtId="1" fontId="32" fillId="0" borderId="175" xfId="0" applyNumberFormat="1" applyFont="1" applyBorder="1" applyAlignment="1">
      <alignment wrapText="1"/>
    </xf>
    <xf numFmtId="1" fontId="32" fillId="5" borderId="94" xfId="0" applyNumberFormat="1" applyFont="1" applyFill="1" applyBorder="1" applyProtection="1">
      <protection locked="0"/>
    </xf>
    <xf numFmtId="1" fontId="32" fillId="0" borderId="70" xfId="0" applyNumberFormat="1" applyFont="1" applyBorder="1" applyAlignment="1">
      <alignment wrapText="1"/>
    </xf>
    <xf numFmtId="1" fontId="32" fillId="5" borderId="1946" xfId="0" applyNumberFormat="1" applyFont="1" applyFill="1" applyBorder="1" applyProtection="1">
      <protection locked="0"/>
    </xf>
    <xf numFmtId="1" fontId="32" fillId="5" borderId="1947" xfId="0" applyNumberFormat="1" applyFont="1" applyFill="1" applyBorder="1" applyProtection="1">
      <protection locked="0"/>
    </xf>
    <xf numFmtId="1" fontId="32" fillId="5" borderId="1948" xfId="0" applyNumberFormat="1" applyFont="1" applyFill="1" applyBorder="1" applyProtection="1">
      <protection locked="0"/>
    </xf>
    <xf numFmtId="1" fontId="32" fillId="5" borderId="2242" xfId="0" applyNumberFormat="1" applyFont="1" applyFill="1" applyBorder="1" applyProtection="1">
      <protection locked="0"/>
    </xf>
    <xf numFmtId="1" fontId="32" fillId="0" borderId="576" xfId="0" applyNumberFormat="1" applyFont="1" applyBorder="1" applyAlignment="1">
      <alignment wrapText="1"/>
    </xf>
    <xf numFmtId="1" fontId="32" fillId="0" borderId="575" xfId="0" applyNumberFormat="1" applyFont="1" applyBorder="1" applyAlignment="1">
      <alignment wrapText="1"/>
    </xf>
    <xf numFmtId="1" fontId="32" fillId="5" borderId="713" xfId="0" applyNumberFormat="1" applyFont="1" applyFill="1" applyBorder="1" applyProtection="1">
      <protection locked="0"/>
    </xf>
    <xf numFmtId="1" fontId="32" fillId="5" borderId="779" xfId="0" applyNumberFormat="1" applyFont="1" applyFill="1" applyBorder="1" applyProtection="1">
      <protection locked="0"/>
    </xf>
    <xf numFmtId="1" fontId="32" fillId="0" borderId="660" xfId="0" applyNumberFormat="1" applyFont="1" applyBorder="1" applyAlignment="1">
      <alignment wrapText="1"/>
    </xf>
    <xf numFmtId="1" fontId="32" fillId="0" borderId="661" xfId="0" applyNumberFormat="1" applyFont="1" applyBorder="1" applyAlignment="1">
      <alignment wrapText="1"/>
    </xf>
    <xf numFmtId="1" fontId="32" fillId="0" borderId="668" xfId="0" applyNumberFormat="1" applyFont="1" applyBorder="1" applyAlignment="1">
      <alignment wrapText="1"/>
    </xf>
    <xf numFmtId="1" fontId="32" fillId="5" borderId="133" xfId="0" applyNumberFormat="1" applyFont="1" applyFill="1" applyBorder="1" applyProtection="1">
      <protection locked="0"/>
    </xf>
    <xf numFmtId="1" fontId="32" fillId="5" borderId="435" xfId="0" applyNumberFormat="1" applyFont="1" applyFill="1" applyBorder="1" applyProtection="1">
      <protection locked="0"/>
    </xf>
    <xf numFmtId="1" fontId="32" fillId="0" borderId="601" xfId="0" applyNumberFormat="1" applyFont="1" applyBorder="1" applyAlignment="1">
      <alignment wrapText="1"/>
    </xf>
    <xf numFmtId="1" fontId="32" fillId="0" borderId="602" xfId="0" applyNumberFormat="1" applyFont="1" applyBorder="1" applyAlignment="1">
      <alignment wrapText="1"/>
    </xf>
    <xf numFmtId="1" fontId="32" fillId="0" borderId="604" xfId="0" applyNumberFormat="1" applyFont="1" applyBorder="1" applyAlignment="1">
      <alignment wrapText="1"/>
    </xf>
    <xf numFmtId="1" fontId="32" fillId="0" borderId="574" xfId="0" applyNumberFormat="1" applyFont="1" applyBorder="1" applyAlignment="1">
      <alignment wrapText="1"/>
    </xf>
    <xf numFmtId="1" fontId="32" fillId="0" borderId="595" xfId="0" applyNumberFormat="1" applyFont="1" applyBorder="1" applyAlignment="1">
      <alignment wrapText="1"/>
    </xf>
    <xf numFmtId="1" fontId="32" fillId="0" borderId="596" xfId="0" applyNumberFormat="1" applyFont="1" applyBorder="1" applyAlignment="1">
      <alignment wrapText="1"/>
    </xf>
    <xf numFmtId="1" fontId="32" fillId="0" borderId="597" xfId="0" applyNumberFormat="1" applyFont="1" applyBorder="1" applyAlignment="1">
      <alignment wrapText="1"/>
    </xf>
    <xf numFmtId="1" fontId="32" fillId="0" borderId="408" xfId="0" applyNumberFormat="1" applyFont="1" applyBorder="1" applyAlignment="1">
      <alignment wrapText="1"/>
    </xf>
    <xf numFmtId="1" fontId="32" fillId="0" borderId="382" xfId="0" applyNumberFormat="1" applyFont="1" applyBorder="1" applyAlignment="1">
      <alignment wrapText="1"/>
    </xf>
    <xf numFmtId="1" fontId="32" fillId="0" borderId="517" xfId="0" applyNumberFormat="1" applyFont="1" applyBorder="1" applyAlignment="1">
      <alignment wrapText="1"/>
    </xf>
    <xf numFmtId="1" fontId="32" fillId="15" borderId="86" xfId="0" applyNumberFormat="1" applyFont="1" applyFill="1" applyBorder="1" applyProtection="1">
      <protection locked="0"/>
    </xf>
    <xf numFmtId="1" fontId="32" fillId="15" borderId="24" xfId="0" applyNumberFormat="1" applyFont="1" applyFill="1" applyBorder="1" applyProtection="1">
      <protection locked="0"/>
    </xf>
    <xf numFmtId="1" fontId="32" fillId="0" borderId="231" xfId="0" applyNumberFormat="1" applyFont="1" applyBorder="1" applyAlignment="1">
      <alignment horizontal="center" vertical="center"/>
    </xf>
    <xf numFmtId="1" fontId="32" fillId="0" borderId="1950" xfId="0" applyNumberFormat="1" applyFont="1" applyBorder="1" applyAlignment="1">
      <alignment horizontal="center" vertical="center" wrapText="1"/>
    </xf>
    <xf numFmtId="1" fontId="32" fillId="0" borderId="1929" xfId="0" applyNumberFormat="1" applyFont="1" applyBorder="1" applyAlignment="1">
      <alignment horizontal="center" vertical="center" wrapText="1"/>
    </xf>
    <xf numFmtId="1" fontId="32" fillId="0" borderId="1930" xfId="0" applyNumberFormat="1" applyFont="1" applyBorder="1" applyAlignment="1">
      <alignment horizontal="center" vertical="center" wrapText="1"/>
    </xf>
    <xf numFmtId="1" fontId="32" fillId="5" borderId="145" xfId="0" applyNumberFormat="1" applyFont="1" applyFill="1" applyBorder="1" applyProtection="1">
      <protection locked="0"/>
    </xf>
    <xf numFmtId="1" fontId="32" fillId="5" borderId="144" xfId="0" applyNumberFormat="1" applyFont="1" applyFill="1" applyBorder="1" applyProtection="1">
      <protection locked="0"/>
    </xf>
    <xf numFmtId="1" fontId="32" fillId="12" borderId="242" xfId="0" applyNumberFormat="1" applyFont="1" applyFill="1" applyBorder="1"/>
    <xf numFmtId="1" fontId="32" fillId="12" borderId="240" xfId="0" applyNumberFormat="1" applyFont="1" applyFill="1" applyBorder="1"/>
    <xf numFmtId="1" fontId="32" fillId="0" borderId="275" xfId="0" applyNumberFormat="1" applyFont="1" applyBorder="1" applyAlignment="1">
      <alignment wrapText="1"/>
    </xf>
    <xf numFmtId="1" fontId="32" fillId="5" borderId="295" xfId="0" applyNumberFormat="1" applyFont="1" applyFill="1" applyBorder="1" applyProtection="1">
      <protection locked="0"/>
    </xf>
    <xf numFmtId="1" fontId="32" fillId="5" borderId="102" xfId="0" applyNumberFormat="1" applyFont="1" applyFill="1" applyBorder="1" applyProtection="1">
      <protection locked="0"/>
    </xf>
    <xf numFmtId="1" fontId="32" fillId="0" borderId="231" xfId="0" applyNumberFormat="1" applyFont="1" applyBorder="1" applyAlignment="1">
      <alignment wrapText="1"/>
    </xf>
    <xf numFmtId="1" fontId="32" fillId="5" borderId="297" xfId="0" applyNumberFormat="1" applyFont="1" applyFill="1" applyBorder="1" applyProtection="1">
      <protection locked="0"/>
    </xf>
    <xf numFmtId="1" fontId="32" fillId="5" borderId="231" xfId="0" applyNumberFormat="1" applyFont="1" applyFill="1" applyBorder="1" applyProtection="1">
      <protection locked="0"/>
    </xf>
    <xf numFmtId="1" fontId="32" fillId="5" borderId="104" xfId="0" applyNumberFormat="1" applyFont="1" applyFill="1" applyBorder="1" applyProtection="1">
      <protection locked="0"/>
    </xf>
    <xf numFmtId="1" fontId="32" fillId="5" borderId="64" xfId="0" applyNumberFormat="1" applyFont="1" applyFill="1" applyBorder="1" applyProtection="1">
      <protection locked="0"/>
    </xf>
    <xf numFmtId="1" fontId="32" fillId="5" borderId="100" xfId="0" applyNumberFormat="1" applyFont="1" applyFill="1" applyBorder="1" applyProtection="1">
      <protection locked="0"/>
    </xf>
    <xf numFmtId="1" fontId="32" fillId="5" borderId="55" xfId="0" applyNumberFormat="1" applyFont="1" applyFill="1" applyBorder="1" applyProtection="1">
      <protection locked="0"/>
    </xf>
    <xf numFmtId="1" fontId="32" fillId="0" borderId="59" xfId="0" applyNumberFormat="1" applyFont="1" applyBorder="1" applyAlignment="1">
      <alignment wrapText="1"/>
    </xf>
    <xf numFmtId="1" fontId="32" fillId="4" borderId="62" xfId="0" applyNumberFormat="1" applyFont="1" applyFill="1" applyBorder="1"/>
    <xf numFmtId="1" fontId="32" fillId="12" borderId="0" xfId="0" applyNumberFormat="1" applyFont="1" applyFill="1"/>
    <xf numFmtId="1" fontId="32" fillId="0" borderId="37" xfId="6" applyNumberFormat="1" applyFont="1" applyBorder="1" applyAlignment="1">
      <alignment wrapText="1"/>
    </xf>
    <xf numFmtId="1" fontId="32" fillId="0" borderId="29" xfId="6" applyNumberFormat="1" applyFont="1" applyBorder="1" applyAlignment="1">
      <alignment wrapText="1"/>
    </xf>
    <xf numFmtId="1" fontId="32" fillId="5" borderId="761" xfId="0" applyNumberFormat="1" applyFont="1" applyFill="1" applyBorder="1" applyProtection="1">
      <protection locked="0"/>
    </xf>
    <xf numFmtId="1" fontId="32" fillId="0" borderId="292" xfId="0" applyNumberFormat="1" applyFont="1" applyBorder="1" applyAlignment="1">
      <alignment wrapText="1"/>
    </xf>
    <xf numFmtId="1" fontId="32" fillId="0" borderId="23" xfId="0" applyNumberFormat="1" applyFont="1" applyBorder="1" applyAlignment="1">
      <alignment wrapText="1"/>
    </xf>
    <xf numFmtId="1" fontId="32" fillId="0" borderId="2242" xfId="0" applyNumberFormat="1" applyFont="1" applyBorder="1" applyAlignment="1">
      <alignment wrapText="1"/>
    </xf>
    <xf numFmtId="1" fontId="32" fillId="0" borderId="2238" xfId="0" applyNumberFormat="1" applyFont="1" applyBorder="1" applyAlignment="1">
      <alignment wrapText="1"/>
    </xf>
    <xf numFmtId="1" fontId="32" fillId="0" borderId="2252" xfId="0" applyNumberFormat="1" applyFont="1" applyBorder="1" applyAlignment="1">
      <alignment wrapText="1"/>
    </xf>
    <xf numFmtId="1" fontId="32" fillId="5" borderId="1951" xfId="0" applyNumberFormat="1" applyFont="1" applyFill="1" applyBorder="1" applyProtection="1">
      <protection locked="0"/>
    </xf>
    <xf numFmtId="1" fontId="32" fillId="5" borderId="1952" xfId="0" applyNumberFormat="1" applyFont="1" applyFill="1" applyBorder="1" applyProtection="1">
      <protection locked="0"/>
    </xf>
    <xf numFmtId="1" fontId="32" fillId="5" borderId="1953" xfId="0" applyNumberFormat="1" applyFont="1" applyFill="1" applyBorder="1" applyProtection="1">
      <protection locked="0"/>
    </xf>
    <xf numFmtId="1" fontId="32" fillId="0" borderId="824" xfId="0" applyNumberFormat="1" applyFont="1" applyBorder="1" applyAlignment="1">
      <alignment wrapText="1"/>
    </xf>
    <xf numFmtId="1" fontId="32" fillId="0" borderId="724" xfId="0" applyNumberFormat="1" applyFont="1" applyBorder="1" applyAlignment="1">
      <alignment wrapText="1"/>
    </xf>
    <xf numFmtId="1" fontId="32" fillId="0" borderId="828" xfId="0" applyNumberFormat="1" applyFont="1" applyBorder="1" applyAlignment="1">
      <alignment wrapText="1"/>
    </xf>
    <xf numFmtId="1" fontId="32" fillId="5" borderId="2276" xfId="0" applyNumberFormat="1" applyFont="1" applyFill="1" applyBorder="1" applyProtection="1">
      <protection locked="0"/>
    </xf>
    <xf numFmtId="1" fontId="32" fillId="5" borderId="2277" xfId="0" applyNumberFormat="1" applyFont="1" applyFill="1" applyBorder="1" applyProtection="1">
      <protection locked="0"/>
    </xf>
    <xf numFmtId="1" fontId="32" fillId="5" borderId="2278" xfId="0" applyNumberFormat="1" applyFont="1" applyFill="1" applyBorder="1" applyProtection="1">
      <protection locked="0"/>
    </xf>
    <xf numFmtId="1" fontId="32" fillId="0" borderId="691" xfId="0" applyNumberFormat="1" applyFont="1" applyBorder="1" applyAlignment="1">
      <alignment wrapText="1"/>
    </xf>
    <xf numFmtId="1" fontId="32" fillId="0" borderId="693" xfId="0" applyNumberFormat="1" applyFont="1" applyBorder="1" applyAlignment="1">
      <alignment wrapText="1"/>
    </xf>
    <xf numFmtId="1" fontId="32" fillId="0" borderId="690" xfId="0" applyNumberFormat="1" applyFont="1" applyBorder="1" applyAlignment="1">
      <alignment wrapText="1"/>
    </xf>
    <xf numFmtId="1" fontId="32" fillId="5" borderId="695" xfId="0" applyNumberFormat="1" applyFont="1" applyFill="1" applyBorder="1" applyProtection="1">
      <protection locked="0"/>
    </xf>
    <xf numFmtId="1" fontId="32" fillId="15" borderId="21" xfId="0" applyNumberFormat="1" applyFont="1" applyFill="1" applyBorder="1" applyProtection="1">
      <protection locked="0"/>
    </xf>
    <xf numFmtId="1" fontId="32" fillId="0" borderId="222" xfId="0" applyNumberFormat="1" applyFont="1" applyBorder="1" applyAlignment="1" applyProtection="1">
      <alignment horizontal="center" vertical="center" wrapText="1"/>
      <protection hidden="1"/>
    </xf>
    <xf numFmtId="1" fontId="32" fillId="0" borderId="238" xfId="0" applyNumberFormat="1" applyFont="1" applyBorder="1" applyAlignment="1" applyProtection="1">
      <alignment horizontal="center" vertical="center" wrapText="1"/>
      <protection hidden="1"/>
    </xf>
    <xf numFmtId="1" fontId="32" fillId="0" borderId="942" xfId="0" applyNumberFormat="1" applyFont="1" applyBorder="1" applyAlignment="1" applyProtection="1">
      <alignment horizontal="center" vertical="center"/>
      <protection hidden="1"/>
    </xf>
    <xf numFmtId="1" fontId="32" fillId="0" borderId="903" xfId="0" applyNumberFormat="1" applyFont="1" applyBorder="1" applyAlignment="1" applyProtection="1">
      <alignment horizontal="center" vertical="center"/>
      <protection hidden="1"/>
    </xf>
    <xf numFmtId="1" fontId="32" fillId="0" borderId="956" xfId="0" applyNumberFormat="1" applyFont="1" applyBorder="1" applyAlignment="1" applyProtection="1">
      <alignment horizontal="center" vertical="center"/>
      <protection hidden="1"/>
    </xf>
    <xf numFmtId="1" fontId="32" fillId="0" borderId="960" xfId="0" applyNumberFormat="1" applyFont="1" applyBorder="1" applyAlignment="1" applyProtection="1">
      <alignment horizontal="center" vertical="center"/>
      <protection hidden="1"/>
    </xf>
    <xf numFmtId="1" fontId="32" fillId="0" borderId="888" xfId="0" applyNumberFormat="1" applyFont="1" applyBorder="1" applyAlignment="1" applyProtection="1">
      <alignment horizontal="center" vertical="center"/>
      <protection hidden="1"/>
    </xf>
    <xf numFmtId="1" fontId="32" fillId="0" borderId="224" xfId="0" applyNumberFormat="1" applyFont="1" applyBorder="1" applyAlignment="1" applyProtection="1">
      <alignment wrapText="1"/>
      <protection hidden="1"/>
    </xf>
    <xf numFmtId="1" fontId="32" fillId="0" borderId="238" xfId="0" applyNumberFormat="1" applyFont="1" applyBorder="1" applyAlignment="1">
      <alignment horizontal="right" wrapText="1"/>
    </xf>
    <xf numFmtId="1" fontId="32" fillId="5" borderId="948" xfId="0" applyNumberFormat="1" applyFont="1" applyFill="1" applyBorder="1" applyProtection="1">
      <protection locked="0"/>
    </xf>
    <xf numFmtId="1" fontId="32" fillId="14" borderId="0" xfId="0" applyNumberFormat="1" applyFont="1" applyFill="1" applyAlignment="1" applyProtection="1">
      <alignment vertical="top" wrapText="1"/>
      <protection locked="0"/>
    </xf>
    <xf numFmtId="1" fontId="32" fillId="0" borderId="9" xfId="0" applyNumberFormat="1" applyFont="1" applyBorder="1" applyAlignment="1" applyProtection="1">
      <alignment wrapText="1"/>
      <protection hidden="1"/>
    </xf>
    <xf numFmtId="1" fontId="32" fillId="0" borderId="33" xfId="0" applyNumberFormat="1" applyFont="1" applyBorder="1" applyAlignment="1">
      <alignment horizontal="right" wrapText="1"/>
    </xf>
    <xf numFmtId="1" fontId="32" fillId="0" borderId="65" xfId="0" applyNumberFormat="1" applyFont="1" applyBorder="1" applyAlignment="1">
      <alignment horizontal="right" wrapText="1"/>
    </xf>
    <xf numFmtId="1" fontId="32" fillId="0" borderId="260" xfId="0" applyNumberFormat="1" applyFont="1" applyBorder="1"/>
    <xf numFmtId="1" fontId="32" fillId="14" borderId="260" xfId="0" applyNumberFormat="1" applyFont="1" applyFill="1" applyBorder="1"/>
    <xf numFmtId="1" fontId="32" fillId="0" borderId="289" xfId="0" applyNumberFormat="1" applyFont="1" applyBorder="1" applyAlignment="1">
      <alignment horizontal="center" vertical="center" wrapText="1"/>
    </xf>
    <xf numFmtId="1" fontId="32" fillId="0" borderId="280" xfId="0" applyNumberFormat="1" applyFont="1" applyBorder="1" applyAlignment="1">
      <alignment wrapText="1"/>
    </xf>
    <xf numFmtId="1" fontId="32" fillId="0" borderId="289" xfId="0" applyNumberFormat="1" applyFont="1" applyBorder="1" applyAlignment="1">
      <alignment wrapText="1"/>
    </xf>
    <xf numFmtId="1" fontId="32" fillId="0" borderId="226" xfId="0" applyNumberFormat="1" applyFont="1" applyBorder="1" applyAlignment="1">
      <alignment wrapText="1"/>
    </xf>
    <xf numFmtId="1" fontId="32" fillId="0" borderId="979" xfId="0" applyNumberFormat="1" applyFont="1" applyBorder="1"/>
    <xf numFmtId="1" fontId="32" fillId="0" borderId="51" xfId="0" applyNumberFormat="1" applyFont="1" applyBorder="1"/>
    <xf numFmtId="1" fontId="32" fillId="0" borderId="23" xfId="0" applyNumberFormat="1" applyFont="1" applyBorder="1"/>
    <xf numFmtId="1" fontId="32" fillId="2" borderId="285" xfId="15" applyNumberFormat="1" applyFont="1" applyBorder="1" applyProtection="1">
      <protection locked="0"/>
    </xf>
    <xf numFmtId="1" fontId="32" fillId="2" borderId="284" xfId="15" applyNumberFormat="1" applyFont="1" applyBorder="1" applyProtection="1">
      <protection locked="0"/>
    </xf>
    <xf numFmtId="1" fontId="32" fillId="2" borderId="283" xfId="15" applyNumberFormat="1" applyFont="1" applyBorder="1" applyProtection="1">
      <protection locked="0"/>
    </xf>
    <xf numFmtId="1" fontId="32" fillId="5" borderId="42" xfId="0" applyNumberFormat="1" applyFont="1" applyFill="1" applyBorder="1" applyProtection="1">
      <protection locked="0"/>
    </xf>
    <xf numFmtId="1" fontId="32" fillId="2" borderId="287" xfId="15" applyNumberFormat="1" applyFont="1" applyBorder="1" applyProtection="1">
      <protection locked="0"/>
    </xf>
    <xf numFmtId="1" fontId="32" fillId="2" borderId="286" xfId="15" applyNumberFormat="1" applyFont="1" applyBorder="1" applyProtection="1">
      <protection locked="0"/>
    </xf>
    <xf numFmtId="1" fontId="32" fillId="2" borderId="282" xfId="15" applyNumberFormat="1" applyFont="1" applyBorder="1" applyProtection="1">
      <protection locked="0"/>
    </xf>
    <xf numFmtId="1" fontId="32" fillId="0" borderId="654" xfId="0" applyNumberFormat="1" applyFont="1" applyBorder="1" applyAlignment="1">
      <alignment horizontal="center" vertical="center" wrapText="1"/>
    </xf>
    <xf numFmtId="1" fontId="32" fillId="0" borderId="674" xfId="0" applyNumberFormat="1" applyFont="1" applyBorder="1" applyAlignment="1">
      <alignment horizontal="center" vertical="center" wrapText="1"/>
    </xf>
    <xf numFmtId="1" fontId="32" fillId="0" borderId="498" xfId="0" applyNumberFormat="1" applyFont="1" applyBorder="1" applyAlignment="1">
      <alignment horizontal="center" vertical="center"/>
    </xf>
    <xf numFmtId="1" fontId="32" fillId="0" borderId="806" xfId="0" applyNumberFormat="1" applyFont="1" applyBorder="1" applyAlignment="1">
      <alignment horizontal="center" vertical="center" wrapText="1"/>
    </xf>
    <xf numFmtId="1" fontId="32" fillId="0" borderId="2405" xfId="0" applyNumberFormat="1" applyFont="1" applyBorder="1" applyAlignment="1">
      <alignment horizontal="center" vertical="center" wrapText="1"/>
    </xf>
    <xf numFmtId="1" fontId="32" fillId="0" borderId="2406" xfId="0" applyNumberFormat="1" applyFont="1" applyBorder="1" applyAlignment="1">
      <alignment horizontal="center" vertical="center" wrapText="1"/>
    </xf>
    <xf numFmtId="1" fontId="32" fillId="0" borderId="2413" xfId="0" applyNumberFormat="1" applyFont="1" applyBorder="1" applyAlignment="1">
      <alignment horizontal="center" vertical="center" wrapText="1"/>
    </xf>
    <xf numFmtId="1" fontId="32" fillId="0" borderId="2414" xfId="0" applyNumberFormat="1" applyFont="1" applyBorder="1" applyAlignment="1">
      <alignment horizontal="center" vertical="center" wrapText="1"/>
    </xf>
    <xf numFmtId="1" fontId="32" fillId="0" borderId="662" xfId="0" applyNumberFormat="1" applyFont="1" applyBorder="1" applyAlignment="1">
      <alignment wrapText="1"/>
    </xf>
    <xf numFmtId="1" fontId="32" fillId="0" borderId="630" xfId="0" applyNumberFormat="1" applyFont="1" applyBorder="1"/>
    <xf numFmtId="1" fontId="32" fillId="12" borderId="661" xfId="0" applyNumberFormat="1" applyFont="1" applyFill="1" applyBorder="1"/>
    <xf numFmtId="1" fontId="32" fillId="0" borderId="662" xfId="0" applyNumberFormat="1" applyFont="1" applyBorder="1"/>
    <xf numFmtId="1" fontId="32" fillId="12" borderId="799" xfId="0" applyNumberFormat="1" applyFont="1" applyFill="1" applyBorder="1"/>
    <xf numFmtId="1" fontId="32" fillId="12" borderId="2407" xfId="0" applyNumberFormat="1" applyFont="1" applyFill="1" applyBorder="1"/>
    <xf numFmtId="1" fontId="32" fillId="12" borderId="2408" xfId="0" applyNumberFormat="1" applyFont="1" applyFill="1" applyBorder="1"/>
    <xf numFmtId="1" fontId="32" fillId="5" borderId="2401" xfId="0" applyNumberFormat="1" applyFont="1" applyFill="1" applyBorder="1" applyProtection="1">
      <protection locked="0"/>
    </xf>
    <xf numFmtId="1" fontId="32" fillId="5" borderId="662" xfId="0" applyNumberFormat="1" applyFont="1" applyFill="1" applyBorder="1" applyProtection="1">
      <protection locked="0"/>
    </xf>
    <xf numFmtId="1" fontId="32" fillId="5" borderId="659" xfId="0" applyNumberFormat="1" applyFont="1" applyFill="1" applyBorder="1" applyProtection="1">
      <protection locked="0"/>
    </xf>
    <xf numFmtId="1" fontId="32" fillId="5" borderId="751" xfId="0" applyNumberFormat="1" applyFont="1" applyFill="1" applyBorder="1" applyProtection="1">
      <protection locked="0"/>
    </xf>
    <xf numFmtId="1" fontId="32" fillId="5" borderId="805" xfId="0" applyNumberFormat="1" applyFont="1" applyFill="1" applyBorder="1" applyProtection="1">
      <protection locked="0"/>
    </xf>
    <xf numFmtId="1" fontId="32" fillId="5" borderId="750" xfId="0" applyNumberFormat="1" applyFont="1" applyFill="1" applyBorder="1" applyProtection="1">
      <protection locked="0"/>
    </xf>
    <xf numFmtId="1" fontId="32" fillId="5" borderId="749" xfId="0" applyNumberFormat="1" applyFont="1" applyFill="1" applyBorder="1" applyProtection="1">
      <protection locked="0"/>
    </xf>
    <xf numFmtId="1" fontId="32" fillId="5" borderId="2405" xfId="0" applyNumberFormat="1" applyFont="1" applyFill="1" applyBorder="1" applyProtection="1">
      <protection locked="0"/>
    </xf>
    <xf numFmtId="1" fontId="32" fillId="5" borderId="2404" xfId="0" applyNumberFormat="1" applyFont="1" applyFill="1" applyBorder="1" applyProtection="1">
      <protection locked="0"/>
    </xf>
    <xf numFmtId="1" fontId="32" fillId="5" borderId="2402" xfId="0" applyNumberFormat="1" applyFont="1" applyFill="1" applyBorder="1" applyProtection="1">
      <protection locked="0"/>
    </xf>
    <xf numFmtId="1" fontId="32" fillId="5" borderId="655" xfId="0" applyNumberFormat="1" applyFont="1" applyFill="1" applyBorder="1" applyProtection="1">
      <protection locked="0"/>
    </xf>
    <xf numFmtId="1" fontId="32" fillId="5" borderId="663" xfId="0" applyNumberFormat="1" applyFont="1" applyFill="1" applyBorder="1" applyProtection="1">
      <protection locked="0"/>
    </xf>
    <xf numFmtId="1" fontId="32" fillId="0" borderId="2405" xfId="0" applyNumberFormat="1" applyFont="1" applyBorder="1"/>
    <xf numFmtId="1" fontId="32" fillId="0" borderId="2410" xfId="0" applyNumberFormat="1" applyFont="1" applyBorder="1"/>
    <xf numFmtId="1" fontId="32" fillId="0" borderId="2411" xfId="0" applyNumberFormat="1" applyFont="1" applyBorder="1"/>
    <xf numFmtId="1" fontId="32" fillId="5" borderId="2411" xfId="0" applyNumberFormat="1" applyFont="1" applyFill="1" applyBorder="1" applyProtection="1">
      <protection locked="0"/>
    </xf>
    <xf numFmtId="1" fontId="32" fillId="5" borderId="2417" xfId="0" applyNumberFormat="1" applyFont="1" applyFill="1" applyBorder="1" applyProtection="1">
      <protection locked="0"/>
    </xf>
    <xf numFmtId="1" fontId="32" fillId="5" borderId="2409" xfId="0" applyNumberFormat="1" applyFont="1" applyFill="1" applyBorder="1" applyProtection="1">
      <protection locked="0"/>
    </xf>
    <xf numFmtId="1" fontId="32" fillId="0" borderId="1866" xfId="0" applyNumberFormat="1" applyFont="1" applyBorder="1"/>
    <xf numFmtId="1" fontId="32" fillId="0" borderId="1524" xfId="0" applyNumberFormat="1" applyFont="1" applyBorder="1"/>
    <xf numFmtId="1" fontId="32" fillId="4" borderId="1864" xfId="0" applyNumberFormat="1" applyFont="1" applyFill="1" applyBorder="1"/>
    <xf numFmtId="1" fontId="32" fillId="0" borderId="1664" xfId="0" applyNumberFormat="1" applyFont="1" applyBorder="1" applyAlignment="1">
      <alignment wrapText="1"/>
    </xf>
    <xf numFmtId="1" fontId="32" fillId="0" borderId="1058" xfId="0" applyNumberFormat="1" applyFont="1" applyBorder="1"/>
    <xf numFmtId="1" fontId="32" fillId="0" borderId="606" xfId="0" applyNumberFormat="1" applyFont="1" applyBorder="1" applyAlignment="1">
      <alignment wrapText="1"/>
    </xf>
    <xf numFmtId="1" fontId="32" fillId="5" borderId="712" xfId="0" applyNumberFormat="1" applyFont="1" applyFill="1" applyBorder="1" applyProtection="1">
      <protection locked="0"/>
    </xf>
    <xf numFmtId="1" fontId="32" fillId="5" borderId="1535" xfId="0" applyNumberFormat="1" applyFont="1" applyFill="1" applyBorder="1" applyProtection="1">
      <protection locked="0"/>
    </xf>
    <xf numFmtId="1" fontId="32" fillId="0" borderId="698" xfId="0" applyNumberFormat="1" applyFont="1" applyBorder="1" applyAlignment="1">
      <alignment wrapText="1"/>
    </xf>
    <xf numFmtId="1" fontId="32" fillId="0" borderId="544" xfId="0" applyNumberFormat="1" applyFont="1" applyBorder="1" applyAlignment="1">
      <alignment wrapText="1"/>
    </xf>
    <xf numFmtId="1" fontId="32" fillId="5" borderId="1715" xfId="0" applyNumberFormat="1" applyFont="1" applyFill="1" applyBorder="1" applyProtection="1">
      <protection locked="0"/>
    </xf>
    <xf numFmtId="1" fontId="32" fillId="5" borderId="381" xfId="0" applyNumberFormat="1" applyFont="1" applyFill="1" applyBorder="1" applyProtection="1">
      <protection locked="0"/>
    </xf>
    <xf numFmtId="1" fontId="32" fillId="5" borderId="385" xfId="0" applyNumberFormat="1" applyFont="1" applyFill="1" applyBorder="1" applyProtection="1">
      <protection locked="0"/>
    </xf>
    <xf numFmtId="1" fontId="32" fillId="5" borderId="439" xfId="0" applyNumberFormat="1" applyFont="1" applyFill="1" applyBorder="1" applyProtection="1">
      <protection locked="0"/>
    </xf>
    <xf numFmtId="1" fontId="32" fillId="5" borderId="544" xfId="0" applyNumberFormat="1" applyFont="1" applyFill="1" applyBorder="1" applyProtection="1">
      <protection locked="0"/>
    </xf>
    <xf numFmtId="1" fontId="32" fillId="14" borderId="261" xfId="0" applyNumberFormat="1" applyFont="1" applyFill="1" applyBorder="1"/>
    <xf numFmtId="1" fontId="32" fillId="0" borderId="229" xfId="0" applyNumberFormat="1" applyFont="1" applyBorder="1" applyAlignment="1">
      <alignment horizontal="center" vertical="center" wrapText="1"/>
    </xf>
    <xf numFmtId="1" fontId="32" fillId="0" borderId="230" xfId="0" applyNumberFormat="1" applyFont="1" applyBorder="1" applyAlignment="1">
      <alignment horizontal="center" vertical="center" wrapText="1"/>
    </xf>
    <xf numFmtId="1" fontId="32" fillId="0" borderId="203" xfId="0" applyNumberFormat="1" applyFont="1" applyBorder="1" applyAlignment="1">
      <alignment horizontal="center" vertical="center" wrapText="1"/>
    </xf>
    <xf numFmtId="1" fontId="32" fillId="0" borderId="214" xfId="0" applyNumberFormat="1" applyFont="1" applyBorder="1" applyAlignment="1">
      <alignment horizontal="center" vertical="center" wrapText="1"/>
    </xf>
    <xf numFmtId="1" fontId="32" fillId="0" borderId="231" xfId="0" applyNumberFormat="1" applyFont="1" applyBorder="1" applyAlignment="1">
      <alignment horizontal="center" vertical="center" wrapText="1"/>
    </xf>
    <xf numFmtId="1" fontId="32" fillId="0" borderId="2411" xfId="0" applyNumberFormat="1" applyFont="1" applyBorder="1" applyAlignment="1">
      <alignment wrapText="1"/>
    </xf>
    <xf numFmtId="1" fontId="62" fillId="0" borderId="259" xfId="0" applyNumberFormat="1" applyFont="1" applyBorder="1"/>
    <xf numFmtId="1" fontId="72" fillId="0" borderId="258" xfId="0" applyNumberFormat="1" applyFont="1" applyBorder="1"/>
    <xf numFmtId="1" fontId="72" fillId="3" borderId="258" xfId="0" applyNumberFormat="1" applyFont="1" applyFill="1" applyBorder="1"/>
    <xf numFmtId="1" fontId="32" fillId="3" borderId="1214" xfId="0" applyNumberFormat="1" applyFont="1" applyFill="1" applyBorder="1" applyProtection="1">
      <protection hidden="1"/>
    </xf>
    <xf numFmtId="1" fontId="32" fillId="0" borderId="9" xfId="0" applyNumberFormat="1" applyFont="1" applyBorder="1" applyAlignment="1">
      <alignment horizontal="center" vertical="center"/>
    </xf>
    <xf numFmtId="1" fontId="32" fillId="0" borderId="144" xfId="0" applyNumberFormat="1" applyFont="1" applyBorder="1" applyAlignment="1">
      <alignment horizontal="center" vertical="center"/>
    </xf>
    <xf numFmtId="1" fontId="32" fillId="0" borderId="1208" xfId="0" applyNumberFormat="1" applyFont="1" applyBorder="1" applyAlignment="1">
      <alignment horizontal="center" vertical="center" wrapText="1"/>
    </xf>
    <xf numFmtId="1" fontId="32" fillId="0" borderId="1106" xfId="0" applyNumberFormat="1" applyFont="1" applyBorder="1" applyAlignment="1">
      <alignment horizontal="center" vertical="center" wrapText="1"/>
    </xf>
    <xf numFmtId="1" fontId="32" fillId="3" borderId="2237" xfId="0" applyNumberFormat="1" applyFont="1" applyFill="1" applyBorder="1" applyAlignment="1">
      <alignment horizontal="center" vertical="center"/>
    </xf>
    <xf numFmtId="1" fontId="32" fillId="0" borderId="232" xfId="0" applyNumberFormat="1" applyFont="1" applyBorder="1" applyAlignment="1">
      <alignment wrapText="1"/>
    </xf>
    <xf numFmtId="1" fontId="32" fillId="0" borderId="233" xfId="0" applyNumberFormat="1" applyFont="1" applyBorder="1" applyAlignment="1">
      <alignment horizontal="right" wrapText="1"/>
    </xf>
    <xf numFmtId="1" fontId="32" fillId="0" borderId="234" xfId="0" applyNumberFormat="1" applyFont="1" applyBorder="1" applyAlignment="1">
      <alignment horizontal="right"/>
    </xf>
    <xf numFmtId="1" fontId="32" fillId="5" borderId="1181" xfId="0" applyNumberFormat="1" applyFont="1" applyFill="1" applyBorder="1" applyProtection="1">
      <protection locked="0"/>
    </xf>
    <xf numFmtId="1" fontId="32" fillId="5" borderId="1195" xfId="0" applyNumberFormat="1" applyFont="1" applyFill="1" applyBorder="1" applyProtection="1">
      <protection locked="0"/>
    </xf>
    <xf numFmtId="1" fontId="32" fillId="0" borderId="237" xfId="0" applyNumberFormat="1" applyFont="1" applyBorder="1" applyAlignment="1">
      <alignment wrapText="1"/>
    </xf>
    <xf numFmtId="1" fontId="32" fillId="0" borderId="144" xfId="0" applyNumberFormat="1" applyFont="1" applyBorder="1" applyAlignment="1">
      <alignment horizontal="right" wrapText="1"/>
    </xf>
    <xf numFmtId="1" fontId="32" fillId="5" borderId="1091" xfId="0" applyNumberFormat="1" applyFont="1" applyFill="1" applyBorder="1" applyProtection="1">
      <protection locked="0"/>
    </xf>
    <xf numFmtId="1" fontId="32" fillId="5" borderId="1092" xfId="0" applyNumberFormat="1" applyFont="1" applyFill="1" applyBorder="1" applyProtection="1">
      <protection locked="0"/>
    </xf>
    <xf numFmtId="1" fontId="32" fillId="0" borderId="249" xfId="0" applyNumberFormat="1" applyFont="1" applyBorder="1" applyAlignment="1">
      <alignment horizontal="center" vertical="center"/>
    </xf>
    <xf numFmtId="1" fontId="32" fillId="0" borderId="232" xfId="0" applyNumberFormat="1" applyFont="1" applyBorder="1"/>
    <xf numFmtId="1" fontId="32" fillId="0" borderId="2368" xfId="0" applyNumberFormat="1" applyFont="1" applyBorder="1" applyAlignment="1">
      <alignment horizontal="right" wrapText="1"/>
    </xf>
    <xf numFmtId="1" fontId="32" fillId="5" borderId="44" xfId="0" applyNumberFormat="1" applyFont="1" applyFill="1" applyBorder="1" applyProtection="1">
      <protection locked="0"/>
    </xf>
    <xf numFmtId="1" fontId="32" fillId="5" borderId="18" xfId="0" applyNumberFormat="1" applyFont="1" applyFill="1" applyBorder="1" applyProtection="1">
      <protection locked="0"/>
    </xf>
    <xf numFmtId="1" fontId="32" fillId="0" borderId="1521" xfId="0" applyNumberFormat="1" applyFont="1" applyBorder="1" applyAlignment="1">
      <alignment horizontal="right" wrapText="1"/>
    </xf>
    <xf numFmtId="1" fontId="32" fillId="5" borderId="596" xfId="0" applyNumberFormat="1" applyFont="1" applyFill="1" applyBorder="1" applyProtection="1">
      <protection locked="0"/>
    </xf>
    <xf numFmtId="1" fontId="32" fillId="5" borderId="597" xfId="0" applyNumberFormat="1" applyFont="1" applyFill="1" applyBorder="1" applyProtection="1">
      <protection locked="0"/>
    </xf>
    <xf numFmtId="1" fontId="32" fillId="5" borderId="742" xfId="0" applyNumberFormat="1" applyFont="1" applyFill="1" applyBorder="1" applyProtection="1">
      <protection locked="0"/>
    </xf>
    <xf numFmtId="1" fontId="32" fillId="0" borderId="1521" xfId="0" applyNumberFormat="1" applyFont="1" applyBorder="1"/>
    <xf numFmtId="1" fontId="32" fillId="0" borderId="1544" xfId="0" applyNumberFormat="1" applyFont="1" applyBorder="1"/>
    <xf numFmtId="1" fontId="32" fillId="0" borderId="1868" xfId="0" applyNumberFormat="1" applyFont="1" applyBorder="1" applyAlignment="1">
      <alignment horizontal="right" wrapText="1"/>
    </xf>
    <xf numFmtId="1" fontId="32" fillId="5" borderId="1558" xfId="0" applyNumberFormat="1" applyFont="1" applyFill="1" applyBorder="1" applyProtection="1">
      <protection locked="0"/>
    </xf>
    <xf numFmtId="1" fontId="32" fillId="5" borderId="1502" xfId="0" applyNumberFormat="1" applyFont="1" applyFill="1" applyBorder="1" applyProtection="1">
      <protection locked="0"/>
    </xf>
    <xf numFmtId="1" fontId="32" fillId="5" borderId="1562" xfId="0" applyNumberFormat="1" applyFont="1" applyFill="1" applyBorder="1" applyProtection="1">
      <protection locked="0"/>
    </xf>
    <xf numFmtId="1" fontId="32" fillId="5" borderId="1548" xfId="0" applyNumberFormat="1" applyFont="1" applyFill="1" applyBorder="1" applyProtection="1">
      <protection locked="0"/>
    </xf>
    <xf numFmtId="1" fontId="72" fillId="41" borderId="0" xfId="0" applyNumberFormat="1" applyFont="1" applyFill="1" applyProtection="1">
      <protection locked="0"/>
    </xf>
    <xf numFmtId="1" fontId="6" fillId="3" borderId="1866" xfId="14" applyNumberFormat="1" applyFont="1" applyFill="1" applyBorder="1" applyAlignment="1">
      <alignment horizontal="right"/>
    </xf>
    <xf numFmtId="1" fontId="6" fillId="3" borderId="1524" xfId="14" applyNumberFormat="1" applyFont="1" applyFill="1" applyBorder="1" applyAlignment="1">
      <alignment horizontal="right"/>
    </xf>
    <xf numFmtId="1" fontId="6" fillId="3" borderId="1867" xfId="14" applyNumberFormat="1" applyFont="1" applyFill="1" applyBorder="1" applyAlignment="1">
      <alignment horizontal="right"/>
    </xf>
    <xf numFmtId="1" fontId="6" fillId="5" borderId="2421" xfId="0" applyNumberFormat="1" applyFont="1" applyFill="1" applyBorder="1" applyProtection="1">
      <protection locked="0"/>
    </xf>
    <xf numFmtId="1" fontId="6" fillId="0" borderId="2412" xfId="0" applyNumberFormat="1" applyFont="1" applyBorder="1" applyAlignment="1">
      <alignment horizontal="center" vertical="center" wrapText="1"/>
    </xf>
    <xf numFmtId="1" fontId="6" fillId="0" borderId="2411" xfId="0" applyNumberFormat="1" applyFont="1" applyBorder="1" applyAlignment="1">
      <alignment horizontal="center" vertical="center" wrapText="1"/>
    </xf>
    <xf numFmtId="1" fontId="32" fillId="0" borderId="2278" xfId="0" applyNumberFormat="1" applyFont="1" applyBorder="1" applyAlignment="1">
      <alignment wrapText="1"/>
    </xf>
    <xf numFmtId="1" fontId="32" fillId="0" borderId="1674" xfId="0" applyNumberFormat="1" applyFont="1" applyBorder="1" applyAlignment="1">
      <alignment wrapText="1"/>
    </xf>
    <xf numFmtId="1" fontId="32" fillId="0" borderId="1058" xfId="0" applyNumberFormat="1" applyFont="1" applyBorder="1" applyAlignment="1">
      <alignment wrapText="1"/>
    </xf>
    <xf numFmtId="1" fontId="32" fillId="0" borderId="2407" xfId="0" applyNumberFormat="1" applyFont="1" applyBorder="1" applyAlignment="1">
      <alignment wrapText="1"/>
    </xf>
    <xf numFmtId="1" fontId="32" fillId="0" borderId="2378" xfId="0" applyNumberFormat="1" applyFont="1" applyBorder="1" applyAlignment="1">
      <alignment wrapText="1"/>
    </xf>
    <xf numFmtId="1" fontId="32" fillId="0" borderId="2396" xfId="0" applyNumberFormat="1" applyFont="1" applyBorder="1" applyAlignment="1">
      <alignment wrapText="1"/>
    </xf>
    <xf numFmtId="1" fontId="32" fillId="0" borderId="1524" xfId="0" applyNumberFormat="1" applyFont="1" applyBorder="1" applyAlignment="1">
      <alignment wrapText="1"/>
    </xf>
    <xf numFmtId="1" fontId="32" fillId="0" borderId="2278" xfId="0" applyNumberFormat="1" applyFont="1" applyBorder="1"/>
    <xf numFmtId="1" fontId="32" fillId="0" borderId="1857" xfId="0" applyNumberFormat="1" applyFont="1" applyBorder="1" applyAlignment="1">
      <alignment horizontal="right" wrapText="1"/>
    </xf>
    <xf numFmtId="1" fontId="32" fillId="0" borderId="2277" xfId="0" applyNumberFormat="1" applyFont="1" applyBorder="1" applyAlignment="1">
      <alignment horizontal="right" wrapText="1"/>
    </xf>
    <xf numFmtId="1" fontId="32" fillId="0" borderId="2422" xfId="0" applyNumberFormat="1" applyFont="1" applyBorder="1" applyAlignment="1">
      <alignment horizontal="right" wrapText="1"/>
    </xf>
    <xf numFmtId="0" fontId="32" fillId="14" borderId="925" xfId="0" applyFont="1" applyFill="1" applyBorder="1" applyAlignment="1" applyProtection="1">
      <alignment horizontal="center" vertical="center" wrapText="1"/>
      <protection locked="0"/>
    </xf>
    <xf numFmtId="0" fontId="32" fillId="14" borderId="957" xfId="0" applyFont="1" applyFill="1" applyBorder="1" applyAlignment="1" applyProtection="1">
      <alignment horizontal="center" wrapText="1"/>
      <protection locked="0"/>
    </xf>
    <xf numFmtId="0" fontId="32" fillId="14" borderId="927" xfId="0" applyFont="1" applyFill="1" applyBorder="1" applyAlignment="1" applyProtection="1">
      <alignment horizontal="center" vertical="center" wrapText="1"/>
      <protection locked="0"/>
    </xf>
    <xf numFmtId="0" fontId="32" fillId="14" borderId="957" xfId="0" applyFont="1" applyFill="1" applyBorder="1" applyAlignment="1" applyProtection="1">
      <alignment horizontal="center" vertical="center" wrapText="1"/>
      <protection locked="0"/>
    </xf>
    <xf numFmtId="1" fontId="32" fillId="0" borderId="938" xfId="0" applyNumberFormat="1" applyFont="1" applyBorder="1" applyAlignment="1">
      <alignment horizontal="right" vertical="center" wrapText="1"/>
    </xf>
    <xf numFmtId="1" fontId="32" fillId="0" borderId="896" xfId="0" applyNumberFormat="1" applyFont="1" applyBorder="1" applyAlignment="1">
      <alignment horizontal="right" vertical="center" wrapText="1"/>
    </xf>
    <xf numFmtId="0" fontId="32" fillId="14" borderId="925" xfId="0" applyFont="1" applyFill="1" applyBorder="1" applyAlignment="1" applyProtection="1">
      <alignment horizontal="center" wrapText="1"/>
      <protection locked="0"/>
    </xf>
    <xf numFmtId="0" fontId="32" fillId="14" borderId="963" xfId="0" applyFont="1" applyFill="1" applyBorder="1" applyAlignment="1" applyProtection="1">
      <alignment horizontal="center" vertical="center" wrapText="1"/>
      <protection locked="0"/>
    </xf>
    <xf numFmtId="0" fontId="32" fillId="14" borderId="928" xfId="0" applyFont="1" applyFill="1" applyBorder="1" applyAlignment="1" applyProtection="1">
      <alignment horizontal="center" vertical="center" wrapText="1"/>
      <protection locked="0"/>
    </xf>
    <xf numFmtId="0" fontId="32" fillId="0" borderId="1537" xfId="0" applyFont="1" applyBorder="1" applyAlignment="1">
      <alignment horizontal="center" vertical="center"/>
    </xf>
    <xf numFmtId="0" fontId="32" fillId="0" borderId="1550" xfId="0" applyFont="1" applyBorder="1" applyAlignment="1">
      <alignment horizontal="center" vertical="center" wrapText="1"/>
    </xf>
    <xf numFmtId="0" fontId="32" fillId="0" borderId="1543" xfId="0" applyFont="1" applyBorder="1" applyAlignment="1">
      <alignment horizontal="center" vertical="center" wrapText="1"/>
    </xf>
    <xf numFmtId="1" fontId="32" fillId="0" borderId="1294" xfId="0" applyNumberFormat="1" applyFont="1" applyBorder="1" applyAlignment="1">
      <alignment horizontal="left" vertical="center" wrapText="1"/>
    </xf>
    <xf numFmtId="0" fontId="32" fillId="0" borderId="1545" xfId="0" applyFont="1" applyBorder="1" applyAlignment="1">
      <alignment horizontal="right" vertical="center"/>
    </xf>
    <xf numFmtId="0" fontId="32" fillId="15" borderId="1557" xfId="0" applyFont="1" applyFill="1" applyBorder="1" applyAlignment="1" applyProtection="1">
      <alignment horizontal="justify" vertical="center"/>
      <protection locked="0"/>
    </xf>
    <xf numFmtId="0" fontId="32" fillId="15" borderId="1539" xfId="0" applyFont="1" applyFill="1" applyBorder="1" applyAlignment="1" applyProtection="1">
      <alignment horizontal="justify" vertical="center"/>
      <protection locked="0"/>
    </xf>
    <xf numFmtId="0" fontId="32" fillId="0" borderId="1544" xfId="0" applyFont="1" applyBorder="1" applyAlignment="1">
      <alignment horizontal="right" vertical="center"/>
    </xf>
    <xf numFmtId="0" fontId="32" fillId="15" borderId="1558" xfId="0" applyFont="1" applyFill="1" applyBorder="1" applyAlignment="1" applyProtection="1">
      <alignment horizontal="justify" vertical="center"/>
      <protection locked="0"/>
    </xf>
    <xf numFmtId="0" fontId="32" fillId="15" borderId="1572" xfId="0" applyFont="1" applyFill="1" applyBorder="1" applyAlignment="1" applyProtection="1">
      <alignment horizontal="justify" vertical="center"/>
      <protection locked="0"/>
    </xf>
    <xf numFmtId="1" fontId="6" fillId="5" borderId="242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4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53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91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2422" xfId="0" applyNumberFormat="1" applyFont="1" applyFill="1" applyBorder="1"/>
    <xf numFmtId="1" fontId="6" fillId="12" borderId="2424" xfId="0" applyNumberFormat="1" applyFont="1" applyFill="1" applyBorder="1"/>
    <xf numFmtId="0" fontId="6" fillId="0" borderId="1578" xfId="0" applyFont="1" applyBorder="1" applyAlignment="1">
      <alignment horizontal="center" wrapText="1"/>
    </xf>
    <xf numFmtId="1" fontId="32" fillId="5" borderId="1042" xfId="0" applyNumberFormat="1" applyFont="1" applyFill="1" applyBorder="1" applyProtection="1">
      <protection locked="0"/>
    </xf>
    <xf numFmtId="1" fontId="32" fillId="3" borderId="1543" xfId="0" applyNumberFormat="1" applyFont="1" applyFill="1" applyBorder="1" applyProtection="1">
      <protection hidden="1"/>
    </xf>
    <xf numFmtId="1" fontId="32" fillId="3" borderId="1359" xfId="0" applyNumberFormat="1" applyFont="1" applyFill="1" applyBorder="1" applyProtection="1">
      <protection hidden="1"/>
    </xf>
    <xf numFmtId="1" fontId="6" fillId="5" borderId="2407" xfId="0" applyNumberFormat="1" applyFont="1" applyFill="1" applyBorder="1" applyProtection="1">
      <protection locked="0"/>
    </xf>
    <xf numFmtId="1" fontId="6" fillId="5" borderId="2383" xfId="0" applyNumberFormat="1" applyFont="1" applyFill="1" applyBorder="1" applyProtection="1">
      <protection locked="0"/>
    </xf>
    <xf numFmtId="1" fontId="6" fillId="5" borderId="2425" xfId="0" applyNumberFormat="1" applyFont="1" applyFill="1" applyBorder="1" applyProtection="1">
      <protection locked="0"/>
    </xf>
    <xf numFmtId="1" fontId="6" fillId="5" borderId="2427" xfId="0" applyNumberFormat="1" applyFont="1" applyFill="1" applyBorder="1" applyProtection="1">
      <protection locked="0"/>
    </xf>
    <xf numFmtId="1" fontId="6" fillId="0" borderId="2372" xfId="0" applyNumberFormat="1" applyFont="1" applyBorder="1" applyAlignment="1">
      <alignment horizontal="center" vertical="center" wrapText="1"/>
    </xf>
    <xf numFmtId="1" fontId="6" fillId="0" borderId="2428" xfId="0" applyNumberFormat="1" applyFont="1" applyBorder="1" applyAlignment="1">
      <alignment horizontal="center" vertical="center" wrapText="1"/>
    </xf>
    <xf numFmtId="1" fontId="6" fillId="15" borderId="2422" xfId="0" applyNumberFormat="1" applyFont="1" applyFill="1" applyBorder="1" applyProtection="1">
      <protection locked="0"/>
    </xf>
    <xf numFmtId="1" fontId="6" fillId="15" borderId="2429" xfId="0" applyNumberFormat="1" applyFont="1" applyFill="1" applyBorder="1" applyProtection="1">
      <protection locked="0"/>
    </xf>
    <xf numFmtId="1" fontId="6" fillId="15" borderId="2277" xfId="0" applyNumberFormat="1" applyFont="1" applyFill="1" applyBorder="1" applyProtection="1">
      <protection locked="0"/>
    </xf>
    <xf numFmtId="1" fontId="6" fillId="15" borderId="2421" xfId="0" applyNumberFormat="1" applyFont="1" applyFill="1" applyBorder="1" applyProtection="1">
      <protection locked="0"/>
    </xf>
    <xf numFmtId="1" fontId="6" fillId="15" borderId="2232" xfId="0" applyNumberFormat="1" applyFont="1" applyFill="1" applyBorder="1" applyProtection="1">
      <protection locked="0"/>
    </xf>
    <xf numFmtId="1" fontId="6" fillId="15" borderId="1868" xfId="0" applyNumberFormat="1" applyFont="1" applyFill="1" applyBorder="1" applyProtection="1">
      <protection locked="0"/>
    </xf>
    <xf numFmtId="1" fontId="6" fillId="15" borderId="2178" xfId="0" applyNumberFormat="1" applyFont="1" applyFill="1" applyBorder="1" applyProtection="1">
      <protection locked="0"/>
    </xf>
    <xf numFmtId="1" fontId="6" fillId="0" borderId="2422" xfId="0" applyNumberFormat="1" applyFont="1" applyBorder="1" applyAlignment="1">
      <alignment horizontal="left" vertical="center"/>
    </xf>
    <xf numFmtId="1" fontId="6" fillId="5" borderId="2401" xfId="0" applyNumberFormat="1" applyFont="1" applyFill="1" applyBorder="1" applyProtection="1">
      <protection locked="0"/>
    </xf>
    <xf numFmtId="1" fontId="6" fillId="5" borderId="2408" xfId="0" applyNumberFormat="1" applyFont="1" applyFill="1" applyBorder="1" applyProtection="1">
      <protection locked="0"/>
    </xf>
    <xf numFmtId="1" fontId="6" fillId="5" borderId="2430" xfId="0" applyNumberFormat="1" applyFont="1" applyFill="1" applyBorder="1" applyProtection="1">
      <protection locked="0"/>
    </xf>
    <xf numFmtId="1" fontId="6" fillId="5" borderId="2431" xfId="0" applyNumberFormat="1" applyFont="1" applyFill="1" applyBorder="1" applyProtection="1">
      <protection locked="0"/>
    </xf>
    <xf numFmtId="1" fontId="6" fillId="5" borderId="2227" xfId="0" applyNumberFormat="1" applyFont="1" applyFill="1" applyBorder="1" applyProtection="1">
      <protection locked="0"/>
    </xf>
    <xf numFmtId="1" fontId="6" fillId="5" borderId="2230" xfId="0" applyNumberFormat="1" applyFont="1" applyFill="1" applyBorder="1" applyProtection="1">
      <protection locked="0"/>
    </xf>
    <xf numFmtId="1" fontId="32" fillId="3" borderId="2432" xfId="0" applyNumberFormat="1" applyFont="1" applyFill="1" applyBorder="1"/>
    <xf numFmtId="1" fontId="32" fillId="0" borderId="2432" xfId="0" applyNumberFormat="1" applyFont="1" applyBorder="1"/>
    <xf numFmtId="1" fontId="6" fillId="0" borderId="2422" xfId="0" applyNumberFormat="1" applyFont="1" applyBorder="1" applyAlignment="1" applyProtection="1">
      <alignment wrapText="1"/>
      <protection hidden="1"/>
    </xf>
    <xf numFmtId="1" fontId="6" fillId="0" borderId="1857" xfId="0" applyNumberFormat="1" applyFont="1" applyBorder="1" applyAlignment="1" applyProtection="1">
      <alignment wrapText="1"/>
      <protection hidden="1"/>
    </xf>
    <xf numFmtId="1" fontId="76" fillId="3" borderId="2433" xfId="0" applyNumberFormat="1" applyFont="1" applyFill="1" applyBorder="1"/>
    <xf numFmtId="1" fontId="76" fillId="3" borderId="2434" xfId="0" applyNumberFormat="1" applyFont="1" applyFill="1" applyBorder="1"/>
    <xf numFmtId="0" fontId="6" fillId="0" borderId="2404" xfId="0" applyFont="1" applyBorder="1" applyAlignment="1">
      <alignment horizontal="center" vertical="center"/>
    </xf>
    <xf numFmtId="0" fontId="6" fillId="0" borderId="2405" xfId="0" applyFont="1" applyBorder="1" applyAlignment="1">
      <alignment horizontal="center" vertical="center"/>
    </xf>
    <xf numFmtId="0" fontId="6" fillId="0" borderId="2410" xfId="0" applyFont="1" applyBorder="1" applyAlignment="1">
      <alignment horizontal="center" vertical="center"/>
    </xf>
    <xf numFmtId="0" fontId="6" fillId="0" borderId="1957" xfId="0" applyFont="1" applyBorder="1" applyAlignment="1">
      <alignment wrapText="1"/>
    </xf>
    <xf numFmtId="1" fontId="6" fillId="0" borderId="2405" xfId="0" applyNumberFormat="1" applyFont="1" applyBorder="1"/>
    <xf numFmtId="1" fontId="6" fillId="0" borderId="1957" xfId="0" applyNumberFormat="1" applyFont="1" applyBorder="1"/>
    <xf numFmtId="1" fontId="6" fillId="0" borderId="2435" xfId="0" applyNumberFormat="1" applyFont="1" applyBorder="1" applyAlignment="1">
      <alignment horizontal="center" vertical="center" wrapText="1"/>
    </xf>
    <xf numFmtId="1" fontId="6" fillId="0" borderId="2437" xfId="0" applyNumberFormat="1" applyFont="1" applyBorder="1" applyAlignment="1">
      <alignment horizontal="center" vertical="center" wrapText="1"/>
    </xf>
    <xf numFmtId="1" fontId="6" fillId="0" borderId="2405" xfId="0" applyNumberFormat="1" applyFont="1" applyBorder="1" applyAlignment="1">
      <alignment horizontal="center" vertical="center"/>
    </xf>
    <xf numFmtId="1" fontId="6" fillId="0" borderId="2439" xfId="0" applyNumberFormat="1" applyFont="1" applyBorder="1" applyAlignment="1">
      <alignment horizontal="center" vertical="center"/>
    </xf>
    <xf numFmtId="1" fontId="6" fillId="0" borderId="2422" xfId="0" applyNumberFormat="1" applyFont="1" applyBorder="1" applyAlignment="1">
      <alignment horizontal="left" vertical="center" wrapText="1"/>
    </xf>
    <xf numFmtId="1" fontId="6" fillId="0" borderId="2407" xfId="0" applyNumberFormat="1" applyFont="1" applyBorder="1" applyAlignment="1">
      <alignment horizontal="right" wrapText="1"/>
    </xf>
    <xf numFmtId="1" fontId="6" fillId="0" borderId="2440" xfId="0" applyNumberFormat="1" applyFont="1" applyBorder="1" applyAlignment="1">
      <alignment horizontal="right" wrapText="1"/>
    </xf>
    <xf numFmtId="1" fontId="6" fillId="0" borderId="2396" xfId="0" applyNumberFormat="1" applyFont="1" applyBorder="1" applyAlignment="1">
      <alignment horizontal="right"/>
    </xf>
    <xf numFmtId="1" fontId="6" fillId="5" borderId="2423" xfId="0" applyNumberFormat="1" applyFont="1" applyFill="1" applyBorder="1" applyProtection="1">
      <protection locked="0"/>
    </xf>
    <xf numFmtId="1" fontId="6" fillId="5" borderId="2422" xfId="0" applyNumberFormat="1" applyFont="1" applyFill="1" applyBorder="1" applyProtection="1">
      <protection locked="0"/>
    </xf>
    <xf numFmtId="1" fontId="6" fillId="0" borderId="1864" xfId="0" applyNumberFormat="1" applyFont="1" applyBorder="1" applyAlignment="1">
      <alignment horizontal="right"/>
    </xf>
    <xf numFmtId="1" fontId="6" fillId="0" borderId="0" xfId="0" applyNumberFormat="1" applyFont="1" applyProtection="1">
      <protection locked="0"/>
    </xf>
    <xf numFmtId="1" fontId="6" fillId="0" borderId="2423" xfId="0" applyNumberFormat="1" applyFont="1" applyBorder="1"/>
    <xf numFmtId="1" fontId="6" fillId="0" borderId="2437" xfId="0" applyNumberFormat="1" applyFont="1" applyBorder="1"/>
    <xf numFmtId="1" fontId="4" fillId="3" borderId="2417" xfId="0" applyNumberFormat="1" applyFont="1" applyFill="1" applyBorder="1"/>
    <xf numFmtId="1" fontId="6" fillId="14" borderId="435" xfId="0" applyNumberFormat="1" applyFont="1" applyFill="1" applyBorder="1" applyAlignment="1">
      <alignment horizontal="center" vertical="center" wrapText="1"/>
    </xf>
    <xf numFmtId="1" fontId="6" fillId="0" borderId="938" xfId="0" applyNumberFormat="1" applyFont="1" applyBorder="1" applyAlignment="1">
      <alignment horizontal="right"/>
    </xf>
    <xf numFmtId="1" fontId="6" fillId="14" borderId="2438" xfId="0" applyNumberFormat="1" applyFont="1" applyFill="1" applyBorder="1" applyAlignment="1">
      <alignment horizontal="center" vertical="center" wrapText="1"/>
    </xf>
    <xf numFmtId="1" fontId="6" fillId="14" borderId="2424" xfId="0" applyNumberFormat="1" applyFont="1" applyFill="1" applyBorder="1" applyAlignment="1">
      <alignment horizontal="center" vertical="center" wrapText="1"/>
    </xf>
    <xf numFmtId="1" fontId="6" fillId="5" borderId="2441" xfId="0" applyNumberFormat="1" applyFont="1" applyFill="1" applyBorder="1" applyProtection="1">
      <protection locked="0"/>
    </xf>
    <xf numFmtId="1" fontId="6" fillId="5" borderId="2218" xfId="0" applyNumberFormat="1" applyFont="1" applyFill="1" applyBorder="1" applyProtection="1">
      <protection locked="0"/>
    </xf>
    <xf numFmtId="1" fontId="6" fillId="5" borderId="2442" xfId="0" applyNumberFormat="1" applyFont="1" applyFill="1" applyBorder="1" applyProtection="1">
      <protection locked="0"/>
    </xf>
    <xf numFmtId="1" fontId="6" fillId="5" borderId="2443" xfId="0" applyNumberFormat="1" applyFont="1" applyFill="1" applyBorder="1" applyProtection="1">
      <protection locked="0"/>
    </xf>
    <xf numFmtId="1" fontId="32" fillId="0" borderId="1873" xfId="0" applyNumberFormat="1" applyFont="1" applyBorder="1" applyAlignment="1">
      <alignment horizontal="left" vertical="center"/>
    </xf>
    <xf numFmtId="1" fontId="6" fillId="0" borderId="1866" xfId="0" applyNumberFormat="1" applyFont="1" applyBorder="1" applyAlignment="1">
      <alignment horizontal="right"/>
    </xf>
    <xf numFmtId="1" fontId="6" fillId="0" borderId="1524" xfId="0" applyNumberFormat="1" applyFont="1" applyBorder="1" applyAlignment="1">
      <alignment horizontal="right"/>
    </xf>
    <xf numFmtId="1" fontId="32" fillId="0" borderId="1518" xfId="0" applyNumberFormat="1" applyFont="1" applyBorder="1"/>
    <xf numFmtId="1" fontId="32" fillId="0" borderId="1463" xfId="0" applyNumberFormat="1" applyFont="1" applyBorder="1" applyAlignment="1">
      <alignment vertical="center" wrapText="1"/>
    </xf>
    <xf numFmtId="1" fontId="81" fillId="3" borderId="0" xfId="0" applyNumberFormat="1" applyFont="1" applyFill="1" applyAlignment="1">
      <alignment horizontal="center"/>
    </xf>
    <xf numFmtId="1" fontId="82" fillId="3" borderId="0" xfId="0" applyNumberFormat="1" applyFont="1" applyFill="1"/>
    <xf numFmtId="1" fontId="6" fillId="0" borderId="2447" xfId="0" applyNumberFormat="1" applyFont="1" applyBorder="1" applyAlignment="1">
      <alignment horizontal="center" vertical="center"/>
    </xf>
    <xf numFmtId="1" fontId="10" fillId="0" borderId="2443" xfId="0" applyNumberFormat="1" applyFont="1" applyBorder="1" applyAlignment="1">
      <alignment horizontal="left" vertical="center"/>
    </xf>
    <xf numFmtId="1" fontId="6" fillId="14" borderId="2447" xfId="0" applyNumberFormat="1" applyFont="1" applyFill="1" applyBorder="1"/>
    <xf numFmtId="1" fontId="6" fillId="14" borderId="2448" xfId="0" applyNumberFormat="1" applyFont="1" applyFill="1" applyBorder="1"/>
    <xf numFmtId="1" fontId="6" fillId="14" borderId="2449" xfId="0" applyNumberFormat="1" applyFont="1" applyFill="1" applyBorder="1"/>
    <xf numFmtId="1" fontId="9" fillId="3" borderId="423" xfId="0" applyNumberFormat="1" applyFont="1" applyFill="1" applyBorder="1"/>
    <xf numFmtId="1" fontId="11" fillId="0" borderId="1521" xfId="0" applyNumberFormat="1" applyFont="1" applyBorder="1" applyAlignment="1">
      <alignment horizontal="left"/>
    </xf>
    <xf numFmtId="1" fontId="6" fillId="12" borderId="2450" xfId="0" applyNumberFormat="1" applyFont="1" applyFill="1" applyBorder="1"/>
    <xf numFmtId="1" fontId="6" fillId="12" borderId="2451" xfId="0" applyNumberFormat="1" applyFont="1" applyFill="1" applyBorder="1"/>
    <xf numFmtId="1" fontId="6" fillId="0" borderId="2435" xfId="0" applyNumberFormat="1" applyFont="1" applyBorder="1" applyProtection="1">
      <protection locked="0"/>
    </xf>
    <xf numFmtId="1" fontId="6" fillId="0" borderId="2291" xfId="0" applyNumberFormat="1" applyFont="1" applyBorder="1" applyProtection="1">
      <protection locked="0"/>
    </xf>
    <xf numFmtId="1" fontId="6" fillId="12" borderId="2291" xfId="0" applyNumberFormat="1" applyFont="1" applyFill="1" applyBorder="1"/>
    <xf numFmtId="1" fontId="6" fillId="5" borderId="2452" xfId="0" applyNumberFormat="1" applyFont="1" applyFill="1" applyBorder="1" applyProtection="1">
      <protection locked="0"/>
    </xf>
    <xf numFmtId="1" fontId="6" fillId="5" borderId="2453" xfId="0" applyNumberFormat="1" applyFont="1" applyFill="1" applyBorder="1" applyProtection="1">
      <protection locked="0"/>
    </xf>
    <xf numFmtId="1" fontId="6" fillId="5" borderId="2451" xfId="0" applyNumberFormat="1" applyFont="1" applyFill="1" applyBorder="1" applyProtection="1">
      <protection locked="0"/>
    </xf>
    <xf numFmtId="1" fontId="6" fillId="26" borderId="1522" xfId="0" applyNumberFormat="1" applyFont="1" applyFill="1" applyBorder="1" applyProtection="1">
      <protection locked="0"/>
    </xf>
    <xf numFmtId="1" fontId="6" fillId="26" borderId="2291" xfId="0" applyNumberFormat="1" applyFont="1" applyFill="1" applyBorder="1" applyProtection="1">
      <protection locked="0"/>
    </xf>
    <xf numFmtId="1" fontId="6" fillId="0" borderId="1522" xfId="0" applyNumberFormat="1" applyFont="1" applyBorder="1" applyProtection="1">
      <protection locked="0"/>
    </xf>
    <xf numFmtId="1" fontId="6" fillId="0" borderId="1874" xfId="0" applyNumberFormat="1" applyFont="1" applyBorder="1" applyProtection="1">
      <protection locked="0"/>
    </xf>
    <xf numFmtId="1" fontId="6" fillId="26" borderId="1874" xfId="0" applyNumberFormat="1" applyFont="1" applyFill="1" applyBorder="1" applyProtection="1">
      <protection locked="0"/>
    </xf>
    <xf numFmtId="1" fontId="11" fillId="0" borderId="1857" xfId="0" applyNumberFormat="1" applyFont="1" applyBorder="1" applyAlignment="1">
      <alignment horizontal="left"/>
    </xf>
    <xf numFmtId="1" fontId="11" fillId="0" borderId="1868" xfId="0" applyNumberFormat="1" applyFont="1" applyBorder="1" applyAlignment="1">
      <alignment horizontal="left"/>
    </xf>
    <xf numFmtId="1" fontId="6" fillId="0" borderId="1866" xfId="0" applyNumberFormat="1" applyFont="1" applyBorder="1" applyProtection="1">
      <protection locked="0"/>
    </xf>
    <xf numFmtId="1" fontId="6" fillId="0" borderId="1518" xfId="0" applyNumberFormat="1" applyFont="1" applyBorder="1" applyProtection="1">
      <protection locked="0"/>
    </xf>
    <xf numFmtId="1" fontId="6" fillId="26" borderId="1866" xfId="0" applyNumberFormat="1" applyFont="1" applyFill="1" applyBorder="1" applyProtection="1">
      <protection locked="0"/>
    </xf>
    <xf numFmtId="1" fontId="6" fillId="0" borderId="2454" xfId="0" applyNumberFormat="1" applyFont="1" applyBorder="1" applyAlignment="1">
      <alignment horizontal="center" vertical="center"/>
    </xf>
    <xf numFmtId="1" fontId="6" fillId="0" borderId="2448" xfId="0" applyNumberFormat="1" applyFont="1" applyBorder="1" applyAlignment="1">
      <alignment horizontal="center" vertical="center"/>
    </xf>
    <xf numFmtId="1" fontId="6" fillId="0" borderId="2455" xfId="0" applyNumberFormat="1" applyFont="1" applyBorder="1" applyAlignment="1">
      <alignment horizontal="center" vertical="center"/>
    </xf>
    <xf numFmtId="1" fontId="6" fillId="14" borderId="2455" xfId="0" applyNumberFormat="1" applyFont="1" applyFill="1" applyBorder="1"/>
    <xf numFmtId="1" fontId="6" fillId="14" borderId="2454" xfId="0" applyNumberFormat="1" applyFont="1" applyFill="1" applyBorder="1"/>
    <xf numFmtId="1" fontId="6" fillId="14" borderId="2450" xfId="0" applyNumberFormat="1" applyFont="1" applyFill="1" applyBorder="1"/>
    <xf numFmtId="1" fontId="6" fillId="14" borderId="2451" xfId="0" applyNumberFormat="1" applyFont="1" applyFill="1" applyBorder="1"/>
    <xf numFmtId="1" fontId="6" fillId="5" borderId="2450" xfId="0" applyNumberFormat="1" applyFont="1" applyFill="1" applyBorder="1" applyProtection="1">
      <protection locked="0"/>
    </xf>
    <xf numFmtId="1" fontId="6" fillId="26" borderId="2450" xfId="0" applyNumberFormat="1" applyFont="1" applyFill="1" applyBorder="1" applyProtection="1">
      <protection locked="0"/>
    </xf>
    <xf numFmtId="1" fontId="6" fillId="26" borderId="2451" xfId="0" applyNumberFormat="1" applyFont="1" applyFill="1" applyBorder="1" applyProtection="1">
      <protection locked="0"/>
    </xf>
    <xf numFmtId="1" fontId="6" fillId="14" borderId="1522" xfId="0" applyNumberFormat="1" applyFont="1" applyFill="1" applyBorder="1"/>
    <xf numFmtId="1" fontId="6" fillId="14" borderId="2291" xfId="0" applyNumberFormat="1" applyFont="1" applyFill="1" applyBorder="1"/>
    <xf numFmtId="1" fontId="6" fillId="26" borderId="2207" xfId="0" applyNumberFormat="1" applyFont="1" applyFill="1" applyBorder="1" applyProtection="1">
      <protection locked="0"/>
    </xf>
    <xf numFmtId="1" fontId="6" fillId="14" borderId="1866" xfId="0" applyNumberFormat="1" applyFont="1" applyFill="1" applyBorder="1"/>
    <xf numFmtId="1" fontId="6" fillId="14" borderId="1518" xfId="0" applyNumberFormat="1" applyFont="1" applyFill="1" applyBorder="1"/>
    <xf numFmtId="1" fontId="6" fillId="0" borderId="2456" xfId="0" applyNumberFormat="1" applyFont="1" applyBorder="1" applyAlignment="1">
      <alignment horizontal="center" vertical="center"/>
    </xf>
    <xf numFmtId="1" fontId="6" fillId="0" borderId="2457" xfId="0" applyNumberFormat="1" applyFont="1" applyBorder="1" applyAlignment="1">
      <alignment horizontal="center" vertical="center"/>
    </xf>
    <xf numFmtId="1" fontId="6" fillId="0" borderId="2458" xfId="0" applyNumberFormat="1" applyFont="1" applyBorder="1" applyAlignment="1">
      <alignment horizontal="center" vertical="center"/>
    </xf>
    <xf numFmtId="1" fontId="6" fillId="0" borderId="2437" xfId="0" applyNumberFormat="1" applyFont="1" applyBorder="1" applyAlignment="1">
      <alignment horizontal="center" vertical="center"/>
    </xf>
    <xf numFmtId="1" fontId="6" fillId="0" borderId="2455" xfId="0" applyNumberFormat="1" applyFont="1" applyBorder="1"/>
    <xf numFmtId="1" fontId="6" fillId="0" borderId="2459" xfId="0" applyNumberFormat="1" applyFont="1" applyBorder="1"/>
    <xf numFmtId="1" fontId="6" fillId="0" borderId="2448" xfId="0" applyNumberFormat="1" applyFont="1" applyBorder="1"/>
    <xf numFmtId="1" fontId="6" fillId="0" borderId="2447" xfId="0" applyNumberFormat="1" applyFont="1" applyBorder="1"/>
    <xf numFmtId="1" fontId="11" fillId="0" borderId="2443" xfId="0" applyNumberFormat="1" applyFont="1" applyBorder="1" applyAlignment="1">
      <alignment vertical="center" wrapText="1"/>
    </xf>
    <xf numFmtId="1" fontId="6" fillId="5" borderId="2460" xfId="0" applyNumberFormat="1" applyFont="1" applyFill="1" applyBorder="1" applyProtection="1">
      <protection locked="0"/>
    </xf>
    <xf numFmtId="1" fontId="6" fillId="5" borderId="2461" xfId="0" applyNumberFormat="1" applyFont="1" applyFill="1" applyBorder="1" applyProtection="1">
      <protection locked="0"/>
    </xf>
    <xf numFmtId="1" fontId="6" fillId="26" borderId="2460" xfId="0" applyNumberFormat="1" applyFont="1" applyFill="1" applyBorder="1" applyProtection="1">
      <protection locked="0"/>
    </xf>
    <xf numFmtId="1" fontId="11" fillId="0" borderId="1521" xfId="0" applyNumberFormat="1" applyFont="1" applyBorder="1" applyAlignment="1">
      <alignment vertical="center" wrapText="1"/>
    </xf>
    <xf numFmtId="1" fontId="6" fillId="0" borderId="2462" xfId="0" applyNumberFormat="1" applyFont="1" applyBorder="1" applyAlignment="1">
      <alignment horizontal="center" vertical="center"/>
    </xf>
    <xf numFmtId="1" fontId="19" fillId="0" borderId="2454" xfId="2" applyNumberFormat="1" applyFont="1" applyBorder="1" applyAlignment="1" applyProtection="1">
      <alignment vertical="center"/>
    </xf>
    <xf numFmtId="1" fontId="6" fillId="0" borderId="2458" xfId="0" applyNumberFormat="1" applyFont="1" applyBorder="1" applyAlignment="1">
      <alignment horizontal="right" vertical="center"/>
    </xf>
    <xf numFmtId="1" fontId="6" fillId="0" borderId="2437" xfId="0" applyNumberFormat="1" applyFont="1" applyBorder="1" applyAlignment="1">
      <alignment horizontal="right" vertical="center"/>
    </xf>
    <xf numFmtId="1" fontId="6" fillId="0" borderId="2456" xfId="0" applyNumberFormat="1" applyFont="1" applyBorder="1" applyAlignment="1">
      <alignment horizontal="right" vertical="center"/>
    </xf>
    <xf numFmtId="1" fontId="6" fillId="0" borderId="2463" xfId="0" applyNumberFormat="1" applyFont="1" applyBorder="1" applyAlignment="1">
      <alignment horizontal="center" vertical="center"/>
    </xf>
    <xf numFmtId="1" fontId="6" fillId="0" borderId="2459" xfId="0" applyNumberFormat="1" applyFont="1" applyBorder="1" applyAlignment="1">
      <alignment horizontal="center" vertical="center"/>
    </xf>
    <xf numFmtId="1" fontId="11" fillId="0" borderId="2443" xfId="27" applyNumberFormat="1" applyFont="1" applyBorder="1" applyAlignment="1">
      <alignment horizontal="left" vertical="center" wrapText="1"/>
    </xf>
    <xf numFmtId="1" fontId="11" fillId="0" borderId="1521" xfId="27" applyNumberFormat="1" applyFont="1" applyBorder="1" applyAlignment="1">
      <alignment horizontal="left" vertical="center" wrapText="1"/>
    </xf>
    <xf numFmtId="1" fontId="11" fillId="0" borderId="1868" xfId="0" applyNumberFormat="1" applyFont="1" applyBorder="1" applyAlignment="1">
      <alignment vertical="center" wrapText="1"/>
    </xf>
    <xf numFmtId="1" fontId="10" fillId="0" borderId="2454" xfId="0" applyNumberFormat="1" applyFont="1" applyBorder="1" applyAlignment="1">
      <alignment horizontal="left" vertical="center"/>
    </xf>
    <xf numFmtId="1" fontId="6" fillId="0" borderId="2454" xfId="0" applyNumberFormat="1" applyFont="1" applyBorder="1"/>
    <xf numFmtId="1" fontId="11" fillId="0" borderId="1521" xfId="0" applyNumberFormat="1" applyFont="1" applyBorder="1"/>
    <xf numFmtId="1" fontId="11" fillId="0" borderId="1868" xfId="0" applyNumberFormat="1" applyFont="1" applyBorder="1"/>
    <xf numFmtId="1" fontId="6" fillId="0" borderId="2449" xfId="0" applyNumberFormat="1" applyFont="1" applyBorder="1" applyAlignment="1">
      <alignment horizontal="center" vertical="center"/>
    </xf>
    <xf numFmtId="1" fontId="38" fillId="3" borderId="0" xfId="0" applyNumberFormat="1" applyFont="1" applyFill="1" applyAlignment="1">
      <alignment vertical="center"/>
    </xf>
    <xf numFmtId="1" fontId="6" fillId="3" borderId="2454" xfId="0" applyNumberFormat="1" applyFont="1" applyFill="1" applyBorder="1"/>
    <xf numFmtId="1" fontId="83" fillId="3" borderId="0" xfId="0" applyNumberFormat="1" applyFont="1" applyFill="1"/>
    <xf numFmtId="1" fontId="6" fillId="14" borderId="2459" xfId="0" applyNumberFormat="1" applyFont="1" applyFill="1" applyBorder="1"/>
    <xf numFmtId="1" fontId="6" fillId="0" borderId="2466" xfId="0" applyNumberFormat="1" applyFont="1" applyBorder="1" applyAlignment="1">
      <alignment horizontal="center" vertical="center"/>
    </xf>
    <xf numFmtId="1" fontId="6" fillId="0" borderId="2468" xfId="0" applyNumberFormat="1" applyFont="1" applyBorder="1" applyAlignment="1">
      <alignment horizontal="center" vertical="center"/>
    </xf>
    <xf numFmtId="1" fontId="6" fillId="0" borderId="2469" xfId="0" applyNumberFormat="1" applyFont="1" applyBorder="1" applyAlignment="1">
      <alignment horizontal="center" vertical="center"/>
    </xf>
    <xf numFmtId="1" fontId="4" fillId="3" borderId="2470" xfId="0" applyNumberFormat="1" applyFont="1" applyFill="1" applyBorder="1" applyAlignment="1">
      <alignment horizontal="left"/>
    </xf>
    <xf numFmtId="1" fontId="4" fillId="3" borderId="2470" xfId="0" applyNumberFormat="1" applyFont="1" applyFill="1" applyBorder="1"/>
    <xf numFmtId="1" fontId="6" fillId="14" borderId="2466" xfId="0" applyNumberFormat="1" applyFont="1" applyFill="1" applyBorder="1"/>
    <xf numFmtId="1" fontId="6" fillId="26" borderId="2472" xfId="0" applyNumberFormat="1" applyFont="1" applyFill="1" applyBorder="1" applyProtection="1">
      <protection locked="0"/>
    </xf>
    <xf numFmtId="1" fontId="6" fillId="0" borderId="2466" xfId="0" applyNumberFormat="1" applyFont="1" applyBorder="1"/>
    <xf numFmtId="1" fontId="6" fillId="5" borderId="2468" xfId="0" applyNumberFormat="1" applyFont="1" applyFill="1" applyBorder="1" applyProtection="1">
      <protection locked="0"/>
    </xf>
    <xf numFmtId="1" fontId="6" fillId="5" borderId="2472" xfId="0" applyNumberFormat="1" applyFont="1" applyFill="1" applyBorder="1" applyProtection="1">
      <protection locked="0"/>
    </xf>
    <xf numFmtId="1" fontId="6" fillId="5" borderId="2473" xfId="0" applyNumberFormat="1" applyFont="1" applyFill="1" applyBorder="1" applyProtection="1">
      <protection locked="0"/>
    </xf>
    <xf numFmtId="1" fontId="6" fillId="5" borderId="2474" xfId="0" applyNumberFormat="1" applyFont="1" applyFill="1" applyBorder="1" applyProtection="1">
      <protection locked="0"/>
    </xf>
    <xf numFmtId="1" fontId="6" fillId="26" borderId="2473" xfId="0" applyNumberFormat="1" applyFont="1" applyFill="1" applyBorder="1" applyProtection="1">
      <protection locked="0"/>
    </xf>
    <xf numFmtId="1" fontId="6" fillId="26" borderId="2468" xfId="0" applyNumberFormat="1" applyFont="1" applyFill="1" applyBorder="1" applyProtection="1">
      <protection locked="0"/>
    </xf>
    <xf numFmtId="1" fontId="6" fillId="26" borderId="2469" xfId="0" applyNumberFormat="1" applyFont="1" applyFill="1" applyBorder="1" applyProtection="1">
      <protection locked="0"/>
    </xf>
    <xf numFmtId="1" fontId="11" fillId="0" borderId="2471" xfId="0" applyNumberFormat="1" applyFont="1" applyBorder="1" applyAlignment="1">
      <alignment vertical="center" wrapText="1"/>
    </xf>
    <xf numFmtId="1" fontId="6" fillId="0" borderId="1864" xfId="0" applyNumberFormat="1" applyFont="1" applyBorder="1"/>
    <xf numFmtId="1" fontId="6" fillId="3" borderId="2443" xfId="0" applyNumberFormat="1" applyFont="1" applyFill="1" applyBorder="1"/>
    <xf numFmtId="1" fontId="6" fillId="3" borderId="2471" xfId="0" applyNumberFormat="1" applyFont="1" applyFill="1" applyBorder="1"/>
    <xf numFmtId="1" fontId="6" fillId="6" borderId="1686" xfId="14" applyNumberFormat="1" applyFont="1" applyBorder="1" applyProtection="1">
      <protection locked="0"/>
    </xf>
    <xf numFmtId="1" fontId="6" fillId="0" borderId="2443" xfId="0" applyNumberFormat="1" applyFont="1" applyBorder="1"/>
    <xf numFmtId="1" fontId="6" fillId="0" borderId="2450" xfId="0" applyNumberFormat="1" applyFont="1" applyBorder="1"/>
    <xf numFmtId="1" fontId="6" fillId="0" borderId="2441" xfId="0" applyNumberFormat="1" applyFont="1" applyBorder="1"/>
    <xf numFmtId="1" fontId="6" fillId="3" borderId="0" xfId="0" applyNumberFormat="1" applyFont="1" applyFill="1" applyAlignment="1" applyProtection="1">
      <alignment horizontal="left"/>
      <protection locked="0"/>
    </xf>
    <xf numFmtId="1" fontId="32" fillId="0" borderId="196" xfId="0" applyNumberFormat="1" applyFont="1" applyBorder="1" applyProtection="1">
      <protection locked="0"/>
    </xf>
    <xf numFmtId="1" fontId="72" fillId="3" borderId="0" xfId="0" applyNumberFormat="1" applyFont="1" applyFill="1" applyAlignment="1" applyProtection="1">
      <alignment wrapText="1"/>
      <protection locked="0"/>
    </xf>
    <xf numFmtId="0" fontId="68" fillId="14" borderId="0" xfId="0" applyFont="1" applyFill="1"/>
    <xf numFmtId="1" fontId="32" fillId="14" borderId="1334" xfId="0" applyNumberFormat="1" applyFont="1" applyFill="1" applyBorder="1" applyProtection="1">
      <protection locked="0"/>
    </xf>
    <xf numFmtId="1" fontId="76" fillId="14" borderId="0" xfId="0" applyNumberFormat="1" applyFont="1" applyFill="1" applyProtection="1">
      <protection locked="0"/>
    </xf>
    <xf numFmtId="1" fontId="32" fillId="5" borderId="1333" xfId="0" applyNumberFormat="1" applyFont="1" applyFill="1" applyBorder="1" applyProtection="1">
      <protection locked="0"/>
    </xf>
    <xf numFmtId="1" fontId="6" fillId="0" borderId="2451" xfId="0" applyNumberFormat="1" applyFont="1" applyBorder="1"/>
    <xf numFmtId="1" fontId="6" fillId="0" borderId="2460" xfId="0" applyNumberFormat="1" applyFont="1" applyBorder="1"/>
    <xf numFmtId="1" fontId="6" fillId="0" borderId="2291" xfId="0" applyNumberFormat="1" applyFont="1" applyBorder="1"/>
    <xf numFmtId="1" fontId="6" fillId="0" borderId="2278" xfId="0" applyNumberFormat="1" applyFont="1" applyBorder="1"/>
    <xf numFmtId="1" fontId="6" fillId="0" borderId="2473" xfId="0" applyNumberFormat="1" applyFont="1" applyBorder="1"/>
    <xf numFmtId="1" fontId="6" fillId="0" borderId="2469" xfId="0" applyNumberFormat="1" applyFont="1" applyBorder="1"/>
    <xf numFmtId="1" fontId="9" fillId="14" borderId="0" xfId="0" applyNumberFormat="1" applyFont="1" applyFill="1" applyAlignment="1">
      <alignment wrapText="1"/>
    </xf>
    <xf numFmtId="1" fontId="5" fillId="38" borderId="0" xfId="0" applyNumberFormat="1" applyFont="1" applyFill="1" applyProtection="1">
      <protection locked="0"/>
    </xf>
    <xf numFmtId="1" fontId="3" fillId="38" borderId="0" xfId="0" applyNumberFormat="1" applyFont="1" applyFill="1" applyProtection="1">
      <protection locked="0"/>
    </xf>
    <xf numFmtId="1" fontId="39" fillId="39" borderId="0" xfId="0" applyNumberFormat="1" applyFont="1" applyFill="1" applyProtection="1">
      <protection locked="0"/>
    </xf>
    <xf numFmtId="1" fontId="38" fillId="25" borderId="0" xfId="0" applyNumberFormat="1" applyFont="1" applyFill="1" applyProtection="1">
      <protection locked="0"/>
    </xf>
    <xf numFmtId="1" fontId="32" fillId="45" borderId="824" xfId="0" applyNumberFormat="1" applyFont="1" applyFill="1" applyBorder="1"/>
    <xf numFmtId="1" fontId="32" fillId="45" borderId="825" xfId="0" applyNumberFormat="1" applyFont="1" applyFill="1" applyBorder="1"/>
    <xf numFmtId="1" fontId="6" fillId="12" borderId="1523" xfId="0" applyNumberFormat="1" applyFont="1" applyFill="1" applyBorder="1"/>
    <xf numFmtId="1" fontId="6" fillId="12" borderId="1526" xfId="0" applyNumberFormat="1" applyFont="1" applyFill="1" applyBorder="1"/>
    <xf numFmtId="1" fontId="6" fillId="12" borderId="2475" xfId="0" applyNumberFormat="1" applyFont="1" applyFill="1" applyBorder="1"/>
    <xf numFmtId="1" fontId="6" fillId="12" borderId="2469" xfId="0" applyNumberFormat="1" applyFont="1" applyFill="1" applyBorder="1"/>
    <xf numFmtId="1" fontId="6" fillId="32" borderId="1793" xfId="6" applyNumberFormat="1" applyFont="1" applyFill="1" applyBorder="1" applyProtection="1">
      <protection locked="0"/>
    </xf>
    <xf numFmtId="1" fontId="6" fillId="32" borderId="1804" xfId="6" applyNumberFormat="1" applyFont="1" applyFill="1" applyBorder="1" applyProtection="1">
      <protection locked="0"/>
    </xf>
    <xf numFmtId="1" fontId="6" fillId="32" borderId="1899" xfId="6" applyNumberFormat="1" applyFont="1" applyFill="1" applyBorder="1" applyProtection="1">
      <protection locked="0"/>
    </xf>
    <xf numFmtId="1" fontId="6" fillId="32" borderId="1902" xfId="6" applyNumberFormat="1" applyFont="1" applyFill="1" applyBorder="1" applyProtection="1">
      <protection locked="0"/>
    </xf>
    <xf numFmtId="1" fontId="6" fillId="32" borderId="1905" xfId="6" applyNumberFormat="1" applyFont="1" applyFill="1" applyBorder="1" applyProtection="1">
      <protection locked="0"/>
    </xf>
    <xf numFmtId="1" fontId="32" fillId="12" borderId="1700" xfId="0" applyNumberFormat="1" applyFont="1" applyFill="1" applyBorder="1"/>
    <xf numFmtId="1" fontId="32" fillId="12" borderId="1126" xfId="0" applyNumberFormat="1" applyFont="1" applyFill="1" applyBorder="1"/>
    <xf numFmtId="1" fontId="6" fillId="12" borderId="1445" xfId="0" applyNumberFormat="1" applyFont="1" applyFill="1" applyBorder="1" applyAlignment="1">
      <alignment horizontal="left" vertical="center" wrapText="1"/>
    </xf>
    <xf numFmtId="1" fontId="6" fillId="12" borderId="1864" xfId="0" applyNumberFormat="1" applyFont="1" applyFill="1" applyBorder="1" applyAlignment="1">
      <alignment horizontal="left"/>
    </xf>
    <xf numFmtId="1" fontId="6" fillId="5" borderId="186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93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86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08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8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821" xfId="0" applyNumberFormat="1" applyFont="1" applyFill="1" applyBorder="1" applyAlignment="1" applyProtection="1">
      <alignment horizontal="right" vertical="center" wrapText="1"/>
      <protection locked="0"/>
    </xf>
    <xf numFmtId="1" fontId="6" fillId="12" borderId="1835" xfId="0" applyNumberFormat="1" applyFont="1" applyFill="1" applyBorder="1"/>
    <xf numFmtId="1" fontId="6" fillId="12" borderId="1862" xfId="0" applyNumberFormat="1" applyFont="1" applyFill="1" applyBorder="1"/>
    <xf numFmtId="1" fontId="6" fillId="12" borderId="1682" xfId="0" applyNumberFormat="1" applyFont="1" applyFill="1" applyBorder="1"/>
    <xf numFmtId="1" fontId="6" fillId="12" borderId="1678" xfId="0" applyNumberFormat="1" applyFont="1" applyFill="1" applyBorder="1"/>
    <xf numFmtId="1" fontId="6" fillId="12" borderId="1631" xfId="0" applyNumberFormat="1" applyFont="1" applyFill="1" applyBorder="1"/>
    <xf numFmtId="1" fontId="6" fillId="12" borderId="1673" xfId="0" applyNumberFormat="1" applyFont="1" applyFill="1" applyBorder="1"/>
    <xf numFmtId="1" fontId="6" fillId="12" borderId="1685" xfId="0" applyNumberFormat="1" applyFont="1" applyFill="1" applyBorder="1"/>
    <xf numFmtId="1" fontId="32" fillId="0" borderId="2413" xfId="0" applyNumberFormat="1" applyFont="1" applyBorder="1" applyAlignment="1">
      <alignment horizontal="right"/>
    </xf>
    <xf numFmtId="1" fontId="32" fillId="0" borderId="2410" xfId="0" applyNumberFormat="1" applyFont="1" applyBorder="1" applyAlignment="1">
      <alignment horizontal="right"/>
    </xf>
    <xf numFmtId="1" fontId="32" fillId="0" borderId="2447" xfId="0" applyNumberFormat="1" applyFont="1" applyBorder="1" applyAlignment="1">
      <alignment horizontal="right"/>
    </xf>
    <xf numFmtId="1" fontId="32" fillId="14" borderId="1858" xfId="0" applyNumberFormat="1" applyFont="1" applyFill="1" applyBorder="1" applyAlignment="1">
      <alignment horizontal="right"/>
    </xf>
    <xf numFmtId="1" fontId="32" fillId="14" borderId="1699" xfId="0" applyNumberFormat="1" applyFont="1" applyFill="1" applyBorder="1" applyAlignment="1">
      <alignment horizontal="right"/>
    </xf>
    <xf numFmtId="1" fontId="32" fillId="14" borderId="1868" xfId="0" applyNumberFormat="1" applyFont="1" applyFill="1" applyBorder="1" applyAlignment="1">
      <alignment horizontal="right"/>
    </xf>
    <xf numFmtId="1" fontId="32" fillId="14" borderId="1671" xfId="0" applyNumberFormat="1" applyFont="1" applyFill="1" applyBorder="1" applyAlignment="1">
      <alignment horizontal="right"/>
    </xf>
    <xf numFmtId="2" fontId="6" fillId="6" borderId="68" xfId="14" applyNumberFormat="1" applyFont="1" applyBorder="1" applyAlignment="1" applyProtection="1">
      <alignment horizontal="center" vertical="center"/>
      <protection locked="0"/>
    </xf>
    <xf numFmtId="2" fontId="6" fillId="6" borderId="488" xfId="14" applyNumberFormat="1" applyFont="1" applyBorder="1" applyAlignment="1" applyProtection="1">
      <alignment horizontal="center" vertical="center"/>
      <protection locked="0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1" fontId="6" fillId="0" borderId="2216" xfId="28" applyNumberFormat="1" applyFont="1" applyBorder="1" applyProtection="1">
      <protection hidden="1"/>
    </xf>
    <xf numFmtId="1" fontId="13" fillId="0" borderId="2454" xfId="28" applyNumberFormat="1" applyFont="1" applyBorder="1" applyAlignment="1">
      <alignment horizontal="right"/>
    </xf>
    <xf numFmtId="0" fontId="38" fillId="29" borderId="750" xfId="0" applyFont="1" applyFill="1" applyBorder="1" applyAlignment="1">
      <alignment horizontal="center"/>
    </xf>
    <xf numFmtId="0" fontId="6" fillId="29" borderId="890" xfId="0" applyFont="1" applyFill="1" applyBorder="1" applyAlignment="1">
      <alignment vertical="center"/>
    </xf>
    <xf numFmtId="0" fontId="6" fillId="29" borderId="844" xfId="0" applyFont="1" applyFill="1" applyBorder="1" applyAlignment="1">
      <alignment vertical="center"/>
    </xf>
    <xf numFmtId="0" fontId="6" fillId="29" borderId="892" xfId="0" applyFont="1" applyFill="1" applyBorder="1" applyAlignment="1">
      <alignment vertical="center"/>
    </xf>
    <xf numFmtId="0" fontId="6" fillId="29" borderId="898" xfId="0" applyFont="1" applyFill="1" applyBorder="1" applyAlignment="1">
      <alignment horizontal="center" vertical="center" wrapText="1"/>
    </xf>
    <xf numFmtId="1" fontId="6" fillId="29" borderId="890" xfId="0" applyNumberFormat="1" applyFont="1" applyFill="1" applyBorder="1"/>
    <xf numFmtId="1" fontId="6" fillId="29" borderId="844" xfId="0" applyNumberFormat="1" applyFont="1" applyFill="1" applyBorder="1"/>
    <xf numFmtId="1" fontId="6" fillId="29" borderId="892" xfId="0" applyNumberFormat="1" applyFont="1" applyFill="1" applyBorder="1"/>
    <xf numFmtId="1" fontId="6" fillId="29" borderId="898" xfId="0" applyNumberFormat="1" applyFont="1" applyFill="1" applyBorder="1"/>
    <xf numFmtId="1" fontId="6" fillId="29" borderId="893" xfId="0" applyNumberFormat="1" applyFont="1" applyFill="1" applyBorder="1"/>
    <xf numFmtId="1" fontId="38" fillId="29" borderId="814" xfId="0" applyNumberFormat="1" applyFont="1" applyFill="1" applyBorder="1"/>
    <xf numFmtId="1" fontId="6" fillId="0" borderId="1663" xfId="0" applyNumberFormat="1" applyFont="1" applyBorder="1" applyAlignment="1">
      <alignment horizontal="right" wrapText="1"/>
    </xf>
    <xf numFmtId="1" fontId="6" fillId="14" borderId="1658" xfId="0" applyNumberFormat="1" applyFont="1" applyFill="1" applyBorder="1"/>
    <xf numFmtId="1" fontId="6" fillId="14" borderId="1445" xfId="0" applyNumberFormat="1" applyFont="1" applyFill="1" applyBorder="1"/>
    <xf numFmtId="1" fontId="6" fillId="0" borderId="1699" xfId="0" applyNumberFormat="1" applyFont="1" applyBorder="1" applyAlignment="1">
      <alignment horizontal="right" wrapText="1"/>
    </xf>
    <xf numFmtId="1" fontId="6" fillId="14" borderId="1698" xfId="0" applyNumberFormat="1" applyFont="1" applyFill="1" applyBorder="1"/>
    <xf numFmtId="1" fontId="6" fillId="14" borderId="1683" xfId="0" applyNumberFormat="1" applyFont="1" applyFill="1" applyBorder="1"/>
    <xf numFmtId="1" fontId="6" fillId="0" borderId="1688" xfId="0" applyNumberFormat="1" applyFont="1" applyBorder="1" applyAlignment="1">
      <alignment horizontal="right" wrapText="1"/>
    </xf>
    <xf numFmtId="1" fontId="6" fillId="14" borderId="1636" xfId="0" applyNumberFormat="1" applyFont="1" applyFill="1" applyBorder="1"/>
    <xf numFmtId="1" fontId="6" fillId="14" borderId="1635" xfId="0" applyNumberFormat="1" applyFont="1" applyFill="1" applyBorder="1"/>
    <xf numFmtId="1" fontId="6" fillId="32" borderId="1791" xfId="6" applyNumberFormat="1" applyFont="1" applyFill="1" applyBorder="1" applyProtection="1">
      <protection locked="0"/>
    </xf>
    <xf numFmtId="1" fontId="6" fillId="32" borderId="1792" xfId="6" applyNumberFormat="1" applyFont="1" applyFill="1" applyBorder="1" applyProtection="1">
      <protection locked="0"/>
    </xf>
    <xf numFmtId="1" fontId="6" fillId="5" borderId="1836" xfId="0" applyNumberFormat="1" applyFont="1" applyFill="1" applyBorder="1" applyProtection="1">
      <protection locked="0"/>
    </xf>
    <xf numFmtId="1" fontId="6" fillId="5" borderId="1763" xfId="0" applyNumberFormat="1" applyFont="1" applyFill="1" applyBorder="1" applyProtection="1">
      <protection locked="0"/>
    </xf>
    <xf numFmtId="1" fontId="6" fillId="5" borderId="1798" xfId="0" applyNumberFormat="1" applyFont="1" applyFill="1" applyBorder="1" applyProtection="1">
      <protection locked="0"/>
    </xf>
    <xf numFmtId="1" fontId="49" fillId="12" borderId="1656" xfId="0" applyNumberFormat="1" applyFont="1" applyFill="1" applyBorder="1" applyAlignment="1">
      <alignment horizontal="right" wrapText="1"/>
    </xf>
    <xf numFmtId="1" fontId="49" fillId="12" borderId="1656" xfId="0" applyNumberFormat="1" applyFont="1" applyFill="1" applyBorder="1"/>
    <xf numFmtId="1" fontId="49" fillId="12" borderId="1644" xfId="0" applyNumberFormat="1" applyFont="1" applyFill="1" applyBorder="1"/>
    <xf numFmtId="1" fontId="49" fillId="12" borderId="1571" xfId="0" applyNumberFormat="1" applyFont="1" applyFill="1" applyBorder="1"/>
    <xf numFmtId="1" fontId="49" fillId="12" borderId="1763" xfId="0" applyNumberFormat="1" applyFont="1" applyFill="1" applyBorder="1"/>
    <xf numFmtId="1" fontId="49" fillId="12" borderId="1798" xfId="0" applyNumberFormat="1" applyFont="1" applyFill="1" applyBorder="1"/>
    <xf numFmtId="1" fontId="49" fillId="12" borderId="1673" xfId="0" applyNumberFormat="1" applyFont="1" applyFill="1" applyBorder="1" applyAlignment="1">
      <alignment horizontal="right" wrapText="1"/>
    </xf>
    <xf numFmtId="1" fontId="49" fillId="12" borderId="1673" xfId="0" applyNumberFormat="1" applyFont="1" applyFill="1" applyBorder="1"/>
    <xf numFmtId="1" fontId="49" fillId="12" borderId="1675" xfId="0" applyNumberFormat="1" applyFont="1" applyFill="1" applyBorder="1"/>
    <xf numFmtId="1" fontId="49" fillId="12" borderId="1089" xfId="0" applyNumberFormat="1" applyFont="1" applyFill="1" applyBorder="1"/>
    <xf numFmtId="1" fontId="49" fillId="12" borderId="1445" xfId="0" applyNumberFormat="1" applyFont="1" applyFill="1" applyBorder="1"/>
    <xf numFmtId="1" fontId="49" fillId="12" borderId="1671" xfId="0" applyNumberFormat="1" applyFont="1" applyFill="1" applyBorder="1"/>
    <xf numFmtId="1" fontId="49" fillId="12" borderId="1607" xfId="0" applyNumberFormat="1" applyFont="1" applyFill="1" applyBorder="1" applyAlignment="1">
      <alignment horizontal="right" wrapText="1"/>
    </xf>
    <xf numFmtId="1" fontId="49" fillId="12" borderId="1607" xfId="0" applyNumberFormat="1" applyFont="1" applyFill="1" applyBorder="1"/>
    <xf numFmtId="1" fontId="49" fillId="12" borderId="827" xfId="0" applyNumberFormat="1" applyFont="1" applyFill="1" applyBorder="1"/>
    <xf numFmtId="1" fontId="49" fillId="12" borderId="1608" xfId="0" applyNumberFormat="1" applyFont="1" applyFill="1" applyBorder="1"/>
    <xf numFmtId="1" fontId="49" fillId="12" borderId="1683" xfId="0" applyNumberFormat="1" applyFont="1" applyFill="1" applyBorder="1"/>
    <xf numFmtId="1" fontId="49" fillId="12" borderId="1699" xfId="0" applyNumberFormat="1" applyFont="1" applyFill="1" applyBorder="1"/>
    <xf numFmtId="1" fontId="49" fillId="12" borderId="1762" xfId="0" applyNumberFormat="1" applyFont="1" applyFill="1" applyBorder="1" applyAlignment="1">
      <alignment horizontal="right"/>
    </xf>
    <xf numFmtId="1" fontId="49" fillId="12" borderId="1762" xfId="0" applyNumberFormat="1" applyFont="1" applyFill="1" applyBorder="1"/>
    <xf numFmtId="1" fontId="49" fillId="12" borderId="1764" xfId="0" applyNumberFormat="1" applyFont="1" applyFill="1" applyBorder="1"/>
    <xf numFmtId="1" fontId="49" fillId="12" borderId="1758" xfId="0" applyNumberFormat="1" applyFont="1" applyFill="1" applyBorder="1"/>
    <xf numFmtId="1" fontId="49" fillId="12" borderId="1799" xfId="0" applyNumberFormat="1" applyFont="1" applyFill="1" applyBorder="1"/>
    <xf numFmtId="1" fontId="49" fillId="12" borderId="1750" xfId="0" applyNumberFormat="1" applyFont="1" applyFill="1" applyBorder="1"/>
    <xf numFmtId="1" fontId="49" fillId="12" borderId="1760" xfId="0" applyNumberFormat="1" applyFont="1" applyFill="1" applyBorder="1"/>
    <xf numFmtId="1" fontId="49" fillId="12" borderId="1939" xfId="0" applyNumberFormat="1" applyFont="1" applyFill="1" applyBorder="1" applyAlignment="1">
      <alignment horizontal="right"/>
    </xf>
    <xf numFmtId="1" fontId="49" fillId="12" borderId="1937" xfId="0" applyNumberFormat="1" applyFont="1" applyFill="1" applyBorder="1"/>
    <xf numFmtId="1" fontId="49" fillId="12" borderId="1940" xfId="0" applyNumberFormat="1" applyFont="1" applyFill="1" applyBorder="1"/>
    <xf numFmtId="1" fontId="49" fillId="12" borderId="1938" xfId="0" applyNumberFormat="1" applyFont="1" applyFill="1" applyBorder="1"/>
    <xf numFmtId="1" fontId="49" fillId="12" borderId="1941" xfId="0" applyNumberFormat="1" applyFont="1" applyFill="1" applyBorder="1"/>
    <xf numFmtId="1" fontId="49" fillId="12" borderId="1942" xfId="0" applyNumberFormat="1" applyFont="1" applyFill="1" applyBorder="1"/>
    <xf numFmtId="1" fontId="49" fillId="12" borderId="1939" xfId="0" applyNumberFormat="1" applyFont="1" applyFill="1" applyBorder="1"/>
    <xf numFmtId="1" fontId="6" fillId="14" borderId="982" xfId="1" applyNumberFormat="1" applyFont="1" applyFill="1" applyBorder="1" applyProtection="1"/>
    <xf numFmtId="1" fontId="6" fillId="14" borderId="630" xfId="1" applyNumberFormat="1" applyFont="1" applyFill="1" applyBorder="1" applyProtection="1"/>
    <xf numFmtId="1" fontId="6" fillId="14" borderId="940" xfId="1" applyNumberFormat="1" applyFont="1" applyFill="1" applyBorder="1" applyProtection="1"/>
    <xf numFmtId="1" fontId="32" fillId="12" borderId="276" xfId="0" applyNumberFormat="1" applyFont="1" applyFill="1" applyBorder="1"/>
    <xf numFmtId="1" fontId="32" fillId="12" borderId="274" xfId="0" applyNumberFormat="1" applyFont="1" applyFill="1" applyBorder="1"/>
    <xf numFmtId="1" fontId="32" fillId="12" borderId="33" xfId="0" applyNumberFormat="1" applyFont="1" applyFill="1" applyBorder="1"/>
    <xf numFmtId="1" fontId="32" fillId="12" borderId="68" xfId="0" applyNumberFormat="1" applyFont="1" applyFill="1" applyBorder="1"/>
    <xf numFmtId="1" fontId="32" fillId="12" borderId="960" xfId="0" applyNumberFormat="1" applyFont="1" applyFill="1" applyBorder="1"/>
    <xf numFmtId="1" fontId="32" fillId="12" borderId="969" xfId="0" applyNumberFormat="1" applyFont="1" applyFill="1" applyBorder="1"/>
    <xf numFmtId="1" fontId="32" fillId="12" borderId="908" xfId="0" applyNumberFormat="1" applyFont="1" applyFill="1" applyBorder="1"/>
    <xf numFmtId="1" fontId="32" fillId="12" borderId="910" xfId="0" applyNumberFormat="1" applyFont="1" applyFill="1" applyBorder="1"/>
    <xf numFmtId="1" fontId="6" fillId="0" borderId="2177" xfId="0" applyNumberFormat="1" applyFont="1" applyBorder="1"/>
    <xf numFmtId="1" fontId="6" fillId="0" borderId="2232" xfId="0" applyNumberFormat="1" applyFont="1" applyBorder="1"/>
    <xf numFmtId="1" fontId="6" fillId="0" borderId="2178" xfId="0" applyNumberFormat="1" applyFont="1" applyBorder="1"/>
    <xf numFmtId="1" fontId="6" fillId="0" borderId="2450" xfId="0" applyNumberFormat="1" applyFont="1" applyBorder="1" applyAlignment="1">
      <alignment horizontal="right" wrapText="1"/>
    </xf>
    <xf numFmtId="1" fontId="5" fillId="14" borderId="2454" xfId="0" applyNumberFormat="1" applyFont="1" applyFill="1" applyBorder="1" applyProtection="1">
      <protection hidden="1"/>
    </xf>
    <xf numFmtId="0" fontId="6" fillId="14" borderId="2454" xfId="0" applyFont="1" applyFill="1" applyBorder="1" applyProtection="1">
      <protection locked="0"/>
    </xf>
    <xf numFmtId="0" fontId="27" fillId="14" borderId="2454" xfId="0" applyFont="1" applyFill="1" applyBorder="1" applyAlignment="1" applyProtection="1">
      <alignment horizontal="center"/>
      <protection hidden="1"/>
    </xf>
    <xf numFmtId="0" fontId="3" fillId="14" borderId="2454" xfId="0" applyFont="1" applyFill="1" applyBorder="1" applyProtection="1">
      <protection locked="0" hidden="1"/>
    </xf>
    <xf numFmtId="0" fontId="6" fillId="0" borderId="2454" xfId="0" applyFont="1" applyBorder="1" applyProtection="1">
      <protection locked="0"/>
    </xf>
    <xf numFmtId="1" fontId="32" fillId="23" borderId="451" xfId="0" applyNumberFormat="1" applyFont="1" applyFill="1" applyBorder="1"/>
    <xf numFmtId="1" fontId="32" fillId="23" borderId="50" xfId="0" applyNumberFormat="1" applyFont="1" applyFill="1" applyBorder="1"/>
    <xf numFmtId="1" fontId="32" fillId="23" borderId="39" xfId="0" applyNumberFormat="1" applyFont="1" applyFill="1" applyBorder="1"/>
    <xf numFmtId="1" fontId="32" fillId="23" borderId="442" xfId="0" applyNumberFormat="1" applyFont="1" applyFill="1" applyBorder="1"/>
    <xf numFmtId="1" fontId="32" fillId="23" borderId="241" xfId="0" applyNumberFormat="1" applyFont="1" applyFill="1" applyBorder="1"/>
    <xf numFmtId="1" fontId="32" fillId="23" borderId="21" xfId="0" applyNumberFormat="1" applyFont="1" applyFill="1" applyBorder="1"/>
    <xf numFmtId="0" fontId="19" fillId="5" borderId="14" xfId="12" applyFont="1" applyFill="1" applyAlignment="1">
      <alignment horizontal="center" vertical="center" wrapText="1"/>
      <protection locked="0"/>
    </xf>
    <xf numFmtId="1" fontId="6" fillId="2" borderId="1709" xfId="26" applyNumberFormat="1" applyFont="1" applyBorder="1" applyProtection="1">
      <protection locked="0"/>
    </xf>
    <xf numFmtId="1" fontId="6" fillId="12" borderId="2443" xfId="0" applyNumberFormat="1" applyFont="1" applyFill="1" applyBorder="1"/>
    <xf numFmtId="1" fontId="6" fillId="12" borderId="2477" xfId="0" applyNumberFormat="1" applyFont="1" applyFill="1" applyBorder="1"/>
    <xf numFmtId="1" fontId="6" fillId="4" borderId="2277" xfId="0" applyNumberFormat="1" applyFont="1" applyFill="1" applyBorder="1"/>
    <xf numFmtId="1" fontId="6" fillId="4" borderId="2421" xfId="0" applyNumberFormat="1" applyFont="1" applyFill="1" applyBorder="1"/>
    <xf numFmtId="1" fontId="6" fillId="2" borderId="1699" xfId="26" applyNumberFormat="1" applyFont="1" applyBorder="1" applyProtection="1">
      <protection locked="0"/>
    </xf>
    <xf numFmtId="1" fontId="6" fillId="2" borderId="1683" xfId="26" applyNumberFormat="1" applyFont="1" applyBorder="1" applyProtection="1">
      <protection locked="0"/>
    </xf>
    <xf numFmtId="1" fontId="6" fillId="4" borderId="1699" xfId="0" applyNumberFormat="1" applyFont="1" applyFill="1" applyBorder="1"/>
    <xf numFmtId="1" fontId="6" fillId="4" borderId="2232" xfId="0" applyNumberFormat="1" applyFont="1" applyFill="1" applyBorder="1"/>
    <xf numFmtId="0" fontId="5" fillId="0" borderId="2438" xfId="0" applyFont="1" applyBorder="1" applyProtection="1">
      <protection hidden="1"/>
    </xf>
    <xf numFmtId="1" fontId="5" fillId="14" borderId="2438" xfId="0" applyNumberFormat="1" applyFont="1" applyFill="1" applyBorder="1" applyProtection="1">
      <protection hidden="1"/>
    </xf>
    <xf numFmtId="0" fontId="2" fillId="0" borderId="2478" xfId="0" applyFont="1" applyBorder="1" applyAlignment="1" applyProtection="1">
      <alignment vertical="center"/>
      <protection hidden="1"/>
    </xf>
    <xf numFmtId="1" fontId="32" fillId="48" borderId="1699" xfId="0" applyNumberFormat="1" applyFont="1" applyFill="1" applyBorder="1" applyAlignment="1">
      <alignment horizontal="left"/>
    </xf>
    <xf numFmtId="1" fontId="49" fillId="0" borderId="2138" xfId="0" applyNumberFormat="1" applyFont="1" applyBorder="1" applyAlignment="1">
      <alignment horizontal="center" vertical="center" wrapText="1"/>
    </xf>
    <xf numFmtId="1" fontId="49" fillId="0" borderId="1871" xfId="0" applyNumberFormat="1" applyFont="1" applyBorder="1" applyAlignment="1">
      <alignment horizontal="center" vertical="center" wrapText="1"/>
    </xf>
    <xf numFmtId="1" fontId="6" fillId="48" borderId="1437" xfId="0" applyNumberFormat="1" applyFont="1" applyFill="1" applyBorder="1"/>
    <xf numFmtId="1" fontId="49" fillId="0" borderId="2170" xfId="0" applyNumberFormat="1" applyFont="1" applyBorder="1" applyAlignment="1">
      <alignment horizontal="center" vertical="center" wrapText="1"/>
    </xf>
    <xf numFmtId="1" fontId="6" fillId="48" borderId="1871" xfId="0" applyNumberFormat="1" applyFont="1" applyFill="1" applyBorder="1"/>
    <xf numFmtId="1" fontId="6" fillId="48" borderId="1865" xfId="0" applyNumberFormat="1" applyFont="1" applyFill="1" applyBorder="1"/>
    <xf numFmtId="1" fontId="6" fillId="48" borderId="2217" xfId="0" applyNumberFormat="1" applyFont="1" applyFill="1" applyBorder="1" applyAlignment="1">
      <alignment horizontal="right" wrapText="1"/>
    </xf>
    <xf numFmtId="1" fontId="6" fillId="0" borderId="2458" xfId="0" applyNumberFormat="1" applyFont="1" applyBorder="1" applyAlignment="1">
      <alignment horizontal="center" vertical="center" wrapText="1"/>
    </xf>
    <xf numFmtId="1" fontId="6" fillId="0" borderId="2439" xfId="0" applyNumberFormat="1" applyFont="1" applyBorder="1" applyAlignment="1">
      <alignment horizontal="center" vertical="center" wrapText="1"/>
    </xf>
    <xf numFmtId="1" fontId="6" fillId="0" borderId="2469" xfId="0" applyNumberFormat="1" applyFont="1" applyBorder="1" applyAlignment="1">
      <alignment horizontal="center" vertical="center" wrapText="1"/>
    </xf>
    <xf numFmtId="1" fontId="6" fillId="0" borderId="2466" xfId="0" applyNumberFormat="1" applyFont="1" applyBorder="1" applyAlignment="1">
      <alignment horizontal="center" vertical="center" wrapText="1"/>
    </xf>
    <xf numFmtId="1" fontId="6" fillId="0" borderId="2455" xfId="0" applyNumberFormat="1" applyFont="1" applyBorder="1" applyAlignment="1">
      <alignment horizontal="center" vertical="center" wrapText="1"/>
    </xf>
    <xf numFmtId="1" fontId="6" fillId="0" borderId="2476" xfId="0" applyNumberFormat="1" applyFont="1" applyBorder="1" applyAlignment="1">
      <alignment vertical="center" wrapText="1"/>
    </xf>
    <xf numFmtId="1" fontId="6" fillId="0" borderId="2441" xfId="0" applyNumberFormat="1" applyFont="1" applyBorder="1" applyAlignment="1">
      <alignment horizontal="right"/>
    </xf>
    <xf numFmtId="1" fontId="6" fillId="5" borderId="2476" xfId="0" applyNumberFormat="1" applyFont="1" applyFill="1" applyBorder="1" applyProtection="1">
      <protection locked="0"/>
    </xf>
    <xf numFmtId="1" fontId="6" fillId="5" borderId="2479" xfId="0" applyNumberFormat="1" applyFont="1" applyFill="1" applyBorder="1" applyProtection="1">
      <protection locked="0"/>
    </xf>
    <xf numFmtId="1" fontId="6" fillId="0" borderId="831" xfId="0" applyNumberFormat="1" applyFont="1" applyBorder="1" applyAlignment="1">
      <alignment vertical="center" wrapText="1"/>
    </xf>
    <xf numFmtId="1" fontId="6" fillId="0" borderId="1683" xfId="0" applyNumberFormat="1" applyFont="1" applyBorder="1" applyAlignment="1">
      <alignment horizontal="right"/>
    </xf>
    <xf numFmtId="1" fontId="6" fillId="0" borderId="1874" xfId="0" applyNumberFormat="1" applyFont="1" applyBorder="1" applyAlignment="1">
      <alignment horizontal="right" wrapText="1"/>
    </xf>
    <xf numFmtId="1" fontId="6" fillId="5" borderId="2162" xfId="0" applyNumberFormat="1" applyFont="1" applyFill="1" applyBorder="1" applyProtection="1">
      <protection locked="0"/>
    </xf>
    <xf numFmtId="1" fontId="6" fillId="0" borderId="831" xfId="0" applyNumberFormat="1" applyFont="1" applyBorder="1" applyAlignment="1">
      <alignment horizontal="left" wrapText="1"/>
    </xf>
    <xf numFmtId="1" fontId="6" fillId="0" borderId="1686" xfId="0" applyNumberFormat="1" applyFont="1" applyBorder="1" applyAlignment="1">
      <alignment horizontal="right" wrapText="1"/>
    </xf>
    <xf numFmtId="1" fontId="6" fillId="0" borderId="2454" xfId="0" applyNumberFormat="1" applyFont="1" applyBorder="1" applyAlignment="1">
      <alignment horizontal="center"/>
    </xf>
    <xf numFmtId="1" fontId="6" fillId="0" borderId="2455" xfId="0" applyNumberFormat="1" applyFont="1" applyBorder="1" applyAlignment="1">
      <alignment horizontal="right"/>
    </xf>
    <xf numFmtId="1" fontId="6" fillId="0" borderId="2410" xfId="0" applyNumberFormat="1" applyFont="1" applyBorder="1" applyAlignment="1">
      <alignment horizontal="right"/>
    </xf>
    <xf numFmtId="1" fontId="6" fillId="0" borderId="2466" xfId="0" applyNumberFormat="1" applyFont="1" applyBorder="1" applyAlignment="1">
      <alignment horizontal="right"/>
    </xf>
    <xf numFmtId="1" fontId="6" fillId="0" borderId="2406" xfId="0" applyNumberFormat="1" applyFont="1" applyBorder="1"/>
    <xf numFmtId="1" fontId="6" fillId="0" borderId="2473" xfId="0" applyNumberFormat="1" applyFont="1" applyBorder="1" applyAlignment="1">
      <alignment horizontal="right" wrapText="1"/>
    </xf>
    <xf numFmtId="1" fontId="6" fillId="0" borderId="2444" xfId="0" applyNumberFormat="1" applyFont="1" applyBorder="1" applyAlignment="1">
      <alignment horizontal="right" wrapText="1"/>
    </xf>
    <xf numFmtId="1" fontId="6" fillId="0" borderId="2469" xfId="0" applyNumberFormat="1" applyFont="1" applyBorder="1" applyAlignment="1">
      <alignment horizontal="right"/>
    </xf>
    <xf numFmtId="1" fontId="6" fillId="5" borderId="2469" xfId="0" applyNumberFormat="1" applyFont="1" applyFill="1" applyBorder="1" applyProtection="1">
      <protection locked="0"/>
    </xf>
    <xf numFmtId="1" fontId="6" fillId="5" borderId="2475" xfId="0" applyNumberFormat="1" applyFont="1" applyFill="1" applyBorder="1" applyProtection="1">
      <protection locked="0"/>
    </xf>
    <xf numFmtId="1" fontId="4" fillId="48" borderId="0" xfId="0" applyNumberFormat="1" applyFont="1" applyFill="1"/>
    <xf numFmtId="1" fontId="32" fillId="3" borderId="2278" xfId="0" applyNumberFormat="1" applyFont="1" applyFill="1" applyBorder="1" applyAlignment="1">
      <alignment horizontal="right" wrapText="1"/>
    </xf>
    <xf numFmtId="1" fontId="32" fillId="3" borderId="2455" xfId="0" applyNumberFormat="1" applyFont="1" applyFill="1" applyBorder="1" applyAlignment="1">
      <alignment horizontal="right" wrapText="1"/>
    </xf>
    <xf numFmtId="1" fontId="32" fillId="3" borderId="2207" xfId="0" applyNumberFormat="1" applyFont="1" applyFill="1" applyBorder="1" applyAlignment="1">
      <alignment horizontal="right" wrapText="1"/>
    </xf>
    <xf numFmtId="1" fontId="6" fillId="3" borderId="2455" xfId="0" applyNumberFormat="1" applyFont="1" applyFill="1" applyBorder="1" applyAlignment="1">
      <alignment horizontal="center" vertical="center" wrapText="1"/>
    </xf>
    <xf numFmtId="1" fontId="32" fillId="3" borderId="2277" xfId="0" applyNumberFormat="1" applyFont="1" applyFill="1" applyBorder="1" applyAlignment="1">
      <alignment horizontal="right" wrapText="1"/>
    </xf>
    <xf numFmtId="1" fontId="6" fillId="3" borderId="2454" xfId="0" applyNumberFormat="1" applyFont="1" applyFill="1" applyBorder="1" applyAlignment="1">
      <alignment horizontal="center" vertical="center" wrapText="1"/>
    </xf>
    <xf numFmtId="1" fontId="6" fillId="0" borderId="2447" xfId="0" applyNumberFormat="1" applyFont="1" applyBorder="1" applyAlignment="1">
      <alignment horizontal="center" vertical="center" wrapText="1"/>
    </xf>
    <xf numFmtId="1" fontId="32" fillId="3" borderId="827" xfId="0" applyNumberFormat="1" applyFont="1" applyFill="1" applyBorder="1" applyAlignment="1">
      <alignment horizontal="right" wrapText="1"/>
    </xf>
    <xf numFmtId="1" fontId="32" fillId="3" borderId="1164" xfId="0" applyNumberFormat="1" applyFont="1" applyFill="1" applyBorder="1" applyAlignment="1">
      <alignment horizontal="right" wrapText="1"/>
    </xf>
    <xf numFmtId="1" fontId="32" fillId="3" borderId="2447" xfId="0" applyNumberFormat="1" applyFont="1" applyFill="1" applyBorder="1" applyAlignment="1">
      <alignment horizontal="right" wrapText="1"/>
    </xf>
    <xf numFmtId="1" fontId="32" fillId="3" borderId="1038" xfId="0" applyNumberFormat="1" applyFont="1" applyFill="1" applyBorder="1" applyAlignment="1">
      <alignment horizontal="right" wrapText="1"/>
    </xf>
    <xf numFmtId="1" fontId="32" fillId="0" borderId="1685" xfId="0" applyNumberFormat="1" applyFont="1" applyBorder="1" applyAlignment="1">
      <alignment horizontal="right"/>
    </xf>
    <xf numFmtId="1" fontId="32" fillId="0" borderId="1687" xfId="0" applyNumberFormat="1" applyFont="1" applyBorder="1" applyAlignment="1">
      <alignment horizontal="right"/>
    </xf>
    <xf numFmtId="1" fontId="32" fillId="5" borderId="2452" xfId="0" applyNumberFormat="1" applyFont="1" applyFill="1" applyBorder="1" applyProtection="1">
      <protection locked="0"/>
    </xf>
    <xf numFmtId="1" fontId="32" fillId="5" borderId="2480" xfId="0" applyNumberFormat="1" applyFont="1" applyFill="1" applyBorder="1" applyProtection="1">
      <protection locked="0"/>
    </xf>
    <xf numFmtId="1" fontId="32" fillId="0" borderId="2449" xfId="0" applyNumberFormat="1" applyFont="1" applyBorder="1"/>
    <xf numFmtId="1" fontId="32" fillId="5" borderId="2474" xfId="0" applyNumberFormat="1" applyFont="1" applyFill="1" applyBorder="1" applyProtection="1">
      <protection locked="0"/>
    </xf>
    <xf numFmtId="1" fontId="32" fillId="5" borderId="2450" xfId="0" applyNumberFormat="1" applyFont="1" applyFill="1" applyBorder="1" applyProtection="1">
      <protection locked="0"/>
    </xf>
    <xf numFmtId="1" fontId="62" fillId="48" borderId="0" xfId="0" applyNumberFormat="1" applyFont="1" applyFill="1"/>
    <xf numFmtId="1" fontId="6" fillId="0" borderId="2406" xfId="0" applyNumberFormat="1" applyFont="1" applyBorder="1" applyAlignment="1">
      <alignment horizontal="center" vertical="center" wrapText="1"/>
    </xf>
    <xf numFmtId="1" fontId="32" fillId="5" borderId="2451" xfId="0" applyNumberFormat="1" applyFont="1" applyFill="1" applyBorder="1" applyProtection="1">
      <protection locked="0"/>
    </xf>
    <xf numFmtId="1" fontId="32" fillId="5" borderId="2299" xfId="0" applyNumberFormat="1" applyFont="1" applyFill="1" applyBorder="1" applyProtection="1">
      <protection locked="0"/>
    </xf>
    <xf numFmtId="1" fontId="32" fillId="5" borderId="2458" xfId="0" applyNumberFormat="1" applyFont="1" applyFill="1" applyBorder="1" applyProtection="1">
      <protection locked="0"/>
    </xf>
    <xf numFmtId="0" fontId="32" fillId="49" borderId="938" xfId="0" applyFont="1" applyFill="1" applyBorder="1"/>
    <xf numFmtId="0" fontId="62" fillId="49" borderId="0" xfId="0" applyFont="1" applyFill="1"/>
    <xf numFmtId="1" fontId="32" fillId="49" borderId="0" xfId="0" applyNumberFormat="1" applyFont="1" applyFill="1"/>
    <xf numFmtId="1" fontId="32" fillId="49" borderId="1324" xfId="0" applyNumberFormat="1" applyFont="1" applyFill="1" applyBorder="1" applyAlignment="1">
      <alignment horizontal="center" vertical="center" wrapText="1"/>
    </xf>
    <xf numFmtId="1" fontId="32" fillId="49" borderId="583" xfId="0" applyNumberFormat="1" applyFont="1" applyFill="1" applyBorder="1" applyAlignment="1">
      <alignment horizontal="center" vertical="center"/>
    </xf>
    <xf numFmtId="1" fontId="32" fillId="49" borderId="593" xfId="0" applyNumberFormat="1" applyFont="1" applyFill="1" applyBorder="1" applyAlignment="1">
      <alignment horizontal="center" vertical="center" wrapText="1"/>
    </xf>
    <xf numFmtId="1" fontId="32" fillId="49" borderId="581" xfId="0" applyNumberFormat="1" applyFont="1" applyFill="1" applyBorder="1" applyAlignment="1">
      <alignment horizontal="center" vertical="center" wrapText="1"/>
    </xf>
    <xf numFmtId="1" fontId="32" fillId="49" borderId="1391" xfId="0" applyNumberFormat="1" applyFont="1" applyFill="1" applyBorder="1" applyAlignment="1">
      <alignment horizontal="center" vertical="center" wrapText="1"/>
    </xf>
    <xf numFmtId="1" fontId="32" fillId="49" borderId="1420" xfId="0" applyNumberFormat="1" applyFont="1" applyFill="1" applyBorder="1" applyAlignment="1">
      <alignment horizontal="center" vertical="center" wrapText="1"/>
    </xf>
    <xf numFmtId="1" fontId="32" fillId="49" borderId="600" xfId="0" applyNumberFormat="1" applyFont="1" applyFill="1" applyBorder="1"/>
    <xf numFmtId="1" fontId="32" fillId="49" borderId="601" xfId="14" applyNumberFormat="1" applyFont="1" applyFill="1" applyBorder="1" applyAlignment="1" applyProtection="1">
      <alignment horizontal="right"/>
    </xf>
    <xf numFmtId="1" fontId="32" fillId="49" borderId="602" xfId="14" applyNumberFormat="1" applyFont="1" applyFill="1" applyBorder="1" applyAlignment="1" applyProtection="1">
      <alignment horizontal="right"/>
    </xf>
    <xf numFmtId="1" fontId="32" fillId="49" borderId="604" xfId="14" applyNumberFormat="1" applyFont="1" applyFill="1" applyBorder="1" applyAlignment="1" applyProtection="1">
      <alignment horizontal="right"/>
    </xf>
    <xf numFmtId="1" fontId="32" fillId="49" borderId="1126" xfId="0" applyNumberFormat="1" applyFont="1" applyFill="1" applyBorder="1"/>
    <xf numFmtId="1" fontId="32" fillId="49" borderId="1129" xfId="0" applyNumberFormat="1" applyFont="1" applyFill="1" applyBorder="1"/>
    <xf numFmtId="1" fontId="32" fillId="49" borderId="1125" xfId="0" applyNumberFormat="1" applyFont="1" applyFill="1" applyBorder="1"/>
    <xf numFmtId="1" fontId="32" fillId="49" borderId="1127" xfId="0" applyNumberFormat="1" applyFont="1" applyFill="1" applyBorder="1"/>
    <xf numFmtId="1" fontId="32" fillId="49" borderId="544" xfId="0" applyNumberFormat="1" applyFont="1" applyFill="1" applyBorder="1" applyAlignment="1">
      <alignment horizontal="left" vertical="center" wrapText="1"/>
    </xf>
    <xf numFmtId="1" fontId="32" fillId="49" borderId="546" xfId="14" applyNumberFormat="1" applyFont="1" applyFill="1" applyBorder="1" applyAlignment="1" applyProtection="1">
      <alignment horizontal="right"/>
    </xf>
    <xf numFmtId="1" fontId="32" fillId="49" borderId="594" xfId="14" applyNumberFormat="1" applyFont="1" applyFill="1" applyBorder="1" applyAlignment="1" applyProtection="1">
      <alignment horizontal="right"/>
    </xf>
    <xf numFmtId="1" fontId="32" fillId="49" borderId="625" xfId="14" applyNumberFormat="1" applyFont="1" applyFill="1" applyBorder="1" applyAlignment="1" applyProtection="1">
      <alignment horizontal="right"/>
    </xf>
    <xf numFmtId="1" fontId="32" fillId="49" borderId="1437" xfId="0" applyNumberFormat="1" applyFont="1" applyFill="1" applyBorder="1"/>
    <xf numFmtId="1" fontId="32" fillId="49" borderId="1022" xfId="0" applyNumberFormat="1" applyFont="1" applyFill="1" applyBorder="1"/>
    <xf numFmtId="1" fontId="32" fillId="49" borderId="1438" xfId="0" applyNumberFormat="1" applyFont="1" applyFill="1" applyBorder="1"/>
    <xf numFmtId="1" fontId="32" fillId="49" borderId="900" xfId="0" applyNumberFormat="1" applyFont="1" applyFill="1" applyBorder="1"/>
    <xf numFmtId="1" fontId="32" fillId="0" borderId="2277" xfId="0" applyNumberFormat="1" applyFont="1" applyBorder="1"/>
    <xf numFmtId="1" fontId="32" fillId="0" borderId="1857" xfId="0" applyNumberFormat="1" applyFont="1" applyBorder="1"/>
    <xf numFmtId="1" fontId="32" fillId="0" borderId="2482" xfId="0" applyNumberFormat="1" applyFont="1" applyBorder="1"/>
    <xf numFmtId="1" fontId="6" fillId="0" borderId="1857" xfId="0" applyNumberFormat="1" applyFont="1" applyBorder="1" applyAlignment="1">
      <alignment horizontal="left" vertical="center" wrapText="1"/>
    </xf>
    <xf numFmtId="1" fontId="6" fillId="0" borderId="265" xfId="0" applyNumberFormat="1" applyFont="1" applyBorder="1" applyAlignment="1">
      <alignment horizontal="right" wrapText="1"/>
    </xf>
    <xf numFmtId="1" fontId="6" fillId="5" borderId="265" xfId="0" applyNumberFormat="1" applyFont="1" applyFill="1" applyBorder="1" applyProtection="1">
      <protection locked="0"/>
    </xf>
    <xf numFmtId="1" fontId="6" fillId="12" borderId="262" xfId="0" applyNumberFormat="1" applyFont="1" applyFill="1" applyBorder="1" applyProtection="1">
      <protection locked="0"/>
    </xf>
    <xf numFmtId="1" fontId="6" fillId="0" borderId="2410" xfId="0" applyNumberFormat="1" applyFont="1" applyBorder="1" applyAlignment="1">
      <alignment horizontal="center" vertical="center"/>
    </xf>
    <xf numFmtId="1" fontId="6" fillId="0" borderId="2443" xfId="0" applyNumberFormat="1" applyFont="1" applyBorder="1" applyAlignment="1">
      <alignment horizontal="left" vertical="center" wrapText="1"/>
    </xf>
    <xf numFmtId="1" fontId="6" fillId="0" borderId="2277" xfId="0" applyNumberFormat="1" applyFont="1" applyBorder="1" applyAlignment="1">
      <alignment horizontal="left" vertical="center" wrapText="1"/>
    </xf>
    <xf numFmtId="1" fontId="6" fillId="0" borderId="1699" xfId="0" applyNumberFormat="1" applyFont="1" applyBorder="1" applyAlignment="1">
      <alignment horizontal="left" vertical="center" wrapText="1"/>
    </xf>
    <xf numFmtId="1" fontId="32" fillId="48" borderId="279" xfId="0" applyNumberFormat="1" applyFont="1" applyFill="1" applyBorder="1"/>
    <xf numFmtId="1" fontId="32" fillId="48" borderId="274" xfId="0" applyNumberFormat="1" applyFont="1" applyFill="1" applyBorder="1"/>
    <xf numFmtId="1" fontId="6" fillId="48" borderId="1876" xfId="0" applyNumberFormat="1" applyFont="1" applyFill="1" applyBorder="1" applyProtection="1">
      <protection locked="0"/>
    </xf>
    <xf numFmtId="1" fontId="6" fillId="48" borderId="1864" xfId="0" applyNumberFormat="1" applyFont="1" applyFill="1" applyBorder="1" applyProtection="1">
      <protection locked="0"/>
    </xf>
    <xf numFmtId="1" fontId="32" fillId="0" borderId="2454" xfId="0" applyNumberFormat="1" applyFont="1" applyBorder="1"/>
    <xf numFmtId="1" fontId="32" fillId="0" borderId="2466" xfId="0" applyNumberFormat="1" applyFont="1" applyBorder="1"/>
    <xf numFmtId="1" fontId="32" fillId="0" borderId="2428" xfId="0" applyNumberFormat="1" applyFont="1" applyBorder="1"/>
    <xf numFmtId="1" fontId="32" fillId="12" borderId="2465" xfId="0" applyNumberFormat="1" applyFont="1" applyFill="1" applyBorder="1" applyAlignment="1">
      <alignment horizontal="center"/>
    </xf>
    <xf numFmtId="1" fontId="32" fillId="12" borderId="2466" xfId="0" applyNumberFormat="1" applyFont="1" applyFill="1" applyBorder="1" applyAlignment="1">
      <alignment horizontal="center"/>
    </xf>
    <xf numFmtId="1" fontId="32" fillId="4" borderId="2435" xfId="0" applyNumberFormat="1" applyFont="1" applyFill="1" applyBorder="1"/>
    <xf numFmtId="1" fontId="32" fillId="4" borderId="2436" xfId="0" applyNumberFormat="1" applyFont="1" applyFill="1" applyBorder="1"/>
    <xf numFmtId="1" fontId="32" fillId="4" borderId="2481" xfId="0" applyNumberFormat="1" applyFont="1" applyFill="1" applyBorder="1"/>
    <xf numFmtId="1" fontId="32" fillId="4" borderId="423" xfId="0" applyNumberFormat="1" applyFont="1" applyFill="1" applyBorder="1"/>
    <xf numFmtId="1" fontId="32" fillId="4" borderId="0" xfId="0" applyNumberFormat="1" applyFont="1" applyFill="1"/>
    <xf numFmtId="1" fontId="32" fillId="4" borderId="114" xfId="0" applyNumberFormat="1" applyFont="1" applyFill="1" applyBorder="1"/>
    <xf numFmtId="1" fontId="32" fillId="4" borderId="2475" xfId="0" applyNumberFormat="1" applyFont="1" applyFill="1" applyBorder="1"/>
    <xf numFmtId="1" fontId="32" fillId="4" borderId="2470" xfId="0" applyNumberFormat="1" applyFont="1" applyFill="1" applyBorder="1"/>
    <xf numFmtId="1" fontId="32" fillId="4" borderId="2230" xfId="0" applyNumberFormat="1" applyFont="1" applyFill="1" applyBorder="1"/>
    <xf numFmtId="1" fontId="32" fillId="4" borderId="2438" xfId="0" applyNumberFormat="1" applyFont="1" applyFill="1" applyBorder="1"/>
    <xf numFmtId="1" fontId="32" fillId="4" borderId="435" xfId="0" applyNumberFormat="1" applyFont="1" applyFill="1" applyBorder="1"/>
    <xf numFmtId="1" fontId="32" fillId="4" borderId="2471" xfId="0" applyNumberFormat="1" applyFont="1" applyFill="1" applyBorder="1"/>
    <xf numFmtId="1" fontId="32" fillId="4" borderId="2464" xfId="0" applyNumberFormat="1" applyFont="1" applyFill="1" applyBorder="1"/>
    <xf numFmtId="1" fontId="32" fillId="4" borderId="2437" xfId="0" applyNumberFormat="1" applyFont="1" applyFill="1" applyBorder="1"/>
    <xf numFmtId="1" fontId="32" fillId="4" borderId="129" xfId="0" applyNumberFormat="1" applyFont="1" applyFill="1" applyBorder="1"/>
    <xf numFmtId="1" fontId="32" fillId="4" borderId="517" xfId="0" applyNumberFormat="1" applyFont="1" applyFill="1" applyBorder="1"/>
    <xf numFmtId="1" fontId="32" fillId="4" borderId="2467" xfId="0" applyNumberFormat="1" applyFont="1" applyFill="1" applyBorder="1"/>
    <xf numFmtId="1" fontId="32" fillId="4" borderId="2469" xfId="0" applyNumberFormat="1" applyFont="1" applyFill="1" applyBorder="1"/>
    <xf numFmtId="1" fontId="32" fillId="12" borderId="2465" xfId="0" applyNumberFormat="1" applyFont="1" applyFill="1" applyBorder="1"/>
    <xf numFmtId="1" fontId="32" fillId="12" borderId="2466" xfId="0" applyNumberFormat="1" applyFont="1" applyFill="1" applyBorder="1"/>
    <xf numFmtId="1" fontId="32" fillId="4" borderId="2458" xfId="0" applyNumberFormat="1" applyFont="1" applyFill="1" applyBorder="1"/>
    <xf numFmtId="1" fontId="32" fillId="4" borderId="2207" xfId="0" applyNumberFormat="1" applyFont="1" applyFill="1" applyBorder="1"/>
    <xf numFmtId="1" fontId="32" fillId="4" borderId="2473" xfId="0" applyNumberFormat="1" applyFont="1" applyFill="1" applyBorder="1"/>
    <xf numFmtId="1" fontId="32" fillId="4" borderId="2456" xfId="0" applyNumberFormat="1" applyFont="1" applyFill="1" applyBorder="1"/>
    <xf numFmtId="1" fontId="32" fillId="4" borderId="2463" xfId="0" applyNumberFormat="1" applyFont="1" applyFill="1" applyBorder="1"/>
    <xf numFmtId="1" fontId="32" fillId="4" borderId="2468" xfId="0" applyNumberFormat="1" applyFont="1" applyFill="1" applyBorder="1"/>
    <xf numFmtId="1" fontId="32" fillId="4" borderId="2439" xfId="0" applyNumberFormat="1" applyFont="1" applyFill="1" applyBorder="1" applyAlignment="1">
      <alignment wrapText="1"/>
    </xf>
    <xf numFmtId="1" fontId="32" fillId="4" borderId="2483" xfId="0" applyNumberFormat="1" applyFont="1" applyFill="1" applyBorder="1" applyAlignment="1">
      <alignment wrapText="1"/>
    </xf>
    <xf numFmtId="1" fontId="32" fillId="4" borderId="2444" xfId="0" applyNumberFormat="1" applyFont="1" applyFill="1" applyBorder="1" applyAlignment="1">
      <alignment wrapText="1"/>
    </xf>
    <xf numFmtId="1" fontId="32" fillId="12" borderId="2476" xfId="0" applyNumberFormat="1" applyFont="1" applyFill="1" applyBorder="1"/>
    <xf numFmtId="1" fontId="32" fillId="12" borderId="2453" xfId="0" applyNumberFormat="1" applyFont="1" applyFill="1" applyBorder="1"/>
    <xf numFmtId="1" fontId="32" fillId="12" borderId="2460" xfId="0" applyNumberFormat="1" applyFont="1" applyFill="1" applyBorder="1"/>
    <xf numFmtId="1" fontId="32" fillId="4" borderId="1863" xfId="0" applyNumberFormat="1" applyFont="1" applyFill="1" applyBorder="1"/>
    <xf numFmtId="1" fontId="32" fillId="4" borderId="1873" xfId="0" applyNumberFormat="1" applyFont="1" applyFill="1" applyBorder="1"/>
    <xf numFmtId="1" fontId="32" fillId="5" borderId="2441" xfId="0" applyNumberFormat="1" applyFont="1" applyFill="1" applyBorder="1" applyProtection="1">
      <protection locked="0"/>
    </xf>
    <xf numFmtId="1" fontId="32" fillId="14" borderId="2466" xfId="0" applyNumberFormat="1" applyFont="1" applyFill="1" applyBorder="1"/>
    <xf numFmtId="166" fontId="66" fillId="48" borderId="929" xfId="34" applyNumberFormat="1" applyFont="1" applyFill="1" applyBorder="1" applyProtection="1"/>
    <xf numFmtId="1" fontId="6" fillId="0" borderId="2459" xfId="4" applyNumberFormat="1" applyFont="1" applyFill="1" applyBorder="1" applyAlignment="1">
      <alignment horizontal="center" vertical="center" wrapText="1"/>
    </xf>
    <xf numFmtId="1" fontId="6" fillId="5" borderId="2460" xfId="1" applyNumberFormat="1" applyFont="1" applyFill="1" applyBorder="1" applyProtection="1">
      <protection locked="0"/>
    </xf>
    <xf numFmtId="1" fontId="6" fillId="5" borderId="2276" xfId="1" applyNumberFormat="1" applyFont="1" applyFill="1" applyBorder="1" applyProtection="1">
      <protection locked="0"/>
    </xf>
    <xf numFmtId="1" fontId="6" fillId="0" borderId="2459" xfId="1" applyNumberFormat="1" applyFont="1" applyBorder="1" applyAlignment="1">
      <alignment horizontal="right"/>
    </xf>
    <xf numFmtId="1" fontId="6" fillId="0" borderId="2455" xfId="4" applyNumberFormat="1" applyFont="1" applyFill="1" applyBorder="1" applyAlignment="1">
      <alignment horizontal="center" vertical="center" wrapText="1"/>
    </xf>
    <xf numFmtId="1" fontId="6" fillId="0" borderId="2466" xfId="4" applyNumberFormat="1" applyFont="1" applyFill="1" applyBorder="1" applyAlignment="1">
      <alignment horizontal="center" vertical="center" wrapText="1"/>
    </xf>
    <xf numFmtId="1" fontId="6" fillId="5" borderId="2450" xfId="1" applyNumberFormat="1" applyFont="1" applyFill="1" applyBorder="1" applyProtection="1">
      <protection locked="0"/>
    </xf>
    <xf numFmtId="1" fontId="6" fillId="5" borderId="2441" xfId="1" applyNumberFormat="1" applyFont="1" applyFill="1" applyBorder="1" applyProtection="1">
      <protection locked="0"/>
    </xf>
    <xf numFmtId="1" fontId="6" fillId="5" borderId="2278" xfId="1" applyNumberFormat="1" applyFont="1" applyFill="1" applyBorder="1" applyProtection="1">
      <protection locked="0"/>
    </xf>
    <xf numFmtId="1" fontId="6" fillId="5" borderId="1445" xfId="1" applyNumberFormat="1" applyFont="1" applyFill="1" applyBorder="1" applyProtection="1">
      <protection locked="0"/>
    </xf>
    <xf numFmtId="1" fontId="6" fillId="5" borderId="1028" xfId="1" applyNumberFormat="1" applyFont="1" applyFill="1" applyBorder="1" applyProtection="1">
      <protection locked="0"/>
    </xf>
    <xf numFmtId="1" fontId="6" fillId="5" borderId="1066" xfId="1" applyNumberFormat="1" applyFont="1" applyFill="1" applyBorder="1" applyProtection="1">
      <protection locked="0"/>
    </xf>
    <xf numFmtId="1" fontId="6" fillId="0" borderId="2455" xfId="1" applyNumberFormat="1" applyFont="1" applyBorder="1" applyAlignment="1">
      <alignment horizontal="right"/>
    </xf>
    <xf numFmtId="1" fontId="6" fillId="0" borderId="2466" xfId="1" applyNumberFormat="1" applyFont="1" applyBorder="1" applyAlignment="1">
      <alignment horizontal="right"/>
    </xf>
    <xf numFmtId="1" fontId="6" fillId="5" borderId="974" xfId="1" applyNumberFormat="1" applyFont="1" applyFill="1" applyBorder="1" applyProtection="1">
      <protection locked="0"/>
    </xf>
    <xf numFmtId="1" fontId="6" fillId="0" borderId="2406" xfId="4" applyNumberFormat="1" applyFont="1" applyFill="1" applyBorder="1" applyAlignment="1">
      <alignment horizontal="center" vertical="center" wrapText="1"/>
    </xf>
    <xf numFmtId="1" fontId="6" fillId="5" borderId="2479" xfId="1" applyNumberFormat="1" applyFont="1" applyFill="1" applyBorder="1" applyProtection="1">
      <protection locked="0"/>
    </xf>
    <xf numFmtId="1" fontId="6" fillId="5" borderId="2300" xfId="1" applyNumberFormat="1" applyFont="1" applyFill="1" applyBorder="1" applyProtection="1">
      <protection locked="0"/>
    </xf>
    <xf numFmtId="1" fontId="6" fillId="5" borderId="1866" xfId="1" applyNumberFormat="1" applyFont="1" applyFill="1" applyBorder="1" applyProtection="1">
      <protection locked="0"/>
    </xf>
    <xf numFmtId="1" fontId="6" fillId="5" borderId="973" xfId="1" applyNumberFormat="1" applyFont="1" applyFill="1" applyBorder="1" applyProtection="1">
      <protection locked="0"/>
    </xf>
    <xf numFmtId="1" fontId="6" fillId="0" borderId="2406" xfId="1" applyNumberFormat="1" applyFont="1" applyBorder="1" applyAlignment="1">
      <alignment horizontal="right"/>
    </xf>
    <xf numFmtId="1" fontId="6" fillId="50" borderId="262" xfId="0" applyNumberFormat="1" applyFont="1" applyFill="1" applyBorder="1"/>
    <xf numFmtId="1" fontId="6" fillId="50" borderId="1521" xfId="0" applyNumberFormat="1" applyFont="1" applyFill="1" applyBorder="1"/>
    <xf numFmtId="1" fontId="6" fillId="50" borderId="1868" xfId="0" applyNumberFormat="1" applyFont="1" applyFill="1" applyBorder="1"/>
    <xf numFmtId="1" fontId="6" fillId="12" borderId="1532" xfId="0" applyNumberFormat="1" applyFont="1" applyFill="1" applyBorder="1"/>
    <xf numFmtId="49" fontId="85" fillId="3" borderId="0" xfId="0" applyNumberFormat="1" applyFont="1" applyFill="1" applyAlignment="1">
      <alignment horizontal="center"/>
    </xf>
    <xf numFmtId="0" fontId="85" fillId="3" borderId="0" xfId="0" applyFont="1" applyFill="1" applyAlignment="1">
      <alignment horizontal="center"/>
    </xf>
    <xf numFmtId="49" fontId="33" fillId="0" borderId="0" xfId="0" applyNumberFormat="1" applyFont="1" applyAlignment="1">
      <alignment horizontal="center" vertical="center"/>
    </xf>
    <xf numFmtId="1" fontId="49" fillId="0" borderId="24" xfId="0" applyNumberFormat="1" applyFont="1" applyBorder="1" applyAlignment="1">
      <alignment horizontal="left" wrapText="1"/>
    </xf>
    <xf numFmtId="1" fontId="49" fillId="0" borderId="1159" xfId="0" applyNumberFormat="1" applyFont="1" applyBorder="1" applyAlignment="1">
      <alignment wrapText="1"/>
    </xf>
    <xf numFmtId="0" fontId="86" fillId="3" borderId="0" xfId="0" applyFont="1" applyFill="1" applyAlignment="1">
      <alignment horizontal="center"/>
    </xf>
    <xf numFmtId="0" fontId="85" fillId="3" borderId="517" xfId="0" applyFont="1" applyFill="1" applyBorder="1" applyAlignment="1">
      <alignment horizontal="center"/>
    </xf>
    <xf numFmtId="1" fontId="6" fillId="48" borderId="686" xfId="0" applyNumberFormat="1" applyFont="1" applyFill="1" applyBorder="1" applyAlignment="1">
      <alignment horizontal="right" wrapText="1"/>
    </xf>
    <xf numFmtId="0" fontId="85" fillId="3" borderId="0" xfId="0" quotePrefix="1" applyFont="1" applyFill="1" applyAlignment="1">
      <alignment horizontal="center"/>
    </xf>
    <xf numFmtId="1" fontId="38" fillId="48" borderId="0" xfId="0" applyNumberFormat="1" applyFont="1" applyFill="1"/>
    <xf numFmtId="1" fontId="9" fillId="48" borderId="0" xfId="0" applyNumberFormat="1" applyFont="1" applyFill="1"/>
    <xf numFmtId="1" fontId="6" fillId="0" borderId="50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51" fillId="0" borderId="0" xfId="0" applyNumberFormat="1" applyFont="1"/>
    <xf numFmtId="1" fontId="49" fillId="0" borderId="1760" xfId="0" applyNumberFormat="1" applyFont="1" applyBorder="1" applyAlignment="1">
      <alignment horizontal="center" wrapText="1"/>
    </xf>
    <xf numFmtId="1" fontId="49" fillId="0" borderId="1797" xfId="0" applyNumberFormat="1" applyFont="1" applyBorder="1" applyAlignment="1">
      <alignment vertical="center" wrapText="1"/>
    </xf>
    <xf numFmtId="1" fontId="49" fillId="5" borderId="1798" xfId="0" applyNumberFormat="1" applyFont="1" applyFill="1" applyBorder="1" applyAlignment="1" applyProtection="1">
      <alignment wrapText="1"/>
      <protection locked="0"/>
    </xf>
    <xf numFmtId="1" fontId="49" fillId="14" borderId="1664" xfId="0" applyNumberFormat="1" applyFont="1" applyFill="1" applyBorder="1" applyAlignment="1">
      <alignment vertical="center" wrapText="1"/>
    </xf>
    <xf numFmtId="1" fontId="49" fillId="5" borderId="1671" xfId="0" applyNumberFormat="1" applyFont="1" applyFill="1" applyBorder="1" applyProtection="1">
      <protection locked="0"/>
    </xf>
    <xf numFmtId="1" fontId="49" fillId="0" borderId="1684" xfId="0" applyNumberFormat="1" applyFont="1" applyBorder="1" applyAlignment="1">
      <alignment vertical="center" wrapText="1"/>
    </xf>
    <xf numFmtId="1" fontId="49" fillId="5" borderId="1709" xfId="0" applyNumberFormat="1" applyFont="1" applyFill="1" applyBorder="1" applyAlignment="1" applyProtection="1">
      <alignment wrapText="1"/>
      <protection locked="0"/>
    </xf>
    <xf numFmtId="49" fontId="85" fillId="3" borderId="517" xfId="0" applyNumberFormat="1" applyFont="1" applyFill="1" applyBorder="1" applyAlignment="1">
      <alignment horizontal="center"/>
    </xf>
    <xf numFmtId="1" fontId="9" fillId="3" borderId="517" xfId="0" applyNumberFormat="1" applyFont="1" applyFill="1" applyBorder="1"/>
    <xf numFmtId="1" fontId="72" fillId="3" borderId="0" xfId="0" applyNumberFormat="1" applyFont="1" applyFill="1" applyAlignment="1">
      <alignment horizontal="center"/>
    </xf>
    <xf numFmtId="1" fontId="20" fillId="48" borderId="0" xfId="0" applyNumberFormat="1" applyFont="1" applyFill="1" applyAlignment="1">
      <alignment horizontal="center"/>
    </xf>
    <xf numFmtId="1" fontId="49" fillId="0" borderId="1868" xfId="0" applyNumberFormat="1" applyFont="1" applyBorder="1" applyAlignment="1">
      <alignment vertical="center" wrapText="1"/>
    </xf>
    <xf numFmtId="1" fontId="9" fillId="48" borderId="0" xfId="0" applyNumberFormat="1" applyFont="1" applyFill="1" applyAlignment="1">
      <alignment horizontal="center"/>
    </xf>
    <xf numFmtId="1" fontId="49" fillId="0" borderId="37" xfId="0" applyNumberFormat="1" applyFont="1" applyBorder="1" applyAlignment="1">
      <alignment wrapText="1"/>
    </xf>
    <xf numFmtId="1" fontId="49" fillId="0" borderId="1140" xfId="0" applyNumberFormat="1" applyFont="1" applyBorder="1" applyAlignment="1">
      <alignment wrapText="1"/>
    </xf>
    <xf numFmtId="49" fontId="85" fillId="48" borderId="517" xfId="0" applyNumberFormat="1" applyFont="1" applyFill="1" applyBorder="1" applyAlignment="1">
      <alignment horizontal="center"/>
    </xf>
    <xf numFmtId="49" fontId="88" fillId="48" borderId="0" xfId="0" applyNumberFormat="1" applyFont="1" applyFill="1" applyAlignment="1">
      <alignment horizontal="center"/>
    </xf>
    <xf numFmtId="49" fontId="53" fillId="51" borderId="517" xfId="0" applyNumberFormat="1" applyFont="1" applyFill="1" applyBorder="1" applyAlignment="1">
      <alignment horizontal="center"/>
    </xf>
    <xf numFmtId="49" fontId="85" fillId="3" borderId="517" xfId="0" applyNumberFormat="1" applyFont="1" applyFill="1" applyBorder="1" applyAlignment="1">
      <alignment horizontal="center" vertical="center"/>
    </xf>
    <xf numFmtId="1" fontId="20" fillId="48" borderId="517" xfId="0" applyNumberFormat="1" applyFont="1" applyFill="1" applyBorder="1" applyAlignment="1">
      <alignment horizontal="center"/>
    </xf>
    <xf numFmtId="1" fontId="72" fillId="48" borderId="0" xfId="0" applyNumberFormat="1" applyFont="1" applyFill="1" applyAlignment="1">
      <alignment horizontal="center"/>
    </xf>
    <xf numFmtId="49" fontId="89" fillId="3" borderId="0" xfId="0" applyNumberFormat="1" applyFont="1" applyFill="1" applyAlignment="1">
      <alignment horizontal="center"/>
    </xf>
    <xf numFmtId="1" fontId="52" fillId="51" borderId="0" xfId="0" quotePrefix="1" applyNumberFormat="1" applyFont="1" applyFill="1" applyAlignment="1">
      <alignment horizontal="center"/>
    </xf>
    <xf numFmtId="0" fontId="53" fillId="3" borderId="0" xfId="0" applyFont="1" applyFill="1" applyAlignment="1">
      <alignment horizontal="center"/>
    </xf>
    <xf numFmtId="1" fontId="52" fillId="3" borderId="0" xfId="0" applyNumberFormat="1" applyFont="1" applyFill="1" applyAlignment="1">
      <alignment horizontal="center"/>
    </xf>
    <xf numFmtId="0" fontId="53" fillId="3" borderId="517" xfId="0" applyFont="1" applyFill="1" applyBorder="1" applyAlignment="1">
      <alignment horizontal="center"/>
    </xf>
    <xf numFmtId="1" fontId="72" fillId="3" borderId="517" xfId="0" applyNumberFormat="1" applyFont="1" applyFill="1" applyBorder="1" applyAlignment="1">
      <alignment horizontal="center"/>
    </xf>
    <xf numFmtId="1" fontId="20" fillId="48" borderId="0" xfId="0" applyNumberFormat="1" applyFont="1" applyFill="1"/>
    <xf numFmtId="0" fontId="85" fillId="3" borderId="0" xfId="0" applyFont="1" applyFill="1" applyAlignment="1">
      <alignment horizontal="center" vertical="center"/>
    </xf>
    <xf numFmtId="49" fontId="85" fillId="3" borderId="0" xfId="0" applyNumberFormat="1" applyFont="1" applyFill="1" applyAlignment="1">
      <alignment horizontal="center" vertical="center"/>
    </xf>
    <xf numFmtId="0" fontId="85" fillId="3" borderId="0" xfId="0" quotePrefix="1" applyFont="1" applyFill="1" applyAlignment="1">
      <alignment horizontal="center" vertical="center"/>
    </xf>
    <xf numFmtId="0" fontId="85" fillId="3" borderId="517" xfId="0" applyFont="1" applyFill="1" applyBorder="1" applyAlignment="1">
      <alignment horizontal="center" vertical="center"/>
    </xf>
    <xf numFmtId="1" fontId="6" fillId="48" borderId="0" xfId="0" applyNumberFormat="1" applyFont="1" applyFill="1"/>
    <xf numFmtId="49" fontId="33" fillId="48" borderId="0" xfId="0" applyNumberFormat="1" applyFont="1" applyFill="1" applyAlignment="1">
      <alignment horizontal="center" vertical="center"/>
    </xf>
    <xf numFmtId="0" fontId="85" fillId="3" borderId="517" xfId="0" quotePrefix="1" applyFont="1" applyFill="1" applyBorder="1" applyAlignment="1">
      <alignment horizontal="center" vertical="center"/>
    </xf>
    <xf numFmtId="0" fontId="53" fillId="3" borderId="0" xfId="0" applyFont="1" applyFill="1" applyAlignment="1">
      <alignment horizontal="center" vertical="center"/>
    </xf>
    <xf numFmtId="49" fontId="33" fillId="0" borderId="517" xfId="0" applyNumberFormat="1" applyFont="1" applyBorder="1" applyAlignment="1">
      <alignment horizontal="center" vertical="center"/>
    </xf>
    <xf numFmtId="1" fontId="72" fillId="48" borderId="0" xfId="0" applyNumberFormat="1" applyFont="1" applyFill="1"/>
    <xf numFmtId="1" fontId="72" fillId="48" borderId="517" xfId="0" applyNumberFormat="1" applyFont="1" applyFill="1" applyBorder="1"/>
    <xf numFmtId="1" fontId="51" fillId="0" borderId="0" xfId="0" applyNumberFormat="1" applyFont="1" applyAlignment="1">
      <alignment horizontal="center"/>
    </xf>
    <xf numFmtId="0" fontId="38" fillId="0" borderId="517" xfId="0" applyFont="1" applyBorder="1"/>
    <xf numFmtId="0" fontId="50" fillId="48" borderId="517" xfId="0" applyFont="1" applyFill="1" applyBorder="1"/>
    <xf numFmtId="0" fontId="38" fillId="48" borderId="517" xfId="0" applyFont="1" applyFill="1" applyBorder="1"/>
    <xf numFmtId="1" fontId="85" fillId="3" borderId="517" xfId="0" applyNumberFormat="1" applyFont="1" applyFill="1" applyBorder="1" applyAlignment="1">
      <alignment horizontal="center"/>
    </xf>
    <xf numFmtId="1" fontId="38" fillId="3" borderId="517" xfId="0" applyNumberFormat="1" applyFont="1" applyFill="1" applyBorder="1"/>
    <xf numFmtId="0" fontId="90" fillId="22" borderId="0" xfId="0" applyFont="1" applyFill="1" applyAlignment="1">
      <alignment horizontal="center"/>
    </xf>
    <xf numFmtId="0" fontId="90" fillId="22" borderId="517" xfId="0" applyFont="1" applyFill="1" applyBorder="1" applyAlignment="1">
      <alignment horizontal="center"/>
    </xf>
    <xf numFmtId="0" fontId="85" fillId="48" borderId="0" xfId="0" applyFont="1" applyFill="1" applyAlignment="1">
      <alignment horizontal="center"/>
    </xf>
    <xf numFmtId="0" fontId="90" fillId="22" borderId="0" xfId="0" applyFont="1" applyFill="1" applyAlignment="1">
      <alignment horizontal="center" vertical="center"/>
    </xf>
    <xf numFmtId="0" fontId="33" fillId="0" borderId="0" xfId="0" applyFont="1" applyAlignment="1">
      <alignment horizontal="center"/>
    </xf>
    <xf numFmtId="1" fontId="49" fillId="0" borderId="29" xfId="28" applyNumberFormat="1" applyFont="1" applyBorder="1" applyAlignment="1">
      <alignment wrapText="1"/>
    </xf>
    <xf numFmtId="1" fontId="51" fillId="0" borderId="624" xfId="28" applyNumberFormat="1" applyFont="1" applyBorder="1" applyProtection="1">
      <protection hidden="1"/>
    </xf>
    <xf numFmtId="1" fontId="51" fillId="3" borderId="0" xfId="0" applyNumberFormat="1" applyFont="1" applyFill="1" applyAlignment="1">
      <alignment horizontal="left"/>
    </xf>
    <xf numFmtId="1" fontId="49" fillId="0" borderId="1428" xfId="0" applyNumberFormat="1" applyFont="1" applyBorder="1" applyAlignment="1">
      <alignment horizontal="center" vertical="center" wrapText="1"/>
    </xf>
    <xf numFmtId="1" fontId="49" fillId="0" borderId="1281" xfId="0" applyNumberFormat="1" applyFont="1" applyBorder="1" applyAlignment="1">
      <alignment horizontal="center" vertical="center" wrapText="1"/>
    </xf>
    <xf numFmtId="1" fontId="49" fillId="0" borderId="1282" xfId="0" applyNumberFormat="1" applyFont="1" applyBorder="1" applyAlignment="1">
      <alignment horizontal="center" vertical="center"/>
    </xf>
    <xf numFmtId="1" fontId="49" fillId="0" borderId="2417" xfId="0" applyNumberFormat="1" applyFont="1" applyBorder="1" applyAlignment="1">
      <alignment horizontal="center" vertical="center"/>
    </xf>
    <xf numFmtId="1" fontId="49" fillId="3" borderId="2412" xfId="0" applyNumberFormat="1" applyFont="1" applyFill="1" applyBorder="1" applyAlignment="1">
      <alignment horizontal="center" vertical="center"/>
    </xf>
    <xf numFmtId="1" fontId="49" fillId="3" borderId="2409" xfId="0" applyNumberFormat="1" applyFont="1" applyFill="1" applyBorder="1" applyAlignment="1">
      <alignment horizontal="center" vertical="center"/>
    </xf>
    <xf numFmtId="1" fontId="49" fillId="0" borderId="1272" xfId="0" applyNumberFormat="1" applyFont="1" applyBorder="1" applyAlignment="1">
      <alignment horizontal="left"/>
    </xf>
    <xf numFmtId="1" fontId="49" fillId="0" borderId="2188" xfId="0" applyNumberFormat="1" applyFont="1" applyBorder="1"/>
    <xf numFmtId="1" fontId="49" fillId="5" borderId="1278" xfId="0" applyNumberFormat="1" applyFont="1" applyFill="1" applyBorder="1" applyProtection="1">
      <protection locked="0"/>
    </xf>
    <xf numFmtId="1" fontId="49" fillId="5" borderId="1275" xfId="0" applyNumberFormat="1" applyFont="1" applyFill="1" applyBorder="1" applyProtection="1">
      <protection locked="0"/>
    </xf>
    <xf numFmtId="1" fontId="49" fillId="5" borderId="2418" xfId="0" applyNumberFormat="1" applyFont="1" applyFill="1" applyBorder="1" applyProtection="1">
      <protection locked="0"/>
    </xf>
    <xf numFmtId="1" fontId="49" fillId="5" borderId="2420" xfId="0" applyNumberFormat="1" applyFont="1" applyFill="1" applyBorder="1" applyProtection="1">
      <protection locked="0"/>
    </xf>
    <xf numFmtId="1" fontId="49" fillId="5" borderId="2396" xfId="0" applyNumberFormat="1" applyFont="1" applyFill="1" applyBorder="1" applyProtection="1">
      <protection locked="0"/>
    </xf>
    <xf numFmtId="1" fontId="49" fillId="0" borderId="1868" xfId="0" applyNumberFormat="1" applyFont="1" applyBorder="1" applyAlignment="1">
      <alignment horizontal="left"/>
    </xf>
    <xf numFmtId="1" fontId="49" fillId="0" borderId="1868" xfId="0" applyNumberFormat="1" applyFont="1" applyBorder="1"/>
    <xf numFmtId="1" fontId="49" fillId="5" borderId="1866" xfId="0" applyNumberFormat="1" applyFont="1" applyFill="1" applyBorder="1" applyProtection="1">
      <protection locked="0"/>
    </xf>
    <xf numFmtId="1" fontId="49" fillId="5" borderId="1524" xfId="0" applyNumberFormat="1" applyFont="1" applyFill="1" applyBorder="1" applyProtection="1">
      <protection locked="0"/>
    </xf>
    <xf numFmtId="1" fontId="49" fillId="5" borderId="1873" xfId="0" applyNumberFormat="1" applyFont="1" applyFill="1" applyBorder="1" applyProtection="1">
      <protection locked="0"/>
    </xf>
    <xf numFmtId="1" fontId="49" fillId="5" borderId="1531" xfId="0" applyNumberFormat="1" applyFont="1" applyFill="1" applyBorder="1" applyProtection="1">
      <protection locked="0"/>
    </xf>
    <xf numFmtId="1" fontId="49" fillId="5" borderId="1864" xfId="0" applyNumberFormat="1" applyFont="1" applyFill="1" applyBorder="1" applyProtection="1">
      <protection locked="0"/>
    </xf>
    <xf numFmtId="1" fontId="72" fillId="3" borderId="517" xfId="0" applyNumberFormat="1" applyFont="1" applyFill="1" applyBorder="1"/>
    <xf numFmtId="1" fontId="49" fillId="3" borderId="0" xfId="0" applyNumberFormat="1" applyFont="1" applyFill="1" applyAlignment="1">
      <alignment horizontal="left" vertical="center"/>
    </xf>
    <xf numFmtId="1" fontId="49" fillId="3" borderId="1697" xfId="0" applyNumberFormat="1" applyFont="1" applyFill="1" applyBorder="1" applyAlignment="1">
      <alignment horizontal="center" vertical="center"/>
    </xf>
    <xf numFmtId="1" fontId="49" fillId="3" borderId="1697" xfId="0" applyNumberFormat="1" applyFont="1" applyFill="1" applyBorder="1" applyAlignment="1">
      <alignment horizontal="center" vertical="center" wrapText="1"/>
    </xf>
    <xf numFmtId="1" fontId="49" fillId="0" borderId="2193" xfId="0" applyNumberFormat="1" applyFont="1" applyBorder="1"/>
    <xf numFmtId="1" fontId="49" fillId="5" borderId="1697" xfId="0" applyNumberFormat="1" applyFont="1" applyFill="1" applyBorder="1" applyAlignment="1" applyProtection="1">
      <alignment vertical="center" wrapText="1"/>
      <protection locked="0"/>
    </xf>
    <xf numFmtId="1" fontId="49" fillId="0" borderId="1650" xfId="0" applyNumberFormat="1" applyFont="1" applyBorder="1" applyAlignment="1">
      <alignment horizontal="left" vertical="center"/>
    </xf>
    <xf numFmtId="1" fontId="49" fillId="5" borderId="1650" xfId="0" applyNumberFormat="1" applyFont="1" applyFill="1" applyBorder="1" applyAlignment="1" applyProtection="1">
      <alignment vertical="center" wrapText="1"/>
      <protection locked="0"/>
    </xf>
    <xf numFmtId="1" fontId="49" fillId="0" borderId="1712" xfId="0" applyNumberFormat="1" applyFont="1" applyBorder="1" applyAlignment="1">
      <alignment horizontal="left" vertical="center"/>
    </xf>
    <xf numFmtId="1" fontId="49" fillId="0" borderId="1519" xfId="0" applyNumberFormat="1" applyFont="1" applyBorder="1"/>
    <xf numFmtId="1" fontId="49" fillId="5" borderId="1712" xfId="0" applyNumberFormat="1" applyFont="1" applyFill="1" applyBorder="1" applyAlignment="1" applyProtection="1">
      <alignment vertical="center" wrapText="1"/>
      <protection locked="0"/>
    </xf>
    <xf numFmtId="1" fontId="49" fillId="5" borderId="1858" xfId="0" applyNumberFormat="1" applyFont="1" applyFill="1" applyBorder="1" applyAlignment="1" applyProtection="1">
      <alignment vertical="center" wrapText="1"/>
      <protection locked="0"/>
    </xf>
    <xf numFmtId="1" fontId="49" fillId="0" borderId="823" xfId="0" applyNumberFormat="1" applyFont="1" applyBorder="1"/>
    <xf numFmtId="1" fontId="49" fillId="5" borderId="700" xfId="0" applyNumberFormat="1" applyFont="1" applyFill="1" applyBorder="1" applyAlignment="1" applyProtection="1">
      <alignment vertical="center" wrapText="1"/>
      <protection locked="0"/>
    </xf>
    <xf numFmtId="1" fontId="49" fillId="5" borderId="1761" xfId="0" applyNumberFormat="1" applyFont="1" applyFill="1" applyBorder="1" applyAlignment="1" applyProtection="1">
      <alignment vertical="center" wrapText="1"/>
      <protection locked="0"/>
    </xf>
    <xf numFmtId="1" fontId="49" fillId="0" borderId="1650" xfId="0" applyNumberFormat="1" applyFont="1" applyBorder="1" applyAlignment="1">
      <alignment vertical="center"/>
    </xf>
    <xf numFmtId="1" fontId="49" fillId="0" borderId="1678" xfId="0" applyNumberFormat="1" applyFont="1" applyBorder="1" applyAlignment="1">
      <alignment horizontal="left" vertical="center"/>
    </xf>
    <xf numFmtId="1" fontId="49" fillId="0" borderId="2186" xfId="0" applyNumberFormat="1" applyFont="1" applyBorder="1"/>
    <xf numFmtId="1" fontId="49" fillId="0" borderId="1650" xfId="0" applyNumberFormat="1" applyFont="1" applyBorder="1" applyAlignment="1">
      <alignment horizontal="left" vertical="center" wrapText="1"/>
    </xf>
    <xf numFmtId="1" fontId="49" fillId="0" borderId="1671" xfId="0" applyNumberFormat="1" applyFont="1" applyBorder="1"/>
    <xf numFmtId="1" fontId="51" fillId="0" borderId="0" xfId="0" applyNumberFormat="1" applyFont="1" applyAlignment="1">
      <alignment horizontal="left"/>
    </xf>
    <xf numFmtId="1" fontId="51" fillId="14" borderId="0" xfId="0" applyNumberFormat="1" applyFont="1" applyFill="1" applyAlignment="1">
      <alignment horizontal="left"/>
    </xf>
    <xf numFmtId="1" fontId="49" fillId="14" borderId="0" xfId="0" applyNumberFormat="1" applyFont="1" applyFill="1" applyAlignment="1">
      <alignment horizontal="left" vertical="center"/>
    </xf>
    <xf numFmtId="1" fontId="53" fillId="14" borderId="0" xfId="0" applyNumberFormat="1" applyFont="1" applyFill="1" applyAlignment="1" applyProtection="1">
      <alignment horizontal="right"/>
      <protection locked="0"/>
    </xf>
    <xf numFmtId="1" fontId="49" fillId="14" borderId="1697" xfId="0" applyNumberFormat="1" applyFont="1" applyFill="1" applyBorder="1" applyAlignment="1">
      <alignment horizontal="center" vertical="center" wrapText="1"/>
    </xf>
    <xf numFmtId="1" fontId="49" fillId="5" borderId="1927" xfId="0" applyNumberFormat="1" applyFont="1" applyFill="1" applyBorder="1" applyProtection="1">
      <protection locked="0"/>
    </xf>
    <xf numFmtId="1" fontId="49" fillId="14" borderId="1616" xfId="0" applyNumberFormat="1" applyFont="1" applyFill="1" applyBorder="1" applyAlignment="1">
      <alignment vertical="center"/>
    </xf>
    <xf numFmtId="1" fontId="49" fillId="5" borderId="1675" xfId="0" applyNumberFormat="1" applyFont="1" applyFill="1" applyBorder="1" applyProtection="1">
      <protection locked="0"/>
    </xf>
    <xf numFmtId="1" fontId="49" fillId="14" borderId="1672" xfId="0" applyNumberFormat="1" applyFont="1" applyFill="1" applyBorder="1" applyAlignment="1">
      <alignment horizontal="left" vertical="center" wrapText="1"/>
    </xf>
    <xf numFmtId="1" fontId="49" fillId="14" borderId="1868" xfId="0" applyNumberFormat="1" applyFont="1" applyFill="1" applyBorder="1" applyAlignment="1">
      <alignment horizontal="left" vertical="center"/>
    </xf>
    <xf numFmtId="1" fontId="49" fillId="5" borderId="1687" xfId="0" applyNumberFormat="1" applyFont="1" applyFill="1" applyBorder="1" applyProtection="1">
      <protection locked="0"/>
    </xf>
    <xf numFmtId="1" fontId="49" fillId="5" borderId="1868" xfId="0" applyNumberFormat="1" applyFont="1" applyFill="1" applyBorder="1" applyProtection="1">
      <protection locked="0"/>
    </xf>
    <xf numFmtId="1" fontId="49" fillId="14" borderId="1650" xfId="0" applyNumberFormat="1" applyFont="1" applyFill="1" applyBorder="1" applyAlignment="1">
      <alignment horizontal="left" vertical="center"/>
    </xf>
    <xf numFmtId="1" fontId="49" fillId="5" borderId="36" xfId="0" applyNumberFormat="1" applyFont="1" applyFill="1" applyBorder="1" applyProtection="1">
      <protection locked="0"/>
    </xf>
    <xf numFmtId="1" fontId="49" fillId="5" borderId="1709" xfId="0" applyNumberFormat="1" applyFont="1" applyFill="1" applyBorder="1" applyProtection="1">
      <protection locked="0"/>
    </xf>
    <xf numFmtId="1" fontId="49" fillId="14" borderId="1691" xfId="0" applyNumberFormat="1" applyFont="1" applyFill="1" applyBorder="1" applyAlignment="1" applyProtection="1">
      <alignment horizontal="center" vertical="center" wrapText="1"/>
      <protection locked="0"/>
    </xf>
    <xf numFmtId="1" fontId="49" fillId="14" borderId="1445" xfId="0" applyNumberFormat="1" applyFont="1" applyFill="1" applyBorder="1" applyAlignment="1">
      <alignment horizontal="left" vertical="center"/>
    </xf>
    <xf numFmtId="1" fontId="49" fillId="14" borderId="1683" xfId="0" applyNumberFormat="1" applyFont="1" applyFill="1" applyBorder="1" applyAlignment="1">
      <alignment vertical="center"/>
    </xf>
    <xf numFmtId="1" fontId="49" fillId="14" borderId="1635" xfId="0" applyNumberFormat="1" applyFont="1" applyFill="1" applyBorder="1" applyAlignment="1">
      <alignment vertical="center" wrapText="1"/>
    </xf>
    <xf numFmtId="1" fontId="49" fillId="5" borderId="1672" xfId="0" applyNumberFormat="1" applyFont="1" applyFill="1" applyBorder="1" applyProtection="1">
      <protection locked="0"/>
    </xf>
    <xf numFmtId="1" fontId="49" fillId="5" borderId="1693" xfId="0" applyNumberFormat="1" applyFont="1" applyFill="1" applyBorder="1" applyProtection="1">
      <protection locked="0"/>
    </xf>
    <xf numFmtId="1" fontId="52" fillId="14" borderId="1092" xfId="0" applyNumberFormat="1" applyFont="1" applyFill="1" applyBorder="1"/>
    <xf numFmtId="1" fontId="49" fillId="14" borderId="0" xfId="0" applyNumberFormat="1" applyFont="1" applyFill="1" applyAlignment="1">
      <alignment vertical="center" wrapText="1"/>
    </xf>
    <xf numFmtId="1" fontId="49" fillId="14" borderId="0" xfId="0" applyNumberFormat="1" applyFont="1" applyFill="1" applyAlignment="1">
      <alignment vertical="top" wrapText="1"/>
    </xf>
    <xf numFmtId="1" fontId="49" fillId="14" borderId="2454" xfId="0" applyNumberFormat="1" applyFont="1" applyFill="1" applyBorder="1" applyAlignment="1">
      <alignment horizontal="center" vertical="center" wrapText="1"/>
    </xf>
    <xf numFmtId="1" fontId="49" fillId="5" borderId="2425" xfId="0" applyNumberFormat="1" applyFont="1" applyFill="1" applyBorder="1" applyProtection="1">
      <protection locked="0"/>
    </xf>
    <xf numFmtId="1" fontId="49" fillId="29" borderId="2422" xfId="0" applyNumberFormat="1" applyFont="1" applyFill="1" applyBorder="1"/>
    <xf numFmtId="1" fontId="49" fillId="5" borderId="1870" xfId="0" applyNumberFormat="1" applyFont="1" applyFill="1" applyBorder="1" applyProtection="1">
      <protection locked="0"/>
    </xf>
    <xf numFmtId="1" fontId="49" fillId="5" borderId="2407" xfId="0" applyNumberFormat="1" applyFont="1" applyFill="1" applyBorder="1" applyProtection="1">
      <protection locked="0"/>
    </xf>
    <xf numFmtId="1" fontId="49" fillId="5" borderId="2426" xfId="0" applyNumberFormat="1" applyFont="1" applyFill="1" applyBorder="1" applyProtection="1">
      <protection locked="0"/>
    </xf>
    <xf numFmtId="1" fontId="49" fillId="29" borderId="1868" xfId="0" applyNumberFormat="1" applyFont="1" applyFill="1" applyBorder="1"/>
    <xf numFmtId="1" fontId="49" fillId="5" borderId="1744" xfId="0" applyNumberFormat="1" applyFont="1" applyFill="1" applyBorder="1" applyProtection="1">
      <protection locked="0"/>
    </xf>
    <xf numFmtId="1" fontId="49" fillId="5" borderId="2383" xfId="0" applyNumberFormat="1" applyFont="1" applyFill="1" applyBorder="1" applyProtection="1">
      <protection locked="0"/>
    </xf>
    <xf numFmtId="1" fontId="49" fillId="5" borderId="1761" xfId="0" applyNumberFormat="1" applyFont="1" applyFill="1" applyBorder="1" applyProtection="1">
      <protection locked="0"/>
    </xf>
    <xf numFmtId="1" fontId="49" fillId="0" borderId="2396" xfId="0" applyNumberFormat="1" applyFont="1" applyBorder="1" applyAlignment="1">
      <alignment horizontal="left" vertical="center"/>
    </xf>
    <xf numFmtId="1" fontId="49" fillId="5" borderId="2427" xfId="0" applyNumberFormat="1" applyFont="1" applyFill="1" applyBorder="1" applyProtection="1">
      <protection locked="0"/>
    </xf>
    <xf numFmtId="1" fontId="49" fillId="29" borderId="2277" xfId="0" applyNumberFormat="1" applyFont="1" applyFill="1" applyBorder="1"/>
    <xf numFmtId="1" fontId="49" fillId="5" borderId="1673" xfId="0" applyNumberFormat="1" applyFont="1" applyFill="1" applyBorder="1" applyProtection="1">
      <protection locked="0"/>
    </xf>
    <xf numFmtId="1" fontId="49" fillId="5" borderId="2278" xfId="0" applyNumberFormat="1" applyFont="1" applyFill="1" applyBorder="1" applyProtection="1">
      <protection locked="0"/>
    </xf>
    <xf numFmtId="1" fontId="49" fillId="5" borderId="1523" xfId="0" applyNumberFormat="1" applyFont="1" applyFill="1" applyBorder="1" applyProtection="1">
      <protection locked="0"/>
    </xf>
    <xf numFmtId="1" fontId="49" fillId="29" borderId="1521" xfId="0" applyNumberFormat="1" applyFont="1" applyFill="1" applyBorder="1"/>
    <xf numFmtId="1" fontId="49" fillId="5" borderId="1522" xfId="0" applyNumberFormat="1" applyFont="1" applyFill="1" applyBorder="1" applyProtection="1">
      <protection locked="0"/>
    </xf>
    <xf numFmtId="1" fontId="49" fillId="5" borderId="1521" xfId="0" applyNumberFormat="1" applyFont="1" applyFill="1" applyBorder="1" applyProtection="1">
      <protection locked="0"/>
    </xf>
    <xf numFmtId="1" fontId="49" fillId="14" borderId="1525" xfId="0" applyNumberFormat="1" applyFont="1" applyFill="1" applyBorder="1" applyAlignment="1">
      <alignment horizontal="left" vertical="center"/>
    </xf>
    <xf numFmtId="1" fontId="49" fillId="14" borderId="517" xfId="0" applyNumberFormat="1" applyFont="1" applyFill="1" applyBorder="1" applyAlignment="1">
      <alignment horizontal="left" vertical="center" wrapText="1"/>
    </xf>
    <xf numFmtId="1" fontId="49" fillId="14" borderId="1876" xfId="0" applyNumberFormat="1" applyFont="1" applyFill="1" applyBorder="1" applyAlignment="1">
      <alignment horizontal="left" vertical="center" wrapText="1"/>
    </xf>
    <xf numFmtId="1" fontId="49" fillId="5" borderId="1863" xfId="0" applyNumberFormat="1" applyFont="1" applyFill="1" applyBorder="1" applyProtection="1">
      <protection locked="0"/>
    </xf>
    <xf numFmtId="1" fontId="49" fillId="29" borderId="2424" xfId="0" applyNumberFormat="1" applyFont="1" applyFill="1" applyBorder="1"/>
    <xf numFmtId="1" fontId="49" fillId="5" borderId="1715" xfId="0" applyNumberFormat="1" applyFont="1" applyFill="1" applyBorder="1" applyProtection="1">
      <protection locked="0"/>
    </xf>
    <xf numFmtId="1" fontId="49" fillId="5" borderId="1712" xfId="0" applyNumberFormat="1" applyFont="1" applyFill="1" applyBorder="1" applyProtection="1">
      <protection locked="0"/>
    </xf>
    <xf numFmtId="1" fontId="49" fillId="5" borderId="1708" xfId="0" applyNumberFormat="1" applyFont="1" applyFill="1" applyBorder="1" applyProtection="1">
      <protection locked="0"/>
    </xf>
    <xf numFmtId="1" fontId="49" fillId="45" borderId="1708" xfId="0" applyNumberFormat="1" applyFont="1" applyFill="1" applyBorder="1"/>
    <xf numFmtId="1" fontId="49" fillId="5" borderId="2405" xfId="0" applyNumberFormat="1" applyFont="1" applyFill="1" applyBorder="1" applyProtection="1">
      <protection locked="0"/>
    </xf>
    <xf numFmtId="1" fontId="49" fillId="5" borderId="1697" xfId="0" applyNumberFormat="1" applyFont="1" applyFill="1" applyBorder="1" applyProtection="1">
      <protection locked="0"/>
    </xf>
    <xf numFmtId="1" fontId="49" fillId="14" borderId="1715" xfId="0" applyNumberFormat="1" applyFont="1" applyFill="1" applyBorder="1"/>
    <xf numFmtId="1" fontId="49" fillId="14" borderId="2383" xfId="0" applyNumberFormat="1" applyFont="1" applyFill="1" applyBorder="1"/>
    <xf numFmtId="1" fontId="49" fillId="14" borderId="2186" xfId="0" applyNumberFormat="1" applyFont="1" applyFill="1" applyBorder="1"/>
    <xf numFmtId="1" fontId="49" fillId="0" borderId="1664" xfId="0" applyNumberFormat="1" applyFont="1" applyBorder="1" applyAlignment="1">
      <alignment wrapText="1"/>
    </xf>
    <xf numFmtId="1" fontId="49" fillId="0" borderId="1637" xfId="0" applyNumberFormat="1" applyFont="1" applyBorder="1" applyAlignment="1">
      <alignment wrapText="1"/>
    </xf>
    <xf numFmtId="1" fontId="49" fillId="0" borderId="1690" xfId="0" applyNumberFormat="1" applyFont="1" applyBorder="1" applyAlignment="1">
      <alignment wrapText="1"/>
    </xf>
    <xf numFmtId="1" fontId="49" fillId="0" borderId="1118" xfId="0" applyNumberFormat="1" applyFont="1" applyBorder="1" applyAlignment="1">
      <alignment wrapText="1"/>
    </xf>
    <xf numFmtId="1" fontId="51" fillId="14" borderId="0" xfId="0" applyNumberFormat="1" applyFont="1" applyFill="1"/>
    <xf numFmtId="1" fontId="49" fillId="0" borderId="2122" xfId="0" applyNumberFormat="1" applyFont="1" applyBorder="1" applyAlignment="1">
      <alignment horizontal="center" vertical="center" wrapText="1"/>
    </xf>
    <xf numFmtId="1" fontId="49" fillId="14" borderId="1858" xfId="0" applyNumberFormat="1" applyFont="1" applyFill="1" applyBorder="1" applyAlignment="1">
      <alignment horizontal="left" wrapText="1"/>
    </xf>
    <xf numFmtId="1" fontId="49" fillId="15" borderId="1858" xfId="0" applyNumberFormat="1" applyFont="1" applyFill="1" applyBorder="1" applyProtection="1">
      <protection locked="0"/>
    </xf>
    <xf numFmtId="1" fontId="49" fillId="14" borderId="1761" xfId="0" applyNumberFormat="1" applyFont="1" applyFill="1" applyBorder="1" applyAlignment="1">
      <alignment horizontal="left" wrapText="1"/>
    </xf>
    <xf numFmtId="1" fontId="49" fillId="14" borderId="1858" xfId="0" applyNumberFormat="1" applyFont="1" applyFill="1" applyBorder="1"/>
    <xf numFmtId="1" fontId="49" fillId="5" borderId="1858" xfId="0" applyNumberFormat="1" applyFont="1" applyFill="1" applyBorder="1" applyProtection="1">
      <protection locked="0"/>
    </xf>
    <xf numFmtId="1" fontId="49" fillId="14" borderId="1027" xfId="0" applyNumberFormat="1" applyFont="1" applyFill="1" applyBorder="1"/>
    <xf numFmtId="1" fontId="49" fillId="5" borderId="1027" xfId="0" applyNumberFormat="1" applyFont="1" applyFill="1" applyBorder="1" applyProtection="1">
      <protection locked="0"/>
    </xf>
    <xf numFmtId="1" fontId="49" fillId="14" borderId="1761" xfId="0" applyNumberFormat="1" applyFont="1" applyFill="1" applyBorder="1"/>
    <xf numFmtId="1" fontId="49" fillId="15" borderId="1761" xfId="0" applyNumberFormat="1" applyFont="1" applyFill="1" applyBorder="1" applyProtection="1">
      <protection locked="0"/>
    </xf>
    <xf numFmtId="1" fontId="49" fillId="0" borderId="1696" xfId="0" applyNumberFormat="1" applyFont="1" applyBorder="1" applyAlignment="1">
      <alignment horizontal="center" vertical="center" wrapText="1"/>
    </xf>
    <xf numFmtId="1" fontId="49" fillId="0" borderId="1703" xfId="0" applyNumberFormat="1" applyFont="1" applyBorder="1" applyAlignment="1">
      <alignment horizontal="center" vertical="center" wrapText="1"/>
    </xf>
    <xf numFmtId="1" fontId="49" fillId="0" borderId="1691" xfId="0" applyNumberFormat="1" applyFont="1" applyBorder="1" applyAlignment="1">
      <alignment horizontal="center" vertical="center" wrapText="1"/>
    </xf>
    <xf numFmtId="1" fontId="49" fillId="3" borderId="1697" xfId="0" applyNumberFormat="1" applyFont="1" applyFill="1" applyBorder="1" applyAlignment="1">
      <alignment horizontal="center" wrapText="1"/>
    </xf>
    <xf numFmtId="1" fontId="49" fillId="14" borderId="1697" xfId="0" applyNumberFormat="1" applyFont="1" applyFill="1" applyBorder="1" applyAlignment="1" applyProtection="1">
      <alignment vertical="center"/>
      <protection locked="0"/>
    </xf>
    <xf numFmtId="1" fontId="49" fillId="5" borderId="1696" xfId="0" applyNumberFormat="1" applyFont="1" applyFill="1" applyBorder="1" applyProtection="1">
      <protection locked="0"/>
    </xf>
    <xf numFmtId="1" fontId="49" fillId="5" borderId="1703" xfId="0" applyNumberFormat="1" applyFont="1" applyFill="1" applyBorder="1" applyProtection="1">
      <protection locked="0"/>
    </xf>
    <xf numFmtId="1" fontId="49" fillId="5" borderId="1691" xfId="0" applyNumberFormat="1" applyFont="1" applyFill="1" applyBorder="1" applyProtection="1">
      <protection locked="0"/>
    </xf>
    <xf numFmtId="1" fontId="49" fillId="5" borderId="1707" xfId="0" applyNumberFormat="1" applyFont="1" applyFill="1" applyBorder="1" applyProtection="1">
      <protection locked="0"/>
    </xf>
    <xf numFmtId="1" fontId="49" fillId="0" borderId="1694" xfId="0" applyNumberFormat="1" applyFont="1" applyBorder="1" applyAlignment="1">
      <alignment horizontal="center" vertical="center"/>
    </xf>
    <xf numFmtId="1" fontId="49" fillId="0" borderId="1694" xfId="0" applyNumberFormat="1" applyFont="1" applyBorder="1" applyAlignment="1">
      <alignment horizontal="center" vertical="center" wrapText="1"/>
    </xf>
    <xf numFmtId="1" fontId="49" fillId="0" borderId="1639" xfId="0" applyNumberFormat="1" applyFont="1" applyBorder="1" applyAlignment="1">
      <alignment horizontal="center" vertical="center" wrapText="1"/>
    </xf>
    <xf numFmtId="1" fontId="49" fillId="0" borderId="1679" xfId="0" applyNumberFormat="1" applyFont="1" applyBorder="1" applyAlignment="1">
      <alignment vertical="center"/>
    </xf>
    <xf numFmtId="1" fontId="49" fillId="15" borderId="1650" xfId="0" applyNumberFormat="1" applyFont="1" applyFill="1" applyBorder="1" applyProtection="1">
      <protection locked="0"/>
    </xf>
    <xf numFmtId="1" fontId="49" fillId="15" borderId="1704" xfId="0" applyNumberFormat="1" applyFont="1" applyFill="1" applyBorder="1" applyProtection="1">
      <protection locked="0"/>
    </xf>
    <xf numFmtId="0" fontId="49" fillId="0" borderId="1681" xfId="0" applyFont="1" applyBorder="1"/>
    <xf numFmtId="1" fontId="49" fillId="15" borderId="1681" xfId="0" applyNumberFormat="1" applyFont="1" applyFill="1" applyBorder="1" applyProtection="1">
      <protection locked="0"/>
    </xf>
    <xf numFmtId="1" fontId="49" fillId="15" borderId="1678" xfId="0" applyNumberFormat="1" applyFont="1" applyFill="1" applyBorder="1" applyProtection="1">
      <protection locked="0"/>
    </xf>
    <xf numFmtId="1" fontId="49" fillId="0" borderId="368" xfId="0" applyNumberFormat="1" applyFont="1" applyBorder="1" applyAlignment="1">
      <alignment horizontal="center" vertical="center"/>
    </xf>
    <xf numFmtId="1" fontId="49" fillId="0" borderId="1280" xfId="0" applyNumberFormat="1" applyFont="1" applyBorder="1" applyAlignment="1">
      <alignment horizontal="center" vertical="center" wrapText="1"/>
    </xf>
    <xf numFmtId="1" fontId="49" fillId="0" borderId="1697" xfId="0" applyNumberFormat="1" applyFont="1" applyBorder="1" applyAlignment="1">
      <alignment horizontal="center" vertical="center" wrapText="1"/>
    </xf>
    <xf numFmtId="1" fontId="49" fillId="0" borderId="1705" xfId="0" applyNumberFormat="1" applyFont="1" applyBorder="1" applyAlignment="1">
      <alignment horizontal="center" vertical="center" wrapText="1"/>
    </xf>
    <xf numFmtId="1" fontId="49" fillId="0" borderId="339" xfId="0" applyNumberFormat="1" applyFont="1" applyBorder="1" applyAlignment="1">
      <alignment horizontal="left" vertical="center" wrapText="1"/>
    </xf>
    <xf numFmtId="1" fontId="49" fillId="15" borderId="1286" xfId="0" applyNumberFormat="1" applyFont="1" applyFill="1" applyBorder="1" applyProtection="1">
      <protection locked="0"/>
    </xf>
    <xf numFmtId="1" fontId="49" fillId="15" borderId="1659" xfId="0" applyNumberFormat="1" applyFont="1" applyFill="1" applyBorder="1" applyProtection="1">
      <protection locked="0"/>
    </xf>
    <xf numFmtId="1" fontId="49" fillId="0" borderId="37" xfId="0" applyNumberFormat="1" applyFont="1" applyBorder="1" applyAlignment="1">
      <alignment horizontal="left" vertical="center" wrapText="1"/>
    </xf>
    <xf numFmtId="1" fontId="49" fillId="5" borderId="1290" xfId="0" applyNumberFormat="1" applyFont="1" applyFill="1" applyBorder="1" applyProtection="1">
      <protection locked="0"/>
    </xf>
    <xf numFmtId="1" fontId="49" fillId="5" borderId="1699" xfId="0" applyNumberFormat="1" applyFont="1" applyFill="1" applyBorder="1" applyProtection="1">
      <protection locked="0"/>
    </xf>
    <xf numFmtId="1" fontId="49" fillId="5" borderId="1702" xfId="0" applyNumberFormat="1" applyFont="1" applyFill="1" applyBorder="1" applyProtection="1">
      <protection locked="0"/>
    </xf>
    <xf numFmtId="1" fontId="49" fillId="0" borderId="962" xfId="0" applyNumberFormat="1" applyFont="1" applyBorder="1" applyAlignment="1">
      <alignment horizontal="left" vertical="center" wrapText="1"/>
    </xf>
    <xf numFmtId="1" fontId="49" fillId="15" borderId="962" xfId="0" applyNumberFormat="1" applyFont="1" applyFill="1" applyBorder="1" applyProtection="1">
      <protection locked="0"/>
    </xf>
    <xf numFmtId="1" fontId="49" fillId="15" borderId="1693" xfId="0" applyNumberFormat="1" applyFont="1" applyFill="1" applyBorder="1" applyProtection="1">
      <protection locked="0"/>
    </xf>
    <xf numFmtId="1" fontId="49" fillId="15" borderId="1706" xfId="0" applyNumberFormat="1" applyFont="1" applyFill="1" applyBorder="1" applyProtection="1">
      <protection locked="0"/>
    </xf>
    <xf numFmtId="1" fontId="49" fillId="0" borderId="1428" xfId="0" applyNumberFormat="1" applyFont="1" applyBorder="1" applyAlignment="1">
      <alignment horizontal="center" vertical="center"/>
    </xf>
    <xf numFmtId="1" fontId="49" fillId="0" borderId="1429" xfId="0" applyNumberFormat="1" applyFont="1" applyBorder="1" applyAlignment="1">
      <alignment horizontal="center" vertical="center" wrapText="1"/>
    </xf>
    <xf numFmtId="1" fontId="49" fillId="0" borderId="1430" xfId="0" applyNumberFormat="1" applyFont="1" applyBorder="1" applyAlignment="1">
      <alignment horizontal="center" vertical="center" wrapText="1"/>
    </xf>
    <xf numFmtId="1" fontId="49" fillId="15" borderId="1427" xfId="0" applyNumberFormat="1" applyFont="1" applyFill="1" applyBorder="1" applyProtection="1">
      <protection locked="0"/>
    </xf>
    <xf numFmtId="1" fontId="49" fillId="15" borderId="1426" xfId="0" applyNumberFormat="1" applyFont="1" applyFill="1" applyBorder="1" applyProtection="1">
      <protection locked="0"/>
    </xf>
    <xf numFmtId="1" fontId="49" fillId="5" borderId="1291" xfId="0" applyNumberFormat="1" applyFont="1" applyFill="1" applyBorder="1" applyProtection="1">
      <protection locked="0"/>
    </xf>
    <xf numFmtId="1" fontId="49" fillId="5" borderId="1283" xfId="0" applyNumberFormat="1" applyFont="1" applyFill="1" applyBorder="1" applyProtection="1">
      <protection locked="0"/>
    </xf>
    <xf numFmtId="1" fontId="49" fillId="0" borderId="24" xfId="0" applyNumberFormat="1" applyFont="1" applyBorder="1" applyAlignment="1">
      <alignment horizontal="left" vertical="center" wrapText="1"/>
    </xf>
    <xf numFmtId="1" fontId="49" fillId="15" borderId="1287" xfId="0" applyNumberFormat="1" applyFont="1" applyFill="1" applyBorder="1" applyProtection="1">
      <protection locked="0"/>
    </xf>
    <xf numFmtId="1" fontId="49" fillId="15" borderId="1289" xfId="0" applyNumberFormat="1" applyFont="1" applyFill="1" applyBorder="1" applyProtection="1">
      <protection locked="0"/>
    </xf>
    <xf numFmtId="1" fontId="49" fillId="15" borderId="1117" xfId="0" applyNumberFormat="1" applyFont="1" applyFill="1" applyBorder="1" applyProtection="1">
      <protection locked="0"/>
    </xf>
    <xf numFmtId="1" fontId="49" fillId="0" borderId="1421" xfId="0" applyNumberFormat="1" applyFont="1" applyBorder="1" applyAlignment="1">
      <alignment horizontal="center" vertical="center" wrapText="1"/>
    </xf>
    <xf numFmtId="1" fontId="6" fillId="0" borderId="2471" xfId="0" applyNumberFormat="1" applyFont="1" applyBorder="1" applyAlignment="1">
      <alignment vertical="center" wrapText="1"/>
    </xf>
    <xf numFmtId="1" fontId="6" fillId="0" borderId="2471" xfId="0" applyNumberFormat="1" applyFont="1" applyBorder="1"/>
    <xf numFmtId="1" fontId="6" fillId="5" borderId="2444" xfId="0" applyNumberFormat="1" applyFont="1" applyFill="1" applyBorder="1" applyProtection="1">
      <protection locked="0"/>
    </xf>
    <xf numFmtId="1" fontId="6" fillId="0" borderId="2443" xfId="0" applyNumberFormat="1" applyFont="1" applyBorder="1" applyAlignment="1">
      <alignment vertical="center" wrapText="1"/>
    </xf>
    <xf numFmtId="1" fontId="33" fillId="3" borderId="0" xfId="0" applyNumberFormat="1" applyFont="1" applyFill="1" applyAlignment="1">
      <alignment horizontal="center"/>
    </xf>
    <xf numFmtId="1" fontId="50" fillId="3" borderId="0" xfId="0" applyNumberFormat="1" applyFont="1" applyFill="1" applyAlignment="1">
      <alignment horizontal="center"/>
    </xf>
    <xf numFmtId="0" fontId="93" fillId="3" borderId="0" xfId="0" applyFont="1" applyFill="1" applyAlignment="1">
      <alignment horizontal="center"/>
    </xf>
    <xf numFmtId="1" fontId="49" fillId="0" borderId="263" xfId="0" applyNumberFormat="1" applyFont="1" applyBorder="1" applyAlignment="1">
      <alignment horizontal="left" vertical="center" wrapText="1"/>
    </xf>
    <xf numFmtId="1" fontId="49" fillId="0" borderId="1709" xfId="0" applyNumberFormat="1" applyFont="1" applyBorder="1" applyAlignment="1">
      <alignment horizontal="left" vertical="center" wrapText="1"/>
    </xf>
    <xf numFmtId="1" fontId="49" fillId="0" borderId="2396" xfId="0" applyNumberFormat="1" applyFont="1" applyBorder="1" applyAlignment="1">
      <alignment horizontal="center" vertical="center" wrapText="1"/>
    </xf>
    <xf numFmtId="1" fontId="49" fillId="0" borderId="1585" xfId="0" applyNumberFormat="1" applyFont="1" applyBorder="1" applyAlignment="1">
      <alignment horizontal="center" vertical="center" wrapText="1"/>
    </xf>
    <xf numFmtId="1" fontId="49" fillId="0" borderId="1582" xfId="0" applyNumberFormat="1" applyFont="1" applyBorder="1" applyAlignment="1">
      <alignment horizontal="center" vertical="center" wrapText="1"/>
    </xf>
    <xf numFmtId="1" fontId="49" fillId="0" borderId="1578" xfId="0" applyNumberFormat="1" applyFont="1" applyBorder="1" applyAlignment="1">
      <alignment horizontal="center" vertical="center" wrapText="1"/>
    </xf>
    <xf numFmtId="1" fontId="49" fillId="3" borderId="225" xfId="0" applyNumberFormat="1" applyFont="1" applyFill="1" applyBorder="1" applyAlignment="1">
      <alignment horizontal="center" vertical="center"/>
    </xf>
    <xf numFmtId="1" fontId="49" fillId="3" borderId="309" xfId="0" applyNumberFormat="1" applyFont="1" applyFill="1" applyBorder="1" applyAlignment="1">
      <alignment horizontal="center" vertical="center"/>
    </xf>
    <xf numFmtId="1" fontId="49" fillId="0" borderId="1588" xfId="0" applyNumberFormat="1" applyFont="1" applyBorder="1" applyAlignment="1">
      <alignment horizontal="center" vertical="center" wrapText="1"/>
    </xf>
    <xf numFmtId="1" fontId="49" fillId="3" borderId="1580" xfId="0" applyNumberFormat="1" applyFont="1" applyFill="1" applyBorder="1" applyAlignment="1">
      <alignment horizontal="center" vertical="center" wrapText="1"/>
    </xf>
    <xf numFmtId="1" fontId="49" fillId="0" borderId="1589" xfId="0" applyNumberFormat="1" applyFont="1" applyBorder="1" applyAlignment="1">
      <alignment horizontal="center" vertical="center" wrapText="1"/>
    </xf>
    <xf numFmtId="1" fontId="49" fillId="14" borderId="1592" xfId="0" applyNumberFormat="1" applyFont="1" applyFill="1" applyBorder="1" applyAlignment="1">
      <alignment vertical="center" wrapText="1"/>
    </xf>
    <xf numFmtId="1" fontId="49" fillId="5" borderId="1586" xfId="0" applyNumberFormat="1" applyFont="1" applyFill="1" applyBorder="1" applyAlignment="1" applyProtection="1">
      <alignment horizontal="right"/>
      <protection locked="0"/>
    </xf>
    <xf numFmtId="1" fontId="49" fillId="5" borderId="1585" xfId="0" applyNumberFormat="1" applyFont="1" applyFill="1" applyBorder="1" applyAlignment="1" applyProtection="1">
      <alignment horizontal="right"/>
      <protection locked="0"/>
    </xf>
    <xf numFmtId="1" fontId="49" fillId="4" borderId="1586" xfId="0" applyNumberFormat="1" applyFont="1" applyFill="1" applyBorder="1" applyAlignment="1">
      <alignment horizontal="right"/>
    </xf>
    <xf numFmtId="1" fontId="49" fillId="4" borderId="1585" xfId="0" applyNumberFormat="1" applyFont="1" applyFill="1" applyBorder="1" applyAlignment="1">
      <alignment horizontal="right"/>
    </xf>
    <xf numFmtId="1" fontId="49" fillId="5" borderId="278" xfId="0" applyNumberFormat="1" applyFont="1" applyFill="1" applyBorder="1" applyAlignment="1" applyProtection="1">
      <alignment horizontal="right"/>
      <protection locked="0"/>
    </xf>
    <xf numFmtId="1" fontId="49" fillId="5" borderId="325" xfId="0" applyNumberFormat="1" applyFont="1" applyFill="1" applyBorder="1" applyAlignment="1" applyProtection="1">
      <alignment horizontal="right"/>
      <protection locked="0"/>
    </xf>
    <xf numFmtId="1" fontId="49" fillId="5" borderId="1590" xfId="0" applyNumberFormat="1" applyFont="1" applyFill="1" applyBorder="1" applyAlignment="1" applyProtection="1">
      <alignment horizontal="right"/>
      <protection locked="0"/>
    </xf>
    <xf numFmtId="1" fontId="49" fillId="5" borderId="1591" xfId="0" applyNumberFormat="1" applyFont="1" applyFill="1" applyBorder="1" applyAlignment="1" applyProtection="1">
      <alignment horizontal="right"/>
      <protection locked="0"/>
    </xf>
    <xf numFmtId="1" fontId="49" fillId="5" borderId="1444" xfId="0" applyNumberFormat="1" applyFont="1" applyFill="1" applyBorder="1" applyAlignment="1" applyProtection="1">
      <alignment horizontal="right"/>
      <protection locked="0"/>
    </xf>
    <xf numFmtId="1" fontId="49" fillId="14" borderId="877" xfId="0" applyNumberFormat="1" applyFont="1" applyFill="1" applyBorder="1" applyAlignment="1">
      <alignment vertical="center"/>
    </xf>
    <xf numFmtId="1" fontId="49" fillId="4" borderId="896" xfId="0" applyNumberFormat="1" applyFont="1" applyFill="1" applyBorder="1" applyAlignment="1">
      <alignment horizontal="right"/>
    </xf>
    <xf numFmtId="1" fontId="49" fillId="4" borderId="370" xfId="0" applyNumberFormat="1" applyFont="1" applyFill="1" applyBorder="1" applyAlignment="1">
      <alignment horizontal="right"/>
    </xf>
    <xf numFmtId="1" fontId="49" fillId="5" borderId="896" xfId="0" applyNumberFormat="1" applyFont="1" applyFill="1" applyBorder="1" applyAlignment="1" applyProtection="1">
      <alignment horizontal="right"/>
      <protection locked="0"/>
    </xf>
    <xf numFmtId="1" fontId="49" fillId="5" borderId="370" xfId="0" applyNumberFormat="1" applyFont="1" applyFill="1" applyBorder="1" applyAlignment="1" applyProtection="1">
      <alignment horizontal="right"/>
      <protection locked="0"/>
    </xf>
    <xf numFmtId="1" fontId="49" fillId="5" borderId="239" xfId="0" applyNumberFormat="1" applyFont="1" applyFill="1" applyBorder="1" applyAlignment="1" applyProtection="1">
      <alignment horizontal="right"/>
      <protection locked="0"/>
    </xf>
    <xf numFmtId="1" fontId="49" fillId="5" borderId="91" xfId="0" applyNumberFormat="1" applyFont="1" applyFill="1" applyBorder="1" applyAlignment="1" applyProtection="1">
      <alignment horizontal="right"/>
      <protection locked="0"/>
    </xf>
    <xf numFmtId="1" fontId="49" fillId="5" borderId="1176" xfId="0" applyNumberFormat="1" applyFont="1" applyFill="1" applyBorder="1" applyAlignment="1" applyProtection="1">
      <alignment horizontal="right"/>
      <protection locked="0"/>
    </xf>
    <xf numFmtId="1" fontId="49" fillId="5" borderId="1105" xfId="0" applyNumberFormat="1" applyFont="1" applyFill="1" applyBorder="1" applyAlignment="1" applyProtection="1">
      <alignment horizontal="right"/>
      <protection locked="0"/>
    </xf>
    <xf numFmtId="1" fontId="49" fillId="5" borderId="1428" xfId="0" applyNumberFormat="1" applyFont="1" applyFill="1" applyBorder="1" applyAlignment="1" applyProtection="1">
      <alignment horizontal="right"/>
      <protection locked="0"/>
    </xf>
    <xf numFmtId="0" fontId="0" fillId="48" borderId="0" xfId="0" applyFill="1"/>
    <xf numFmtId="0" fontId="85" fillId="14" borderId="0" xfId="0" applyFont="1" applyFill="1" applyAlignment="1">
      <alignment horizontal="center"/>
    </xf>
    <xf numFmtId="1" fontId="52" fillId="0" borderId="0" xfId="0" applyNumberFormat="1" applyFont="1" applyAlignment="1">
      <alignment horizontal="center"/>
    </xf>
    <xf numFmtId="1" fontId="49" fillId="0" borderId="502" xfId="0" applyNumberFormat="1" applyFont="1" applyBorder="1" applyAlignment="1">
      <alignment horizontal="center" vertical="center" wrapText="1"/>
    </xf>
    <xf numFmtId="1" fontId="49" fillId="0" borderId="353" xfId="0" applyNumberFormat="1" applyFont="1" applyBorder="1" applyAlignment="1">
      <alignment horizontal="center" vertical="center" wrapText="1"/>
    </xf>
    <xf numFmtId="1" fontId="49" fillId="0" borderId="456" xfId="0" applyNumberFormat="1" applyFont="1" applyBorder="1" applyAlignment="1">
      <alignment horizontal="center" vertical="center" wrapText="1"/>
    </xf>
    <xf numFmtId="1" fontId="49" fillId="0" borderId="502" xfId="0" applyNumberFormat="1" applyFont="1" applyBorder="1" applyAlignment="1">
      <alignment horizontal="center" vertical="center"/>
    </xf>
    <xf numFmtId="1" fontId="49" fillId="0" borderId="503" xfId="0" applyNumberFormat="1" applyFont="1" applyBorder="1" applyAlignment="1">
      <alignment horizontal="center" vertical="center"/>
    </xf>
    <xf numFmtId="1" fontId="49" fillId="0" borderId="456" xfId="0" applyNumberFormat="1" applyFont="1" applyBorder="1" applyAlignment="1">
      <alignment horizontal="center" vertical="center"/>
    </xf>
    <xf numFmtId="1" fontId="49" fillId="0" borderId="522" xfId="0" applyNumberFormat="1" applyFont="1" applyBorder="1" applyAlignment="1">
      <alignment wrapText="1"/>
    </xf>
    <xf numFmtId="1" fontId="49" fillId="0" borderId="432" xfId="0" applyNumberFormat="1" applyFont="1" applyBorder="1" applyAlignment="1">
      <alignment horizontal="right" wrapText="1"/>
    </xf>
    <xf numFmtId="1" fontId="49" fillId="0" borderId="2210" xfId="0" applyNumberFormat="1" applyFont="1" applyBorder="1" applyAlignment="1">
      <alignment horizontal="right" wrapText="1"/>
    </xf>
    <xf numFmtId="1" fontId="49" fillId="0" borderId="2201" xfId="0" applyNumberFormat="1" applyFont="1" applyBorder="1" applyAlignment="1">
      <alignment horizontal="right"/>
    </xf>
    <xf numFmtId="1" fontId="49" fillId="5" borderId="432" xfId="0" applyNumberFormat="1" applyFont="1" applyFill="1" applyBorder="1" applyProtection="1">
      <protection locked="0"/>
    </xf>
    <xf numFmtId="1" fontId="49" fillId="5" borderId="42" xfId="0" applyNumberFormat="1" applyFont="1" applyFill="1" applyBorder="1" applyProtection="1">
      <protection locked="0"/>
    </xf>
    <xf numFmtId="1" fontId="49" fillId="5" borderId="337" xfId="0" applyNumberFormat="1" applyFont="1" applyFill="1" applyBorder="1" applyProtection="1">
      <protection locked="0"/>
    </xf>
    <xf numFmtId="1" fontId="49" fillId="5" borderId="332" xfId="0" applyNumberFormat="1" applyFont="1" applyFill="1" applyBorder="1" applyProtection="1">
      <protection locked="0"/>
    </xf>
    <xf numFmtId="1" fontId="49" fillId="5" borderId="333" xfId="0" applyNumberFormat="1" applyFont="1" applyFill="1" applyBorder="1" applyProtection="1">
      <protection locked="0"/>
    </xf>
    <xf numFmtId="1" fontId="49" fillId="5" borderId="336" xfId="0" applyNumberFormat="1" applyFont="1" applyFill="1" applyBorder="1" applyProtection="1">
      <protection locked="0"/>
    </xf>
    <xf numFmtId="1" fontId="49" fillId="0" borderId="23" xfId="0" applyNumberFormat="1" applyFont="1" applyBorder="1" applyAlignment="1">
      <alignment wrapText="1"/>
    </xf>
    <xf numFmtId="1" fontId="49" fillId="0" borderId="20" xfId="0" applyNumberFormat="1" applyFont="1" applyBorder="1" applyAlignment="1">
      <alignment horizontal="right" wrapText="1"/>
    </xf>
    <xf numFmtId="1" fontId="49" fillId="0" borderId="821" xfId="0" applyNumberFormat="1" applyFont="1" applyBorder="1" applyAlignment="1">
      <alignment horizontal="right" wrapText="1"/>
    </xf>
    <xf numFmtId="1" fontId="49" fillId="0" borderId="2218" xfId="0" applyNumberFormat="1" applyFont="1" applyBorder="1" applyAlignment="1">
      <alignment horizontal="right"/>
    </xf>
    <xf numFmtId="1" fontId="49" fillId="5" borderId="20" xfId="0" applyNumberFormat="1" applyFont="1" applyFill="1" applyBorder="1" applyProtection="1">
      <protection locked="0"/>
    </xf>
    <xf numFmtId="1" fontId="49" fillId="5" borderId="22" xfId="0" applyNumberFormat="1" applyFont="1" applyFill="1" applyBorder="1" applyProtection="1">
      <protection locked="0"/>
    </xf>
    <xf numFmtId="1" fontId="49" fillId="5" borderId="546" xfId="0" applyNumberFormat="1" applyFont="1" applyFill="1" applyBorder="1" applyProtection="1">
      <protection locked="0"/>
    </xf>
    <xf numFmtId="1" fontId="49" fillId="5" borderId="439" xfId="0" applyNumberFormat="1" applyFont="1" applyFill="1" applyBorder="1" applyProtection="1">
      <protection locked="0"/>
    </xf>
    <xf numFmtId="1" fontId="49" fillId="5" borderId="530" xfId="0" applyNumberFormat="1" applyFont="1" applyFill="1" applyBorder="1" applyProtection="1">
      <protection locked="0"/>
    </xf>
    <xf numFmtId="1" fontId="49" fillId="5" borderId="513" xfId="0" applyNumberFormat="1" applyFont="1" applyFill="1" applyBorder="1" applyProtection="1">
      <protection locked="0"/>
    </xf>
    <xf numFmtId="1" fontId="49" fillId="0" borderId="507" xfId="0" applyNumberFormat="1" applyFont="1" applyBorder="1" applyAlignment="1">
      <alignment horizontal="right" wrapText="1"/>
    </xf>
    <xf numFmtId="1" fontId="49" fillId="5" borderId="507" xfId="0" applyNumberFormat="1" applyFont="1" applyFill="1" applyBorder="1" applyProtection="1">
      <protection locked="0"/>
    </xf>
    <xf numFmtId="1" fontId="49" fillId="5" borderId="511" xfId="0" applyNumberFormat="1" applyFont="1" applyFill="1" applyBorder="1" applyProtection="1">
      <protection locked="0"/>
    </xf>
    <xf numFmtId="1" fontId="49" fillId="5" borderId="508" xfId="0" applyNumberFormat="1" applyFont="1" applyFill="1" applyBorder="1" applyProtection="1">
      <protection locked="0"/>
    </xf>
    <xf numFmtId="1" fontId="49" fillId="5" borderId="526" xfId="0" applyNumberFormat="1" applyFont="1" applyFill="1" applyBorder="1" applyProtection="1">
      <protection locked="0"/>
    </xf>
    <xf numFmtId="1" fontId="49" fillId="5" borderId="21" xfId="0" applyNumberFormat="1" applyFont="1" applyFill="1" applyBorder="1" applyProtection="1">
      <protection locked="0"/>
    </xf>
    <xf numFmtId="1" fontId="49" fillId="5" borderId="23" xfId="0" applyNumberFormat="1" applyFont="1" applyFill="1" applyBorder="1" applyProtection="1">
      <protection locked="0"/>
    </xf>
    <xf numFmtId="1" fontId="49" fillId="0" borderId="408" xfId="0" applyNumberFormat="1" applyFont="1" applyBorder="1" applyAlignment="1">
      <alignment horizontal="right" wrapText="1"/>
    </xf>
    <xf numFmtId="1" fontId="49" fillId="5" borderId="423" xfId="0" applyNumberFormat="1" applyFont="1" applyFill="1" applyBorder="1" applyProtection="1">
      <protection locked="0"/>
    </xf>
    <xf numFmtId="1" fontId="49" fillId="5" borderId="357" xfId="0" applyNumberFormat="1" applyFont="1" applyFill="1" applyBorder="1" applyProtection="1">
      <protection locked="0"/>
    </xf>
    <xf numFmtId="1" fontId="49" fillId="5" borderId="408" xfId="0" applyNumberFormat="1" applyFont="1" applyFill="1" applyBorder="1" applyProtection="1">
      <protection locked="0"/>
    </xf>
    <xf numFmtId="1" fontId="49" fillId="5" borderId="517" xfId="0" applyNumberFormat="1" applyFont="1" applyFill="1" applyBorder="1" applyProtection="1">
      <protection locked="0"/>
    </xf>
    <xf numFmtId="1" fontId="49" fillId="0" borderId="546" xfId="0" applyNumberFormat="1" applyFont="1" applyBorder="1" applyAlignment="1">
      <alignment horizontal="right"/>
    </xf>
    <xf numFmtId="1" fontId="49" fillId="0" borderId="383" xfId="0" applyNumberFormat="1" applyFont="1" applyBorder="1" applyAlignment="1">
      <alignment horizontal="right"/>
    </xf>
    <xf numFmtId="1" fontId="49" fillId="0" borderId="354" xfId="0" applyNumberFormat="1" applyFont="1" applyBorder="1" applyAlignment="1">
      <alignment horizontal="right"/>
    </xf>
    <xf numFmtId="1" fontId="49" fillId="0" borderId="530" xfId="0" applyNumberFormat="1" applyFont="1" applyBorder="1"/>
    <xf numFmtId="1" fontId="49" fillId="0" borderId="513" xfId="0" applyNumberFormat="1" applyFont="1" applyBorder="1"/>
    <xf numFmtId="1" fontId="49" fillId="0" borderId="546" xfId="0" applyNumberFormat="1" applyFont="1" applyBorder="1"/>
    <xf numFmtId="1" fontId="49" fillId="0" borderId="439" xfId="0" applyNumberFormat="1" applyFont="1" applyBorder="1"/>
    <xf numFmtId="1" fontId="53" fillId="14" borderId="1931" xfId="25" applyNumberFormat="1" applyFont="1" applyFill="1" applyBorder="1" applyAlignment="1">
      <alignment horizontal="left" vertical="center" wrapText="1"/>
    </xf>
    <xf numFmtId="1" fontId="53" fillId="14" borderId="1761" xfId="25" applyNumberFormat="1" applyFont="1" applyFill="1" applyBorder="1" applyAlignment="1">
      <alignment horizontal="left" vertical="center" wrapText="1"/>
    </xf>
    <xf numFmtId="1" fontId="49" fillId="0" borderId="700" xfId="0" applyNumberFormat="1" applyFont="1" applyBorder="1" applyAlignment="1">
      <alignment horizontal="left" vertical="center" wrapText="1"/>
    </xf>
    <xf numFmtId="1" fontId="49" fillId="0" borderId="1678" xfId="0" applyNumberFormat="1" applyFont="1" applyBorder="1" applyAlignment="1">
      <alignment horizontal="left" vertical="center" wrapText="1"/>
    </xf>
    <xf numFmtId="0" fontId="51" fillId="0" borderId="0" xfId="0" applyFont="1" applyAlignment="1">
      <alignment vertical="center"/>
    </xf>
    <xf numFmtId="0" fontId="49" fillId="0" borderId="1856" xfId="0" applyFont="1" applyBorder="1" applyAlignment="1">
      <alignment horizontal="center"/>
    </xf>
    <xf numFmtId="0" fontId="49" fillId="0" borderId="1856" xfId="0" applyFont="1" applyBorder="1" applyAlignment="1">
      <alignment horizontal="center" vertical="center"/>
    </xf>
    <xf numFmtId="0" fontId="49" fillId="0" borderId="1858" xfId="0" applyFont="1" applyBorder="1" applyAlignment="1">
      <alignment vertical="center"/>
    </xf>
    <xf numFmtId="1" fontId="49" fillId="0" borderId="700" xfId="0" applyNumberFormat="1" applyFont="1" applyBorder="1" applyAlignment="1">
      <alignment wrapText="1"/>
    </xf>
    <xf numFmtId="1" fontId="49" fillId="5" borderId="686" xfId="0" applyNumberFormat="1" applyFont="1" applyFill="1" applyBorder="1" applyAlignment="1" applyProtection="1">
      <alignment wrapText="1"/>
      <protection locked="0"/>
    </xf>
    <xf numFmtId="1" fontId="49" fillId="5" borderId="700" xfId="0" applyNumberFormat="1" applyFont="1" applyFill="1" applyBorder="1" applyAlignment="1" applyProtection="1">
      <alignment wrapText="1"/>
      <protection locked="0"/>
    </xf>
    <xf numFmtId="0" fontId="49" fillId="0" borderId="700" xfId="0" applyFont="1" applyBorder="1" applyAlignment="1">
      <alignment vertical="center"/>
    </xf>
    <xf numFmtId="0" fontId="49" fillId="0" borderId="1761" xfId="0" applyFont="1" applyBorder="1" applyAlignment="1">
      <alignment vertical="center"/>
    </xf>
    <xf numFmtId="0" fontId="91" fillId="0" borderId="1856" xfId="0" applyFont="1" applyBorder="1" applyAlignment="1">
      <alignment vertical="center"/>
    </xf>
    <xf numFmtId="1" fontId="49" fillId="0" borderId="1856" xfId="0" applyNumberFormat="1" applyFont="1" applyBorder="1"/>
    <xf numFmtId="0" fontId="51" fillId="0" borderId="0" xfId="0" applyFont="1"/>
    <xf numFmtId="0" fontId="49" fillId="0" borderId="1858" xfId="0" applyFont="1" applyBorder="1"/>
    <xf numFmtId="0" fontId="49" fillId="0" borderId="700" xfId="0" applyFont="1" applyBorder="1"/>
    <xf numFmtId="0" fontId="49" fillId="0" borderId="1761" xfId="0" applyFont="1" applyBorder="1"/>
    <xf numFmtId="1" fontId="49" fillId="5" borderId="1868" xfId="0" applyNumberFormat="1" applyFont="1" applyFill="1" applyBorder="1" applyAlignment="1" applyProtection="1">
      <alignment wrapText="1"/>
      <protection locked="0"/>
    </xf>
    <xf numFmtId="0" fontId="91" fillId="0" borderId="1856" xfId="0" applyFont="1" applyBorder="1"/>
    <xf numFmtId="1" fontId="50" fillId="0" borderId="1856" xfId="0" applyNumberFormat="1" applyFont="1" applyBorder="1"/>
    <xf numFmtId="0" fontId="49" fillId="0" borderId="1858" xfId="0" applyFont="1" applyBorder="1" applyAlignment="1">
      <alignment horizontal="center" vertical="center"/>
    </xf>
    <xf numFmtId="1" fontId="49" fillId="5" borderId="1858" xfId="0" applyNumberFormat="1" applyFont="1" applyFill="1" applyBorder="1" applyAlignment="1" applyProtection="1">
      <alignment wrapText="1"/>
      <protection locked="0"/>
    </xf>
    <xf numFmtId="0" fontId="49" fillId="0" borderId="700" xfId="0" applyFont="1" applyBorder="1" applyAlignment="1">
      <alignment horizontal="center" vertical="center"/>
    </xf>
    <xf numFmtId="1" fontId="49" fillId="5" borderId="1671" xfId="0" applyNumberFormat="1" applyFont="1" applyFill="1" applyBorder="1" applyAlignment="1" applyProtection="1">
      <alignment wrapText="1"/>
      <protection locked="0"/>
    </xf>
    <xf numFmtId="0" fontId="49" fillId="0" borderId="1671" xfId="0" applyFont="1" applyBorder="1" applyAlignment="1">
      <alignment horizontal="center" vertical="center"/>
    </xf>
    <xf numFmtId="1" fontId="49" fillId="5" borderId="1867" xfId="0" applyNumberFormat="1" applyFont="1" applyFill="1" applyBorder="1" applyAlignment="1" applyProtection="1">
      <alignment wrapText="1"/>
      <protection locked="0"/>
    </xf>
    <xf numFmtId="0" fontId="49" fillId="0" borderId="1761" xfId="0" applyFont="1" applyBorder="1" applyAlignment="1">
      <alignment horizontal="center" vertical="center"/>
    </xf>
    <xf numFmtId="1" fontId="49" fillId="5" borderId="1866" xfId="0" applyNumberFormat="1" applyFont="1" applyFill="1" applyBorder="1" applyAlignment="1" applyProtection="1">
      <alignment wrapText="1"/>
      <protection locked="0"/>
    </xf>
    <xf numFmtId="1" fontId="49" fillId="5" borderId="1869" xfId="0" applyNumberFormat="1" applyFont="1" applyFill="1" applyBorder="1" applyAlignment="1" applyProtection="1">
      <alignment wrapText="1"/>
      <protection locked="0"/>
    </xf>
    <xf numFmtId="1" fontId="49" fillId="5" borderId="1761" xfId="0" applyNumberFormat="1" applyFont="1" applyFill="1" applyBorder="1" applyAlignment="1" applyProtection="1">
      <alignment wrapText="1"/>
      <protection locked="0"/>
    </xf>
    <xf numFmtId="1" fontId="49" fillId="5" borderId="1870" xfId="0" applyNumberFormat="1" applyFont="1" applyFill="1" applyBorder="1" applyAlignment="1" applyProtection="1">
      <alignment wrapText="1"/>
      <protection locked="0"/>
    </xf>
    <xf numFmtId="0" fontId="49" fillId="0" borderId="1699" xfId="0" applyFont="1" applyBorder="1" applyAlignment="1">
      <alignment horizontal="center" vertical="center"/>
    </xf>
    <xf numFmtId="1" fontId="49" fillId="5" borderId="1744" xfId="0" applyNumberFormat="1" applyFont="1" applyFill="1" applyBorder="1" applyAlignment="1" applyProtection="1">
      <alignment wrapText="1"/>
      <protection locked="0"/>
    </xf>
    <xf numFmtId="0" fontId="49" fillId="0" borderId="1868" xfId="0" applyFont="1" applyBorder="1" applyAlignment="1">
      <alignment horizontal="center" vertical="center"/>
    </xf>
    <xf numFmtId="0" fontId="49" fillId="0" borderId="1760" xfId="0" applyFont="1" applyBorder="1" applyAlignment="1">
      <alignment horizontal="center" vertical="center"/>
    </xf>
    <xf numFmtId="0" fontId="49" fillId="0" borderId="1692" xfId="0" applyFont="1" applyBorder="1" applyAlignment="1">
      <alignment horizontal="center" vertical="center"/>
    </xf>
    <xf numFmtId="0" fontId="49" fillId="0" borderId="1856" xfId="0" applyFont="1" applyBorder="1" applyAlignment="1">
      <alignment horizontal="center" vertical="center" wrapText="1"/>
    </xf>
    <xf numFmtId="0" fontId="49" fillId="0" borderId="1760" xfId="0" applyFont="1" applyBorder="1" applyAlignment="1">
      <alignment horizontal="center" vertical="center" wrapText="1"/>
    </xf>
    <xf numFmtId="1" fontId="49" fillId="0" borderId="1699" xfId="0" applyNumberFormat="1" applyFont="1" applyBorder="1" applyAlignment="1">
      <alignment wrapText="1"/>
    </xf>
    <xf numFmtId="1" fontId="49" fillId="5" borderId="1607" xfId="0" applyNumberFormat="1" applyFont="1" applyFill="1" applyBorder="1" applyAlignment="1" applyProtection="1">
      <alignment wrapText="1"/>
      <protection locked="0"/>
    </xf>
    <xf numFmtId="1" fontId="49" fillId="5" borderId="1699" xfId="0" applyNumberFormat="1" applyFont="1" applyFill="1" applyBorder="1" applyAlignment="1" applyProtection="1">
      <alignment wrapText="1"/>
      <protection locked="0"/>
    </xf>
    <xf numFmtId="0" fontId="91" fillId="0" borderId="1760" xfId="0" applyFont="1" applyBorder="1"/>
    <xf numFmtId="1" fontId="50" fillId="0" borderId="1543" xfId="0" applyNumberFormat="1" applyFont="1" applyBorder="1"/>
    <xf numFmtId="1" fontId="50" fillId="0" borderId="1760" xfId="0" applyNumberFormat="1" applyFont="1" applyBorder="1"/>
    <xf numFmtId="0" fontId="49" fillId="0" borderId="1847" xfId="0" applyFont="1" applyBorder="1" applyAlignment="1">
      <alignment horizontal="center" vertical="center"/>
    </xf>
    <xf numFmtId="1" fontId="49" fillId="5" borderId="1847" xfId="0" applyNumberFormat="1" applyFont="1" applyFill="1" applyBorder="1" applyAlignment="1" applyProtection="1">
      <alignment wrapText="1"/>
      <protection locked="0"/>
    </xf>
    <xf numFmtId="0" fontId="91" fillId="0" borderId="1761" xfId="0" applyFont="1" applyBorder="1" applyAlignment="1">
      <alignment horizontal="center" vertical="center"/>
    </xf>
    <xf numFmtId="1" fontId="49" fillId="14" borderId="1744" xfId="0" applyNumberFormat="1" applyFont="1" applyFill="1" applyBorder="1" applyAlignment="1">
      <alignment wrapText="1"/>
    </xf>
    <xf numFmtId="1" fontId="49" fillId="14" borderId="1761" xfId="0" applyNumberFormat="1" applyFont="1" applyFill="1" applyBorder="1" applyAlignment="1">
      <alignment wrapText="1"/>
    </xf>
    <xf numFmtId="1" fontId="49" fillId="5" borderId="1673" xfId="0" applyNumberFormat="1" applyFont="1" applyFill="1" applyBorder="1" applyAlignment="1" applyProtection="1">
      <alignment wrapText="1"/>
      <protection locked="0"/>
    </xf>
    <xf numFmtId="1" fontId="49" fillId="14" borderId="1867" xfId="0" applyNumberFormat="1" applyFont="1" applyFill="1" applyBorder="1" applyAlignment="1">
      <alignment wrapText="1"/>
    </xf>
    <xf numFmtId="0" fontId="91" fillId="0" borderId="1813" xfId="0" applyFont="1" applyBorder="1" applyAlignment="1">
      <alignment horizontal="center" vertical="center"/>
    </xf>
    <xf numFmtId="1" fontId="49" fillId="0" borderId="1760" xfId="0" applyNumberFormat="1" applyFont="1" applyBorder="1"/>
    <xf numFmtId="0" fontId="91" fillId="0" borderId="1760" xfId="0" applyFont="1" applyBorder="1" applyAlignment="1">
      <alignment horizontal="center" vertical="center" wrapText="1"/>
    </xf>
    <xf numFmtId="0" fontId="49" fillId="0" borderId="1671" xfId="0" applyFont="1" applyBorder="1"/>
    <xf numFmtId="0" fontId="49" fillId="0" borderId="1699" xfId="0" applyFont="1" applyBorder="1"/>
    <xf numFmtId="1" fontId="50" fillId="0" borderId="1813" xfId="0" applyNumberFormat="1" applyFont="1" applyBorder="1"/>
    <xf numFmtId="0" fontId="91" fillId="0" borderId="1760" xfId="0" applyFont="1" applyBorder="1" applyAlignment="1">
      <alignment horizontal="center" vertical="center"/>
    </xf>
    <xf numFmtId="0" fontId="91" fillId="0" borderId="1856" xfId="0" applyFont="1" applyBorder="1" applyAlignment="1">
      <alignment horizontal="center"/>
    </xf>
    <xf numFmtId="0" fontId="91" fillId="0" borderId="1856" xfId="0" applyFont="1" applyBorder="1" applyAlignment="1">
      <alignment horizontal="center" vertical="center"/>
    </xf>
    <xf numFmtId="0" fontId="91" fillId="0" borderId="1856" xfId="0" applyFont="1" applyBorder="1" applyAlignment="1">
      <alignment horizontal="left" vertical="center"/>
    </xf>
    <xf numFmtId="0" fontId="95" fillId="0" borderId="0" xfId="0" applyFont="1" applyAlignment="1">
      <alignment horizontal="center"/>
    </xf>
    <xf numFmtId="1" fontId="85" fillId="3" borderId="0" xfId="0" applyNumberFormat="1" applyFont="1" applyFill="1" applyAlignment="1">
      <alignment horizontal="center"/>
    </xf>
    <xf numFmtId="1" fontId="72" fillId="0" borderId="0" xfId="0" applyNumberFormat="1" applyFont="1" applyProtection="1">
      <protection locked="0"/>
    </xf>
    <xf numFmtId="1" fontId="20" fillId="48" borderId="0" xfId="0" applyNumberFormat="1" applyFont="1" applyFill="1" applyProtection="1">
      <protection locked="0"/>
    </xf>
    <xf numFmtId="1" fontId="33" fillId="3" borderId="517" xfId="0" applyNumberFormat="1" applyFont="1" applyFill="1" applyBorder="1" applyAlignment="1">
      <alignment horizontal="center"/>
    </xf>
    <xf numFmtId="1" fontId="53" fillId="3" borderId="0" xfId="0" applyNumberFormat="1" applyFont="1" applyFill="1" applyAlignment="1">
      <alignment horizontal="center"/>
    </xf>
    <xf numFmtId="1" fontId="51" fillId="3" borderId="175" xfId="0" applyNumberFormat="1" applyFont="1" applyFill="1" applyBorder="1"/>
    <xf numFmtId="1" fontId="49" fillId="0" borderId="1699" xfId="0" applyNumberFormat="1" applyFont="1" applyBorder="1" applyAlignment="1">
      <alignment horizontal="left" vertical="center" wrapText="1"/>
    </xf>
    <xf numFmtId="1" fontId="49" fillId="0" borderId="1681" xfId="0" applyNumberFormat="1" applyFont="1" applyBorder="1" applyAlignment="1">
      <alignment horizontal="left" vertical="center" wrapText="1"/>
    </xf>
    <xf numFmtId="1" fontId="51" fillId="3" borderId="175" xfId="0" applyNumberFormat="1" applyFont="1" applyFill="1" applyBorder="1" applyAlignment="1">
      <alignment horizontal="left"/>
    </xf>
    <xf numFmtId="1" fontId="49" fillId="0" borderId="811" xfId="0" applyNumberFormat="1" applyFont="1" applyBorder="1" applyAlignment="1">
      <alignment horizontal="center" vertical="center"/>
    </xf>
    <xf numFmtId="1" fontId="49" fillId="0" borderId="2139" xfId="0" applyNumberFormat="1" applyFont="1" applyBorder="1" applyAlignment="1">
      <alignment horizontal="center" vertical="center"/>
    </xf>
    <xf numFmtId="1" fontId="49" fillId="0" borderId="2142" xfId="0" applyNumberFormat="1" applyFont="1" applyBorder="1" applyAlignment="1">
      <alignment horizontal="center" vertical="center"/>
    </xf>
    <xf numFmtId="1" fontId="49" fillId="0" borderId="2149" xfId="0" applyNumberFormat="1" applyFont="1" applyBorder="1" applyAlignment="1">
      <alignment horizontal="center" vertical="center"/>
    </xf>
    <xf numFmtId="1" fontId="49" fillId="0" borderId="2129" xfId="0" applyNumberFormat="1" applyFont="1" applyBorder="1" applyAlignment="1">
      <alignment horizontal="center" vertical="center"/>
    </xf>
    <xf numFmtId="1" fontId="49" fillId="14" borderId="1858" xfId="0" applyNumberFormat="1" applyFont="1" applyFill="1" applyBorder="1" applyAlignment="1">
      <alignment vertical="center" wrapText="1"/>
    </xf>
    <xf numFmtId="1" fontId="49" fillId="14" borderId="1870" xfId="0" applyNumberFormat="1" applyFont="1" applyFill="1" applyBorder="1" applyAlignment="1" applyProtection="1">
      <alignment horizontal="center" vertical="center"/>
      <protection locked="0"/>
    </xf>
    <xf numFmtId="1" fontId="49" fillId="14" borderId="1862" xfId="0" applyNumberFormat="1" applyFont="1" applyFill="1" applyBorder="1" applyAlignment="1" applyProtection="1">
      <alignment horizontal="center" vertical="center"/>
      <protection locked="0"/>
    </xf>
    <xf numFmtId="1" fontId="49" fillId="5" borderId="1870" xfId="0" applyNumberFormat="1" applyFont="1" applyFill="1" applyBorder="1" applyAlignment="1" applyProtection="1">
      <alignment horizontal="center" vertical="center"/>
      <protection locked="0"/>
    </xf>
    <xf numFmtId="1" fontId="49" fillId="5" borderId="1862" xfId="0" applyNumberFormat="1" applyFont="1" applyFill="1" applyBorder="1" applyAlignment="1" applyProtection="1">
      <alignment horizontal="center" vertical="center"/>
      <protection locked="0"/>
    </xf>
    <xf numFmtId="1" fontId="49" fillId="14" borderId="700" xfId="0" applyNumberFormat="1" applyFont="1" applyFill="1" applyBorder="1" applyAlignment="1">
      <alignment vertical="center" wrapText="1"/>
    </xf>
    <xf numFmtId="1" fontId="49" fillId="14" borderId="686" xfId="0" applyNumberFormat="1" applyFont="1" applyFill="1" applyBorder="1" applyAlignment="1" applyProtection="1">
      <alignment horizontal="center" vertical="center"/>
      <protection locked="0"/>
    </xf>
    <xf numFmtId="1" fontId="49" fillId="14" borderId="828" xfId="0" applyNumberFormat="1" applyFont="1" applyFill="1" applyBorder="1" applyAlignment="1" applyProtection="1">
      <alignment horizontal="center" vertical="center"/>
      <protection locked="0"/>
    </xf>
    <xf numFmtId="1" fontId="49" fillId="5" borderId="686" xfId="0" applyNumberFormat="1" applyFont="1" applyFill="1" applyBorder="1" applyAlignment="1" applyProtection="1">
      <alignment horizontal="center" vertical="center"/>
      <protection locked="0"/>
    </xf>
    <xf numFmtId="1" fontId="49" fillId="5" borderId="828" xfId="0" applyNumberFormat="1" applyFont="1" applyFill="1" applyBorder="1" applyAlignment="1" applyProtection="1">
      <alignment horizontal="center" vertical="center"/>
      <protection locked="0"/>
    </xf>
    <xf numFmtId="1" fontId="49" fillId="14" borderId="1761" xfId="0" applyNumberFormat="1" applyFont="1" applyFill="1" applyBorder="1" applyAlignment="1">
      <alignment vertical="center" wrapText="1"/>
    </xf>
    <xf numFmtId="1" fontId="49" fillId="14" borderId="1866" xfId="0" applyNumberFormat="1" applyFont="1" applyFill="1" applyBorder="1" applyAlignment="1" applyProtection="1">
      <alignment horizontal="center" vertical="center"/>
      <protection locked="0"/>
    </xf>
    <xf numFmtId="1" fontId="49" fillId="14" borderId="1864" xfId="0" applyNumberFormat="1" applyFont="1" applyFill="1" applyBorder="1" applyAlignment="1" applyProtection="1">
      <alignment horizontal="center" vertical="center"/>
      <protection locked="0"/>
    </xf>
    <xf numFmtId="1" fontId="49" fillId="5" borderId="1866" xfId="0" applyNumberFormat="1" applyFont="1" applyFill="1" applyBorder="1" applyAlignment="1" applyProtection="1">
      <alignment horizontal="center" vertical="center"/>
      <protection locked="0"/>
    </xf>
    <xf numFmtId="1" fontId="49" fillId="5" borderId="1864" xfId="0" applyNumberFormat="1" applyFont="1" applyFill="1" applyBorder="1" applyAlignment="1" applyProtection="1">
      <alignment horizontal="center" vertical="center"/>
      <protection locked="0"/>
    </xf>
    <xf numFmtId="1" fontId="86" fillId="3" borderId="0" xfId="0" applyNumberFormat="1" applyFont="1" applyFill="1" applyAlignment="1">
      <alignment horizontal="center"/>
    </xf>
    <xf numFmtId="1" fontId="87" fillId="3" borderId="0" xfId="0" applyNumberFormat="1" applyFont="1" applyFill="1" applyAlignment="1">
      <alignment horizontal="center"/>
    </xf>
    <xf numFmtId="1" fontId="93" fillId="3" borderId="0" xfId="0" applyNumberFormat="1" applyFont="1" applyFill="1" applyAlignment="1">
      <alignment horizontal="center"/>
    </xf>
    <xf numFmtId="1" fontId="38" fillId="48" borderId="517" xfId="0" applyNumberFormat="1" applyFont="1" applyFill="1" applyBorder="1"/>
    <xf numFmtId="1" fontId="96" fillId="3" borderId="0" xfId="0" applyNumberFormat="1" applyFont="1" applyFill="1" applyAlignment="1">
      <alignment horizontal="center"/>
    </xf>
    <xf numFmtId="0" fontId="85" fillId="14" borderId="517" xfId="0" applyFont="1" applyFill="1" applyBorder="1" applyAlignment="1">
      <alignment horizontal="center"/>
    </xf>
    <xf numFmtId="49" fontId="53" fillId="0" borderId="0" xfId="0" applyNumberFormat="1" applyFont="1" applyAlignment="1">
      <alignment horizontal="center" vertical="center"/>
    </xf>
    <xf numFmtId="0" fontId="85" fillId="14" borderId="0" xfId="0" applyFont="1" applyFill="1" applyAlignment="1">
      <alignment horizontal="center" vertical="center"/>
    </xf>
    <xf numFmtId="0" fontId="85" fillId="14" borderId="0" xfId="0" quotePrefix="1" applyFont="1" applyFill="1" applyAlignment="1">
      <alignment horizontal="center"/>
    </xf>
    <xf numFmtId="1" fontId="92" fillId="3" borderId="0" xfId="0" applyNumberFormat="1" applyFont="1" applyFill="1"/>
    <xf numFmtId="0" fontId="97" fillId="3" borderId="0" xfId="0" quotePrefix="1" applyFont="1" applyFill="1" applyAlignment="1">
      <alignment horizontal="center"/>
    </xf>
    <xf numFmtId="0" fontId="97" fillId="3" borderId="0" xfId="0" applyFont="1" applyFill="1" applyAlignment="1">
      <alignment horizontal="center"/>
    </xf>
    <xf numFmtId="1" fontId="0" fillId="48" borderId="0" xfId="0" applyNumberFormat="1" applyFill="1"/>
    <xf numFmtId="1" fontId="49" fillId="0" borderId="0" xfId="0" applyNumberFormat="1" applyFont="1" applyAlignment="1">
      <alignment horizontal="left" wrapText="1"/>
    </xf>
    <xf numFmtId="1" fontId="98" fillId="3" borderId="0" xfId="0" applyNumberFormat="1" applyFont="1" applyFill="1" applyAlignment="1">
      <alignment horizontal="center"/>
    </xf>
    <xf numFmtId="0" fontId="90" fillId="14" borderId="517" xfId="0" applyFont="1" applyFill="1" applyBorder="1" applyAlignment="1">
      <alignment horizontal="center"/>
    </xf>
    <xf numFmtId="49" fontId="85" fillId="14" borderId="0" xfId="0" applyNumberFormat="1" applyFont="1" applyFill="1" applyAlignment="1">
      <alignment horizontal="center"/>
    </xf>
    <xf numFmtId="1" fontId="32" fillId="0" borderId="1525" xfId="0" applyNumberFormat="1" applyFont="1" applyBorder="1"/>
    <xf numFmtId="0" fontId="85" fillId="14" borderId="517" xfId="0" applyFont="1" applyFill="1" applyBorder="1" applyAlignment="1">
      <alignment horizontal="center" vertical="center"/>
    </xf>
    <xf numFmtId="0" fontId="0" fillId="48" borderId="0" xfId="0" applyFill="1" applyAlignment="1">
      <alignment horizontal="center"/>
    </xf>
    <xf numFmtId="0" fontId="99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9" fillId="3" borderId="517" xfId="0" applyFont="1" applyFill="1" applyBorder="1" applyAlignment="1">
      <alignment horizontal="center"/>
    </xf>
    <xf numFmtId="1" fontId="51" fillId="0" borderId="175" xfId="0" applyNumberFormat="1" applyFont="1" applyBorder="1"/>
    <xf numFmtId="1" fontId="52" fillId="3" borderId="175" xfId="0" applyNumberFormat="1" applyFont="1" applyFill="1" applyBorder="1"/>
    <xf numFmtId="1" fontId="51" fillId="0" borderId="811" xfId="0" applyNumberFormat="1" applyFont="1" applyBorder="1"/>
    <xf numFmtId="1" fontId="52" fillId="3" borderId="811" xfId="0" applyNumberFormat="1" applyFont="1" applyFill="1" applyBorder="1"/>
    <xf numFmtId="1" fontId="49" fillId="0" borderId="1856" xfId="0" applyNumberFormat="1" applyFont="1" applyBorder="1" applyAlignment="1">
      <alignment horizontal="center" vertical="center"/>
    </xf>
    <xf numFmtId="1" fontId="49" fillId="0" borderId="1917" xfId="0" applyNumberFormat="1" applyFont="1" applyBorder="1" applyAlignment="1">
      <alignment horizontal="center" vertical="center"/>
    </xf>
    <xf numFmtId="1" fontId="49" fillId="0" borderId="1537" xfId="0" applyNumberFormat="1" applyFont="1" applyBorder="1" applyAlignment="1">
      <alignment horizontal="center" vertical="center"/>
    </xf>
    <xf numFmtId="1" fontId="49" fillId="0" borderId="1538" xfId="0" applyNumberFormat="1" applyFont="1" applyBorder="1" applyAlignment="1">
      <alignment horizontal="left" vertical="center"/>
    </xf>
    <xf numFmtId="1" fontId="49" fillId="14" borderId="1545" xfId="0" applyNumberFormat="1" applyFont="1" applyFill="1" applyBorder="1" applyAlignment="1">
      <alignment horizontal="right" vertical="center"/>
    </xf>
    <xf numFmtId="1" fontId="49" fillId="5" borderId="1921" xfId="0" applyNumberFormat="1" applyFont="1" applyFill="1" applyBorder="1" applyProtection="1">
      <protection locked="0"/>
    </xf>
    <xf numFmtId="1" fontId="49" fillId="5" borderId="1862" xfId="0" applyNumberFormat="1" applyFont="1" applyFill="1" applyBorder="1" applyProtection="1">
      <protection locked="0"/>
    </xf>
    <xf numFmtId="1" fontId="49" fillId="5" borderId="1545" xfId="0" applyNumberFormat="1" applyFont="1" applyFill="1" applyBorder="1" applyProtection="1">
      <protection locked="0"/>
    </xf>
    <xf numFmtId="1" fontId="49" fillId="0" borderId="1523" xfId="0" applyNumberFormat="1" applyFont="1" applyBorder="1" applyAlignment="1">
      <alignment vertical="center"/>
    </xf>
    <xf numFmtId="1" fontId="49" fillId="14" borderId="1521" xfId="220" applyNumberFormat="1" applyFont="1" applyFill="1" applyBorder="1" applyAlignment="1" applyProtection="1">
      <alignment horizontal="right" wrapText="1"/>
      <protection locked="0"/>
    </xf>
    <xf numFmtId="1" fontId="49" fillId="5" borderId="1683" xfId="0" applyNumberFormat="1" applyFont="1" applyFill="1" applyBorder="1" applyProtection="1">
      <protection locked="0"/>
    </xf>
    <xf numFmtId="1" fontId="49" fillId="0" borderId="175" xfId="0" applyNumberFormat="1" applyFont="1" applyBorder="1" applyAlignment="1">
      <alignment vertical="center"/>
    </xf>
    <xf numFmtId="1" fontId="49" fillId="14" borderId="1544" xfId="220" applyNumberFormat="1" applyFont="1" applyFill="1" applyBorder="1" applyAlignment="1" applyProtection="1">
      <alignment horizontal="right" wrapText="1"/>
      <protection locked="0"/>
    </xf>
    <xf numFmtId="1" fontId="49" fillId="5" borderId="1689" xfId="0" applyNumberFormat="1" applyFont="1" applyFill="1" applyBorder="1" applyProtection="1">
      <protection locked="0"/>
    </xf>
    <xf numFmtId="1" fontId="49" fillId="5" borderId="1920" xfId="0" applyNumberFormat="1" applyFont="1" applyFill="1" applyBorder="1" applyProtection="1">
      <protection locked="0"/>
    </xf>
    <xf numFmtId="1" fontId="49" fillId="5" borderId="1544" xfId="0" applyNumberFormat="1" applyFont="1" applyFill="1" applyBorder="1" applyProtection="1">
      <protection locked="0"/>
    </xf>
    <xf numFmtId="1" fontId="49" fillId="0" borderId="1505" xfId="0" applyNumberFormat="1" applyFont="1" applyBorder="1" applyAlignment="1">
      <alignment horizontal="center" vertical="center"/>
    </xf>
    <xf numFmtId="0" fontId="49" fillId="0" borderId="1865" xfId="0" applyFont="1" applyBorder="1" applyAlignment="1">
      <alignment horizontal="center" vertical="center"/>
    </xf>
    <xf numFmtId="0" fontId="49" fillId="0" borderId="1505" xfId="0" applyFont="1" applyBorder="1" applyAlignment="1">
      <alignment horizontal="center" vertical="center"/>
    </xf>
    <xf numFmtId="1" fontId="49" fillId="0" borderId="1507" xfId="0" applyNumberFormat="1" applyFont="1" applyBorder="1" applyAlignment="1">
      <alignment horizontal="left" vertical="center"/>
    </xf>
    <xf numFmtId="1" fontId="49" fillId="0" borderId="1508" xfId="0" applyNumberFormat="1" applyFont="1" applyBorder="1" applyAlignment="1">
      <alignment horizontal="left" vertical="center"/>
    </xf>
    <xf numFmtId="1" fontId="49" fillId="0" borderId="1500" xfId="0" applyNumberFormat="1" applyFont="1" applyBorder="1" applyAlignment="1">
      <alignment vertical="center"/>
    </xf>
    <xf numFmtId="1" fontId="51" fillId="0" borderId="1092" xfId="0" applyNumberFormat="1" applyFont="1" applyBorder="1"/>
    <xf numFmtId="1" fontId="49" fillId="0" borderId="0" xfId="0" applyNumberFormat="1" applyFont="1" applyAlignment="1">
      <alignment horizontal="left" vertical="center"/>
    </xf>
    <xf numFmtId="1" fontId="49" fillId="0" borderId="1449" xfId="0" applyNumberFormat="1" applyFont="1" applyBorder="1" applyAlignment="1">
      <alignment horizontal="center" vertical="center" wrapText="1"/>
    </xf>
    <xf numFmtId="1" fontId="49" fillId="0" borderId="1461" xfId="0" applyNumberFormat="1" applyFont="1" applyBorder="1" applyAlignment="1">
      <alignment horizontal="left" vertical="center"/>
    </xf>
    <xf numFmtId="1" fontId="49" fillId="2" borderId="1461" xfId="22" applyNumberFormat="1" applyFont="1" applyBorder="1" applyProtection="1">
      <protection locked="0"/>
    </xf>
    <xf numFmtId="1" fontId="49" fillId="0" borderId="1290" xfId="0" applyNumberFormat="1" applyFont="1" applyBorder="1" applyAlignment="1">
      <alignment horizontal="left" vertical="center"/>
    </xf>
    <xf numFmtId="1" fontId="49" fillId="2" borderId="1290" xfId="22" applyNumberFormat="1" applyFont="1" applyBorder="1" applyProtection="1">
      <protection locked="0"/>
    </xf>
    <xf numFmtId="1" fontId="49" fillId="12" borderId="1290" xfId="22" applyNumberFormat="1" applyFont="1" applyFill="1" applyBorder="1" applyProtection="1"/>
    <xf numFmtId="1" fontId="49" fillId="0" borderId="1428" xfId="0" applyNumberFormat="1" applyFont="1" applyBorder="1" applyAlignment="1">
      <alignment horizontal="left" vertical="center"/>
    </xf>
    <xf numFmtId="1" fontId="49" fillId="2" borderId="1428" xfId="22" applyNumberFormat="1" applyFont="1" applyBorder="1" applyProtection="1">
      <protection locked="0"/>
    </xf>
    <xf numFmtId="1" fontId="51" fillId="0" borderId="1367" xfId="0" applyNumberFormat="1" applyFont="1" applyBorder="1"/>
    <xf numFmtId="1" fontId="49" fillId="0" borderId="1627" xfId="0" applyNumberFormat="1" applyFont="1" applyBorder="1" applyAlignment="1">
      <alignment horizontal="center" vertical="center" wrapText="1"/>
    </xf>
    <xf numFmtId="1" fontId="49" fillId="0" borderId="1629" xfId="0" applyNumberFormat="1" applyFont="1" applyBorder="1" applyAlignment="1">
      <alignment horizontal="left" vertical="center"/>
    </xf>
    <xf numFmtId="1" fontId="49" fillId="2" borderId="1629" xfId="22" applyNumberFormat="1" applyFont="1" applyBorder="1" applyProtection="1">
      <protection locked="0"/>
    </xf>
    <xf numFmtId="1" fontId="49" fillId="12" borderId="1629" xfId="22" applyNumberFormat="1" applyFont="1" applyFill="1" applyBorder="1" applyProtection="1"/>
    <xf numFmtId="1" fontId="49" fillId="0" borderId="1519" xfId="0" applyNumberFormat="1" applyFont="1" applyBorder="1" applyAlignment="1">
      <alignment horizontal="left" vertical="center"/>
    </xf>
    <xf numFmtId="1" fontId="49" fillId="2" borderId="1519" xfId="22" applyNumberFormat="1" applyFont="1" applyBorder="1" applyProtection="1">
      <protection locked="0"/>
    </xf>
    <xf numFmtId="1" fontId="49" fillId="12" borderId="1519" xfId="22" applyNumberFormat="1" applyFont="1" applyFill="1" applyBorder="1" applyProtection="1"/>
    <xf numFmtId="1" fontId="49" fillId="0" borderId="2257" xfId="0" applyNumberFormat="1" applyFont="1" applyBorder="1" applyAlignment="1">
      <alignment horizontal="left" vertical="center"/>
    </xf>
    <xf numFmtId="1" fontId="49" fillId="2" borderId="1294" xfId="22" applyNumberFormat="1" applyFont="1" applyBorder="1" applyProtection="1">
      <protection locked="0"/>
    </xf>
    <xf numFmtId="1" fontId="49" fillId="12" borderId="1294" xfId="22" applyNumberFormat="1" applyFont="1" applyFill="1" applyBorder="1" applyProtection="1"/>
    <xf numFmtId="1" fontId="49" fillId="0" borderId="2277" xfId="0" applyNumberFormat="1" applyFont="1" applyBorder="1" applyAlignment="1">
      <alignment horizontal="left" vertical="center"/>
    </xf>
    <xf numFmtId="1" fontId="49" fillId="2" borderId="1521" xfId="22" applyNumberFormat="1" applyFont="1" applyBorder="1" applyProtection="1">
      <protection locked="0"/>
    </xf>
    <xf numFmtId="1" fontId="49" fillId="12" borderId="1521" xfId="22" applyNumberFormat="1" applyFont="1" applyFill="1" applyBorder="1" applyProtection="1"/>
    <xf numFmtId="1" fontId="49" fillId="0" borderId="831" xfId="0" applyNumberFormat="1" applyFont="1" applyBorder="1" applyAlignment="1">
      <alignment wrapText="1"/>
    </xf>
    <xf numFmtId="1" fontId="49" fillId="0" borderId="831" xfId="0" applyNumberFormat="1" applyFont="1" applyBorder="1" applyAlignment="1">
      <alignment vertical="top" wrapText="1"/>
    </xf>
    <xf numFmtId="1" fontId="49" fillId="0" borderId="1102" xfId="0" applyNumberFormat="1" applyFont="1" applyBorder="1" applyAlignment="1">
      <alignment wrapText="1"/>
    </xf>
    <xf numFmtId="0" fontId="33" fillId="0" borderId="517" xfId="0" applyFont="1" applyBorder="1" applyAlignment="1">
      <alignment horizontal="center"/>
    </xf>
    <xf numFmtId="0" fontId="100" fillId="3" borderId="0" xfId="0" applyFont="1" applyFill="1" applyAlignment="1">
      <alignment horizontal="center"/>
    </xf>
    <xf numFmtId="1" fontId="20" fillId="48" borderId="0" xfId="0" applyNumberFormat="1" applyFont="1" applyFill="1" applyAlignment="1">
      <alignment vertical="center"/>
    </xf>
    <xf numFmtId="1" fontId="6" fillId="26" borderId="2242" xfId="0" applyNumberFormat="1" applyFont="1" applyFill="1" applyBorder="1" applyProtection="1">
      <protection locked="0"/>
    </xf>
    <xf numFmtId="1" fontId="6" fillId="26" borderId="1836" xfId="0" applyNumberFormat="1" applyFont="1" applyFill="1" applyBorder="1" applyProtection="1">
      <protection locked="0"/>
    </xf>
    <xf numFmtId="1" fontId="6" fillId="5" borderId="1858" xfId="0" applyNumberFormat="1" applyFont="1" applyFill="1" applyBorder="1" applyProtection="1">
      <protection locked="0"/>
    </xf>
    <xf numFmtId="1" fontId="50" fillId="3" borderId="0" xfId="0" applyNumberFormat="1" applyFont="1" applyFill="1" applyAlignment="1">
      <alignment vertical="center"/>
    </xf>
    <xf numFmtId="1" fontId="49" fillId="0" borderId="2466" xfId="0" applyNumberFormat="1" applyFont="1" applyBorder="1" applyAlignment="1">
      <alignment horizontal="center" vertical="center" wrapText="1"/>
    </xf>
    <xf numFmtId="1" fontId="49" fillId="0" borderId="2437" xfId="0" applyNumberFormat="1" applyFont="1" applyBorder="1" applyAlignment="1">
      <alignment horizontal="center" vertical="center" wrapText="1"/>
    </xf>
    <xf numFmtId="1" fontId="49" fillId="0" borderId="2466" xfId="0" applyNumberFormat="1" applyFont="1" applyBorder="1" applyAlignment="1">
      <alignment horizontal="center" vertical="center"/>
    </xf>
    <xf numFmtId="1" fontId="49" fillId="0" borderId="2459" xfId="0" applyNumberFormat="1" applyFont="1" applyBorder="1" applyAlignment="1">
      <alignment horizontal="center" vertical="center"/>
    </xf>
    <xf numFmtId="1" fontId="49" fillId="0" borderId="2455" xfId="0" applyNumberFormat="1" applyFont="1" applyBorder="1" applyAlignment="1">
      <alignment horizontal="center" vertical="center" wrapText="1"/>
    </xf>
    <xf numFmtId="1" fontId="49" fillId="0" borderId="2438" xfId="0" applyNumberFormat="1" applyFont="1" applyBorder="1" applyAlignment="1">
      <alignment horizontal="center" vertical="center" wrapText="1"/>
    </xf>
    <xf numFmtId="1" fontId="49" fillId="0" borderId="2454" xfId="0" applyNumberFormat="1" applyFont="1" applyBorder="1" applyAlignment="1">
      <alignment horizontal="center" vertical="center" wrapText="1"/>
    </xf>
    <xf numFmtId="1" fontId="49" fillId="0" borderId="1858" xfId="0" applyNumberFormat="1" applyFont="1" applyBorder="1"/>
    <xf numFmtId="1" fontId="49" fillId="5" borderId="2276" xfId="0" applyNumberFormat="1" applyFont="1" applyFill="1" applyBorder="1" applyProtection="1">
      <protection locked="0"/>
    </xf>
    <xf numFmtId="1" fontId="49" fillId="5" borderId="2299" xfId="0" applyNumberFormat="1" applyFont="1" applyFill="1" applyBorder="1" applyProtection="1">
      <protection locked="0"/>
    </xf>
    <xf numFmtId="1" fontId="49" fillId="5" borderId="1534" xfId="0" applyNumberFormat="1" applyFont="1" applyFill="1" applyBorder="1" applyProtection="1">
      <protection locked="0"/>
    </xf>
    <xf numFmtId="1" fontId="49" fillId="5" borderId="2291" xfId="0" applyNumberFormat="1" applyFont="1" applyFill="1" applyBorder="1" applyProtection="1">
      <protection locked="0"/>
    </xf>
    <xf numFmtId="1" fontId="49" fillId="5" borderId="1445" xfId="0" applyNumberFormat="1" applyFont="1" applyFill="1" applyBorder="1" applyProtection="1">
      <protection locked="0"/>
    </xf>
    <xf numFmtId="1" fontId="49" fillId="5" borderId="1525" xfId="0" applyNumberFormat="1" applyFont="1" applyFill="1" applyBorder="1" applyProtection="1">
      <protection locked="0"/>
    </xf>
    <xf numFmtId="1" fontId="49" fillId="0" borderId="2471" xfId="0" applyNumberFormat="1" applyFont="1" applyBorder="1"/>
    <xf numFmtId="1" fontId="49" fillId="5" borderId="2468" xfId="0" applyNumberFormat="1" applyFont="1" applyFill="1" applyBorder="1" applyProtection="1">
      <protection locked="0"/>
    </xf>
    <xf numFmtId="1" fontId="49" fillId="5" borderId="2472" xfId="0" applyNumberFormat="1" applyFont="1" applyFill="1" applyBorder="1" applyProtection="1">
      <protection locked="0"/>
    </xf>
    <xf numFmtId="1" fontId="49" fillId="47" borderId="2473" xfId="0" applyNumberFormat="1" applyFont="1" applyFill="1" applyBorder="1"/>
    <xf numFmtId="1" fontId="49" fillId="47" borderId="2469" xfId="0" applyNumberFormat="1" applyFont="1" applyFill="1" applyBorder="1"/>
    <xf numFmtId="1" fontId="49" fillId="5" borderId="2471" xfId="0" applyNumberFormat="1" applyFont="1" applyFill="1" applyBorder="1" applyProtection="1">
      <protection locked="0"/>
    </xf>
    <xf numFmtId="1" fontId="49" fillId="5" borderId="2469" xfId="0" applyNumberFormat="1" applyFont="1" applyFill="1" applyBorder="1" applyProtection="1">
      <protection locked="0"/>
    </xf>
    <xf numFmtId="1" fontId="51" fillId="3" borderId="2435" xfId="0" applyNumberFormat="1" applyFont="1" applyFill="1" applyBorder="1" applyAlignment="1">
      <alignment horizontal="left"/>
    </xf>
    <xf numFmtId="1" fontId="51" fillId="3" borderId="2436" xfId="0" applyNumberFormat="1" applyFont="1" applyFill="1" applyBorder="1" applyAlignment="1">
      <alignment horizontal="left"/>
    </xf>
    <xf numFmtId="1" fontId="50" fillId="3" borderId="2436" xfId="0" applyNumberFormat="1" applyFont="1" applyFill="1" applyBorder="1" applyAlignment="1">
      <alignment vertical="center"/>
    </xf>
    <xf numFmtId="1" fontId="50" fillId="3" borderId="2437" xfId="0" applyNumberFormat="1" applyFont="1" applyFill="1" applyBorder="1" applyAlignment="1">
      <alignment vertical="center"/>
    </xf>
    <xf numFmtId="1" fontId="49" fillId="3" borderId="2454" xfId="0" applyNumberFormat="1" applyFont="1" applyFill="1" applyBorder="1"/>
    <xf numFmtId="1" fontId="49" fillId="3" borderId="2471" xfId="0" applyNumberFormat="1" applyFont="1" applyFill="1" applyBorder="1"/>
    <xf numFmtId="1" fontId="49" fillId="3" borderId="1858" xfId="0" applyNumberFormat="1" applyFont="1" applyFill="1" applyBorder="1"/>
    <xf numFmtId="1" fontId="49" fillId="5" borderId="2242" xfId="0" applyNumberFormat="1" applyFont="1" applyFill="1" applyBorder="1" applyProtection="1">
      <protection locked="0"/>
    </xf>
    <xf numFmtId="1" fontId="49" fillId="5" borderId="2473" xfId="0" applyNumberFormat="1" applyFont="1" applyFill="1" applyBorder="1" applyProtection="1">
      <protection locked="0"/>
    </xf>
    <xf numFmtId="1" fontId="51" fillId="3" borderId="2470" xfId="0" applyNumberFormat="1" applyFont="1" applyFill="1" applyBorder="1" applyAlignment="1">
      <alignment horizontal="left"/>
    </xf>
    <xf numFmtId="1" fontId="49" fillId="0" borderId="2455" xfId="0" applyNumberFormat="1" applyFont="1" applyBorder="1" applyAlignment="1">
      <alignment horizontal="center" vertical="center"/>
    </xf>
    <xf numFmtId="1" fontId="98" fillId="0" borderId="2454" xfId="0" applyNumberFormat="1" applyFont="1" applyBorder="1" applyAlignment="1">
      <alignment horizontal="left" vertical="center"/>
    </xf>
    <xf numFmtId="1" fontId="49" fillId="14" borderId="2455" xfId="0" applyNumberFormat="1" applyFont="1" applyFill="1" applyBorder="1"/>
    <xf numFmtId="1" fontId="49" fillId="14" borderId="2466" xfId="0" applyNumberFormat="1" applyFont="1" applyFill="1" applyBorder="1"/>
    <xf numFmtId="1" fontId="49" fillId="26" borderId="2242" xfId="0" applyNumberFormat="1" applyFont="1" applyFill="1" applyBorder="1" applyProtection="1">
      <protection locked="0"/>
    </xf>
    <xf numFmtId="1" fontId="49" fillId="26" borderId="1862" xfId="0" applyNumberFormat="1" applyFont="1" applyFill="1" applyBorder="1" applyProtection="1">
      <protection locked="0"/>
    </xf>
    <xf numFmtId="1" fontId="49" fillId="5" borderId="824" xfId="0" applyNumberFormat="1" applyFont="1" applyFill="1" applyBorder="1" applyProtection="1">
      <protection locked="0"/>
    </xf>
    <xf numFmtId="1" fontId="49" fillId="26" borderId="824" xfId="0" applyNumberFormat="1" applyFont="1" applyFill="1" applyBorder="1" applyProtection="1">
      <protection locked="0"/>
    </xf>
    <xf numFmtId="1" fontId="49" fillId="26" borderId="1525" xfId="0" applyNumberFormat="1" applyFont="1" applyFill="1" applyBorder="1" applyProtection="1">
      <protection locked="0"/>
    </xf>
    <xf numFmtId="1" fontId="49" fillId="26" borderId="2473" xfId="0" applyNumberFormat="1" applyFont="1" applyFill="1" applyBorder="1" applyProtection="1">
      <protection locked="0"/>
    </xf>
    <xf numFmtId="1" fontId="49" fillId="26" borderId="2469" xfId="0" applyNumberFormat="1" applyFont="1" applyFill="1" applyBorder="1" applyProtection="1">
      <protection locked="0"/>
    </xf>
    <xf numFmtId="1" fontId="53" fillId="0" borderId="2443" xfId="0" applyNumberFormat="1" applyFont="1" applyBorder="1" applyAlignment="1">
      <alignment vertical="center" wrapText="1"/>
    </xf>
    <xf numFmtId="1" fontId="53" fillId="0" borderId="2471" xfId="0" applyNumberFormat="1" applyFont="1" applyBorder="1" applyAlignment="1">
      <alignment vertical="center" wrapText="1"/>
    </xf>
    <xf numFmtId="1" fontId="53" fillId="0" borderId="2454" xfId="0" applyNumberFormat="1" applyFont="1" applyBorder="1" applyAlignment="1">
      <alignment vertical="center" wrapText="1"/>
    </xf>
    <xf numFmtId="1" fontId="49" fillId="5" borderId="2459" xfId="0" applyNumberFormat="1" applyFont="1" applyFill="1" applyBorder="1" applyProtection="1">
      <protection locked="0"/>
    </xf>
    <xf numFmtId="1" fontId="49" fillId="5" borderId="2447" xfId="0" applyNumberFormat="1" applyFont="1" applyFill="1" applyBorder="1" applyProtection="1">
      <protection locked="0"/>
    </xf>
    <xf numFmtId="1" fontId="53" fillId="0" borderId="1858" xfId="0" applyNumberFormat="1" applyFont="1" applyBorder="1" applyAlignment="1">
      <alignment vertical="center" wrapText="1"/>
    </xf>
    <xf numFmtId="1" fontId="53" fillId="0" borderId="823" xfId="0" applyNumberFormat="1" applyFont="1" applyBorder="1" applyAlignment="1">
      <alignment vertical="center" wrapText="1"/>
    </xf>
    <xf numFmtId="1" fontId="53" fillId="0" borderId="1868" xfId="0" applyNumberFormat="1" applyFont="1" applyBorder="1" applyAlignment="1">
      <alignment vertical="center" wrapText="1"/>
    </xf>
    <xf numFmtId="1" fontId="49" fillId="5" borderId="1908" xfId="0" applyNumberFormat="1" applyFont="1" applyFill="1" applyBorder="1" applyProtection="1">
      <protection locked="0"/>
    </xf>
    <xf numFmtId="1" fontId="49" fillId="5" borderId="1836" xfId="0" applyNumberFormat="1" applyFont="1" applyFill="1" applyBorder="1" applyProtection="1">
      <protection locked="0"/>
    </xf>
    <xf numFmtId="1" fontId="49" fillId="3" borderId="823" xfId="0" applyNumberFormat="1" applyFont="1" applyFill="1" applyBorder="1"/>
    <xf numFmtId="1" fontId="49" fillId="5" borderId="823" xfId="0" applyNumberFormat="1" applyFont="1" applyFill="1" applyBorder="1" applyProtection="1">
      <protection locked="0"/>
    </xf>
    <xf numFmtId="0" fontId="68" fillId="48" borderId="0" xfId="0" applyFont="1" applyFill="1"/>
    <xf numFmtId="0" fontId="44" fillId="0" borderId="517" xfId="0" applyFont="1" applyBorder="1"/>
    <xf numFmtId="0" fontId="46" fillId="14" borderId="517" xfId="0" applyFont="1" applyFill="1" applyBorder="1"/>
    <xf numFmtId="0" fontId="66" fillId="48" borderId="0" xfId="0" applyFont="1" applyFill="1"/>
    <xf numFmtId="0" fontId="101" fillId="48" borderId="0" xfId="33" applyFont="1" applyFill="1" applyAlignment="1" applyProtection="1"/>
    <xf numFmtId="0" fontId="33" fillId="0" borderId="0" xfId="0" applyFont="1" applyAlignment="1">
      <alignment horizontal="center" vertical="center"/>
    </xf>
    <xf numFmtId="1" fontId="49" fillId="0" borderId="1760" xfId="449" applyNumberFormat="1" applyFont="1" applyBorder="1" applyAlignment="1">
      <alignment horizontal="center" vertical="center"/>
    </xf>
    <xf numFmtId="1" fontId="49" fillId="0" borderId="1760" xfId="449" applyNumberFormat="1" applyFont="1" applyBorder="1" applyAlignment="1">
      <alignment horizontal="center" vertical="center" wrapText="1"/>
    </xf>
    <xf numFmtId="1" fontId="49" fillId="0" borderId="1830" xfId="449" applyNumberFormat="1" applyFont="1" applyBorder="1" applyAlignment="1">
      <alignment horizontal="center" vertical="center" wrapText="1"/>
    </xf>
    <xf numFmtId="0" fontId="49" fillId="0" borderId="1798" xfId="449" applyFont="1" applyBorder="1" applyAlignment="1">
      <alignment horizontal="left" vertical="center" wrapText="1"/>
    </xf>
    <xf numFmtId="1" fontId="49" fillId="0" borderId="1798" xfId="449" applyNumberFormat="1" applyFont="1" applyBorder="1" applyAlignment="1">
      <alignment horizontal="center" vertical="center" wrapText="1"/>
    </xf>
    <xf numFmtId="1" fontId="49" fillId="5" borderId="1798" xfId="449" applyNumberFormat="1" applyFont="1" applyFill="1" applyBorder="1" applyProtection="1">
      <protection locked="0"/>
    </xf>
    <xf numFmtId="1" fontId="49" fillId="5" borderId="1728" xfId="449" applyNumberFormat="1" applyFont="1" applyFill="1" applyBorder="1" applyProtection="1">
      <protection locked="0"/>
    </xf>
    <xf numFmtId="1" fontId="49" fillId="15" borderId="1763" xfId="449" applyNumberFormat="1" applyFont="1" applyFill="1" applyBorder="1" applyProtection="1">
      <protection locked="0"/>
    </xf>
    <xf numFmtId="1" fontId="49" fillId="15" borderId="1798" xfId="449" applyNumberFormat="1" applyFont="1" applyFill="1" applyBorder="1" applyProtection="1">
      <protection locked="0"/>
    </xf>
    <xf numFmtId="0" fontId="49" fillId="0" borderId="1699" xfId="449" applyFont="1" applyBorder="1" applyAlignment="1">
      <alignment horizontal="left" vertical="center" wrapText="1"/>
    </xf>
    <xf numFmtId="1" fontId="49" fillId="0" borderId="1699" xfId="449" applyNumberFormat="1" applyFont="1" applyBorder="1" applyAlignment="1">
      <alignment horizontal="center" vertical="center" wrapText="1"/>
    </xf>
    <xf numFmtId="1" fontId="49" fillId="5" borderId="1699" xfId="449" applyNumberFormat="1" applyFont="1" applyFill="1" applyBorder="1" applyProtection="1">
      <protection locked="0"/>
    </xf>
    <xf numFmtId="1" fontId="49" fillId="5" borderId="1702" xfId="449" applyNumberFormat="1" applyFont="1" applyFill="1" applyBorder="1" applyProtection="1">
      <protection locked="0"/>
    </xf>
    <xf numFmtId="1" fontId="49" fillId="15" borderId="1683" xfId="449" applyNumberFormat="1" applyFont="1" applyFill="1" applyBorder="1" applyProtection="1">
      <protection locked="0"/>
    </xf>
    <xf numFmtId="1" fontId="49" fillId="15" borderId="1699" xfId="449" applyNumberFormat="1" applyFont="1" applyFill="1" applyBorder="1" applyProtection="1">
      <protection locked="0"/>
    </xf>
    <xf numFmtId="0" fontId="49" fillId="0" borderId="1709" xfId="449" applyFont="1" applyBorder="1" applyAlignment="1">
      <alignment horizontal="left" vertical="center" wrapText="1"/>
    </xf>
    <xf numFmtId="1" fontId="49" fillId="0" borderId="1709" xfId="449" applyNumberFormat="1" applyFont="1" applyBorder="1" applyAlignment="1">
      <alignment horizontal="center" vertical="center" wrapText="1"/>
    </xf>
    <xf numFmtId="1" fontId="49" fillId="5" borderId="1709" xfId="449" applyNumberFormat="1" applyFont="1" applyFill="1" applyBorder="1" applyProtection="1">
      <protection locked="0"/>
    </xf>
    <xf numFmtId="1" fontId="49" fillId="5" borderId="1289" xfId="449" applyNumberFormat="1" applyFont="1" applyFill="1" applyBorder="1" applyProtection="1">
      <protection locked="0"/>
    </xf>
    <xf numFmtId="1" fontId="49" fillId="15" borderId="1635" xfId="449" applyNumberFormat="1" applyFont="1" applyFill="1" applyBorder="1" applyProtection="1">
      <protection locked="0"/>
    </xf>
    <xf numFmtId="1" fontId="49" fillId="15" borderId="1709" xfId="449" applyNumberFormat="1" applyFont="1" applyFill="1" applyBorder="1" applyProtection="1">
      <protection locked="0"/>
    </xf>
    <xf numFmtId="164" fontId="49" fillId="14" borderId="923" xfId="32" applyNumberFormat="1" applyFont="1" applyFill="1" applyBorder="1" applyProtection="1"/>
    <xf numFmtId="1" fontId="49" fillId="0" borderId="1691" xfId="449" applyNumberFormat="1" applyFont="1" applyBorder="1" applyAlignment="1">
      <alignment horizontal="center" vertical="center" wrapText="1"/>
    </xf>
    <xf numFmtId="0" fontId="103" fillId="0" borderId="0" xfId="0" applyFont="1" applyAlignment="1">
      <alignment horizontal="center"/>
    </xf>
    <xf numFmtId="0" fontId="103" fillId="0" borderId="0" xfId="0" applyFont="1" applyAlignment="1">
      <alignment horizontal="center" vertical="center"/>
    </xf>
    <xf numFmtId="0" fontId="91" fillId="0" borderId="0" xfId="0" applyFont="1"/>
    <xf numFmtId="0" fontId="98" fillId="0" borderId="0" xfId="0" applyFont="1"/>
    <xf numFmtId="1" fontId="104" fillId="3" borderId="0" xfId="0" applyNumberFormat="1" applyFont="1" applyFill="1" applyAlignment="1">
      <alignment horizontal="center" vertical="center" wrapText="1"/>
    </xf>
    <xf numFmtId="0" fontId="104" fillId="0" borderId="0" xfId="0" applyFont="1"/>
    <xf numFmtId="0" fontId="105" fillId="0" borderId="0" xfId="0" applyFont="1" applyAlignment="1">
      <alignment horizontal="center" vertical="center"/>
    </xf>
    <xf numFmtId="1" fontId="49" fillId="0" borderId="0" xfId="0" applyNumberFormat="1" applyFont="1" applyAlignment="1">
      <alignment horizontal="center" vertical="center" wrapText="1"/>
    </xf>
    <xf numFmtId="1" fontId="49" fillId="0" borderId="0" xfId="0" applyNumberFormat="1" applyFont="1" applyAlignment="1">
      <alignment horizontal="center" vertical="center"/>
    </xf>
    <xf numFmtId="1" fontId="49" fillId="0" borderId="1750" xfId="0" applyNumberFormat="1" applyFont="1" applyBorder="1" applyAlignment="1">
      <alignment horizontal="center" vertical="center" wrapText="1"/>
    </xf>
    <xf numFmtId="1" fontId="49" fillId="0" borderId="1778" xfId="0" applyNumberFormat="1" applyFont="1" applyBorder="1" applyAlignment="1">
      <alignment horizontal="center" vertical="center" wrapText="1"/>
    </xf>
    <xf numFmtId="1" fontId="49" fillId="0" borderId="1818" xfId="0" applyNumberFormat="1" applyFont="1" applyBorder="1" applyAlignment="1">
      <alignment horizontal="center" vertical="center" wrapText="1"/>
    </xf>
    <xf numFmtId="1" fontId="49" fillId="0" borderId="1776" xfId="0" applyNumberFormat="1" applyFont="1" applyBorder="1" applyAlignment="1">
      <alignment horizontal="center" vertical="center" wrapText="1"/>
    </xf>
    <xf numFmtId="1" fontId="49" fillId="0" borderId="1808" xfId="0" applyNumberFormat="1" applyFont="1" applyBorder="1" applyAlignment="1">
      <alignment horizontal="center" vertical="center" wrapText="1"/>
    </xf>
    <xf numFmtId="1" fontId="49" fillId="0" borderId="1762" xfId="0" applyNumberFormat="1" applyFont="1" applyBorder="1" applyAlignment="1">
      <alignment horizontal="center" vertical="center" wrapText="1"/>
    </xf>
    <xf numFmtId="1" fontId="49" fillId="0" borderId="1807" xfId="0" applyNumberFormat="1" applyFont="1" applyBorder="1" applyAlignment="1">
      <alignment horizontal="center" vertical="center" wrapText="1"/>
    </xf>
    <xf numFmtId="0" fontId="49" fillId="0" borderId="1783" xfId="0" applyFont="1" applyBorder="1"/>
    <xf numFmtId="1" fontId="49" fillId="35" borderId="1781" xfId="0" applyNumberFormat="1" applyFont="1" applyFill="1" applyBorder="1"/>
    <xf numFmtId="1" fontId="49" fillId="35" borderId="1819" xfId="0" applyNumberFormat="1" applyFont="1" applyFill="1" applyBorder="1"/>
    <xf numFmtId="1" fontId="49" fillId="32" borderId="1790" xfId="0" applyNumberFormat="1" applyFont="1" applyFill="1" applyBorder="1" applyProtection="1">
      <protection locked="0"/>
    </xf>
    <xf numFmtId="1" fontId="49" fillId="32" borderId="1781" xfId="0" applyNumberFormat="1" applyFont="1" applyFill="1" applyBorder="1" applyProtection="1">
      <protection locked="0"/>
    </xf>
    <xf numFmtId="1" fontId="49" fillId="32" borderId="1801" xfId="0" applyNumberFormat="1" applyFont="1" applyFill="1" applyBorder="1" applyProtection="1">
      <protection locked="0"/>
    </xf>
    <xf numFmtId="1" fontId="49" fillId="32" borderId="1809" xfId="0" applyNumberFormat="1" applyFont="1" applyFill="1" applyBorder="1" applyProtection="1">
      <protection locked="0"/>
    </xf>
    <xf numFmtId="1" fontId="49" fillId="32" borderId="1804" xfId="0" applyNumberFormat="1" applyFont="1" applyFill="1" applyBorder="1" applyProtection="1">
      <protection locked="0"/>
    </xf>
    <xf numFmtId="0" fontId="49" fillId="0" borderId="1779" xfId="0" applyFont="1" applyBorder="1"/>
    <xf numFmtId="1" fontId="49" fillId="35" borderId="1791" xfId="0" applyNumberFormat="1" applyFont="1" applyFill="1" applyBorder="1"/>
    <xf numFmtId="1" fontId="49" fillId="32" borderId="1791" xfId="0" applyNumberFormat="1" applyFont="1" applyFill="1" applyBorder="1" applyProtection="1">
      <protection locked="0"/>
    </xf>
    <xf numFmtId="0" fontId="49" fillId="0" borderId="1779" xfId="0" applyFont="1" applyBorder="1" applyAlignment="1">
      <alignment wrapText="1"/>
    </xf>
    <xf numFmtId="0" fontId="49" fillId="0" borderId="1777" xfId="0" applyFont="1" applyBorder="1"/>
    <xf numFmtId="1" fontId="49" fillId="35" borderId="1789" xfId="0" applyNumberFormat="1" applyFont="1" applyFill="1" applyBorder="1"/>
    <xf numFmtId="1" fontId="49" fillId="35" borderId="1792" xfId="0" applyNumberFormat="1" applyFont="1" applyFill="1" applyBorder="1"/>
    <xf numFmtId="1" fontId="49" fillId="32" borderId="1792" xfId="0" applyNumberFormat="1" applyFont="1" applyFill="1" applyBorder="1" applyProtection="1">
      <protection locked="0"/>
    </xf>
    <xf numFmtId="1" fontId="49" fillId="32" borderId="1789" xfId="0" applyNumberFormat="1" applyFont="1" applyFill="1" applyBorder="1" applyProtection="1">
      <protection locked="0"/>
    </xf>
    <xf numFmtId="1" fontId="49" fillId="32" borderId="1802" xfId="0" applyNumberFormat="1" applyFont="1" applyFill="1" applyBorder="1" applyProtection="1">
      <protection locked="0"/>
    </xf>
    <xf numFmtId="1" fontId="49" fillId="32" borderId="1810" xfId="0" applyNumberFormat="1" applyFont="1" applyFill="1" applyBorder="1" applyProtection="1">
      <protection locked="0"/>
    </xf>
    <xf numFmtId="1" fontId="49" fillId="32" borderId="1805" xfId="0" applyNumberFormat="1" applyFont="1" applyFill="1" applyBorder="1" applyProtection="1">
      <protection locked="0"/>
    </xf>
    <xf numFmtId="1" fontId="49" fillId="35" borderId="1787" xfId="0" applyNumberFormat="1" applyFont="1" applyFill="1" applyBorder="1"/>
    <xf numFmtId="1" fontId="49" fillId="35" borderId="1793" xfId="0" applyNumberFormat="1" applyFont="1" applyFill="1" applyBorder="1"/>
    <xf numFmtId="1" fontId="49" fillId="32" borderId="1793" xfId="0" applyNumberFormat="1" applyFont="1" applyFill="1" applyBorder="1" applyProtection="1">
      <protection locked="0"/>
    </xf>
    <xf numFmtId="1" fontId="49" fillId="32" borderId="1787" xfId="0" applyNumberFormat="1" applyFont="1" applyFill="1" applyBorder="1" applyProtection="1">
      <protection locked="0"/>
    </xf>
    <xf numFmtId="1" fontId="49" fillId="32" borderId="1803" xfId="0" applyNumberFormat="1" applyFont="1" applyFill="1" applyBorder="1" applyProtection="1">
      <protection locked="0"/>
    </xf>
    <xf numFmtId="1" fontId="49" fillId="32" borderId="1811" xfId="0" applyNumberFormat="1" applyFont="1" applyFill="1" applyBorder="1" applyProtection="1">
      <protection locked="0"/>
    </xf>
    <xf numFmtId="0" fontId="49" fillId="0" borderId="1788" xfId="0" applyFont="1" applyBorder="1"/>
    <xf numFmtId="1" fontId="49" fillId="0" borderId="1815" xfId="0" applyNumberFormat="1" applyFont="1" applyBorder="1" applyAlignment="1">
      <alignment horizontal="center" vertical="center" wrapText="1"/>
    </xf>
    <xf numFmtId="1" fontId="49" fillId="0" borderId="1814" xfId="0" applyNumberFormat="1" applyFont="1" applyBorder="1" applyAlignment="1">
      <alignment horizontal="center" vertical="center" wrapText="1"/>
    </xf>
    <xf numFmtId="0" fontId="49" fillId="0" borderId="1778" xfId="0" applyFont="1" applyBorder="1" applyAlignment="1">
      <alignment horizontal="center" vertical="center" wrapText="1"/>
    </xf>
    <xf numFmtId="0" fontId="49" fillId="0" borderId="1778" xfId="0" applyFont="1" applyBorder="1" applyAlignment="1">
      <alignment horizontal="center" wrapText="1"/>
    </xf>
    <xf numFmtId="0" fontId="49" fillId="0" borderId="1794" xfId="0" applyFont="1" applyBorder="1" applyAlignment="1">
      <alignment wrapText="1"/>
    </xf>
    <xf numFmtId="1" fontId="49" fillId="35" borderId="1779" xfId="0" applyNumberFormat="1" applyFont="1" applyFill="1" applyBorder="1"/>
    <xf numFmtId="1" fontId="49" fillId="32" borderId="1816" xfId="0" applyNumberFormat="1" applyFont="1" applyFill="1" applyBorder="1" applyProtection="1">
      <protection locked="0"/>
    </xf>
    <xf numFmtId="0" fontId="49" fillId="0" borderId="1812" xfId="0" applyFont="1" applyBorder="1" applyAlignment="1">
      <alignment wrapText="1"/>
    </xf>
    <xf numFmtId="0" fontId="49" fillId="0" borderId="1812" xfId="0" applyFont="1" applyBorder="1"/>
    <xf numFmtId="0" fontId="49" fillId="0" borderId="1817" xfId="0" applyFont="1" applyBorder="1" applyAlignment="1">
      <alignment wrapText="1"/>
    </xf>
    <xf numFmtId="1" fontId="49" fillId="35" borderId="1777" xfId="0" applyNumberFormat="1" applyFont="1" applyFill="1" applyBorder="1"/>
    <xf numFmtId="1" fontId="49" fillId="35" borderId="1820" xfId="0" applyNumberFormat="1" applyFont="1" applyFill="1" applyBorder="1"/>
    <xf numFmtId="1" fontId="49" fillId="35" borderId="1775" xfId="0" applyNumberFormat="1" applyFont="1" applyFill="1" applyBorder="1"/>
    <xf numFmtId="1" fontId="49" fillId="32" borderId="1820" xfId="0" applyNumberFormat="1" applyFont="1" applyFill="1" applyBorder="1" applyProtection="1">
      <protection locked="0"/>
    </xf>
    <xf numFmtId="1" fontId="49" fillId="32" borderId="1775" xfId="0" applyNumberFormat="1" applyFont="1" applyFill="1" applyBorder="1" applyProtection="1">
      <protection locked="0"/>
    </xf>
    <xf numFmtId="1" fontId="49" fillId="32" borderId="1821" xfId="0" applyNumberFormat="1" applyFont="1" applyFill="1" applyBorder="1" applyProtection="1">
      <protection locked="0"/>
    </xf>
    <xf numFmtId="1" fontId="49" fillId="32" borderId="1777" xfId="0" applyNumberFormat="1" applyFont="1" applyFill="1" applyBorder="1" applyProtection="1">
      <protection locked="0"/>
    </xf>
    <xf numFmtId="0" fontId="105" fillId="0" borderId="0" xfId="0" applyFont="1"/>
    <xf numFmtId="1" fontId="49" fillId="0" borderId="1822" xfId="0" applyNumberFormat="1" applyFont="1" applyBorder="1" applyAlignment="1">
      <alignment horizontal="center" vertical="center" wrapText="1"/>
    </xf>
    <xf numFmtId="1" fontId="49" fillId="0" borderId="1769" xfId="0" applyNumberFormat="1" applyFont="1" applyBorder="1" applyAlignment="1">
      <alignment horizontal="center" vertical="center" wrapText="1"/>
    </xf>
    <xf numFmtId="0" fontId="106" fillId="0" borderId="1882" xfId="0" applyFont="1" applyBorder="1" applyAlignment="1">
      <alignment horizontal="center" wrapText="1"/>
    </xf>
    <xf numFmtId="0" fontId="106" fillId="0" borderId="1883" xfId="0" applyFont="1" applyBorder="1" applyAlignment="1">
      <alignment horizontal="center" wrapText="1"/>
    </xf>
    <xf numFmtId="0" fontId="106" fillId="0" borderId="1769" xfId="0" applyFont="1" applyBorder="1" applyAlignment="1">
      <alignment horizontal="center" wrapText="1"/>
    </xf>
    <xf numFmtId="1" fontId="49" fillId="35" borderId="1783" xfId="0" applyNumberFormat="1" applyFont="1" applyFill="1" applyBorder="1"/>
    <xf numFmtId="1" fontId="49" fillId="35" borderId="1795" xfId="0" applyNumberFormat="1" applyFont="1" applyFill="1" applyBorder="1"/>
    <xf numFmtId="1" fontId="49" fillId="32" borderId="1877" xfId="0" applyNumberFormat="1" applyFont="1" applyFill="1" applyBorder="1" applyProtection="1">
      <protection locked="0"/>
    </xf>
    <xf numFmtId="1" fontId="49" fillId="32" borderId="1795" xfId="0" applyNumberFormat="1" applyFont="1" applyFill="1" applyBorder="1" applyProtection="1">
      <protection locked="0"/>
    </xf>
    <xf numFmtId="1" fontId="49" fillId="32" borderId="1878" xfId="0" applyNumberFormat="1" applyFont="1" applyFill="1" applyBorder="1" applyProtection="1">
      <protection locked="0"/>
    </xf>
    <xf numFmtId="1" fontId="49" fillId="32" borderId="1884" xfId="0" applyNumberFormat="1" applyFont="1" applyFill="1" applyBorder="1" applyProtection="1">
      <protection locked="0"/>
    </xf>
    <xf numFmtId="1" fontId="49" fillId="32" borderId="1885" xfId="0" applyNumberFormat="1" applyFont="1" applyFill="1" applyBorder="1" applyProtection="1">
      <protection locked="0"/>
    </xf>
    <xf numFmtId="1" fontId="49" fillId="32" borderId="1886" xfId="0" applyNumberFormat="1" applyFont="1" applyFill="1" applyBorder="1" applyProtection="1">
      <protection locked="0"/>
    </xf>
    <xf numFmtId="1" fontId="49" fillId="32" borderId="1887" xfId="0" applyNumberFormat="1" applyFont="1" applyFill="1" applyBorder="1" applyProtection="1">
      <protection locked="0"/>
    </xf>
    <xf numFmtId="1" fontId="49" fillId="35" borderId="1784" xfId="0" applyNumberFormat="1" applyFont="1" applyFill="1" applyBorder="1"/>
    <xf numFmtId="1" fontId="49" fillId="35" borderId="1825" xfId="0" applyNumberFormat="1" applyFont="1" applyFill="1" applyBorder="1"/>
    <xf numFmtId="1" fontId="49" fillId="35" borderId="1782" xfId="0" applyNumberFormat="1" applyFont="1" applyFill="1" applyBorder="1"/>
    <xf numFmtId="1" fontId="49" fillId="32" borderId="1825" xfId="0" applyNumberFormat="1" applyFont="1" applyFill="1" applyBorder="1" applyProtection="1">
      <protection locked="0"/>
    </xf>
    <xf numFmtId="1" fontId="49" fillId="32" borderId="1782" xfId="0" applyNumberFormat="1" applyFont="1" applyFill="1" applyBorder="1" applyProtection="1">
      <protection locked="0"/>
    </xf>
    <xf numFmtId="1" fontId="49" fillId="32" borderId="1879" xfId="0" applyNumberFormat="1" applyFont="1" applyFill="1" applyBorder="1" applyProtection="1">
      <protection locked="0"/>
    </xf>
    <xf numFmtId="1" fontId="49" fillId="32" borderId="1888" xfId="0" applyNumberFormat="1" applyFont="1" applyFill="1" applyBorder="1" applyProtection="1">
      <protection locked="0"/>
    </xf>
    <xf numFmtId="1" fontId="49" fillId="32" borderId="1889" xfId="0" applyNumberFormat="1" applyFont="1" applyFill="1" applyBorder="1" applyProtection="1">
      <protection locked="0"/>
    </xf>
    <xf numFmtId="1" fontId="49" fillId="35" borderId="1785" xfId="0" applyNumberFormat="1" applyFont="1" applyFill="1" applyBorder="1"/>
    <xf numFmtId="1" fontId="49" fillId="35" borderId="1826" xfId="0" applyNumberFormat="1" applyFont="1" applyFill="1" applyBorder="1"/>
    <xf numFmtId="1" fontId="49" fillId="35" borderId="1823" xfId="0" applyNumberFormat="1" applyFont="1" applyFill="1" applyBorder="1"/>
    <xf numFmtId="1" fontId="49" fillId="32" borderId="1826" xfId="0" applyNumberFormat="1" applyFont="1" applyFill="1" applyBorder="1" applyProtection="1">
      <protection locked="0"/>
    </xf>
    <xf numFmtId="1" fontId="49" fillId="32" borderId="1823" xfId="0" applyNumberFormat="1" applyFont="1" applyFill="1" applyBorder="1" applyProtection="1">
      <protection locked="0"/>
    </xf>
    <xf numFmtId="1" fontId="49" fillId="32" borderId="1880" xfId="0" applyNumberFormat="1" applyFont="1" applyFill="1" applyBorder="1" applyProtection="1">
      <protection locked="0"/>
    </xf>
    <xf numFmtId="1" fontId="49" fillId="32" borderId="1890" xfId="0" applyNumberFormat="1" applyFont="1" applyFill="1" applyBorder="1" applyProtection="1">
      <protection locked="0"/>
    </xf>
    <xf numFmtId="1" fontId="49" fillId="32" borderId="1891" xfId="0" applyNumberFormat="1" applyFont="1" applyFill="1" applyBorder="1" applyProtection="1">
      <protection locked="0"/>
    </xf>
    <xf numFmtId="0" fontId="49" fillId="0" borderId="1817" xfId="0" applyFont="1" applyBorder="1"/>
    <xf numFmtId="1" fontId="49" fillId="35" borderId="1786" xfId="0" applyNumberFormat="1" applyFont="1" applyFill="1" applyBorder="1"/>
    <xf numFmtId="1" fontId="49" fillId="35" borderId="1827" xfId="0" applyNumberFormat="1" applyFont="1" applyFill="1" applyBorder="1"/>
    <xf numFmtId="1" fontId="49" fillId="35" borderId="1824" xfId="0" applyNumberFormat="1" applyFont="1" applyFill="1" applyBorder="1"/>
    <xf numFmtId="1" fontId="49" fillId="32" borderId="1827" xfId="0" applyNumberFormat="1" applyFont="1" applyFill="1" applyBorder="1" applyProtection="1">
      <protection locked="0"/>
    </xf>
    <xf numFmtId="1" fontId="49" fillId="32" borderId="1824" xfId="0" applyNumberFormat="1" applyFont="1" applyFill="1" applyBorder="1" applyProtection="1">
      <protection locked="0"/>
    </xf>
    <xf numFmtId="1" fontId="49" fillId="32" borderId="1881" xfId="0" applyNumberFormat="1" applyFont="1" applyFill="1" applyBorder="1" applyProtection="1">
      <protection locked="0"/>
    </xf>
    <xf numFmtId="1" fontId="49" fillId="32" borderId="1892" xfId="0" applyNumberFormat="1" applyFont="1" applyFill="1" applyBorder="1" applyProtection="1">
      <protection locked="0"/>
    </xf>
    <xf numFmtId="1" fontId="49" fillId="32" borderId="1893" xfId="0" applyNumberFormat="1" applyFont="1" applyFill="1" applyBorder="1" applyProtection="1">
      <protection locked="0"/>
    </xf>
    <xf numFmtId="1" fontId="49" fillId="35" borderId="1776" xfId="0" applyNumberFormat="1" applyFont="1" applyFill="1" applyBorder="1" applyAlignment="1">
      <alignment horizontal="center" vertical="center"/>
    </xf>
    <xf numFmtId="1" fontId="49" fillId="35" borderId="1776" xfId="0" applyNumberFormat="1" applyFont="1" applyFill="1" applyBorder="1" applyAlignment="1">
      <alignment horizontal="center" vertical="center" wrapText="1"/>
    </xf>
    <xf numFmtId="1" fontId="49" fillId="32" borderId="1828" xfId="0" applyNumberFormat="1" applyFont="1" applyFill="1" applyBorder="1" applyProtection="1">
      <protection locked="0"/>
    </xf>
    <xf numFmtId="1" fontId="49" fillId="32" borderId="1829" xfId="0" applyNumberFormat="1" applyFont="1" applyFill="1" applyBorder="1" applyProtection="1">
      <protection locked="0"/>
    </xf>
    <xf numFmtId="1" fontId="49" fillId="33" borderId="1829" xfId="0" applyNumberFormat="1" applyFont="1" applyFill="1" applyBorder="1"/>
    <xf numFmtId="1" fontId="49" fillId="34" borderId="0" xfId="0" applyNumberFormat="1" applyFont="1" applyFill="1"/>
    <xf numFmtId="0" fontId="105" fillId="0" borderId="1778" xfId="0" applyFont="1" applyBorder="1"/>
    <xf numFmtId="1" fontId="49" fillId="35" borderId="1776" xfId="0" applyNumberFormat="1" applyFont="1" applyFill="1" applyBorder="1" applyAlignment="1">
      <alignment horizontal="center" wrapText="1"/>
    </xf>
    <xf numFmtId="1" fontId="49" fillId="33" borderId="1787" xfId="0" applyNumberFormat="1" applyFont="1" applyFill="1" applyBorder="1"/>
    <xf numFmtId="1" fontId="49" fillId="33" borderId="1789" xfId="0" applyNumberFormat="1" applyFont="1" applyFill="1" applyBorder="1"/>
    <xf numFmtId="0" fontId="49" fillId="0" borderId="1778" xfId="0" applyFont="1" applyBorder="1" applyAlignment="1">
      <alignment horizontal="center" vertical="center"/>
    </xf>
    <xf numFmtId="1" fontId="49" fillId="33" borderId="1795" xfId="0" applyNumberFormat="1" applyFont="1" applyFill="1" applyBorder="1"/>
    <xf numFmtId="1" fontId="49" fillId="33" borderId="1781" xfId="0" applyNumberFormat="1" applyFont="1" applyFill="1" applyBorder="1"/>
    <xf numFmtId="0" fontId="50" fillId="33" borderId="1779" xfId="0" applyFont="1" applyFill="1" applyBorder="1"/>
    <xf numFmtId="0" fontId="50" fillId="32" borderId="1779" xfId="0" applyFont="1" applyFill="1" applyBorder="1" applyProtection="1">
      <protection locked="0"/>
    </xf>
    <xf numFmtId="0" fontId="50" fillId="33" borderId="1788" xfId="0" applyFont="1" applyFill="1" applyBorder="1"/>
    <xf numFmtId="0" fontId="50" fillId="32" borderId="1788" xfId="0" applyFont="1" applyFill="1" applyBorder="1" applyProtection="1">
      <protection locked="0"/>
    </xf>
    <xf numFmtId="1" fontId="50" fillId="21" borderId="0" xfId="0" applyNumberFormat="1" applyFont="1" applyFill="1"/>
    <xf numFmtId="0" fontId="50" fillId="21" borderId="0" xfId="0" applyFont="1" applyFill="1"/>
    <xf numFmtId="1" fontId="49" fillId="32" borderId="2487" xfId="0" applyNumberFormat="1" applyFont="1" applyFill="1" applyBorder="1" applyProtection="1">
      <protection locked="0"/>
    </xf>
    <xf numFmtId="1" fontId="49" fillId="32" borderId="2486" xfId="0" applyNumberFormat="1" applyFont="1" applyFill="1" applyBorder="1" applyProtection="1">
      <protection locked="0"/>
    </xf>
    <xf numFmtId="164" fontId="32" fillId="0" borderId="2437" xfId="32" applyNumberFormat="1" applyFont="1" applyBorder="1" applyAlignment="1" applyProtection="1">
      <alignment horizontal="center" vertical="center" wrapText="1"/>
    </xf>
    <xf numFmtId="1" fontId="32" fillId="5" borderId="2466" xfId="0" applyNumberFormat="1" applyFont="1" applyFill="1" applyBorder="1" applyProtection="1">
      <protection locked="0"/>
    </xf>
    <xf numFmtId="1" fontId="32" fillId="0" borderId="2469" xfId="0" applyNumberFormat="1" applyFont="1" applyBorder="1"/>
    <xf numFmtId="164" fontId="32" fillId="0" borderId="2412" xfId="32" applyNumberFormat="1" applyFont="1" applyBorder="1" applyAlignment="1" applyProtection="1">
      <alignment horizontal="center" vertical="center" wrapText="1"/>
    </xf>
    <xf numFmtId="1" fontId="32" fillId="5" borderId="2412" xfId="0" applyNumberFormat="1" applyFont="1" applyFill="1" applyBorder="1" applyProtection="1">
      <protection locked="0"/>
    </xf>
    <xf numFmtId="1" fontId="32" fillId="5" borderId="2488" xfId="0" applyNumberFormat="1" applyFont="1" applyFill="1" applyBorder="1" applyProtection="1">
      <protection locked="0"/>
    </xf>
    <xf numFmtId="1" fontId="32" fillId="5" borderId="2293" xfId="0" applyNumberFormat="1" applyFont="1" applyFill="1" applyBorder="1" applyProtection="1">
      <protection locked="0"/>
    </xf>
    <xf numFmtId="1" fontId="32" fillId="0" borderId="2412" xfId="0" applyNumberFormat="1" applyFont="1" applyBorder="1"/>
    <xf numFmtId="1" fontId="32" fillId="0" borderId="2459" xfId="0" applyNumberFormat="1" applyFont="1" applyBorder="1"/>
    <xf numFmtId="1" fontId="32" fillId="5" borderId="2454" xfId="0" applyNumberFormat="1" applyFont="1" applyFill="1" applyBorder="1" applyProtection="1">
      <protection locked="0"/>
    </xf>
    <xf numFmtId="1" fontId="32" fillId="0" borderId="2471" xfId="0" applyNumberFormat="1" applyFont="1" applyBorder="1"/>
    <xf numFmtId="1" fontId="32" fillId="15" borderId="1525" xfId="0" applyNumberFormat="1" applyFont="1" applyFill="1" applyBorder="1" applyProtection="1">
      <protection locked="0"/>
    </xf>
    <xf numFmtId="1" fontId="32" fillId="15" borderId="2469" xfId="0" applyNumberFormat="1" applyFont="1" applyFill="1" applyBorder="1" applyProtection="1">
      <protection locked="0"/>
    </xf>
    <xf numFmtId="1" fontId="32" fillId="15" borderId="2242" xfId="0" applyNumberFormat="1" applyFont="1" applyFill="1" applyBorder="1" applyProtection="1">
      <protection locked="0"/>
    </xf>
    <xf numFmtId="1" fontId="32" fillId="15" borderId="2473" xfId="0" applyNumberFormat="1" applyFont="1" applyFill="1" applyBorder="1" applyProtection="1">
      <protection locked="0"/>
    </xf>
    <xf numFmtId="1" fontId="32" fillId="15" borderId="1858" xfId="0" applyNumberFormat="1" applyFont="1" applyFill="1" applyBorder="1" applyProtection="1">
      <protection locked="0"/>
    </xf>
    <xf numFmtId="1" fontId="32" fillId="15" borderId="823" xfId="0" applyNumberFormat="1" applyFont="1" applyFill="1" applyBorder="1" applyProtection="1">
      <protection locked="0"/>
    </xf>
    <xf numFmtId="1" fontId="32" fillId="15" borderId="2471" xfId="0" applyNumberFormat="1" applyFont="1" applyFill="1" applyBorder="1" applyProtection="1">
      <protection locked="0"/>
    </xf>
    <xf numFmtId="1" fontId="6" fillId="5" borderId="638" xfId="0" applyNumberFormat="1" applyFont="1" applyFill="1" applyBorder="1" applyAlignment="1" applyProtection="1">
      <alignment horizontal="left"/>
      <protection locked="0"/>
    </xf>
    <xf numFmtId="1" fontId="6" fillId="0" borderId="879" xfId="0" applyNumberFormat="1" applyFont="1" applyBorder="1" applyAlignment="1">
      <alignment horizontal="left"/>
    </xf>
    <xf numFmtId="1" fontId="6" fillId="0" borderId="431" xfId="0" applyNumberFormat="1" applyFont="1" applyBorder="1" applyAlignment="1">
      <alignment horizontal="left"/>
    </xf>
    <xf numFmtId="1" fontId="6" fillId="5" borderId="630" xfId="0" applyNumberFormat="1" applyFont="1" applyFill="1" applyBorder="1" applyAlignment="1" applyProtection="1">
      <alignment horizontal="left"/>
      <protection locked="0"/>
    </xf>
    <xf numFmtId="1" fontId="6" fillId="5" borderId="632" xfId="0" applyNumberFormat="1" applyFont="1" applyFill="1" applyBorder="1" applyAlignment="1" applyProtection="1">
      <alignment horizontal="left"/>
      <protection locked="0"/>
    </xf>
    <xf numFmtId="1" fontId="6" fillId="5" borderId="633" xfId="0" applyNumberFormat="1" applyFont="1" applyFill="1" applyBorder="1" applyAlignment="1" applyProtection="1">
      <alignment horizontal="left"/>
      <protection locked="0"/>
    </xf>
    <xf numFmtId="1" fontId="6" fillId="5" borderId="636" xfId="0" applyNumberFormat="1" applyFont="1" applyFill="1" applyBorder="1" applyAlignment="1" applyProtection="1">
      <alignment horizontal="left"/>
      <protection locked="0"/>
    </xf>
    <xf numFmtId="1" fontId="6" fillId="5" borderId="916" xfId="0" applyNumberFormat="1" applyFont="1" applyFill="1" applyBorder="1" applyAlignment="1" applyProtection="1">
      <alignment horizontal="left"/>
      <protection locked="0"/>
    </xf>
    <xf numFmtId="1" fontId="6" fillId="5" borderId="234" xfId="0" applyNumberFormat="1" applyFont="1" applyFill="1" applyBorder="1" applyAlignment="1" applyProtection="1">
      <alignment horizontal="left"/>
      <protection locked="0"/>
    </xf>
    <xf numFmtId="1" fontId="6" fillId="5" borderId="232" xfId="0" applyNumberFormat="1" applyFont="1" applyFill="1" applyBorder="1" applyAlignment="1" applyProtection="1">
      <alignment horizontal="left"/>
      <protection locked="0"/>
    </xf>
    <xf numFmtId="1" fontId="6" fillId="5" borderId="639" xfId="0" applyNumberFormat="1" applyFont="1" applyFill="1" applyBorder="1" applyAlignment="1" applyProtection="1">
      <alignment horizontal="left"/>
      <protection locked="0"/>
    </xf>
    <xf numFmtId="1" fontId="6" fillId="5" borderId="934" xfId="0" applyNumberFormat="1" applyFont="1" applyFill="1" applyBorder="1" applyAlignment="1" applyProtection="1">
      <alignment horizontal="left"/>
      <protection locked="0"/>
    </xf>
    <xf numFmtId="1" fontId="6" fillId="5" borderId="50" xfId="0" applyNumberFormat="1" applyFont="1" applyFill="1" applyBorder="1" applyAlignment="1" applyProtection="1">
      <alignment horizontal="left"/>
      <protection locked="0"/>
    </xf>
    <xf numFmtId="1" fontId="6" fillId="5" borderId="37" xfId="0" applyNumberFormat="1" applyFont="1" applyFill="1" applyBorder="1" applyAlignment="1" applyProtection="1">
      <alignment horizontal="left"/>
      <protection locked="0"/>
    </xf>
    <xf numFmtId="0" fontId="6" fillId="0" borderId="31" xfId="0" applyFont="1" applyBorder="1" applyAlignment="1">
      <alignment horizontal="left" vertical="center" wrapText="1"/>
    </xf>
    <xf numFmtId="1" fontId="6" fillId="5" borderId="995" xfId="0" applyNumberFormat="1" applyFont="1" applyFill="1" applyBorder="1" applyAlignment="1" applyProtection="1">
      <alignment horizontal="left"/>
      <protection locked="0"/>
    </xf>
    <xf numFmtId="1" fontId="6" fillId="5" borderId="981" xfId="0" applyNumberFormat="1" applyFont="1" applyFill="1" applyBorder="1" applyAlignment="1" applyProtection="1">
      <alignment horizontal="left"/>
      <protection locked="0"/>
    </xf>
    <xf numFmtId="1" fontId="6" fillId="5" borderId="974" xfId="0" applyNumberFormat="1" applyFont="1" applyFill="1" applyBorder="1" applyAlignment="1" applyProtection="1">
      <alignment horizontal="left"/>
      <protection locked="0"/>
    </xf>
    <xf numFmtId="1" fontId="6" fillId="5" borderId="997" xfId="0" applyNumberFormat="1" applyFont="1" applyFill="1" applyBorder="1" applyAlignment="1" applyProtection="1">
      <alignment horizontal="left"/>
      <protection locked="0"/>
    </xf>
    <xf numFmtId="1" fontId="6" fillId="5" borderId="31" xfId="0" applyNumberFormat="1" applyFont="1" applyFill="1" applyBorder="1" applyAlignment="1" applyProtection="1">
      <alignment horizontal="left"/>
      <protection locked="0"/>
    </xf>
    <xf numFmtId="1" fontId="6" fillId="5" borderId="25" xfId="0" applyNumberFormat="1" applyFont="1" applyFill="1" applyBorder="1" applyAlignment="1" applyProtection="1">
      <alignment horizontal="left"/>
      <protection locked="0"/>
    </xf>
    <xf numFmtId="1" fontId="6" fillId="5" borderId="973" xfId="0" applyNumberFormat="1" applyFont="1" applyFill="1" applyBorder="1" applyAlignment="1" applyProtection="1">
      <alignment horizontal="left"/>
      <protection locked="0"/>
    </xf>
    <xf numFmtId="1" fontId="49" fillId="12" borderId="1506" xfId="0" applyNumberFormat="1" applyFont="1" applyFill="1" applyBorder="1" applyAlignment="1">
      <alignment horizontal="left" vertical="center"/>
    </xf>
    <xf numFmtId="1" fontId="49" fillId="4" borderId="1506" xfId="0" applyNumberFormat="1" applyFont="1" applyFill="1" applyBorder="1" applyAlignment="1">
      <alignment horizontal="left"/>
    </xf>
    <xf numFmtId="1" fontId="49" fillId="4" borderId="1858" xfId="0" applyNumberFormat="1" applyFont="1" applyFill="1" applyBorder="1" applyAlignment="1">
      <alignment horizontal="left"/>
    </xf>
    <xf numFmtId="1" fontId="49" fillId="4" borderId="1921" xfId="0" applyNumberFormat="1" applyFont="1" applyFill="1" applyBorder="1" applyAlignment="1">
      <alignment horizontal="left"/>
    </xf>
    <xf numFmtId="1" fontId="49" fillId="5" borderId="1862" xfId="0" applyNumberFormat="1" applyFont="1" applyFill="1" applyBorder="1" applyAlignment="1" applyProtection="1">
      <alignment horizontal="left"/>
      <protection locked="0"/>
    </xf>
    <xf numFmtId="1" fontId="49" fillId="5" borderId="1506" xfId="0" applyNumberFormat="1" applyFont="1" applyFill="1" applyBorder="1" applyAlignment="1" applyProtection="1">
      <alignment horizontal="left"/>
      <protection locked="0"/>
    </xf>
    <xf numFmtId="1" fontId="49" fillId="14" borderId="1509" xfId="202" applyNumberFormat="1" applyFont="1" applyFill="1" applyBorder="1" applyAlignment="1" applyProtection="1">
      <alignment horizontal="left" wrapText="1"/>
      <protection locked="0"/>
    </xf>
    <xf numFmtId="1" fontId="49" fillId="5" borderId="1509" xfId="0" applyNumberFormat="1" applyFont="1" applyFill="1" applyBorder="1" applyAlignment="1" applyProtection="1">
      <alignment horizontal="left"/>
      <protection locked="0"/>
    </xf>
    <xf numFmtId="1" fontId="49" fillId="5" borderId="1699" xfId="0" applyNumberFormat="1" applyFont="1" applyFill="1" applyBorder="1" applyAlignment="1" applyProtection="1">
      <alignment horizontal="left"/>
      <protection locked="0"/>
    </xf>
    <xf numFmtId="1" fontId="49" fillId="5" borderId="1702" xfId="0" applyNumberFormat="1" applyFont="1" applyFill="1" applyBorder="1" applyAlignment="1" applyProtection="1">
      <alignment horizontal="left"/>
      <protection locked="0"/>
    </xf>
    <xf numFmtId="1" fontId="49" fillId="5" borderId="1683" xfId="0" applyNumberFormat="1" applyFont="1" applyFill="1" applyBorder="1" applyAlignment="1" applyProtection="1">
      <alignment horizontal="left"/>
      <protection locked="0"/>
    </xf>
    <xf numFmtId="1" fontId="49" fillId="14" borderId="1495" xfId="202" applyNumberFormat="1" applyFont="1" applyFill="1" applyBorder="1" applyAlignment="1" applyProtection="1">
      <alignment horizontal="left" wrapText="1"/>
      <protection locked="0"/>
    </xf>
    <xf numFmtId="1" fontId="49" fillId="5" borderId="1495" xfId="0" applyNumberFormat="1" applyFont="1" applyFill="1" applyBorder="1" applyAlignment="1" applyProtection="1">
      <alignment horizontal="left"/>
      <protection locked="0"/>
    </xf>
    <xf numFmtId="1" fontId="49" fillId="5" borderId="1712" xfId="0" applyNumberFormat="1" applyFont="1" applyFill="1" applyBorder="1" applyAlignment="1" applyProtection="1">
      <alignment horizontal="left"/>
      <protection locked="0"/>
    </xf>
    <xf numFmtId="1" fontId="49" fillId="5" borderId="1689" xfId="0" applyNumberFormat="1" applyFont="1" applyFill="1" applyBorder="1" applyAlignment="1" applyProtection="1">
      <alignment horizontal="left"/>
      <protection locked="0"/>
    </xf>
    <xf numFmtId="1" fontId="49" fillId="5" borderId="1920" xfId="0" applyNumberFormat="1" applyFont="1" applyFill="1" applyBorder="1" applyAlignment="1" applyProtection="1">
      <alignment horizontal="left"/>
      <protection locked="0"/>
    </xf>
    <xf numFmtId="1" fontId="6" fillId="15" borderId="1837" xfId="0" applyNumberFormat="1" applyFont="1" applyFill="1" applyBorder="1" applyProtection="1">
      <protection locked="0"/>
    </xf>
    <xf numFmtId="1" fontId="6" fillId="15" borderId="2292" xfId="0" applyNumberFormat="1" applyFont="1" applyFill="1" applyBorder="1" applyProtection="1">
      <protection locked="0"/>
    </xf>
    <xf numFmtId="1" fontId="6" fillId="6" borderId="1534" xfId="14" applyNumberFormat="1" applyFont="1" applyBorder="1" applyProtection="1">
      <protection locked="0"/>
    </xf>
    <xf numFmtId="1" fontId="6" fillId="23" borderId="1116" xfId="0" applyNumberFormat="1" applyFont="1" applyFill="1" applyBorder="1"/>
    <xf numFmtId="1" fontId="6" fillId="5" borderId="1837" xfId="0" applyNumberFormat="1" applyFont="1" applyFill="1" applyBorder="1" applyProtection="1">
      <protection locked="0"/>
    </xf>
    <xf numFmtId="1" fontId="6" fillId="6" borderId="2292" xfId="14" applyNumberFormat="1" applyFont="1" applyBorder="1" applyProtection="1">
      <protection locked="0"/>
    </xf>
    <xf numFmtId="1" fontId="6" fillId="4" borderId="950" xfId="0" applyNumberFormat="1" applyFont="1" applyFill="1" applyBorder="1"/>
    <xf numFmtId="1" fontId="6" fillId="6" borderId="2291" xfId="14" applyNumberFormat="1" applyFont="1" applyBorder="1" applyProtection="1">
      <protection locked="0"/>
    </xf>
    <xf numFmtId="1" fontId="6" fillId="6" borderId="823" xfId="14" applyNumberFormat="1" applyFont="1" applyBorder="1" applyProtection="1">
      <protection locked="0"/>
    </xf>
    <xf numFmtId="1" fontId="6" fillId="4" borderId="2291" xfId="0" applyNumberFormat="1" applyFont="1" applyFill="1" applyBorder="1"/>
    <xf numFmtId="1" fontId="6" fillId="6" borderId="1518" xfId="14" applyNumberFormat="1" applyFont="1" applyBorder="1" applyProtection="1">
      <protection locked="0"/>
    </xf>
    <xf numFmtId="1" fontId="6" fillId="6" borderId="1868" xfId="14" applyNumberFormat="1" applyFont="1" applyBorder="1" applyProtection="1">
      <protection locked="0"/>
    </xf>
    <xf numFmtId="1" fontId="6" fillId="0" borderId="530" xfId="28" applyNumberFormat="1" applyFont="1" applyBorder="1" applyAlignment="1">
      <alignment horizontal="left"/>
    </xf>
    <xf numFmtId="1" fontId="49" fillId="3" borderId="2143" xfId="0" applyNumberFormat="1" applyFont="1" applyFill="1" applyBorder="1" applyAlignment="1">
      <alignment horizontal="center" vertical="center"/>
    </xf>
    <xf numFmtId="1" fontId="49" fillId="0" borderId="1701" xfId="0" applyNumberFormat="1" applyFont="1" applyBorder="1" applyAlignment="1">
      <alignment horizontal="center" vertical="center" wrapText="1"/>
    </xf>
    <xf numFmtId="0" fontId="49" fillId="0" borderId="2438" xfId="0" applyFont="1" applyBorder="1" applyAlignment="1">
      <alignment horizontal="center" vertical="center"/>
    </xf>
    <xf numFmtId="0" fontId="49" fillId="0" borderId="1945" xfId="0" applyFont="1" applyBorder="1" applyAlignment="1">
      <alignment horizontal="center" vertical="center" wrapText="1"/>
    </xf>
    <xf numFmtId="0" fontId="49" fillId="0" borderId="2443" xfId="0" applyFont="1" applyBorder="1" applyAlignment="1">
      <alignment vertical="center" wrapText="1"/>
    </xf>
    <xf numFmtId="1" fontId="49" fillId="5" borderId="700" xfId="0" applyNumberFormat="1" applyFont="1" applyFill="1" applyBorder="1" applyProtection="1">
      <protection locked="0"/>
    </xf>
    <xf numFmtId="0" fontId="49" fillId="0" borderId="1868" xfId="0" applyFont="1" applyBorder="1" applyAlignment="1">
      <alignment vertical="center" wrapText="1"/>
    </xf>
    <xf numFmtId="1" fontId="6" fillId="0" borderId="51" xfId="28" applyNumberFormat="1" applyFont="1" applyBorder="1" applyAlignment="1">
      <alignment horizontal="left"/>
    </xf>
    <xf numFmtId="1" fontId="6" fillId="5" borderId="459" xfId="28" applyNumberFormat="1" applyFont="1" applyFill="1" applyBorder="1" applyAlignment="1" applyProtection="1">
      <alignment horizontal="left"/>
      <protection locked="0"/>
    </xf>
    <xf numFmtId="1" fontId="6" fillId="5" borderId="1294" xfId="28" applyNumberFormat="1" applyFont="1" applyFill="1" applyBorder="1" applyAlignment="1" applyProtection="1">
      <alignment horizontal="left"/>
      <protection locked="0"/>
    </xf>
    <xf numFmtId="1" fontId="6" fillId="5" borderId="1035" xfId="28" applyNumberFormat="1" applyFont="1" applyFill="1" applyBorder="1" applyAlignment="1" applyProtection="1">
      <alignment horizontal="left"/>
      <protection locked="0"/>
    </xf>
    <xf numFmtId="1" fontId="6" fillId="5" borderId="431" xfId="28" applyNumberFormat="1" applyFont="1" applyFill="1" applyBorder="1" applyAlignment="1" applyProtection="1">
      <alignment horizontal="left"/>
      <protection locked="0"/>
    </xf>
    <xf numFmtId="1" fontId="6" fillId="5" borderId="25" xfId="28" applyNumberFormat="1" applyFont="1" applyFill="1" applyBorder="1" applyAlignment="1" applyProtection="1">
      <alignment horizontal="left"/>
      <protection locked="0"/>
    </xf>
    <xf numFmtId="1" fontId="6" fillId="14" borderId="0" xfId="0" applyNumberFormat="1" applyFont="1" applyFill="1" applyAlignment="1">
      <alignment horizontal="left" vertical="top"/>
    </xf>
    <xf numFmtId="1" fontId="9" fillId="3" borderId="0" xfId="0" applyNumberFormat="1" applyFont="1" applyFill="1" applyAlignment="1">
      <alignment horizontal="left"/>
    </xf>
    <xf numFmtId="1" fontId="6" fillId="5" borderId="574" xfId="28" applyNumberFormat="1" applyFont="1" applyFill="1" applyBorder="1" applyAlignment="1" applyProtection="1">
      <alignment horizontal="left"/>
      <protection locked="0"/>
    </xf>
    <xf numFmtId="1" fontId="6" fillId="5" borderId="1287" xfId="28" applyNumberFormat="1" applyFont="1" applyFill="1" applyBorder="1" applyAlignment="1" applyProtection="1">
      <alignment horizontal="left"/>
      <protection locked="0"/>
    </xf>
    <xf numFmtId="1" fontId="6" fillId="5" borderId="1120" xfId="28" applyNumberFormat="1" applyFont="1" applyFill="1" applyBorder="1" applyAlignment="1" applyProtection="1">
      <alignment horizontal="left"/>
      <protection locked="0"/>
    </xf>
    <xf numFmtId="1" fontId="6" fillId="5" borderId="572" xfId="28" applyNumberFormat="1" applyFont="1" applyFill="1" applyBorder="1" applyAlignment="1" applyProtection="1">
      <alignment horizontal="left"/>
      <protection locked="0"/>
    </xf>
    <xf numFmtId="1" fontId="6" fillId="0" borderId="522" xfId="28" applyNumberFormat="1" applyFont="1" applyBorder="1" applyAlignment="1">
      <alignment horizontal="left"/>
    </xf>
    <xf numFmtId="1" fontId="6" fillId="5" borderId="505" xfId="28" applyNumberFormat="1" applyFont="1" applyFill="1" applyBorder="1" applyAlignment="1" applyProtection="1">
      <alignment horizontal="left"/>
      <protection locked="0"/>
    </xf>
    <xf numFmtId="1" fontId="6" fillId="5" borderId="31" xfId="28" applyNumberFormat="1" applyFont="1" applyFill="1" applyBorder="1" applyAlignment="1" applyProtection="1">
      <alignment horizontal="left"/>
      <protection locked="0"/>
    </xf>
    <xf numFmtId="1" fontId="6" fillId="5" borderId="544" xfId="28" applyNumberFormat="1" applyFont="1" applyFill="1" applyBorder="1" applyAlignment="1" applyProtection="1">
      <alignment horizontal="left"/>
      <protection locked="0"/>
    </xf>
    <xf numFmtId="1" fontId="6" fillId="5" borderId="1428" xfId="28" applyNumberFormat="1" applyFont="1" applyFill="1" applyBorder="1" applyAlignment="1" applyProtection="1">
      <alignment horizontal="left"/>
      <protection locked="0"/>
    </xf>
    <xf numFmtId="1" fontId="6" fillId="5" borderId="1467" xfId="28" applyNumberFormat="1" applyFont="1" applyFill="1" applyBorder="1" applyAlignment="1" applyProtection="1">
      <alignment horizontal="left"/>
      <protection locked="0"/>
    </xf>
    <xf numFmtId="1" fontId="6" fillId="5" borderId="439" xfId="28" applyNumberFormat="1" applyFont="1" applyFill="1" applyBorder="1" applyAlignment="1" applyProtection="1">
      <alignment horizontal="left"/>
      <protection locked="0"/>
    </xf>
    <xf numFmtId="1" fontId="49" fillId="0" borderId="0" xfId="0" applyNumberFormat="1" applyFont="1" applyProtection="1">
      <protection locked="0"/>
    </xf>
    <xf numFmtId="1" fontId="49" fillId="3" borderId="0" xfId="0" applyNumberFormat="1" applyFont="1" applyFill="1" applyProtection="1">
      <protection locked="0"/>
    </xf>
    <xf numFmtId="1" fontId="49" fillId="3" borderId="2143" xfId="0" applyNumberFormat="1" applyFont="1" applyFill="1" applyBorder="1" applyAlignment="1">
      <alignment horizontal="center" vertical="center" wrapText="1"/>
    </xf>
    <xf numFmtId="1" fontId="49" fillId="3" borderId="2122" xfId="0" applyNumberFormat="1" applyFont="1" applyFill="1" applyBorder="1" applyAlignment="1">
      <alignment horizontal="center" vertical="center" wrapText="1"/>
    </xf>
    <xf numFmtId="1" fontId="49" fillId="3" borderId="2138" xfId="0" applyNumberFormat="1" applyFont="1" applyFill="1" applyBorder="1" applyAlignment="1">
      <alignment horizontal="center" vertical="center"/>
    </xf>
    <xf numFmtId="1" fontId="49" fillId="3" borderId="2148" xfId="0" applyNumberFormat="1" applyFont="1" applyFill="1" applyBorder="1" applyAlignment="1">
      <alignment horizontal="center" vertical="center"/>
    </xf>
    <xf numFmtId="1" fontId="49" fillId="14" borderId="1445" xfId="0" applyNumberFormat="1" applyFont="1" applyFill="1" applyBorder="1" applyAlignment="1">
      <alignment horizontal="right"/>
    </xf>
    <xf numFmtId="1" fontId="49" fillId="14" borderId="1671" xfId="0" applyNumberFormat="1" applyFont="1" applyFill="1" applyBorder="1" applyAlignment="1">
      <alignment horizontal="right"/>
    </xf>
    <xf numFmtId="1" fontId="49" fillId="5" borderId="408" xfId="0" applyNumberFormat="1" applyFont="1" applyFill="1" applyBorder="1" applyAlignment="1" applyProtection="1">
      <alignment horizontal="right"/>
      <protection locked="0"/>
    </xf>
    <xf numFmtId="1" fontId="49" fillId="5" borderId="517" xfId="0" applyNumberFormat="1" applyFont="1" applyFill="1" applyBorder="1" applyAlignment="1" applyProtection="1">
      <alignment horizontal="right"/>
      <protection locked="0"/>
    </xf>
    <xf numFmtId="1" fontId="49" fillId="5" borderId="784" xfId="0" applyNumberFormat="1" applyFont="1" applyFill="1" applyBorder="1" applyAlignment="1" applyProtection="1">
      <alignment horizontal="right"/>
      <protection locked="0"/>
    </xf>
    <xf numFmtId="1" fontId="49" fillId="5" borderId="1874" xfId="0" applyNumberFormat="1" applyFont="1" applyFill="1" applyBorder="1" applyAlignment="1" applyProtection="1">
      <alignment horizontal="right"/>
      <protection locked="0"/>
    </xf>
    <xf numFmtId="1" fontId="49" fillId="5" borderId="1876" xfId="0" applyNumberFormat="1" applyFont="1" applyFill="1" applyBorder="1" applyAlignment="1" applyProtection="1">
      <alignment horizontal="right"/>
      <protection locked="0"/>
    </xf>
    <xf numFmtId="1" fontId="49" fillId="5" borderId="1448" xfId="0" applyNumberFormat="1" applyFont="1" applyFill="1" applyBorder="1" applyAlignment="1" applyProtection="1">
      <alignment horizontal="right"/>
      <protection locked="0"/>
    </xf>
    <xf numFmtId="1" fontId="49" fillId="0" borderId="1868" xfId="0" applyNumberFormat="1" applyFont="1" applyBorder="1" applyAlignment="1">
      <alignment horizontal="left" vertical="center" wrapText="1"/>
    </xf>
    <xf numFmtId="1" fontId="49" fillId="14" borderId="1519" xfId="0" applyNumberFormat="1" applyFont="1" applyFill="1" applyBorder="1" applyAlignment="1">
      <alignment horizontal="right"/>
    </xf>
    <xf numFmtId="1" fontId="49" fillId="5" borderId="1866" xfId="0" applyNumberFormat="1" applyFont="1" applyFill="1" applyBorder="1" applyAlignment="1" applyProtection="1">
      <alignment horizontal="right"/>
      <protection locked="0"/>
    </xf>
    <xf numFmtId="1" fontId="49" fillId="5" borderId="1864" xfId="0" applyNumberFormat="1" applyFont="1" applyFill="1" applyBorder="1" applyAlignment="1" applyProtection="1">
      <alignment horizontal="right"/>
      <protection locked="0"/>
    </xf>
    <xf numFmtId="1" fontId="49" fillId="5" borderId="1636" xfId="0" applyNumberFormat="1" applyFont="1" applyFill="1" applyBorder="1" applyAlignment="1" applyProtection="1">
      <alignment horizontal="right"/>
      <protection locked="0"/>
    </xf>
    <xf numFmtId="1" fontId="49" fillId="5" borderId="1862" xfId="0" applyNumberFormat="1" applyFont="1" applyFill="1" applyBorder="1" applyAlignment="1" applyProtection="1">
      <alignment horizontal="left" vertical="center"/>
      <protection locked="0"/>
    </xf>
    <xf numFmtId="1" fontId="49" fillId="5" borderId="1870" xfId="0" applyNumberFormat="1" applyFont="1" applyFill="1" applyBorder="1" applyAlignment="1" applyProtection="1">
      <alignment horizontal="left" vertical="center"/>
      <protection locked="0"/>
    </xf>
    <xf numFmtId="0" fontId="50" fillId="12" borderId="1858" xfId="0" applyFont="1" applyFill="1" applyBorder="1" applyAlignment="1">
      <alignment horizontal="left"/>
    </xf>
    <xf numFmtId="1" fontId="49" fillId="5" borderId="828" xfId="0" applyNumberFormat="1" applyFont="1" applyFill="1" applyBorder="1" applyAlignment="1" applyProtection="1">
      <alignment horizontal="left" vertical="center"/>
      <protection locked="0"/>
    </xf>
    <xf numFmtId="1" fontId="49" fillId="5" borderId="686" xfId="0" applyNumberFormat="1" applyFont="1" applyFill="1" applyBorder="1" applyAlignment="1" applyProtection="1">
      <alignment horizontal="left" vertical="center"/>
      <protection locked="0"/>
    </xf>
    <xf numFmtId="0" fontId="50" fillId="12" borderId="700" xfId="0" applyFont="1" applyFill="1" applyBorder="1" applyAlignment="1">
      <alignment horizontal="left"/>
    </xf>
    <xf numFmtId="1" fontId="49" fillId="5" borderId="1864" xfId="0" applyNumberFormat="1" applyFont="1" applyFill="1" applyBorder="1" applyAlignment="1" applyProtection="1">
      <alignment horizontal="left" vertical="center"/>
      <protection locked="0"/>
    </xf>
    <xf numFmtId="1" fontId="49" fillId="5" borderId="1866" xfId="0" applyNumberFormat="1" applyFont="1" applyFill="1" applyBorder="1" applyAlignment="1" applyProtection="1">
      <alignment horizontal="left" vertical="center"/>
      <protection locked="0"/>
    </xf>
    <xf numFmtId="0" fontId="50" fillId="12" borderId="1761" xfId="0" applyFont="1" applyFill="1" applyBorder="1" applyAlignment="1">
      <alignment horizontal="left"/>
    </xf>
    <xf numFmtId="1" fontId="6" fillId="0" borderId="2473" xfId="0" applyNumberFormat="1" applyFont="1" applyBorder="1" applyAlignment="1">
      <alignment horizontal="right"/>
    </xf>
    <xf numFmtId="1" fontId="6" fillId="0" borderId="2444" xfId="0" applyNumberFormat="1" applyFont="1" applyBorder="1" applyAlignment="1">
      <alignment horizontal="right"/>
    </xf>
    <xf numFmtId="1" fontId="6" fillId="0" borderId="2472" xfId="0" applyNumberFormat="1" applyFont="1" applyBorder="1" applyAlignment="1">
      <alignment horizontal="right"/>
    </xf>
    <xf numFmtId="1" fontId="6" fillId="0" borderId="1686" xfId="0" applyNumberFormat="1" applyFont="1" applyBorder="1" applyAlignment="1">
      <alignment horizontal="right"/>
    </xf>
    <xf numFmtId="1" fontId="6" fillId="0" borderId="1687" xfId="0" applyNumberFormat="1" applyFont="1" applyBorder="1" applyAlignment="1">
      <alignment horizontal="right"/>
    </xf>
    <xf numFmtId="1" fontId="6" fillId="5" borderId="339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37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3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32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0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07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2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08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857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87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87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87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09" xfId="0" applyNumberFormat="1" applyFont="1" applyFill="1" applyBorder="1" applyAlignment="1" applyProtection="1">
      <alignment horizontal="left"/>
      <protection locked="0"/>
    </xf>
    <xf numFmtId="1" fontId="6" fillId="5" borderId="20" xfId="0" applyNumberFormat="1" applyFont="1" applyFill="1" applyBorder="1" applyAlignment="1" applyProtection="1">
      <alignment horizontal="left"/>
      <protection locked="0"/>
    </xf>
    <xf numFmtId="1" fontId="6" fillId="5" borderId="45" xfId="0" applyNumberFormat="1" applyFont="1" applyFill="1" applyBorder="1" applyAlignment="1" applyProtection="1">
      <alignment horizontal="left"/>
      <protection locked="0"/>
    </xf>
    <xf numFmtId="1" fontId="6" fillId="5" borderId="39" xfId="0" applyNumberFormat="1" applyFont="1" applyFill="1" applyBorder="1" applyAlignment="1" applyProtection="1">
      <alignment horizontal="left"/>
      <protection locked="0"/>
    </xf>
    <xf numFmtId="1" fontId="6" fillId="5" borderId="33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3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06" xfId="0" applyNumberFormat="1" applyFont="1" applyFill="1" applyBorder="1" applyAlignment="1" applyProtection="1">
      <alignment horizontal="left"/>
      <protection locked="0"/>
    </xf>
    <xf numFmtId="1" fontId="6" fillId="5" borderId="523" xfId="0" applyNumberFormat="1" applyFont="1" applyFill="1" applyBorder="1" applyAlignment="1" applyProtection="1">
      <alignment horizontal="left"/>
      <protection locked="0"/>
    </xf>
    <xf numFmtId="1" fontId="6" fillId="5" borderId="524" xfId="0" applyNumberFormat="1" applyFont="1" applyFill="1" applyBorder="1" applyAlignment="1" applyProtection="1">
      <alignment horizontal="left"/>
      <protection locked="0"/>
    </xf>
    <xf numFmtId="1" fontId="6" fillId="5" borderId="511" xfId="0" applyNumberFormat="1" applyFont="1" applyFill="1" applyBorder="1" applyAlignment="1" applyProtection="1">
      <alignment horizontal="left"/>
      <protection locked="0"/>
    </xf>
    <xf numFmtId="1" fontId="6" fillId="5" borderId="508" xfId="0" applyNumberFormat="1" applyFont="1" applyFill="1" applyBorder="1" applyAlignment="1" applyProtection="1">
      <alignment horizontal="left"/>
      <protection locked="0"/>
    </xf>
    <xf numFmtId="1" fontId="6" fillId="5" borderId="24" xfId="0" applyNumberFormat="1" applyFont="1" applyFill="1" applyBorder="1" applyAlignment="1" applyProtection="1">
      <alignment horizontal="left"/>
      <protection locked="0"/>
    </xf>
    <xf numFmtId="1" fontId="6" fillId="5" borderId="57" xfId="0" applyNumberFormat="1" applyFont="1" applyFill="1" applyBorder="1" applyAlignment="1" applyProtection="1">
      <alignment horizontal="left"/>
      <protection locked="0"/>
    </xf>
    <xf numFmtId="1" fontId="6" fillId="5" borderId="22" xfId="0" applyNumberFormat="1" applyFont="1" applyFill="1" applyBorder="1" applyAlignment="1" applyProtection="1">
      <alignment horizontal="left"/>
      <protection locked="0"/>
    </xf>
    <xf numFmtId="1" fontId="6" fillId="5" borderId="502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53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87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920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32" xfId="0" applyNumberFormat="1" applyFont="1" applyFill="1" applyBorder="1" applyAlignment="1" applyProtection="1">
      <alignment horizontal="left" vertical="center" wrapText="1"/>
      <protection locked="0"/>
    </xf>
    <xf numFmtId="1" fontId="6" fillId="5" borderId="63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67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44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72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0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68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86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1686" xfId="0" applyNumberFormat="1" applyFont="1" applyFill="1" applyBorder="1" applyAlignment="1" applyProtection="1">
      <alignment horizontal="left"/>
      <protection locked="0"/>
    </xf>
    <xf numFmtId="1" fontId="6" fillId="3" borderId="500" xfId="0" applyNumberFormat="1" applyFont="1" applyFill="1" applyBorder="1" applyAlignment="1">
      <alignment horizontal="left" vertical="center" wrapText="1"/>
    </xf>
    <xf numFmtId="1" fontId="6" fillId="5" borderId="518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5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98" xfId="0" applyNumberFormat="1" applyFont="1" applyFill="1" applyBorder="1" applyAlignment="1" applyProtection="1">
      <alignment horizontal="left" vertical="center" wrapText="1"/>
      <protection locked="0"/>
    </xf>
    <xf numFmtId="1" fontId="6" fillId="3" borderId="506" xfId="0" applyNumberFormat="1" applyFont="1" applyFill="1" applyBorder="1" applyAlignment="1">
      <alignment horizontal="left"/>
    </xf>
    <xf numFmtId="1" fontId="6" fillId="5" borderId="507" xfId="0" applyNumberFormat="1" applyFont="1" applyFill="1" applyBorder="1" applyAlignment="1" applyProtection="1">
      <alignment horizontal="left"/>
      <protection locked="0"/>
    </xf>
    <xf numFmtId="1" fontId="6" fillId="3" borderId="24" xfId="0" applyNumberFormat="1" applyFont="1" applyFill="1" applyBorder="1" applyAlignment="1">
      <alignment horizontal="left"/>
    </xf>
    <xf numFmtId="1" fontId="6" fillId="5" borderId="21" xfId="0" applyNumberFormat="1" applyFont="1" applyFill="1" applyBorder="1" applyAlignment="1" applyProtection="1">
      <alignment horizontal="left"/>
      <protection locked="0"/>
    </xf>
    <xf numFmtId="1" fontId="6" fillId="3" borderId="505" xfId="0" applyNumberFormat="1" applyFont="1" applyFill="1" applyBorder="1" applyAlignment="1">
      <alignment horizontal="left"/>
    </xf>
    <xf numFmtId="1" fontId="6" fillId="5" borderId="432" xfId="0" applyNumberFormat="1" applyFont="1" applyFill="1" applyBorder="1" applyAlignment="1" applyProtection="1">
      <alignment horizontal="left"/>
      <protection locked="0"/>
    </xf>
    <xf numFmtId="1" fontId="6" fillId="5" borderId="63" xfId="0" applyNumberFormat="1" applyFont="1" applyFill="1" applyBorder="1" applyAlignment="1" applyProtection="1">
      <alignment horizontal="left"/>
      <protection locked="0"/>
    </xf>
    <xf numFmtId="1" fontId="6" fillId="0" borderId="752" xfId="0" applyNumberFormat="1" applyFont="1" applyBorder="1" applyAlignment="1">
      <alignment horizontal="left" wrapText="1"/>
    </xf>
    <xf numFmtId="1" fontId="6" fillId="0" borderId="753" xfId="0" applyNumberFormat="1" applyFont="1" applyBorder="1" applyAlignment="1">
      <alignment horizontal="left" wrapText="1"/>
    </xf>
    <xf numFmtId="1" fontId="48" fillId="0" borderId="759" xfId="0" applyNumberFormat="1" applyFont="1" applyBorder="1" applyAlignment="1">
      <alignment horizontal="left"/>
    </xf>
    <xf numFmtId="1" fontId="6" fillId="5" borderId="753" xfId="0" applyNumberFormat="1" applyFont="1" applyFill="1" applyBorder="1" applyAlignment="1" applyProtection="1">
      <alignment horizontal="left"/>
      <protection locked="0"/>
    </xf>
    <xf numFmtId="1" fontId="6" fillId="5" borderId="699" xfId="0" applyNumberFormat="1" applyFont="1" applyFill="1" applyBorder="1" applyAlignment="1" applyProtection="1">
      <alignment horizontal="left"/>
      <protection locked="0"/>
    </xf>
    <xf numFmtId="1" fontId="6" fillId="5" borderId="686" xfId="0" applyNumberFormat="1" applyFont="1" applyFill="1" applyBorder="1" applyAlignment="1" applyProtection="1">
      <alignment horizontal="left"/>
      <protection locked="0"/>
    </xf>
    <xf numFmtId="0" fontId="6" fillId="0" borderId="686" xfId="0" applyFont="1" applyBorder="1" applyAlignment="1">
      <alignment horizontal="left" wrapText="1"/>
    </xf>
    <xf numFmtId="0" fontId="48" fillId="0" borderId="699" xfId="0" applyFont="1" applyBorder="1" applyAlignment="1">
      <alignment horizontal="left"/>
    </xf>
    <xf numFmtId="0" fontId="6" fillId="0" borderId="743" xfId="0" applyFont="1" applyBorder="1" applyAlignment="1">
      <alignment horizontal="left" wrapText="1"/>
    </xf>
    <xf numFmtId="0" fontId="6" fillId="0" borderId="737" xfId="0" applyFont="1" applyBorder="1" applyAlignment="1">
      <alignment horizontal="left" wrapText="1"/>
    </xf>
    <xf numFmtId="0" fontId="48" fillId="0" borderId="31" xfId="0" applyFont="1" applyBorder="1" applyAlignment="1">
      <alignment horizontal="left"/>
    </xf>
    <xf numFmtId="1" fontId="6" fillId="5" borderId="737" xfId="0" applyNumberFormat="1" applyFont="1" applyFill="1" applyBorder="1" applyAlignment="1" applyProtection="1">
      <alignment horizontal="left"/>
      <protection locked="0"/>
    </xf>
    <xf numFmtId="0" fontId="6" fillId="0" borderId="718" xfId="0" applyFont="1" applyBorder="1" applyAlignment="1">
      <alignment horizontal="left" wrapText="1"/>
    </xf>
    <xf numFmtId="0" fontId="48" fillId="0" borderId="690" xfId="0" applyFont="1" applyBorder="1" applyAlignment="1">
      <alignment horizontal="left"/>
    </xf>
    <xf numFmtId="1" fontId="6" fillId="5" borderId="677" xfId="0" applyNumberFormat="1" applyFont="1" applyFill="1" applyBorder="1" applyAlignment="1" applyProtection="1">
      <alignment horizontal="left"/>
      <protection locked="0"/>
    </xf>
    <xf numFmtId="1" fontId="6" fillId="5" borderId="690" xfId="0" applyNumberFormat="1" applyFont="1" applyFill="1" applyBorder="1" applyAlignment="1" applyProtection="1">
      <alignment horizontal="left"/>
      <protection locked="0"/>
    </xf>
    <xf numFmtId="0" fontId="53" fillId="48" borderId="517" xfId="0" applyFont="1" applyFill="1" applyBorder="1" applyAlignment="1">
      <alignment horizontal="center"/>
    </xf>
    <xf numFmtId="1" fontId="49" fillId="3" borderId="0" xfId="0" applyNumberFormat="1" applyFont="1" applyFill="1" applyAlignment="1" applyProtection="1">
      <alignment wrapText="1"/>
      <protection hidden="1"/>
    </xf>
    <xf numFmtId="1" fontId="49" fillId="0" borderId="1671" xfId="0" applyNumberFormat="1" applyFont="1" applyBorder="1" applyAlignment="1" applyProtection="1">
      <alignment vertical="center" wrapText="1"/>
      <protection hidden="1"/>
    </xf>
    <xf numFmtId="1" fontId="49" fillId="5" borderId="1847" xfId="0" applyNumberFormat="1" applyFont="1" applyFill="1" applyBorder="1" applyAlignment="1" applyProtection="1">
      <alignment horizontal="right" wrapText="1"/>
      <protection locked="0"/>
    </xf>
    <xf numFmtId="1" fontId="49" fillId="5" borderId="1848" xfId="0" applyNumberFormat="1" applyFont="1" applyFill="1" applyBorder="1" applyAlignment="1" applyProtection="1">
      <alignment horizontal="right"/>
      <protection locked="0"/>
    </xf>
    <xf numFmtId="1" fontId="49" fillId="5" borderId="1634" xfId="0" applyNumberFormat="1" applyFont="1" applyFill="1" applyBorder="1" applyAlignment="1" applyProtection="1">
      <alignment horizontal="right"/>
      <protection locked="0"/>
    </xf>
    <xf numFmtId="1" fontId="49" fillId="0" borderId="1699" xfId="0" applyNumberFormat="1" applyFont="1" applyBorder="1" applyAlignment="1" applyProtection="1">
      <alignment vertical="center" wrapText="1"/>
      <protection hidden="1"/>
    </xf>
    <xf numFmtId="1" fontId="49" fillId="5" borderId="1699" xfId="0" applyNumberFormat="1" applyFont="1" applyFill="1" applyBorder="1" applyAlignment="1" applyProtection="1">
      <alignment horizontal="right" wrapText="1"/>
      <protection locked="0"/>
    </xf>
    <xf numFmtId="1" fontId="49" fillId="5" borderId="1607" xfId="0" applyNumberFormat="1" applyFont="1" applyFill="1" applyBorder="1" applyAlignment="1" applyProtection="1">
      <alignment horizontal="right"/>
      <protection locked="0"/>
    </xf>
    <xf numFmtId="1" fontId="49" fillId="5" borderId="1683" xfId="0" applyNumberFormat="1" applyFont="1" applyFill="1" applyBorder="1" applyAlignment="1" applyProtection="1">
      <alignment horizontal="right"/>
      <protection locked="0"/>
    </xf>
    <xf numFmtId="1" fontId="49" fillId="3" borderId="1699" xfId="0" applyNumberFormat="1" applyFont="1" applyFill="1" applyBorder="1" applyAlignment="1" applyProtection="1">
      <alignment vertical="center" wrapText="1"/>
      <protection hidden="1"/>
    </xf>
    <xf numFmtId="1" fontId="49" fillId="5" borderId="1683" xfId="0" applyNumberFormat="1" applyFont="1" applyFill="1" applyBorder="1" applyAlignment="1" applyProtection="1">
      <alignment horizontal="right" wrapText="1"/>
      <protection locked="0"/>
    </xf>
    <xf numFmtId="1" fontId="49" fillId="0" borderId="1709" xfId="0" applyNumberFormat="1" applyFont="1" applyBorder="1" applyAlignment="1">
      <alignment wrapText="1"/>
    </xf>
    <xf numFmtId="1" fontId="49" fillId="5" borderId="1635" xfId="0" applyNumberFormat="1" applyFont="1" applyFill="1" applyBorder="1" applyAlignment="1" applyProtection="1">
      <alignment horizontal="right" wrapText="1"/>
      <protection locked="0"/>
    </xf>
    <xf numFmtId="1" fontId="49" fillId="5" borderId="1685" xfId="0" applyNumberFormat="1" applyFont="1" applyFill="1" applyBorder="1" applyAlignment="1" applyProtection="1">
      <alignment horizontal="right"/>
      <protection locked="0"/>
    </xf>
    <xf numFmtId="1" fontId="49" fillId="5" borderId="1635" xfId="0" applyNumberFormat="1" applyFont="1" applyFill="1" applyBorder="1" applyAlignment="1" applyProtection="1">
      <alignment horizontal="right"/>
      <protection locked="0"/>
    </xf>
    <xf numFmtId="1" fontId="49" fillId="0" borderId="1723" xfId="0" applyNumberFormat="1" applyFont="1" applyBorder="1" applyAlignment="1">
      <alignment horizontal="center" vertical="center" wrapText="1"/>
    </xf>
    <xf numFmtId="1" fontId="49" fillId="0" borderId="1838" xfId="0" applyNumberFormat="1" applyFont="1" applyBorder="1" applyAlignment="1">
      <alignment horizontal="center" vertical="center" wrapText="1"/>
    </xf>
    <xf numFmtId="1" fontId="49" fillId="0" borderId="1724" xfId="0" applyNumberFormat="1" applyFont="1" applyBorder="1" applyAlignment="1">
      <alignment horizontal="center" vertical="center" wrapText="1"/>
    </xf>
    <xf numFmtId="1" fontId="49" fillId="0" borderId="1832" xfId="0" applyNumberFormat="1" applyFont="1" applyBorder="1" applyAlignment="1">
      <alignment horizontal="left" vertical="center" wrapText="1"/>
    </xf>
    <xf numFmtId="1" fontId="49" fillId="0" borderId="1639" xfId="0" applyNumberFormat="1" applyFont="1" applyBorder="1"/>
    <xf numFmtId="1" fontId="49" fillId="5" borderId="1701" xfId="0" applyNumberFormat="1" applyFont="1" applyFill="1" applyBorder="1" applyProtection="1">
      <protection locked="0"/>
    </xf>
    <xf numFmtId="1" fontId="49" fillId="5" borderId="1723" xfId="0" applyNumberFormat="1" applyFont="1" applyFill="1" applyBorder="1" applyProtection="1">
      <protection locked="0"/>
    </xf>
    <xf numFmtId="1" fontId="49" fillId="5" borderId="1838" xfId="0" applyNumberFormat="1" applyFont="1" applyFill="1" applyBorder="1" applyProtection="1">
      <protection locked="0"/>
    </xf>
    <xf numFmtId="1" fontId="49" fillId="5" borderId="1724" xfId="0" applyNumberFormat="1" applyFont="1" applyFill="1" applyBorder="1" applyProtection="1">
      <protection locked="0"/>
    </xf>
    <xf numFmtId="1" fontId="49" fillId="5" borderId="1593" xfId="0" applyNumberFormat="1" applyFont="1" applyFill="1" applyBorder="1" applyProtection="1">
      <protection locked="0"/>
    </xf>
    <xf numFmtId="1" fontId="49" fillId="5" borderId="1639" xfId="0" applyNumberFormat="1" applyFont="1" applyFill="1" applyBorder="1" applyProtection="1">
      <protection locked="0"/>
    </xf>
    <xf numFmtId="1" fontId="49" fillId="0" borderId="1699" xfId="0" applyNumberFormat="1" applyFont="1" applyBorder="1"/>
    <xf numFmtId="1" fontId="49" fillId="5" borderId="1607" xfId="0" applyNumberFormat="1" applyFont="1" applyFill="1" applyBorder="1" applyProtection="1">
      <protection locked="0"/>
    </xf>
    <xf numFmtId="1" fontId="49" fillId="5" borderId="1700" xfId="0" applyNumberFormat="1" applyFont="1" applyFill="1" applyBorder="1" applyProtection="1">
      <protection locked="0"/>
    </xf>
    <xf numFmtId="1" fontId="49" fillId="5" borderId="1161" xfId="0" applyNumberFormat="1" applyFont="1" applyFill="1" applyBorder="1" applyProtection="1">
      <protection locked="0"/>
    </xf>
    <xf numFmtId="1" fontId="49" fillId="5" borderId="1608" xfId="0" applyNumberFormat="1" applyFont="1" applyFill="1" applyBorder="1" applyProtection="1">
      <protection locked="0"/>
    </xf>
    <xf numFmtId="1" fontId="49" fillId="5" borderId="1698" xfId="0" applyNumberFormat="1" applyFont="1" applyFill="1" applyBorder="1" applyProtection="1">
      <protection locked="0"/>
    </xf>
    <xf numFmtId="1" fontId="49" fillId="0" borderId="1709" xfId="0" applyNumberFormat="1" applyFont="1" applyBorder="1"/>
    <xf numFmtId="1" fontId="49" fillId="5" borderId="1682" xfId="0" applyNumberFormat="1" applyFont="1" applyFill="1" applyBorder="1" applyProtection="1">
      <protection locked="0"/>
    </xf>
    <xf numFmtId="1" fontId="49" fillId="5" borderId="1839" xfId="0" applyNumberFormat="1" applyFont="1" applyFill="1" applyBorder="1" applyProtection="1">
      <protection locked="0"/>
    </xf>
    <xf numFmtId="1" fontId="49" fillId="5" borderId="1840" xfId="0" applyNumberFormat="1" applyFont="1" applyFill="1" applyBorder="1" applyProtection="1">
      <protection locked="0"/>
    </xf>
    <xf numFmtId="1" fontId="49" fillId="5" borderId="1718" xfId="0" applyNumberFormat="1" applyFont="1" applyFill="1" applyBorder="1" applyProtection="1">
      <protection locked="0"/>
    </xf>
    <xf numFmtId="1" fontId="49" fillId="0" borderId="1832" xfId="0" applyNumberFormat="1" applyFont="1" applyBorder="1"/>
    <xf numFmtId="1" fontId="49" fillId="5" borderId="1834" xfId="0" applyNumberFormat="1" applyFont="1" applyFill="1" applyBorder="1" applyProtection="1">
      <protection locked="0"/>
    </xf>
    <xf numFmtId="1" fontId="49" fillId="5" borderId="1835" xfId="0" applyNumberFormat="1" applyFont="1" applyFill="1" applyBorder="1" applyProtection="1">
      <protection locked="0"/>
    </xf>
    <xf numFmtId="1" fontId="49" fillId="5" borderId="1841" xfId="0" applyNumberFormat="1" applyFont="1" applyFill="1" applyBorder="1" applyProtection="1">
      <protection locked="0"/>
    </xf>
    <xf numFmtId="1" fontId="49" fillId="5" borderId="1837" xfId="0" applyNumberFormat="1" applyFont="1" applyFill="1" applyBorder="1" applyProtection="1">
      <protection locked="0"/>
    </xf>
    <xf numFmtId="1" fontId="49" fillId="5" borderId="1722" xfId="0" applyNumberFormat="1" applyFont="1" applyFill="1" applyBorder="1" applyProtection="1">
      <protection locked="0"/>
    </xf>
    <xf numFmtId="1" fontId="49" fillId="5" borderId="1832" xfId="0" applyNumberFormat="1" applyFont="1" applyFill="1" applyBorder="1" applyProtection="1">
      <protection locked="0"/>
    </xf>
    <xf numFmtId="1" fontId="49" fillId="5" borderId="382" xfId="0" applyNumberFormat="1" applyFont="1" applyFill="1" applyBorder="1" applyProtection="1">
      <protection locked="0"/>
    </xf>
    <xf numFmtId="1" fontId="49" fillId="5" borderId="1042" xfId="0" applyNumberFormat="1" applyFont="1" applyFill="1" applyBorder="1" applyProtection="1">
      <protection locked="0"/>
    </xf>
    <xf numFmtId="1" fontId="49" fillId="5" borderId="1039" xfId="0" applyNumberFormat="1" applyFont="1" applyFill="1" applyBorder="1" applyProtection="1">
      <protection locked="0"/>
    </xf>
    <xf numFmtId="1" fontId="49" fillId="5" borderId="784" xfId="0" applyNumberFormat="1" applyFont="1" applyFill="1" applyBorder="1" applyProtection="1">
      <protection locked="0"/>
    </xf>
    <xf numFmtId="1" fontId="49" fillId="5" borderId="1616" xfId="0" applyNumberFormat="1" applyFont="1" applyFill="1" applyBorder="1" applyProtection="1">
      <protection locked="0"/>
    </xf>
    <xf numFmtId="1" fontId="49" fillId="5" borderId="1685" xfId="0" applyNumberFormat="1" applyFont="1" applyFill="1" applyBorder="1" applyProtection="1">
      <protection locked="0"/>
    </xf>
    <xf numFmtId="1" fontId="49" fillId="5" borderId="1686" xfId="0" applyNumberFormat="1" applyFont="1" applyFill="1" applyBorder="1" applyProtection="1">
      <protection locked="0"/>
    </xf>
    <xf numFmtId="1" fontId="49" fillId="5" borderId="1266" xfId="0" applyNumberFormat="1" applyFont="1" applyFill="1" applyBorder="1" applyProtection="1">
      <protection locked="0"/>
    </xf>
    <xf numFmtId="1" fontId="49" fillId="5" borderId="1532" xfId="0" applyNumberFormat="1" applyFont="1" applyFill="1" applyBorder="1" applyProtection="1">
      <protection locked="0"/>
    </xf>
    <xf numFmtId="1" fontId="49" fillId="5" borderId="1636" xfId="0" applyNumberFormat="1" applyFont="1" applyFill="1" applyBorder="1" applyProtection="1">
      <protection locked="0"/>
    </xf>
    <xf numFmtId="1" fontId="49" fillId="0" borderId="365" xfId="0" applyNumberFormat="1" applyFont="1" applyBorder="1"/>
    <xf numFmtId="1" fontId="49" fillId="0" borderId="40" xfId="0" applyNumberFormat="1" applyFont="1" applyBorder="1"/>
    <xf numFmtId="1" fontId="49" fillId="0" borderId="40" xfId="0" applyNumberFormat="1" applyFont="1" applyBorder="1" applyAlignment="1">
      <alignment wrapText="1"/>
    </xf>
    <xf numFmtId="1" fontId="49" fillId="0" borderId="0" xfId="0" applyNumberFormat="1" applyFont="1"/>
    <xf numFmtId="1" fontId="49" fillId="0" borderId="23" xfId="0" applyNumberFormat="1" applyFont="1" applyBorder="1"/>
    <xf numFmtId="1" fontId="6" fillId="45" borderId="1521" xfId="0" applyNumberFormat="1" applyFont="1" applyFill="1" applyBorder="1" applyAlignment="1">
      <alignment vertical="center" wrapText="1"/>
    </xf>
    <xf numFmtId="1" fontId="49" fillId="0" borderId="517" xfId="0" applyNumberFormat="1" applyFont="1" applyBorder="1" applyAlignment="1">
      <alignment horizontal="center" vertical="center" wrapText="1"/>
    </xf>
    <xf numFmtId="1" fontId="32" fillId="0" borderId="1690" xfId="0" applyNumberFormat="1" applyFont="1" applyBorder="1" applyAlignment="1">
      <alignment horizontal="left" vertical="center"/>
    </xf>
    <xf numFmtId="1" fontId="32" fillId="0" borderId="1445" xfId="0" applyNumberFormat="1" applyFont="1" applyBorder="1" applyAlignment="1">
      <alignment horizontal="left" vertical="center"/>
    </xf>
    <xf numFmtId="1" fontId="32" fillId="0" borderId="50" xfId="0" applyNumberFormat="1" applyFont="1" applyBorder="1" applyAlignment="1">
      <alignment horizontal="left"/>
    </xf>
    <xf numFmtId="1" fontId="32" fillId="0" borderId="21" xfId="0" applyNumberFormat="1" applyFont="1" applyBorder="1" applyAlignment="1">
      <alignment horizontal="left"/>
    </xf>
    <xf numFmtId="1" fontId="49" fillId="14" borderId="1760" xfId="0" applyNumberFormat="1" applyFont="1" applyFill="1" applyBorder="1" applyAlignment="1">
      <alignment horizontal="center" vertical="center" wrapText="1"/>
    </xf>
    <xf numFmtId="1" fontId="49" fillId="0" borderId="1523" xfId="0" applyNumberFormat="1" applyFont="1" applyBorder="1" applyAlignment="1">
      <alignment vertical="center" wrapText="1"/>
    </xf>
    <xf numFmtId="1" fontId="49" fillId="0" borderId="114" xfId="0" applyNumberFormat="1" applyFont="1" applyBorder="1" applyAlignment="1">
      <alignment horizontal="center" vertical="center" wrapText="1"/>
    </xf>
    <xf numFmtId="1" fontId="49" fillId="5" borderId="1833" xfId="0" applyNumberFormat="1" applyFont="1" applyFill="1" applyBorder="1" applyProtection="1">
      <protection locked="0"/>
    </xf>
    <xf numFmtId="1" fontId="49" fillId="14" borderId="1797" xfId="0" applyNumberFormat="1" applyFont="1" applyFill="1" applyBorder="1" applyAlignment="1">
      <alignment vertical="center" wrapText="1"/>
    </xf>
    <xf numFmtId="1" fontId="49" fillId="14" borderId="1834" xfId="0" applyNumberFormat="1" applyFont="1" applyFill="1" applyBorder="1" applyAlignment="1">
      <alignment horizontal="right" wrapText="1"/>
    </xf>
    <xf numFmtId="1" fontId="49" fillId="14" borderId="1835" xfId="0" applyNumberFormat="1" applyFont="1" applyFill="1" applyBorder="1" applyAlignment="1">
      <alignment horizontal="right" wrapText="1"/>
    </xf>
    <xf numFmtId="1" fontId="49" fillId="14" borderId="1763" xfId="0" applyNumberFormat="1" applyFont="1" applyFill="1" applyBorder="1" applyAlignment="1">
      <alignment horizontal="right"/>
    </xf>
    <xf numFmtId="1" fontId="52" fillId="3" borderId="0" xfId="0" applyNumberFormat="1" applyFont="1" applyFill="1" applyProtection="1">
      <protection locked="0"/>
    </xf>
    <xf numFmtId="1" fontId="49" fillId="14" borderId="1673" xfId="0" applyNumberFormat="1" applyFont="1" applyFill="1" applyBorder="1" applyAlignment="1">
      <alignment horizontal="right" wrapText="1"/>
    </xf>
    <xf numFmtId="1" fontId="49" fillId="14" borderId="1674" xfId="0" applyNumberFormat="1" applyFont="1" applyFill="1" applyBorder="1" applyAlignment="1">
      <alignment horizontal="right" wrapText="1"/>
    </xf>
    <xf numFmtId="1" fontId="49" fillId="14" borderId="1523" xfId="0" applyNumberFormat="1" applyFont="1" applyFill="1" applyBorder="1" applyAlignment="1">
      <alignment vertical="center" wrapText="1"/>
    </xf>
    <xf numFmtId="1" fontId="49" fillId="14" borderId="1607" xfId="0" applyNumberFormat="1" applyFont="1" applyFill="1" applyBorder="1" applyAlignment="1">
      <alignment horizontal="right" wrapText="1"/>
    </xf>
    <xf numFmtId="1" fontId="49" fillId="14" borderId="1700" xfId="0" applyNumberFormat="1" applyFont="1" applyFill="1" applyBorder="1" applyAlignment="1">
      <alignment horizontal="right" wrapText="1"/>
    </xf>
    <xf numFmtId="1" fontId="49" fillId="14" borderId="1683" xfId="0" applyNumberFormat="1" applyFont="1" applyFill="1" applyBorder="1" applyAlignment="1">
      <alignment horizontal="right"/>
    </xf>
    <xf numFmtId="1" fontId="49" fillId="5" borderId="1520" xfId="0" applyNumberFormat="1" applyFont="1" applyFill="1" applyBorder="1" applyProtection="1">
      <protection locked="0"/>
    </xf>
    <xf numFmtId="1" fontId="49" fillId="14" borderId="1815" xfId="0" applyNumberFormat="1" applyFont="1" applyFill="1" applyBorder="1" applyAlignment="1">
      <alignment horizontal="right"/>
    </xf>
    <xf numFmtId="1" fontId="49" fillId="14" borderId="1765" xfId="0" applyNumberFormat="1" applyFont="1" applyFill="1" applyBorder="1" applyAlignment="1">
      <alignment horizontal="right"/>
    </xf>
    <xf numFmtId="1" fontId="49" fillId="14" borderId="1691" xfId="0" applyNumberFormat="1" applyFont="1" applyFill="1" applyBorder="1" applyAlignment="1">
      <alignment horizontal="right"/>
    </xf>
    <xf numFmtId="1" fontId="49" fillId="14" borderId="1815" xfId="0" applyNumberFormat="1" applyFont="1" applyFill="1" applyBorder="1"/>
    <xf numFmtId="1" fontId="49" fillId="14" borderId="1691" xfId="0" applyNumberFormat="1" applyFont="1" applyFill="1" applyBorder="1"/>
    <xf numFmtId="1" fontId="49" fillId="14" borderId="1764" xfId="0" applyNumberFormat="1" applyFont="1" applyFill="1" applyBorder="1"/>
    <xf numFmtId="1" fontId="49" fillId="14" borderId="1813" xfId="0" applyNumberFormat="1" applyFont="1" applyFill="1" applyBorder="1"/>
    <xf numFmtId="1" fontId="49" fillId="14" borderId="1799" xfId="0" applyNumberFormat="1" applyFont="1" applyFill="1" applyBorder="1"/>
    <xf numFmtId="1" fontId="49" fillId="14" borderId="1760" xfId="0" applyNumberFormat="1" applyFont="1" applyFill="1" applyBorder="1"/>
    <xf numFmtId="1" fontId="49" fillId="3" borderId="1832" xfId="0" applyNumberFormat="1" applyFont="1" applyFill="1" applyBorder="1" applyAlignment="1">
      <alignment horizontal="left"/>
    </xf>
    <xf numFmtId="1" fontId="49" fillId="12" borderId="1832" xfId="0" applyNumberFormat="1" applyFont="1" applyFill="1" applyBorder="1" applyAlignment="1">
      <alignment horizontal="left" wrapText="1"/>
    </xf>
    <xf numFmtId="1" fontId="49" fillId="5" borderId="1832" xfId="0" applyNumberFormat="1" applyFont="1" applyFill="1" applyBorder="1" applyAlignment="1" applyProtection="1">
      <alignment horizontal="left"/>
      <protection locked="0"/>
    </xf>
    <xf numFmtId="1" fontId="49" fillId="12" borderId="2438" xfId="0" applyNumberFormat="1" applyFont="1" applyFill="1" applyBorder="1" applyAlignment="1">
      <alignment horizontal="left" wrapText="1"/>
    </xf>
    <xf numFmtId="1" fontId="49" fillId="3" borderId="1699" xfId="0" applyNumberFormat="1" applyFont="1" applyFill="1" applyBorder="1" applyAlignment="1">
      <alignment horizontal="left"/>
    </xf>
    <xf numFmtId="1" fontId="49" fillId="12" borderId="435" xfId="0" applyNumberFormat="1" applyFont="1" applyFill="1" applyBorder="1" applyAlignment="1">
      <alignment horizontal="left" wrapText="1"/>
    </xf>
    <xf numFmtId="1" fontId="49" fillId="12" borderId="2277" xfId="0" applyNumberFormat="1" applyFont="1" applyFill="1" applyBorder="1" applyAlignment="1">
      <alignment horizontal="left" wrapText="1"/>
    </xf>
    <xf numFmtId="1" fontId="49" fillId="12" borderId="1863" xfId="0" applyNumberFormat="1" applyFont="1" applyFill="1" applyBorder="1" applyAlignment="1">
      <alignment horizontal="left" wrapText="1"/>
    </xf>
    <xf numFmtId="1" fontId="49" fillId="12" borderId="1873" xfId="0" applyNumberFormat="1" applyFont="1" applyFill="1" applyBorder="1" applyAlignment="1">
      <alignment horizontal="left" wrapText="1"/>
    </xf>
    <xf numFmtId="1" fontId="49" fillId="12" borderId="1864" xfId="0" applyNumberFormat="1" applyFont="1" applyFill="1" applyBorder="1" applyAlignment="1">
      <alignment horizontal="left" wrapText="1"/>
    </xf>
    <xf numFmtId="1" fontId="91" fillId="0" borderId="1813" xfId="0" applyNumberFormat="1" applyFont="1" applyBorder="1" applyAlignment="1">
      <alignment horizontal="left" vertical="center" wrapText="1"/>
    </xf>
    <xf numFmtId="1" fontId="32" fillId="5" borderId="2460" xfId="0" applyNumberFormat="1" applyFont="1" applyFill="1" applyBorder="1" applyProtection="1">
      <protection locked="0"/>
    </xf>
    <xf numFmtId="1" fontId="32" fillId="5" borderId="2459" xfId="0" applyNumberFormat="1" applyFont="1" applyFill="1" applyBorder="1" applyProtection="1">
      <protection locked="0"/>
    </xf>
    <xf numFmtId="1" fontId="32" fillId="0" borderId="2458" xfId="0" applyNumberFormat="1" applyFont="1" applyBorder="1" applyAlignment="1">
      <alignment horizontal="center" vertical="center" wrapText="1"/>
    </xf>
    <xf numFmtId="1" fontId="32" fillId="0" borderId="2457" xfId="0" applyNumberFormat="1" applyFont="1" applyBorder="1" applyAlignment="1">
      <alignment horizontal="center" vertical="center" wrapText="1"/>
    </xf>
    <xf numFmtId="1" fontId="32" fillId="0" borderId="2489" xfId="0" applyNumberFormat="1" applyFont="1" applyBorder="1" applyAlignment="1">
      <alignment horizontal="center" vertical="center" wrapText="1"/>
    </xf>
    <xf numFmtId="1" fontId="32" fillId="5" borderId="2408" xfId="0" applyNumberFormat="1" applyFont="1" applyFill="1" applyBorder="1" applyProtection="1">
      <protection locked="0"/>
    </xf>
    <xf numFmtId="1" fontId="32" fillId="5" borderId="2455" xfId="0" applyNumberFormat="1" applyFont="1" applyFill="1" applyBorder="1" applyProtection="1">
      <protection locked="0"/>
    </xf>
    <xf numFmtId="1" fontId="32" fillId="5" borderId="2484" xfId="0" applyNumberFormat="1" applyFont="1" applyFill="1" applyBorder="1" applyProtection="1">
      <protection locked="0"/>
    </xf>
    <xf numFmtId="1" fontId="32" fillId="5" borderId="2443" xfId="0" applyNumberFormat="1" applyFont="1" applyFill="1" applyBorder="1" applyProtection="1">
      <protection locked="0"/>
    </xf>
    <xf numFmtId="1" fontId="32" fillId="0" borderId="41" xfId="0" applyNumberFormat="1" applyFont="1" applyBorder="1" applyAlignment="1">
      <alignment horizontal="left"/>
    </xf>
    <xf numFmtId="1" fontId="32" fillId="0" borderId="63" xfId="0" applyNumberFormat="1" applyFont="1" applyBorder="1" applyAlignment="1">
      <alignment horizontal="left"/>
    </xf>
    <xf numFmtId="1" fontId="32" fillId="0" borderId="31" xfId="0" applyNumberFormat="1" applyFont="1" applyBorder="1" applyAlignment="1">
      <alignment horizontal="left"/>
    </xf>
    <xf numFmtId="1" fontId="32" fillId="5" borderId="276" xfId="0" applyNumberFormat="1" applyFont="1" applyFill="1" applyBorder="1" applyAlignment="1" applyProtection="1">
      <alignment horizontal="left"/>
      <protection locked="0"/>
    </xf>
    <xf numFmtId="1" fontId="32" fillId="5" borderId="274" xfId="0" applyNumberFormat="1" applyFont="1" applyFill="1" applyBorder="1" applyAlignment="1" applyProtection="1">
      <alignment horizontal="left"/>
      <protection locked="0"/>
    </xf>
    <xf numFmtId="1" fontId="32" fillId="5" borderId="31" xfId="0" applyNumberFormat="1" applyFont="1" applyFill="1" applyBorder="1" applyAlignment="1" applyProtection="1">
      <alignment horizontal="left"/>
      <protection locked="0"/>
    </xf>
    <xf numFmtId="1" fontId="32" fillId="5" borderId="41" xfId="0" applyNumberFormat="1" applyFont="1" applyFill="1" applyBorder="1" applyAlignment="1" applyProtection="1">
      <alignment horizontal="left"/>
      <protection locked="0"/>
    </xf>
    <xf numFmtId="1" fontId="32" fillId="5" borderId="1085" xfId="0" applyNumberFormat="1" applyFont="1" applyFill="1" applyBorder="1" applyAlignment="1" applyProtection="1">
      <alignment horizontal="left"/>
      <protection locked="0"/>
    </xf>
    <xf numFmtId="1" fontId="32" fillId="5" borderId="1095" xfId="0" applyNumberFormat="1" applyFont="1" applyFill="1" applyBorder="1" applyAlignment="1" applyProtection="1">
      <alignment horizontal="left"/>
      <protection locked="0"/>
    </xf>
    <xf numFmtId="1" fontId="32" fillId="5" borderId="1173" xfId="0" applyNumberFormat="1" applyFont="1" applyFill="1" applyBorder="1" applyAlignment="1" applyProtection="1">
      <alignment horizontal="left"/>
      <protection locked="0"/>
    </xf>
    <xf numFmtId="1" fontId="32" fillId="0" borderId="38" xfId="0" applyNumberFormat="1" applyFont="1" applyBorder="1" applyAlignment="1">
      <alignment horizontal="left"/>
    </xf>
    <xf numFmtId="1" fontId="32" fillId="0" borderId="62" xfId="0" applyNumberFormat="1" applyFont="1" applyBorder="1" applyAlignment="1">
      <alignment horizontal="left"/>
    </xf>
    <xf numFmtId="1" fontId="32" fillId="4" borderId="38" xfId="0" applyNumberFormat="1" applyFont="1" applyFill="1" applyBorder="1" applyAlignment="1">
      <alignment horizontal="left"/>
    </xf>
    <xf numFmtId="1" fontId="32" fillId="4" borderId="50" xfId="0" applyNumberFormat="1" applyFont="1" applyFill="1" applyBorder="1" applyAlignment="1">
      <alignment horizontal="left"/>
    </xf>
    <xf numFmtId="1" fontId="32" fillId="5" borderId="1089" xfId="0" applyNumberFormat="1" applyFont="1" applyFill="1" applyBorder="1" applyAlignment="1" applyProtection="1">
      <alignment horizontal="left"/>
      <protection locked="0"/>
    </xf>
    <xf numFmtId="1" fontId="32" fillId="5" borderId="1058" xfId="0" applyNumberFormat="1" applyFont="1" applyFill="1" applyBorder="1" applyAlignment="1" applyProtection="1">
      <alignment horizontal="left"/>
      <protection locked="0"/>
    </xf>
    <xf numFmtId="1" fontId="32" fillId="0" borderId="20" xfId="0" applyNumberFormat="1" applyFont="1" applyBorder="1" applyAlignment="1">
      <alignment horizontal="left"/>
    </xf>
    <xf numFmtId="1" fontId="32" fillId="0" borderId="45" xfId="0" applyNumberFormat="1" applyFont="1" applyBorder="1" applyAlignment="1">
      <alignment horizontal="left"/>
    </xf>
    <xf numFmtId="1" fontId="32" fillId="4" borderId="20" xfId="0" applyNumberFormat="1" applyFont="1" applyFill="1" applyBorder="1" applyAlignment="1">
      <alignment horizontal="left"/>
    </xf>
    <xf numFmtId="1" fontId="32" fillId="4" borderId="21" xfId="0" applyNumberFormat="1" applyFont="1" applyFill="1" applyBorder="1" applyAlignment="1">
      <alignment horizontal="left"/>
    </xf>
    <xf numFmtId="1" fontId="32" fillId="5" borderId="20" xfId="0" applyNumberFormat="1" applyFont="1" applyFill="1" applyBorder="1" applyAlignment="1" applyProtection="1">
      <alignment horizontal="left"/>
      <protection locked="0"/>
    </xf>
    <xf numFmtId="1" fontId="32" fillId="5" borderId="21" xfId="0" applyNumberFormat="1" applyFont="1" applyFill="1" applyBorder="1" applyAlignment="1" applyProtection="1">
      <alignment horizontal="left"/>
      <protection locked="0"/>
    </xf>
    <xf numFmtId="1" fontId="32" fillId="5" borderId="1103" xfId="0" applyNumberFormat="1" applyFont="1" applyFill="1" applyBorder="1" applyAlignment="1" applyProtection="1">
      <alignment horizontal="left"/>
      <protection locked="0"/>
    </xf>
    <xf numFmtId="1" fontId="32" fillId="5" borderId="1133" xfId="0" applyNumberFormat="1" applyFont="1" applyFill="1" applyBorder="1" applyAlignment="1" applyProtection="1">
      <alignment horizontal="left"/>
      <protection locked="0"/>
    </xf>
    <xf numFmtId="1" fontId="32" fillId="5" borderId="1117" xfId="0" applyNumberFormat="1" applyFont="1" applyFill="1" applyBorder="1" applyAlignment="1" applyProtection="1">
      <alignment horizontal="left"/>
      <protection locked="0"/>
    </xf>
    <xf numFmtId="1" fontId="32" fillId="0" borderId="264" xfId="0" applyNumberFormat="1" applyFont="1" applyBorder="1" applyAlignment="1">
      <alignment horizontal="left"/>
    </xf>
    <xf numFmtId="1" fontId="32" fillId="0" borderId="267" xfId="0" applyNumberFormat="1" applyFont="1" applyBorder="1" applyAlignment="1">
      <alignment horizontal="left"/>
    </xf>
    <xf numFmtId="1" fontId="32" fillId="0" borderId="262" xfId="0" applyNumberFormat="1" applyFont="1" applyBorder="1" applyAlignment="1">
      <alignment horizontal="left"/>
    </xf>
    <xf numFmtId="1" fontId="32" fillId="5" borderId="273" xfId="0" applyNumberFormat="1" applyFont="1" applyFill="1" applyBorder="1" applyAlignment="1" applyProtection="1">
      <alignment horizontal="left"/>
      <protection locked="0"/>
    </xf>
    <xf numFmtId="1" fontId="32" fillId="5" borderId="305" xfId="0" applyNumberFormat="1" applyFont="1" applyFill="1" applyBorder="1" applyAlignment="1" applyProtection="1">
      <alignment horizontal="left"/>
      <protection locked="0"/>
    </xf>
    <xf numFmtId="1" fontId="32" fillId="5" borderId="0" xfId="0" applyNumberFormat="1" applyFont="1" applyFill="1" applyAlignment="1" applyProtection="1">
      <alignment horizontal="left"/>
      <protection locked="0"/>
    </xf>
    <xf numFmtId="1" fontId="32" fillId="5" borderId="264" xfId="0" applyNumberFormat="1" applyFont="1" applyFill="1" applyBorder="1" applyAlignment="1" applyProtection="1">
      <alignment horizontal="left"/>
      <protection locked="0"/>
    </xf>
    <xf numFmtId="1" fontId="32" fillId="5" borderId="1158" xfId="0" applyNumberFormat="1" applyFont="1" applyFill="1" applyBorder="1" applyAlignment="1" applyProtection="1">
      <alignment horizontal="left"/>
      <protection locked="0"/>
    </xf>
    <xf numFmtId="1" fontId="32" fillId="5" borderId="437" xfId="0" applyNumberFormat="1" applyFont="1" applyFill="1" applyBorder="1" applyAlignment="1" applyProtection="1">
      <alignment horizontal="left"/>
      <protection locked="0"/>
    </xf>
    <xf numFmtId="1" fontId="32" fillId="5" borderId="517" xfId="0" applyNumberFormat="1" applyFont="1" applyFill="1" applyBorder="1" applyAlignment="1" applyProtection="1">
      <alignment horizontal="left"/>
      <protection locked="0"/>
    </xf>
    <xf numFmtId="1" fontId="32" fillId="5" borderId="262" xfId="0" applyNumberFormat="1" applyFont="1" applyFill="1" applyBorder="1" applyAlignment="1" applyProtection="1">
      <alignment horizontal="left"/>
      <protection locked="0"/>
    </xf>
    <xf numFmtId="1" fontId="32" fillId="0" borderId="630" xfId="0" applyNumberFormat="1" applyFont="1" applyBorder="1" applyAlignment="1">
      <alignment horizontal="left" vertical="center" wrapText="1"/>
    </xf>
    <xf numFmtId="1" fontId="32" fillId="0" borderId="744" xfId="0" applyNumberFormat="1" applyFont="1" applyBorder="1" applyAlignment="1">
      <alignment horizontal="left"/>
    </xf>
    <xf numFmtId="1" fontId="32" fillId="0" borderId="431" xfId="0" applyNumberFormat="1" applyFont="1" applyBorder="1" applyAlignment="1">
      <alignment horizontal="left"/>
    </xf>
    <xf numFmtId="1" fontId="32" fillId="5" borderId="38" xfId="0" applyNumberFormat="1" applyFont="1" applyFill="1" applyBorder="1" applyAlignment="1" applyProtection="1">
      <alignment horizontal="left"/>
      <protection locked="0"/>
    </xf>
    <xf numFmtId="1" fontId="32" fillId="5" borderId="1126" xfId="0" applyNumberFormat="1" applyFont="1" applyFill="1" applyBorder="1" applyAlignment="1" applyProtection="1">
      <alignment horizontal="left"/>
      <protection locked="0"/>
    </xf>
    <xf numFmtId="1" fontId="32" fillId="5" borderId="1131" xfId="0" applyNumberFormat="1" applyFont="1" applyFill="1" applyBorder="1" applyAlignment="1" applyProtection="1">
      <alignment horizontal="left"/>
      <protection locked="0"/>
    </xf>
    <xf numFmtId="1" fontId="32" fillId="5" borderId="50" xfId="0" applyNumberFormat="1" applyFont="1" applyFill="1" applyBorder="1" applyAlignment="1" applyProtection="1">
      <alignment horizontal="left"/>
      <protection locked="0"/>
    </xf>
    <xf numFmtId="1" fontId="32" fillId="5" borderId="1132" xfId="0" applyNumberFormat="1" applyFont="1" applyFill="1" applyBorder="1" applyAlignment="1" applyProtection="1">
      <alignment horizontal="left"/>
      <protection locked="0"/>
    </xf>
    <xf numFmtId="1" fontId="32" fillId="0" borderId="2122" xfId="0" applyNumberFormat="1" applyFont="1" applyBorder="1" applyAlignment="1">
      <alignment horizontal="left" vertical="center"/>
    </xf>
    <xf numFmtId="1" fontId="32" fillId="0" borderId="2139" xfId="0" applyNumberFormat="1" applyFont="1" applyBorder="1" applyAlignment="1">
      <alignment horizontal="left" vertical="center"/>
    </xf>
    <xf numFmtId="1" fontId="32" fillId="5" borderId="2138" xfId="0" applyNumberFormat="1" applyFont="1" applyFill="1" applyBorder="1" applyAlignment="1" applyProtection="1">
      <alignment horizontal="left"/>
      <protection locked="0"/>
    </xf>
    <xf numFmtId="1" fontId="32" fillId="5" borderId="1927" xfId="0" applyNumberFormat="1" applyFont="1" applyFill="1" applyBorder="1" applyAlignment="1" applyProtection="1">
      <alignment horizontal="left"/>
      <protection locked="0"/>
    </xf>
    <xf numFmtId="1" fontId="32" fillId="5" borderId="2143" xfId="0" applyNumberFormat="1" applyFont="1" applyFill="1" applyBorder="1" applyAlignment="1" applyProtection="1">
      <alignment horizontal="left"/>
      <protection locked="0"/>
    </xf>
    <xf numFmtId="1" fontId="32" fillId="5" borderId="2148" xfId="0" applyNumberFormat="1" applyFont="1" applyFill="1" applyBorder="1" applyAlignment="1" applyProtection="1">
      <alignment horizontal="left"/>
      <protection locked="0"/>
    </xf>
    <xf numFmtId="1" fontId="32" fillId="5" borderId="2150" xfId="0" applyNumberFormat="1" applyFont="1" applyFill="1" applyBorder="1" applyAlignment="1" applyProtection="1">
      <alignment horizontal="left"/>
      <protection locked="0"/>
    </xf>
    <xf numFmtId="1" fontId="32" fillId="5" borderId="2167" xfId="0" applyNumberFormat="1" applyFont="1" applyFill="1" applyBorder="1" applyAlignment="1" applyProtection="1">
      <alignment horizontal="left"/>
      <protection locked="0"/>
    </xf>
    <xf numFmtId="1" fontId="32" fillId="14" borderId="2155" xfId="0" applyNumberFormat="1" applyFont="1" applyFill="1" applyBorder="1" applyAlignment="1">
      <alignment horizontal="left" vertical="center"/>
    </xf>
    <xf numFmtId="1" fontId="32" fillId="14" borderId="0" xfId="0" applyNumberFormat="1" applyFont="1" applyFill="1" applyAlignment="1">
      <alignment horizontal="left" vertical="center" wrapText="1"/>
    </xf>
    <xf numFmtId="1" fontId="32" fillId="14" borderId="71" xfId="0" applyNumberFormat="1" applyFont="1" applyFill="1" applyBorder="1" applyAlignment="1">
      <alignment horizontal="left"/>
    </xf>
    <xf numFmtId="1" fontId="32" fillId="0" borderId="1858" xfId="0" applyNumberFormat="1" applyFont="1" applyBorder="1" applyAlignment="1">
      <alignment horizontal="left" vertical="center"/>
    </xf>
    <xf numFmtId="1" fontId="32" fillId="5" borderId="1867" xfId="0" applyNumberFormat="1" applyFont="1" applyFill="1" applyBorder="1" applyAlignment="1" applyProtection="1">
      <alignment horizontal="left"/>
      <protection locked="0"/>
    </xf>
    <xf numFmtId="1" fontId="32" fillId="5" borderId="1675" xfId="0" applyNumberFormat="1" applyFont="1" applyFill="1" applyBorder="1" applyAlignment="1" applyProtection="1">
      <alignment horizontal="left"/>
      <protection locked="0"/>
    </xf>
    <xf numFmtId="1" fontId="32" fillId="5" borderId="1445" xfId="0" applyNumberFormat="1" applyFont="1" applyFill="1" applyBorder="1" applyAlignment="1" applyProtection="1">
      <alignment horizontal="left"/>
      <protection locked="0"/>
    </xf>
    <xf numFmtId="1" fontId="32" fillId="5" borderId="1658" xfId="0" applyNumberFormat="1" applyFont="1" applyFill="1" applyBorder="1" applyAlignment="1" applyProtection="1">
      <alignment horizontal="left"/>
      <protection locked="0"/>
    </xf>
    <xf numFmtId="1" fontId="32" fillId="5" borderId="71" xfId="0" applyNumberFormat="1" applyFont="1" applyFill="1" applyBorder="1" applyAlignment="1" applyProtection="1">
      <alignment horizontal="left"/>
      <protection locked="0"/>
    </xf>
    <xf numFmtId="1" fontId="32" fillId="5" borderId="1090" xfId="0" applyNumberFormat="1" applyFont="1" applyFill="1" applyBorder="1" applyAlignment="1" applyProtection="1">
      <alignment horizontal="left"/>
      <protection locked="0"/>
    </xf>
    <xf numFmtId="1" fontId="32" fillId="14" borderId="1690" xfId="0" applyNumberFormat="1" applyFont="1" applyFill="1" applyBorder="1" applyAlignment="1">
      <alignment horizontal="left"/>
    </xf>
    <xf numFmtId="1" fontId="32" fillId="5" borderId="1607" xfId="0" applyNumberFormat="1" applyFont="1" applyFill="1" applyBorder="1" applyAlignment="1" applyProtection="1">
      <alignment horizontal="left"/>
      <protection locked="0"/>
    </xf>
    <xf numFmtId="1" fontId="32" fillId="5" borderId="981" xfId="0" applyNumberFormat="1" applyFont="1" applyFill="1" applyBorder="1" applyAlignment="1" applyProtection="1">
      <alignment horizontal="left"/>
      <protection locked="0"/>
    </xf>
    <xf numFmtId="1" fontId="32" fillId="5" borderId="1683" xfId="0" applyNumberFormat="1" applyFont="1" applyFill="1" applyBorder="1" applyAlignment="1" applyProtection="1">
      <alignment horizontal="left"/>
      <protection locked="0"/>
    </xf>
    <xf numFmtId="1" fontId="32" fillId="5" borderId="1698" xfId="0" applyNumberFormat="1" applyFont="1" applyFill="1" applyBorder="1" applyAlignment="1" applyProtection="1">
      <alignment horizontal="left"/>
      <protection locked="0"/>
    </xf>
    <xf numFmtId="1" fontId="32" fillId="5" borderId="1690" xfId="0" applyNumberFormat="1" applyFont="1" applyFill="1" applyBorder="1" applyAlignment="1" applyProtection="1">
      <alignment horizontal="left"/>
      <protection locked="0"/>
    </xf>
    <xf numFmtId="1" fontId="32" fillId="5" borderId="2147" xfId="0" applyNumberFormat="1" applyFont="1" applyFill="1" applyBorder="1" applyAlignment="1" applyProtection="1">
      <alignment horizontal="left"/>
      <protection locked="0"/>
    </xf>
    <xf numFmtId="1" fontId="32" fillId="0" borderId="1690" xfId="0" applyNumberFormat="1" applyFont="1" applyBorder="1" applyAlignment="1">
      <alignment horizontal="left" wrapText="1"/>
    </xf>
    <xf numFmtId="1" fontId="72" fillId="14" borderId="0" xfId="0" applyNumberFormat="1" applyFont="1" applyFill="1" applyAlignment="1">
      <alignment horizontal="left"/>
    </xf>
    <xf numFmtId="1" fontId="32" fillId="14" borderId="1690" xfId="0" applyNumberFormat="1" applyFont="1" applyFill="1" applyBorder="1" applyAlignment="1">
      <alignment horizontal="left" wrapText="1"/>
    </xf>
    <xf numFmtId="1" fontId="32" fillId="0" borderId="1690" xfId="0" applyNumberFormat="1" applyFont="1" applyBorder="1" applyAlignment="1">
      <alignment horizontal="left" vertical="center" wrapText="1"/>
    </xf>
    <xf numFmtId="1" fontId="32" fillId="14" borderId="1699" xfId="0" applyNumberFormat="1" applyFont="1" applyFill="1" applyBorder="1" applyAlignment="1">
      <alignment horizontal="left" vertical="center" wrapText="1"/>
    </xf>
    <xf numFmtId="1" fontId="32" fillId="14" borderId="1699" xfId="0" applyNumberFormat="1" applyFont="1" applyFill="1" applyBorder="1" applyAlignment="1">
      <alignment horizontal="left" wrapText="1"/>
    </xf>
    <xf numFmtId="1" fontId="32" fillId="5" borderId="825" xfId="0" applyNumberFormat="1" applyFont="1" applyFill="1" applyBorder="1" applyAlignment="1" applyProtection="1">
      <alignment horizontal="left"/>
      <protection locked="0"/>
    </xf>
    <xf numFmtId="1" fontId="32" fillId="5" borderId="977" xfId="0" applyNumberFormat="1" applyFont="1" applyFill="1" applyBorder="1" applyAlignment="1" applyProtection="1">
      <alignment horizontal="left"/>
      <protection locked="0"/>
    </xf>
    <xf numFmtId="1" fontId="32" fillId="14" borderId="1445" xfId="0" applyNumberFormat="1" applyFont="1" applyFill="1" applyBorder="1" applyAlignment="1">
      <alignment horizontal="left"/>
    </xf>
    <xf numFmtId="1" fontId="32" fillId="14" borderId="517" xfId="0" applyNumberFormat="1" applyFont="1" applyFill="1" applyBorder="1" applyAlignment="1">
      <alignment horizontal="left"/>
    </xf>
    <xf numFmtId="1" fontId="32" fillId="0" borderId="517" xfId="0" applyNumberFormat="1" applyFont="1" applyBorder="1" applyAlignment="1">
      <alignment horizontal="left" vertical="center"/>
    </xf>
    <xf numFmtId="1" fontId="32" fillId="5" borderId="1874" xfId="0" applyNumberFormat="1" applyFont="1" applyFill="1" applyBorder="1" applyAlignment="1" applyProtection="1">
      <alignment horizontal="left"/>
      <protection locked="0"/>
    </xf>
    <xf numFmtId="1" fontId="32" fillId="5" borderId="1726" xfId="0" applyNumberFormat="1" applyFont="1" applyFill="1" applyBorder="1" applyAlignment="1" applyProtection="1">
      <alignment horizontal="left"/>
      <protection locked="0"/>
    </xf>
    <xf numFmtId="1" fontId="32" fillId="5" borderId="1876" xfId="0" applyNumberFormat="1" applyFont="1" applyFill="1" applyBorder="1" applyAlignment="1" applyProtection="1">
      <alignment horizontal="left"/>
      <protection locked="0"/>
    </xf>
    <xf numFmtId="1" fontId="32" fillId="5" borderId="1448" xfId="0" applyNumberFormat="1" applyFont="1" applyFill="1" applyBorder="1" applyAlignment="1" applyProtection="1">
      <alignment horizontal="left"/>
      <protection locked="0"/>
    </xf>
    <xf numFmtId="1" fontId="32" fillId="5" borderId="1875" xfId="0" applyNumberFormat="1" applyFont="1" applyFill="1" applyBorder="1" applyAlignment="1" applyProtection="1">
      <alignment horizontal="left"/>
      <protection locked="0"/>
    </xf>
    <xf numFmtId="1" fontId="32" fillId="5" borderId="2161" xfId="0" applyNumberFormat="1" applyFont="1" applyFill="1" applyBorder="1" applyAlignment="1" applyProtection="1">
      <alignment horizontal="left"/>
      <protection locked="0"/>
    </xf>
    <xf numFmtId="1" fontId="32" fillId="5" borderId="1727" xfId="0" applyNumberFormat="1" applyFont="1" applyFill="1" applyBorder="1" applyAlignment="1" applyProtection="1">
      <alignment horizontal="left"/>
      <protection locked="0"/>
    </xf>
    <xf numFmtId="1" fontId="32" fillId="14" borderId="1864" xfId="0" applyNumberFormat="1" applyFont="1" applyFill="1" applyBorder="1" applyAlignment="1">
      <alignment horizontal="left"/>
    </xf>
    <xf numFmtId="1" fontId="32" fillId="5" borderId="1866" xfId="0" applyNumberFormat="1" applyFont="1" applyFill="1" applyBorder="1" applyAlignment="1" applyProtection="1">
      <alignment horizontal="left"/>
      <protection locked="0"/>
    </xf>
    <xf numFmtId="1" fontId="32" fillId="5" borderId="1687" xfId="0" applyNumberFormat="1" applyFont="1" applyFill="1" applyBorder="1" applyAlignment="1" applyProtection="1">
      <alignment horizontal="left"/>
      <protection locked="0"/>
    </xf>
    <xf numFmtId="1" fontId="32" fillId="5" borderId="1864" xfId="0" applyNumberFormat="1" applyFont="1" applyFill="1" applyBorder="1" applyAlignment="1" applyProtection="1">
      <alignment horizontal="left"/>
      <protection locked="0"/>
    </xf>
    <xf numFmtId="1" fontId="32" fillId="5" borderId="1636" xfId="0" applyNumberFormat="1" applyFont="1" applyFill="1" applyBorder="1" applyAlignment="1" applyProtection="1">
      <alignment horizontal="left"/>
      <protection locked="0"/>
    </xf>
    <xf numFmtId="1" fontId="32" fillId="5" borderId="1686" xfId="0" applyNumberFormat="1" applyFont="1" applyFill="1" applyBorder="1" applyAlignment="1" applyProtection="1">
      <alignment horizontal="left"/>
      <protection locked="0"/>
    </xf>
    <xf numFmtId="1" fontId="32" fillId="5" borderId="820" xfId="0" applyNumberFormat="1" applyFont="1" applyFill="1" applyBorder="1" applyAlignment="1" applyProtection="1">
      <alignment horizontal="left"/>
      <protection locked="0"/>
    </xf>
    <xf numFmtId="1" fontId="32" fillId="5" borderId="999" xfId="0" applyNumberFormat="1" applyFont="1" applyFill="1" applyBorder="1" applyAlignment="1" applyProtection="1">
      <alignment horizontal="left"/>
      <protection locked="0"/>
    </xf>
    <xf numFmtId="1" fontId="32" fillId="0" borderId="71" xfId="0" applyNumberFormat="1" applyFont="1" applyBorder="1" applyAlignment="1">
      <alignment horizontal="left" vertical="center"/>
    </xf>
    <xf numFmtId="1" fontId="32" fillId="5" borderId="1873" xfId="0" applyNumberFormat="1" applyFont="1" applyFill="1" applyBorder="1" applyAlignment="1" applyProtection="1">
      <alignment horizontal="left"/>
      <protection locked="0"/>
    </xf>
    <xf numFmtId="0" fontId="88" fillId="0" borderId="0" xfId="0" applyFont="1" applyAlignment="1">
      <alignment horizontal="center"/>
    </xf>
    <xf numFmtId="0" fontId="88" fillId="14" borderId="0" xfId="0" applyFont="1" applyFill="1" applyAlignment="1">
      <alignment horizontal="center"/>
    </xf>
    <xf numFmtId="1" fontId="6" fillId="12" borderId="2460" xfId="0" applyNumberFormat="1" applyFont="1" applyFill="1" applyBorder="1" applyProtection="1">
      <protection locked="0"/>
    </xf>
    <xf numFmtId="1" fontId="6" fillId="12" borderId="2485" xfId="0" applyNumberFormat="1" applyFont="1" applyFill="1" applyBorder="1" applyProtection="1">
      <protection locked="0"/>
    </xf>
    <xf numFmtId="1" fontId="6" fillId="12" borderId="2479" xfId="0" applyNumberFormat="1" applyFont="1" applyFill="1" applyBorder="1" applyProtection="1">
      <protection locked="0"/>
    </xf>
    <xf numFmtId="1" fontId="49" fillId="0" borderId="2476" xfId="0" applyNumberFormat="1" applyFont="1" applyBorder="1" applyAlignment="1">
      <alignment wrapText="1"/>
    </xf>
    <xf numFmtId="1" fontId="49" fillId="12" borderId="517" xfId="0" applyNumberFormat="1" applyFont="1" applyFill="1" applyBorder="1" applyAlignment="1">
      <alignment vertical="center" wrapText="1"/>
    </xf>
    <xf numFmtId="1" fontId="6" fillId="12" borderId="24" xfId="0" applyNumberFormat="1" applyFont="1" applyFill="1" applyBorder="1" applyProtection="1">
      <protection locked="0"/>
    </xf>
    <xf numFmtId="1" fontId="49" fillId="0" borderId="2469" xfId="0" applyNumberFormat="1" applyFont="1" applyBorder="1" applyAlignment="1">
      <alignment horizontal="left" vertical="center" wrapText="1"/>
    </xf>
    <xf numFmtId="1" fontId="6" fillId="0" borderId="504" xfId="0" applyNumberFormat="1" applyFont="1" applyBorder="1" applyAlignment="1" applyProtection="1">
      <alignment horizontal="left" vertical="center" wrapText="1"/>
      <protection locked="0"/>
    </xf>
    <xf numFmtId="1" fontId="6" fillId="0" borderId="339" xfId="0" applyNumberFormat="1" applyFont="1" applyBorder="1" applyAlignment="1" applyProtection="1">
      <alignment horizontal="left" vertical="center" wrapText="1"/>
      <protection locked="0"/>
    </xf>
    <xf numFmtId="1" fontId="6" fillId="0" borderId="506" xfId="0" applyNumberFormat="1" applyFont="1" applyBorder="1" applyAlignment="1" applyProtection="1">
      <alignment horizontal="left" vertical="center" wrapText="1"/>
      <protection locked="0"/>
    </xf>
    <xf numFmtId="1" fontId="6" fillId="0" borderId="24" xfId="0" applyNumberFormat="1" applyFont="1" applyBorder="1" applyAlignment="1" applyProtection="1">
      <alignment horizontal="left" vertical="center" wrapText="1"/>
      <protection locked="0"/>
    </xf>
    <xf numFmtId="1" fontId="6" fillId="0" borderId="544" xfId="0" applyNumberFormat="1" applyFont="1" applyBorder="1" applyAlignment="1" applyProtection="1">
      <alignment horizontal="left" vertical="center" wrapText="1"/>
      <protection locked="0"/>
    </xf>
    <xf numFmtId="1" fontId="6" fillId="0" borderId="1856" xfId="0" applyNumberFormat="1" applyFont="1" applyBorder="1" applyAlignment="1" applyProtection="1">
      <alignment horizontal="right" vertical="center" wrapText="1"/>
      <protection locked="0"/>
    </xf>
    <xf numFmtId="1" fontId="6" fillId="0" borderId="1867" xfId="0" applyNumberFormat="1" applyFont="1" applyBorder="1" applyAlignment="1" applyProtection="1">
      <alignment horizontal="right" vertical="center" wrapText="1"/>
      <protection locked="0"/>
    </xf>
    <xf numFmtId="1" fontId="6" fillId="0" borderId="1868" xfId="0" applyNumberFormat="1" applyFont="1" applyBorder="1" applyAlignment="1" applyProtection="1">
      <alignment horizontal="right" vertical="center" wrapText="1"/>
      <protection locked="0"/>
    </xf>
    <xf numFmtId="1" fontId="49" fillId="14" borderId="2466" xfId="25" applyNumberFormat="1" applyFont="1" applyFill="1" applyBorder="1" applyAlignment="1">
      <alignment horizontal="center" vertical="center" wrapText="1"/>
    </xf>
    <xf numFmtId="1" fontId="6" fillId="12" borderId="332" xfId="0" applyNumberFormat="1" applyFont="1" applyFill="1" applyBorder="1" applyAlignment="1">
      <alignment wrapText="1"/>
    </xf>
    <xf numFmtId="1" fontId="6" fillId="12" borderId="2188" xfId="0" applyNumberFormat="1" applyFont="1" applyFill="1" applyBorder="1" applyAlignment="1">
      <alignment wrapText="1"/>
    </xf>
    <xf numFmtId="1" fontId="6" fillId="12" borderId="823" xfId="0" applyNumberFormat="1" applyFont="1" applyFill="1" applyBorder="1" applyAlignment="1">
      <alignment wrapText="1"/>
    </xf>
    <xf numFmtId="1" fontId="6" fillId="12" borderId="1519" xfId="0" applyNumberFormat="1" applyFont="1" applyFill="1" applyBorder="1" applyAlignment="1">
      <alignment wrapText="1"/>
    </xf>
    <xf numFmtId="1" fontId="6" fillId="12" borderId="544" xfId="0" applyNumberFormat="1" applyFont="1" applyFill="1" applyBorder="1"/>
    <xf numFmtId="1" fontId="6" fillId="12" borderId="504" xfId="0" applyNumberFormat="1" applyFont="1" applyFill="1" applyBorder="1"/>
    <xf numFmtId="0" fontId="85" fillId="14" borderId="0" xfId="0" applyFont="1" applyFill="1" applyAlignment="1">
      <alignment horizontal="left"/>
    </xf>
    <xf numFmtId="1" fontId="49" fillId="0" borderId="1760" xfId="0" applyNumberFormat="1" applyFont="1" applyBorder="1" applyAlignment="1">
      <alignment horizontal="center" vertical="center" wrapText="1"/>
    </xf>
    <xf numFmtId="1" fontId="49" fillId="0" borderId="1683" xfId="0" applyNumberFormat="1" applyFont="1" applyBorder="1" applyAlignment="1">
      <alignment horizontal="left" vertical="center"/>
    </xf>
    <xf numFmtId="1" fontId="49" fillId="3" borderId="1092" xfId="0" applyNumberFormat="1" applyFont="1" applyFill="1" applyBorder="1"/>
    <xf numFmtId="1" fontId="49" fillId="0" borderId="2469" xfId="0" applyNumberFormat="1" applyFont="1" applyBorder="1" applyAlignment="1">
      <alignment horizontal="center" vertical="center" wrapText="1"/>
    </xf>
    <xf numFmtId="1" fontId="51" fillId="0" borderId="0" xfId="0" applyNumberFormat="1" applyFont="1" applyAlignment="1">
      <alignment vertical="center"/>
    </xf>
    <xf numFmtId="1" fontId="49" fillId="31" borderId="1760" xfId="0" applyNumberFormat="1" applyFont="1" applyFill="1" applyBorder="1" applyAlignment="1">
      <alignment horizontal="center" vertical="center" wrapText="1"/>
    </xf>
    <xf numFmtId="1" fontId="49" fillId="31" borderId="1797" xfId="0" applyNumberFormat="1" applyFont="1" applyFill="1" applyBorder="1" applyAlignment="1">
      <alignment vertical="center" wrapText="1"/>
    </xf>
    <xf numFmtId="1" fontId="49" fillId="31" borderId="1832" xfId="0" applyNumberFormat="1" applyFont="1" applyFill="1" applyBorder="1"/>
    <xf numFmtId="1" fontId="49" fillId="31" borderId="1832" xfId="0" applyNumberFormat="1" applyFont="1" applyFill="1" applyBorder="1" applyAlignment="1">
      <alignment horizontal="right" wrapText="1"/>
    </xf>
    <xf numFmtId="1" fontId="49" fillId="31" borderId="1832" xfId="0" applyNumberFormat="1" applyFont="1" applyFill="1" applyBorder="1" applyProtection="1">
      <protection locked="0"/>
    </xf>
    <xf numFmtId="1" fontId="49" fillId="31" borderId="2438" xfId="0" applyNumberFormat="1" applyFont="1" applyFill="1" applyBorder="1" applyAlignment="1">
      <alignment horizontal="right" wrapText="1"/>
    </xf>
    <xf numFmtId="1" fontId="49" fillId="31" borderId="1523" xfId="0" applyNumberFormat="1" applyFont="1" applyFill="1" applyBorder="1" applyAlignment="1">
      <alignment vertical="center" wrapText="1"/>
    </xf>
    <xf numFmtId="1" fontId="49" fillId="31" borderId="1699" xfId="0" applyNumberFormat="1" applyFont="1" applyFill="1" applyBorder="1"/>
    <xf numFmtId="1" fontId="49" fillId="31" borderId="1699" xfId="0" applyNumberFormat="1" applyFont="1" applyFill="1" applyBorder="1" applyProtection="1">
      <protection locked="0"/>
    </xf>
    <xf numFmtId="1" fontId="49" fillId="31" borderId="435" xfId="0" applyNumberFormat="1" applyFont="1" applyFill="1" applyBorder="1" applyAlignment="1">
      <alignment horizontal="right" wrapText="1"/>
    </xf>
    <xf numFmtId="1" fontId="49" fillId="31" borderId="2277" xfId="0" applyNumberFormat="1" applyFont="1" applyFill="1" applyBorder="1" applyAlignment="1">
      <alignment horizontal="right" wrapText="1"/>
    </xf>
    <xf numFmtId="1" fontId="49" fillId="31" borderId="1863" xfId="0" applyNumberFormat="1" applyFont="1" applyFill="1" applyBorder="1" applyAlignment="1">
      <alignment horizontal="right" wrapText="1"/>
    </xf>
    <xf numFmtId="1" fontId="49" fillId="31" borderId="1873" xfId="0" applyNumberFormat="1" applyFont="1" applyFill="1" applyBorder="1" applyAlignment="1">
      <alignment horizontal="right" wrapText="1"/>
    </xf>
    <xf numFmtId="1" fontId="49" fillId="31" borderId="1864" xfId="0" applyNumberFormat="1" applyFont="1" applyFill="1" applyBorder="1" applyAlignment="1">
      <alignment horizontal="right" wrapText="1"/>
    </xf>
    <xf numFmtId="1" fontId="91" fillId="31" borderId="1813" xfId="0" applyNumberFormat="1" applyFont="1" applyFill="1" applyBorder="1" applyAlignment="1">
      <alignment horizontal="center" vertical="center" wrapText="1"/>
    </xf>
    <xf numFmtId="1" fontId="49" fillId="31" borderId="1760" xfId="0" applyNumberFormat="1" applyFont="1" applyFill="1" applyBorder="1"/>
    <xf numFmtId="1" fontId="62" fillId="0" borderId="811" xfId="0" applyNumberFormat="1" applyFont="1" applyBorder="1" applyAlignment="1">
      <alignment vertical="center"/>
    </xf>
    <xf numFmtId="1" fontId="62" fillId="12" borderId="811" xfId="0" applyNumberFormat="1" applyFont="1" applyFill="1" applyBorder="1" applyAlignment="1">
      <alignment vertical="center"/>
    </xf>
    <xf numFmtId="1" fontId="51" fillId="12" borderId="0" xfId="0" applyNumberFormat="1" applyFont="1" applyFill="1"/>
    <xf numFmtId="0" fontId="50" fillId="12" borderId="0" xfId="0" applyFont="1" applyFill="1"/>
    <xf numFmtId="1" fontId="49" fillId="12" borderId="0" xfId="0" applyNumberFormat="1" applyFont="1" applyFill="1"/>
    <xf numFmtId="1" fontId="52" fillId="12" borderId="0" xfId="0" applyNumberFormat="1" applyFont="1" applyFill="1"/>
    <xf numFmtId="1" fontId="49" fillId="12" borderId="0" xfId="0" applyNumberFormat="1" applyFont="1" applyFill="1" applyAlignment="1">
      <alignment horizontal="center"/>
    </xf>
    <xf numFmtId="1" fontId="49" fillId="12" borderId="0" xfId="0" applyNumberFormat="1" applyFont="1" applyFill="1" applyAlignment="1">
      <alignment horizontal="right"/>
    </xf>
    <xf numFmtId="1" fontId="49" fillId="12" borderId="517" xfId="0" applyNumberFormat="1" applyFont="1" applyFill="1" applyBorder="1" applyAlignment="1">
      <alignment horizontal="center" vertical="center" wrapText="1"/>
    </xf>
    <xf numFmtId="1" fontId="49" fillId="12" borderId="1701" xfId="0" applyNumberFormat="1" applyFont="1" applyFill="1" applyBorder="1" applyAlignment="1">
      <alignment horizontal="center" vertical="center" wrapText="1"/>
    </xf>
    <xf numFmtId="1" fontId="49" fillId="12" borderId="1723" xfId="0" applyNumberFormat="1" applyFont="1" applyFill="1" applyBorder="1" applyAlignment="1">
      <alignment horizontal="center" vertical="center" wrapText="1"/>
    </xf>
    <xf numFmtId="1" fontId="49" fillId="12" borderId="1815" xfId="0" applyNumberFormat="1" applyFont="1" applyFill="1" applyBorder="1" applyAlignment="1">
      <alignment horizontal="center" vertical="center" wrapText="1"/>
    </xf>
    <xf numFmtId="1" fontId="49" fillId="12" borderId="114" xfId="0" applyNumberFormat="1" applyFont="1" applyFill="1" applyBorder="1" applyAlignment="1">
      <alignment horizontal="center" vertical="center" wrapText="1"/>
    </xf>
    <xf numFmtId="1" fontId="49" fillId="12" borderId="1813" xfId="0" applyNumberFormat="1" applyFont="1" applyFill="1" applyBorder="1" applyAlignment="1">
      <alignment vertical="center" wrapText="1"/>
    </xf>
    <xf numFmtId="1" fontId="49" fillId="12" borderId="1815" xfId="0" applyNumberFormat="1" applyFont="1" applyFill="1" applyBorder="1" applyAlignment="1">
      <alignment horizontal="right" vertical="center" wrapText="1"/>
    </xf>
    <xf numFmtId="1" fontId="49" fillId="12" borderId="1765" xfId="0" applyNumberFormat="1" applyFont="1" applyFill="1" applyBorder="1" applyAlignment="1">
      <alignment horizontal="right" vertical="center" wrapText="1"/>
    </xf>
    <xf numFmtId="1" fontId="49" fillId="12" borderId="1691" xfId="0" applyNumberFormat="1" applyFont="1" applyFill="1" applyBorder="1" applyAlignment="1">
      <alignment horizontal="right" vertical="center"/>
    </xf>
    <xf numFmtId="1" fontId="49" fillId="12" borderId="1815" xfId="0" applyNumberFormat="1" applyFont="1" applyFill="1" applyBorder="1" applyAlignment="1" applyProtection="1">
      <alignment vertical="center"/>
      <protection locked="0"/>
    </xf>
    <xf numFmtId="1" fontId="49" fillId="12" borderId="1764" xfId="0" applyNumberFormat="1" applyFont="1" applyFill="1" applyBorder="1" applyAlignment="1" applyProtection="1">
      <alignment vertical="center"/>
      <protection locked="0"/>
    </xf>
    <xf numFmtId="1" fontId="49" fillId="12" borderId="1799" xfId="0" applyNumberFormat="1" applyFont="1" applyFill="1" applyBorder="1" applyAlignment="1" applyProtection="1">
      <alignment vertical="center"/>
      <protection locked="0"/>
    </xf>
    <xf numFmtId="1" fontId="49" fillId="12" borderId="1833" xfId="0" applyNumberFormat="1" applyFont="1" applyFill="1" applyBorder="1" applyProtection="1">
      <protection locked="0"/>
    </xf>
    <xf numFmtId="1" fontId="49" fillId="12" borderId="1760" xfId="0" applyNumberFormat="1" applyFont="1" applyFill="1" applyBorder="1" applyProtection="1">
      <protection locked="0"/>
    </xf>
    <xf numFmtId="1" fontId="51" fillId="36" borderId="1771" xfId="6" applyNumberFormat="1" applyFont="1" applyFill="1" applyBorder="1"/>
    <xf numFmtId="1" fontId="103" fillId="36" borderId="1771" xfId="6" applyNumberFormat="1" applyFont="1" applyFill="1" applyBorder="1"/>
    <xf numFmtId="1" fontId="107" fillId="0" borderId="0" xfId="6" applyNumberFormat="1" applyFont="1" applyAlignment="1">
      <alignment wrapText="1"/>
    </xf>
    <xf numFmtId="1" fontId="105" fillId="36" borderId="0" xfId="6" applyNumberFormat="1" applyFont="1" applyFill="1"/>
    <xf numFmtId="1" fontId="53" fillId="0" borderId="0" xfId="6" applyNumberFormat="1" applyFont="1"/>
    <xf numFmtId="1" fontId="49" fillId="0" borderId="1894" xfId="6" applyNumberFormat="1" applyFont="1" applyBorder="1" applyAlignment="1">
      <alignment horizontal="center" vertical="center" wrapText="1"/>
    </xf>
    <xf numFmtId="1" fontId="49" fillId="0" borderId="1895" xfId="6" applyNumberFormat="1" applyFont="1" applyBorder="1" applyAlignment="1">
      <alignment horizontal="center" vertical="center" wrapText="1"/>
    </xf>
    <xf numFmtId="1" fontId="49" fillId="0" borderId="1915" xfId="6" applyNumberFormat="1" applyFont="1" applyBorder="1" applyAlignment="1">
      <alignment horizontal="center" vertical="center" wrapText="1"/>
    </xf>
    <xf numFmtId="1" fontId="49" fillId="0" borderId="1818" xfId="6" applyNumberFormat="1" applyFont="1" applyBorder="1" applyAlignment="1">
      <alignment horizontal="center" vertical="center" wrapText="1"/>
    </xf>
    <xf numFmtId="1" fontId="49" fillId="0" borderId="1776" xfId="6" applyNumberFormat="1" applyFont="1" applyBorder="1" applyAlignment="1">
      <alignment horizontal="center" vertical="center" wrapText="1"/>
    </xf>
    <xf numFmtId="1" fontId="49" fillId="0" borderId="1783" xfId="6" applyNumberFormat="1" applyFont="1" applyBorder="1" applyAlignment="1">
      <alignment vertical="center"/>
    </xf>
    <xf numFmtId="1" fontId="49" fillId="0" borderId="1812" xfId="6" applyNumberFormat="1" applyFont="1" applyBorder="1"/>
    <xf numFmtId="1" fontId="49" fillId="32" borderId="1819" xfId="6" applyNumberFormat="1" applyFont="1" applyFill="1" applyBorder="1" applyProtection="1">
      <protection locked="0"/>
    </xf>
    <xf numFmtId="1" fontId="49" fillId="37" borderId="1885" xfId="6" applyNumberFormat="1" applyFont="1" applyFill="1" applyBorder="1"/>
    <xf numFmtId="1" fontId="49" fillId="37" borderId="1878" xfId="6" applyNumberFormat="1" applyFont="1" applyFill="1" applyBorder="1"/>
    <xf numFmtId="1" fontId="49" fillId="32" borderId="1911" xfId="6" applyNumberFormat="1" applyFont="1" applyFill="1" applyBorder="1" applyProtection="1">
      <protection locked="0"/>
    </xf>
    <xf numFmtId="1" fontId="49" fillId="32" borderId="1897" xfId="6" applyNumberFormat="1" applyFont="1" applyFill="1" applyBorder="1" applyProtection="1">
      <protection locked="0"/>
    </xf>
    <xf numFmtId="1" fontId="49" fillId="0" borderId="1779" xfId="6" applyNumberFormat="1" applyFont="1" applyBorder="1" applyAlignment="1">
      <alignment vertical="center"/>
    </xf>
    <xf numFmtId="1" fontId="49" fillId="37" borderId="1791" xfId="6" applyNumberFormat="1" applyFont="1" applyFill="1" applyBorder="1"/>
    <xf numFmtId="1" fontId="49" fillId="32" borderId="1887" xfId="6" applyNumberFormat="1" applyFont="1" applyFill="1" applyBorder="1" applyProtection="1">
      <protection locked="0"/>
    </xf>
    <xf numFmtId="1" fontId="49" fillId="37" borderId="1887" xfId="6" applyNumberFormat="1" applyFont="1" applyFill="1" applyBorder="1"/>
    <xf numFmtId="1" fontId="49" fillId="37" borderId="1809" xfId="6" applyNumberFormat="1" applyFont="1" applyFill="1" applyBorder="1"/>
    <xf numFmtId="1" fontId="49" fillId="32" borderId="1804" xfId="6" applyNumberFormat="1" applyFont="1" applyFill="1" applyBorder="1" applyProtection="1">
      <protection locked="0"/>
    </xf>
    <xf numFmtId="1" fontId="49" fillId="32" borderId="1899" xfId="6" applyNumberFormat="1" applyFont="1" applyFill="1" applyBorder="1" applyProtection="1">
      <protection locked="0"/>
    </xf>
    <xf numFmtId="1" fontId="49" fillId="0" borderId="1812" xfId="6" applyNumberFormat="1" applyFont="1" applyBorder="1" applyAlignment="1">
      <alignment vertical="center" wrapText="1"/>
    </xf>
    <xf numFmtId="1" fontId="49" fillId="0" borderId="1812" xfId="6" applyNumberFormat="1" applyFont="1" applyBorder="1" applyAlignment="1">
      <alignment vertical="center"/>
    </xf>
    <xf numFmtId="1" fontId="49" fillId="32" borderId="1912" xfId="6" applyNumberFormat="1" applyFont="1" applyFill="1" applyBorder="1" applyProtection="1">
      <protection locked="0"/>
    </xf>
    <xf numFmtId="1" fontId="49" fillId="32" borderId="1900" xfId="6" applyNumberFormat="1" applyFont="1" applyFill="1" applyBorder="1" applyProtection="1">
      <protection locked="0"/>
    </xf>
    <xf numFmtId="1" fontId="49" fillId="0" borderId="1788" xfId="6" applyNumberFormat="1" applyFont="1" applyBorder="1"/>
    <xf numFmtId="1" fontId="49" fillId="37" borderId="1792" xfId="6" applyNumberFormat="1" applyFont="1" applyFill="1" applyBorder="1"/>
    <xf numFmtId="1" fontId="49" fillId="37" borderId="1901" xfId="6" applyNumberFormat="1" applyFont="1" applyFill="1" applyBorder="1"/>
    <xf numFmtId="1" fontId="49" fillId="32" borderId="1901" xfId="6" applyNumberFormat="1" applyFont="1" applyFill="1" applyBorder="1" applyProtection="1">
      <protection locked="0"/>
    </xf>
    <xf numFmtId="1" fontId="49" fillId="32" borderId="1810" xfId="6" applyNumberFormat="1" applyFont="1" applyFill="1" applyBorder="1" applyProtection="1">
      <protection locked="0"/>
    </xf>
    <xf numFmtId="1" fontId="49" fillId="32" borderId="1805" xfId="6" applyNumberFormat="1" applyFont="1" applyFill="1" applyBorder="1" applyProtection="1">
      <protection locked="0"/>
    </xf>
    <xf numFmtId="1" fontId="49" fillId="32" borderId="1902" xfId="6" applyNumberFormat="1" applyFont="1" applyFill="1" applyBorder="1" applyProtection="1">
      <protection locked="0"/>
    </xf>
    <xf numFmtId="1" fontId="49" fillId="0" borderId="1794" xfId="6" applyNumberFormat="1" applyFont="1" applyBorder="1"/>
    <xf numFmtId="1" fontId="49" fillId="32" borderId="1793" xfId="6" applyNumberFormat="1" applyFont="1" applyFill="1" applyBorder="1" applyProtection="1">
      <protection locked="0"/>
    </xf>
    <xf numFmtId="1" fontId="49" fillId="37" borderId="1903" xfId="6" applyNumberFormat="1" applyFont="1" applyFill="1" applyBorder="1"/>
    <xf numFmtId="1" fontId="49" fillId="37" borderId="1811" xfId="6" applyNumberFormat="1" applyFont="1" applyFill="1" applyBorder="1"/>
    <xf numFmtId="1" fontId="49" fillId="32" borderId="1913" xfId="6" applyNumberFormat="1" applyFont="1" applyFill="1" applyBorder="1" applyProtection="1">
      <protection locked="0"/>
    </xf>
    <xf numFmtId="1" fontId="49" fillId="32" borderId="1905" xfId="6" applyNumberFormat="1" applyFont="1" applyFill="1" applyBorder="1" applyProtection="1">
      <protection locked="0"/>
    </xf>
    <xf numFmtId="1" fontId="49" fillId="32" borderId="1904" xfId="6" applyNumberFormat="1" applyFont="1" applyFill="1" applyBorder="1" applyProtection="1">
      <protection locked="0"/>
    </xf>
    <xf numFmtId="1" fontId="49" fillId="32" borderId="1916" xfId="6" applyNumberFormat="1" applyFont="1" applyFill="1" applyBorder="1" applyProtection="1">
      <protection locked="0"/>
    </xf>
    <xf numFmtId="1" fontId="49" fillId="0" borderId="1765" xfId="0" applyNumberFormat="1" applyFont="1" applyBorder="1" applyAlignment="1">
      <alignment horizontal="center" vertical="center" wrapText="1"/>
    </xf>
    <xf numFmtId="1" fontId="49" fillId="0" borderId="1799" xfId="0" applyNumberFormat="1" applyFont="1" applyBorder="1" applyAlignment="1">
      <alignment horizontal="center" vertical="center" wrapText="1"/>
    </xf>
    <xf numFmtId="1" fontId="49" fillId="0" borderId="1833" xfId="0" applyNumberFormat="1" applyFont="1" applyBorder="1" applyAlignment="1">
      <alignment horizontal="center" vertical="center" wrapText="1"/>
    </xf>
    <xf numFmtId="1" fontId="49" fillId="5" borderId="1594" xfId="0" applyNumberFormat="1" applyFont="1" applyFill="1" applyBorder="1" applyProtection="1">
      <protection locked="0"/>
    </xf>
    <xf numFmtId="1" fontId="49" fillId="0" borderId="1763" xfId="0" applyNumberFormat="1" applyFont="1" applyBorder="1" applyAlignment="1">
      <alignment vertical="center"/>
    </xf>
    <xf numFmtId="1" fontId="49" fillId="5" borderId="1842" xfId="0" applyNumberFormat="1" applyFont="1" applyFill="1" applyBorder="1" applyProtection="1">
      <protection locked="0"/>
    </xf>
    <xf numFmtId="1" fontId="49" fillId="0" borderId="1603" xfId="0" applyNumberFormat="1" applyFont="1" applyBorder="1"/>
    <xf numFmtId="1" fontId="49" fillId="5" borderId="1604" xfId="0" applyNumberFormat="1" applyFont="1" applyFill="1" applyBorder="1" applyProtection="1">
      <protection locked="0"/>
    </xf>
    <xf numFmtId="1" fontId="49" fillId="0" borderId="1761" xfId="0" applyNumberFormat="1" applyFont="1" applyBorder="1"/>
    <xf numFmtId="1" fontId="49" fillId="5" borderId="1843" xfId="0" applyNumberFormat="1" applyFont="1" applyFill="1" applyBorder="1" applyProtection="1">
      <protection locked="0"/>
    </xf>
    <xf numFmtId="1" fontId="49" fillId="0" borderId="1616" xfId="0" applyNumberFormat="1" applyFont="1" applyBorder="1"/>
    <xf numFmtId="1" fontId="49" fillId="5" borderId="1674" xfId="0" applyNumberFormat="1" applyFont="1" applyFill="1" applyBorder="1" applyProtection="1">
      <protection locked="0"/>
    </xf>
    <xf numFmtId="1" fontId="49" fillId="5" borderId="790" xfId="0" applyNumberFormat="1" applyFont="1" applyFill="1" applyBorder="1" applyProtection="1">
      <protection locked="0"/>
    </xf>
    <xf numFmtId="1" fontId="49" fillId="5" borderId="1090" xfId="0" applyNumberFormat="1" applyFont="1" applyFill="1" applyBorder="1" applyProtection="1">
      <protection locked="0"/>
    </xf>
    <xf numFmtId="1" fontId="49" fillId="5" borderId="1154" xfId="0" applyNumberFormat="1" applyFont="1" applyFill="1" applyBorder="1" applyProtection="1">
      <protection locked="0"/>
    </xf>
    <xf numFmtId="1" fontId="49" fillId="5" borderId="1725" xfId="0" applyNumberFormat="1" applyFont="1" applyFill="1" applyBorder="1" applyProtection="1">
      <protection locked="0"/>
    </xf>
    <xf numFmtId="1" fontId="49" fillId="5" borderId="1471" xfId="0" applyNumberFormat="1" applyFont="1" applyFill="1" applyBorder="1" applyProtection="1">
      <protection locked="0"/>
    </xf>
    <xf numFmtId="1" fontId="49" fillId="5" borderId="1727" xfId="0" applyNumberFormat="1" applyFont="1" applyFill="1" applyBorder="1" applyProtection="1">
      <protection locked="0"/>
    </xf>
    <xf numFmtId="1" fontId="49" fillId="0" borderId="1155" xfId="0" applyNumberFormat="1" applyFont="1" applyBorder="1" applyAlignment="1">
      <alignment horizontal="left" vertical="center"/>
    </xf>
    <xf numFmtId="1" fontId="49" fillId="0" borderId="1641" xfId="0" applyNumberFormat="1" applyFont="1" applyBorder="1" applyAlignment="1">
      <alignment horizontal="left" vertical="center"/>
    </xf>
    <xf numFmtId="1" fontId="49" fillId="0" borderId="1635" xfId="0" applyNumberFormat="1" applyFont="1" applyBorder="1" applyAlignment="1">
      <alignment vertical="center" wrapText="1"/>
    </xf>
    <xf numFmtId="1" fontId="49" fillId="5" borderId="1121" xfId="0" applyNumberFormat="1" applyFont="1" applyFill="1" applyBorder="1" applyProtection="1">
      <protection locked="0"/>
    </xf>
    <xf numFmtId="1" fontId="49" fillId="0" borderId="1763" xfId="0" applyNumberFormat="1" applyFont="1" applyBorder="1" applyAlignment="1">
      <alignment vertical="center" wrapText="1"/>
    </xf>
    <xf numFmtId="1" fontId="49" fillId="0" borderId="1683" xfId="0" applyNumberFormat="1" applyFont="1" applyBorder="1" applyAlignment="1">
      <alignment vertical="center" wrapText="1"/>
    </xf>
    <xf numFmtId="1" fontId="49" fillId="5" borderId="1815" xfId="0" applyNumberFormat="1" applyFont="1" applyFill="1" applyBorder="1" applyProtection="1">
      <protection locked="0"/>
    </xf>
    <xf numFmtId="1" fontId="49" fillId="5" borderId="1765" xfId="0" applyNumberFormat="1" applyFont="1" applyFill="1" applyBorder="1" applyProtection="1">
      <protection locked="0"/>
    </xf>
    <xf numFmtId="1" fontId="49" fillId="5" borderId="1844" xfId="0" applyNumberFormat="1" applyFont="1" applyFill="1" applyBorder="1" applyProtection="1">
      <protection locked="0"/>
    </xf>
    <xf numFmtId="1" fontId="49" fillId="0" borderId="1760" xfId="0" applyNumberFormat="1" applyFont="1" applyBorder="1" applyAlignment="1">
      <alignment horizontal="left" vertical="center"/>
    </xf>
    <xf numFmtId="1" fontId="49" fillId="0" borderId="1721" xfId="0" applyNumberFormat="1" applyFont="1" applyBorder="1" applyAlignment="1">
      <alignment horizontal="left" wrapText="1"/>
    </xf>
    <xf numFmtId="1" fontId="49" fillId="0" borderId="1690" xfId="0" applyNumberFormat="1" applyFont="1" applyBorder="1" applyAlignment="1">
      <alignment horizontal="left" wrapText="1"/>
    </xf>
    <xf numFmtId="1" fontId="49" fillId="0" borderId="1637" xfId="0" applyNumberFormat="1" applyFont="1" applyBorder="1" applyAlignment="1">
      <alignment horizontal="left" wrapText="1"/>
    </xf>
    <xf numFmtId="1" fontId="49" fillId="5" borderId="1721" xfId="0" applyNumberFormat="1" applyFont="1" applyFill="1" applyBorder="1" applyProtection="1">
      <protection locked="0"/>
    </xf>
    <xf numFmtId="1" fontId="49" fillId="5" borderId="1092" xfId="0" applyNumberFormat="1" applyFont="1" applyFill="1" applyBorder="1" applyProtection="1">
      <protection locked="0"/>
    </xf>
    <xf numFmtId="1" fontId="49" fillId="0" borderId="1815" xfId="0" applyNumberFormat="1" applyFont="1" applyBorder="1"/>
    <xf numFmtId="1" fontId="49" fillId="0" borderId="1696" xfId="0" applyNumberFormat="1" applyFont="1" applyBorder="1"/>
    <xf numFmtId="1" fontId="49" fillId="0" borderId="1814" xfId="0" applyNumberFormat="1" applyFont="1" applyBorder="1"/>
    <xf numFmtId="1" fontId="49" fillId="0" borderId="1833" xfId="0" applyNumberFormat="1" applyFont="1" applyBorder="1"/>
    <xf numFmtId="1" fontId="51" fillId="3" borderId="1692" xfId="0" applyNumberFormat="1" applyFont="1" applyFill="1" applyBorder="1"/>
    <xf numFmtId="1" fontId="51" fillId="3" borderId="1925" xfId="0" applyNumberFormat="1" applyFont="1" applyFill="1" applyBorder="1"/>
    <xf numFmtId="1" fontId="51" fillId="3" borderId="1092" xfId="0" applyNumberFormat="1" applyFont="1" applyFill="1" applyBorder="1"/>
    <xf numFmtId="1" fontId="49" fillId="0" borderId="2484" xfId="0" applyNumberFormat="1" applyFont="1" applyBorder="1" applyAlignment="1">
      <alignment horizontal="center" vertical="center" wrapText="1"/>
    </xf>
    <xf numFmtId="1" fontId="49" fillId="0" borderId="1931" xfId="0" applyNumberFormat="1" applyFont="1" applyBorder="1" applyAlignment="1">
      <alignment horizontal="center" vertical="center"/>
    </xf>
    <xf numFmtId="1" fontId="49" fillId="0" borderId="1929" xfId="0" applyNumberFormat="1" applyFont="1" applyBorder="1" applyAlignment="1">
      <alignment horizontal="center" vertical="center" wrapText="1"/>
    </xf>
    <xf numFmtId="1" fontId="49" fillId="0" borderId="1924" xfId="0" applyNumberFormat="1" applyFont="1" applyBorder="1" applyAlignment="1">
      <alignment horizontal="center" vertical="center" wrapText="1"/>
    </xf>
    <xf numFmtId="1" fontId="49" fillId="0" borderId="1858" xfId="0" applyNumberFormat="1" applyFont="1" applyBorder="1" applyAlignment="1">
      <alignment horizontal="left"/>
    </xf>
    <xf numFmtId="1" fontId="49" fillId="3" borderId="1935" xfId="14" applyNumberFormat="1" applyFont="1" applyFill="1" applyBorder="1" applyAlignment="1">
      <alignment horizontal="right"/>
    </xf>
    <xf numFmtId="1" fontId="49" fillId="3" borderId="1698" xfId="14" applyNumberFormat="1" applyFont="1" applyFill="1" applyBorder="1" applyAlignment="1">
      <alignment horizontal="right"/>
    </xf>
    <xf numFmtId="1" fontId="49" fillId="3" borderId="1683" xfId="14" applyNumberFormat="1" applyFont="1" applyFill="1" applyBorder="1" applyAlignment="1">
      <alignment horizontal="right"/>
    </xf>
    <xf numFmtId="1" fontId="49" fillId="5" borderId="2292" xfId="0" applyNumberFormat="1" applyFont="1" applyFill="1" applyBorder="1" applyProtection="1">
      <protection locked="0"/>
    </xf>
    <xf numFmtId="1" fontId="49" fillId="0" borderId="1699" xfId="0" applyNumberFormat="1" applyFont="1" applyBorder="1" applyAlignment="1">
      <alignment horizontal="left"/>
    </xf>
    <xf numFmtId="1" fontId="49" fillId="3" borderId="1936" xfId="14" applyNumberFormat="1" applyFont="1" applyFill="1" applyBorder="1" applyAlignment="1">
      <alignment horizontal="right"/>
    </xf>
    <xf numFmtId="1" fontId="49" fillId="3" borderId="1448" xfId="14" applyNumberFormat="1" applyFont="1" applyFill="1" applyBorder="1" applyAlignment="1">
      <alignment horizontal="right"/>
    </xf>
    <xf numFmtId="1" fontId="49" fillId="3" borderId="1876" xfId="14" applyNumberFormat="1" applyFont="1" applyFill="1" applyBorder="1" applyAlignment="1">
      <alignment horizontal="right"/>
    </xf>
    <xf numFmtId="1" fontId="49" fillId="5" borderId="1874" xfId="0" applyNumberFormat="1" applyFont="1" applyFill="1" applyBorder="1" applyProtection="1">
      <protection locked="0"/>
    </xf>
    <xf numFmtId="1" fontId="49" fillId="5" borderId="1726" xfId="0" applyNumberFormat="1" applyFont="1" applyFill="1" applyBorder="1" applyProtection="1">
      <protection locked="0"/>
    </xf>
    <xf numFmtId="1" fontId="49" fillId="5" borderId="2162" xfId="0" applyNumberFormat="1" applyFont="1" applyFill="1" applyBorder="1" applyProtection="1">
      <protection locked="0"/>
    </xf>
    <xf numFmtId="1" fontId="49" fillId="5" borderId="1448" xfId="0" applyNumberFormat="1" applyFont="1" applyFill="1" applyBorder="1" applyProtection="1">
      <protection locked="0"/>
    </xf>
    <xf numFmtId="1" fontId="49" fillId="0" borderId="1857" xfId="0" applyNumberFormat="1" applyFont="1" applyBorder="1" applyAlignment="1">
      <alignment horizontal="left"/>
    </xf>
    <xf numFmtId="1" fontId="49" fillId="3" borderId="2290" xfId="14" applyNumberFormat="1" applyFont="1" applyFill="1" applyBorder="1" applyAlignment="1">
      <alignment horizontal="right"/>
    </xf>
    <xf numFmtId="1" fontId="49" fillId="0" borderId="1521" xfId="0" applyNumberFormat="1" applyFont="1" applyBorder="1" applyAlignment="1">
      <alignment horizontal="left"/>
    </xf>
    <xf numFmtId="1" fontId="49" fillId="3" borderId="1521" xfId="14" applyNumberFormat="1" applyFont="1" applyFill="1" applyBorder="1" applyAlignment="1">
      <alignment horizontal="right"/>
    </xf>
    <xf numFmtId="1" fontId="49" fillId="3" borderId="1534" xfId="14" applyNumberFormat="1" applyFont="1" applyFill="1" applyBorder="1" applyAlignment="1">
      <alignment horizontal="right"/>
    </xf>
    <xf numFmtId="1" fontId="49" fillId="3" borderId="1525" xfId="14" applyNumberFormat="1" applyFont="1" applyFill="1" applyBorder="1" applyAlignment="1">
      <alignment horizontal="right"/>
    </xf>
    <xf numFmtId="1" fontId="49" fillId="0" borderId="1761" xfId="0" applyNumberFormat="1" applyFont="1" applyBorder="1" applyAlignment="1">
      <alignment horizontal="left"/>
    </xf>
    <xf numFmtId="1" fontId="49" fillId="3" borderId="1931" xfId="14" applyNumberFormat="1" applyFont="1" applyFill="1" applyBorder="1" applyAlignment="1">
      <alignment horizontal="right"/>
    </xf>
    <xf numFmtId="1" fontId="49" fillId="3" borderId="1929" xfId="14" applyNumberFormat="1" applyFont="1" applyFill="1" applyBorder="1" applyAlignment="1">
      <alignment horizontal="right"/>
    </xf>
    <xf numFmtId="1" fontId="49" fillId="3" borderId="1930" xfId="14" applyNumberFormat="1" applyFont="1" applyFill="1" applyBorder="1" applyAlignment="1">
      <alignment horizontal="right"/>
    </xf>
    <xf numFmtId="1" fontId="49" fillId="5" borderId="2455" xfId="0" applyNumberFormat="1" applyFont="1" applyFill="1" applyBorder="1" applyProtection="1">
      <protection locked="0"/>
    </xf>
    <xf numFmtId="1" fontId="49" fillId="5" borderId="2406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2448" xfId="0" applyFont="1" applyFill="1" applyBorder="1" applyAlignment="1">
      <alignment horizontal="center" vertical="center" wrapText="1"/>
    </xf>
    <xf numFmtId="0" fontId="4" fillId="0" borderId="2466" xfId="0" applyFont="1" applyBorder="1" applyAlignment="1">
      <alignment horizontal="center" vertical="center" wrapText="1"/>
    </xf>
    <xf numFmtId="0" fontId="19" fillId="7" borderId="6" xfId="8" applyFont="1" applyFill="1" applyBorder="1" applyAlignment="1">
      <alignment horizontal="center" vertical="center"/>
    </xf>
    <xf numFmtId="0" fontId="1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 wrapText="1"/>
    </xf>
    <xf numFmtId="0" fontId="33" fillId="13" borderId="4" xfId="0" applyFont="1" applyFill="1" applyBorder="1" applyAlignment="1">
      <alignment horizontal="center" vertical="center" wrapText="1"/>
    </xf>
    <xf numFmtId="0" fontId="33" fillId="13" borderId="5" xfId="0" applyFont="1" applyFill="1" applyBorder="1" applyAlignment="1">
      <alignment horizontal="center" vertical="center" wrapText="1"/>
    </xf>
    <xf numFmtId="0" fontId="33" fillId="13" borderId="35" xfId="0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 vertical="center" wrapText="1"/>
    </xf>
    <xf numFmtId="0" fontId="33" fillId="13" borderId="68" xfId="0" applyFont="1" applyFill="1" applyBorder="1" applyAlignment="1">
      <alignment horizontal="center" vertical="center" wrapText="1"/>
    </xf>
    <xf numFmtId="0" fontId="33" fillId="13" borderId="11" xfId="0" applyFont="1" applyFill="1" applyBorder="1" applyAlignment="1">
      <alignment horizontal="center" vertical="center" wrapText="1"/>
    </xf>
    <xf numFmtId="0" fontId="33" fillId="13" borderId="49" xfId="0" applyFont="1" applyFill="1" applyBorder="1" applyAlignment="1">
      <alignment horizontal="center" vertical="center" wrapText="1"/>
    </xf>
    <xf numFmtId="0" fontId="33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1009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1123" xfId="0" applyNumberFormat="1" applyFont="1" applyBorder="1" applyAlignment="1">
      <alignment horizontal="center" vertical="center" wrapText="1"/>
    </xf>
    <xf numFmtId="1" fontId="6" fillId="0" borderId="903" xfId="0" applyNumberFormat="1" applyFont="1" applyBorder="1" applyAlignment="1">
      <alignment horizontal="center" vertical="center" wrapText="1"/>
    </xf>
    <xf numFmtId="1" fontId="6" fillId="0" borderId="1091" xfId="0" applyNumberFormat="1" applyFont="1" applyBorder="1" applyAlignment="1">
      <alignment horizontal="center" vertical="center" wrapText="1"/>
    </xf>
    <xf numFmtId="1" fontId="6" fillId="0" borderId="811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1092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778" xfId="0" applyNumberFormat="1" applyFont="1" applyBorder="1" applyAlignment="1">
      <alignment horizontal="center" vertical="center" wrapText="1"/>
    </xf>
    <xf numFmtId="1" fontId="6" fillId="3" borderId="224" xfId="0" applyNumberFormat="1" applyFont="1" applyFill="1" applyBorder="1" applyAlignment="1">
      <alignment horizontal="center" vertical="center" wrapText="1"/>
    </xf>
    <xf numFmtId="1" fontId="6" fillId="3" borderId="237" xfId="0" applyNumberFormat="1" applyFont="1" applyFill="1" applyBorder="1" applyAlignment="1">
      <alignment horizontal="center" vertical="center" wrapText="1"/>
    </xf>
    <xf numFmtId="1" fontId="6" fillId="0" borderId="1932" xfId="0" applyNumberFormat="1" applyFont="1" applyBorder="1" applyAlignment="1">
      <alignment horizontal="center" vertical="center"/>
    </xf>
    <xf numFmtId="1" fontId="6" fillId="0" borderId="1934" xfId="0" applyNumberFormat="1" applyFont="1" applyBorder="1" applyAlignment="1">
      <alignment horizontal="center" vertical="center"/>
    </xf>
    <xf numFmtId="1" fontId="6" fillId="0" borderId="1930" xfId="0" applyNumberFormat="1" applyFont="1" applyBorder="1" applyAlignment="1">
      <alignment horizontal="center" vertical="center"/>
    </xf>
    <xf numFmtId="1" fontId="6" fillId="0" borderId="1932" xfId="0" applyNumberFormat="1" applyFont="1" applyBorder="1" applyAlignment="1">
      <alignment horizontal="center" vertical="center" wrapText="1"/>
    </xf>
    <xf numFmtId="1" fontId="6" fillId="0" borderId="1930" xfId="0" applyNumberFormat="1" applyFont="1" applyBorder="1" applyAlignment="1">
      <alignment horizontal="center" vertical="center" wrapText="1"/>
    </xf>
    <xf numFmtId="1" fontId="6" fillId="3" borderId="225" xfId="0" applyNumberFormat="1" applyFont="1" applyFill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 wrapText="1"/>
    </xf>
    <xf numFmtId="1" fontId="6" fillId="3" borderId="1009" xfId="0" applyNumberFormat="1" applyFont="1" applyFill="1" applyBorder="1" applyAlignment="1">
      <alignment horizontal="center" vertical="center" wrapText="1"/>
    </xf>
    <xf numFmtId="1" fontId="6" fillId="0" borderId="1933" xfId="0" applyNumberFormat="1" applyFont="1" applyBorder="1" applyAlignment="1">
      <alignment horizontal="center" vertical="center"/>
    </xf>
    <xf numFmtId="1" fontId="6" fillId="0" borderId="1044" xfId="0" applyNumberFormat="1" applyFont="1" applyBorder="1" applyAlignment="1">
      <alignment horizontal="center" vertical="center" wrapText="1"/>
    </xf>
    <xf numFmtId="1" fontId="6" fillId="0" borderId="1111" xfId="0" applyNumberFormat="1" applyFont="1" applyBorder="1" applyAlignment="1">
      <alignment horizontal="center" vertical="center" wrapText="1"/>
    </xf>
    <xf numFmtId="1" fontId="6" fillId="0" borderId="1107" xfId="0" applyNumberFormat="1" applyFont="1" applyBorder="1" applyAlignment="1">
      <alignment horizontal="center" vertical="center" wrapText="1"/>
    </xf>
    <xf numFmtId="1" fontId="6" fillId="0" borderId="1112" xfId="0" applyNumberFormat="1" applyFont="1" applyBorder="1" applyAlignment="1">
      <alignment horizontal="center" vertical="center" wrapText="1"/>
    </xf>
    <xf numFmtId="1" fontId="6" fillId="0" borderId="589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1024" xfId="0" applyNumberFormat="1" applyFont="1" applyBorder="1" applyAlignment="1">
      <alignment horizontal="center" vertical="center" wrapText="1"/>
    </xf>
    <xf numFmtId="1" fontId="6" fillId="0" borderId="1052" xfId="0" applyNumberFormat="1" applyFont="1" applyBorder="1" applyAlignment="1">
      <alignment horizontal="center" vertical="center" wrapText="1"/>
    </xf>
    <xf numFmtId="1" fontId="6" fillId="0" borderId="1053" xfId="0" applyNumberFormat="1" applyFont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49" xfId="0" applyNumberFormat="1" applyFont="1" applyFill="1" applyBorder="1" applyAlignment="1">
      <alignment horizontal="left" vertical="center" wrapText="1"/>
    </xf>
    <xf numFmtId="1" fontId="6" fillId="0" borderId="589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/>
    </xf>
    <xf numFmtId="1" fontId="6" fillId="0" borderId="544" xfId="0" applyNumberFormat="1" applyFont="1" applyBorder="1" applyAlignment="1">
      <alignment horizontal="center" vertical="center"/>
    </xf>
    <xf numFmtId="1" fontId="6" fillId="0" borderId="585" xfId="0" applyNumberFormat="1" applyFont="1" applyBorder="1" applyAlignment="1">
      <alignment horizontal="center" vertical="center" wrapText="1"/>
    </xf>
    <xf numFmtId="1" fontId="6" fillId="0" borderId="586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037" xfId="0" applyNumberFormat="1" applyFont="1" applyBorder="1" applyAlignment="1">
      <alignment horizontal="center" vertical="center" wrapText="1"/>
    </xf>
    <xf numFmtId="1" fontId="6" fillId="0" borderId="1101" xfId="0" applyNumberFormat="1" applyFont="1" applyBorder="1" applyAlignment="1">
      <alignment horizontal="center" vertical="center" wrapText="1"/>
    </xf>
    <xf numFmtId="1" fontId="6" fillId="0" borderId="2403" xfId="0" applyNumberFormat="1" applyFont="1" applyBorder="1" applyAlignment="1">
      <alignment horizontal="center" vertical="center" wrapText="1"/>
    </xf>
    <xf numFmtId="1" fontId="6" fillId="0" borderId="2417" xfId="0" applyNumberFormat="1" applyFont="1" applyBorder="1" applyAlignment="1">
      <alignment horizontal="center" vertical="center" wrapText="1"/>
    </xf>
    <xf numFmtId="1" fontId="6" fillId="0" borderId="2404" xfId="0" applyNumberFormat="1" applyFont="1" applyBorder="1" applyAlignment="1">
      <alignment horizontal="center" vertical="center" wrapText="1"/>
    </xf>
    <xf numFmtId="1" fontId="6" fillId="0" borderId="1472" xfId="0" applyNumberFormat="1" applyFont="1" applyBorder="1" applyAlignment="1">
      <alignment horizontal="center" vertical="center" wrapText="1"/>
    </xf>
    <xf numFmtId="1" fontId="6" fillId="0" borderId="1831" xfId="0" applyNumberFormat="1" applyFont="1" applyBorder="1" applyAlignment="1">
      <alignment horizontal="center" vertical="center" wrapText="1"/>
    </xf>
    <xf numFmtId="1" fontId="6" fillId="0" borderId="1641" xfId="0" applyNumberFormat="1" applyFont="1" applyBorder="1" applyAlignment="1">
      <alignment horizontal="center" vertical="center" wrapText="1"/>
    </xf>
    <xf numFmtId="1" fontId="6" fillId="0" borderId="1668" xfId="0" applyNumberFormat="1" applyFont="1" applyBorder="1" applyAlignment="1">
      <alignment horizontal="center" vertical="center" wrapText="1"/>
    </xf>
    <xf numFmtId="1" fontId="6" fillId="0" borderId="1159" xfId="0" applyNumberFormat="1" applyFont="1" applyBorder="1" applyAlignment="1">
      <alignment horizontal="center" vertical="center" wrapText="1"/>
    </xf>
    <xf numFmtId="1" fontId="6" fillId="0" borderId="1201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32" xfId="0" applyNumberFormat="1" applyFont="1" applyBorder="1" applyAlignment="1">
      <alignment horizontal="left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/>
    </xf>
    <xf numFmtId="1" fontId="6" fillId="0" borderId="237" xfId="0" applyNumberFormat="1" applyFont="1" applyBorder="1" applyAlignment="1">
      <alignment horizontal="center" vertical="center"/>
    </xf>
    <xf numFmtId="1" fontId="6" fillId="0" borderId="1242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1274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2112" xfId="0" applyNumberFormat="1" applyFont="1" applyBorder="1" applyAlignment="1">
      <alignment horizontal="center" vertical="center" wrapText="1"/>
    </xf>
    <xf numFmtId="1" fontId="6" fillId="0" borderId="2150" xfId="0" applyNumberFormat="1" applyFont="1" applyBorder="1" applyAlignment="1">
      <alignment horizontal="center" vertical="center" wrapText="1"/>
    </xf>
    <xf numFmtId="1" fontId="6" fillId="0" borderId="2143" xfId="0" applyNumberFormat="1" applyFont="1" applyBorder="1" applyAlignment="1">
      <alignment horizontal="center" vertical="center" wrapText="1"/>
    </xf>
    <xf numFmtId="1" fontId="6" fillId="0" borderId="1616" xfId="0" applyNumberFormat="1" applyFont="1" applyBorder="1" applyAlignment="1">
      <alignment horizontal="center" vertical="center" wrapText="1"/>
    </xf>
    <xf numFmtId="1" fontId="6" fillId="0" borderId="2193" xfId="0" applyNumberFormat="1" applyFont="1" applyBorder="1" applyAlignment="1">
      <alignment horizontal="center" vertical="center" wrapText="1"/>
    </xf>
    <xf numFmtId="1" fontId="6" fillId="0" borderId="220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1576" xfId="0" applyNumberFormat="1" applyFont="1" applyBorder="1" applyAlignment="1">
      <alignment horizontal="center" vertical="center" wrapText="1"/>
    </xf>
    <xf numFmtId="1" fontId="6" fillId="0" borderId="1577" xfId="0" applyNumberFormat="1" applyFont="1" applyBorder="1" applyAlignment="1">
      <alignment horizontal="center" vertical="center" wrapText="1"/>
    </xf>
    <xf numFmtId="1" fontId="6" fillId="0" borderId="1578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/>
    </xf>
    <xf numFmtId="1" fontId="6" fillId="0" borderId="22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/>
    </xf>
    <xf numFmtId="1" fontId="32" fillId="0" borderId="903" xfId="0" applyNumberFormat="1" applyFont="1" applyBorder="1" applyAlignment="1">
      <alignment horizontal="center" vertical="center" wrapText="1"/>
    </xf>
    <xf numFmtId="1" fontId="32" fillId="0" borderId="1091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150" xfId="0" applyNumberFormat="1" applyFont="1" applyBorder="1" applyAlignment="1">
      <alignment horizontal="center" vertical="center"/>
    </xf>
    <xf numFmtId="1" fontId="6" fillId="0" borderId="1107" xfId="0" applyNumberFormat="1" applyFont="1" applyBorder="1" applyAlignment="1">
      <alignment horizontal="center" vertical="center"/>
    </xf>
    <xf numFmtId="1" fontId="6" fillId="0" borderId="1151" xfId="0" applyNumberFormat="1" applyFont="1" applyBorder="1" applyAlignment="1">
      <alignment horizontal="center" vertical="center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3" borderId="448" xfId="0" applyNumberFormat="1" applyFont="1" applyFill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 vertical="center"/>
    </xf>
    <xf numFmtId="1" fontId="6" fillId="0" borderId="456" xfId="0" applyNumberFormat="1" applyFont="1" applyBorder="1" applyAlignment="1">
      <alignment horizontal="center" vertical="center"/>
    </xf>
    <xf numFmtId="1" fontId="6" fillId="0" borderId="503" xfId="0" applyNumberFormat="1" applyFont="1" applyBorder="1" applyAlignment="1">
      <alignment horizontal="center" vertical="center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/>
    <xf numFmtId="1" fontId="6" fillId="0" borderId="503" xfId="0" applyNumberFormat="1" applyFont="1" applyBorder="1" applyAlignment="1">
      <alignment horizontal="center" vertical="center" wrapText="1"/>
    </xf>
    <xf numFmtId="1" fontId="6" fillId="0" borderId="1253" xfId="0" applyNumberFormat="1" applyFont="1" applyBorder="1" applyAlignment="1">
      <alignment horizontal="center" vertical="center" wrapText="1"/>
    </xf>
    <xf numFmtId="1" fontId="4" fillId="36" borderId="1774" xfId="6" applyNumberFormat="1" applyFont="1" applyFill="1" applyBorder="1" applyAlignment="1">
      <alignment horizontal="left" wrapText="1"/>
    </xf>
    <xf numFmtId="1" fontId="6" fillId="0" borderId="1794" xfId="6" applyNumberFormat="1" applyFont="1" applyBorder="1" applyAlignment="1">
      <alignment horizontal="left" vertical="center"/>
    </xf>
    <xf numFmtId="1" fontId="6" fillId="0" borderId="1795" xfId="6" applyNumberFormat="1" applyFont="1" applyBorder="1" applyAlignment="1">
      <alignment horizontal="left" vertical="center"/>
    </xf>
    <xf numFmtId="1" fontId="6" fillId="0" borderId="1812" xfId="6" applyNumberFormat="1" applyFont="1" applyBorder="1" applyAlignment="1">
      <alignment horizontal="left" vertical="center"/>
    </xf>
    <xf numFmtId="1" fontId="6" fillId="0" borderId="1781" xfId="6" applyNumberFormat="1" applyFont="1" applyBorder="1" applyAlignment="1">
      <alignment horizontal="left" vertical="center"/>
    </xf>
    <xf numFmtId="1" fontId="6" fillId="0" borderId="1909" xfId="6" applyNumberFormat="1" applyFont="1" applyBorder="1" applyAlignment="1">
      <alignment horizontal="left" vertical="center"/>
    </xf>
    <xf numFmtId="1" fontId="6" fillId="0" borderId="1787" xfId="6" applyNumberFormat="1" applyFont="1" applyBorder="1" applyAlignment="1">
      <alignment horizontal="left" vertical="center"/>
    </xf>
    <xf numFmtId="1" fontId="6" fillId="0" borderId="1767" xfId="6" applyNumberFormat="1" applyFont="1" applyBorder="1" applyAlignment="1">
      <alignment horizontal="center" vertical="center"/>
    </xf>
    <xf numFmtId="1" fontId="6" fillId="0" borderId="1769" xfId="6" applyNumberFormat="1" applyFont="1" applyBorder="1" applyAlignment="1">
      <alignment horizontal="center" vertical="center"/>
    </xf>
    <xf numFmtId="1" fontId="6" fillId="0" borderId="1780" xfId="6" applyNumberFormat="1" applyFont="1" applyBorder="1" applyAlignment="1">
      <alignment horizontal="center" vertical="center"/>
    </xf>
    <xf numFmtId="1" fontId="6" fillId="0" borderId="1898" xfId="6" applyNumberFormat="1" applyFont="1" applyBorder="1" applyAlignment="1">
      <alignment horizontal="center" vertical="center"/>
    </xf>
    <xf numFmtId="1" fontId="6" fillId="0" borderId="1773" xfId="6" applyNumberFormat="1" applyFont="1" applyBorder="1" applyAlignment="1">
      <alignment horizontal="center" vertical="center"/>
    </xf>
    <xf numFmtId="1" fontId="6" fillId="0" borderId="1775" xfId="6" applyNumberFormat="1" applyFont="1" applyBorder="1" applyAlignment="1">
      <alignment horizontal="center" vertical="center"/>
    </xf>
    <xf numFmtId="0" fontId="6" fillId="0" borderId="1639" xfId="0" applyFont="1" applyBorder="1" applyAlignment="1">
      <alignment horizontal="center" vertical="center" wrapText="1"/>
    </xf>
    <xf numFmtId="0" fontId="6" fillId="0" borderId="1616" xfId="0" applyFont="1" applyBorder="1" applyAlignment="1">
      <alignment horizontal="center" vertical="center" wrapText="1"/>
    </xf>
    <xf numFmtId="0" fontId="6" fillId="0" borderId="1761" xfId="0" applyFont="1" applyBorder="1" applyAlignment="1">
      <alignment horizontal="center" vertical="center" wrapText="1"/>
    </xf>
    <xf numFmtId="1" fontId="6" fillId="0" borderId="1767" xfId="6" applyNumberFormat="1" applyFont="1" applyBorder="1" applyAlignment="1">
      <alignment horizontal="center" vertical="center" wrapText="1"/>
    </xf>
    <xf numFmtId="0" fontId="46" fillId="0" borderId="1768" xfId="6" applyFont="1" applyBorder="1"/>
    <xf numFmtId="0" fontId="46" fillId="0" borderId="1769" xfId="6" applyFont="1" applyBorder="1"/>
    <xf numFmtId="0" fontId="46" fillId="0" borderId="1773" xfId="6" applyFont="1" applyBorder="1"/>
    <xf numFmtId="0" fontId="46" fillId="0" borderId="1774" xfId="6" applyFont="1" applyBorder="1"/>
    <xf numFmtId="0" fontId="46" fillId="0" borderId="1775" xfId="6" applyFont="1" applyBorder="1"/>
    <xf numFmtId="1" fontId="6" fillId="0" borderId="1770" xfId="6" applyNumberFormat="1" applyFont="1" applyBorder="1" applyAlignment="1">
      <alignment horizontal="center" vertical="center"/>
    </xf>
    <xf numFmtId="0" fontId="46" fillId="0" borderId="1771" xfId="6" applyFont="1" applyBorder="1"/>
    <xf numFmtId="0" fontId="46" fillId="0" borderId="1776" xfId="6" applyFont="1" applyBorder="1"/>
    <xf numFmtId="1" fontId="6" fillId="0" borderId="1770" xfId="6" applyNumberFormat="1" applyFont="1" applyBorder="1" applyAlignment="1">
      <alignment horizontal="center" vertical="center" wrapText="1"/>
    </xf>
    <xf numFmtId="1" fontId="6" fillId="0" borderId="1766" xfId="6" applyNumberFormat="1" applyFont="1" applyBorder="1" applyAlignment="1">
      <alignment horizontal="center" vertical="center" wrapText="1"/>
    </xf>
    <xf numFmtId="1" fontId="6" fillId="0" borderId="1772" xfId="6" applyNumberFormat="1" applyFont="1" applyBorder="1" applyAlignment="1">
      <alignment horizontal="center" vertical="center" wrapText="1"/>
    </xf>
    <xf numFmtId="1" fontId="6" fillId="0" borderId="1777" xfId="6" applyNumberFormat="1" applyFont="1" applyBorder="1" applyAlignment="1">
      <alignment horizontal="center" vertical="center" wrapText="1"/>
    </xf>
    <xf numFmtId="0" fontId="6" fillId="0" borderId="1856" xfId="0" applyFont="1" applyBorder="1" applyAlignment="1">
      <alignment horizontal="center" vertical="center"/>
    </xf>
    <xf numFmtId="1" fontId="6" fillId="0" borderId="1640" xfId="0" applyNumberFormat="1" applyFont="1" applyBorder="1" applyAlignment="1">
      <alignment horizontal="center" vertical="center" wrapText="1"/>
    </xf>
    <xf numFmtId="1" fontId="6" fillId="0" borderId="1735" xfId="0" applyNumberFormat="1" applyFont="1" applyBorder="1" applyAlignment="1">
      <alignment horizontal="center" vertical="center" wrapText="1"/>
    </xf>
    <xf numFmtId="1" fontId="6" fillId="0" borderId="1856" xfId="0" applyNumberFormat="1" applyFont="1" applyBorder="1" applyAlignment="1">
      <alignment horizontal="center" vertical="center" wrapText="1"/>
    </xf>
    <xf numFmtId="1" fontId="6" fillId="0" borderId="1859" xfId="0" applyNumberFormat="1" applyFont="1" applyBorder="1" applyAlignment="1">
      <alignment horizontal="center" vertical="center" wrapText="1"/>
    </xf>
    <xf numFmtId="1" fontId="6" fillId="0" borderId="1865" xfId="0" applyNumberFormat="1" applyFont="1" applyBorder="1" applyAlignment="1">
      <alignment horizontal="center" vertical="center" wrapText="1"/>
    </xf>
    <xf numFmtId="1" fontId="6" fillId="0" borderId="1906" xfId="0" applyNumberFormat="1" applyFont="1" applyBorder="1" applyAlignment="1">
      <alignment horizontal="center" vertical="center" wrapText="1"/>
    </xf>
    <xf numFmtId="1" fontId="6" fillId="0" borderId="1871" xfId="0" applyNumberFormat="1" applyFont="1" applyBorder="1" applyAlignment="1">
      <alignment horizontal="center" vertical="center" wrapText="1"/>
    </xf>
    <xf numFmtId="1" fontId="6" fillId="0" borderId="1907" xfId="0" applyNumberFormat="1" applyFont="1" applyBorder="1" applyAlignment="1">
      <alignment horizontal="center" vertical="center" wrapText="1"/>
    </xf>
    <xf numFmtId="0" fontId="6" fillId="14" borderId="2437" xfId="0" applyFont="1" applyFill="1" applyBorder="1" applyAlignment="1">
      <alignment horizontal="left" vertical="center" wrapText="1"/>
    </xf>
    <xf numFmtId="0" fontId="6" fillId="14" borderId="517" xfId="0" applyFont="1" applyFill="1" applyBorder="1" applyAlignment="1">
      <alignment horizontal="left" vertical="center" wrapText="1"/>
    </xf>
    <xf numFmtId="0" fontId="6" fillId="14" borderId="2469" xfId="0" applyFont="1" applyFill="1" applyBorder="1" applyAlignment="1">
      <alignment horizontal="left" vertical="center" wrapText="1"/>
    </xf>
    <xf numFmtId="0" fontId="13" fillId="14" borderId="2469" xfId="0" applyFont="1" applyFill="1" applyBorder="1" applyAlignment="1">
      <alignment horizontal="left" vertical="center" wrapText="1"/>
    </xf>
    <xf numFmtId="0" fontId="13" fillId="14" borderId="1761" xfId="0" applyFont="1" applyFill="1" applyBorder="1" applyAlignment="1">
      <alignment horizontal="left" vertical="center" wrapText="1"/>
    </xf>
    <xf numFmtId="1" fontId="6" fillId="0" borderId="1800" xfId="0" applyNumberFormat="1" applyFont="1" applyBorder="1" applyAlignment="1">
      <alignment horizontal="center" vertical="center" wrapText="1"/>
    </xf>
    <xf numFmtId="1" fontId="6" fillId="0" borderId="1750" xfId="0" applyNumberFormat="1" applyFont="1" applyBorder="1" applyAlignment="1">
      <alignment horizontal="center" vertical="center" wrapText="1"/>
    </xf>
    <xf numFmtId="1" fontId="6" fillId="0" borderId="1758" xfId="0" applyNumberFormat="1" applyFont="1" applyBorder="1" applyAlignment="1">
      <alignment horizontal="center" vertical="center" wrapText="1"/>
    </xf>
    <xf numFmtId="1" fontId="6" fillId="0" borderId="1759" xfId="0" applyNumberFormat="1" applyFont="1" applyBorder="1" applyAlignment="1">
      <alignment horizontal="center" vertical="center" wrapText="1"/>
    </xf>
    <xf numFmtId="1" fontId="6" fillId="0" borderId="1639" xfId="0" applyNumberFormat="1" applyFont="1" applyBorder="1" applyAlignment="1">
      <alignment horizontal="center" vertical="center"/>
    </xf>
    <xf numFmtId="1" fontId="6" fillId="0" borderId="1761" xfId="0" applyNumberFormat="1" applyFont="1" applyBorder="1" applyAlignment="1">
      <alignment horizontal="center" vertical="center"/>
    </xf>
    <xf numFmtId="1" fontId="6" fillId="0" borderId="1677" xfId="0" applyNumberFormat="1" applyFont="1" applyBorder="1" applyAlignment="1">
      <alignment horizontal="center" vertical="center" wrapText="1"/>
    </xf>
    <xf numFmtId="1" fontId="6" fillId="0" borderId="1678" xfId="0" applyNumberFormat="1" applyFont="1" applyBorder="1" applyAlignment="1">
      <alignment horizontal="center" vertical="center" wrapText="1"/>
    </xf>
    <xf numFmtId="1" fontId="6" fillId="0" borderId="1692" xfId="0" applyNumberFormat="1" applyFont="1" applyBorder="1" applyAlignment="1">
      <alignment horizontal="center" vertical="center" wrapText="1"/>
    </xf>
    <xf numFmtId="1" fontId="6" fillId="0" borderId="1639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1761" xfId="0" applyNumberFormat="1" applyFont="1" applyBorder="1" applyAlignment="1">
      <alignment horizontal="center" vertical="center" wrapText="1"/>
    </xf>
    <xf numFmtId="1" fontId="6" fillId="0" borderId="1102" xfId="23" applyNumberFormat="1" applyFont="1" applyBorder="1" applyAlignment="1">
      <alignment horizontal="left" vertical="center" wrapText="1"/>
    </xf>
    <xf numFmtId="1" fontId="6" fillId="0" borderId="1117" xfId="23" applyNumberFormat="1" applyFont="1" applyBorder="1" applyAlignment="1">
      <alignment horizontal="left" vertical="center" wrapText="1"/>
    </xf>
    <xf numFmtId="1" fontId="6" fillId="0" borderId="517" xfId="23" applyNumberFormat="1" applyFont="1" applyBorder="1" applyAlignment="1">
      <alignment horizontal="center" vertical="center" wrapText="1"/>
    </xf>
    <xf numFmtId="1" fontId="6" fillId="0" borderId="1091" xfId="23" applyNumberFormat="1" applyFont="1" applyBorder="1" applyAlignment="1">
      <alignment horizontal="center" vertical="center" wrapText="1"/>
    </xf>
    <xf numFmtId="1" fontId="6" fillId="0" borderId="1261" xfId="0" applyNumberFormat="1" applyFont="1" applyBorder="1" applyAlignment="1">
      <alignment horizontal="center" vertical="center" wrapText="1"/>
    </xf>
    <xf numFmtId="1" fontId="6" fillId="0" borderId="1260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0" xfId="0" applyNumberFormat="1" applyFont="1" applyBorder="1" applyAlignment="1">
      <alignment horizontal="left"/>
    </xf>
    <xf numFmtId="1" fontId="6" fillId="0" borderId="1255" xfId="0" applyNumberFormat="1" applyFont="1" applyBorder="1" applyAlignment="1">
      <alignment horizontal="center" vertical="center" wrapText="1"/>
    </xf>
    <xf numFmtId="1" fontId="6" fillId="0" borderId="1256" xfId="0" applyNumberFormat="1" applyFont="1" applyBorder="1" applyAlignment="1">
      <alignment horizontal="center" vertical="center" wrapText="1"/>
    </xf>
    <xf numFmtId="1" fontId="6" fillId="0" borderId="1257" xfId="0" applyNumberFormat="1" applyFont="1" applyBorder="1" applyAlignment="1">
      <alignment horizontal="center" vertical="center" wrapText="1"/>
    </xf>
    <xf numFmtId="1" fontId="6" fillId="0" borderId="606" xfId="0" applyNumberFormat="1" applyFont="1" applyBorder="1" applyAlignment="1">
      <alignment horizontal="left" wrapText="1"/>
    </xf>
    <xf numFmtId="1" fontId="6" fillId="0" borderId="607" xfId="0" applyNumberFormat="1" applyFont="1" applyBorder="1" applyAlignment="1">
      <alignment horizontal="left" wrapText="1"/>
    </xf>
    <xf numFmtId="1" fontId="6" fillId="0" borderId="1102" xfId="0" applyNumberFormat="1" applyFont="1" applyBorder="1" applyAlignment="1">
      <alignment horizontal="left" wrapText="1"/>
    </xf>
    <xf numFmtId="1" fontId="6" fillId="0" borderId="1117" xfId="0" applyNumberFormat="1" applyFont="1" applyBorder="1" applyAlignment="1">
      <alignment horizontal="left" wrapText="1"/>
    </xf>
    <xf numFmtId="1" fontId="6" fillId="0" borderId="1165" xfId="0" applyNumberFormat="1" applyFont="1" applyBorder="1" applyAlignment="1">
      <alignment horizontal="left" wrapText="1"/>
    </xf>
    <xf numFmtId="1" fontId="6" fillId="0" borderId="1155" xfId="0" applyNumberFormat="1" applyFont="1" applyBorder="1" applyAlignment="1">
      <alignment horizontal="left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0" xfId="23" applyNumberFormat="1" applyFont="1" applyBorder="1" applyAlignment="1">
      <alignment horizontal="left" vertical="center" wrapText="1"/>
    </xf>
    <xf numFmtId="1" fontId="6" fillId="0" borderId="242" xfId="23" applyNumberFormat="1" applyFont="1" applyBorder="1" applyAlignment="1">
      <alignment horizontal="center" vertical="center" wrapText="1"/>
    </xf>
    <xf numFmtId="1" fontId="6" fillId="0" borderId="241" xfId="23" applyNumberFormat="1" applyFont="1" applyBorder="1" applyAlignment="1">
      <alignment horizontal="center" vertical="center" wrapText="1"/>
    </xf>
    <xf numFmtId="1" fontId="6" fillId="0" borderId="355" xfId="23" applyNumberFormat="1" applyFont="1" applyBorder="1" applyAlignment="1">
      <alignment horizontal="center" vertical="center" wrapText="1"/>
    </xf>
    <xf numFmtId="1" fontId="6" fillId="0" borderId="352" xfId="23" applyNumberFormat="1" applyFont="1" applyBorder="1" applyAlignment="1">
      <alignment horizontal="center" vertical="center" wrapText="1"/>
    </xf>
    <xf numFmtId="1" fontId="6" fillId="0" borderId="1694" xfId="0" applyNumberFormat="1" applyFont="1" applyBorder="1" applyAlignment="1">
      <alignment horizontal="center" vertical="center" wrapText="1"/>
    </xf>
    <xf numFmtId="1" fontId="6" fillId="0" borderId="1695" xfId="0" applyNumberFormat="1" applyFont="1" applyBorder="1" applyAlignment="1">
      <alignment horizontal="center" vertical="center" wrapText="1"/>
    </xf>
    <xf numFmtId="1" fontId="6" fillId="0" borderId="367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center" vertical="center" wrapText="1"/>
    </xf>
    <xf numFmtId="1" fontId="6" fillId="0" borderId="336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1258" xfId="0" applyNumberFormat="1" applyFont="1" applyBorder="1" applyAlignment="1">
      <alignment horizontal="center" vertical="center"/>
    </xf>
    <xf numFmtId="1" fontId="6" fillId="0" borderId="1259" xfId="0" applyNumberFormat="1" applyFont="1" applyBorder="1" applyAlignment="1">
      <alignment horizontal="center" vertical="center"/>
    </xf>
    <xf numFmtId="1" fontId="6" fillId="0" borderId="1260" xfId="0" applyNumberFormat="1" applyFont="1" applyBorder="1" applyAlignment="1">
      <alignment horizontal="center" vertical="center"/>
    </xf>
    <xf numFmtId="1" fontId="6" fillId="0" borderId="1017" xfId="23" applyNumberFormat="1" applyFont="1" applyBorder="1" applyAlignment="1" applyProtection="1">
      <alignment horizontal="center" vertical="center" wrapText="1"/>
      <protection locked="0"/>
    </xf>
    <xf numFmtId="1" fontId="6" fillId="0" borderId="1158" xfId="23" applyNumberFormat="1" applyFont="1" applyBorder="1" applyAlignment="1" applyProtection="1">
      <alignment horizontal="center" vertical="center" wrapText="1"/>
      <protection locked="0"/>
    </xf>
    <xf numFmtId="1" fontId="6" fillId="0" borderId="1122" xfId="23" applyNumberFormat="1" applyFont="1" applyBorder="1" applyAlignment="1" applyProtection="1">
      <alignment horizontal="center" vertical="center" wrapText="1"/>
      <protection locked="0"/>
    </xf>
    <xf numFmtId="1" fontId="6" fillId="0" borderId="1009" xfId="23" applyNumberFormat="1" applyFont="1" applyBorder="1" applyAlignment="1" applyProtection="1">
      <alignment horizontal="center" vertical="center" wrapText="1"/>
      <protection locked="0"/>
    </xf>
    <xf numFmtId="1" fontId="6" fillId="0" borderId="1159" xfId="23" applyNumberFormat="1" applyFont="1" applyBorder="1" applyAlignment="1" applyProtection="1">
      <alignment horizontal="center" vertical="center" wrapText="1"/>
      <protection locked="0"/>
    </xf>
    <xf numFmtId="1" fontId="6" fillId="0" borderId="1123" xfId="23" applyNumberFormat="1" applyFont="1" applyBorder="1" applyAlignment="1" applyProtection="1">
      <alignment horizontal="center" vertical="center" wrapText="1"/>
      <protection locked="0"/>
    </xf>
    <xf numFmtId="1" fontId="6" fillId="14" borderId="1255" xfId="0" applyNumberFormat="1" applyFont="1" applyFill="1" applyBorder="1" applyAlignment="1">
      <alignment horizontal="center" vertical="center" wrapText="1"/>
    </xf>
    <xf numFmtId="1" fontId="6" fillId="14" borderId="1257" xfId="0" applyNumberFormat="1" applyFont="1" applyFill="1" applyBorder="1" applyAlignment="1">
      <alignment horizontal="center" vertical="center" wrapText="1"/>
    </xf>
    <xf numFmtId="1" fontId="6" fillId="0" borderId="1231" xfId="0" applyNumberFormat="1" applyFont="1" applyBorder="1" applyAlignment="1">
      <alignment horizontal="center" vertical="center" wrapText="1"/>
    </xf>
    <xf numFmtId="1" fontId="6" fillId="0" borderId="1233" xfId="0" applyNumberFormat="1" applyFont="1" applyBorder="1" applyAlignment="1">
      <alignment horizontal="center" vertical="center" wrapText="1"/>
    </xf>
    <xf numFmtId="1" fontId="6" fillId="0" borderId="1150" xfId="0" applyNumberFormat="1" applyFont="1" applyBorder="1" applyAlignment="1">
      <alignment horizontal="center" vertical="center" wrapText="1"/>
    </xf>
    <xf numFmtId="1" fontId="6" fillId="0" borderId="1109" xfId="0" applyNumberFormat="1" applyFont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370" xfId="0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wrapText="1"/>
    </xf>
    <xf numFmtId="1" fontId="6" fillId="0" borderId="1567" xfId="23" applyNumberFormat="1" applyFont="1" applyBorder="1" applyAlignment="1" applyProtection="1">
      <alignment horizontal="center" vertical="center" wrapText="1"/>
      <protection locked="0"/>
    </xf>
    <xf numFmtId="1" fontId="6" fillId="0" borderId="1575" xfId="23" applyNumberFormat="1" applyFont="1" applyBorder="1" applyAlignment="1" applyProtection="1">
      <alignment horizontal="center" vertical="center" wrapText="1"/>
      <protection locked="0"/>
    </xf>
    <xf numFmtId="1" fontId="6" fillId="0" borderId="1568" xfId="23" applyNumberFormat="1" applyFont="1" applyBorder="1" applyAlignment="1" applyProtection="1">
      <alignment horizontal="center" vertical="center" wrapText="1"/>
      <protection locked="0"/>
    </xf>
    <xf numFmtId="1" fontId="6" fillId="0" borderId="1572" xfId="23" applyNumberFormat="1" applyFont="1" applyBorder="1" applyAlignment="1" applyProtection="1">
      <alignment horizontal="center" vertical="center" wrapText="1"/>
      <protection locked="0"/>
    </xf>
    <xf numFmtId="1" fontId="6" fillId="0" borderId="728" xfId="23" applyNumberFormat="1" applyFont="1" applyBorder="1" applyAlignment="1">
      <alignment horizontal="center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755" xfId="0" applyNumberFormat="1" applyFont="1" applyBorder="1" applyAlignment="1">
      <alignment horizontal="center" vertical="center" wrapText="1"/>
    </xf>
    <xf numFmtId="1" fontId="6" fillId="0" borderId="765" xfId="0" applyNumberFormat="1" applyFont="1" applyBorder="1" applyAlignment="1">
      <alignment horizontal="center" vertical="center" wrapText="1"/>
    </xf>
    <xf numFmtId="1" fontId="6" fillId="0" borderId="1436" xfId="0" applyNumberFormat="1" applyFont="1" applyBorder="1" applyAlignment="1">
      <alignment horizontal="left" wrapText="1"/>
    </xf>
    <xf numFmtId="1" fontId="6" fillId="0" borderId="1430" xfId="0" applyNumberFormat="1" applyFont="1" applyBorder="1" applyAlignment="1">
      <alignment horizontal="left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811" xfId="23" applyNumberFormat="1" applyFont="1" applyBorder="1" applyAlignment="1" applyProtection="1">
      <alignment horizontal="center" vertical="center" wrapText="1"/>
      <protection locked="0"/>
    </xf>
    <xf numFmtId="1" fontId="6" fillId="0" borderId="903" xfId="23" applyNumberFormat="1" applyFont="1" applyBorder="1" applyAlignment="1" applyProtection="1">
      <alignment horizontal="center" vertical="center" wrapText="1"/>
      <protection locked="0"/>
    </xf>
    <xf numFmtId="1" fontId="6" fillId="0" borderId="1367" xfId="23" applyNumberFormat="1" applyFont="1" applyBorder="1" applyAlignment="1" applyProtection="1">
      <alignment horizontal="center" vertical="center" wrapText="1"/>
      <protection locked="0"/>
    </xf>
    <xf numFmtId="1" fontId="6" fillId="0" borderId="1091" xfId="23" applyNumberFormat="1" applyFont="1" applyBorder="1" applyAlignment="1" applyProtection="1">
      <alignment horizontal="center" vertical="center" wrapText="1"/>
      <protection locked="0"/>
    </xf>
    <xf numFmtId="1" fontId="6" fillId="0" borderId="698" xfId="23" applyNumberFormat="1" applyFont="1" applyBorder="1" applyAlignment="1">
      <alignment horizontal="left" vertical="center" wrapText="1"/>
    </xf>
    <xf numFmtId="1" fontId="6" fillId="0" borderId="699" xfId="23" applyNumberFormat="1" applyFont="1" applyBorder="1" applyAlignment="1">
      <alignment horizontal="left" vertical="center" wrapText="1"/>
    </xf>
    <xf numFmtId="1" fontId="6" fillId="0" borderId="720" xfId="23" applyNumberFormat="1" applyFont="1" applyBorder="1" applyAlignment="1">
      <alignment horizontal="left" vertical="center" wrapText="1"/>
    </xf>
    <xf numFmtId="1" fontId="6" fillId="0" borderId="741" xfId="23" applyNumberFormat="1" applyFont="1" applyBorder="1" applyAlignment="1">
      <alignment horizontal="left" vertical="center" wrapText="1"/>
    </xf>
    <xf numFmtId="1" fontId="6" fillId="0" borderId="720" xfId="23" applyNumberFormat="1" applyFont="1" applyBorder="1" applyAlignment="1">
      <alignment horizontal="center" vertical="center" wrapText="1"/>
    </xf>
    <xf numFmtId="1" fontId="6" fillId="0" borderId="741" xfId="23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403" xfId="23" applyNumberFormat="1" applyFont="1" applyBorder="1" applyAlignment="1">
      <alignment horizontal="left" vertical="center" wrapText="1"/>
    </xf>
    <xf numFmtId="1" fontId="6" fillId="0" borderId="400" xfId="23" applyNumberFormat="1" applyFont="1" applyBorder="1" applyAlignment="1">
      <alignment horizontal="left" vertical="center" wrapText="1"/>
    </xf>
    <xf numFmtId="1" fontId="6" fillId="0" borderId="225" xfId="23" applyNumberFormat="1" applyFont="1" applyBorder="1" applyAlignment="1">
      <alignment horizontal="left" vertical="center" wrapText="1"/>
    </xf>
    <xf numFmtId="1" fontId="6" fillId="0" borderId="228" xfId="23" applyNumberFormat="1" applyFont="1" applyBorder="1" applyAlignment="1">
      <alignment horizontal="left" vertical="center" wrapText="1"/>
    </xf>
    <xf numFmtId="1" fontId="6" fillId="0" borderId="725" xfId="23" applyNumberFormat="1" applyFont="1" applyBorder="1" applyAlignment="1">
      <alignment horizontal="center" vertical="center" wrapText="1"/>
    </xf>
    <xf numFmtId="1" fontId="6" fillId="0" borderId="714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08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5" xfId="23" applyNumberFormat="1" applyFont="1" applyBorder="1" applyAlignment="1">
      <alignment horizontal="center" vertical="center"/>
    </xf>
    <xf numFmtId="1" fontId="6" fillId="0" borderId="720" xfId="23" applyNumberFormat="1" applyFont="1" applyBorder="1" applyAlignment="1">
      <alignment horizontal="center" vertical="center"/>
    </xf>
    <xf numFmtId="1" fontId="6" fillId="0" borderId="903" xfId="23" applyNumberFormat="1" applyFont="1" applyBorder="1" applyAlignment="1">
      <alignment horizontal="center" vertical="center" wrapText="1"/>
    </xf>
    <xf numFmtId="1" fontId="6" fillId="0" borderId="756" xfId="23" applyNumberFormat="1" applyFont="1" applyBorder="1" applyAlignment="1">
      <alignment horizontal="left" vertical="center" wrapText="1"/>
    </xf>
    <xf numFmtId="1" fontId="6" fillId="0" borderId="759" xfId="23" applyNumberFormat="1" applyFont="1" applyBorder="1" applyAlignment="1">
      <alignment horizontal="left" vertical="center" wrapText="1"/>
    </xf>
    <xf numFmtId="1" fontId="6" fillId="0" borderId="725" xfId="25" applyNumberFormat="1" applyFont="1" applyBorder="1" applyAlignment="1">
      <alignment horizontal="center" vertical="center"/>
    </xf>
    <xf numFmtId="1" fontId="6" fillId="0" borderId="671" xfId="25" applyNumberFormat="1" applyFont="1" applyBorder="1" applyAlignment="1">
      <alignment horizontal="center" vertical="center"/>
    </xf>
    <xf numFmtId="1" fontId="6" fillId="0" borderId="714" xfId="25" applyNumberFormat="1" applyFont="1" applyBorder="1" applyAlignment="1">
      <alignment horizontal="center" vertical="center"/>
    </xf>
    <xf numFmtId="1" fontId="6" fillId="0" borderId="720" xfId="25" applyNumberFormat="1" applyFont="1" applyBorder="1" applyAlignment="1">
      <alignment horizontal="center" vertical="center"/>
    </xf>
    <xf numFmtId="1" fontId="6" fillId="0" borderId="740" xfId="25" applyNumberFormat="1" applyFont="1" applyBorder="1" applyAlignment="1">
      <alignment horizontal="center" vertical="center"/>
    </xf>
    <xf numFmtId="1" fontId="6" fillId="0" borderId="741" xfId="25" applyNumberFormat="1" applyFont="1" applyBorder="1" applyAlignment="1">
      <alignment horizontal="center" vertical="center"/>
    </xf>
    <xf numFmtId="1" fontId="6" fillId="0" borderId="748" xfId="0" applyNumberFormat="1" applyFont="1" applyBorder="1" applyAlignment="1">
      <alignment horizontal="center" vertical="center"/>
    </xf>
    <xf numFmtId="1" fontId="6" fillId="0" borderId="750" xfId="0" applyNumberFormat="1" applyFont="1" applyBorder="1" applyAlignment="1">
      <alignment horizontal="center" vertical="center"/>
    </xf>
    <xf numFmtId="1" fontId="6" fillId="0" borderId="406" xfId="23" applyNumberFormat="1" applyFont="1" applyBorder="1" applyAlignment="1">
      <alignment horizontal="center" vertical="center" wrapText="1"/>
    </xf>
    <xf numFmtId="1" fontId="6" fillId="0" borderId="68" xfId="23" applyNumberFormat="1" applyFont="1" applyBorder="1" applyAlignment="1">
      <alignment horizontal="center" vertical="center" wrapText="1"/>
    </xf>
    <xf numFmtId="1" fontId="6" fillId="0" borderId="406" xfId="25" applyNumberFormat="1" applyFont="1" applyBorder="1" applyAlignment="1">
      <alignment horizontal="center" vertical="center"/>
    </xf>
    <xf numFmtId="1" fontId="6" fillId="0" borderId="240" xfId="25" applyNumberFormat="1" applyFont="1" applyBorder="1" applyAlignment="1">
      <alignment horizontal="center" vertical="center"/>
    </xf>
    <xf numFmtId="1" fontId="6" fillId="0" borderId="241" xfId="25" applyNumberFormat="1" applyFont="1" applyBorder="1" applyAlignment="1">
      <alignment horizontal="center" vertical="center"/>
    </xf>
    <xf numFmtId="1" fontId="6" fillId="0" borderId="355" xfId="25" applyNumberFormat="1" applyFont="1" applyBorder="1" applyAlignment="1">
      <alignment horizontal="center" vertical="center"/>
    </xf>
    <xf numFmtId="1" fontId="6" fillId="0" borderId="175" xfId="25" applyNumberFormat="1" applyFont="1" applyBorder="1" applyAlignment="1">
      <alignment horizontal="center" vertical="center"/>
    </xf>
    <xf numFmtId="1" fontId="6" fillId="0" borderId="352" xfId="25" applyNumberFormat="1" applyFont="1" applyBorder="1" applyAlignment="1">
      <alignment horizontal="center" vertical="center"/>
    </xf>
    <xf numFmtId="1" fontId="6" fillId="0" borderId="732" xfId="23" applyNumberFormat="1" applyFont="1" applyBorder="1" applyAlignment="1">
      <alignment horizontal="center" vertical="center" wrapText="1"/>
    </xf>
    <xf numFmtId="1" fontId="6" fillId="0" borderId="721" xfId="23" applyNumberFormat="1" applyFont="1" applyBorder="1" applyAlignment="1">
      <alignment horizontal="center" vertical="center" wrapText="1"/>
    </xf>
    <xf numFmtId="1" fontId="6" fillId="0" borderId="396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 wrapText="1"/>
    </xf>
    <xf numFmtId="1" fontId="6" fillId="0" borderId="414" xfId="0" applyNumberFormat="1" applyFont="1" applyBorder="1" applyAlignment="1">
      <alignment horizontal="left" vertical="center" wrapText="1"/>
    </xf>
    <xf numFmtId="1" fontId="6" fillId="0" borderId="410" xfId="0" applyNumberFormat="1" applyFont="1" applyBorder="1" applyAlignment="1">
      <alignment horizontal="left" vertical="center"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05" xfId="23" applyNumberFormat="1" applyFont="1" applyBorder="1" applyAlignment="1">
      <alignment horizontal="center" vertical="center" wrapText="1"/>
    </xf>
    <xf numFmtId="1" fontId="6" fillId="0" borderId="356" xfId="23" applyNumberFormat="1" applyFont="1" applyBorder="1" applyAlignment="1">
      <alignment horizontal="center" vertical="center" wrapText="1"/>
    </xf>
    <xf numFmtId="1" fontId="6" fillId="0" borderId="225" xfId="23" quotePrefix="1" applyNumberFormat="1" applyFont="1" applyBorder="1" applyAlignment="1">
      <alignment horizontal="center" vertical="center" wrapText="1"/>
    </xf>
    <xf numFmtId="1" fontId="6" fillId="0" borderId="226" xfId="23" quotePrefix="1" applyNumberFormat="1" applyFont="1" applyBorder="1" applyAlignment="1">
      <alignment horizontal="center" vertical="center" wrapText="1"/>
    </xf>
    <xf numFmtId="1" fontId="6" fillId="0" borderId="228" xfId="23" quotePrefix="1" applyNumberFormat="1" applyFont="1" applyBorder="1" applyAlignment="1">
      <alignment horizontal="center" vertical="center" wrapText="1"/>
    </xf>
    <xf numFmtId="1" fontId="13" fillId="0" borderId="720" xfId="23" applyNumberFormat="1" applyFont="1" applyBorder="1" applyAlignment="1">
      <alignment horizontal="center"/>
    </xf>
    <xf numFmtId="1" fontId="13" fillId="0" borderId="741" xfId="23" applyNumberFormat="1" applyFont="1" applyBorder="1" applyAlignment="1">
      <alignment horizontal="center"/>
    </xf>
    <xf numFmtId="1" fontId="6" fillId="0" borderId="784" xfId="0" applyNumberFormat="1" applyFont="1" applyBorder="1" applyAlignment="1">
      <alignment horizontal="center" vertical="center" wrapText="1"/>
    </xf>
    <xf numFmtId="1" fontId="6" fillId="0" borderId="1038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left"/>
    </xf>
    <xf numFmtId="1" fontId="6" fillId="0" borderId="70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horizontal="left" vertical="center"/>
    </xf>
    <xf numFmtId="0" fontId="38" fillId="0" borderId="50" xfId="0" applyFont="1" applyBorder="1" applyAlignment="1">
      <alignment horizontal="left" vertical="center"/>
    </xf>
    <xf numFmtId="1" fontId="6" fillId="0" borderId="1258" xfId="0" applyNumberFormat="1" applyFont="1" applyBorder="1" applyAlignment="1">
      <alignment horizontal="center" vertical="center" wrapText="1"/>
    </xf>
    <xf numFmtId="1" fontId="6" fillId="0" borderId="1664" xfId="0" applyNumberFormat="1" applyFont="1" applyBorder="1" applyAlignment="1">
      <alignment horizontal="left" vertical="center"/>
    </xf>
    <xf numFmtId="1" fontId="6" fillId="0" borderId="1445" xfId="0" applyNumberFormat="1" applyFont="1" applyBorder="1" applyAlignment="1">
      <alignment horizontal="left" vertical="center"/>
    </xf>
    <xf numFmtId="1" fontId="6" fillId="0" borderId="1861" xfId="0" applyNumberFormat="1" applyFont="1" applyBorder="1" applyAlignment="1">
      <alignment horizontal="left" vertical="center"/>
    </xf>
    <xf numFmtId="1" fontId="6" fillId="0" borderId="1862" xfId="0" applyNumberFormat="1" applyFont="1" applyBorder="1" applyAlignment="1">
      <alignment horizontal="left" vertical="center"/>
    </xf>
    <xf numFmtId="1" fontId="6" fillId="0" borderId="728" xfId="23" quotePrefix="1" applyNumberFormat="1" applyFont="1" applyBorder="1" applyAlignment="1">
      <alignment horizontal="center" vertical="center" wrapText="1"/>
    </xf>
    <xf numFmtId="1" fontId="6" fillId="0" borderId="780" xfId="23" quotePrefix="1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8" xfId="0" applyNumberFormat="1" applyFont="1" applyBorder="1" applyAlignment="1">
      <alignment horizontal="left"/>
    </xf>
    <xf numFmtId="1" fontId="6" fillId="0" borderId="1231" xfId="0" applyNumberFormat="1" applyFont="1" applyBorder="1" applyAlignment="1">
      <alignment horizontal="center" vertical="center"/>
    </xf>
    <xf numFmtId="1" fontId="6" fillId="0" borderId="1232" xfId="0" applyNumberFormat="1" applyFont="1" applyBorder="1" applyAlignment="1">
      <alignment horizontal="center" vertical="center"/>
    </xf>
    <xf numFmtId="1" fontId="6" fillId="0" borderId="1233" xfId="0" applyNumberFormat="1" applyFont="1" applyBorder="1" applyAlignment="1">
      <alignment horizontal="center" vertical="center"/>
    </xf>
    <xf numFmtId="1" fontId="6" fillId="0" borderId="225" xfId="0" applyNumberFormat="1" applyFont="1" applyBorder="1" applyAlignment="1">
      <alignment horizontal="left" vertical="center" wrapText="1"/>
    </xf>
    <xf numFmtId="1" fontId="6" fillId="0" borderId="228" xfId="0" applyNumberFormat="1" applyFont="1" applyBorder="1" applyAlignment="1">
      <alignment horizontal="left" vertical="center" wrapText="1"/>
    </xf>
    <xf numFmtId="1" fontId="4" fillId="3" borderId="240" xfId="0" applyNumberFormat="1" applyFont="1" applyFill="1" applyBorder="1" applyAlignment="1">
      <alignment wrapText="1"/>
    </xf>
    <xf numFmtId="1" fontId="6" fillId="0" borderId="1259" xfId="0" applyNumberFormat="1" applyFont="1" applyBorder="1" applyAlignment="1">
      <alignment horizontal="center" vertical="center" wrapText="1"/>
    </xf>
    <xf numFmtId="1" fontId="6" fillId="14" borderId="1256" xfId="0" applyNumberFormat="1" applyFont="1" applyFill="1" applyBorder="1" applyAlignment="1">
      <alignment horizontal="center" vertical="center" wrapText="1"/>
    </xf>
    <xf numFmtId="1" fontId="6" fillId="0" borderId="396" xfId="0" applyNumberFormat="1" applyFont="1" applyBorder="1" applyAlignment="1">
      <alignment horizontal="left" vertical="center"/>
    </xf>
    <xf numFmtId="1" fontId="6" fillId="0" borderId="427" xfId="0" applyNumberFormat="1" applyFont="1" applyBorder="1" applyAlignment="1">
      <alignment horizontal="center" vertical="center" wrapText="1"/>
    </xf>
    <xf numFmtId="1" fontId="6" fillId="0" borderId="369" xfId="0" applyNumberFormat="1" applyFont="1" applyBorder="1" applyAlignment="1">
      <alignment horizontal="center" vertical="center" wrapText="1"/>
    </xf>
    <xf numFmtId="1" fontId="6" fillId="0" borderId="1279" xfId="0" applyNumberFormat="1" applyFont="1" applyBorder="1" applyAlignment="1">
      <alignment horizontal="center" vertical="center" wrapText="1"/>
    </xf>
    <xf numFmtId="1" fontId="6" fillId="0" borderId="1292" xfId="0" applyNumberFormat="1" applyFont="1" applyBorder="1" applyAlignment="1">
      <alignment horizontal="center" vertical="center" wrapText="1"/>
    </xf>
    <xf numFmtId="1" fontId="6" fillId="0" borderId="1288" xfId="0" applyNumberFormat="1" applyFont="1" applyBorder="1" applyAlignment="1">
      <alignment horizontal="center" vertical="center" wrapText="1"/>
    </xf>
    <xf numFmtId="1" fontId="6" fillId="0" borderId="1102" xfId="0" applyNumberFormat="1" applyFont="1" applyBorder="1" applyAlignment="1">
      <alignment horizontal="left" vertical="center" wrapText="1"/>
    </xf>
    <xf numFmtId="1" fontId="6" fillId="0" borderId="1117" xfId="0" applyNumberFormat="1" applyFont="1" applyBorder="1" applyAlignment="1">
      <alignment horizontal="left" vertical="center" wrapText="1"/>
    </xf>
    <xf numFmtId="1" fontId="2" fillId="3" borderId="44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24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352" xfId="0" applyNumberFormat="1" applyFont="1" applyBorder="1" applyAlignment="1">
      <alignment horizontal="center" vertical="center"/>
    </xf>
    <xf numFmtId="1" fontId="6" fillId="0" borderId="428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371" xfId="0" applyNumberFormat="1" applyFont="1" applyBorder="1" applyAlignment="1">
      <alignment horizontal="center" vertical="center" wrapText="1"/>
    </xf>
    <xf numFmtId="1" fontId="6" fillId="0" borderId="429" xfId="0" applyNumberFormat="1" applyFont="1" applyBorder="1" applyAlignment="1">
      <alignment horizontal="center" vertical="center" wrapText="1"/>
    </xf>
    <xf numFmtId="1" fontId="6" fillId="0" borderId="811" xfId="0" applyNumberFormat="1" applyFont="1" applyBorder="1" applyAlignment="1">
      <alignment horizontal="center" vertical="center"/>
    </xf>
    <xf numFmtId="1" fontId="6" fillId="0" borderId="1329" xfId="0" applyNumberFormat="1" applyFont="1" applyBorder="1" applyAlignment="1">
      <alignment horizontal="center" vertical="center" wrapText="1"/>
    </xf>
    <xf numFmtId="1" fontId="6" fillId="0" borderId="1330" xfId="0" applyNumberFormat="1" applyFont="1" applyBorder="1" applyAlignment="1">
      <alignment horizontal="center" vertical="center" wrapText="1"/>
    </xf>
    <xf numFmtId="1" fontId="6" fillId="0" borderId="1232" xfId="0" applyNumberFormat="1" applyFont="1" applyBorder="1" applyAlignment="1">
      <alignment horizontal="center" vertical="center" wrapText="1"/>
    </xf>
    <xf numFmtId="1" fontId="6" fillId="14" borderId="1231" xfId="0" applyNumberFormat="1" applyFont="1" applyFill="1" applyBorder="1" applyAlignment="1">
      <alignment horizontal="center" vertical="center" wrapText="1"/>
    </xf>
    <xf numFmtId="1" fontId="6" fillId="14" borderId="1233" xfId="0" applyNumberFormat="1" applyFont="1" applyFill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left"/>
    </xf>
    <xf numFmtId="1" fontId="6" fillId="0" borderId="400" xfId="0" applyNumberFormat="1" applyFont="1" applyBorder="1" applyAlignment="1">
      <alignment horizontal="left"/>
    </xf>
    <xf numFmtId="1" fontId="6" fillId="0" borderId="347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 wrapText="1"/>
    </xf>
    <xf numFmtId="1" fontId="4" fillId="3" borderId="175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406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1670" xfId="0" applyNumberFormat="1" applyFont="1" applyBorder="1" applyAlignment="1">
      <alignment horizontal="center" vertical="center" wrapText="1"/>
    </xf>
    <xf numFmtId="1" fontId="6" fillId="0" borderId="1712" xfId="0" applyNumberFormat="1" applyFont="1" applyBorder="1" applyAlignment="1">
      <alignment horizontal="center" vertical="center" wrapText="1"/>
    </xf>
    <xf numFmtId="1" fontId="6" fillId="0" borderId="1670" xfId="0" applyNumberFormat="1" applyFont="1" applyBorder="1" applyAlignment="1">
      <alignment horizontal="center" vertical="center"/>
    </xf>
    <xf numFmtId="1" fontId="6" fillId="0" borderId="1712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791" xfId="0" applyNumberFormat="1" applyFont="1" applyBorder="1" applyAlignment="1">
      <alignment horizontal="center" vertical="center" wrapText="1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1226" xfId="0" applyNumberFormat="1" applyFont="1" applyBorder="1" applyAlignment="1">
      <alignment horizontal="center" vertical="center" wrapText="1"/>
    </xf>
    <xf numFmtId="1" fontId="6" fillId="0" borderId="1230" xfId="0" applyNumberFormat="1" applyFont="1" applyBorder="1" applyAlignment="1">
      <alignment horizontal="center" vertical="center" wrapText="1"/>
    </xf>
    <xf numFmtId="1" fontId="6" fillId="0" borderId="178" xfId="23" applyNumberFormat="1" applyFont="1" applyBorder="1" applyAlignment="1">
      <alignment horizontal="center" vertical="center" wrapText="1"/>
    </xf>
    <xf numFmtId="1" fontId="6" fillId="0" borderId="362" xfId="23" applyNumberFormat="1" applyFont="1" applyBorder="1" applyAlignment="1">
      <alignment horizontal="center" vertical="center" wrapText="1"/>
    </xf>
    <xf numFmtId="1" fontId="6" fillId="0" borderId="347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1017" xfId="0" applyNumberFormat="1" applyFont="1" applyBorder="1" applyAlignment="1">
      <alignment horizontal="center" vertical="center" wrapText="1"/>
    </xf>
    <xf numFmtId="1" fontId="6" fillId="0" borderId="1122" xfId="0" applyNumberFormat="1" applyFont="1" applyBorder="1" applyAlignment="1">
      <alignment horizontal="center" vertical="center" wrapText="1"/>
    </xf>
    <xf numFmtId="1" fontId="6" fillId="0" borderId="1137" xfId="0" applyNumberFormat="1" applyFont="1" applyBorder="1" applyAlignment="1">
      <alignment horizontal="left" vertical="center" wrapText="1"/>
    </xf>
    <xf numFmtId="1" fontId="6" fillId="0" borderId="1283" xfId="0" applyNumberFormat="1" applyFont="1" applyBorder="1" applyAlignment="1">
      <alignment horizontal="left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757" xfId="0" applyNumberFormat="1" applyFont="1" applyBorder="1" applyAlignment="1">
      <alignment horizontal="left" vertical="center" wrapText="1"/>
    </xf>
    <xf numFmtId="1" fontId="6" fillId="0" borderId="1058" xfId="0" applyNumberFormat="1" applyFont="1" applyBorder="1" applyAlignment="1">
      <alignment horizontal="left" vertical="center" wrapText="1"/>
    </xf>
    <xf numFmtId="1" fontId="6" fillId="0" borderId="1138" xfId="0" applyNumberFormat="1" applyFont="1" applyBorder="1" applyAlignment="1">
      <alignment horizontal="left" vertical="center" wrapText="1"/>
    </xf>
    <xf numFmtId="1" fontId="6" fillId="0" borderId="1290" xfId="0" applyNumberFormat="1" applyFont="1" applyBorder="1" applyAlignment="1">
      <alignment horizontal="left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1691" xfId="0" applyNumberFormat="1" applyFont="1" applyBorder="1" applyAlignment="1">
      <alignment horizontal="center" vertical="center" wrapText="1"/>
    </xf>
    <xf numFmtId="1" fontId="6" fillId="0" borderId="1701" xfId="0" applyNumberFormat="1" applyFont="1" applyBorder="1" applyAlignment="1">
      <alignment horizontal="center" vertical="center" wrapText="1"/>
    </xf>
    <xf numFmtId="1" fontId="6" fillId="0" borderId="1715" xfId="0" applyNumberFormat="1" applyFont="1" applyBorder="1" applyAlignment="1">
      <alignment horizontal="center" vertical="center" wrapText="1"/>
    </xf>
    <xf numFmtId="1" fontId="6" fillId="0" borderId="1714" xfId="0" applyNumberFormat="1" applyFont="1" applyBorder="1" applyAlignment="1">
      <alignment horizontal="center" vertical="center" wrapText="1"/>
    </xf>
    <xf numFmtId="1" fontId="6" fillId="0" borderId="1716" xfId="0" applyNumberFormat="1" applyFont="1" applyBorder="1" applyAlignment="1">
      <alignment horizontal="center" vertical="center" wrapText="1"/>
    </xf>
    <xf numFmtId="1" fontId="6" fillId="0" borderId="1717" xfId="0" applyNumberFormat="1" applyFont="1" applyBorder="1" applyAlignment="1">
      <alignment horizontal="center" vertical="center" wrapText="1"/>
    </xf>
    <xf numFmtId="1" fontId="6" fillId="0" borderId="1697" xfId="0" applyNumberFormat="1" applyFont="1" applyBorder="1" applyAlignment="1">
      <alignment horizontal="center" vertical="center" wrapText="1"/>
    </xf>
    <xf numFmtId="1" fontId="6" fillId="0" borderId="1705" xfId="0" applyNumberFormat="1" applyFont="1" applyBorder="1" applyAlignment="1">
      <alignment horizontal="center" vertical="center" wrapText="1"/>
    </xf>
    <xf numFmtId="1" fontId="6" fillId="0" borderId="1593" xfId="0" applyNumberFormat="1" applyFont="1" applyBorder="1" applyAlignment="1">
      <alignment horizontal="center" vertical="center" wrapText="1"/>
    </xf>
    <xf numFmtId="1" fontId="6" fillId="0" borderId="1718" xfId="0" applyNumberFormat="1" applyFont="1" applyBorder="1" applyAlignment="1">
      <alignment horizontal="center" vertical="center" wrapText="1"/>
    </xf>
    <xf numFmtId="1" fontId="6" fillId="0" borderId="748" xfId="23" quotePrefix="1" applyNumberFormat="1" applyFont="1" applyBorder="1" applyAlignment="1">
      <alignment horizontal="center" vertical="center" wrapText="1"/>
    </xf>
    <xf numFmtId="1" fontId="6" fillId="0" borderId="749" xfId="23" quotePrefix="1" applyNumberFormat="1" applyFont="1" applyBorder="1" applyAlignment="1">
      <alignment horizontal="center" vertical="center" wrapText="1"/>
    </xf>
    <xf numFmtId="1" fontId="6" fillId="0" borderId="778" xfId="23" quotePrefix="1" applyNumberFormat="1" applyFont="1" applyBorder="1" applyAlignment="1">
      <alignment horizontal="center" vertical="center" wrapText="1"/>
    </xf>
    <xf numFmtId="1" fontId="6" fillId="0" borderId="735" xfId="23" applyNumberFormat="1" applyFont="1" applyBorder="1" applyAlignment="1">
      <alignment horizontal="center" vertical="center" wrapText="1"/>
    </xf>
    <xf numFmtId="1" fontId="6" fillId="0" borderId="740" xfId="23" applyNumberFormat="1" applyFont="1" applyBorder="1" applyAlignment="1">
      <alignment horizontal="center" vertical="center" wrapText="1"/>
    </xf>
    <xf numFmtId="1" fontId="6" fillId="0" borderId="240" xfId="23" applyNumberFormat="1" applyFont="1" applyBorder="1" applyAlignment="1">
      <alignment horizontal="center" vertical="center" wrapText="1"/>
    </xf>
    <xf numFmtId="1" fontId="6" fillId="0" borderId="175" xfId="23" applyNumberFormat="1" applyFont="1" applyBorder="1" applyAlignment="1">
      <alignment horizontal="center" vertical="center" wrapText="1"/>
    </xf>
    <xf numFmtId="1" fontId="6" fillId="0" borderId="780" xfId="0" applyNumberFormat="1" applyFont="1" applyBorder="1" applyAlignment="1">
      <alignment horizontal="center" vertical="center" wrapText="1"/>
    </xf>
    <xf numFmtId="1" fontId="6" fillId="0" borderId="1577" xfId="0" applyNumberFormat="1" applyFont="1" applyBorder="1" applyAlignment="1">
      <alignment horizontal="center" vertical="center"/>
    </xf>
    <xf numFmtId="1" fontId="6" fillId="0" borderId="1581" xfId="0" applyNumberFormat="1" applyFont="1" applyBorder="1" applyAlignment="1">
      <alignment horizontal="center" vertical="center"/>
    </xf>
    <xf numFmtId="1" fontId="6" fillId="0" borderId="1576" xfId="0" applyNumberFormat="1" applyFont="1" applyBorder="1" applyAlignment="1">
      <alignment horizontal="center" vertical="center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2266" xfId="0" applyNumberFormat="1" applyFont="1" applyBorder="1" applyAlignment="1">
      <alignment horizontal="center" vertical="center"/>
    </xf>
    <xf numFmtId="1" fontId="6" fillId="0" borderId="2267" xfId="0" applyNumberFormat="1" applyFont="1" applyBorder="1" applyAlignment="1">
      <alignment horizontal="center" vertical="center"/>
    </xf>
    <xf numFmtId="1" fontId="6" fillId="0" borderId="2268" xfId="0" applyNumberFormat="1" applyFont="1" applyBorder="1" applyAlignment="1">
      <alignment horizontal="center" vertical="center"/>
    </xf>
    <xf numFmtId="1" fontId="6" fillId="0" borderId="896" xfId="0" applyNumberFormat="1" applyFont="1" applyBorder="1" applyAlignment="1">
      <alignment horizontal="center" vertical="center" wrapText="1"/>
    </xf>
    <xf numFmtId="1" fontId="6" fillId="0" borderId="1578" xfId="0" applyNumberFormat="1" applyFont="1" applyBorder="1" applyAlignment="1">
      <alignment horizontal="center" vertical="center"/>
    </xf>
    <xf numFmtId="1" fontId="6" fillId="3" borderId="903" xfId="0" applyNumberFormat="1" applyFont="1" applyFill="1" applyBorder="1" applyAlignment="1">
      <alignment horizontal="center" vertical="center" wrapText="1"/>
    </xf>
    <xf numFmtId="1" fontId="6" fillId="3" borderId="1081" xfId="0" applyNumberFormat="1" applyFont="1" applyFill="1" applyBorder="1" applyAlignment="1">
      <alignment horizontal="center" vertical="center" wrapText="1"/>
    </xf>
    <xf numFmtId="1" fontId="6" fillId="0" borderId="1169" xfId="0" applyNumberFormat="1" applyFont="1" applyBorder="1" applyAlignment="1">
      <alignment horizontal="center" vertical="center" wrapText="1"/>
    </xf>
    <xf numFmtId="1" fontId="6" fillId="0" borderId="1081" xfId="0" applyNumberFormat="1" applyFont="1" applyBorder="1" applyAlignment="1">
      <alignment horizontal="center" vertical="center" wrapText="1"/>
    </xf>
    <xf numFmtId="1" fontId="6" fillId="0" borderId="2142" xfId="0" applyNumberFormat="1" applyFont="1" applyBorder="1" applyAlignment="1">
      <alignment horizontal="center" vertical="center"/>
    </xf>
    <xf numFmtId="1" fontId="6" fillId="0" borderId="2156" xfId="0" applyNumberFormat="1" applyFont="1" applyBorder="1" applyAlignment="1">
      <alignment horizontal="center" vertical="center"/>
    </xf>
    <xf numFmtId="1" fontId="6" fillId="0" borderId="2139" xfId="0" applyNumberFormat="1" applyFont="1" applyBorder="1" applyAlignment="1">
      <alignment horizontal="center" vertical="center" wrapText="1"/>
    </xf>
    <xf numFmtId="1" fontId="6" fillId="0" borderId="1920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/>
    </xf>
    <xf numFmtId="1" fontId="6" fillId="0" borderId="778" xfId="0" applyNumberFormat="1" applyFont="1" applyBorder="1" applyAlignment="1">
      <alignment horizontal="center" vertical="center"/>
    </xf>
    <xf numFmtId="1" fontId="6" fillId="0" borderId="748" xfId="0" applyNumberFormat="1" applyFont="1" applyBorder="1" applyAlignment="1">
      <alignment horizontal="center" wrapText="1"/>
    </xf>
    <xf numFmtId="1" fontId="6" fillId="0" borderId="750" xfId="0" applyNumberFormat="1" applyFont="1" applyBorder="1" applyAlignment="1">
      <alignment horizontal="center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2436" xfId="4" applyNumberFormat="1" applyFont="1" applyBorder="1" applyAlignment="1">
      <alignment horizontal="center" vertical="center" wrapText="1"/>
    </xf>
    <xf numFmtId="1" fontId="6" fillId="0" borderId="812" xfId="4" applyNumberFormat="1" applyFont="1" applyBorder="1" applyAlignment="1">
      <alignment horizontal="center" vertical="center" wrapText="1"/>
    </xf>
    <xf numFmtId="1" fontId="6" fillId="0" borderId="2470" xfId="4" applyNumberFormat="1" applyFont="1" applyBorder="1" applyAlignment="1">
      <alignment horizontal="center" vertical="center" wrapText="1"/>
    </xf>
    <xf numFmtId="1" fontId="6" fillId="0" borderId="1082" xfId="4" applyNumberFormat="1" applyFont="1" applyBorder="1" applyAlignment="1">
      <alignment horizontal="center" vertical="center" wrapText="1"/>
    </xf>
    <xf numFmtId="1" fontId="6" fillId="0" borderId="2435" xfId="4" applyNumberFormat="1" applyFont="1" applyBorder="1" applyAlignment="1">
      <alignment horizontal="center" vertical="center"/>
    </xf>
    <xf numFmtId="1" fontId="6" fillId="0" borderId="2481" xfId="4" applyNumberFormat="1" applyFont="1" applyBorder="1" applyAlignment="1">
      <alignment horizontal="center" vertical="center"/>
    </xf>
    <xf numFmtId="1" fontId="6" fillId="0" borderId="2475" xfId="4" applyNumberFormat="1" applyFont="1" applyBorder="1" applyAlignment="1">
      <alignment horizontal="center" vertical="center"/>
    </xf>
    <xf numFmtId="1" fontId="6" fillId="0" borderId="2230" xfId="4" applyNumberFormat="1" applyFont="1" applyBorder="1" applyAlignment="1">
      <alignment horizontal="center" vertical="center"/>
    </xf>
    <xf numFmtId="1" fontId="6" fillId="0" borderId="849" xfId="4" applyNumberFormat="1" applyFont="1" applyBorder="1" applyAlignment="1">
      <alignment horizontal="center" vertical="center" wrapText="1"/>
    </xf>
    <xf numFmtId="1" fontId="6" fillId="0" borderId="517" xfId="4" applyNumberFormat="1" applyFont="1" applyBorder="1" applyAlignment="1">
      <alignment horizontal="center" vertical="center" wrapText="1"/>
    </xf>
    <xf numFmtId="1" fontId="6" fillId="0" borderId="1091" xfId="4" applyNumberFormat="1" applyFont="1" applyBorder="1" applyAlignment="1">
      <alignment horizontal="center" vertical="center" wrapText="1"/>
    </xf>
    <xf numFmtId="1" fontId="6" fillId="0" borderId="653" xfId="4" applyNumberFormat="1" applyFont="1" applyBorder="1" applyAlignment="1">
      <alignment horizontal="center" vertical="center" wrapText="1"/>
    </xf>
    <xf numFmtId="1" fontId="6" fillId="0" borderId="669" xfId="4" applyNumberFormat="1" applyFont="1" applyBorder="1" applyAlignment="1">
      <alignment horizontal="center" vertical="center" wrapText="1"/>
    </xf>
    <xf numFmtId="1" fontId="6" fillId="0" borderId="530" xfId="4" applyNumberFormat="1" applyFont="1" applyBorder="1" applyAlignment="1">
      <alignment horizontal="center" vertical="center" wrapText="1"/>
    </xf>
    <xf numFmtId="1" fontId="6" fillId="0" borderId="370" xfId="4" applyNumberFormat="1" applyFont="1" applyBorder="1" applyAlignment="1">
      <alignment horizontal="center" vertical="center" wrapText="1"/>
    </xf>
    <xf numFmtId="1" fontId="6" fillId="0" borderId="2142" xfId="0" applyNumberFormat="1" applyFont="1" applyBorder="1" applyAlignment="1">
      <alignment horizontal="center" vertical="center" wrapText="1"/>
    </xf>
    <xf numFmtId="1" fontId="6" fillId="0" borderId="2156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/>
    </xf>
    <xf numFmtId="1" fontId="6" fillId="0" borderId="174" xfId="0" applyNumberFormat="1" applyFont="1" applyBorder="1" applyAlignment="1">
      <alignment horizontal="center" vertical="center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4" fillId="0" borderId="1692" xfId="0" applyNumberFormat="1" applyFont="1" applyBorder="1" applyAlignment="1">
      <alignment horizontal="left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151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33" xfId="0" applyNumberFormat="1" applyFont="1" applyBorder="1" applyAlignment="1">
      <alignment horizontal="center" vertical="center" wrapText="1"/>
    </xf>
    <xf numFmtId="1" fontId="6" fillId="0" borderId="82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2112" xfId="0" applyNumberFormat="1" applyFont="1" applyBorder="1" applyAlignment="1">
      <alignment horizontal="center" vertical="center"/>
    </xf>
    <xf numFmtId="1" fontId="6" fillId="0" borderId="2143" xfId="0" applyNumberFormat="1" applyFont="1" applyBorder="1" applyAlignment="1">
      <alignment horizontal="center" vertical="center"/>
    </xf>
    <xf numFmtId="1" fontId="6" fillId="0" borderId="1268" xfId="0" applyNumberFormat="1" applyFont="1" applyBorder="1" applyAlignment="1">
      <alignment horizontal="center" vertical="center"/>
    </xf>
    <xf numFmtId="1" fontId="6" fillId="0" borderId="1169" xfId="0" applyNumberFormat="1" applyFont="1" applyBorder="1" applyAlignment="1">
      <alignment horizontal="center" vertical="center"/>
    </xf>
    <xf numFmtId="1" fontId="6" fillId="0" borderId="1268" xfId="0" applyNumberFormat="1" applyFont="1" applyBorder="1" applyAlignment="1">
      <alignment horizontal="center" vertical="center" wrapText="1"/>
    </xf>
    <xf numFmtId="1" fontId="13" fillId="0" borderId="1813" xfId="0" applyNumberFormat="1" applyFont="1" applyBorder="1" applyAlignment="1">
      <alignment horizontal="left" vertical="center"/>
    </xf>
    <xf numFmtId="1" fontId="13" fillId="0" borderId="1692" xfId="0" applyNumberFormat="1" applyFont="1" applyBorder="1" applyAlignment="1">
      <alignment horizontal="left" vertical="center"/>
    </xf>
    <xf numFmtId="1" fontId="13" fillId="0" borderId="1543" xfId="0" applyNumberFormat="1" applyFont="1" applyBorder="1" applyAlignment="1">
      <alignment horizontal="left" vertical="center"/>
    </xf>
    <xf numFmtId="1" fontId="4" fillId="14" borderId="1692" xfId="17" quotePrefix="1" applyNumberFormat="1" applyFont="1" applyFill="1" applyBorder="1" applyAlignment="1">
      <alignment horizontal="left"/>
    </xf>
    <xf numFmtId="1" fontId="4" fillId="14" borderId="1853" xfId="17" quotePrefix="1" applyNumberFormat="1" applyFont="1" applyFill="1" applyBorder="1" applyAlignment="1">
      <alignment horizontal="left"/>
    </xf>
    <xf numFmtId="1" fontId="6" fillId="0" borderId="670" xfId="17" applyNumberFormat="1" applyFont="1" applyBorder="1" applyAlignment="1">
      <alignment horizontal="center" vertical="center" wrapText="1"/>
    </xf>
    <xf numFmtId="1" fontId="6" fillId="0" borderId="435" xfId="17" applyNumberFormat="1" applyFont="1" applyBorder="1" applyAlignment="1">
      <alignment horizontal="center" vertical="center" wrapText="1"/>
    </xf>
    <xf numFmtId="1" fontId="6" fillId="0" borderId="544" xfId="17" applyNumberFormat="1" applyFont="1" applyBorder="1" applyAlignment="1">
      <alignment horizontal="center" vertical="center" wrapText="1"/>
    </xf>
    <xf numFmtId="1" fontId="6" fillId="0" borderId="1640" xfId="4" applyNumberFormat="1" applyFont="1" applyBorder="1" applyAlignment="1">
      <alignment horizontal="center" vertical="center"/>
    </xf>
    <xf numFmtId="1" fontId="6" fillId="0" borderId="811" xfId="4" applyNumberFormat="1" applyFont="1" applyBorder="1" applyAlignment="1">
      <alignment horizontal="center" vertical="center"/>
    </xf>
    <xf numFmtId="1" fontId="6" fillId="0" borderId="1641" xfId="4" applyNumberFormat="1" applyFont="1" applyBorder="1" applyAlignment="1">
      <alignment horizontal="center" vertical="center"/>
    </xf>
    <xf numFmtId="1" fontId="6" fillId="0" borderId="1735" xfId="4" applyNumberFormat="1" applyFont="1" applyBorder="1" applyAlignment="1">
      <alignment horizontal="center" vertical="center"/>
    </xf>
    <xf numFmtId="1" fontId="6" fillId="0" borderId="1677" xfId="4" applyNumberFormat="1" applyFont="1" applyBorder="1" applyAlignment="1">
      <alignment horizontal="center" vertical="center"/>
    </xf>
    <xf numFmtId="1" fontId="6" fillId="0" borderId="1678" xfId="4" applyNumberFormat="1" applyFont="1" applyBorder="1" applyAlignment="1">
      <alignment horizontal="center" vertical="center"/>
    </xf>
    <xf numFmtId="1" fontId="6" fillId="0" borderId="2437" xfId="4" applyNumberFormat="1" applyFont="1" applyBorder="1" applyAlignment="1">
      <alignment horizontal="center" vertical="center"/>
    </xf>
    <xf numFmtId="1" fontId="6" fillId="0" borderId="2469" xfId="4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 wrapText="1"/>
    </xf>
    <xf numFmtId="1" fontId="6" fillId="3" borderId="197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74" xfId="0" applyNumberFormat="1" applyFont="1" applyFill="1" applyBorder="1" applyAlignment="1">
      <alignment horizontal="center" vertical="center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2380" xfId="0" applyNumberFormat="1" applyFont="1" applyBorder="1" applyAlignment="1">
      <alignment horizontal="center" vertical="center"/>
    </xf>
    <xf numFmtId="1" fontId="6" fillId="0" borderId="2381" xfId="0" applyNumberFormat="1" applyFont="1" applyBorder="1" applyAlignment="1">
      <alignment horizontal="center" vertical="center"/>
    </xf>
    <xf numFmtId="1" fontId="6" fillId="0" borderId="658" xfId="17" applyNumberFormat="1" applyFont="1" applyBorder="1" applyAlignment="1">
      <alignment horizontal="center" vertical="center" wrapText="1"/>
    </xf>
    <xf numFmtId="1" fontId="6" fillId="0" borderId="656" xfId="17" applyNumberFormat="1" applyFont="1" applyBorder="1" applyAlignment="1">
      <alignment horizontal="center" vertical="center" wrapText="1"/>
    </xf>
    <xf numFmtId="1" fontId="6" fillId="0" borderId="657" xfId="17" applyNumberFormat="1" applyFont="1" applyBorder="1" applyAlignment="1">
      <alignment horizontal="center" vertical="center" wrapText="1"/>
    </xf>
    <xf numFmtId="1" fontId="6" fillId="0" borderId="187" xfId="17" applyNumberFormat="1" applyFont="1" applyBorder="1" applyAlignment="1">
      <alignment horizontal="center" vertical="center" wrapText="1"/>
    </xf>
    <xf numFmtId="1" fontId="6" fillId="0" borderId="174" xfId="17" applyNumberFormat="1" applyFont="1" applyBorder="1" applyAlignment="1">
      <alignment horizontal="center" vertical="center" wrapText="1"/>
    </xf>
    <xf numFmtId="1" fontId="6" fillId="0" borderId="188" xfId="17" applyNumberFormat="1" applyFont="1" applyBorder="1" applyAlignment="1">
      <alignment horizontal="center" vertical="center" wrapText="1"/>
    </xf>
    <xf numFmtId="1" fontId="6" fillId="0" borderId="176" xfId="17" applyNumberFormat="1" applyFont="1" applyBorder="1" applyAlignment="1">
      <alignment horizontal="center" vertical="center" wrapText="1"/>
    </xf>
    <xf numFmtId="1" fontId="6" fillId="0" borderId="1293" xfId="0" applyNumberFormat="1" applyFont="1" applyBorder="1" applyAlignment="1">
      <alignment horizontal="center" vertical="center" wrapText="1"/>
    </xf>
    <xf numFmtId="1" fontId="6" fillId="0" borderId="1303" xfId="0" applyNumberFormat="1" applyFont="1" applyBorder="1" applyAlignment="1">
      <alignment horizontal="center" vertical="center"/>
    </xf>
    <xf numFmtId="1" fontId="6" fillId="0" borderId="1304" xfId="0" applyNumberFormat="1" applyFont="1" applyBorder="1" applyAlignment="1">
      <alignment horizontal="center" vertical="center"/>
    </xf>
    <xf numFmtId="1" fontId="6" fillId="0" borderId="1305" xfId="0" applyNumberFormat="1" applyFont="1" applyBorder="1" applyAlignment="1">
      <alignment horizontal="center" vertical="center"/>
    </xf>
    <xf numFmtId="1" fontId="6" fillId="0" borderId="1000" xfId="0" applyNumberFormat="1" applyFont="1" applyBorder="1" applyAlignment="1">
      <alignment horizontal="center" vertical="center"/>
    </xf>
    <xf numFmtId="1" fontId="6" fillId="0" borderId="1331" xfId="0" applyNumberFormat="1" applyFont="1" applyBorder="1" applyAlignment="1">
      <alignment horizontal="center" vertical="center"/>
    </xf>
    <xf numFmtId="1" fontId="6" fillId="0" borderId="1329" xfId="0" applyNumberFormat="1" applyFont="1" applyBorder="1" applyAlignment="1">
      <alignment horizontal="center" vertical="center"/>
    </xf>
    <xf numFmtId="1" fontId="6" fillId="0" borderId="1330" xfId="0" applyNumberFormat="1" applyFont="1" applyBorder="1" applyAlignment="1">
      <alignment horizontal="center" vertical="center"/>
    </xf>
    <xf numFmtId="1" fontId="6" fillId="0" borderId="1002" xfId="0" applyNumberFormat="1" applyFont="1" applyBorder="1" applyAlignment="1">
      <alignment horizontal="center" vertical="center"/>
    </xf>
    <xf numFmtId="1" fontId="6" fillId="0" borderId="1092" xfId="0" applyNumberFormat="1" applyFont="1" applyBorder="1" applyAlignment="1">
      <alignment horizontal="center" vertical="center"/>
    </xf>
    <xf numFmtId="1" fontId="6" fillId="0" borderId="1580" xfId="0" applyNumberFormat="1" applyFont="1" applyBorder="1" applyAlignment="1">
      <alignment horizontal="center" vertical="center"/>
    </xf>
    <xf numFmtId="1" fontId="6" fillId="0" borderId="1274" xfId="0" applyNumberFormat="1" applyFont="1" applyBorder="1" applyAlignment="1">
      <alignment horizontal="center" vertical="center"/>
    </xf>
    <xf numFmtId="1" fontId="6" fillId="0" borderId="896" xfId="0" applyNumberFormat="1" applyFont="1" applyBorder="1" applyAlignment="1">
      <alignment horizontal="center" vertical="center"/>
    </xf>
    <xf numFmtId="1" fontId="32" fillId="0" borderId="650" xfId="0" applyNumberFormat="1" applyFont="1" applyBorder="1" applyAlignment="1">
      <alignment horizontal="center" vertical="center" wrapText="1"/>
    </xf>
    <xf numFmtId="1" fontId="32" fillId="0" borderId="784" xfId="0" applyNumberFormat="1" applyFont="1" applyBorder="1" applyAlignment="1">
      <alignment horizontal="center" vertical="center" wrapText="1"/>
    </xf>
    <xf numFmtId="1" fontId="32" fillId="0" borderId="771" xfId="0" applyNumberFormat="1" applyFont="1" applyBorder="1" applyAlignment="1">
      <alignment horizontal="center" vertical="center" wrapText="1"/>
    </xf>
    <xf numFmtId="1" fontId="32" fillId="0" borderId="669" xfId="0" applyNumberFormat="1" applyFont="1" applyBorder="1" applyAlignment="1">
      <alignment horizontal="center" vertical="center"/>
    </xf>
    <xf numFmtId="1" fontId="32" fillId="0" borderId="517" xfId="0" applyNumberFormat="1" applyFont="1" applyBorder="1" applyAlignment="1">
      <alignment horizontal="center" vertical="center"/>
    </xf>
    <xf numFmtId="1" fontId="32" fillId="0" borderId="741" xfId="0" applyNumberFormat="1" applyFont="1" applyBorder="1" applyAlignment="1">
      <alignment horizontal="center" vertical="center"/>
    </xf>
    <xf numFmtId="1" fontId="32" fillId="0" borderId="1932" xfId="0" applyNumberFormat="1" applyFont="1" applyBorder="1" applyAlignment="1">
      <alignment horizontal="center" vertical="center" wrapText="1"/>
    </xf>
    <xf numFmtId="1" fontId="32" fillId="0" borderId="1930" xfId="0" applyNumberFormat="1" applyFont="1" applyBorder="1" applyAlignment="1">
      <alignment horizontal="center" vertical="center" wrapText="1"/>
    </xf>
    <xf numFmtId="1" fontId="32" fillId="0" borderId="1933" xfId="0" applyNumberFormat="1" applyFont="1" applyBorder="1" applyAlignment="1">
      <alignment horizontal="center" vertical="center" wrapText="1"/>
    </xf>
    <xf numFmtId="1" fontId="32" fillId="0" borderId="1934" xfId="0" applyNumberFormat="1" applyFont="1" applyBorder="1" applyAlignment="1">
      <alignment horizontal="center" vertical="center" wrapText="1"/>
    </xf>
    <xf numFmtId="1" fontId="32" fillId="0" borderId="732" xfId="0" applyNumberFormat="1" applyFont="1" applyBorder="1" applyAlignment="1">
      <alignment horizontal="center" vertical="center" wrapText="1"/>
    </xf>
    <xf numFmtId="1" fontId="32" fillId="0" borderId="435" xfId="0" applyNumberFormat="1" applyFont="1" applyBorder="1" applyAlignment="1">
      <alignment horizontal="center" vertical="center" wrapText="1"/>
    </xf>
    <xf numFmtId="1" fontId="32" fillId="0" borderId="721" xfId="0" applyNumberFormat="1" applyFont="1" applyBorder="1" applyAlignment="1">
      <alignment horizontal="center" vertical="center" wrapText="1"/>
    </xf>
    <xf numFmtId="1" fontId="6" fillId="0" borderId="2397" xfId="0" applyNumberFormat="1" applyFont="1" applyBorder="1" applyAlignment="1">
      <alignment horizontal="center" vertical="center" wrapText="1"/>
    </xf>
    <xf numFmtId="1" fontId="6" fillId="0" borderId="2424" xfId="0" applyNumberFormat="1" applyFont="1" applyBorder="1" applyAlignment="1">
      <alignment horizontal="center" vertical="center" wrapText="1"/>
    </xf>
    <xf numFmtId="0" fontId="6" fillId="0" borderId="2397" xfId="0" applyFont="1" applyBorder="1" applyAlignment="1">
      <alignment horizontal="center" vertical="center"/>
    </xf>
    <xf numFmtId="0" fontId="6" fillId="0" borderId="2424" xfId="0" applyFont="1" applyBorder="1" applyAlignment="1">
      <alignment horizontal="center" vertical="center"/>
    </xf>
    <xf numFmtId="0" fontId="6" fillId="0" borderId="2403" xfId="0" applyFont="1" applyBorder="1" applyAlignment="1">
      <alignment horizontal="center" vertical="center"/>
    </xf>
    <xf numFmtId="0" fontId="6" fillId="0" borderId="2417" xfId="0" applyFont="1" applyBorder="1" applyAlignment="1">
      <alignment horizontal="center" vertical="center"/>
    </xf>
    <xf numFmtId="0" fontId="6" fillId="0" borderId="2404" xfId="0" applyFont="1" applyBorder="1" applyAlignment="1">
      <alignment horizontal="center" vertical="center"/>
    </xf>
    <xf numFmtId="0" fontId="6" fillId="0" borderId="2411" xfId="0" applyFont="1" applyBorder="1" applyAlignment="1">
      <alignment horizontal="center" vertical="center" wrapText="1"/>
    </xf>
    <xf numFmtId="0" fontId="6" fillId="0" borderId="2409" xfId="0" applyFont="1" applyBorder="1" applyAlignment="1">
      <alignment horizontal="center" vertical="center" wrapText="1"/>
    </xf>
    <xf numFmtId="0" fontId="0" fillId="0" borderId="669" xfId="0" applyBorder="1" applyAlignment="1">
      <alignment horizontal="center" vertical="center"/>
    </xf>
    <xf numFmtId="0" fontId="0" fillId="0" borderId="517" xfId="0" applyBorder="1" applyAlignment="1">
      <alignment horizontal="center" vertical="center"/>
    </xf>
    <xf numFmtId="0" fontId="0" fillId="0" borderId="741" xfId="0" applyBorder="1" applyAlignment="1">
      <alignment horizontal="center" vertical="center"/>
    </xf>
    <xf numFmtId="0" fontId="32" fillId="0" borderId="748" xfId="0" applyFont="1" applyBorder="1" applyAlignment="1">
      <alignment horizontal="center" vertical="center"/>
    </xf>
    <xf numFmtId="0" fontId="32" fillId="0" borderId="749" xfId="0" applyFont="1" applyBorder="1" applyAlignment="1">
      <alignment horizontal="center" vertical="center"/>
    </xf>
    <xf numFmtId="0" fontId="32" fillId="0" borderId="778" xfId="0" applyFont="1" applyBorder="1" applyAlignment="1">
      <alignment horizontal="center" vertical="center"/>
    </xf>
    <xf numFmtId="1" fontId="32" fillId="0" borderId="224" xfId="0" applyNumberFormat="1" applyFont="1" applyBorder="1" applyAlignment="1">
      <alignment horizontal="center" vertical="center" wrapText="1"/>
    </xf>
    <xf numFmtId="1" fontId="32" fillId="0" borderId="237" xfId="0" applyNumberFormat="1" applyFont="1" applyBorder="1" applyAlignment="1">
      <alignment horizontal="center" vertical="center" wrapText="1"/>
    </xf>
    <xf numFmtId="1" fontId="32" fillId="0" borderId="2409" xfId="0" applyNumberFormat="1" applyFont="1" applyBorder="1"/>
    <xf numFmtId="1" fontId="32" fillId="0" borderId="257" xfId="0" applyNumberFormat="1" applyFont="1" applyBorder="1" applyAlignment="1">
      <alignment horizontal="center" vertical="center" wrapText="1"/>
    </xf>
    <xf numFmtId="1" fontId="32" fillId="0" borderId="256" xfId="0" applyNumberFormat="1" applyFont="1" applyBorder="1" applyAlignment="1">
      <alignment horizontal="center" vertical="center" wrapText="1"/>
    </xf>
    <xf numFmtId="1" fontId="32" fillId="0" borderId="255" xfId="0" applyNumberFormat="1" applyFont="1" applyBorder="1" applyAlignment="1">
      <alignment horizontal="center" vertical="center" wrapText="1"/>
    </xf>
    <xf numFmtId="1" fontId="32" fillId="0" borderId="239" xfId="0" applyNumberFormat="1" applyFont="1" applyBorder="1" applyAlignment="1">
      <alignment horizontal="center" vertical="center" wrapText="1"/>
    </xf>
    <xf numFmtId="1" fontId="32" fillId="0" borderId="175" xfId="0" applyNumberFormat="1" applyFont="1" applyBorder="1" applyAlignment="1">
      <alignment horizontal="center" vertical="center" wrapText="1"/>
    </xf>
    <xf numFmtId="1" fontId="32" fillId="0" borderId="177" xfId="0" applyNumberFormat="1" applyFont="1" applyBorder="1" applyAlignment="1">
      <alignment horizontal="center" vertical="center" wrapText="1"/>
    </xf>
    <xf numFmtId="1" fontId="32" fillId="0" borderId="706" xfId="0" applyNumberFormat="1" applyFont="1" applyBorder="1" applyAlignment="1">
      <alignment horizontal="center" vertical="center" wrapText="1"/>
    </xf>
    <xf numFmtId="1" fontId="32" fillId="0" borderId="544" xfId="0" applyNumberFormat="1" applyFont="1" applyBorder="1" applyAlignment="1">
      <alignment horizontal="center" vertical="center" wrapText="1"/>
    </xf>
    <xf numFmtId="1" fontId="32" fillId="0" borderId="725" xfId="0" applyNumberFormat="1" applyFont="1" applyBorder="1" applyAlignment="1">
      <alignment horizontal="center" vertical="center" wrapText="1"/>
    </xf>
    <xf numFmtId="1" fontId="32" fillId="0" borderId="714" xfId="0" applyNumberFormat="1" applyFont="1" applyBorder="1" applyAlignment="1">
      <alignment horizontal="center" vertical="center" wrapText="1"/>
    </xf>
    <xf numFmtId="1" fontId="32" fillId="0" borderId="530" xfId="0" applyNumberFormat="1" applyFont="1" applyBorder="1" applyAlignment="1">
      <alignment horizontal="center" vertical="center" wrapText="1"/>
    </xf>
    <xf numFmtId="1" fontId="32" fillId="0" borderId="439" xfId="0" applyNumberFormat="1" applyFont="1" applyBorder="1" applyAlignment="1">
      <alignment horizontal="center" vertical="center" wrapText="1"/>
    </xf>
    <xf numFmtId="1" fontId="32" fillId="0" borderId="23" xfId="0" applyNumberFormat="1" applyFont="1" applyBorder="1" applyAlignment="1">
      <alignment wrapText="1"/>
    </xf>
    <xf numFmtId="1" fontId="32" fillId="0" borderId="21" xfId="0" applyNumberFormat="1" applyFont="1" applyBorder="1" applyAlignment="1">
      <alignment wrapText="1"/>
    </xf>
    <xf numFmtId="1" fontId="32" fillId="0" borderId="629" xfId="0" applyNumberFormat="1" applyFont="1" applyBorder="1" applyAlignment="1">
      <alignment wrapText="1"/>
    </xf>
    <xf numFmtId="1" fontId="32" fillId="0" borderId="50" xfId="0" applyNumberFormat="1" applyFont="1" applyBorder="1" applyAlignment="1">
      <alignment wrapText="1"/>
    </xf>
    <xf numFmtId="1" fontId="32" fillId="0" borderId="536" xfId="0" applyNumberFormat="1" applyFont="1" applyBorder="1" applyAlignment="1">
      <alignment wrapText="1"/>
    </xf>
    <xf numFmtId="1" fontId="32" fillId="0" borderId="40" xfId="0" applyNumberFormat="1" applyFont="1" applyBorder="1" applyAlignment="1">
      <alignment wrapText="1"/>
    </xf>
    <xf numFmtId="1" fontId="32" fillId="0" borderId="249" xfId="0" applyNumberFormat="1" applyFont="1" applyBorder="1" applyAlignment="1">
      <alignment horizontal="center" vertical="center" wrapText="1"/>
    </xf>
    <xf numFmtId="1" fontId="32" fillId="0" borderId="1150" xfId="0" applyNumberFormat="1" applyFont="1" applyBorder="1" applyAlignment="1">
      <alignment horizontal="center" vertical="center"/>
    </xf>
    <xf numFmtId="1" fontId="32" fillId="0" borderId="1107" xfId="0" applyNumberFormat="1" applyFont="1" applyBorder="1" applyAlignment="1">
      <alignment horizontal="center" vertical="center"/>
    </xf>
    <xf numFmtId="1" fontId="32" fillId="0" borderId="1151" xfId="0" applyNumberFormat="1" applyFont="1" applyBorder="1" applyAlignment="1">
      <alignment horizontal="center" vertical="center"/>
    </xf>
    <xf numFmtId="1" fontId="32" fillId="0" borderId="1274" xfId="0" applyNumberFormat="1" applyFont="1" applyBorder="1" applyAlignment="1">
      <alignment horizontal="center" vertical="center" wrapText="1"/>
    </xf>
    <xf numFmtId="1" fontId="32" fillId="0" borderId="113" xfId="0" applyNumberFormat="1" applyFont="1" applyBorder="1" applyAlignment="1">
      <alignment horizontal="center" vertical="center" wrapText="1"/>
    </xf>
    <xf numFmtId="1" fontId="32" fillId="0" borderId="1037" xfId="0" applyNumberFormat="1" applyFont="1" applyBorder="1" applyAlignment="1">
      <alignment horizontal="center" vertical="center" wrapText="1"/>
    </xf>
    <xf numFmtId="1" fontId="32" fillId="0" borderId="1176" xfId="0" applyNumberFormat="1" applyFont="1" applyBorder="1" applyAlignment="1">
      <alignment horizontal="center" vertical="center" wrapText="1"/>
    </xf>
    <xf numFmtId="1" fontId="32" fillId="0" borderId="225" xfId="0" applyNumberFormat="1" applyFont="1" applyBorder="1" applyAlignment="1">
      <alignment horizontal="center" vertical="center" wrapText="1"/>
    </xf>
    <xf numFmtId="1" fontId="32" fillId="0" borderId="227" xfId="0" applyNumberFormat="1" applyFont="1" applyBorder="1" applyAlignment="1">
      <alignment horizontal="center" vertical="center" wrapText="1"/>
    </xf>
    <xf numFmtId="1" fontId="32" fillId="0" borderId="1014" xfId="0" applyNumberFormat="1" applyFont="1" applyBorder="1" applyAlignment="1">
      <alignment horizontal="center" vertical="center" wrapText="1"/>
    </xf>
    <xf numFmtId="1" fontId="32" fillId="0" borderId="1945" xfId="0" applyNumberFormat="1" applyFont="1" applyBorder="1" applyAlignment="1">
      <alignment horizontal="center" vertical="center" wrapText="1"/>
    </xf>
    <xf numFmtId="1" fontId="32" fillId="0" borderId="1303" xfId="0" applyNumberFormat="1" applyFont="1" applyBorder="1" applyAlignment="1">
      <alignment horizontal="center" vertical="center" wrapText="1"/>
    </xf>
    <xf numFmtId="1" fontId="32" fillId="0" borderId="1304" xfId="0" applyNumberFormat="1" applyFont="1" applyBorder="1" applyAlignment="1">
      <alignment horizontal="center" vertical="center" wrapText="1"/>
    </xf>
    <xf numFmtId="1" fontId="32" fillId="0" borderId="1305" xfId="0" applyNumberFormat="1" applyFont="1" applyBorder="1" applyAlignment="1">
      <alignment horizontal="center" vertical="center" wrapText="1"/>
    </xf>
    <xf numFmtId="1" fontId="49" fillId="31" borderId="1760" xfId="0" applyNumberFormat="1" applyFont="1" applyFill="1" applyBorder="1" applyAlignment="1">
      <alignment horizontal="center" vertical="center" wrapText="1"/>
    </xf>
    <xf numFmtId="1" fontId="32" fillId="0" borderId="517" xfId="0" applyNumberFormat="1" applyFont="1" applyBorder="1" applyAlignment="1">
      <alignment horizontal="center" vertical="center" wrapText="1"/>
    </xf>
    <xf numFmtId="1" fontId="32" fillId="0" borderId="1081" xfId="0" applyNumberFormat="1" applyFont="1" applyBorder="1" applyAlignment="1">
      <alignment horizontal="center" vertical="center" wrapText="1"/>
    </xf>
    <xf numFmtId="1" fontId="63" fillId="0" borderId="225" xfId="0" applyNumberFormat="1" applyFont="1" applyBorder="1"/>
    <xf numFmtId="1" fontId="63" fillId="0" borderId="228" xfId="0" applyNumberFormat="1" applyFont="1" applyBorder="1"/>
    <xf numFmtId="1" fontId="32" fillId="0" borderId="225" xfId="0" applyNumberFormat="1" applyFont="1" applyBorder="1" applyAlignment="1">
      <alignment wrapText="1"/>
    </xf>
    <xf numFmtId="1" fontId="32" fillId="0" borderId="228" xfId="0" applyNumberFormat="1" applyFont="1" applyBorder="1" applyAlignment="1">
      <alignment wrapText="1"/>
    </xf>
    <xf numFmtId="1" fontId="32" fillId="0" borderId="35" xfId="0" applyNumberFormat="1" applyFont="1" applyBorder="1" applyAlignment="1">
      <alignment horizontal="center" vertical="center" wrapText="1"/>
    </xf>
    <xf numFmtId="1" fontId="32" fillId="0" borderId="706" xfId="0" applyNumberFormat="1" applyFont="1" applyBorder="1" applyAlignment="1" applyProtection="1">
      <alignment horizontal="center" vertical="center"/>
      <protection hidden="1"/>
    </xf>
    <xf numFmtId="1" fontId="32" fillId="0" borderId="435" xfId="0" applyNumberFormat="1" applyFont="1" applyBorder="1" applyAlignment="1" applyProtection="1">
      <alignment horizontal="center" vertical="center"/>
      <protection hidden="1"/>
    </xf>
    <xf numFmtId="1" fontId="32" fillId="0" borderId="544" xfId="0" applyNumberFormat="1" applyFont="1" applyBorder="1" applyAlignment="1" applyProtection="1">
      <alignment horizontal="center" vertical="center"/>
      <protection hidden="1"/>
    </xf>
    <xf numFmtId="1" fontId="32" fillId="0" borderId="706" xfId="0" applyNumberFormat="1" applyFont="1" applyBorder="1" applyAlignment="1" applyProtection="1">
      <alignment horizontal="center" vertical="center" wrapText="1"/>
      <protection hidden="1"/>
    </xf>
    <xf numFmtId="1" fontId="32" fillId="0" borderId="544" xfId="0" applyNumberFormat="1" applyFont="1" applyBorder="1" applyAlignment="1" applyProtection="1">
      <alignment horizontal="center" vertical="center" wrapText="1"/>
      <protection hidden="1"/>
    </xf>
    <xf numFmtId="1" fontId="32" fillId="0" borderId="1593" xfId="0" applyNumberFormat="1" applyFont="1" applyBorder="1" applyAlignment="1">
      <alignment horizontal="center" vertical="center" wrapText="1"/>
    </xf>
    <xf numFmtId="1" fontId="32" fillId="0" borderId="382" xfId="0" applyNumberFormat="1" applyFont="1" applyBorder="1" applyAlignment="1">
      <alignment horizontal="center" vertical="center" wrapText="1"/>
    </xf>
    <xf numFmtId="1" fontId="32" fillId="0" borderId="594" xfId="0" applyNumberFormat="1" applyFont="1" applyBorder="1" applyAlignment="1">
      <alignment horizontal="center" vertical="center" wrapText="1"/>
    </xf>
    <xf numFmtId="1" fontId="32" fillId="14" borderId="275" xfId="0" applyNumberFormat="1" applyFont="1" applyFill="1" applyBorder="1" applyAlignment="1">
      <alignment horizontal="center" vertical="center" wrapText="1"/>
    </xf>
    <xf numFmtId="1" fontId="32" fillId="14" borderId="24" xfId="0" applyNumberFormat="1" applyFont="1" applyFill="1" applyBorder="1" applyAlignment="1">
      <alignment horizontal="center" vertical="center" wrapText="1"/>
    </xf>
    <xf numFmtId="1" fontId="32" fillId="0" borderId="9" xfId="0" applyNumberFormat="1" applyFont="1" applyBorder="1" applyAlignment="1">
      <alignment horizontal="center" vertical="center" wrapText="1"/>
    </xf>
    <xf numFmtId="1" fontId="32" fillId="0" borderId="1009" xfId="0" applyNumberFormat="1" applyFont="1" applyBorder="1" applyAlignment="1">
      <alignment horizontal="center" vertical="center" wrapText="1"/>
    </xf>
    <xf numFmtId="1" fontId="32" fillId="0" borderId="1123" xfId="0" applyNumberFormat="1" applyFont="1" applyBorder="1" applyAlignment="1">
      <alignment horizontal="center" vertical="center" wrapText="1"/>
    </xf>
    <xf numFmtId="1" fontId="32" fillId="14" borderId="748" xfId="0" applyNumberFormat="1" applyFont="1" applyFill="1" applyBorder="1" applyAlignment="1">
      <alignment horizontal="center" vertical="center" wrapText="1"/>
    </xf>
    <xf numFmtId="1" fontId="32" fillId="14" borderId="749" xfId="0" applyNumberFormat="1" applyFont="1" applyFill="1" applyBorder="1" applyAlignment="1">
      <alignment horizontal="center" vertical="center" wrapText="1"/>
    </xf>
    <xf numFmtId="1" fontId="32" fillId="14" borderId="750" xfId="0" applyNumberFormat="1" applyFont="1" applyFill="1" applyBorder="1" applyAlignment="1">
      <alignment horizontal="center" vertical="center" wrapText="1"/>
    </xf>
    <xf numFmtId="1" fontId="32" fillId="0" borderId="1945" xfId="0" applyNumberFormat="1" applyFont="1" applyBorder="1" applyAlignment="1">
      <alignment horizontal="center" vertical="center"/>
    </xf>
    <xf numFmtId="1" fontId="32" fillId="0" borderId="2454" xfId="0" applyNumberFormat="1" applyFont="1" applyBorder="1" applyAlignment="1">
      <alignment horizontal="center" vertical="center"/>
    </xf>
    <xf numFmtId="1" fontId="32" fillId="3" borderId="1015" xfId="0" applyNumberFormat="1" applyFont="1" applyFill="1" applyBorder="1" applyAlignment="1">
      <alignment horizontal="center" vertical="center" wrapText="1"/>
    </xf>
    <xf numFmtId="1" fontId="32" fillId="3" borderId="1016" xfId="0" applyNumberFormat="1" applyFont="1" applyFill="1" applyBorder="1" applyAlignment="1">
      <alignment horizontal="center" vertical="center" wrapText="1"/>
    </xf>
    <xf numFmtId="1" fontId="32" fillId="3" borderId="1013" xfId="0" applyNumberFormat="1" applyFont="1" applyFill="1" applyBorder="1" applyAlignment="1">
      <alignment horizontal="center" vertical="center" wrapText="1"/>
    </xf>
    <xf numFmtId="1" fontId="32" fillId="0" borderId="1015" xfId="0" applyNumberFormat="1" applyFont="1" applyBorder="1" applyAlignment="1">
      <alignment horizontal="center" vertical="center" wrapText="1"/>
    </xf>
    <xf numFmtId="1" fontId="32" fillId="0" borderId="1016" xfId="0" applyNumberFormat="1" applyFont="1" applyBorder="1" applyAlignment="1">
      <alignment horizontal="center" vertical="center" wrapText="1"/>
    </xf>
    <xf numFmtId="1" fontId="32" fillId="0" borderId="1013" xfId="0" applyNumberFormat="1" applyFont="1" applyBorder="1" applyAlignment="1">
      <alignment horizontal="center" vertical="center" wrapText="1"/>
    </xf>
    <xf numFmtId="1" fontId="32" fillId="14" borderId="225" xfId="0" applyNumberFormat="1" applyFont="1" applyFill="1" applyBorder="1" applyAlignment="1">
      <alignment horizontal="center" vertical="center" wrapText="1"/>
    </xf>
    <xf numFmtId="1" fontId="32" fillId="14" borderId="226" xfId="0" applyNumberFormat="1" applyFont="1" applyFill="1" applyBorder="1" applyAlignment="1">
      <alignment horizontal="center" vertical="center" wrapText="1"/>
    </xf>
    <xf numFmtId="1" fontId="32" fillId="14" borderId="227" xfId="0" applyNumberFormat="1" applyFont="1" applyFill="1" applyBorder="1" applyAlignment="1">
      <alignment horizontal="center" vertical="center" wrapText="1"/>
    </xf>
    <xf numFmtId="1" fontId="32" fillId="0" borderId="228" xfId="0" applyNumberFormat="1" applyFont="1" applyBorder="1" applyAlignment="1">
      <alignment horizontal="center" vertical="center" wrapText="1"/>
    </xf>
    <xf numFmtId="1" fontId="32" fillId="0" borderId="748" xfId="0" applyNumberFormat="1" applyFont="1" applyBorder="1" applyAlignment="1">
      <alignment horizontal="center" vertical="center"/>
    </xf>
    <xf numFmtId="1" fontId="32" fillId="0" borderId="749" xfId="0" applyNumberFormat="1" applyFont="1" applyBorder="1" applyAlignment="1">
      <alignment horizontal="center" vertical="center"/>
    </xf>
    <xf numFmtId="1" fontId="32" fillId="0" borderId="778" xfId="0" applyNumberFormat="1" applyFont="1" applyBorder="1" applyAlignment="1">
      <alignment horizontal="center" vertical="center"/>
    </xf>
    <xf numFmtId="1" fontId="32" fillId="0" borderId="1034" xfId="0" applyNumberFormat="1" applyFont="1" applyBorder="1" applyAlignment="1">
      <alignment horizontal="center" vertical="center" wrapText="1"/>
    </xf>
    <xf numFmtId="1" fontId="32" fillId="0" borderId="1105" xfId="0" applyNumberFormat="1" applyFont="1" applyBorder="1" applyAlignment="1">
      <alignment horizontal="center" vertical="center" wrapText="1"/>
    </xf>
    <xf numFmtId="1" fontId="32" fillId="0" borderId="741" xfId="0" applyNumberFormat="1" applyFont="1" applyBorder="1" applyAlignment="1">
      <alignment horizontal="center" vertical="center" wrapText="1"/>
    </xf>
    <xf numFmtId="1" fontId="32" fillId="3" borderId="1009" xfId="0" applyNumberFormat="1" applyFont="1" applyFill="1" applyBorder="1" applyAlignment="1">
      <alignment horizontal="center" vertical="center" wrapText="1"/>
    </xf>
    <xf numFmtId="1" fontId="32" fillId="3" borderId="1159" xfId="0" applyNumberFormat="1" applyFont="1" applyFill="1" applyBorder="1" applyAlignment="1">
      <alignment horizontal="center" vertical="center" wrapText="1"/>
    </xf>
    <xf numFmtId="1" fontId="32" fillId="3" borderId="1123" xfId="0" applyNumberFormat="1" applyFont="1" applyFill="1" applyBorder="1" applyAlignment="1">
      <alignment horizontal="center" vertical="center" wrapText="1"/>
    </xf>
    <xf numFmtId="1" fontId="32" fillId="3" borderId="903" xfId="0" applyNumberFormat="1" applyFont="1" applyFill="1" applyBorder="1" applyAlignment="1">
      <alignment horizontal="center" vertical="center" wrapText="1"/>
    </xf>
    <xf numFmtId="1" fontId="32" fillId="3" borderId="1081" xfId="0" applyNumberFormat="1" applyFont="1" applyFill="1" applyBorder="1" applyAlignment="1">
      <alignment horizontal="center" vertical="center" wrapText="1"/>
    </xf>
    <xf numFmtId="1" fontId="32" fillId="14" borderId="196" xfId="0" applyNumberFormat="1" applyFont="1" applyFill="1" applyBorder="1" applyAlignment="1">
      <alignment horizontal="center" vertical="center" wrapText="1"/>
    </xf>
    <xf numFmtId="1" fontId="32" fillId="3" borderId="517" xfId="0" applyNumberFormat="1" applyFont="1" applyFill="1" applyBorder="1" applyAlignment="1">
      <alignment horizontal="center" vertical="center" wrapText="1"/>
    </xf>
    <xf numFmtId="1" fontId="32" fillId="14" borderId="1947" xfId="0" applyNumberFormat="1" applyFont="1" applyFill="1" applyBorder="1" applyAlignment="1">
      <alignment horizontal="center" vertical="center" wrapText="1"/>
    </xf>
    <xf numFmtId="1" fontId="32" fillId="14" borderId="1864" xfId="0" applyNumberFormat="1" applyFont="1" applyFill="1" applyBorder="1" applyAlignment="1">
      <alignment horizontal="center" vertical="center" wrapText="1"/>
    </xf>
    <xf numFmtId="1" fontId="32" fillId="0" borderId="748" xfId="0" applyNumberFormat="1" applyFont="1" applyBorder="1" applyAlignment="1">
      <alignment horizontal="center" vertical="center" wrapText="1"/>
    </xf>
    <xf numFmtId="1" fontId="32" fillId="0" borderId="749" xfId="0" applyNumberFormat="1" applyFont="1" applyBorder="1" applyAlignment="1">
      <alignment horizontal="center" vertical="center" wrapText="1"/>
    </xf>
    <xf numFmtId="1" fontId="32" fillId="0" borderId="288" xfId="0" applyNumberFormat="1" applyFont="1" applyBorder="1" applyAlignment="1">
      <alignment horizontal="center" vertical="center"/>
    </xf>
    <xf numFmtId="1" fontId="32" fillId="0" borderId="966" xfId="0" applyNumberFormat="1" applyFont="1" applyBorder="1" applyAlignment="1" applyProtection="1">
      <alignment horizontal="center" vertical="center"/>
      <protection hidden="1"/>
    </xf>
    <xf numFmtId="1" fontId="32" fillId="0" borderId="958" xfId="0" applyNumberFormat="1" applyFont="1" applyBorder="1" applyAlignment="1" applyProtection="1">
      <alignment horizontal="center" vertical="center"/>
      <protection hidden="1"/>
    </xf>
    <xf numFmtId="1" fontId="32" fillId="0" borderId="967" xfId="0" applyNumberFormat="1" applyFont="1" applyBorder="1" applyAlignment="1" applyProtection="1">
      <alignment horizontal="center" vertical="center"/>
      <protection hidden="1"/>
    </xf>
    <xf numFmtId="1" fontId="32" fillId="0" borderId="242" xfId="0" applyNumberFormat="1" applyFont="1" applyBorder="1" applyAlignment="1">
      <alignment horizontal="center" vertical="center" wrapText="1"/>
    </xf>
    <xf numFmtId="1" fontId="32" fillId="0" borderId="240" xfId="0" applyNumberFormat="1" applyFont="1" applyBorder="1" applyAlignment="1">
      <alignment horizontal="center" vertical="center" wrapText="1"/>
    </xf>
    <xf numFmtId="1" fontId="32" fillId="0" borderId="241" xfId="0" applyNumberFormat="1" applyFont="1" applyBorder="1" applyAlignment="1">
      <alignment horizontal="center" vertical="center" wrapText="1"/>
    </xf>
    <xf numFmtId="1" fontId="32" fillId="0" borderId="292" xfId="0" applyNumberFormat="1" applyFont="1" applyBorder="1" applyAlignment="1">
      <alignment wrapText="1"/>
    </xf>
    <xf numFmtId="1" fontId="32" fillId="0" borderId="274" xfId="0" applyNumberFormat="1" applyFont="1" applyBorder="1" applyAlignment="1">
      <alignment wrapText="1"/>
    </xf>
    <xf numFmtId="1" fontId="32" fillId="0" borderId="750" xfId="0" applyNumberFormat="1" applyFont="1" applyBorder="1" applyAlignment="1">
      <alignment horizontal="center" vertical="center" wrapText="1"/>
    </xf>
    <xf numFmtId="1" fontId="32" fillId="0" borderId="225" xfId="0" applyNumberFormat="1" applyFont="1" applyBorder="1"/>
    <xf numFmtId="1" fontId="32" fillId="0" borderId="228" xfId="0" applyNumberFormat="1" applyFont="1" applyBorder="1"/>
    <xf numFmtId="1" fontId="32" fillId="0" borderId="1324" xfId="0" applyNumberFormat="1" applyFont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 wrapText="1"/>
    </xf>
    <xf numFmtId="1" fontId="32" fillId="0" borderId="68" xfId="0" applyNumberFormat="1" applyFont="1" applyBorder="1" applyAlignment="1">
      <alignment horizontal="center" vertical="center" wrapText="1"/>
    </xf>
    <xf numFmtId="1" fontId="32" fillId="0" borderId="1616" xfId="0" applyNumberFormat="1" applyFont="1" applyBorder="1" applyAlignment="1">
      <alignment horizontal="center" vertical="center" wrapText="1"/>
    </xf>
    <xf numFmtId="1" fontId="32" fillId="0" borderId="815" xfId="0" applyNumberFormat="1" applyFont="1" applyBorder="1" applyAlignment="1">
      <alignment horizontal="center" vertical="center" wrapText="1"/>
    </xf>
    <xf numFmtId="1" fontId="32" fillId="0" borderId="2448" xfId="0" applyNumberFormat="1" applyFont="1" applyBorder="1" applyAlignment="1">
      <alignment horizontal="center" vertical="center" wrapText="1"/>
    </xf>
    <xf numFmtId="1" fontId="32" fillId="0" borderId="2466" xfId="0" applyNumberFormat="1" applyFont="1" applyBorder="1" applyAlignment="1">
      <alignment horizontal="center" vertical="center" wrapText="1"/>
    </xf>
    <xf numFmtId="1" fontId="32" fillId="0" borderId="2484" xfId="0" applyNumberFormat="1" applyFont="1" applyBorder="1" applyAlignment="1">
      <alignment horizontal="center" vertical="center" wrapText="1"/>
    </xf>
    <xf numFmtId="1" fontId="32" fillId="0" borderId="778" xfId="0" applyNumberFormat="1" applyFont="1" applyBorder="1" applyAlignment="1">
      <alignment horizontal="center" vertical="center" wrapText="1"/>
    </xf>
    <xf numFmtId="1" fontId="32" fillId="0" borderId="2448" xfId="0" applyNumberFormat="1" applyFont="1" applyBorder="1" applyAlignment="1">
      <alignment horizontal="center" vertical="center"/>
    </xf>
    <xf numFmtId="1" fontId="32" fillId="0" borderId="2466" xfId="0" applyNumberFormat="1" applyFont="1" applyBorder="1" applyAlignment="1">
      <alignment horizontal="center" vertical="center"/>
    </xf>
    <xf numFmtId="1" fontId="32" fillId="0" borderId="2465" xfId="0" applyNumberFormat="1" applyFont="1" applyBorder="1" applyAlignment="1">
      <alignment horizontal="center" vertical="center" wrapText="1"/>
    </xf>
    <xf numFmtId="1" fontId="32" fillId="3" borderId="298" xfId="0" applyNumberFormat="1" applyFont="1" applyFill="1" applyBorder="1" applyAlignment="1">
      <alignment horizontal="center" vertical="center" wrapText="1"/>
    </xf>
    <xf numFmtId="1" fontId="32" fillId="3" borderId="226" xfId="0" applyNumberFormat="1" applyFont="1" applyFill="1" applyBorder="1" applyAlignment="1">
      <alignment horizontal="center" vertical="center" wrapText="1"/>
    </xf>
    <xf numFmtId="1" fontId="32" fillId="3" borderId="228" xfId="0" applyNumberFormat="1" applyFont="1" applyFill="1" applyBorder="1" applyAlignment="1">
      <alignment horizontal="center" vertical="center" wrapText="1"/>
    </xf>
    <xf numFmtId="1" fontId="32" fillId="3" borderId="242" xfId="0" applyNumberFormat="1" applyFont="1" applyFill="1" applyBorder="1" applyAlignment="1">
      <alignment horizontal="center" vertical="center" wrapText="1"/>
    </xf>
    <xf numFmtId="1" fontId="32" fillId="3" borderId="241" xfId="0" applyNumberFormat="1" applyFont="1" applyFill="1" applyBorder="1" applyAlignment="1">
      <alignment horizontal="center" vertical="center" wrapText="1"/>
    </xf>
    <xf numFmtId="1" fontId="32" fillId="3" borderId="239" xfId="0" applyNumberFormat="1" applyFont="1" applyFill="1" applyBorder="1" applyAlignment="1">
      <alignment horizontal="center" vertical="center" wrapText="1"/>
    </xf>
    <xf numFmtId="1" fontId="32" fillId="3" borderId="177" xfId="0" applyNumberFormat="1" applyFont="1" applyFill="1" applyBorder="1" applyAlignment="1">
      <alignment horizontal="center" vertical="center" wrapText="1"/>
    </xf>
    <xf numFmtId="1" fontId="63" fillId="0" borderId="721" xfId="0" applyNumberFormat="1" applyFont="1" applyBorder="1"/>
    <xf numFmtId="1" fontId="63" fillId="0" borderId="288" xfId="0" applyNumberFormat="1" applyFont="1" applyBorder="1"/>
    <xf numFmtId="1" fontId="63" fillId="0" borderId="225" xfId="0" applyNumberFormat="1" applyFont="1" applyBorder="1" applyAlignment="1">
      <alignment wrapText="1"/>
    </xf>
    <xf numFmtId="1" fontId="63" fillId="0" borderId="228" xfId="0" applyNumberFormat="1" applyFont="1" applyBorder="1" applyAlignment="1">
      <alignment wrapText="1"/>
    </xf>
    <xf numFmtId="1" fontId="63" fillId="0" borderId="237" xfId="0" applyNumberFormat="1" applyFont="1" applyBorder="1"/>
    <xf numFmtId="1" fontId="32" fillId="0" borderId="39" xfId="0" applyNumberFormat="1" applyFont="1" applyBorder="1" applyAlignment="1">
      <alignment wrapText="1"/>
    </xf>
    <xf numFmtId="1" fontId="32" fillId="0" borderId="31" xfId="0" applyNumberFormat="1" applyFont="1" applyBorder="1" applyAlignment="1">
      <alignment wrapText="1"/>
    </xf>
    <xf numFmtId="1" fontId="63" fillId="0" borderId="226" xfId="0" applyNumberFormat="1" applyFont="1" applyBorder="1"/>
    <xf numFmtId="1" fontId="32" fillId="14" borderId="242" xfId="0" applyNumberFormat="1" applyFont="1" applyFill="1" applyBorder="1" applyAlignment="1">
      <alignment horizontal="center" vertical="center" wrapText="1"/>
    </xf>
    <xf numFmtId="1" fontId="32" fillId="14" borderId="241" xfId="0" applyNumberFormat="1" applyFont="1" applyFill="1" applyBorder="1" applyAlignment="1">
      <alignment horizontal="center" vertical="center" wrapText="1"/>
    </xf>
    <xf numFmtId="1" fontId="32" fillId="14" borderId="239" xfId="0" applyNumberFormat="1" applyFont="1" applyFill="1" applyBorder="1" applyAlignment="1">
      <alignment horizontal="center" vertical="center" wrapText="1"/>
    </xf>
    <xf numFmtId="1" fontId="32" fillId="14" borderId="177" xfId="0" applyNumberFormat="1" applyFont="1" applyFill="1" applyBorder="1" applyAlignment="1">
      <alignment horizontal="center" vertical="center" wrapText="1"/>
    </xf>
    <xf numFmtId="1" fontId="32" fillId="0" borderId="714" xfId="0" applyNumberFormat="1" applyFont="1" applyBorder="1" applyAlignment="1">
      <alignment horizontal="center" vertical="center"/>
    </xf>
    <xf numFmtId="1" fontId="32" fillId="0" borderId="439" xfId="0" applyNumberFormat="1" applyFont="1" applyBorder="1" applyAlignment="1">
      <alignment horizontal="center" vertical="center"/>
    </xf>
    <xf numFmtId="1" fontId="32" fillId="0" borderId="515" xfId="0" applyNumberFormat="1" applyFont="1" applyBorder="1" applyAlignment="1">
      <alignment horizontal="center" vertical="center"/>
    </xf>
    <xf numFmtId="1" fontId="32" fillId="0" borderId="240" xfId="0" applyNumberFormat="1" applyFont="1" applyBorder="1" applyAlignment="1">
      <alignment horizontal="center" vertical="center"/>
    </xf>
    <xf numFmtId="1" fontId="32" fillId="0" borderId="498" xfId="0" applyNumberFormat="1" applyFont="1" applyBorder="1" applyAlignment="1">
      <alignment horizontal="center" vertical="center"/>
    </xf>
    <xf numFmtId="1" fontId="32" fillId="0" borderId="239" xfId="0" applyNumberFormat="1" applyFont="1" applyBorder="1" applyAlignment="1">
      <alignment horizontal="center" vertical="center"/>
    </xf>
    <xf numFmtId="1" fontId="32" fillId="0" borderId="175" xfId="0" applyNumberFormat="1" applyFont="1" applyBorder="1" applyAlignment="1">
      <alignment horizontal="center" vertical="center"/>
    </xf>
    <xf numFmtId="1" fontId="32" fillId="0" borderId="177" xfId="0" applyNumberFormat="1" applyFont="1" applyBorder="1" applyAlignment="1">
      <alignment horizontal="center" vertical="center"/>
    </xf>
    <xf numFmtId="1" fontId="32" fillId="0" borderId="226" xfId="0" applyNumberFormat="1" applyFont="1" applyBorder="1" applyAlignment="1">
      <alignment horizontal="center" vertical="center" wrapText="1"/>
    </xf>
    <xf numFmtId="1" fontId="32" fillId="0" borderId="1932" xfId="0" applyNumberFormat="1" applyFont="1" applyBorder="1" applyAlignment="1">
      <alignment horizontal="center" vertical="center"/>
    </xf>
    <xf numFmtId="1" fontId="32" fillId="0" borderId="1930" xfId="0" applyNumberFormat="1" applyFont="1" applyBorder="1" applyAlignment="1">
      <alignment horizontal="center" vertical="center"/>
    </xf>
    <xf numFmtId="1" fontId="32" fillId="0" borderId="1954" xfId="0" applyNumberFormat="1" applyFont="1" applyBorder="1" applyAlignment="1">
      <alignment horizontal="center" vertical="center" wrapText="1"/>
    </xf>
    <xf numFmtId="1" fontId="32" fillId="0" borderId="178" xfId="0" applyNumberFormat="1" applyFont="1" applyBorder="1" applyAlignment="1">
      <alignment horizontal="center" vertical="center" wrapText="1"/>
    </xf>
    <xf numFmtId="1" fontId="32" fillId="0" borderId="144" xfId="0" applyNumberFormat="1" applyFont="1" applyBorder="1" applyAlignment="1">
      <alignment horizontal="center" vertical="center" wrapText="1"/>
    </xf>
    <xf numFmtId="1" fontId="32" fillId="0" borderId="606" xfId="0" applyNumberFormat="1" applyFont="1" applyBorder="1" applyAlignment="1">
      <alignment wrapText="1"/>
    </xf>
    <xf numFmtId="1" fontId="32" fillId="0" borderId="607" xfId="0" applyNumberFormat="1" applyFont="1" applyBorder="1" applyAlignment="1">
      <alignment wrapText="1"/>
    </xf>
    <xf numFmtId="1" fontId="32" fillId="0" borderId="956" xfId="0" applyNumberFormat="1" applyFont="1" applyBorder="1" applyAlignment="1">
      <alignment horizontal="center" vertical="center" wrapText="1"/>
    </xf>
    <xf numFmtId="1" fontId="32" fillId="0" borderId="896" xfId="0" applyNumberFormat="1" applyFont="1" applyBorder="1" applyAlignment="1">
      <alignment horizontal="center" vertical="center" wrapText="1"/>
    </xf>
    <xf numFmtId="1" fontId="32" fillId="0" borderId="292" xfId="0" applyNumberFormat="1" applyFont="1" applyBorder="1"/>
    <xf numFmtId="1" fontId="32" fillId="0" borderId="274" xfId="0" applyNumberFormat="1" applyFont="1" applyBorder="1"/>
    <xf numFmtId="1" fontId="32" fillId="0" borderId="23" xfId="0" applyNumberFormat="1" applyFont="1" applyBorder="1"/>
    <xf numFmtId="1" fontId="32" fillId="0" borderId="21" xfId="0" applyNumberFormat="1" applyFont="1" applyBorder="1"/>
    <xf numFmtId="1" fontId="32" fillId="0" borderId="273" xfId="0" applyNumberFormat="1" applyFont="1" applyBorder="1"/>
    <xf numFmtId="1" fontId="32" fillId="0" borderId="262" xfId="0" applyNumberFormat="1" applyFont="1" applyBorder="1"/>
    <xf numFmtId="1" fontId="32" fillId="0" borderId="720" xfId="0" applyNumberFormat="1" applyFont="1" applyBorder="1"/>
    <xf numFmtId="1" fontId="32" fillId="0" borderId="741" xfId="0" applyNumberFormat="1" applyFont="1" applyBorder="1"/>
    <xf numFmtId="1" fontId="32" fillId="0" borderId="226" xfId="0" applyNumberFormat="1" applyFont="1" applyBorder="1" applyAlignment="1" applyProtection="1">
      <alignment wrapText="1"/>
      <protection hidden="1"/>
    </xf>
    <xf numFmtId="1" fontId="32" fillId="0" borderId="228" xfId="0" applyNumberFormat="1" applyFont="1" applyBorder="1" applyAlignment="1" applyProtection="1">
      <alignment wrapText="1"/>
      <protection hidden="1"/>
    </xf>
    <xf numFmtId="1" fontId="32" fillId="0" borderId="288" xfId="0" applyNumberFormat="1" applyFont="1" applyBorder="1"/>
    <xf numFmtId="1" fontId="32" fillId="0" borderId="956" xfId="0" applyNumberFormat="1" applyFont="1" applyBorder="1" applyAlignment="1">
      <alignment horizontal="left" vertical="center" wrapText="1"/>
    </xf>
    <xf numFmtId="1" fontId="32" fillId="0" borderId="896" xfId="0" applyNumberFormat="1" applyFont="1" applyBorder="1" applyAlignment="1">
      <alignment horizontal="left" vertical="center" wrapText="1"/>
    </xf>
    <xf numFmtId="1" fontId="32" fillId="0" borderId="269" xfId="0" applyNumberFormat="1" applyFont="1" applyBorder="1" applyAlignment="1">
      <alignment horizontal="left" vertical="center" wrapText="1"/>
    </xf>
    <xf numFmtId="1" fontId="32" fillId="0" borderId="1664" xfId="0" applyNumberFormat="1" applyFont="1" applyBorder="1" applyAlignment="1">
      <alignment wrapText="1"/>
    </xf>
    <xf numFmtId="1" fontId="32" fillId="0" borderId="1445" xfId="0" applyNumberFormat="1" applyFont="1" applyBorder="1" applyAlignment="1">
      <alignment wrapText="1"/>
    </xf>
    <xf numFmtId="0" fontId="32" fillId="0" borderId="652" xfId="0" applyFont="1" applyBorder="1" applyAlignment="1">
      <alignment wrapText="1"/>
    </xf>
    <xf numFmtId="0" fontId="32" fillId="0" borderId="655" xfId="0" applyFont="1" applyBorder="1" applyAlignment="1">
      <alignment wrapText="1"/>
    </xf>
    <xf numFmtId="1" fontId="32" fillId="0" borderId="435" xfId="0" applyNumberFormat="1" applyFont="1" applyBorder="1" applyAlignment="1" applyProtection="1">
      <alignment horizontal="center" vertical="center" wrapText="1"/>
      <protection hidden="1"/>
    </xf>
    <xf numFmtId="1" fontId="32" fillId="0" borderId="2409" xfId="0" applyNumberFormat="1" applyFont="1" applyBorder="1" applyAlignment="1">
      <alignment wrapText="1"/>
    </xf>
    <xf numFmtId="1" fontId="32" fillId="0" borderId="2193" xfId="0" applyNumberFormat="1" applyFont="1" applyBorder="1" applyAlignment="1">
      <alignment horizontal="center" vertical="center" wrapText="1"/>
    </xf>
    <xf numFmtId="1" fontId="32" fillId="0" borderId="2217" xfId="0" applyNumberFormat="1" applyFont="1" applyBorder="1" applyAlignment="1">
      <alignment horizontal="center" vertical="center" wrapText="1"/>
    </xf>
    <xf numFmtId="1" fontId="32" fillId="0" borderId="61" xfId="0" applyNumberFormat="1" applyFont="1" applyBorder="1" applyAlignment="1">
      <alignment wrapText="1"/>
    </xf>
    <xf numFmtId="1" fontId="32" fillId="0" borderId="572" xfId="0" applyNumberFormat="1" applyFont="1" applyBorder="1" applyAlignment="1">
      <alignment wrapText="1"/>
    </xf>
    <xf numFmtId="1" fontId="32" fillId="0" borderId="942" xfId="0" applyNumberFormat="1" applyFont="1" applyBorder="1" applyAlignment="1">
      <alignment horizontal="center" vertical="center" wrapText="1"/>
    </xf>
    <xf numFmtId="1" fontId="32" fillId="0" borderId="908" xfId="0" applyNumberFormat="1" applyFont="1" applyBorder="1" applyAlignment="1">
      <alignment horizontal="center" vertical="center" wrapText="1"/>
    </xf>
    <xf numFmtId="1" fontId="32" fillId="0" borderId="943" xfId="0" applyNumberFormat="1" applyFont="1" applyBorder="1" applyAlignment="1">
      <alignment horizontal="center" vertical="center" wrapText="1"/>
    </xf>
    <xf numFmtId="1" fontId="32" fillId="0" borderId="900" xfId="0" applyNumberFormat="1" applyFont="1" applyBorder="1" applyAlignment="1">
      <alignment horizontal="center" vertical="center" wrapText="1"/>
    </xf>
    <xf numFmtId="1" fontId="32" fillId="0" borderId="2257" xfId="0" applyNumberFormat="1" applyFont="1" applyBorder="1" applyAlignment="1">
      <alignment horizontal="center" vertical="center" wrapText="1"/>
    </xf>
    <xf numFmtId="1" fontId="32" fillId="14" borderId="1863" xfId="0" applyNumberFormat="1" applyFont="1" applyFill="1" applyBorder="1" applyAlignment="1">
      <alignment wrapText="1"/>
    </xf>
    <xf numFmtId="1" fontId="32" fillId="14" borderId="1864" xfId="0" applyNumberFormat="1" applyFont="1" applyFill="1" applyBorder="1" applyAlignment="1">
      <alignment wrapText="1"/>
    </xf>
    <xf numFmtId="1" fontId="32" fillId="0" borderId="249" xfId="0" applyNumberFormat="1" applyFont="1" applyBorder="1" applyAlignment="1">
      <alignment horizontal="center" vertical="center"/>
    </xf>
    <xf numFmtId="1" fontId="32" fillId="0" borderId="225" xfId="0" applyNumberFormat="1" applyFont="1" applyBorder="1" applyAlignment="1">
      <alignment horizontal="center" vertical="center"/>
    </xf>
    <xf numFmtId="1" fontId="32" fillId="0" borderId="226" xfId="0" applyNumberFormat="1" applyFont="1" applyBorder="1" applyAlignment="1">
      <alignment horizontal="center" vertical="center"/>
    </xf>
    <xf numFmtId="1" fontId="32" fillId="0" borderId="227" xfId="0" applyNumberFormat="1" applyFont="1" applyBorder="1" applyAlignment="1">
      <alignment horizontal="center" vertical="center"/>
    </xf>
    <xf numFmtId="1" fontId="32" fillId="14" borderId="166" xfId="0" applyNumberFormat="1" applyFont="1" applyFill="1" applyBorder="1" applyAlignment="1">
      <alignment horizontal="center" vertical="center" wrapText="1"/>
    </xf>
    <xf numFmtId="1" fontId="32" fillId="14" borderId="95" xfId="0" applyNumberFormat="1" applyFont="1" applyFill="1" applyBorder="1" applyAlignment="1">
      <alignment horizontal="center" vertical="center" wrapText="1"/>
    </xf>
    <xf numFmtId="1" fontId="32" fillId="0" borderId="239" xfId="0" applyNumberFormat="1" applyFont="1" applyBorder="1"/>
    <xf numFmtId="1" fontId="32" fillId="0" borderId="177" xfId="0" applyNumberFormat="1" applyFont="1" applyBorder="1"/>
    <xf numFmtId="1" fontId="64" fillId="3" borderId="0" xfId="0" applyNumberFormat="1" applyFont="1" applyFill="1" applyAlignment="1">
      <alignment horizontal="center" vertical="center" wrapText="1"/>
    </xf>
    <xf numFmtId="1" fontId="32" fillId="0" borderId="275" xfId="0" applyNumberFormat="1" applyFont="1" applyBorder="1"/>
    <xf numFmtId="1" fontId="32" fillId="0" borderId="658" xfId="0" applyNumberFormat="1" applyFont="1" applyBorder="1" applyAlignment="1">
      <alignment wrapText="1"/>
    </xf>
    <xf numFmtId="1" fontId="32" fillId="0" borderId="657" xfId="0" applyNumberFormat="1" applyFont="1" applyBorder="1" applyAlignment="1">
      <alignment wrapText="1"/>
    </xf>
    <xf numFmtId="1" fontId="32" fillId="0" borderId="37" xfId="0" applyNumberFormat="1" applyFont="1" applyBorder="1"/>
    <xf numFmtId="1" fontId="32" fillId="0" borderId="689" xfId="0" applyNumberFormat="1" applyFont="1" applyBorder="1" applyAlignment="1">
      <alignment wrapText="1"/>
    </xf>
    <xf numFmtId="1" fontId="32" fillId="0" borderId="690" xfId="0" applyNumberFormat="1" applyFont="1" applyBorder="1" applyAlignment="1">
      <alignment wrapText="1"/>
    </xf>
    <xf numFmtId="1" fontId="32" fillId="0" borderId="643" xfId="0" applyNumberFormat="1" applyFont="1" applyBorder="1" applyAlignment="1">
      <alignment wrapText="1"/>
    </xf>
    <xf numFmtId="1" fontId="32" fillId="0" borderId="649" xfId="0" applyNumberFormat="1" applyFont="1" applyBorder="1" applyAlignment="1">
      <alignment wrapText="1"/>
    </xf>
    <xf numFmtId="1" fontId="32" fillId="0" borderId="1101" xfId="0" applyNumberFormat="1" applyFont="1" applyBorder="1" applyAlignment="1">
      <alignment horizontal="center" vertical="center" wrapText="1"/>
    </xf>
    <xf numFmtId="1" fontId="32" fillId="0" borderId="2286" xfId="0" applyNumberFormat="1" applyFont="1" applyBorder="1" applyAlignment="1">
      <alignment horizontal="center" vertical="center" wrapText="1"/>
    </xf>
    <xf numFmtId="1" fontId="32" fillId="0" borderId="2287" xfId="0" applyNumberFormat="1" applyFont="1" applyBorder="1" applyAlignment="1">
      <alignment horizontal="center" vertical="center" wrapText="1"/>
    </xf>
    <xf numFmtId="1" fontId="32" fillId="0" borderId="2274" xfId="0" applyNumberFormat="1" applyFont="1" applyBorder="1" applyAlignment="1">
      <alignment horizontal="center" vertical="center" wrapText="1"/>
    </xf>
    <xf numFmtId="1" fontId="49" fillId="0" borderId="1332" xfId="0" applyNumberFormat="1" applyFont="1" applyBorder="1" applyAlignment="1">
      <alignment horizontal="left" vertical="center" wrapText="1"/>
    </xf>
    <xf numFmtId="1" fontId="32" fillId="0" borderId="269" xfId="0" applyNumberFormat="1" applyFont="1" applyBorder="1" applyAlignment="1">
      <alignment horizontal="center" vertical="center" wrapText="1"/>
    </xf>
    <xf numFmtId="1" fontId="32" fillId="0" borderId="1175" xfId="0" applyNumberFormat="1" applyFont="1" applyBorder="1" applyAlignment="1">
      <alignment horizontal="center"/>
    </xf>
    <xf numFmtId="1" fontId="32" fillId="0" borderId="1156" xfId="0" applyNumberFormat="1" applyFont="1" applyBorder="1" applyAlignment="1">
      <alignment horizontal="center"/>
    </xf>
    <xf numFmtId="1" fontId="32" fillId="0" borderId="1160" xfId="0" applyNumberFormat="1" applyFont="1" applyBorder="1" applyAlignment="1">
      <alignment horizontal="center"/>
    </xf>
    <xf numFmtId="1" fontId="32" fillId="0" borderId="966" xfId="0" applyNumberFormat="1" applyFont="1" applyBorder="1" applyAlignment="1">
      <alignment horizontal="center" vertical="center" wrapText="1"/>
    </xf>
    <xf numFmtId="1" fontId="32" fillId="0" borderId="1001" xfId="0" applyNumberFormat="1" applyFont="1" applyBorder="1" applyAlignment="1">
      <alignment horizontal="center" vertical="center" wrapText="1"/>
    </xf>
    <xf numFmtId="1" fontId="32" fillId="0" borderId="961" xfId="0" applyNumberFormat="1" applyFont="1" applyBorder="1" applyAlignment="1">
      <alignment horizontal="center" vertical="center" wrapText="1"/>
    </xf>
    <xf numFmtId="1" fontId="32" fillId="0" borderId="1212" xfId="0" applyNumberFormat="1" applyFont="1" applyBorder="1" applyAlignment="1">
      <alignment horizontal="center" vertical="center" wrapText="1"/>
    </xf>
    <xf numFmtId="1" fontId="32" fillId="0" borderId="1213" xfId="0" applyNumberFormat="1" applyFont="1" applyBorder="1" applyAlignment="1">
      <alignment horizontal="center" vertical="center" wrapText="1"/>
    </xf>
    <xf numFmtId="1" fontId="32" fillId="0" borderId="2288" xfId="0" applyNumberFormat="1" applyFont="1" applyBorder="1" applyAlignment="1">
      <alignment horizontal="center" vertical="center" wrapText="1"/>
    </xf>
    <xf numFmtId="1" fontId="49" fillId="0" borderId="1760" xfId="0" applyNumberFormat="1" applyFont="1" applyBorder="1" applyAlignment="1">
      <alignment horizontal="center" vertical="center" wrapText="1"/>
    </xf>
    <xf numFmtId="1" fontId="49" fillId="0" borderId="1932" xfId="0" applyNumberFormat="1" applyFont="1" applyBorder="1" applyAlignment="1">
      <alignment horizontal="center" vertical="center" wrapText="1"/>
    </xf>
    <xf numFmtId="1" fontId="49" fillId="0" borderId="1934" xfId="0" applyNumberFormat="1" applyFont="1" applyBorder="1" applyAlignment="1">
      <alignment horizontal="center" vertical="center" wrapText="1"/>
    </xf>
    <xf numFmtId="1" fontId="32" fillId="0" borderId="1382" xfId="0" applyNumberFormat="1" applyFont="1" applyBorder="1" applyAlignment="1">
      <alignment horizontal="center" vertical="center" wrapText="1"/>
    </xf>
    <xf numFmtId="1" fontId="32" fillId="0" borderId="1502" xfId="0" applyNumberFormat="1" applyFont="1" applyBorder="1" applyAlignment="1">
      <alignment horizontal="center" vertical="center" wrapText="1"/>
    </xf>
    <xf numFmtId="1" fontId="51" fillId="0" borderId="0" xfId="0" applyNumberFormat="1" applyFont="1" applyAlignment="1">
      <alignment horizontal="left" vertical="center"/>
    </xf>
    <xf numFmtId="1" fontId="49" fillId="0" borderId="1639" xfId="0" applyNumberFormat="1" applyFont="1" applyBorder="1" applyAlignment="1">
      <alignment horizontal="center" vertical="center"/>
    </xf>
    <xf numFmtId="1" fontId="49" fillId="0" borderId="1616" xfId="0" applyNumberFormat="1" applyFont="1" applyBorder="1" applyAlignment="1">
      <alignment horizontal="center" vertical="center"/>
    </xf>
    <xf numFmtId="1" fontId="49" fillId="0" borderId="1761" xfId="0" applyNumberFormat="1" applyFont="1" applyBorder="1" applyAlignment="1">
      <alignment horizontal="center" vertical="center"/>
    </xf>
    <xf numFmtId="1" fontId="49" fillId="0" borderId="1640" xfId="0" applyNumberFormat="1" applyFont="1" applyBorder="1" applyAlignment="1">
      <alignment horizontal="center" vertical="center" wrapText="1"/>
    </xf>
    <xf numFmtId="1" fontId="49" fillId="0" borderId="811" xfId="0" applyNumberFormat="1" applyFont="1" applyBorder="1" applyAlignment="1">
      <alignment horizontal="center" vertical="center" wrapText="1"/>
    </xf>
    <xf numFmtId="1" fontId="49" fillId="0" borderId="1641" xfId="0" applyNumberFormat="1" applyFont="1" applyBorder="1" applyAlignment="1">
      <alignment horizontal="center" vertical="center" wrapText="1"/>
    </xf>
    <xf numFmtId="1" fontId="49" fillId="0" borderId="1735" xfId="0" applyNumberFormat="1" applyFont="1" applyBorder="1" applyAlignment="1">
      <alignment horizontal="center" vertical="center" wrapText="1"/>
    </xf>
    <xf numFmtId="1" fontId="49" fillId="0" borderId="1092" xfId="0" applyNumberFormat="1" applyFont="1" applyBorder="1" applyAlignment="1">
      <alignment horizontal="center" vertical="center" wrapText="1"/>
    </xf>
    <xf numFmtId="1" fontId="49" fillId="0" borderId="1678" xfId="0" applyNumberFormat="1" applyFont="1" applyBorder="1" applyAlignment="1">
      <alignment horizontal="center" vertical="center" wrapText="1"/>
    </xf>
    <xf numFmtId="1" fontId="49" fillId="0" borderId="1813" xfId="0" applyNumberFormat="1" applyFont="1" applyBorder="1" applyAlignment="1">
      <alignment horizontal="center" vertical="center" wrapText="1"/>
    </xf>
    <xf numFmtId="1" fontId="49" fillId="0" borderId="1692" xfId="0" applyNumberFormat="1" applyFont="1" applyBorder="1" applyAlignment="1">
      <alignment horizontal="center" vertical="center" wrapText="1"/>
    </xf>
    <xf numFmtId="1" fontId="49" fillId="0" borderId="1814" xfId="0" applyNumberFormat="1" applyFont="1" applyBorder="1" applyAlignment="1">
      <alignment horizontal="center" vertical="center" wrapText="1"/>
    </xf>
    <xf numFmtId="1" fontId="49" fillId="0" borderId="517" xfId="0" applyNumberFormat="1" applyFont="1" applyBorder="1" applyAlignment="1">
      <alignment horizontal="center" vertical="center" wrapText="1"/>
    </xf>
    <xf numFmtId="1" fontId="49" fillId="0" borderId="1639" xfId="0" applyNumberFormat="1" applyFont="1" applyBorder="1" applyAlignment="1">
      <alignment horizontal="center" vertical="center" wrapText="1"/>
    </xf>
    <xf numFmtId="1" fontId="49" fillId="0" borderId="1616" xfId="0" applyNumberFormat="1" applyFont="1" applyBorder="1" applyAlignment="1">
      <alignment horizontal="center" vertical="center" wrapText="1"/>
    </xf>
    <xf numFmtId="1" fontId="49" fillId="0" borderId="1761" xfId="0" applyNumberFormat="1" applyFont="1" applyBorder="1" applyAlignment="1">
      <alignment horizontal="center" vertical="center" wrapText="1"/>
    </xf>
    <xf numFmtId="1" fontId="49" fillId="0" borderId="1930" xfId="0" applyNumberFormat="1" applyFont="1" applyBorder="1" applyAlignment="1">
      <alignment horizontal="center" vertical="center" wrapText="1"/>
    </xf>
    <xf numFmtId="1" fontId="49" fillId="0" borderId="1933" xfId="0" applyNumberFormat="1" applyFont="1" applyBorder="1" applyAlignment="1">
      <alignment horizontal="center" vertical="center" wrapText="1"/>
    </xf>
    <xf numFmtId="0" fontId="91" fillId="14" borderId="2142" xfId="0" applyFont="1" applyFill="1" applyBorder="1" applyAlignment="1">
      <alignment horizontal="center" vertical="center" wrapText="1"/>
    </xf>
    <xf numFmtId="0" fontId="91" fillId="14" borderId="1616" xfId="0" applyFont="1" applyFill="1" applyBorder="1" applyAlignment="1">
      <alignment horizontal="center" vertical="center" wrapText="1"/>
    </xf>
    <xf numFmtId="0" fontId="91" fillId="14" borderId="1761" xfId="0" applyFont="1" applyFill="1" applyBorder="1" applyAlignment="1">
      <alignment horizontal="center" vertical="center" wrapText="1"/>
    </xf>
    <xf numFmtId="1" fontId="91" fillId="14" borderId="2112" xfId="0" applyNumberFormat="1" applyFont="1" applyFill="1" applyBorder="1" applyAlignment="1">
      <alignment horizontal="left"/>
    </xf>
    <xf numFmtId="1" fontId="91" fillId="14" borderId="2143" xfId="0" applyNumberFormat="1" applyFont="1" applyFill="1" applyBorder="1" applyAlignment="1">
      <alignment horizontal="left"/>
    </xf>
    <xf numFmtId="1" fontId="49" fillId="12" borderId="1639" xfId="0" applyNumberFormat="1" applyFont="1" applyFill="1" applyBorder="1" applyAlignment="1">
      <alignment horizontal="center" vertical="center"/>
    </xf>
    <xf numFmtId="1" fontId="49" fillId="12" borderId="1616" xfId="0" applyNumberFormat="1" applyFont="1" applyFill="1" applyBorder="1" applyAlignment="1">
      <alignment horizontal="center" vertical="center"/>
    </xf>
    <xf numFmtId="1" fontId="49" fillId="12" borderId="1761" xfId="0" applyNumberFormat="1" applyFont="1" applyFill="1" applyBorder="1" applyAlignment="1">
      <alignment horizontal="center" vertical="center"/>
    </xf>
    <xf numFmtId="1" fontId="49" fillId="12" borderId="1640" xfId="0" applyNumberFormat="1" applyFont="1" applyFill="1" applyBorder="1" applyAlignment="1">
      <alignment horizontal="center" vertical="center" wrapText="1"/>
    </xf>
    <xf numFmtId="1" fontId="49" fillId="12" borderId="811" xfId="0" applyNumberFormat="1" applyFont="1" applyFill="1" applyBorder="1" applyAlignment="1">
      <alignment horizontal="center" vertical="center" wrapText="1"/>
    </xf>
    <xf numFmtId="1" fontId="49" fillId="12" borderId="1641" xfId="0" applyNumberFormat="1" applyFont="1" applyFill="1" applyBorder="1" applyAlignment="1">
      <alignment horizontal="center" vertical="center" wrapText="1"/>
    </xf>
    <xf numFmtId="1" fontId="49" fillId="12" borderId="1735" xfId="0" applyNumberFormat="1" applyFont="1" applyFill="1" applyBorder="1" applyAlignment="1">
      <alignment horizontal="center" vertical="center" wrapText="1"/>
    </xf>
    <xf numFmtId="1" fontId="49" fillId="12" borderId="1092" xfId="0" applyNumberFormat="1" applyFont="1" applyFill="1" applyBorder="1" applyAlignment="1">
      <alignment horizontal="center" vertical="center" wrapText="1"/>
    </xf>
    <xf numFmtId="1" fontId="49" fillId="12" borderId="1678" xfId="0" applyNumberFormat="1" applyFont="1" applyFill="1" applyBorder="1" applyAlignment="1">
      <alignment horizontal="center" vertical="center" wrapText="1"/>
    </xf>
    <xf numFmtId="1" fontId="49" fillId="12" borderId="1813" xfId="0" applyNumberFormat="1" applyFont="1" applyFill="1" applyBorder="1" applyAlignment="1">
      <alignment horizontal="center" vertical="center" wrapText="1"/>
    </xf>
    <xf numFmtId="1" fontId="49" fillId="12" borderId="1692" xfId="0" applyNumberFormat="1" applyFont="1" applyFill="1" applyBorder="1" applyAlignment="1">
      <alignment horizontal="center" vertical="center" wrapText="1"/>
    </xf>
    <xf numFmtId="1" fontId="49" fillId="12" borderId="1814" xfId="0" applyNumberFormat="1" applyFont="1" applyFill="1" applyBorder="1" applyAlignment="1">
      <alignment horizontal="center" vertical="center" wrapText="1"/>
    </xf>
    <xf numFmtId="1" fontId="32" fillId="0" borderId="998" xfId="0" applyNumberFormat="1" applyFont="1" applyBorder="1" applyAlignment="1">
      <alignment horizontal="center" vertical="center" wrapText="1"/>
    </xf>
    <xf numFmtId="1" fontId="32" fillId="0" borderId="909" xfId="0" applyNumberFormat="1" applyFont="1" applyBorder="1" applyAlignment="1">
      <alignment horizontal="center" vertical="center" wrapText="1"/>
    </xf>
    <xf numFmtId="1" fontId="32" fillId="0" borderId="910" xfId="0" applyNumberFormat="1" applyFont="1" applyBorder="1" applyAlignment="1">
      <alignment horizontal="center" vertical="center" wrapText="1"/>
    </xf>
    <xf numFmtId="1" fontId="32" fillId="14" borderId="240" xfId="0" applyNumberFormat="1" applyFont="1" applyFill="1" applyBorder="1" applyAlignment="1">
      <alignment horizontal="center" vertical="center" wrapText="1"/>
    </xf>
    <xf numFmtId="1" fontId="32" fillId="14" borderId="175" xfId="0" applyNumberFormat="1" applyFont="1" applyFill="1" applyBorder="1" applyAlignment="1">
      <alignment horizontal="center" vertical="center" wrapText="1"/>
    </xf>
    <xf numFmtId="1" fontId="32" fillId="0" borderId="587" xfId="0" applyNumberFormat="1" applyFont="1" applyBorder="1" applyAlignment="1">
      <alignment horizontal="center" vertical="center" wrapText="1"/>
    </xf>
    <xf numFmtId="1" fontId="49" fillId="31" borderId="1760" xfId="0" applyNumberFormat="1" applyFont="1" applyFill="1" applyBorder="1" applyAlignment="1">
      <alignment horizontal="center" vertical="center"/>
    </xf>
    <xf numFmtId="1" fontId="49" fillId="12" borderId="1639" xfId="0" applyNumberFormat="1" applyFont="1" applyFill="1" applyBorder="1" applyAlignment="1">
      <alignment horizontal="center" vertical="center" wrapText="1"/>
    </xf>
    <xf numFmtId="1" fontId="49" fillId="12" borderId="1616" xfId="0" applyNumberFormat="1" applyFont="1" applyFill="1" applyBorder="1" applyAlignment="1">
      <alignment horizontal="center" vertical="center" wrapText="1"/>
    </xf>
    <xf numFmtId="1" fontId="49" fillId="12" borderId="1761" xfId="0" applyNumberFormat="1" applyFont="1" applyFill="1" applyBorder="1" applyAlignment="1">
      <alignment horizontal="center" vertical="center" wrapText="1"/>
    </xf>
    <xf numFmtId="1" fontId="49" fillId="12" borderId="1932" xfId="0" applyNumberFormat="1" applyFont="1" applyFill="1" applyBorder="1" applyAlignment="1">
      <alignment horizontal="center" vertical="center" wrapText="1"/>
    </xf>
    <xf numFmtId="1" fontId="49" fillId="12" borderId="1930" xfId="0" applyNumberFormat="1" applyFont="1" applyFill="1" applyBorder="1" applyAlignment="1">
      <alignment horizontal="center" vertical="center" wrapText="1"/>
    </xf>
    <xf numFmtId="1" fontId="49" fillId="12" borderId="1933" xfId="0" applyNumberFormat="1" applyFont="1" applyFill="1" applyBorder="1" applyAlignment="1">
      <alignment horizontal="center" vertical="center" wrapText="1"/>
    </xf>
    <xf numFmtId="1" fontId="49" fillId="12" borderId="1934" xfId="0" applyNumberFormat="1" applyFont="1" applyFill="1" applyBorder="1" applyAlignment="1">
      <alignment horizontal="center" vertical="center" wrapText="1"/>
    </xf>
    <xf numFmtId="1" fontId="49" fillId="12" borderId="517" xfId="0" applyNumberFormat="1" applyFont="1" applyFill="1" applyBorder="1" applyAlignment="1">
      <alignment horizontal="center" vertical="center" wrapText="1"/>
    </xf>
    <xf numFmtId="1" fontId="49" fillId="14" borderId="1760" xfId="0" applyNumberFormat="1" applyFont="1" applyFill="1" applyBorder="1" applyAlignment="1">
      <alignment horizontal="center" vertical="center" wrapText="1"/>
    </xf>
    <xf numFmtId="1" fontId="49" fillId="14" borderId="1760" xfId="0" applyNumberFormat="1" applyFont="1" applyFill="1" applyBorder="1" applyAlignment="1">
      <alignment horizontal="center" vertical="center"/>
    </xf>
    <xf numFmtId="1" fontId="32" fillId="3" borderId="2437" xfId="0" applyNumberFormat="1" applyFont="1" applyFill="1" applyBorder="1" applyAlignment="1">
      <alignment horizontal="center" vertical="center" wrapText="1"/>
    </xf>
    <xf numFmtId="1" fontId="32" fillId="3" borderId="2469" xfId="0" applyNumberFormat="1" applyFont="1" applyFill="1" applyBorder="1" applyAlignment="1">
      <alignment horizontal="center" vertical="center" wrapText="1"/>
    </xf>
    <xf numFmtId="1" fontId="32" fillId="3" borderId="2259" xfId="0" applyNumberFormat="1" applyFont="1" applyFill="1" applyBorder="1" applyAlignment="1">
      <alignment horizontal="center" vertical="center" wrapText="1"/>
    </xf>
    <xf numFmtId="1" fontId="32" fillId="3" borderId="1616" xfId="0" applyNumberFormat="1" applyFont="1" applyFill="1" applyBorder="1" applyAlignment="1">
      <alignment horizontal="center" vertical="center" wrapText="1"/>
    </xf>
    <xf numFmtId="1" fontId="32" fillId="3" borderId="2217" xfId="0" applyNumberFormat="1" applyFont="1" applyFill="1" applyBorder="1" applyAlignment="1">
      <alignment horizontal="center" vertical="center" wrapText="1"/>
    </xf>
    <xf numFmtId="1" fontId="32" fillId="0" borderId="831" xfId="0" applyNumberFormat="1" applyFont="1" applyBorder="1" applyAlignment="1">
      <alignment horizontal="left" vertical="center" wrapText="1"/>
    </xf>
    <xf numFmtId="1" fontId="32" fillId="0" borderId="828" xfId="0" applyNumberFormat="1" applyFont="1" applyBorder="1" applyAlignment="1">
      <alignment horizontal="left" vertical="center" wrapText="1"/>
    </xf>
    <xf numFmtId="1" fontId="6" fillId="48" borderId="2476" xfId="0" applyNumberFormat="1" applyFont="1" applyFill="1" applyBorder="1" applyAlignment="1">
      <alignment wrapText="1"/>
    </xf>
    <xf numFmtId="1" fontId="6" fillId="48" borderId="2441" xfId="0" applyNumberFormat="1" applyFont="1" applyFill="1" applyBorder="1" applyAlignment="1">
      <alignment wrapText="1"/>
    </xf>
    <xf numFmtId="1" fontId="32" fillId="48" borderId="2476" xfId="0" applyNumberFormat="1" applyFont="1" applyFill="1" applyBorder="1" applyAlignment="1">
      <alignment horizontal="left" vertical="center" wrapText="1"/>
    </xf>
    <xf numFmtId="1" fontId="32" fillId="48" borderId="2441" xfId="0" applyNumberFormat="1" applyFont="1" applyFill="1" applyBorder="1" applyAlignment="1">
      <alignment horizontal="left" vertical="center" wrapText="1"/>
    </xf>
    <xf numFmtId="1" fontId="32" fillId="0" borderId="224" xfId="0" applyNumberFormat="1" applyFont="1" applyBorder="1" applyAlignment="1">
      <alignment vertical="center" wrapText="1"/>
    </xf>
    <xf numFmtId="1" fontId="32" fillId="0" borderId="237" xfId="0" applyNumberFormat="1" applyFont="1" applyBorder="1" applyAlignment="1">
      <alignment vertical="center" wrapText="1"/>
    </xf>
    <xf numFmtId="1" fontId="32" fillId="3" borderId="1037" xfId="0" applyNumberFormat="1" applyFont="1" applyFill="1" applyBorder="1" applyAlignment="1">
      <alignment horizontal="center" vertical="center" wrapText="1"/>
    </xf>
    <xf numFmtId="1" fontId="32" fillId="3" borderId="1101" xfId="0" applyNumberFormat="1" applyFont="1" applyFill="1" applyBorder="1" applyAlignment="1">
      <alignment horizontal="center" vertical="center" wrapText="1"/>
    </xf>
    <xf numFmtId="1" fontId="32" fillId="0" borderId="228" xfId="0" applyNumberFormat="1" applyFont="1" applyBorder="1" applyAlignment="1">
      <alignment horizontal="center" vertical="center"/>
    </xf>
    <xf numFmtId="1" fontId="32" fillId="3" borderId="2194" xfId="0" applyNumberFormat="1" applyFont="1" applyFill="1" applyBorder="1" applyAlignment="1">
      <alignment horizontal="center" vertical="center"/>
    </xf>
    <xf numFmtId="1" fontId="32" fillId="3" borderId="2197" xfId="0" applyNumberFormat="1" applyFont="1" applyFill="1" applyBorder="1" applyAlignment="1">
      <alignment horizontal="center" vertical="center"/>
    </xf>
    <xf numFmtId="1" fontId="32" fillId="3" borderId="390" xfId="0" applyNumberFormat="1" applyFont="1" applyFill="1" applyBorder="1" applyAlignment="1">
      <alignment horizontal="center" vertical="center"/>
    </xf>
    <xf numFmtId="1" fontId="32" fillId="3" borderId="370" xfId="0" applyNumberFormat="1" applyFont="1" applyFill="1" applyBorder="1" applyAlignment="1">
      <alignment horizontal="center" vertical="center"/>
    </xf>
    <xf numFmtId="1" fontId="32" fillId="0" borderId="2244" xfId="0" applyNumberFormat="1" applyFont="1" applyBorder="1" applyAlignment="1">
      <alignment horizontal="center" vertical="center" wrapText="1"/>
    </xf>
    <xf numFmtId="1" fontId="32" fillId="0" borderId="2245" xfId="0" applyNumberFormat="1" applyFont="1" applyBorder="1" applyAlignment="1">
      <alignment horizontal="center" vertical="center" wrapText="1"/>
    </xf>
    <xf numFmtId="1" fontId="32" fillId="0" borderId="288" xfId="0" applyNumberFormat="1" applyFont="1" applyBorder="1" applyAlignment="1">
      <alignment horizontal="center" vertical="center" wrapText="1"/>
    </xf>
    <xf numFmtId="1" fontId="74" fillId="0" borderId="1949" xfId="0" applyNumberFormat="1" applyFont="1" applyBorder="1" applyAlignment="1">
      <alignment horizontal="center" vertical="center" wrapText="1"/>
    </xf>
    <xf numFmtId="1" fontId="74" fillId="0" borderId="1933" xfId="0" applyNumberFormat="1" applyFont="1" applyBorder="1" applyAlignment="1">
      <alignment horizontal="center" vertical="center" wrapText="1"/>
    </xf>
    <xf numFmtId="1" fontId="74" fillId="0" borderId="1930" xfId="0" applyNumberFormat="1" applyFont="1" applyBorder="1" applyAlignment="1">
      <alignment horizontal="center" vertical="center" wrapText="1"/>
    </xf>
    <xf numFmtId="1" fontId="32" fillId="0" borderId="2403" xfId="0" applyNumberFormat="1" applyFont="1" applyBorder="1" applyAlignment="1">
      <alignment horizontal="center" vertical="center" wrapText="1"/>
    </xf>
    <xf numFmtId="1" fontId="32" fillId="0" borderId="2404" xfId="0" applyNumberFormat="1" applyFont="1" applyBorder="1" applyAlignment="1">
      <alignment horizontal="center" vertical="center" wrapText="1"/>
    </xf>
    <xf numFmtId="1" fontId="32" fillId="0" borderId="222" xfId="0" applyNumberFormat="1" applyFont="1" applyBorder="1" applyAlignment="1">
      <alignment horizontal="center" vertical="center" wrapText="1"/>
    </xf>
    <xf numFmtId="1" fontId="32" fillId="0" borderId="33" xfId="0" applyNumberFormat="1" applyFont="1" applyBorder="1" applyAlignment="1">
      <alignment horizontal="center" vertical="center" wrapText="1"/>
    </xf>
    <xf numFmtId="1" fontId="32" fillId="0" borderId="142" xfId="0" applyNumberFormat="1" applyFont="1" applyBorder="1" applyAlignment="1">
      <alignment horizontal="center" vertical="center" wrapText="1"/>
    </xf>
    <xf numFmtId="1" fontId="32" fillId="0" borderId="2361" xfId="0" applyNumberFormat="1" applyFont="1" applyBorder="1" applyAlignment="1">
      <alignment horizontal="center" vertical="center" wrapText="1"/>
    </xf>
    <xf numFmtId="1" fontId="32" fillId="0" borderId="2397" xfId="0" applyNumberFormat="1" applyFont="1" applyBorder="1" applyAlignment="1">
      <alignment horizontal="center" vertical="center" wrapText="1"/>
    </xf>
    <xf numFmtId="1" fontId="32" fillId="0" borderId="2398" xfId="0" applyNumberFormat="1" applyFont="1" applyBorder="1" applyAlignment="1">
      <alignment horizontal="center" vertical="center"/>
    </xf>
    <xf numFmtId="1" fontId="32" fillId="0" borderId="2399" xfId="0" applyNumberFormat="1" applyFont="1" applyBorder="1" applyAlignment="1">
      <alignment horizontal="center" vertical="center"/>
    </xf>
    <xf numFmtId="1" fontId="32" fillId="0" borderId="2400" xfId="0" applyNumberFormat="1" applyFont="1" applyBorder="1" applyAlignment="1">
      <alignment horizontal="center" vertical="center"/>
    </xf>
    <xf numFmtId="1" fontId="32" fillId="14" borderId="2415" xfId="0" applyNumberFormat="1" applyFont="1" applyFill="1" applyBorder="1" applyAlignment="1">
      <alignment horizontal="center" vertical="center" wrapText="1"/>
    </xf>
    <xf numFmtId="1" fontId="32" fillId="14" borderId="2416" xfId="0" applyNumberFormat="1" applyFont="1" applyFill="1" applyBorder="1" applyAlignment="1">
      <alignment horizontal="center" vertical="center" wrapText="1"/>
    </xf>
    <xf numFmtId="1" fontId="32" fillId="14" borderId="354" xfId="0" applyNumberFormat="1" applyFont="1" applyFill="1" applyBorder="1" applyAlignment="1">
      <alignment horizontal="center" vertical="center" wrapText="1"/>
    </xf>
    <xf numFmtId="1" fontId="32" fillId="14" borderId="370" xfId="0" applyNumberFormat="1" applyFont="1" applyFill="1" applyBorder="1" applyAlignment="1">
      <alignment horizontal="center" vertical="center" wrapText="1"/>
    </xf>
    <xf numFmtId="1" fontId="32" fillId="3" borderId="2285" xfId="0" applyNumberFormat="1" applyFont="1" applyFill="1" applyBorder="1" applyAlignment="1">
      <alignment horizontal="center" vertical="center" wrapText="1"/>
    </xf>
    <xf numFmtId="1" fontId="32" fillId="3" borderId="133" xfId="0" applyNumberFormat="1" applyFont="1" applyFill="1" applyBorder="1" applyAlignment="1">
      <alignment horizontal="center" vertical="center" wrapText="1"/>
    </xf>
    <xf numFmtId="1" fontId="32" fillId="3" borderId="2223" xfId="0" applyNumberFormat="1" applyFont="1" applyFill="1" applyBorder="1" applyAlignment="1">
      <alignment horizontal="center" vertical="center" wrapText="1"/>
    </xf>
    <xf numFmtId="1" fontId="32" fillId="0" borderId="2273" xfId="0" applyNumberFormat="1" applyFont="1" applyBorder="1" applyAlignment="1">
      <alignment horizontal="center"/>
    </xf>
    <xf numFmtId="1" fontId="32" fillId="0" borderId="2246" xfId="0" applyNumberFormat="1" applyFont="1" applyBorder="1" applyAlignment="1">
      <alignment horizontal="center"/>
    </xf>
    <xf numFmtId="1" fontId="32" fillId="0" borderId="2274" xfId="0" applyNumberFormat="1" applyFont="1" applyBorder="1" applyAlignment="1">
      <alignment horizontal="center"/>
    </xf>
    <xf numFmtId="1" fontId="32" fillId="0" borderId="1183" xfId="0" applyNumberFormat="1" applyFont="1" applyBorder="1" applyAlignment="1">
      <alignment horizontal="center" vertical="center" wrapText="1"/>
    </xf>
    <xf numFmtId="1" fontId="32" fillId="0" borderId="1107" xfId="0" applyNumberFormat="1" applyFont="1" applyBorder="1" applyAlignment="1">
      <alignment horizontal="center" vertical="center" wrapText="1"/>
    </xf>
    <xf numFmtId="1" fontId="32" fillId="0" borderId="1151" xfId="0" applyNumberFormat="1" applyFont="1" applyBorder="1" applyAlignment="1">
      <alignment horizontal="center" vertical="center" wrapText="1"/>
    </xf>
    <xf numFmtId="1" fontId="32" fillId="14" borderId="299" xfId="0" applyNumberFormat="1" applyFont="1" applyFill="1" applyBorder="1" applyAlignment="1">
      <alignment horizontal="center" vertical="center" wrapText="1"/>
    </xf>
    <xf numFmtId="1" fontId="32" fillId="14" borderId="86" xfId="0" applyNumberFormat="1" applyFont="1" applyFill="1" applyBorder="1" applyAlignment="1">
      <alignment horizontal="center" vertical="center" wrapText="1"/>
    </xf>
    <xf numFmtId="1" fontId="32" fillId="0" borderId="866" xfId="0" applyNumberFormat="1" applyFont="1" applyBorder="1" applyAlignment="1">
      <alignment horizontal="center" vertical="center"/>
    </xf>
    <xf numFmtId="1" fontId="32" fillId="0" borderId="860" xfId="0" applyNumberFormat="1" applyFont="1" applyBorder="1" applyAlignment="1">
      <alignment horizontal="center" vertical="center"/>
    </xf>
    <xf numFmtId="1" fontId="32" fillId="0" borderId="868" xfId="0" applyNumberFormat="1" applyFont="1" applyBorder="1" applyAlignment="1">
      <alignment horizontal="center" vertical="center"/>
    </xf>
    <xf numFmtId="1" fontId="32" fillId="0" borderId="866" xfId="0" applyNumberFormat="1" applyFont="1" applyBorder="1" applyAlignment="1">
      <alignment horizontal="center" vertical="center" wrapText="1"/>
    </xf>
    <xf numFmtId="1" fontId="32" fillId="0" borderId="867" xfId="0" applyNumberFormat="1" applyFont="1" applyBorder="1" applyAlignment="1">
      <alignment horizontal="center" vertical="center" wrapText="1"/>
    </xf>
    <xf numFmtId="1" fontId="32" fillId="0" borderId="868" xfId="0" applyNumberFormat="1" applyFont="1" applyBorder="1" applyAlignment="1">
      <alignment horizontal="center" vertical="center" wrapText="1"/>
    </xf>
    <xf numFmtId="1" fontId="32" fillId="48" borderId="2438" xfId="0" applyNumberFormat="1" applyFont="1" applyFill="1" applyBorder="1" applyAlignment="1">
      <alignment horizontal="center" vertical="center" wrapText="1"/>
    </xf>
    <xf numFmtId="1" fontId="32" fillId="48" borderId="2471" xfId="0" applyNumberFormat="1" applyFont="1" applyFill="1" applyBorder="1" applyAlignment="1">
      <alignment horizontal="center" vertical="center" wrapText="1"/>
    </xf>
    <xf numFmtId="1" fontId="32" fillId="0" borderId="442" xfId="0" applyNumberFormat="1" applyFont="1" applyBorder="1" applyAlignment="1" applyProtection="1">
      <alignment horizontal="center" vertical="center" wrapText="1"/>
      <protection hidden="1"/>
    </xf>
    <xf numFmtId="1" fontId="32" fillId="0" borderId="447" xfId="0" applyNumberFormat="1" applyFont="1" applyBorder="1" applyAlignment="1" applyProtection="1">
      <alignment horizontal="center" vertical="center" wrapText="1"/>
      <protection hidden="1"/>
    </xf>
    <xf numFmtId="0" fontId="32" fillId="14" borderId="224" xfId="0" applyFont="1" applyFill="1" applyBorder="1" applyAlignment="1">
      <alignment horizontal="center" vertical="center" wrapText="1"/>
    </xf>
    <xf numFmtId="0" fontId="32" fillId="14" borderId="435" xfId="0" applyFont="1" applyFill="1" applyBorder="1" applyAlignment="1">
      <alignment horizontal="center" vertical="center" wrapText="1"/>
    </xf>
    <xf numFmtId="0" fontId="32" fillId="14" borderId="448" xfId="0" applyFont="1" applyFill="1" applyBorder="1" applyAlignment="1">
      <alignment horizontal="center" vertical="center" wrapText="1"/>
    </xf>
    <xf numFmtId="1" fontId="32" fillId="0" borderId="224" xfId="0" applyNumberFormat="1" applyFont="1" applyBorder="1" applyAlignment="1">
      <alignment horizontal="center" vertical="center"/>
    </xf>
    <xf numFmtId="1" fontId="32" fillId="0" borderId="237" xfId="0" applyNumberFormat="1" applyFont="1" applyBorder="1" applyAlignment="1">
      <alignment horizontal="center" vertical="center"/>
    </xf>
    <xf numFmtId="1" fontId="32" fillId="0" borderId="1572" xfId="0" applyNumberFormat="1" applyFont="1" applyBorder="1" applyAlignment="1">
      <alignment horizontal="center" vertical="center" wrapText="1"/>
    </xf>
    <xf numFmtId="1" fontId="32" fillId="0" borderId="860" xfId="0" applyNumberFormat="1" applyFont="1" applyBorder="1" applyAlignment="1">
      <alignment horizontal="center" vertical="center" wrapText="1"/>
    </xf>
    <xf numFmtId="1" fontId="32" fillId="0" borderId="435" xfId="0" applyNumberFormat="1" applyFont="1" applyBorder="1" applyAlignment="1">
      <alignment horizontal="center" vertical="center"/>
    </xf>
    <xf numFmtId="1" fontId="32" fillId="0" borderId="448" xfId="0" applyNumberFormat="1" applyFont="1" applyBorder="1" applyAlignment="1">
      <alignment horizontal="center" vertical="center"/>
    </xf>
    <xf numFmtId="1" fontId="32" fillId="0" borderId="444" xfId="0" applyNumberFormat="1" applyFont="1" applyBorder="1" applyAlignment="1">
      <alignment horizontal="center" vertical="center" wrapText="1"/>
    </xf>
    <xf numFmtId="1" fontId="32" fillId="0" borderId="456" xfId="0" applyNumberFormat="1" applyFont="1" applyBorder="1" applyAlignment="1">
      <alignment horizontal="center" vertical="center" wrapText="1"/>
    </xf>
    <xf numFmtId="1" fontId="32" fillId="0" borderId="442" xfId="0" applyNumberFormat="1" applyFont="1" applyBorder="1" applyAlignment="1">
      <alignment horizontal="center" vertical="center" wrapText="1"/>
    </xf>
    <xf numFmtId="1" fontId="32" fillId="0" borderId="444" xfId="0" applyNumberFormat="1" applyFont="1" applyBorder="1" applyAlignment="1">
      <alignment horizontal="center" vertical="center"/>
    </xf>
    <xf numFmtId="1" fontId="32" fillId="0" borderId="456" xfId="0" applyNumberFormat="1" applyFont="1" applyBorder="1" applyAlignment="1">
      <alignment horizontal="center" vertical="center"/>
    </xf>
    <xf numFmtId="1" fontId="32" fillId="0" borderId="463" xfId="0" applyNumberFormat="1" applyFont="1" applyBorder="1" applyAlignment="1">
      <alignment horizontal="center" vertical="center"/>
    </xf>
    <xf numFmtId="1" fontId="32" fillId="0" borderId="455" xfId="0" applyNumberFormat="1" applyFont="1" applyBorder="1" applyAlignment="1">
      <alignment horizontal="center" vertical="center" wrapText="1"/>
    </xf>
    <xf numFmtId="1" fontId="32" fillId="0" borderId="352" xfId="0" applyNumberFormat="1" applyFont="1" applyBorder="1" applyAlignment="1">
      <alignment horizontal="center" vertical="center" wrapText="1"/>
    </xf>
    <xf numFmtId="1" fontId="32" fillId="0" borderId="1694" xfId="0" applyNumberFormat="1" applyFont="1" applyBorder="1" applyAlignment="1">
      <alignment horizontal="center" vertical="center"/>
    </xf>
    <xf numFmtId="1" fontId="32" fillId="0" borderId="1692" xfId="0" applyNumberFormat="1" applyFont="1" applyBorder="1" applyAlignment="1">
      <alignment horizontal="center" vertical="center"/>
    </xf>
    <xf numFmtId="1" fontId="32" fillId="0" borderId="1691" xfId="0" applyNumberFormat="1" applyFont="1" applyBorder="1" applyAlignment="1">
      <alignment horizontal="center" vertical="center"/>
    </xf>
    <xf numFmtId="1" fontId="32" fillId="0" borderId="242" xfId="0" applyNumberFormat="1" applyFont="1" applyBorder="1" applyAlignment="1" applyProtection="1">
      <alignment horizontal="center" vertical="center"/>
      <protection hidden="1"/>
    </xf>
    <xf numFmtId="1" fontId="32" fillId="0" borderId="241" xfId="0" applyNumberFormat="1" applyFont="1" applyBorder="1" applyAlignment="1" applyProtection="1">
      <alignment horizontal="center" vertical="center"/>
      <protection hidden="1"/>
    </xf>
    <xf numFmtId="1" fontId="32" fillId="0" borderId="423" xfId="0" applyNumberFormat="1" applyFont="1" applyBorder="1" applyAlignment="1" applyProtection="1">
      <alignment horizontal="center" vertical="center"/>
      <protection hidden="1"/>
    </xf>
    <xf numFmtId="1" fontId="32" fillId="0" borderId="68" xfId="0" applyNumberFormat="1" applyFont="1" applyBorder="1" applyAlignment="1" applyProtection="1">
      <alignment horizontal="center" vertical="center"/>
      <protection hidden="1"/>
    </xf>
    <xf numFmtId="1" fontId="32" fillId="0" borderId="239" xfId="0" applyNumberFormat="1" applyFont="1" applyBorder="1" applyAlignment="1" applyProtection="1">
      <alignment horizontal="center" vertical="center"/>
      <protection hidden="1"/>
    </xf>
    <xf numFmtId="1" fontId="32" fillId="0" borderId="177" xfId="0" applyNumberFormat="1" applyFont="1" applyBorder="1" applyAlignment="1" applyProtection="1">
      <alignment horizontal="center" vertical="center"/>
      <protection hidden="1"/>
    </xf>
    <xf numFmtId="1" fontId="32" fillId="0" borderId="242" xfId="0" applyNumberFormat="1" applyFont="1" applyBorder="1" applyAlignment="1" applyProtection="1">
      <alignment horizontal="center" vertical="center" wrapText="1"/>
      <protection hidden="1"/>
    </xf>
    <xf numFmtId="1" fontId="32" fillId="0" borderId="240" xfId="0" applyNumberFormat="1" applyFont="1" applyBorder="1" applyAlignment="1" applyProtection="1">
      <alignment horizontal="center" vertical="center" wrapText="1"/>
      <protection hidden="1"/>
    </xf>
    <xf numFmtId="1" fontId="32" fillId="0" borderId="241" xfId="0" applyNumberFormat="1" applyFont="1" applyBorder="1" applyAlignment="1" applyProtection="1">
      <alignment horizontal="center" vertical="center" wrapText="1"/>
      <protection hidden="1"/>
    </xf>
    <xf numFmtId="1" fontId="32" fillId="0" borderId="239" xfId="0" applyNumberFormat="1" applyFont="1" applyBorder="1" applyAlignment="1" applyProtection="1">
      <alignment horizontal="center" vertical="center" wrapText="1"/>
      <protection hidden="1"/>
    </xf>
    <xf numFmtId="1" fontId="32" fillId="0" borderId="175" xfId="0" applyNumberFormat="1" applyFont="1" applyBorder="1" applyAlignment="1" applyProtection="1">
      <alignment horizontal="center" vertical="center" wrapText="1"/>
      <protection hidden="1"/>
    </xf>
    <xf numFmtId="1" fontId="32" fillId="0" borderId="177" xfId="0" applyNumberFormat="1" applyFont="1" applyBorder="1" applyAlignment="1" applyProtection="1">
      <alignment horizontal="center" vertical="center" wrapText="1"/>
      <protection hidden="1"/>
    </xf>
    <xf numFmtId="1" fontId="32" fillId="0" borderId="1150" xfId="0" applyNumberFormat="1" applyFont="1" applyBorder="1" applyAlignment="1">
      <alignment horizontal="center" vertical="center" wrapText="1"/>
    </xf>
    <xf numFmtId="1" fontId="32" fillId="0" borderId="1109" xfId="0" applyNumberFormat="1" applyFont="1" applyBorder="1" applyAlignment="1">
      <alignment horizontal="center" vertical="center" wrapText="1"/>
    </xf>
    <xf numFmtId="1" fontId="32" fillId="0" borderId="224" xfId="0" applyNumberFormat="1" applyFont="1" applyBorder="1" applyAlignment="1" applyProtection="1">
      <alignment horizontal="center" vertical="center" wrapText="1"/>
      <protection hidden="1"/>
    </xf>
    <xf numFmtId="1" fontId="32" fillId="0" borderId="237" xfId="0" applyNumberFormat="1" applyFont="1" applyBorder="1" applyAlignment="1" applyProtection="1">
      <alignment horizontal="center" vertical="center" wrapText="1"/>
      <protection hidden="1"/>
    </xf>
    <xf numFmtId="1" fontId="32" fillId="0" borderId="461" xfId="0" applyNumberFormat="1" applyFont="1" applyBorder="1" applyAlignment="1" applyProtection="1">
      <alignment horizontal="center" vertical="center" wrapText="1"/>
      <protection hidden="1"/>
    </xf>
    <xf numFmtId="0" fontId="0" fillId="14" borderId="748" xfId="0" applyFill="1" applyBorder="1" applyAlignment="1">
      <alignment horizontal="center" vertical="center"/>
    </xf>
    <xf numFmtId="0" fontId="0" fillId="14" borderId="749" xfId="0" applyFill="1" applyBorder="1" applyAlignment="1">
      <alignment horizontal="center" vertical="center"/>
    </xf>
    <xf numFmtId="0" fontId="0" fillId="14" borderId="750" xfId="0" applyFill="1" applyBorder="1" applyAlignment="1">
      <alignment horizontal="center" vertical="center"/>
    </xf>
    <xf numFmtId="1" fontId="32" fillId="0" borderId="958" xfId="0" applyNumberFormat="1" applyFont="1" applyBorder="1" applyAlignment="1">
      <alignment horizontal="center" vertical="center" wrapText="1"/>
    </xf>
    <xf numFmtId="1" fontId="32" fillId="0" borderId="967" xfId="0" applyNumberFormat="1" applyFont="1" applyBorder="1" applyAlignment="1">
      <alignment horizontal="center" vertical="center" wrapText="1"/>
    </xf>
    <xf numFmtId="1" fontId="49" fillId="0" borderId="2448" xfId="0" applyNumberFormat="1" applyFont="1" applyBorder="1" applyAlignment="1">
      <alignment horizontal="left" vertical="center" wrapText="1"/>
    </xf>
    <xf numFmtId="1" fontId="49" fillId="0" borderId="2466" xfId="0" applyNumberFormat="1" applyFont="1" applyBorder="1" applyAlignment="1">
      <alignment horizontal="left" vertical="center" wrapText="1"/>
    </xf>
    <xf numFmtId="1" fontId="32" fillId="0" borderId="707" xfId="0" applyNumberFormat="1" applyFont="1" applyBorder="1" applyAlignment="1">
      <alignment horizontal="center" vertical="center" wrapText="1"/>
    </xf>
    <xf numFmtId="1" fontId="32" fillId="0" borderId="708" xfId="0" applyNumberFormat="1" applyFont="1" applyBorder="1" applyAlignment="1">
      <alignment horizontal="center" vertical="center" wrapText="1"/>
    </xf>
    <xf numFmtId="1" fontId="32" fillId="0" borderId="705" xfId="0" applyNumberFormat="1" applyFont="1" applyBorder="1" applyAlignment="1">
      <alignment horizontal="center" vertical="center" wrapText="1"/>
    </xf>
    <xf numFmtId="1" fontId="32" fillId="14" borderId="462" xfId="0" applyNumberFormat="1" applyFont="1" applyFill="1" applyBorder="1" applyAlignment="1">
      <alignment horizontal="center" vertical="center" wrapText="1"/>
    </xf>
    <xf numFmtId="1" fontId="32" fillId="14" borderId="82" xfId="0" applyNumberFormat="1" applyFont="1" applyFill="1" applyBorder="1" applyAlignment="1">
      <alignment horizontal="center" vertical="center" wrapText="1"/>
    </xf>
    <xf numFmtId="1" fontId="62" fillId="3" borderId="456" xfId="0" applyNumberFormat="1" applyFont="1" applyFill="1" applyBorder="1" applyAlignment="1" applyProtection="1">
      <alignment horizontal="left" wrapText="1"/>
      <protection hidden="1"/>
    </xf>
    <xf numFmtId="1" fontId="32" fillId="0" borderId="1639" xfId="0" applyNumberFormat="1" applyFont="1" applyBorder="1" applyAlignment="1" applyProtection="1">
      <alignment horizontal="center" vertical="center" wrapText="1"/>
      <protection hidden="1"/>
    </xf>
    <xf numFmtId="1" fontId="32" fillId="0" borderId="1712" xfId="0" applyNumberFormat="1" applyFont="1" applyBorder="1" applyAlignment="1" applyProtection="1">
      <alignment horizontal="center" vertical="center" wrapText="1"/>
      <protection hidden="1"/>
    </xf>
    <xf numFmtId="1" fontId="32" fillId="0" borderId="2237" xfId="0" applyNumberFormat="1" applyFont="1" applyBorder="1" applyAlignment="1">
      <alignment horizontal="center" vertical="center" wrapText="1"/>
    </xf>
    <xf numFmtId="1" fontId="32" fillId="0" borderId="2194" xfId="0" applyNumberFormat="1" applyFont="1" applyBorder="1" applyAlignment="1">
      <alignment horizontal="center" vertical="center"/>
    </xf>
    <xf numFmtId="1" fontId="32" fillId="0" borderId="2197" xfId="0" applyNumberFormat="1" applyFont="1" applyBorder="1" applyAlignment="1">
      <alignment horizontal="center" vertical="center"/>
    </xf>
    <xf numFmtId="1" fontId="32" fillId="0" borderId="589" xfId="0" applyNumberFormat="1" applyFont="1" applyBorder="1" applyAlignment="1">
      <alignment horizontal="center" vertical="center" wrapText="1"/>
    </xf>
    <xf numFmtId="1" fontId="32" fillId="0" borderId="1639" xfId="0" applyNumberFormat="1" applyFont="1" applyBorder="1" applyAlignment="1">
      <alignment horizontal="center" vertical="center"/>
    </xf>
    <xf numFmtId="1" fontId="32" fillId="0" borderId="1670" xfId="0" applyNumberFormat="1" applyFont="1" applyBorder="1" applyAlignment="1">
      <alignment horizontal="center" vertical="center"/>
    </xf>
    <xf numFmtId="1" fontId="32" fillId="0" borderId="1712" xfId="0" applyNumberFormat="1" applyFont="1" applyBorder="1" applyAlignment="1">
      <alignment horizontal="center" vertical="center"/>
    </xf>
    <xf numFmtId="1" fontId="32" fillId="3" borderId="447" xfId="0" applyNumberFormat="1" applyFont="1" applyFill="1" applyBorder="1" applyAlignment="1">
      <alignment horizontal="center" vertical="center" wrapText="1"/>
    </xf>
    <xf numFmtId="1" fontId="32" fillId="0" borderId="242" xfId="0" applyNumberFormat="1" applyFont="1" applyBorder="1" applyAlignment="1">
      <alignment horizontal="center" vertical="center"/>
    </xf>
    <xf numFmtId="1" fontId="32" fillId="0" borderId="243" xfId="0" applyNumberFormat="1" applyFont="1" applyBorder="1" applyAlignment="1">
      <alignment horizontal="center" vertical="center" wrapText="1"/>
    </xf>
    <xf numFmtId="1" fontId="32" fillId="0" borderId="152" xfId="0" applyNumberFormat="1" applyFont="1" applyBorder="1" applyAlignment="1">
      <alignment horizontal="center" vertical="center" wrapText="1"/>
    </xf>
    <xf numFmtId="1" fontId="32" fillId="0" borderId="444" xfId="0" applyNumberFormat="1" applyFont="1" applyBorder="1" applyAlignment="1" applyProtection="1">
      <alignment horizontal="center" vertical="center" wrapText="1"/>
      <protection hidden="1"/>
    </xf>
    <xf numFmtId="1" fontId="32" fillId="0" borderId="1375" xfId="0" applyNumberFormat="1" applyFont="1" applyBorder="1" applyAlignment="1">
      <alignment horizontal="center" vertical="center" wrapText="1"/>
    </xf>
    <xf numFmtId="1" fontId="32" fillId="0" borderId="1544" xfId="0" applyNumberFormat="1" applyFont="1" applyBorder="1" applyAlignment="1">
      <alignment horizontal="center" vertical="center" wrapText="1"/>
    </xf>
    <xf numFmtId="1" fontId="6" fillId="0" borderId="2438" xfId="0" applyNumberFormat="1" applyFont="1" applyBorder="1" applyAlignment="1">
      <alignment horizontal="center" vertical="center"/>
    </xf>
    <xf numFmtId="1" fontId="6" fillId="0" borderId="2471" xfId="0" applyNumberFormat="1" applyFont="1" applyBorder="1" applyAlignment="1">
      <alignment horizontal="center" vertical="center"/>
    </xf>
    <xf numFmtId="1" fontId="6" fillId="0" borderId="2435" xfId="0" applyNumberFormat="1" applyFont="1" applyBorder="1" applyAlignment="1">
      <alignment horizontal="center" vertical="center" wrapText="1"/>
    </xf>
    <xf numFmtId="1" fontId="6" fillId="0" borderId="2436" xfId="0" applyNumberFormat="1" applyFont="1" applyBorder="1" applyAlignment="1">
      <alignment horizontal="center" vertical="center" wrapText="1"/>
    </xf>
    <xf numFmtId="1" fontId="6" fillId="0" borderId="2437" xfId="0" applyNumberFormat="1" applyFont="1" applyBorder="1" applyAlignment="1">
      <alignment horizontal="center" vertical="center" wrapText="1"/>
    </xf>
    <xf numFmtId="1" fontId="6" fillId="0" borderId="2475" xfId="0" applyNumberFormat="1" applyFont="1" applyBorder="1" applyAlignment="1">
      <alignment horizontal="center" vertical="center" wrapText="1"/>
    </xf>
    <xf numFmtId="1" fontId="6" fillId="0" borderId="2470" xfId="0" applyNumberFormat="1" applyFont="1" applyBorder="1" applyAlignment="1">
      <alignment horizontal="center" vertical="center" wrapText="1"/>
    </xf>
    <xf numFmtId="1" fontId="6" fillId="0" borderId="2469" xfId="0" applyNumberFormat="1" applyFont="1" applyBorder="1" applyAlignment="1">
      <alignment horizontal="center" vertical="center" wrapText="1"/>
    </xf>
    <xf numFmtId="1" fontId="6" fillId="0" borderId="2448" xfId="0" applyNumberFormat="1" applyFont="1" applyBorder="1" applyAlignment="1">
      <alignment horizontal="center" vertical="center" wrapText="1"/>
    </xf>
    <xf numFmtId="1" fontId="6" fillId="0" borderId="2465" xfId="0" applyNumberFormat="1" applyFont="1" applyBorder="1" applyAlignment="1">
      <alignment horizontal="center" vertical="center" wrapText="1"/>
    </xf>
    <xf numFmtId="1" fontId="32" fillId="0" borderId="2437" xfId="0" applyNumberFormat="1" applyFont="1" applyBorder="1" applyAlignment="1">
      <alignment horizontal="center" vertical="center" wrapText="1"/>
    </xf>
    <xf numFmtId="1" fontId="32" fillId="0" borderId="2469" xfId="0" applyNumberFormat="1" applyFont="1" applyBorder="1" applyAlignment="1">
      <alignment horizontal="center" vertical="center" wrapText="1"/>
    </xf>
    <xf numFmtId="1" fontId="32" fillId="0" borderId="966" xfId="0" applyNumberFormat="1" applyFont="1" applyBorder="1" applyAlignment="1" applyProtection="1">
      <alignment horizontal="center" vertical="center" wrapText="1"/>
      <protection hidden="1"/>
    </xf>
    <xf numFmtId="1" fontId="32" fillId="0" borderId="958" xfId="0" applyNumberFormat="1" applyFont="1" applyBorder="1" applyAlignment="1" applyProtection="1">
      <alignment horizontal="center" vertical="center" wrapText="1"/>
      <protection hidden="1"/>
    </xf>
    <xf numFmtId="1" fontId="32" fillId="0" borderId="967" xfId="0" applyNumberFormat="1" applyFont="1" applyBorder="1" applyAlignment="1" applyProtection="1">
      <alignment horizontal="center" vertical="center" wrapText="1"/>
      <protection hidden="1"/>
    </xf>
    <xf numFmtId="1" fontId="32" fillId="0" borderId="222" xfId="0" applyNumberFormat="1" applyFont="1" applyBorder="1" applyAlignment="1" applyProtection="1">
      <alignment horizontal="center" vertical="center" wrapText="1"/>
      <protection hidden="1"/>
    </xf>
    <xf numFmtId="1" fontId="32" fillId="0" borderId="142" xfId="0" applyNumberFormat="1" applyFont="1" applyBorder="1" applyAlignment="1" applyProtection="1">
      <alignment horizontal="center" vertical="center" wrapText="1"/>
      <protection hidden="1"/>
    </xf>
    <xf numFmtId="1" fontId="32" fillId="0" borderId="1329" xfId="0" applyNumberFormat="1" applyFont="1" applyBorder="1" applyAlignment="1" applyProtection="1">
      <alignment horizontal="center" vertical="center" wrapText="1"/>
      <protection hidden="1"/>
    </xf>
    <xf numFmtId="1" fontId="32" fillId="0" borderId="1330" xfId="0" applyNumberFormat="1" applyFont="1" applyBorder="1" applyAlignment="1" applyProtection="1">
      <alignment horizontal="center" vertical="center" wrapText="1"/>
      <protection hidden="1"/>
    </xf>
    <xf numFmtId="1" fontId="32" fillId="0" borderId="865" xfId="0" applyNumberFormat="1" applyFont="1" applyBorder="1" applyAlignment="1">
      <alignment horizontal="center" vertical="center" wrapText="1"/>
    </xf>
    <xf numFmtId="1" fontId="6" fillId="0" borderId="2438" xfId="0" applyNumberFormat="1" applyFont="1" applyBorder="1" applyAlignment="1">
      <alignment horizontal="center" vertical="center" wrapText="1"/>
    </xf>
    <xf numFmtId="1" fontId="6" fillId="0" borderId="2471" xfId="0" applyNumberFormat="1" applyFont="1" applyBorder="1" applyAlignment="1">
      <alignment horizontal="center" vertical="center" wrapText="1"/>
    </xf>
    <xf numFmtId="1" fontId="6" fillId="0" borderId="2476" xfId="0" applyNumberFormat="1" applyFont="1" applyBorder="1" applyAlignment="1">
      <alignment horizontal="left" vertical="center" wrapText="1"/>
    </xf>
    <xf numFmtId="1" fontId="6" fillId="0" borderId="2441" xfId="0" applyNumberFormat="1" applyFont="1" applyBorder="1" applyAlignment="1">
      <alignment horizontal="left" vertical="center" wrapText="1"/>
    </xf>
    <xf numFmtId="1" fontId="6" fillId="0" borderId="2475" xfId="0" applyNumberFormat="1" applyFont="1" applyBorder="1" applyAlignment="1">
      <alignment horizontal="left" vertical="center" wrapText="1"/>
    </xf>
    <xf numFmtId="1" fontId="6" fillId="0" borderId="2469" xfId="0" applyNumberFormat="1" applyFont="1" applyBorder="1" applyAlignment="1">
      <alignment horizontal="left" vertical="center" wrapText="1"/>
    </xf>
    <xf numFmtId="1" fontId="6" fillId="0" borderId="2466" xfId="0" applyNumberFormat="1" applyFont="1" applyBorder="1" applyAlignment="1">
      <alignment horizontal="center" vertical="center" wrapText="1"/>
    </xf>
    <xf numFmtId="1" fontId="6" fillId="0" borderId="2448" xfId="0" applyNumberFormat="1" applyFont="1" applyBorder="1" applyAlignment="1">
      <alignment horizontal="center" vertical="center"/>
    </xf>
    <xf numFmtId="1" fontId="6" fillId="0" borderId="2466" xfId="0" applyNumberFormat="1" applyFont="1" applyBorder="1" applyAlignment="1">
      <alignment horizontal="center" vertical="center"/>
    </xf>
    <xf numFmtId="1" fontId="6" fillId="0" borderId="240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887" xfId="0" applyNumberFormat="1" applyFont="1" applyBorder="1" applyAlignment="1">
      <alignment horizontal="center" vertical="center" wrapText="1"/>
    </xf>
    <xf numFmtId="1" fontId="6" fillId="0" borderId="86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14" borderId="811" xfId="0" applyNumberFormat="1" applyFont="1" applyFill="1" applyBorder="1" applyAlignment="1">
      <alignment horizontal="center" vertical="center" wrapText="1"/>
    </xf>
    <xf numFmtId="1" fontId="6" fillId="14" borderId="865" xfId="0" applyNumberFormat="1" applyFont="1" applyFill="1" applyBorder="1" applyAlignment="1">
      <alignment horizontal="center" vertical="center" wrapText="1"/>
    </xf>
    <xf numFmtId="1" fontId="6" fillId="14" borderId="0" xfId="0" applyNumberFormat="1" applyFont="1" applyFill="1" applyAlignment="1">
      <alignment horizontal="center" vertical="center" wrapText="1"/>
    </xf>
    <xf numFmtId="1" fontId="6" fillId="14" borderId="517" xfId="0" applyNumberFormat="1" applyFont="1" applyFill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698" xfId="0" applyNumberFormat="1" applyFont="1" applyBorder="1" applyAlignment="1">
      <alignment horizontal="left" vertical="center"/>
    </xf>
    <xf numFmtId="1" fontId="6" fillId="0" borderId="828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49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50" xfId="0" applyNumberFormat="1" applyFont="1" applyBorder="1" applyAlignment="1">
      <alignment horizontal="left" vertical="center"/>
    </xf>
    <xf numFmtId="1" fontId="6" fillId="0" borderId="139" xfId="0" applyNumberFormat="1" applyFont="1" applyBorder="1" applyAlignment="1">
      <alignment horizontal="center" vertical="center" wrapText="1"/>
    </xf>
    <xf numFmtId="1" fontId="6" fillId="0" borderId="144" xfId="0" applyNumberFormat="1" applyFont="1" applyBorder="1" applyAlignment="1">
      <alignment horizontal="center" vertical="center" wrapText="1"/>
    </xf>
    <xf numFmtId="1" fontId="6" fillId="0" borderId="1002" xfId="0" applyNumberFormat="1" applyFont="1" applyBorder="1" applyAlignment="1">
      <alignment horizontal="center" vertical="center" wrapText="1"/>
    </xf>
    <xf numFmtId="1" fontId="6" fillId="0" borderId="1000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0" xfId="0" applyNumberFormat="1" applyFont="1" applyBorder="1" applyAlignment="1">
      <alignment horizontal="left" vertical="center" shrinkToFit="1"/>
    </xf>
    <xf numFmtId="1" fontId="6" fillId="14" borderId="2140" xfId="0" applyNumberFormat="1" applyFont="1" applyFill="1" applyBorder="1" applyAlignment="1">
      <alignment horizontal="center" vertical="center" wrapText="1"/>
    </xf>
    <xf numFmtId="1" fontId="6" fillId="14" borderId="2139" xfId="0" applyNumberFormat="1" applyFont="1" applyFill="1" applyBorder="1" applyAlignment="1">
      <alignment horizontal="center" vertical="center" wrapText="1"/>
    </xf>
    <xf numFmtId="1" fontId="6" fillId="14" borderId="1956" xfId="0" applyNumberFormat="1" applyFont="1" applyFill="1" applyBorder="1" applyAlignment="1">
      <alignment horizontal="center" vertical="center" wrapText="1"/>
    </xf>
    <xf numFmtId="1" fontId="6" fillId="14" borderId="1957" xfId="0" applyNumberFormat="1" applyFont="1" applyFill="1" applyBorder="1" applyAlignment="1">
      <alignment horizontal="center" vertical="center" wrapText="1"/>
    </xf>
    <xf numFmtId="1" fontId="6" fillId="14" borderId="1920" xfId="0" applyNumberFormat="1" applyFont="1" applyFill="1" applyBorder="1" applyAlignment="1">
      <alignment horizontal="center" vertical="center" wrapText="1"/>
    </xf>
    <xf numFmtId="1" fontId="6" fillId="14" borderId="2140" xfId="0" applyNumberFormat="1" applyFont="1" applyFill="1" applyBorder="1" applyAlignment="1">
      <alignment horizontal="center" vertical="center"/>
    </xf>
    <xf numFmtId="1" fontId="6" fillId="14" borderId="811" xfId="0" applyNumberFormat="1" applyFont="1" applyFill="1" applyBorder="1" applyAlignment="1">
      <alignment horizontal="center" vertical="center"/>
    </xf>
    <xf numFmtId="1" fontId="6" fillId="14" borderId="2139" xfId="0" applyNumberFormat="1" applyFont="1" applyFill="1" applyBorder="1" applyAlignment="1">
      <alignment horizontal="center" vertical="center"/>
    </xf>
    <xf numFmtId="1" fontId="6" fillId="14" borderId="1956" xfId="0" applyNumberFormat="1" applyFont="1" applyFill="1" applyBorder="1" applyAlignment="1">
      <alignment horizontal="center" vertical="center"/>
    </xf>
    <xf numFmtId="1" fontId="6" fillId="14" borderId="1957" xfId="0" applyNumberFormat="1" applyFont="1" applyFill="1" applyBorder="1" applyAlignment="1">
      <alignment horizontal="center" vertical="center"/>
    </xf>
    <xf numFmtId="1" fontId="6" fillId="14" borderId="1920" xfId="0" applyNumberFormat="1" applyFont="1" applyFill="1" applyBorder="1" applyAlignment="1">
      <alignment horizontal="center" vertical="center"/>
    </xf>
    <xf numFmtId="1" fontId="6" fillId="0" borderId="2140" xfId="0" applyNumberFormat="1" applyFont="1" applyBorder="1" applyAlignment="1">
      <alignment horizontal="center" vertical="center" wrapText="1"/>
    </xf>
    <xf numFmtId="1" fontId="6" fillId="0" borderId="1956" xfId="0" applyNumberFormat="1" applyFont="1" applyBorder="1" applyAlignment="1">
      <alignment horizontal="center" vertical="center" wrapText="1"/>
    </xf>
    <xf numFmtId="1" fontId="13" fillId="0" borderId="106" xfId="0" applyNumberFormat="1" applyFont="1" applyBorder="1" applyAlignment="1">
      <alignment horizontal="center" vertical="center"/>
    </xf>
    <xf numFmtId="1" fontId="13" fillId="0" borderId="49" xfId="0" applyNumberFormat="1" applyFont="1" applyBorder="1" applyAlignment="1">
      <alignment horizontal="center" vertical="center"/>
    </xf>
    <xf numFmtId="1" fontId="13" fillId="0" borderId="77" xfId="0" applyNumberFormat="1" applyFont="1" applyBorder="1" applyAlignment="1">
      <alignment horizontal="center" wrapText="1"/>
    </xf>
    <xf numFmtId="1" fontId="13" fillId="0" borderId="107" xfId="0" applyNumberFormat="1" applyFont="1" applyBorder="1" applyAlignment="1">
      <alignment horizontal="center" wrapText="1"/>
    </xf>
    <xf numFmtId="1" fontId="41" fillId="0" borderId="0" xfId="0" applyNumberFormat="1" applyFont="1" applyAlignment="1">
      <alignment horizontal="left" vertical="center" wrapText="1"/>
    </xf>
    <xf numFmtId="1" fontId="41" fillId="0" borderId="49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866" xfId="0" applyNumberFormat="1" applyFont="1" applyBorder="1" applyAlignment="1">
      <alignment horizontal="center" vertical="center"/>
    </xf>
    <xf numFmtId="1" fontId="6" fillId="0" borderId="867" xfId="0" applyNumberFormat="1" applyFont="1" applyBorder="1" applyAlignment="1">
      <alignment horizontal="center" vertical="center"/>
    </xf>
    <xf numFmtId="1" fontId="6" fillId="0" borderId="868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6" fillId="14" borderId="2122" xfId="0" applyNumberFormat="1" applyFont="1" applyFill="1" applyBorder="1" applyAlignment="1">
      <alignment horizontal="center" vertical="center" wrapText="1"/>
    </xf>
    <xf numFmtId="1" fontId="6" fillId="0" borderId="2243" xfId="0" applyNumberFormat="1" applyFont="1" applyBorder="1" applyAlignment="1">
      <alignment horizontal="center" vertical="center" wrapText="1"/>
    </xf>
    <xf numFmtId="1" fontId="6" fillId="0" borderId="2197" xfId="0" applyNumberFormat="1" applyFont="1" applyBorder="1" applyAlignment="1">
      <alignment horizontal="center" vertical="center" wrapText="1"/>
    </xf>
    <xf numFmtId="1" fontId="6" fillId="0" borderId="390" xfId="0" applyNumberFormat="1" applyFont="1" applyBorder="1" applyAlignment="1">
      <alignment horizontal="center" vertical="center" wrapText="1"/>
    </xf>
    <xf numFmtId="1" fontId="6" fillId="16" borderId="2140" xfId="0" applyNumberFormat="1" applyFont="1" applyFill="1" applyBorder="1" applyAlignment="1">
      <alignment horizontal="center" vertical="center" wrapText="1"/>
    </xf>
    <xf numFmtId="1" fontId="6" fillId="16" borderId="2139" xfId="0" applyNumberFormat="1" applyFont="1" applyFill="1" applyBorder="1" applyAlignment="1">
      <alignment horizontal="center" vertical="center" wrapText="1"/>
    </xf>
    <xf numFmtId="1" fontId="6" fillId="16" borderId="1956" xfId="0" applyNumberFormat="1" applyFont="1" applyFill="1" applyBorder="1" applyAlignment="1">
      <alignment horizontal="center" vertical="center" wrapText="1"/>
    </xf>
    <xf numFmtId="1" fontId="6" fillId="16" borderId="1920" xfId="0" applyNumberFormat="1" applyFont="1" applyFill="1" applyBorder="1" applyAlignment="1">
      <alignment horizontal="center" vertical="center" wrapText="1"/>
    </xf>
    <xf numFmtId="1" fontId="6" fillId="0" borderId="2122" xfId="0" applyNumberFormat="1" applyFont="1" applyBorder="1" applyAlignment="1">
      <alignment horizontal="center" vertical="center" wrapText="1"/>
    </xf>
    <xf numFmtId="1" fontId="6" fillId="0" borderId="1923" xfId="0" applyNumberFormat="1" applyFont="1" applyBorder="1" applyAlignment="1">
      <alignment horizontal="center" vertical="center" wrapText="1"/>
    </xf>
    <xf numFmtId="1" fontId="13" fillId="0" borderId="225" xfId="0" applyNumberFormat="1" applyFont="1" applyBorder="1" applyAlignment="1">
      <alignment horizontal="center" vertical="center"/>
    </xf>
    <xf numFmtId="1" fontId="13" fillId="0" borderId="226" xfId="0" applyNumberFormat="1" applyFont="1" applyBorder="1" applyAlignment="1">
      <alignment horizontal="center" vertical="center"/>
    </xf>
    <xf numFmtId="1" fontId="13" fillId="0" borderId="228" xfId="0" applyNumberFormat="1" applyFont="1" applyBorder="1" applyAlignment="1">
      <alignment horizontal="center" vertical="center"/>
    </xf>
    <xf numFmtId="1" fontId="6" fillId="0" borderId="288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2079" xfId="0" applyNumberFormat="1" applyFont="1" applyBorder="1" applyAlignment="1">
      <alignment horizontal="center" vertical="center"/>
    </xf>
    <xf numFmtId="1" fontId="6" fillId="0" borderId="2081" xfId="0" applyNumberFormat="1" applyFont="1" applyBorder="1" applyAlignment="1">
      <alignment horizontal="center" vertical="center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080" xfId="0" applyNumberFormat="1" applyFont="1" applyBorder="1" applyAlignment="1">
      <alignment horizontal="center" vertical="center"/>
    </xf>
    <xf numFmtId="1" fontId="6" fillId="0" borderId="1694" xfId="0" applyNumberFormat="1" applyFont="1" applyBorder="1" applyAlignment="1">
      <alignment horizontal="center" vertical="center"/>
    </xf>
    <xf numFmtId="1" fontId="6" fillId="0" borderId="1692" xfId="0" applyNumberFormat="1" applyFont="1" applyBorder="1" applyAlignment="1">
      <alignment horizontal="center" vertical="center"/>
    </xf>
    <xf numFmtId="1" fontId="6" fillId="0" borderId="1695" xfId="0" applyNumberFormat="1" applyFont="1" applyBorder="1" applyAlignment="1">
      <alignment horizontal="center" vertical="center"/>
    </xf>
    <xf numFmtId="1" fontId="6" fillId="0" borderId="1576" xfId="0" applyNumberFormat="1" applyFont="1" applyBorder="1" applyAlignment="1">
      <alignment horizontal="center" wrapText="1"/>
    </xf>
    <xf numFmtId="1" fontId="6" fillId="0" borderId="1577" xfId="0" applyNumberFormat="1" applyFont="1" applyBorder="1" applyAlignment="1">
      <alignment horizontal="center" wrapText="1"/>
    </xf>
    <xf numFmtId="1" fontId="6" fillId="0" borderId="1581" xfId="0" applyNumberFormat="1" applyFont="1" applyBorder="1" applyAlignment="1">
      <alignment horizontal="center" wrapText="1"/>
    </xf>
    <xf numFmtId="1" fontId="6" fillId="0" borderId="2079" xfId="0" applyNumberFormat="1" applyFont="1" applyBorder="1" applyAlignment="1">
      <alignment horizontal="center" vertical="center" wrapText="1"/>
    </xf>
    <xf numFmtId="1" fontId="6" fillId="0" borderId="2080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966" xfId="0" applyNumberFormat="1" applyFont="1" applyBorder="1" applyAlignment="1">
      <alignment horizontal="center" vertical="center" wrapText="1"/>
    </xf>
    <xf numFmtId="1" fontId="6" fillId="0" borderId="958" xfId="0" applyNumberFormat="1" applyFont="1" applyBorder="1" applyAlignment="1">
      <alignment horizontal="center" vertical="center" wrapText="1"/>
    </xf>
    <xf numFmtId="1" fontId="6" fillId="0" borderId="967" xfId="0" applyNumberFormat="1" applyFont="1" applyBorder="1" applyAlignment="1">
      <alignment horizontal="center" vertical="center" wrapText="1"/>
    </xf>
    <xf numFmtId="1" fontId="6" fillId="0" borderId="849" xfId="0" applyNumberFormat="1" applyFont="1" applyBorder="1" applyAlignment="1">
      <alignment horizontal="center" vertical="center" wrapText="1"/>
    </xf>
    <xf numFmtId="1" fontId="6" fillId="0" borderId="1332" xfId="0" applyNumberFormat="1" applyFont="1" applyBorder="1" applyAlignment="1">
      <alignment horizontal="center" vertical="center" wrapText="1"/>
    </xf>
    <xf numFmtId="1" fontId="6" fillId="0" borderId="288" xfId="0" applyNumberFormat="1" applyFont="1" applyBorder="1" applyAlignment="1">
      <alignment horizontal="center" vertical="center"/>
    </xf>
    <xf numFmtId="1" fontId="6" fillId="3" borderId="1582" xfId="0" applyNumberFormat="1" applyFont="1" applyFill="1" applyBorder="1" applyAlignment="1">
      <alignment horizontal="center" vertical="center"/>
    </xf>
    <xf numFmtId="1" fontId="6" fillId="3" borderId="1581" xfId="0" applyNumberFormat="1" applyFont="1" applyFill="1" applyBorder="1" applyAlignment="1">
      <alignment horizontal="center" vertical="center"/>
    </xf>
    <xf numFmtId="1" fontId="6" fillId="0" borderId="2419" xfId="0" applyNumberFormat="1" applyFont="1" applyBorder="1" applyAlignment="1">
      <alignment horizontal="center" vertical="center" wrapText="1"/>
    </xf>
    <xf numFmtId="1" fontId="6" fillId="0" borderId="2416" xfId="0" applyNumberFormat="1" applyFont="1" applyBorder="1" applyAlignment="1">
      <alignment horizontal="center" vertical="center" wrapText="1"/>
    </xf>
    <xf numFmtId="1" fontId="6" fillId="0" borderId="2376" xfId="0" applyNumberFormat="1" applyFont="1" applyBorder="1" applyAlignment="1">
      <alignment horizontal="center" vertical="center" wrapText="1"/>
    </xf>
    <xf numFmtId="1" fontId="6" fillId="0" borderId="2218" xfId="0" applyNumberFormat="1" applyFont="1" applyBorder="1" applyAlignment="1">
      <alignment horizontal="center" vertical="center" wrapText="1"/>
    </xf>
    <xf numFmtId="1" fontId="6" fillId="3" borderId="240" xfId="0" applyNumberFormat="1" applyFont="1" applyFill="1" applyBorder="1" applyAlignment="1">
      <alignment horizontal="center" vertical="center" wrapText="1"/>
    </xf>
    <xf numFmtId="1" fontId="6" fillId="3" borderId="241" xfId="0" applyNumberFormat="1" applyFont="1" applyFill="1" applyBorder="1" applyAlignment="1">
      <alignment horizontal="center" vertical="center" wrapText="1"/>
    </xf>
    <xf numFmtId="1" fontId="6" fillId="3" borderId="175" xfId="0" applyNumberFormat="1" applyFont="1" applyFill="1" applyBorder="1" applyAlignment="1">
      <alignment horizontal="center" vertical="center" wrapText="1"/>
    </xf>
    <xf numFmtId="1" fontId="6" fillId="3" borderId="177" xfId="0" applyNumberFormat="1" applyFont="1" applyFill="1" applyBorder="1" applyAlignment="1">
      <alignment horizontal="center" vertical="center" wrapText="1"/>
    </xf>
    <xf numFmtId="1" fontId="6" fillId="0" borderId="2113" xfId="0" applyNumberFormat="1" applyFont="1" applyBorder="1" applyAlignment="1">
      <alignment horizontal="center" vertical="center" wrapText="1"/>
    </xf>
    <xf numFmtId="1" fontId="6" fillId="0" borderId="2113" xfId="0" applyNumberFormat="1" applyFont="1" applyBorder="1" applyAlignment="1">
      <alignment horizontal="center" vertical="center"/>
    </xf>
    <xf numFmtId="1" fontId="6" fillId="0" borderId="2244" xfId="0" applyNumberFormat="1" applyFont="1" applyBorder="1" applyAlignment="1">
      <alignment horizontal="center" vertical="center"/>
    </xf>
    <xf numFmtId="1" fontId="6" fillId="0" borderId="2245" xfId="0" applyNumberFormat="1" applyFont="1" applyBorder="1" applyAlignment="1">
      <alignment horizontal="center" vertical="center"/>
    </xf>
    <xf numFmtId="1" fontId="49" fillId="0" borderId="815" xfId="0" applyNumberFormat="1" applyFont="1" applyBorder="1" applyAlignment="1">
      <alignment horizontal="center" vertical="center" wrapText="1"/>
    </xf>
    <xf numFmtId="1" fontId="49" fillId="0" borderId="1428" xfId="0" applyNumberFormat="1" applyFont="1" applyBorder="1" applyAlignment="1">
      <alignment horizontal="center" vertical="center" wrapText="1"/>
    </xf>
    <xf numFmtId="1" fontId="6" fillId="0" borderId="1959" xfId="0" applyNumberFormat="1" applyFont="1" applyBorder="1" applyAlignment="1">
      <alignment horizontal="center" vertical="center"/>
    </xf>
    <xf numFmtId="1" fontId="6" fillId="0" borderId="240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3" borderId="225" xfId="0" applyNumberFormat="1" applyFont="1" applyFill="1" applyBorder="1" applyAlignment="1">
      <alignment horizontal="center" vertical="center"/>
    </xf>
    <xf numFmtId="1" fontId="6" fillId="3" borderId="226" xfId="0" applyNumberFormat="1" applyFont="1" applyFill="1" applyBorder="1" applyAlignment="1">
      <alignment horizontal="center" vertical="center"/>
    </xf>
    <xf numFmtId="1" fontId="6" fillId="3" borderId="227" xfId="0" applyNumberFormat="1" applyFont="1" applyFill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243" xfId="0" applyNumberFormat="1" applyFont="1" applyBorder="1" applyAlignment="1">
      <alignment horizontal="center" vertical="center" wrapText="1"/>
    </xf>
    <xf numFmtId="1" fontId="6" fillId="0" borderId="152" xfId="0" applyNumberFormat="1" applyFont="1" applyBorder="1" applyAlignment="1">
      <alignment horizontal="center" vertical="center" wrapText="1"/>
    </xf>
    <xf numFmtId="1" fontId="6" fillId="0" borderId="1333" xfId="0" applyNumberFormat="1" applyFont="1" applyBorder="1" applyAlignment="1">
      <alignment horizontal="center" vertical="center" wrapText="1"/>
    </xf>
    <xf numFmtId="1" fontId="6" fillId="0" borderId="1575" xfId="0" applyNumberFormat="1" applyFont="1" applyBorder="1" applyAlignment="1">
      <alignment horizontal="center" vertical="center" wrapText="1"/>
    </xf>
    <xf numFmtId="1" fontId="6" fillId="0" borderId="1572" xfId="0" applyNumberFormat="1" applyFont="1" applyBorder="1" applyAlignment="1">
      <alignment horizontal="center" vertical="center" wrapText="1"/>
    </xf>
    <xf numFmtId="1" fontId="6" fillId="3" borderId="1576" xfId="0" applyNumberFormat="1" applyFont="1" applyFill="1" applyBorder="1" applyAlignment="1">
      <alignment horizontal="center"/>
    </xf>
    <xf numFmtId="1" fontId="6" fillId="3" borderId="1581" xfId="0" applyNumberFormat="1" applyFont="1" applyFill="1" applyBorder="1" applyAlignment="1">
      <alignment horizontal="center"/>
    </xf>
    <xf numFmtId="1" fontId="6" fillId="0" borderId="2046" xfId="0" applyNumberFormat="1" applyFont="1" applyBorder="1" applyAlignment="1">
      <alignment horizontal="center" vertical="center"/>
    </xf>
    <xf numFmtId="1" fontId="6" fillId="0" borderId="2045" xfId="0" applyNumberFormat="1" applyFont="1" applyBorder="1" applyAlignment="1">
      <alignment horizontal="center" vertical="center"/>
    </xf>
    <xf numFmtId="1" fontId="6" fillId="0" borderId="2044" xfId="0" applyNumberFormat="1" applyFont="1" applyBorder="1" applyAlignment="1">
      <alignment horizontal="center" vertical="center"/>
    </xf>
    <xf numFmtId="1" fontId="6" fillId="0" borderId="2046" xfId="0" applyNumberFormat="1" applyFont="1" applyBorder="1" applyAlignment="1">
      <alignment horizontal="center" vertical="center" wrapText="1"/>
    </xf>
    <xf numFmtId="1" fontId="6" fillId="0" borderId="2045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68" xfId="0" applyNumberFormat="1" applyFont="1" applyBorder="1" applyAlignment="1">
      <alignment horizont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136" xfId="0" applyNumberFormat="1" applyFont="1" applyBorder="1" applyAlignment="1">
      <alignment horizontal="center" vertical="center" wrapText="1"/>
    </xf>
    <xf numFmtId="1" fontId="6" fillId="0" borderId="223" xfId="0" applyNumberFormat="1" applyFont="1" applyBorder="1" applyAlignment="1">
      <alignment horizontal="center" vertical="center" wrapText="1"/>
    </xf>
    <xf numFmtId="1" fontId="6" fillId="0" borderId="143" xfId="0" applyNumberFormat="1" applyFont="1" applyBorder="1" applyAlignment="1">
      <alignment horizontal="center" vertical="center" wrapText="1"/>
    </xf>
    <xf numFmtId="1" fontId="6" fillId="0" borderId="222" xfId="0" applyNumberFormat="1" applyFont="1" applyBorder="1" applyAlignment="1">
      <alignment horizontal="center" vertical="center" wrapText="1"/>
    </xf>
    <xf numFmtId="1" fontId="6" fillId="0" borderId="142" xfId="0" applyNumberFormat="1" applyFont="1" applyBorder="1" applyAlignment="1">
      <alignment horizontal="center" vertical="center" wrapText="1"/>
    </xf>
    <xf numFmtId="1" fontId="6" fillId="0" borderId="2114" xfId="0" applyNumberFormat="1" applyFont="1" applyBorder="1" applyAlignment="1">
      <alignment horizontal="center" vertical="center"/>
    </xf>
    <xf numFmtId="1" fontId="6" fillId="0" borderId="2403" xfId="0" applyNumberFormat="1" applyFont="1" applyBorder="1" applyAlignment="1">
      <alignment horizontal="center" vertical="center"/>
    </xf>
    <xf numFmtId="1" fontId="6" fillId="0" borderId="2411" xfId="0" applyNumberFormat="1" applyFont="1" applyBorder="1" applyAlignment="1">
      <alignment horizontal="center" vertical="center"/>
    </xf>
    <xf numFmtId="1" fontId="6" fillId="0" borderId="2246" xfId="0" applyNumberFormat="1" applyFont="1" applyBorder="1" applyAlignment="1">
      <alignment horizontal="center" vertical="center"/>
    </xf>
    <xf numFmtId="1" fontId="6" fillId="3" borderId="242" xfId="0" applyNumberFormat="1" applyFont="1" applyFill="1" applyBorder="1" applyAlignment="1">
      <alignment horizontal="center" vertical="center"/>
    </xf>
    <xf numFmtId="1" fontId="6" fillId="3" borderId="240" xfId="0" applyNumberFormat="1" applyFont="1" applyFill="1" applyBorder="1" applyAlignment="1">
      <alignment horizontal="center" vertical="center"/>
    </xf>
    <xf numFmtId="1" fontId="6" fillId="3" borderId="241" xfId="0" applyNumberFormat="1" applyFont="1" applyFill="1" applyBorder="1" applyAlignment="1">
      <alignment horizontal="center" vertical="center"/>
    </xf>
    <xf numFmtId="1" fontId="6" fillId="3" borderId="239" xfId="0" applyNumberFormat="1" applyFont="1" applyFill="1" applyBorder="1" applyAlignment="1">
      <alignment horizontal="center" vertical="center"/>
    </xf>
    <xf numFmtId="1" fontId="6" fillId="3" borderId="175" xfId="0" applyNumberFormat="1" applyFont="1" applyFill="1" applyBorder="1" applyAlignment="1">
      <alignment horizontal="center" vertical="center"/>
    </xf>
    <xf numFmtId="1" fontId="6" fillId="3" borderId="177" xfId="0" applyNumberFormat="1" applyFont="1" applyFill="1" applyBorder="1" applyAlignment="1">
      <alignment horizontal="center" vertical="center"/>
    </xf>
    <xf numFmtId="1" fontId="6" fillId="0" borderId="2435" xfId="0" applyNumberFormat="1" applyFont="1" applyBorder="1" applyAlignment="1">
      <alignment horizontal="center" vertical="center"/>
    </xf>
    <xf numFmtId="1" fontId="6" fillId="0" borderId="423" xfId="0" applyNumberFormat="1" applyFont="1" applyBorder="1" applyAlignment="1">
      <alignment horizontal="center" vertical="center"/>
    </xf>
    <xf numFmtId="1" fontId="6" fillId="0" borderId="2426" xfId="0" applyNumberFormat="1" applyFont="1" applyBorder="1" applyAlignment="1">
      <alignment horizontal="center" vertical="center"/>
    </xf>
    <xf numFmtId="1" fontId="6" fillId="0" borderId="2426" xfId="0" applyNumberFormat="1" applyFont="1" applyBorder="1" applyAlignment="1">
      <alignment horizontal="center" vertical="center" wrapText="1"/>
    </xf>
    <xf numFmtId="1" fontId="6" fillId="0" borderId="1957" xfId="0" applyNumberFormat="1" applyFont="1" applyBorder="1" applyAlignment="1">
      <alignment horizontal="center" vertical="center" wrapText="1"/>
    </xf>
    <xf numFmtId="1" fontId="6" fillId="0" borderId="2411" xfId="0" applyNumberFormat="1" applyFont="1" applyBorder="1" applyAlignment="1">
      <alignment horizontal="center" vertical="center" wrapText="1"/>
    </xf>
    <xf numFmtId="1" fontId="13" fillId="3" borderId="225" xfId="0" applyNumberFormat="1" applyFont="1" applyFill="1" applyBorder="1" applyAlignment="1">
      <alignment horizontal="center" vertical="center"/>
    </xf>
    <xf numFmtId="1" fontId="13" fillId="3" borderId="226" xfId="0" applyNumberFormat="1" applyFont="1" applyFill="1" applyBorder="1" applyAlignment="1">
      <alignment horizontal="center" vertical="center"/>
    </xf>
    <xf numFmtId="1" fontId="13" fillId="3" borderId="228" xfId="0" applyNumberFormat="1" applyFont="1" applyFill="1" applyBorder="1" applyAlignment="1">
      <alignment horizontal="center" vertical="center"/>
    </xf>
    <xf numFmtId="1" fontId="6" fillId="0" borderId="292" xfId="0" applyNumberFormat="1" applyFont="1" applyBorder="1" applyAlignment="1">
      <alignment horizontal="left" vertical="center" wrapText="1"/>
    </xf>
    <xf numFmtId="1" fontId="6" fillId="0" borderId="274" xfId="0" applyNumberFormat="1" applyFont="1" applyBorder="1" applyAlignment="1">
      <alignment horizontal="left" vertical="center" wrapText="1"/>
    </xf>
    <xf numFmtId="1" fontId="6" fillId="0" borderId="2243" xfId="0" applyNumberFormat="1" applyFont="1" applyBorder="1" applyAlignment="1">
      <alignment horizontal="center" vertical="center"/>
    </xf>
    <xf numFmtId="1" fontId="6" fillId="0" borderId="2197" xfId="0" applyNumberFormat="1" applyFont="1" applyBorder="1" applyAlignment="1">
      <alignment horizontal="center" vertical="center"/>
    </xf>
    <xf numFmtId="1" fontId="6" fillId="0" borderId="390" xfId="0" applyNumberFormat="1" applyFont="1" applyBorder="1" applyAlignment="1">
      <alignment horizontal="center" vertical="center"/>
    </xf>
    <xf numFmtId="1" fontId="6" fillId="0" borderId="370" xfId="0" applyNumberFormat="1" applyFont="1" applyBorder="1" applyAlignment="1">
      <alignment horizontal="center" vertical="center"/>
    </xf>
    <xf numFmtId="1" fontId="6" fillId="0" borderId="2244" xfId="0" applyNumberFormat="1" applyFont="1" applyBorder="1" applyAlignment="1">
      <alignment horizontal="center" vertical="center" wrapText="1"/>
    </xf>
    <xf numFmtId="1" fontId="6" fillId="0" borderId="2245" xfId="0" applyNumberFormat="1" applyFont="1" applyBorder="1" applyAlignment="1">
      <alignment horizontal="center" vertical="center" wrapText="1"/>
    </xf>
    <xf numFmtId="1" fontId="6" fillId="0" borderId="2244" xfId="0" quotePrefix="1" applyNumberFormat="1" applyFont="1" applyBorder="1" applyAlignment="1">
      <alignment horizontal="center" vertical="center" wrapText="1"/>
    </xf>
    <xf numFmtId="1" fontId="6" fillId="0" borderId="273" xfId="0" applyNumberFormat="1" applyFont="1" applyBorder="1" applyAlignment="1">
      <alignment horizontal="left" vertical="center"/>
    </xf>
    <xf numFmtId="1" fontId="6" fillId="0" borderId="262" xfId="0" applyNumberFormat="1" applyFont="1" applyBorder="1" applyAlignment="1">
      <alignment horizontal="left" vertical="center"/>
    </xf>
    <xf numFmtId="1" fontId="6" fillId="0" borderId="2251" xfId="0" applyNumberFormat="1" applyFont="1" applyBorder="1" applyAlignment="1">
      <alignment horizontal="left" vertical="center" wrapText="1"/>
    </xf>
    <xf numFmtId="1" fontId="6" fillId="0" borderId="2252" xfId="0" applyNumberFormat="1" applyFont="1" applyBorder="1" applyAlignment="1">
      <alignment horizontal="left" vertical="center" wrapText="1"/>
    </xf>
    <xf numFmtId="1" fontId="6" fillId="0" borderId="390" xfId="0" applyNumberFormat="1" applyFont="1" applyBorder="1" applyAlignment="1">
      <alignment horizontal="left" vertical="center"/>
    </xf>
    <xf numFmtId="1" fontId="6" fillId="0" borderId="370" xfId="0" applyNumberFormat="1" applyFont="1" applyBorder="1" applyAlignment="1">
      <alignment horizontal="left" vertical="center"/>
    </xf>
    <xf numFmtId="1" fontId="49" fillId="14" borderId="2438" xfId="0" applyNumberFormat="1" applyFont="1" applyFill="1" applyBorder="1" applyAlignment="1">
      <alignment horizontal="center" vertical="center"/>
    </xf>
    <xf numFmtId="1" fontId="49" fillId="14" borderId="2424" xfId="0" applyNumberFormat="1" applyFont="1" applyFill="1" applyBorder="1" applyAlignment="1">
      <alignment horizontal="center" vertical="center"/>
    </xf>
    <xf numFmtId="1" fontId="49" fillId="0" borderId="2417" xfId="0" applyNumberFormat="1" applyFont="1" applyBorder="1" applyAlignment="1">
      <alignment horizontal="center" vertical="center"/>
    </xf>
    <xf numFmtId="1" fontId="49" fillId="0" borderId="226" xfId="0" applyNumberFormat="1" applyFont="1" applyBorder="1" applyAlignment="1">
      <alignment horizontal="center" vertical="center"/>
    </xf>
    <xf numFmtId="1" fontId="49" fillId="0" borderId="228" xfId="0" applyNumberFormat="1" applyFont="1" applyBorder="1" applyAlignment="1">
      <alignment horizontal="center" vertical="center"/>
    </xf>
    <xf numFmtId="1" fontId="6" fillId="0" borderId="16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1678" xfId="0" applyNumberFormat="1" applyFont="1" applyBorder="1" applyAlignment="1">
      <alignment horizontal="center" vertical="center"/>
    </xf>
    <xf numFmtId="1" fontId="6" fillId="0" borderId="1689" xfId="0" applyNumberFormat="1" applyFont="1" applyBorder="1" applyAlignment="1">
      <alignment horizontal="center" vertical="center"/>
    </xf>
    <xf numFmtId="1" fontId="49" fillId="3" borderId="225" xfId="0" applyNumberFormat="1" applyFont="1" applyFill="1" applyBorder="1" applyAlignment="1">
      <alignment horizontal="center"/>
    </xf>
    <xf numFmtId="1" fontId="49" fillId="3" borderId="227" xfId="0" applyNumberFormat="1" applyFont="1" applyFill="1" applyBorder="1" applyAlignment="1">
      <alignment horizontal="center"/>
    </xf>
    <xf numFmtId="1" fontId="49" fillId="0" borderId="1587" xfId="0" applyNumberFormat="1" applyFont="1" applyBorder="1" applyAlignment="1">
      <alignment horizontal="center" vertical="center"/>
    </xf>
    <xf numFmtId="1" fontId="49" fillId="0" borderId="1577" xfId="0" applyNumberFormat="1" applyFont="1" applyBorder="1" applyAlignment="1">
      <alignment horizontal="center" vertical="center"/>
    </xf>
    <xf numFmtId="1" fontId="49" fillId="0" borderId="1581" xfId="0" applyNumberFormat="1" applyFont="1" applyBorder="1" applyAlignment="1">
      <alignment horizontal="center" vertical="center"/>
    </xf>
    <xf numFmtId="1" fontId="49" fillId="0" borderId="1575" xfId="0" applyNumberFormat="1" applyFont="1" applyBorder="1" applyAlignment="1">
      <alignment horizontal="center" vertical="center" wrapText="1"/>
    </xf>
    <xf numFmtId="1" fontId="49" fillId="0" borderId="370" xfId="0" applyNumberFormat="1" applyFont="1" applyBorder="1" applyAlignment="1">
      <alignment horizontal="center" vertical="center" wrapText="1"/>
    </xf>
    <xf numFmtId="1" fontId="49" fillId="0" borderId="1580" xfId="0" applyNumberFormat="1" applyFont="1" applyBorder="1" applyAlignment="1">
      <alignment horizontal="center" vertical="center" wrapText="1"/>
    </xf>
    <xf numFmtId="1" fontId="49" fillId="0" borderId="896" xfId="0" applyNumberFormat="1" applyFont="1" applyBorder="1" applyAlignment="1">
      <alignment horizontal="center" vertical="center" wrapText="1"/>
    </xf>
    <xf numFmtId="1" fontId="6" fillId="0" borderId="1440" xfId="0" applyNumberFormat="1" applyFont="1" applyBorder="1" applyAlignment="1">
      <alignment horizontal="center" vertical="center" wrapText="1"/>
    </xf>
    <xf numFmtId="1" fontId="6" fillId="0" borderId="1441" xfId="0" applyNumberFormat="1" applyFont="1" applyBorder="1" applyAlignment="1">
      <alignment horizontal="center" vertical="center" wrapText="1"/>
    </xf>
    <xf numFmtId="1" fontId="6" fillId="0" borderId="1447" xfId="0" applyNumberFormat="1" applyFont="1" applyBorder="1" applyAlignment="1">
      <alignment horizontal="center" vertical="center"/>
    </xf>
    <xf numFmtId="1" fontId="6" fillId="0" borderId="903" xfId="0" applyNumberFormat="1" applyFont="1" applyBorder="1" applyAlignment="1">
      <alignment horizontal="center" vertical="center"/>
    </xf>
    <xf numFmtId="1" fontId="6" fillId="0" borderId="1436" xfId="0" applyNumberFormat="1" applyFont="1" applyBorder="1" applyAlignment="1">
      <alignment horizontal="center" vertical="center"/>
    </xf>
    <xf numFmtId="1" fontId="6" fillId="0" borderId="1430" xfId="0" applyNumberFormat="1" applyFont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/>
    </xf>
    <xf numFmtId="1" fontId="6" fillId="0" borderId="1224" xfId="0" applyNumberFormat="1" applyFont="1" applyBorder="1" applyAlignment="1">
      <alignment horizontal="center" vertical="center" wrapText="1"/>
    </xf>
    <xf numFmtId="1" fontId="6" fillId="0" borderId="1225" xfId="0" applyNumberFormat="1" applyFont="1" applyBorder="1" applyAlignment="1">
      <alignment horizontal="center" vertical="center" wrapText="1"/>
    </xf>
    <xf numFmtId="1" fontId="6" fillId="0" borderId="1061" xfId="0" applyNumberFormat="1" applyFont="1" applyBorder="1" applyAlignment="1">
      <alignment horizontal="center" vertical="center" wrapText="1"/>
    </xf>
    <xf numFmtId="1" fontId="6" fillId="0" borderId="900" xfId="0" applyNumberFormat="1" applyFont="1" applyBorder="1" applyAlignment="1">
      <alignment horizontal="center" vertical="center" wrapText="1"/>
    </xf>
    <xf numFmtId="1" fontId="6" fillId="0" borderId="1021" xfId="0" applyNumberFormat="1" applyFont="1" applyBorder="1" applyAlignment="1">
      <alignment horizontal="center" vertical="center" wrapText="1"/>
    </xf>
    <xf numFmtId="1" fontId="6" fillId="0" borderId="1022" xfId="0" applyNumberFormat="1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center" vertical="center" wrapText="1"/>
    </xf>
    <xf numFmtId="1" fontId="6" fillId="3" borderId="1329" xfId="0" applyNumberFormat="1" applyFont="1" applyFill="1" applyBorder="1" applyAlignment="1">
      <alignment horizontal="center" vertical="center" wrapText="1"/>
    </xf>
    <xf numFmtId="1" fontId="6" fillId="3" borderId="1274" xfId="0" applyNumberFormat="1" applyFont="1" applyFill="1" applyBorder="1" applyAlignment="1">
      <alignment horizontal="center" vertical="center" wrapText="1"/>
    </xf>
    <xf numFmtId="1" fontId="6" fillId="3" borderId="1428" xfId="0" applyNumberFormat="1" applyFont="1" applyFill="1" applyBorder="1" applyAlignment="1">
      <alignment horizontal="center" vertical="center" wrapText="1"/>
    </xf>
    <xf numFmtId="1" fontId="6" fillId="3" borderId="242" xfId="0" applyNumberFormat="1" applyFont="1" applyFill="1" applyBorder="1" applyAlignment="1" applyProtection="1">
      <alignment horizontal="center" vertical="center"/>
      <protection locked="0"/>
    </xf>
    <xf numFmtId="1" fontId="6" fillId="3" borderId="240" xfId="0" applyNumberFormat="1" applyFont="1" applyFill="1" applyBorder="1" applyAlignment="1" applyProtection="1">
      <alignment horizontal="center" vertical="center"/>
      <protection locked="0"/>
    </xf>
    <xf numFmtId="1" fontId="6" fillId="3" borderId="241" xfId="0" applyNumberFormat="1" applyFont="1" applyFill="1" applyBorder="1" applyAlignment="1" applyProtection="1">
      <alignment horizontal="center" vertical="center"/>
      <protection locked="0"/>
    </xf>
    <xf numFmtId="1" fontId="6" fillId="3" borderId="239" xfId="0" applyNumberFormat="1" applyFont="1" applyFill="1" applyBorder="1" applyAlignment="1" applyProtection="1">
      <alignment horizontal="center" vertical="center"/>
      <protection locked="0"/>
    </xf>
    <xf numFmtId="1" fontId="6" fillId="3" borderId="175" xfId="0" applyNumberFormat="1" applyFont="1" applyFill="1" applyBorder="1" applyAlignment="1" applyProtection="1">
      <alignment horizontal="center" vertical="center"/>
      <protection locked="0"/>
    </xf>
    <xf numFmtId="1" fontId="6" fillId="3" borderId="177" xfId="0" applyNumberFormat="1" applyFont="1" applyFill="1" applyBorder="1" applyAlignment="1" applyProtection="1">
      <alignment horizontal="center" vertical="center"/>
      <protection locked="0"/>
    </xf>
    <xf numFmtId="1" fontId="6" fillId="3" borderId="225" xfId="0" applyNumberFormat="1" applyFont="1" applyFill="1" applyBorder="1" applyAlignment="1">
      <alignment horizontal="center"/>
    </xf>
    <xf numFmtId="1" fontId="6" fillId="3" borderId="226" xfId="0" applyNumberFormat="1" applyFont="1" applyFill="1" applyBorder="1" applyAlignment="1">
      <alignment horizontal="center"/>
    </xf>
    <xf numFmtId="1" fontId="6" fillId="3" borderId="22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 vertical="center" wrapText="1"/>
    </xf>
    <xf numFmtId="0" fontId="38" fillId="0" borderId="384" xfId="0" applyFont="1" applyBorder="1"/>
    <xf numFmtId="0" fontId="38" fillId="0" borderId="0" xfId="0" applyFont="1"/>
    <xf numFmtId="1" fontId="6" fillId="0" borderId="517" xfId="0" applyNumberFormat="1" applyFont="1" applyBorder="1" applyAlignment="1">
      <alignment horizontal="center" vertical="center"/>
    </xf>
    <xf numFmtId="1" fontId="6" fillId="0" borderId="1957" xfId="0" applyNumberFormat="1" applyFont="1" applyBorder="1" applyAlignment="1">
      <alignment horizontal="center" vertical="center"/>
    </xf>
    <xf numFmtId="1" fontId="6" fillId="0" borderId="1920" xfId="0" applyNumberFormat="1" applyFont="1" applyBorder="1" applyAlignment="1">
      <alignment horizontal="center" vertical="center"/>
    </xf>
    <xf numFmtId="1" fontId="6" fillId="0" borderId="2357" xfId="0" applyNumberFormat="1" applyFont="1" applyBorder="1" applyAlignment="1">
      <alignment horizontal="center" vertical="center" wrapText="1"/>
    </xf>
    <xf numFmtId="1" fontId="6" fillId="0" borderId="2358" xfId="0" applyNumberFormat="1" applyFont="1" applyBorder="1" applyAlignment="1">
      <alignment horizontal="center" vertical="center" wrapText="1"/>
    </xf>
    <xf numFmtId="1" fontId="6" fillId="0" borderId="2359" xfId="0" applyNumberFormat="1" applyFont="1" applyBorder="1" applyAlignment="1">
      <alignment horizontal="center" vertical="center" wrapText="1"/>
    </xf>
    <xf numFmtId="1" fontId="6" fillId="0" borderId="2217" xfId="0" applyNumberFormat="1" applyFont="1" applyBorder="1" applyAlignment="1">
      <alignment horizontal="center" vertical="center" wrapText="1"/>
    </xf>
    <xf numFmtId="1" fontId="6" fillId="14" borderId="2197" xfId="0" applyNumberFormat="1" applyFont="1" applyFill="1" applyBorder="1" applyAlignment="1">
      <alignment horizontal="center" vertical="center" wrapText="1"/>
    </xf>
    <xf numFmtId="1" fontId="6" fillId="3" borderId="2286" xfId="0" applyNumberFormat="1" applyFont="1" applyFill="1" applyBorder="1" applyAlignment="1">
      <alignment horizontal="center" vertical="center"/>
    </xf>
    <xf numFmtId="1" fontId="6" fillId="3" borderId="2288" xfId="0" applyNumberFormat="1" applyFont="1" applyFill="1" applyBorder="1" applyAlignment="1">
      <alignment horizontal="center" vertical="center"/>
    </xf>
    <xf numFmtId="1" fontId="6" fillId="0" borderId="2286" xfId="0" applyNumberFormat="1" applyFont="1" applyBorder="1" applyAlignment="1">
      <alignment horizontal="center" vertical="center" wrapText="1"/>
    </xf>
    <xf numFmtId="1" fontId="6" fillId="0" borderId="2288" xfId="0" applyNumberFormat="1" applyFont="1" applyBorder="1" applyAlignment="1">
      <alignment horizontal="center" vertical="center" wrapText="1"/>
    </xf>
    <xf numFmtId="1" fontId="6" fillId="0" borderId="2287" xfId="0" applyNumberFormat="1" applyFont="1" applyBorder="1" applyAlignment="1">
      <alignment horizontal="center" vertical="center" wrapText="1"/>
    </xf>
    <xf numFmtId="1" fontId="6" fillId="0" borderId="2288" xfId="0" applyNumberFormat="1" applyFont="1" applyBorder="1" applyAlignment="1">
      <alignment horizontal="center" vertical="center"/>
    </xf>
    <xf numFmtId="1" fontId="6" fillId="0" borderId="2274" xfId="0" applyNumberFormat="1" applyFont="1" applyBorder="1" applyAlignment="1">
      <alignment horizontal="center" vertical="center"/>
    </xf>
    <xf numFmtId="1" fontId="6" fillId="0" borderId="2257" xfId="0" applyNumberFormat="1" applyFont="1" applyBorder="1" applyAlignment="1">
      <alignment horizontal="center" vertical="center" wrapText="1"/>
    </xf>
    <xf numFmtId="1" fontId="6" fillId="0" borderId="2295" xfId="0" applyNumberFormat="1" applyFont="1" applyBorder="1"/>
    <xf numFmtId="1" fontId="6" fillId="0" borderId="2296" xfId="0" applyNumberFormat="1" applyFont="1" applyBorder="1"/>
    <xf numFmtId="1" fontId="6" fillId="0" borderId="2252" xfId="0" applyNumberFormat="1" applyFont="1" applyBorder="1"/>
    <xf numFmtId="1" fontId="6" fillId="0" borderId="830" xfId="0" applyNumberFormat="1" applyFont="1" applyBorder="1"/>
    <xf numFmtId="1" fontId="6" fillId="0" borderId="1526" xfId="0" applyNumberFormat="1" applyFont="1" applyBorder="1"/>
    <xf numFmtId="1" fontId="6" fillId="0" borderId="1525" xfId="0" applyNumberFormat="1" applyFont="1" applyBorder="1"/>
    <xf numFmtId="1" fontId="6" fillId="0" borderId="1266" xfId="0" applyNumberFormat="1" applyFont="1" applyBorder="1"/>
    <xf numFmtId="1" fontId="6" fillId="0" borderId="1873" xfId="0" applyNumberFormat="1" applyFont="1" applyBorder="1"/>
    <xf numFmtId="1" fontId="6" fillId="0" borderId="1864" xfId="0" applyNumberFormat="1" applyFont="1" applyBorder="1"/>
    <xf numFmtId="1" fontId="6" fillId="0" borderId="2194" xfId="0" applyNumberFormat="1" applyFont="1" applyBorder="1" applyAlignment="1">
      <alignment horizontal="center" vertical="center"/>
    </xf>
    <xf numFmtId="1" fontId="6" fillId="0" borderId="2226" xfId="0" applyNumberFormat="1" applyFont="1" applyBorder="1" applyAlignment="1">
      <alignment horizontal="center" vertical="center"/>
    </xf>
    <xf numFmtId="1" fontId="6" fillId="3" borderId="2193" xfId="0" applyNumberFormat="1" applyFont="1" applyFill="1" applyBorder="1" applyAlignment="1">
      <alignment horizontal="center" vertical="center" wrapText="1"/>
    </xf>
    <xf numFmtId="1" fontId="6" fillId="3" borderId="2217" xfId="0" applyNumberFormat="1" applyFont="1" applyFill="1" applyBorder="1" applyAlignment="1">
      <alignment horizontal="center" vertical="center" wrapText="1"/>
    </xf>
    <xf numFmtId="1" fontId="6" fillId="0" borderId="2253" xfId="0" applyNumberFormat="1" applyFont="1" applyBorder="1" applyAlignment="1">
      <alignment horizontal="left" vertical="center" wrapText="1"/>
    </xf>
    <xf numFmtId="1" fontId="6" fillId="0" borderId="2297" xfId="0" applyNumberFormat="1" applyFont="1" applyBorder="1" applyAlignment="1">
      <alignment horizontal="left" vertical="center" wrapText="1"/>
    </xf>
    <xf numFmtId="1" fontId="6" fillId="0" borderId="2298" xfId="0" applyNumberFormat="1" applyFont="1" applyBorder="1" applyAlignment="1">
      <alignment horizontal="left" vertical="center" wrapText="1"/>
    </xf>
    <xf numFmtId="1" fontId="6" fillId="0" borderId="1522" xfId="0" applyNumberFormat="1" applyFont="1" applyBorder="1" applyAlignment="1">
      <alignment horizontal="left" vertical="center" wrapText="1"/>
    </xf>
    <xf numFmtId="1" fontId="6" fillId="0" borderId="1700" xfId="0" applyNumberFormat="1" applyFont="1" applyBorder="1" applyAlignment="1">
      <alignment horizontal="left" vertical="center" wrapText="1"/>
    </xf>
    <xf numFmtId="1" fontId="6" fillId="0" borderId="827" xfId="0" applyNumberFormat="1" applyFont="1" applyBorder="1" applyAlignment="1">
      <alignment horizontal="left" vertical="center" wrapText="1"/>
    </xf>
    <xf numFmtId="1" fontId="6" fillId="0" borderId="1523" xfId="0" applyNumberFormat="1" applyFont="1" applyBorder="1" applyAlignment="1">
      <alignment horizontal="left" vertical="center" wrapText="1"/>
    </xf>
    <xf numFmtId="1" fontId="6" fillId="0" borderId="1526" xfId="0" applyNumberFormat="1" applyFont="1" applyBorder="1" applyAlignment="1">
      <alignment horizontal="left" vertical="center" wrapText="1"/>
    </xf>
    <xf numFmtId="1" fontId="6" fillId="0" borderId="1525" xfId="0" applyNumberFormat="1" applyFont="1" applyBorder="1" applyAlignment="1">
      <alignment horizontal="left" vertical="center" wrapText="1"/>
    </xf>
    <xf numFmtId="1" fontId="6" fillId="0" borderId="1445" xfId="0" applyNumberFormat="1" applyFont="1" applyBorder="1" applyAlignment="1">
      <alignment horizontal="center" vertical="center" wrapText="1"/>
    </xf>
    <xf numFmtId="1" fontId="6" fillId="0" borderId="2287" xfId="0" applyNumberFormat="1" applyFont="1" applyBorder="1" applyAlignment="1">
      <alignment horizontal="center" vertical="center"/>
    </xf>
    <xf numFmtId="1" fontId="6" fillId="3" borderId="2194" xfId="0" applyNumberFormat="1" applyFont="1" applyFill="1" applyBorder="1" applyAlignment="1">
      <alignment horizontal="center" vertical="center"/>
    </xf>
    <xf numFmtId="1" fontId="6" fillId="3" borderId="2197" xfId="0" applyNumberFormat="1" applyFont="1" applyFill="1" applyBorder="1" applyAlignment="1">
      <alignment horizontal="center" vertical="center"/>
    </xf>
    <xf numFmtId="1" fontId="6" fillId="3" borderId="1863" xfId="0" applyNumberFormat="1" applyFont="1" applyFill="1" applyBorder="1" applyAlignment="1">
      <alignment horizontal="left" vertical="center" wrapText="1"/>
    </xf>
    <xf numFmtId="1" fontId="6" fillId="3" borderId="1873" xfId="0" applyNumberFormat="1" applyFont="1" applyFill="1" applyBorder="1" applyAlignment="1">
      <alignment horizontal="left" vertical="center" wrapText="1"/>
    </xf>
    <xf numFmtId="1" fontId="6" fillId="3" borderId="1864" xfId="0" applyNumberFormat="1" applyFont="1" applyFill="1" applyBorder="1" applyAlignment="1">
      <alignment horizontal="left" vertical="center" wrapText="1"/>
    </xf>
    <xf numFmtId="1" fontId="9" fillId="0" borderId="0" xfId="0" applyNumberFormat="1" applyFont="1"/>
    <xf numFmtId="1" fontId="6" fillId="0" borderId="2194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/>
    <xf numFmtId="1" fontId="6" fillId="0" borderId="0" xfId="0" applyNumberFormat="1" applyFont="1"/>
    <xf numFmtId="1" fontId="6" fillId="0" borderId="2274" xfId="0" applyNumberFormat="1" applyFont="1" applyBorder="1" applyAlignment="1">
      <alignment horizontal="center" vertical="center" wrapText="1"/>
    </xf>
    <xf numFmtId="1" fontId="6" fillId="0" borderId="2286" xfId="0" applyNumberFormat="1" applyFont="1" applyBorder="1" applyAlignment="1">
      <alignment horizontal="left" vertical="center" wrapText="1"/>
    </xf>
    <xf numFmtId="1" fontId="6" fillId="0" borderId="2287" xfId="0" applyNumberFormat="1" applyFont="1" applyBorder="1" applyAlignment="1">
      <alignment horizontal="left" vertical="center" wrapText="1"/>
    </xf>
    <xf numFmtId="1" fontId="6" fillId="0" borderId="2288" xfId="0" applyNumberFormat="1" applyFont="1" applyBorder="1" applyAlignment="1">
      <alignment horizontal="left" vertical="center" wrapText="1"/>
    </xf>
    <xf numFmtId="1" fontId="6" fillId="3" borderId="2194" xfId="0" applyNumberFormat="1" applyFont="1" applyFill="1" applyBorder="1" applyAlignment="1">
      <alignment horizontal="center" vertical="center" wrapText="1"/>
    </xf>
    <xf numFmtId="1" fontId="6" fillId="3" borderId="2197" xfId="0" applyNumberFormat="1" applyFont="1" applyFill="1" applyBorder="1" applyAlignment="1">
      <alignment horizontal="center" vertical="center" wrapText="1"/>
    </xf>
    <xf numFmtId="1" fontId="6" fillId="3" borderId="423" xfId="0" applyNumberFormat="1" applyFont="1" applyFill="1" applyBorder="1" applyAlignment="1">
      <alignment horizontal="center" vertical="center" wrapText="1"/>
    </xf>
    <xf numFmtId="1" fontId="6" fillId="3" borderId="517" xfId="0" applyNumberFormat="1" applyFont="1" applyFill="1" applyBorder="1" applyAlignment="1">
      <alignment horizontal="center" vertical="center" wrapText="1"/>
    </xf>
    <xf numFmtId="1" fontId="6" fillId="3" borderId="2226" xfId="0" applyNumberFormat="1" applyFont="1" applyFill="1" applyBorder="1" applyAlignment="1">
      <alignment horizontal="center" vertical="center" wrapText="1"/>
    </xf>
    <xf numFmtId="1" fontId="6" fillId="3" borderId="1920" xfId="0" applyNumberFormat="1" applyFont="1" applyFill="1" applyBorder="1" applyAlignment="1">
      <alignment horizontal="center" vertical="center" wrapText="1"/>
    </xf>
    <xf numFmtId="1" fontId="6" fillId="3" borderId="2251" xfId="0" applyNumberFormat="1" applyFont="1" applyFill="1" applyBorder="1" applyAlignment="1">
      <alignment horizontal="left" vertical="center" wrapText="1"/>
    </xf>
    <xf numFmtId="1" fontId="6" fillId="3" borderId="2296" xfId="0" applyNumberFormat="1" applyFont="1" applyFill="1" applyBorder="1" applyAlignment="1">
      <alignment horizontal="left" vertical="center" wrapText="1"/>
    </xf>
    <xf numFmtId="1" fontId="6" fillId="3" borderId="2252" xfId="0" applyNumberFormat="1" applyFont="1" applyFill="1" applyBorder="1" applyAlignment="1">
      <alignment horizontal="left" vertical="center" wrapText="1"/>
    </xf>
    <xf numFmtId="1" fontId="6" fillId="0" borderId="2296" xfId="0" applyNumberFormat="1" applyFont="1" applyBorder="1" applyAlignment="1">
      <alignment horizontal="left" vertical="center" wrapText="1"/>
    </xf>
    <xf numFmtId="1" fontId="6" fillId="0" borderId="2226" xfId="0" applyNumberFormat="1" applyFont="1" applyBorder="1" applyAlignment="1">
      <alignment horizontal="left" vertical="center" wrapText="1"/>
    </xf>
    <xf numFmtId="1" fontId="6" fillId="0" borderId="1957" xfId="0" applyNumberFormat="1" applyFont="1" applyBorder="1" applyAlignment="1">
      <alignment horizontal="left" vertical="center" wrapText="1"/>
    </xf>
    <xf numFmtId="1" fontId="6" fillId="0" borderId="1920" xfId="0" applyNumberFormat="1" applyFont="1" applyBorder="1" applyAlignment="1">
      <alignment horizontal="left" vertical="center" wrapText="1"/>
    </xf>
    <xf numFmtId="1" fontId="6" fillId="0" borderId="2193" xfId="0" applyNumberFormat="1" applyFont="1" applyBorder="1" applyAlignment="1">
      <alignment horizontal="left" vertical="center" wrapText="1"/>
    </xf>
    <xf numFmtId="1" fontId="6" fillId="0" borderId="2217" xfId="0" applyNumberFormat="1" applyFont="1" applyBorder="1" applyAlignment="1">
      <alignment horizontal="left" vertical="center" wrapText="1"/>
    </xf>
    <xf numFmtId="1" fontId="6" fillId="12" borderId="1863" xfId="0" applyNumberFormat="1" applyFont="1" applyFill="1" applyBorder="1" applyAlignment="1">
      <alignment horizontal="left" vertical="center" wrapText="1"/>
    </xf>
    <xf numFmtId="1" fontId="6" fillId="12" borderId="1864" xfId="0" applyNumberFormat="1" applyFont="1" applyFill="1" applyBorder="1" applyAlignment="1">
      <alignment horizontal="left" vertical="center" wrapText="1"/>
    </xf>
    <xf numFmtId="1" fontId="6" fillId="3" borderId="2286" xfId="0" applyNumberFormat="1" applyFont="1" applyFill="1" applyBorder="1" applyAlignment="1">
      <alignment horizontal="center" vertical="center" wrapText="1"/>
    </xf>
    <xf numFmtId="1" fontId="6" fillId="3" borderId="2287" xfId="0" applyNumberFormat="1" applyFont="1" applyFill="1" applyBorder="1" applyAlignment="1">
      <alignment horizontal="center" vertical="center" wrapText="1"/>
    </xf>
    <xf numFmtId="1" fontId="6" fillId="0" borderId="2226" xfId="0" applyNumberFormat="1" applyFont="1" applyBorder="1" applyAlignment="1">
      <alignment horizontal="center" vertical="center" wrapText="1"/>
    </xf>
    <xf numFmtId="1" fontId="6" fillId="0" borderId="2286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left" vertical="center" wrapText="1"/>
    </xf>
    <xf numFmtId="1" fontId="6" fillId="0" borderId="1664" xfId="0" applyNumberFormat="1" applyFont="1" applyBorder="1" applyAlignment="1">
      <alignment horizontal="left" vertical="center" wrapText="1"/>
    </xf>
    <xf numFmtId="1" fontId="6" fillId="0" borderId="1445" xfId="0" applyNumberFormat="1" applyFont="1" applyBorder="1" applyAlignment="1">
      <alignment horizontal="left" vertical="center" wrapText="1"/>
    </xf>
    <xf numFmtId="1" fontId="6" fillId="0" borderId="2251" xfId="0" applyNumberFormat="1" applyFont="1" applyBorder="1" applyAlignment="1">
      <alignment horizontal="left"/>
    </xf>
    <xf numFmtId="1" fontId="6" fillId="0" borderId="2252" xfId="0" applyNumberFormat="1" applyFont="1" applyBorder="1" applyAlignment="1">
      <alignment horizontal="left"/>
    </xf>
    <xf numFmtId="1" fontId="6" fillId="0" borderId="1863" xfId="0" applyNumberFormat="1" applyFont="1" applyBorder="1" applyAlignment="1">
      <alignment horizontal="left"/>
    </xf>
    <xf numFmtId="1" fontId="6" fillId="0" borderId="1864" xfId="0" applyNumberFormat="1" applyFont="1" applyBorder="1" applyAlignment="1">
      <alignment horizontal="left"/>
    </xf>
    <xf numFmtId="1" fontId="6" fillId="0" borderId="1863" xfId="0" applyNumberFormat="1" applyFont="1" applyBorder="1" applyAlignment="1">
      <alignment horizontal="left" vertical="center" wrapText="1"/>
    </xf>
    <xf numFmtId="1" fontId="6" fillId="0" borderId="1873" xfId="0" applyNumberFormat="1" applyFont="1" applyBorder="1" applyAlignment="1">
      <alignment horizontal="left" vertical="center" wrapText="1"/>
    </xf>
    <xf numFmtId="1" fontId="6" fillId="0" borderId="1864" xfId="0" applyNumberFormat="1" applyFont="1" applyBorder="1" applyAlignment="1">
      <alignment horizontal="left" vertical="center" wrapText="1"/>
    </xf>
    <xf numFmtId="1" fontId="6" fillId="14" borderId="2257" xfId="0" applyNumberFormat="1" applyFont="1" applyFill="1" applyBorder="1" applyAlignment="1">
      <alignment horizontal="center" vertical="center" wrapText="1"/>
    </xf>
    <xf numFmtId="1" fontId="6" fillId="14" borderId="2193" xfId="0" applyNumberFormat="1" applyFont="1" applyFill="1" applyBorder="1" applyAlignment="1">
      <alignment horizontal="center" vertical="center" wrapText="1"/>
    </xf>
    <xf numFmtId="1" fontId="6" fillId="14" borderId="435" xfId="0" applyNumberFormat="1" applyFont="1" applyFill="1" applyBorder="1" applyAlignment="1">
      <alignment horizontal="center" vertical="center" wrapText="1"/>
    </xf>
    <xf numFmtId="1" fontId="6" fillId="14" borderId="2217" xfId="0" applyNumberFormat="1" applyFont="1" applyFill="1" applyBorder="1" applyAlignment="1">
      <alignment horizontal="center" vertical="center" wrapText="1"/>
    </xf>
    <xf numFmtId="1" fontId="6" fillId="0" borderId="2193" xfId="0" applyNumberFormat="1" applyFont="1" applyBorder="1" applyAlignment="1">
      <alignment horizontal="center" vertical="center"/>
    </xf>
    <xf numFmtId="1" fontId="6" fillId="0" borderId="2217" xfId="0" applyNumberFormat="1" applyFont="1" applyBorder="1" applyAlignment="1">
      <alignment horizontal="center" vertical="center"/>
    </xf>
    <xf numFmtId="1" fontId="6" fillId="0" borderId="2258" xfId="0" applyNumberFormat="1" applyFont="1" applyBorder="1" applyAlignment="1">
      <alignment horizontal="left" vertical="center" wrapText="1"/>
    </xf>
    <xf numFmtId="1" fontId="6" fillId="14" borderId="1521" xfId="0" applyNumberFormat="1" applyFont="1" applyFill="1" applyBorder="1" applyAlignment="1">
      <alignment horizontal="left" vertical="center" wrapText="1"/>
    </xf>
    <xf numFmtId="1" fontId="6" fillId="14" borderId="1523" xfId="0" applyNumberFormat="1" applyFont="1" applyFill="1" applyBorder="1" applyAlignment="1">
      <alignment horizontal="left" vertical="center" wrapText="1"/>
    </xf>
    <xf numFmtId="1" fontId="6" fillId="14" borderId="1526" xfId="0" applyNumberFormat="1" applyFont="1" applyFill="1" applyBorder="1" applyAlignment="1">
      <alignment horizontal="left" vertical="center" wrapText="1"/>
    </xf>
    <xf numFmtId="1" fontId="6" fillId="14" borderId="1525" xfId="0" applyNumberFormat="1" applyFont="1" applyFill="1" applyBorder="1" applyAlignment="1">
      <alignment horizontal="left" vertical="center" wrapText="1"/>
    </xf>
    <xf numFmtId="1" fontId="6" fillId="14" borderId="1165" xfId="0" applyNumberFormat="1" applyFont="1" applyFill="1" applyBorder="1" applyAlignment="1">
      <alignment horizontal="left" vertical="center" wrapText="1"/>
    </xf>
    <xf numFmtId="1" fontId="6" fillId="14" borderId="291" xfId="0" applyNumberFormat="1" applyFont="1" applyFill="1" applyBorder="1" applyAlignment="1">
      <alignment horizontal="left" vertical="center" wrapText="1"/>
    </xf>
    <xf numFmtId="1" fontId="6" fillId="14" borderId="1876" xfId="0" applyNumberFormat="1" applyFont="1" applyFill="1" applyBorder="1" applyAlignment="1">
      <alignment horizontal="left" vertical="center" wrapText="1"/>
    </xf>
    <xf numFmtId="1" fontId="6" fillId="3" borderId="1521" xfId="0" applyNumberFormat="1" applyFont="1" applyFill="1" applyBorder="1" applyAlignment="1">
      <alignment horizontal="left" vertical="center" wrapText="1"/>
    </xf>
    <xf numFmtId="1" fontId="6" fillId="0" borderId="1521" xfId="0" applyNumberFormat="1" applyFont="1" applyBorder="1" applyAlignment="1">
      <alignment horizontal="left" vertical="center" wrapText="1"/>
    </xf>
    <xf numFmtId="1" fontId="6" fillId="3" borderId="1165" xfId="0" applyNumberFormat="1" applyFont="1" applyFill="1" applyBorder="1" applyAlignment="1">
      <alignment horizontal="left" vertical="center" wrapText="1"/>
    </xf>
    <xf numFmtId="1" fontId="6" fillId="3" borderId="291" xfId="0" applyNumberFormat="1" applyFont="1" applyFill="1" applyBorder="1" applyAlignment="1">
      <alignment horizontal="left" vertical="center" wrapText="1"/>
    </xf>
    <xf numFmtId="1" fontId="6" fillId="3" borderId="1876" xfId="0" applyNumberFormat="1" applyFont="1" applyFill="1" applyBorder="1" applyAlignment="1">
      <alignment horizontal="left" vertical="center" wrapText="1"/>
    </xf>
    <xf numFmtId="1" fontId="6" fillId="14" borderId="1863" xfId="0" applyNumberFormat="1" applyFont="1" applyFill="1" applyBorder="1" applyAlignment="1">
      <alignment horizontal="left" vertical="center" wrapText="1"/>
    </xf>
    <xf numFmtId="1" fontId="6" fillId="14" borderId="1873" xfId="0" applyNumberFormat="1" applyFont="1" applyFill="1" applyBorder="1" applyAlignment="1">
      <alignment horizontal="left" vertical="center" wrapText="1"/>
    </xf>
    <xf numFmtId="1" fontId="6" fillId="14" borderId="1864" xfId="0" applyNumberFormat="1" applyFont="1" applyFill="1" applyBorder="1" applyAlignment="1">
      <alignment horizontal="left" vertical="center" wrapText="1"/>
    </xf>
    <xf numFmtId="1" fontId="6" fillId="3" borderId="2257" xfId="0" applyNumberFormat="1" applyFont="1" applyFill="1" applyBorder="1" applyAlignment="1">
      <alignment horizontal="center" vertical="center" wrapText="1"/>
    </xf>
    <xf numFmtId="1" fontId="6" fillId="3" borderId="831" xfId="0" applyNumberFormat="1" applyFont="1" applyFill="1" applyBorder="1" applyAlignment="1">
      <alignment horizontal="left" vertical="center" wrapText="1"/>
    </xf>
    <xf numFmtId="1" fontId="6" fillId="3" borderId="1690" xfId="0" applyNumberFormat="1" applyFont="1" applyFill="1" applyBorder="1" applyAlignment="1">
      <alignment horizontal="left" vertical="center" wrapText="1"/>
    </xf>
    <xf numFmtId="1" fontId="6" fillId="3" borderId="1683" xfId="0" applyNumberFormat="1" applyFont="1" applyFill="1" applyBorder="1" applyAlignment="1">
      <alignment horizontal="left" vertical="center" wrapText="1"/>
    </xf>
    <xf numFmtId="1" fontId="6" fillId="0" borderId="831" xfId="0" applyNumberFormat="1" applyFont="1" applyBorder="1" applyAlignment="1">
      <alignment horizontal="left" vertical="center" wrapText="1"/>
    </xf>
    <xf numFmtId="1" fontId="6" fillId="0" borderId="1690" xfId="0" applyNumberFormat="1" applyFont="1" applyBorder="1" applyAlignment="1">
      <alignment horizontal="left" vertical="center" wrapText="1"/>
    </xf>
    <xf numFmtId="1" fontId="6" fillId="0" borderId="1683" xfId="0" applyNumberFormat="1" applyFont="1" applyBorder="1" applyAlignment="1">
      <alignment horizontal="left" vertical="center" wrapText="1"/>
    </xf>
    <xf numFmtId="0" fontId="6" fillId="14" borderId="1873" xfId="0" applyFont="1" applyFill="1" applyBorder="1" applyAlignment="1">
      <alignment horizontal="left" vertical="center"/>
    </xf>
    <xf numFmtId="0" fontId="6" fillId="14" borderId="1864" xfId="0" applyFont="1" applyFill="1" applyBorder="1" applyAlignment="1">
      <alignment horizontal="left" vertical="center"/>
    </xf>
    <xf numFmtId="1" fontId="6" fillId="14" borderId="2476" xfId="0" applyNumberFormat="1" applyFont="1" applyFill="1" applyBorder="1" applyAlignment="1">
      <alignment horizontal="left" vertical="center" wrapText="1"/>
    </xf>
    <xf numFmtId="1" fontId="6" fillId="14" borderId="2453" xfId="0" applyNumberFormat="1" applyFont="1" applyFill="1" applyBorder="1" applyAlignment="1">
      <alignment horizontal="left" vertical="center" wrapText="1"/>
    </xf>
    <xf numFmtId="1" fontId="6" fillId="14" borderId="2441" xfId="0" applyNumberFormat="1" applyFont="1" applyFill="1" applyBorder="1" applyAlignment="1">
      <alignment horizontal="left" vertical="center" wrapText="1"/>
    </xf>
    <xf numFmtId="1" fontId="6" fillId="14" borderId="831" xfId="0" applyNumberFormat="1" applyFont="1" applyFill="1" applyBorder="1" applyAlignment="1">
      <alignment horizontal="left" vertical="center" wrapText="1"/>
    </xf>
    <xf numFmtId="1" fontId="6" fillId="14" borderId="1690" xfId="0" applyNumberFormat="1" applyFont="1" applyFill="1" applyBorder="1" applyAlignment="1">
      <alignment horizontal="left" vertical="center" wrapText="1"/>
    </xf>
    <xf numFmtId="1" fontId="6" fillId="14" borderId="1683" xfId="0" applyNumberFormat="1" applyFont="1" applyFill="1" applyBorder="1" applyAlignment="1">
      <alignment horizontal="left" vertical="center" wrapText="1"/>
    </xf>
    <xf numFmtId="1" fontId="6" fillId="0" borderId="2285" xfId="0" applyNumberFormat="1" applyFont="1" applyBorder="1" applyAlignment="1">
      <alignment horizontal="center" vertical="center" wrapText="1"/>
    </xf>
    <xf numFmtId="1" fontId="6" fillId="0" borderId="2223" xfId="0" applyNumberFormat="1" applyFont="1" applyBorder="1" applyAlignment="1">
      <alignment horizontal="center" vertical="center" wrapText="1"/>
    </xf>
    <xf numFmtId="1" fontId="6" fillId="3" borderId="2251" xfId="0" applyNumberFormat="1" applyFont="1" applyFill="1" applyBorder="1" applyAlignment="1">
      <alignment horizontal="left" vertical="center"/>
    </xf>
    <xf numFmtId="1" fontId="6" fillId="3" borderId="2252" xfId="0" applyNumberFormat="1" applyFont="1" applyFill="1" applyBorder="1" applyAlignment="1">
      <alignment horizontal="left" vertical="center"/>
    </xf>
    <xf numFmtId="1" fontId="6" fillId="3" borderId="1523" xfId="0" applyNumberFormat="1" applyFont="1" applyFill="1" applyBorder="1" applyAlignment="1">
      <alignment horizontal="left" vertical="center" wrapText="1"/>
    </xf>
    <xf numFmtId="1" fontId="6" fillId="3" borderId="1525" xfId="0" applyNumberFormat="1" applyFont="1" applyFill="1" applyBorder="1" applyAlignment="1">
      <alignment horizontal="left" vertical="center" wrapText="1"/>
    </xf>
    <xf numFmtId="1" fontId="6" fillId="0" borderId="2286" xfId="2527" applyNumberFormat="1" applyFont="1" applyFill="1" applyBorder="1" applyAlignment="1">
      <alignment horizontal="center" vertical="center" wrapText="1"/>
    </xf>
    <xf numFmtId="1" fontId="6" fillId="0" borderId="2288" xfId="2527" applyNumberFormat="1" applyFont="1" applyFill="1" applyBorder="1" applyAlignment="1">
      <alignment horizontal="center" vertical="center"/>
    </xf>
    <xf numFmtId="1" fontId="6" fillId="0" borderId="1523" xfId="0" applyNumberFormat="1" applyFont="1" applyBorder="1" applyAlignment="1">
      <alignment horizontal="left" vertical="center"/>
    </xf>
    <xf numFmtId="1" fontId="6" fillId="0" borderId="1525" xfId="0" applyNumberFormat="1" applyFont="1" applyBorder="1" applyAlignment="1">
      <alignment horizontal="left" vertical="center"/>
    </xf>
    <xf numFmtId="1" fontId="32" fillId="22" borderId="2193" xfId="0" applyNumberFormat="1" applyFont="1" applyFill="1" applyBorder="1" applyAlignment="1">
      <alignment horizontal="center" vertical="center" wrapText="1"/>
    </xf>
    <xf numFmtId="1" fontId="32" fillId="22" borderId="435" xfId="0" applyNumberFormat="1" applyFont="1" applyFill="1" applyBorder="1" applyAlignment="1">
      <alignment horizontal="center" vertical="center" wrapText="1"/>
    </xf>
    <xf numFmtId="1" fontId="32" fillId="22" borderId="2217" xfId="0" applyNumberFormat="1" applyFont="1" applyFill="1" applyBorder="1" applyAlignment="1">
      <alignment horizontal="center" vertical="center" wrapText="1"/>
    </xf>
    <xf numFmtId="1" fontId="6" fillId="22" borderId="2193" xfId="0" applyNumberFormat="1" applyFont="1" applyFill="1" applyBorder="1" applyAlignment="1">
      <alignment horizontal="center" vertical="center" wrapText="1"/>
    </xf>
    <xf numFmtId="1" fontId="6" fillId="22" borderId="435" xfId="0" applyNumberFormat="1" applyFont="1" applyFill="1" applyBorder="1" applyAlignment="1">
      <alignment horizontal="center" vertical="center" wrapText="1"/>
    </xf>
    <xf numFmtId="1" fontId="6" fillId="22" borderId="2217" xfId="0" applyNumberFormat="1" applyFont="1" applyFill="1" applyBorder="1" applyAlignment="1">
      <alignment horizontal="center" vertical="center" wrapText="1"/>
    </xf>
    <xf numFmtId="1" fontId="6" fillId="3" borderId="1526" xfId="0" applyNumberFormat="1" applyFont="1" applyFill="1" applyBorder="1" applyAlignment="1">
      <alignment horizontal="left" vertical="center" wrapText="1"/>
    </xf>
    <xf numFmtId="1" fontId="6" fillId="3" borderId="423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517" xfId="0" applyNumberFormat="1" applyFont="1" applyFill="1" applyBorder="1" applyAlignment="1">
      <alignment horizontal="left" vertical="center" wrapText="1"/>
    </xf>
    <xf numFmtId="1" fontId="6" fillId="3" borderId="2285" xfId="0" applyNumberFormat="1" applyFont="1" applyFill="1" applyBorder="1" applyAlignment="1">
      <alignment horizontal="center" vertical="center" wrapText="1"/>
    </xf>
    <xf numFmtId="1" fontId="6" fillId="3" borderId="133" xfId="0" applyNumberFormat="1" applyFont="1" applyFill="1" applyBorder="1" applyAlignment="1">
      <alignment horizontal="center" vertical="center" wrapText="1"/>
    </xf>
    <xf numFmtId="1" fontId="6" fillId="3" borderId="2223" xfId="0" applyNumberFormat="1" applyFont="1" applyFill="1" applyBorder="1" applyAlignment="1">
      <alignment horizontal="center" vertical="center" wrapText="1"/>
    </xf>
    <xf numFmtId="1" fontId="6" fillId="0" borderId="2195" xfId="0" applyNumberFormat="1" applyFont="1" applyBorder="1" applyAlignment="1">
      <alignment horizontal="center" vertical="center" wrapText="1"/>
    </xf>
    <xf numFmtId="1" fontId="6" fillId="0" borderId="2230" xfId="0" applyNumberFormat="1" applyFont="1" applyBorder="1" applyAlignment="1">
      <alignment horizontal="center" vertical="center" wrapText="1"/>
    </xf>
    <xf numFmtId="1" fontId="6" fillId="0" borderId="2172" xfId="0" applyNumberFormat="1" applyFont="1" applyBorder="1" applyAlignment="1">
      <alignment horizontal="center" vertical="center" wrapText="1"/>
    </xf>
    <xf numFmtId="1" fontId="6" fillId="14" borderId="1593" xfId="0" applyNumberFormat="1" applyFont="1" applyFill="1" applyBorder="1" applyAlignment="1">
      <alignment horizontal="center" vertical="center" wrapText="1"/>
    </xf>
    <xf numFmtId="1" fontId="6" fillId="14" borderId="784" xfId="0" applyNumberFormat="1" applyFont="1" applyFill="1" applyBorder="1" applyAlignment="1">
      <alignment horizontal="center" vertical="center" wrapText="1"/>
    </xf>
    <xf numFmtId="1" fontId="6" fillId="14" borderId="2227" xfId="0" applyNumberFormat="1" applyFont="1" applyFill="1" applyBorder="1" applyAlignment="1">
      <alignment horizontal="center" vertical="center" wrapText="1"/>
    </xf>
    <xf numFmtId="1" fontId="6" fillId="14" borderId="2304" xfId="0" applyNumberFormat="1" applyFont="1" applyFill="1" applyBorder="1" applyAlignment="1">
      <alignment horizontal="center" vertical="center" wrapText="1"/>
    </xf>
    <xf numFmtId="1" fontId="6" fillId="14" borderId="1716" xfId="0" applyNumberFormat="1" applyFont="1" applyFill="1" applyBorder="1" applyAlignment="1">
      <alignment horizontal="center" vertical="center" wrapText="1"/>
    </xf>
    <xf numFmtId="1" fontId="6" fillId="0" borderId="2295" xfId="0" applyNumberFormat="1" applyFont="1" applyBorder="1" applyAlignment="1">
      <alignment horizontal="left" vertical="center" wrapText="1"/>
    </xf>
    <xf numFmtId="1" fontId="6" fillId="0" borderId="1873" xfId="0" applyNumberFormat="1" applyFont="1" applyBorder="1" applyAlignment="1">
      <alignment horizontal="left"/>
    </xf>
    <xf numFmtId="1" fontId="6" fillId="3" borderId="1002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1957" xfId="0" applyNumberFormat="1" applyFont="1" applyFill="1" applyBorder="1" applyAlignment="1">
      <alignment horizontal="center" vertical="center" wrapText="1"/>
    </xf>
    <xf numFmtId="1" fontId="6" fillId="0" borderId="230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2235" xfId="0" applyNumberFormat="1" applyFont="1" applyBorder="1" applyAlignment="1">
      <alignment horizontal="center" vertical="center" wrapText="1"/>
    </xf>
    <xf numFmtId="1" fontId="6" fillId="0" borderId="2304" xfId="0" applyNumberFormat="1" applyFont="1" applyBorder="1" applyAlignment="1">
      <alignment horizontal="center" vertical="center" wrapText="1"/>
    </xf>
    <xf numFmtId="1" fontId="6" fillId="0" borderId="1958" xfId="0" applyNumberFormat="1" applyFont="1" applyBorder="1" applyAlignment="1">
      <alignment horizontal="center" vertical="center" wrapText="1"/>
    </xf>
    <xf numFmtId="1" fontId="6" fillId="14" borderId="2286" xfId="0" applyNumberFormat="1" applyFont="1" applyFill="1" applyBorder="1" applyAlignment="1">
      <alignment horizontal="center" vertical="center" wrapText="1"/>
    </xf>
    <xf numFmtId="1" fontId="6" fillId="14" borderId="2288" xfId="0" applyNumberFormat="1" applyFont="1" applyFill="1" applyBorder="1" applyAlignment="1">
      <alignment horizontal="center" vertical="center" wrapText="1"/>
    </xf>
    <xf numFmtId="1" fontId="6" fillId="0" borderId="2207" xfId="0" applyNumberFormat="1" applyFont="1" applyBorder="1" applyAlignment="1">
      <alignment horizontal="center" vertical="center" wrapText="1"/>
    </xf>
    <xf numFmtId="1" fontId="6" fillId="0" borderId="2227" xfId="0" applyNumberFormat="1" applyFont="1" applyBorder="1" applyAlignment="1">
      <alignment horizontal="center" vertical="center" wrapText="1"/>
    </xf>
    <xf numFmtId="1" fontId="6" fillId="3" borderId="2277" xfId="0" applyNumberFormat="1" applyFont="1" applyFill="1" applyBorder="1" applyAlignment="1">
      <alignment horizontal="left" vertical="center" wrapText="1"/>
    </xf>
    <xf numFmtId="1" fontId="6" fillId="14" borderId="1868" xfId="0" applyNumberFormat="1" applyFont="1" applyFill="1" applyBorder="1" applyAlignment="1">
      <alignment horizontal="left" vertical="center" wrapText="1"/>
    </xf>
    <xf numFmtId="1" fontId="6" fillId="0" borderId="2258" xfId="0" applyNumberFormat="1" applyFont="1" applyBorder="1" applyAlignment="1">
      <alignment horizontal="center" vertical="center" wrapText="1"/>
    </xf>
    <xf numFmtId="1" fontId="6" fillId="0" borderId="1868" xfId="0" applyNumberFormat="1" applyFont="1" applyBorder="1" applyAlignment="1">
      <alignment horizontal="center" vertical="center" wrapText="1"/>
    </xf>
    <xf numFmtId="1" fontId="6" fillId="0" borderId="2251" xfId="0" applyNumberFormat="1" applyFont="1" applyBorder="1" applyAlignment="1">
      <alignment horizontal="left" wrapText="1"/>
    </xf>
    <xf numFmtId="1" fontId="6" fillId="0" borderId="2252" xfId="0" applyNumberFormat="1" applyFont="1" applyBorder="1" applyAlignment="1">
      <alignment horizontal="left" wrapText="1"/>
    </xf>
    <xf numFmtId="1" fontId="6" fillId="0" borderId="1863" xfId="0" applyNumberFormat="1" applyFont="1" applyBorder="1" applyAlignment="1">
      <alignment horizontal="left" wrapText="1"/>
    </xf>
    <xf numFmtId="1" fontId="6" fillId="0" borderId="1864" xfId="0" applyNumberFormat="1" applyFont="1" applyBorder="1" applyAlignment="1">
      <alignment horizontal="left" wrapText="1"/>
    </xf>
    <xf numFmtId="1" fontId="6" fillId="14" borderId="2217" xfId="0" applyNumberFormat="1" applyFont="1" applyFill="1" applyBorder="1" applyAlignment="1">
      <alignment horizontal="left" vertical="center" wrapText="1"/>
    </xf>
    <xf numFmtId="1" fontId="6" fillId="14" borderId="18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18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1523" xfId="0" applyNumberFormat="1" applyFont="1" applyBorder="1" applyAlignment="1" applyProtection="1">
      <alignment horizontal="left" vertical="center" wrapText="1"/>
      <protection hidden="1"/>
    </xf>
    <xf numFmtId="1" fontId="6" fillId="0" borderId="1525" xfId="0" applyNumberFormat="1" applyFont="1" applyBorder="1" applyAlignment="1" applyProtection="1">
      <alignment horizontal="left" vertical="center" wrapText="1"/>
      <protection hidden="1"/>
    </xf>
    <xf numFmtId="1" fontId="13" fillId="3" borderId="435" xfId="0" applyNumberFormat="1" applyFont="1" applyFill="1" applyBorder="1" applyAlignment="1">
      <alignment horizontal="center" vertical="center" wrapText="1"/>
    </xf>
    <xf numFmtId="1" fontId="13" fillId="3" borderId="2217" xfId="0" applyNumberFormat="1" applyFont="1" applyFill="1" applyBorder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6" fillId="0" borderId="517" xfId="0" applyNumberFormat="1" applyFont="1" applyBorder="1" applyAlignment="1">
      <alignment wrapText="1"/>
    </xf>
    <xf numFmtId="1" fontId="6" fillId="0" borderId="2365" xfId="0" applyNumberFormat="1" applyFont="1" applyBorder="1" applyAlignment="1">
      <alignment horizontal="left" vertical="center" wrapText="1"/>
    </xf>
    <xf numFmtId="1" fontId="6" fillId="0" borderId="2366" xfId="0" applyNumberFormat="1" applyFont="1" applyBorder="1" applyAlignment="1">
      <alignment horizontal="left" vertical="center" wrapText="1"/>
    </xf>
    <xf numFmtId="1" fontId="6" fillId="0" borderId="2367" xfId="0" applyNumberFormat="1" applyFont="1" applyBorder="1" applyAlignment="1">
      <alignment horizontal="left" vertical="center" wrapText="1"/>
    </xf>
    <xf numFmtId="1" fontId="6" fillId="3" borderId="1522" xfId="0" applyNumberFormat="1" applyFont="1" applyFill="1" applyBorder="1" applyAlignment="1">
      <alignment horizontal="left" vertical="center" wrapText="1"/>
    </xf>
    <xf numFmtId="1" fontId="6" fillId="3" borderId="1700" xfId="0" applyNumberFormat="1" applyFont="1" applyFill="1" applyBorder="1" applyAlignment="1">
      <alignment horizontal="left" vertical="center" wrapText="1"/>
    </xf>
    <xf numFmtId="1" fontId="6" fillId="3" borderId="827" xfId="0" applyNumberFormat="1" applyFont="1" applyFill="1" applyBorder="1" applyAlignment="1">
      <alignment horizontal="left" vertical="center" wrapText="1"/>
    </xf>
    <xf numFmtId="1" fontId="6" fillId="0" borderId="2362" xfId="0" applyNumberFormat="1" applyFont="1" applyBorder="1" applyAlignment="1" applyProtection="1">
      <alignment horizontal="center" vertical="center" wrapText="1"/>
      <protection hidden="1"/>
    </xf>
    <xf numFmtId="1" fontId="6" fillId="0" borderId="2365" xfId="0" applyNumberFormat="1" applyFont="1" applyBorder="1" applyAlignment="1" applyProtection="1">
      <alignment horizontal="left" vertical="center" wrapText="1"/>
      <protection hidden="1"/>
    </xf>
    <xf numFmtId="1" fontId="6" fillId="0" borderId="2367" xfId="0" applyNumberFormat="1" applyFont="1" applyBorder="1" applyAlignment="1" applyProtection="1">
      <alignment horizontal="left" vertical="center" wrapText="1"/>
      <protection hidden="1"/>
    </xf>
    <xf numFmtId="1" fontId="6" fillId="0" borderId="1526" xfId="0" applyNumberFormat="1" applyFont="1" applyBorder="1" applyAlignment="1">
      <alignment horizontal="left"/>
    </xf>
    <xf numFmtId="1" fontId="6" fillId="0" borderId="1525" xfId="0" applyNumberFormat="1" applyFont="1" applyBorder="1" applyAlignment="1">
      <alignment horizontal="left"/>
    </xf>
    <xf numFmtId="1" fontId="6" fillId="0" borderId="2354" xfId="0" applyNumberFormat="1" applyFont="1" applyBorder="1" applyAlignment="1">
      <alignment horizontal="center" vertical="center"/>
    </xf>
    <xf numFmtId="1" fontId="6" fillId="0" borderId="2355" xfId="0" applyNumberFormat="1" applyFont="1" applyBorder="1" applyAlignment="1">
      <alignment horizontal="center" vertical="center"/>
    </xf>
    <xf numFmtId="1" fontId="6" fillId="0" borderId="2356" xfId="0" applyNumberFormat="1" applyFont="1" applyBorder="1" applyAlignment="1">
      <alignment horizontal="center" vertical="center"/>
    </xf>
    <xf numFmtId="1" fontId="6" fillId="0" borderId="423" xfId="0" applyNumberFormat="1" applyFont="1" applyBorder="1" applyAlignment="1" applyProtection="1">
      <alignment horizontal="left" vertical="center" wrapText="1"/>
      <protection hidden="1"/>
    </xf>
    <xf numFmtId="1" fontId="6" fillId="0" borderId="517" xfId="0" applyNumberFormat="1" applyFont="1" applyBorder="1" applyAlignment="1" applyProtection="1">
      <alignment horizontal="left" vertical="center" wrapText="1"/>
      <protection hidden="1"/>
    </xf>
    <xf numFmtId="1" fontId="6" fillId="14" borderId="15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1525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32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321" xfId="0" applyNumberFormat="1" applyFont="1" applyFill="1" applyBorder="1" applyAlignment="1">
      <alignment horizontal="left" vertical="center" wrapText="1"/>
    </xf>
    <xf numFmtId="1" fontId="6" fillId="0" borderId="831" xfId="0" applyNumberFormat="1" applyFont="1" applyBorder="1" applyAlignment="1">
      <alignment wrapText="1"/>
    </xf>
    <xf numFmtId="1" fontId="6" fillId="0" borderId="1683" xfId="0" applyNumberFormat="1" applyFont="1" applyBorder="1" applyAlignment="1">
      <alignment wrapText="1"/>
    </xf>
    <xf numFmtId="1" fontId="6" fillId="14" borderId="962" xfId="0" applyNumberFormat="1" applyFont="1" applyFill="1" applyBorder="1" applyAlignment="1">
      <alignment horizontal="left" vertical="center" wrapText="1"/>
    </xf>
    <xf numFmtId="1" fontId="6" fillId="0" borderId="2314" xfId="0" applyNumberFormat="1" applyFont="1" applyBorder="1" applyAlignment="1">
      <alignment horizontal="center" vertical="center" wrapText="1"/>
    </xf>
    <xf numFmtId="1" fontId="6" fillId="3" borderId="2317" xfId="0" applyNumberFormat="1" applyFont="1" applyFill="1" applyBorder="1" applyAlignment="1">
      <alignment horizontal="left" vertical="center" wrapText="1"/>
    </xf>
    <xf numFmtId="1" fontId="6" fillId="3" borderId="2318" xfId="0" applyNumberFormat="1" applyFont="1" applyFill="1" applyBorder="1" applyAlignment="1">
      <alignment horizontal="left" vertical="center" wrapText="1"/>
    </xf>
    <xf numFmtId="1" fontId="6" fillId="3" borderId="1857" xfId="0" applyNumberFormat="1" applyFont="1" applyFill="1" applyBorder="1" applyAlignment="1">
      <alignment horizontal="left" vertical="center" wrapText="1"/>
    </xf>
    <xf numFmtId="1" fontId="6" fillId="0" borderId="2360" xfId="0" applyNumberFormat="1" applyFont="1" applyBorder="1" applyAlignment="1">
      <alignment horizontal="center" vertical="center" wrapText="1"/>
    </xf>
    <xf numFmtId="1" fontId="6" fillId="0" borderId="2361" xfId="0" applyNumberFormat="1" applyFont="1" applyBorder="1" applyAlignment="1">
      <alignment horizontal="center" vertical="center" wrapText="1"/>
    </xf>
    <xf numFmtId="1" fontId="6" fillId="3" borderId="2358" xfId="0" applyNumberFormat="1" applyFont="1" applyFill="1" applyBorder="1" applyAlignment="1">
      <alignment horizontal="center" vertical="center"/>
    </xf>
    <xf numFmtId="1" fontId="6" fillId="3" borderId="2362" xfId="0" applyNumberFormat="1" applyFont="1" applyFill="1" applyBorder="1" applyAlignment="1">
      <alignment horizontal="center" vertical="center"/>
    </xf>
    <xf numFmtId="1" fontId="6" fillId="0" borderId="2362" xfId="0" applyNumberFormat="1" applyFont="1" applyBorder="1" applyAlignment="1">
      <alignment horizontal="center" vertical="center" wrapText="1"/>
    </xf>
    <xf numFmtId="1" fontId="6" fillId="0" borderId="2362" xfId="0" applyNumberFormat="1" applyFont="1" applyBorder="1" applyAlignment="1">
      <alignment horizontal="center" vertical="center"/>
    </xf>
    <xf numFmtId="1" fontId="6" fillId="3" borderId="2439" xfId="0" applyNumberFormat="1" applyFont="1" applyFill="1" applyBorder="1" applyAlignment="1">
      <alignment horizontal="center" vertical="center" wrapText="1"/>
    </xf>
    <xf numFmtId="1" fontId="6" fillId="3" borderId="382" xfId="0" applyNumberFormat="1" applyFont="1" applyFill="1" applyBorder="1" applyAlignment="1">
      <alignment horizontal="center" vertical="center" wrapText="1"/>
    </xf>
    <xf numFmtId="1" fontId="6" fillId="3" borderId="2444" xfId="0" applyNumberFormat="1" applyFont="1" applyFill="1" applyBorder="1" applyAlignment="1">
      <alignment horizontal="center" vertical="center" wrapText="1"/>
    </xf>
    <xf numFmtId="1" fontId="6" fillId="14" borderId="2354" xfId="0" applyNumberFormat="1" applyFont="1" applyFill="1" applyBorder="1" applyAlignment="1">
      <alignment horizontal="center" vertical="center" wrapText="1"/>
    </xf>
    <xf numFmtId="1" fontId="6" fillId="14" borderId="2355" xfId="0" applyNumberFormat="1" applyFont="1" applyFill="1" applyBorder="1" applyAlignment="1">
      <alignment horizontal="center" vertical="center" wrapText="1"/>
    </xf>
    <xf numFmtId="1" fontId="6" fillId="14" borderId="2356" xfId="0" applyNumberFormat="1" applyFont="1" applyFill="1" applyBorder="1" applyAlignment="1">
      <alignment horizontal="center" vertical="center" wrapText="1"/>
    </xf>
    <xf numFmtId="1" fontId="6" fillId="14" borderId="390" xfId="0" applyNumberFormat="1" applyFont="1" applyFill="1" applyBorder="1" applyAlignment="1">
      <alignment horizontal="center" vertical="center" wrapText="1"/>
    </xf>
    <xf numFmtId="1" fontId="6" fillId="14" borderId="175" xfId="0" applyNumberFormat="1" applyFont="1" applyFill="1" applyBorder="1" applyAlignment="1">
      <alignment horizontal="center" vertical="center" wrapText="1"/>
    </xf>
    <xf numFmtId="1" fontId="6" fillId="14" borderId="370" xfId="0" applyNumberFormat="1" applyFont="1" applyFill="1" applyBorder="1" applyAlignment="1">
      <alignment horizontal="center" vertical="center" wrapText="1"/>
    </xf>
    <xf numFmtId="1" fontId="6" fillId="3" borderId="2307" xfId="0" applyNumberFormat="1" applyFont="1" applyFill="1" applyBorder="1" applyAlignment="1">
      <alignment horizontal="center" vertical="center" wrapText="1"/>
    </xf>
    <xf numFmtId="1" fontId="6" fillId="3" borderId="1682" xfId="0" applyNumberFormat="1" applyFont="1" applyFill="1" applyBorder="1" applyAlignment="1">
      <alignment horizontal="center" vertical="center" wrapText="1"/>
    </xf>
    <xf numFmtId="1" fontId="6" fillId="14" borderId="2314" xfId="0" applyNumberFormat="1" applyFont="1" applyFill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14" borderId="240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14" borderId="441" xfId="0" applyNumberFormat="1" applyFont="1" applyFill="1" applyBorder="1" applyAlignment="1">
      <alignment horizontal="center" vertical="center" wrapText="1"/>
    </xf>
    <xf numFmtId="1" fontId="6" fillId="14" borderId="439" xfId="0" applyNumberFormat="1" applyFont="1" applyFill="1" applyBorder="1" applyAlignment="1">
      <alignment horizontal="center"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21" xfId="0" applyNumberFormat="1" applyFont="1" applyBorder="1" applyAlignment="1">
      <alignment horizontal="center" vertical="center" wrapText="1"/>
    </xf>
    <xf numFmtId="1" fontId="4" fillId="3" borderId="441" xfId="0" applyNumberFormat="1" applyFont="1" applyFill="1" applyBorder="1" applyAlignment="1">
      <alignment horizontal="left" wrapText="1"/>
    </xf>
    <xf numFmtId="1" fontId="6" fillId="0" borderId="504" xfId="0" applyNumberFormat="1" applyFont="1" applyBorder="1" applyAlignment="1">
      <alignment horizontal="center" vertical="center"/>
    </xf>
    <xf numFmtId="1" fontId="6" fillId="0" borderId="518" xfId="0" applyNumberFormat="1" applyFont="1" applyBorder="1"/>
    <xf numFmtId="1" fontId="6" fillId="0" borderId="472" xfId="0" applyNumberFormat="1" applyFont="1" applyBorder="1"/>
    <xf numFmtId="1" fontId="6" fillId="0" borderId="339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/>
    <xf numFmtId="1" fontId="6" fillId="0" borderId="513" xfId="0" applyNumberFormat="1" applyFont="1" applyBorder="1"/>
    <xf numFmtId="1" fontId="6" fillId="0" borderId="2033" xfId="0" applyNumberFormat="1" applyFont="1" applyBorder="1" applyAlignment="1">
      <alignment horizontal="center" vertical="center"/>
    </xf>
    <xf numFmtId="1" fontId="6" fillId="0" borderId="2034" xfId="0" applyNumberFormat="1" applyFont="1" applyBorder="1" applyAlignment="1">
      <alignment horizontal="center" vertical="center"/>
    </xf>
    <xf numFmtId="1" fontId="6" fillId="14" borderId="456" xfId="0" applyNumberFormat="1" applyFont="1" applyFill="1" applyBorder="1" applyAlignment="1">
      <alignment horizontal="center" vertical="center" wrapText="1"/>
    </xf>
    <xf numFmtId="1" fontId="6" fillId="14" borderId="514" xfId="0" applyNumberFormat="1" applyFont="1" applyFill="1" applyBorder="1" applyAlignment="1">
      <alignment horizontal="center" vertical="center" wrapText="1"/>
    </xf>
    <xf numFmtId="1" fontId="6" fillId="14" borderId="527" xfId="0" applyNumberFormat="1" applyFont="1" applyFill="1" applyBorder="1" applyAlignment="1">
      <alignment horizontal="center" vertical="center" wrapText="1"/>
    </xf>
    <xf numFmtId="1" fontId="6" fillId="14" borderId="475" xfId="0" applyNumberFormat="1" applyFont="1" applyFill="1" applyBorder="1" applyAlignment="1">
      <alignment horizontal="center" vertical="center" wrapText="1"/>
    </xf>
    <xf numFmtId="1" fontId="6" fillId="14" borderId="243" xfId="0" applyNumberFormat="1" applyFont="1" applyFill="1" applyBorder="1" applyAlignment="1">
      <alignment horizontal="center" vertical="center" wrapText="1"/>
    </xf>
    <xf numFmtId="1" fontId="6" fillId="14" borderId="528" xfId="0" applyNumberFormat="1" applyFont="1" applyFill="1" applyBorder="1" applyAlignment="1">
      <alignment horizontal="center" vertical="center" wrapText="1"/>
    </xf>
    <xf numFmtId="1" fontId="6" fillId="14" borderId="529" xfId="0" applyNumberFormat="1" applyFont="1" applyFill="1" applyBorder="1" applyAlignment="1">
      <alignment horizontal="center" vertical="center" wrapText="1"/>
    </xf>
    <xf numFmtId="1" fontId="6" fillId="14" borderId="129" xfId="0" applyNumberFormat="1" applyFont="1" applyFill="1" applyBorder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0" fontId="6" fillId="0" borderId="2033" xfId="0" applyFont="1" applyBorder="1" applyAlignment="1">
      <alignment horizontal="center" vertical="center" wrapText="1"/>
    </xf>
    <xf numFmtId="0" fontId="6" fillId="0" borderId="2040" xfId="0" applyFont="1" applyBorder="1" applyAlignment="1">
      <alignment horizontal="center" vertical="center" wrapText="1"/>
    </xf>
    <xf numFmtId="0" fontId="6" fillId="0" borderId="2041" xfId="0" applyFont="1" applyBorder="1" applyAlignment="1">
      <alignment horizontal="center" vertical="center" wrapText="1"/>
    </xf>
    <xf numFmtId="0" fontId="6" fillId="0" borderId="2034" xfId="0" applyFont="1" applyBorder="1" applyAlignment="1">
      <alignment horizontal="center" vertical="center" wrapText="1"/>
    </xf>
    <xf numFmtId="0" fontId="6" fillId="0" borderId="456" xfId="0" applyFont="1" applyBorder="1" applyAlignment="1">
      <alignment horizontal="center" vertical="center" wrapText="1"/>
    </xf>
    <xf numFmtId="0" fontId="6" fillId="0" borderId="514" xfId="0" applyFont="1" applyBorder="1" applyAlignment="1">
      <alignment horizontal="center" vertical="center" wrapText="1"/>
    </xf>
    <xf numFmtId="1" fontId="6" fillId="0" borderId="52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526" xfId="0" applyNumberFormat="1" applyFont="1" applyBorder="1" applyAlignment="1">
      <alignment horizontal="left"/>
    </xf>
    <xf numFmtId="1" fontId="6" fillId="0" borderId="508" xfId="0" applyNumberFormat="1" applyFont="1" applyBorder="1" applyAlignment="1">
      <alignment horizontal="left"/>
    </xf>
    <xf numFmtId="1" fontId="6" fillId="0" borderId="2040" xfId="0" applyNumberFormat="1" applyFont="1" applyBorder="1" applyAlignment="1">
      <alignment horizontal="center" vertical="center"/>
    </xf>
    <xf numFmtId="1" fontId="6" fillId="0" borderId="526" xfId="0" applyNumberFormat="1" applyFont="1" applyBorder="1" applyAlignment="1">
      <alignment horizontal="left" wrapText="1"/>
    </xf>
    <xf numFmtId="1" fontId="6" fillId="0" borderId="508" xfId="0" applyNumberFormat="1" applyFont="1" applyBorder="1" applyAlignment="1">
      <alignment horizontal="left" wrapText="1"/>
    </xf>
    <xf numFmtId="1" fontId="6" fillId="0" borderId="53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center" vertical="center"/>
    </xf>
    <xf numFmtId="1" fontId="6" fillId="0" borderId="506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/>
    </xf>
    <xf numFmtId="1" fontId="6" fillId="0" borderId="354" xfId="0" applyNumberFormat="1" applyFont="1" applyBorder="1" applyAlignment="1">
      <alignment horizontal="center" vertical="center"/>
    </xf>
    <xf numFmtId="0" fontId="6" fillId="0" borderId="527" xfId="0" applyFont="1" applyBorder="1" applyAlignment="1">
      <alignment horizontal="center" vertical="center" wrapText="1"/>
    </xf>
    <xf numFmtId="0" fontId="6" fillId="0" borderId="503" xfId="0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left"/>
    </xf>
    <xf numFmtId="0" fontId="38" fillId="0" borderId="500" xfId="0" applyFont="1" applyBorder="1" applyAlignment="1">
      <alignment horizontal="center" vertical="center"/>
    </xf>
    <xf numFmtId="0" fontId="38" fillId="0" borderId="435" xfId="0" applyFont="1" applyBorder="1" applyAlignment="1">
      <alignment horizontal="center" vertical="center"/>
    </xf>
    <xf numFmtId="0" fontId="38" fillId="0" borderId="544" xfId="0" applyFont="1" applyBorder="1" applyAlignment="1">
      <alignment horizontal="center" vertical="center"/>
    </xf>
    <xf numFmtId="0" fontId="6" fillId="0" borderId="504" xfId="0" applyFont="1" applyBorder="1" applyAlignment="1">
      <alignment horizontal="center" vertical="center"/>
    </xf>
    <xf numFmtId="0" fontId="6" fillId="0" borderId="545" xfId="0" applyFont="1" applyBorder="1" applyAlignment="1">
      <alignment horizontal="center" vertical="center"/>
    </xf>
    <xf numFmtId="0" fontId="6" fillId="0" borderId="545" xfId="0" applyFont="1" applyBorder="1" applyAlignment="1">
      <alignment horizontal="center" vertical="center" wrapText="1"/>
    </xf>
    <xf numFmtId="0" fontId="6" fillId="0" borderId="504" xfId="0" applyFont="1" applyBorder="1" applyAlignment="1">
      <alignment horizontal="center" vertical="center" wrapText="1"/>
    </xf>
    <xf numFmtId="0" fontId="6" fillId="0" borderId="498" xfId="0" applyFont="1" applyBorder="1" applyAlignment="1">
      <alignment horizontal="center" vertical="center" wrapText="1"/>
    </xf>
    <xf numFmtId="0" fontId="6" fillId="0" borderId="547" xfId="0" applyFont="1" applyBorder="1" applyAlignment="1">
      <alignment horizontal="center" vertical="center" wrapText="1"/>
    </xf>
    <xf numFmtId="0" fontId="6" fillId="0" borderId="519" xfId="0" applyFont="1" applyBorder="1" applyAlignment="1">
      <alignment horizontal="center" vertical="center" wrapText="1"/>
    </xf>
    <xf numFmtId="0" fontId="6" fillId="0" borderId="335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351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1" fontId="6" fillId="14" borderId="1580" xfId="0" applyNumberFormat="1" applyFont="1" applyFill="1" applyBorder="1" applyAlignment="1">
      <alignment horizontal="center" vertical="center" wrapText="1"/>
    </xf>
    <xf numFmtId="1" fontId="6" fillId="14" borderId="1544" xfId="0" applyNumberFormat="1" applyFont="1" applyFill="1" applyBorder="1" applyAlignment="1">
      <alignment horizontal="center" vertical="center" wrapText="1"/>
    </xf>
    <xf numFmtId="1" fontId="6" fillId="0" borderId="1367" xfId="0" applyNumberFormat="1" applyFont="1" applyBorder="1" applyAlignment="1">
      <alignment horizontal="center" vertical="center" wrapText="1"/>
    </xf>
    <xf numFmtId="0" fontId="6" fillId="0" borderId="1577" xfId="0" applyFont="1" applyBorder="1" applyAlignment="1">
      <alignment horizontal="center" vertical="center" wrapText="1"/>
    </xf>
    <xf numFmtId="0" fontId="6" fillId="0" borderId="1578" xfId="0" applyFont="1" applyBorder="1" applyAlignment="1">
      <alignment horizontal="center" vertical="center" wrapText="1"/>
    </xf>
    <xf numFmtId="0" fontId="6" fillId="0" borderId="510" xfId="0" applyFont="1" applyBorder="1" applyAlignment="1">
      <alignment horizontal="center" vertical="center"/>
    </xf>
    <xf numFmtId="0" fontId="6" fillId="0" borderId="456" xfId="0" applyFont="1" applyBorder="1" applyAlignment="1">
      <alignment horizontal="center" vertical="center"/>
    </xf>
    <xf numFmtId="0" fontId="6" fillId="0" borderId="514" xfId="0" applyFont="1" applyBorder="1" applyAlignment="1">
      <alignment horizontal="center" vertical="center"/>
    </xf>
    <xf numFmtId="1" fontId="6" fillId="14" borderId="1587" xfId="0" applyNumberFormat="1" applyFont="1" applyFill="1" applyBorder="1" applyAlignment="1">
      <alignment horizontal="center" vertical="center" wrapText="1"/>
    </xf>
    <xf numFmtId="1" fontId="6" fillId="14" borderId="1577" xfId="0" applyNumberFormat="1" applyFont="1" applyFill="1" applyBorder="1" applyAlignment="1">
      <alignment horizontal="center" vertical="center" wrapText="1"/>
    </xf>
    <xf numFmtId="1" fontId="6" fillId="14" borderId="1578" xfId="0" applyNumberFormat="1" applyFont="1" applyFill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0" fontId="6" fillId="0" borderId="1587" xfId="0" applyFont="1" applyBorder="1" applyAlignment="1">
      <alignment horizontal="center" vertical="center" wrapText="1"/>
    </xf>
    <xf numFmtId="0" fontId="43" fillId="0" borderId="515" xfId="0" applyFont="1" applyBorder="1" applyAlignment="1">
      <alignment horizontal="center" vertical="center"/>
    </xf>
    <xf numFmtId="0" fontId="43" fillId="0" borderId="498" xfId="0" applyFont="1" applyBorder="1" applyAlignment="1">
      <alignment horizontal="center" vertical="center"/>
    </xf>
    <xf numFmtId="0" fontId="43" fillId="0" borderId="423" xfId="0" applyFont="1" applyBorder="1" applyAlignment="1">
      <alignment horizontal="center" vertical="center"/>
    </xf>
    <xf numFmtId="0" fontId="43" fillId="0" borderId="517" xfId="0" applyFont="1" applyBorder="1" applyAlignment="1">
      <alignment horizontal="center" vertical="center"/>
    </xf>
    <xf numFmtId="0" fontId="43" fillId="0" borderId="530" xfId="0" applyFont="1" applyBorder="1" applyAlignment="1">
      <alignment horizontal="center" vertical="center"/>
    </xf>
    <xf numFmtId="0" fontId="43" fillId="0" borderId="439" xfId="0" applyFont="1" applyBorder="1" applyAlignment="1">
      <alignment horizontal="center" vertical="center"/>
    </xf>
    <xf numFmtId="0" fontId="6" fillId="0" borderId="240" xfId="0" applyFont="1" applyBorder="1" applyAlignment="1">
      <alignment horizontal="center" vertical="center"/>
    </xf>
    <xf numFmtId="0" fontId="6" fillId="0" borderId="498" xfId="0" applyFont="1" applyBorder="1" applyAlignment="1">
      <alignment horizontal="center" vertical="center"/>
    </xf>
    <xf numFmtId="0" fontId="6" fillId="0" borderId="354" xfId="0" applyFont="1" applyBorder="1" applyAlignment="1">
      <alignment horizontal="center" vertical="center"/>
    </xf>
    <xf numFmtId="0" fontId="6" fillId="0" borderId="439" xfId="0" applyFont="1" applyBorder="1" applyAlignment="1">
      <alignment horizontal="center" vertical="center"/>
    </xf>
    <xf numFmtId="0" fontId="48" fillId="0" borderId="732" xfId="0" applyFont="1" applyBorder="1" applyAlignment="1">
      <alignment horizontal="center" vertical="center" wrapText="1"/>
    </xf>
    <xf numFmtId="0" fontId="48" fillId="0" borderId="721" xfId="0" applyFont="1" applyBorder="1" applyAlignment="1">
      <alignment horizontal="center" vertical="center" wrapText="1"/>
    </xf>
    <xf numFmtId="0" fontId="48" fillId="0" borderId="728" xfId="0" applyFont="1" applyBorder="1" applyAlignment="1">
      <alignment horizontal="center" vertical="center" wrapText="1"/>
    </xf>
    <xf numFmtId="0" fontId="48" fillId="0" borderId="780" xfId="0" applyFont="1" applyBorder="1" applyAlignment="1">
      <alignment horizontal="center" vertical="center" wrapText="1"/>
    </xf>
    <xf numFmtId="0" fontId="48" fillId="0" borderId="669" xfId="0" applyFont="1" applyBorder="1" applyAlignment="1">
      <alignment horizontal="center" vertical="center" wrapText="1"/>
    </xf>
    <xf numFmtId="0" fontId="48" fillId="0" borderId="741" xfId="0" applyFont="1" applyBorder="1" applyAlignment="1">
      <alignment horizontal="center" vertical="center" wrapText="1"/>
    </xf>
    <xf numFmtId="0" fontId="48" fillId="0" borderId="748" xfId="0" applyFont="1" applyBorder="1" applyAlignment="1">
      <alignment horizontal="center" vertical="center"/>
    </xf>
    <xf numFmtId="0" fontId="48" fillId="0" borderId="749" xfId="0" applyFont="1" applyBorder="1" applyAlignment="1">
      <alignment horizontal="center" vertical="center"/>
    </xf>
    <xf numFmtId="0" fontId="48" fillId="0" borderId="778" xfId="0" applyFont="1" applyBorder="1" applyAlignment="1">
      <alignment horizontal="center" vertical="center"/>
    </xf>
    <xf numFmtId="0" fontId="48" fillId="0" borderId="732" xfId="0" applyFont="1" applyBorder="1" applyAlignment="1">
      <alignment horizontal="center" vertical="center"/>
    </xf>
    <xf numFmtId="0" fontId="48" fillId="0" borderId="435" xfId="0" applyFont="1" applyBorder="1" applyAlignment="1">
      <alignment horizontal="center" vertical="center"/>
    </xf>
    <xf numFmtId="0" fontId="48" fillId="0" borderId="721" xfId="0" applyFont="1" applyBorder="1" applyAlignment="1">
      <alignment horizontal="center" vertical="center"/>
    </xf>
    <xf numFmtId="0" fontId="48" fillId="0" borderId="725" xfId="0" applyFont="1" applyBorder="1" applyAlignment="1">
      <alignment horizontal="center" vertical="center" wrapText="1"/>
    </xf>
    <xf numFmtId="0" fontId="48" fillId="0" borderId="735" xfId="0" applyFont="1" applyBorder="1" applyAlignment="1">
      <alignment horizontal="center" vertical="center" wrapText="1"/>
    </xf>
    <xf numFmtId="0" fontId="48" fillId="0" borderId="423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517" xfId="0" applyFont="1" applyBorder="1" applyAlignment="1">
      <alignment horizontal="center" vertical="center" wrapText="1"/>
    </xf>
    <xf numFmtId="0" fontId="48" fillId="0" borderId="750" xfId="0" applyFont="1" applyBorder="1" applyAlignment="1">
      <alignment horizontal="center" vertical="center"/>
    </xf>
    <xf numFmtId="0" fontId="48" fillId="0" borderId="748" xfId="0" applyFont="1" applyBorder="1" applyAlignment="1">
      <alignment horizontal="center" vertical="center" wrapText="1"/>
    </xf>
    <xf numFmtId="0" fontId="48" fillId="0" borderId="750" xfId="0" applyFont="1" applyBorder="1" applyAlignment="1">
      <alignment horizontal="center" vertical="center" wrapText="1"/>
    </xf>
    <xf numFmtId="49" fontId="48" fillId="0" borderId="748" xfId="0" applyNumberFormat="1" applyFont="1" applyBorder="1" applyAlignment="1">
      <alignment horizontal="center"/>
    </xf>
    <xf numFmtId="49" fontId="48" fillId="0" borderId="750" xfId="0" applyNumberFormat="1" applyFont="1" applyBorder="1" applyAlignment="1">
      <alignment horizontal="center"/>
    </xf>
    <xf numFmtId="1" fontId="6" fillId="0" borderId="673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0" fontId="48" fillId="0" borderId="2033" xfId="0" applyFont="1" applyBorder="1" applyAlignment="1">
      <alignment horizontal="center" vertical="center" wrapText="1"/>
    </xf>
    <xf numFmtId="0" fontId="48" fillId="0" borderId="2040" xfId="0" applyFont="1" applyBorder="1" applyAlignment="1">
      <alignment horizontal="center" vertical="center" wrapText="1"/>
    </xf>
    <xf numFmtId="0" fontId="48" fillId="0" borderId="778" xfId="0" applyFont="1" applyBorder="1" applyAlignment="1">
      <alignment horizontal="center" vertical="center" wrapText="1"/>
    </xf>
    <xf numFmtId="0" fontId="48" fillId="0" borderId="992" xfId="0" applyFont="1" applyBorder="1" applyAlignment="1">
      <alignment horizontal="center" vertical="center" wrapText="1"/>
    </xf>
    <xf numFmtId="0" fontId="48" fillId="0" borderId="932" xfId="0" applyFont="1" applyBorder="1" applyAlignment="1">
      <alignment horizontal="center" vertical="center" wrapText="1"/>
    </xf>
    <xf numFmtId="0" fontId="48" fillId="0" borderId="650" xfId="0" applyFont="1" applyBorder="1" applyAlignment="1">
      <alignment horizontal="center" vertical="center" wrapText="1"/>
    </xf>
    <xf numFmtId="0" fontId="48" fillId="0" borderId="784" xfId="0" applyFont="1" applyBorder="1" applyAlignment="1">
      <alignment horizontal="center" vertical="center" wrapText="1"/>
    </xf>
    <xf numFmtId="0" fontId="48" fillId="0" borderId="771" xfId="0" applyFont="1" applyBorder="1" applyAlignment="1">
      <alignment horizontal="center" vertical="center" wrapText="1"/>
    </xf>
    <xf numFmtId="0" fontId="48" fillId="0" borderId="728" xfId="0" applyFont="1" applyBorder="1" applyAlignment="1">
      <alignment horizontal="center" vertical="center"/>
    </xf>
    <xf numFmtId="0" fontId="48" fillId="0" borderId="780" xfId="0" applyFont="1" applyBorder="1" applyAlignment="1">
      <alignment horizontal="center" vertical="center"/>
    </xf>
    <xf numFmtId="0" fontId="4" fillId="0" borderId="740" xfId="0" applyFont="1" applyBorder="1" applyAlignment="1">
      <alignment horizontal="left" wrapText="1"/>
    </xf>
    <xf numFmtId="0" fontId="6" fillId="0" borderId="815" xfId="0" applyFont="1" applyBorder="1" applyAlignment="1">
      <alignment horizontal="center" vertical="center" wrapText="1"/>
    </xf>
    <xf numFmtId="0" fontId="6" fillId="0" borderId="721" xfId="0" applyFont="1" applyBorder="1" applyAlignment="1">
      <alignment horizontal="center" vertical="center" wrapText="1"/>
    </xf>
    <xf numFmtId="0" fontId="38" fillId="0" borderId="810" xfId="0" applyFont="1" applyBorder="1" applyAlignment="1">
      <alignment horizontal="center" vertical="center" wrapText="1"/>
    </xf>
    <xf numFmtId="0" fontId="38" fillId="0" borderId="741" xfId="0" applyFont="1" applyBorder="1" applyAlignment="1">
      <alignment horizontal="center" vertical="center" wrapText="1"/>
    </xf>
    <xf numFmtId="0" fontId="6" fillId="0" borderId="956" xfId="0" applyFont="1" applyBorder="1" applyAlignment="1">
      <alignment horizontal="center" vertical="center"/>
    </xf>
    <xf numFmtId="0" fontId="6" fillId="0" borderId="896" xfId="0" applyFont="1" applyBorder="1" applyAlignment="1">
      <alignment horizontal="center" vertical="center"/>
    </xf>
    <xf numFmtId="0" fontId="6" fillId="0" borderId="748" xfId="0" applyFont="1" applyBorder="1" applyAlignment="1">
      <alignment horizontal="center" vertical="center"/>
    </xf>
    <xf numFmtId="0" fontId="6" fillId="0" borderId="749" xfId="0" applyFont="1" applyBorder="1" applyAlignment="1">
      <alignment horizontal="center" vertical="center"/>
    </xf>
    <xf numFmtId="0" fontId="6" fillId="0" borderId="778" xfId="0" applyFont="1" applyBorder="1" applyAlignment="1">
      <alignment horizontal="center" vertical="center"/>
    </xf>
    <xf numFmtId="0" fontId="6" fillId="0" borderId="775" xfId="0" applyFont="1" applyBorder="1" applyAlignment="1">
      <alignment horizontal="center" vertical="center" wrapText="1"/>
    </xf>
    <xf numFmtId="0" fontId="6" fillId="0" borderId="776" xfId="0" applyFont="1" applyBorder="1" applyAlignment="1">
      <alignment horizontal="center" vertical="center" wrapText="1"/>
    </xf>
    <xf numFmtId="0" fontId="6" fillId="0" borderId="895" xfId="0" applyFont="1" applyBorder="1" applyAlignment="1">
      <alignment horizontal="center" vertical="center" wrapText="1"/>
    </xf>
    <xf numFmtId="0" fontId="6" fillId="0" borderId="741" xfId="0" applyFont="1" applyBorder="1" applyAlignment="1">
      <alignment horizontal="center" vertical="center" wrapText="1"/>
    </xf>
    <xf numFmtId="0" fontId="4" fillId="0" borderId="175" xfId="0" applyFont="1" applyBorder="1" applyAlignment="1">
      <alignment horizontal="left" wrapText="1"/>
    </xf>
    <xf numFmtId="0" fontId="4" fillId="0" borderId="811" xfId="0" applyFont="1" applyBorder="1" applyAlignment="1">
      <alignment horizontal="left" wrapText="1"/>
    </xf>
    <xf numFmtId="0" fontId="43" fillId="0" borderId="810" xfId="0" applyFont="1" applyBorder="1" applyAlignment="1">
      <alignment horizontal="center" vertical="center" wrapText="1"/>
    </xf>
    <xf numFmtId="0" fontId="43" fillId="0" borderId="741" xfId="0" applyFont="1" applyBorder="1" applyAlignment="1">
      <alignment horizontal="center" vertical="center" wrapText="1"/>
    </xf>
    <xf numFmtId="0" fontId="6" fillId="0" borderId="802" xfId="0" applyFont="1" applyBorder="1" applyAlignment="1">
      <alignment horizontal="center" vertical="center" wrapText="1"/>
    </xf>
    <xf numFmtId="0" fontId="6" fillId="0" borderId="771" xfId="0" applyFont="1" applyBorder="1" applyAlignment="1">
      <alignment horizontal="center" vertical="center" wrapText="1"/>
    </xf>
    <xf numFmtId="0" fontId="6" fillId="0" borderId="810" xfId="0" applyFont="1" applyBorder="1" applyAlignment="1">
      <alignment horizontal="center" vertical="center" wrapText="1"/>
    </xf>
    <xf numFmtId="0" fontId="4" fillId="0" borderId="0" xfId="0" applyFont="1" applyAlignment="1">
      <alignment horizontal="left" wrapText="1"/>
    </xf>
    <xf numFmtId="0" fontId="38" fillId="0" borderId="810" xfId="0" applyFont="1" applyBorder="1" applyAlignment="1">
      <alignment horizontal="center"/>
    </xf>
    <xf numFmtId="0" fontId="38" fillId="0" borderId="741" xfId="0" applyFont="1" applyBorder="1" applyAlignment="1">
      <alignment horizontal="center"/>
    </xf>
    <xf numFmtId="0" fontId="38" fillId="0" borderId="895" xfId="0" applyFont="1" applyBorder="1" applyAlignment="1">
      <alignment horizontal="center" vertical="center" wrapText="1"/>
    </xf>
    <xf numFmtId="0" fontId="38" fillId="0" borderId="815" xfId="0" applyFont="1" applyBorder="1" applyAlignment="1">
      <alignment horizontal="center"/>
    </xf>
    <xf numFmtId="0" fontId="38" fillId="0" borderId="721" xfId="0" applyFont="1" applyBorder="1" applyAlignment="1">
      <alignment horizontal="center"/>
    </xf>
    <xf numFmtId="0" fontId="6" fillId="0" borderId="956" xfId="0" applyFont="1" applyBorder="1" applyAlignment="1">
      <alignment horizontal="center" vertical="center" wrapText="1"/>
    </xf>
    <xf numFmtId="0" fontId="6" fillId="0" borderId="896" xfId="0" applyFont="1" applyBorder="1" applyAlignment="1">
      <alignment horizontal="center" vertical="center" wrapText="1"/>
    </xf>
    <xf numFmtId="0" fontId="6" fillId="0" borderId="958" xfId="0" applyFont="1" applyBorder="1" applyAlignment="1">
      <alignment horizontal="center" vertical="center"/>
    </xf>
    <xf numFmtId="0" fontId="4" fillId="14" borderId="175" xfId="0" applyFont="1" applyFill="1" applyBorder="1" applyAlignment="1">
      <alignment horizontal="left" wrapText="1"/>
    </xf>
    <xf numFmtId="1" fontId="6" fillId="0" borderId="2036" xfId="0" applyNumberFormat="1" applyFont="1" applyBorder="1" applyAlignment="1">
      <alignment horizontal="center" vertical="center" wrapText="1"/>
    </xf>
    <xf numFmtId="1" fontId="6" fillId="0" borderId="2037" xfId="0" applyNumberFormat="1" applyFont="1" applyBorder="1" applyAlignment="1">
      <alignment horizontal="center" vertical="center" wrapText="1"/>
    </xf>
    <xf numFmtId="1" fontId="6" fillId="0" borderId="1594" xfId="0" applyNumberFormat="1" applyFont="1" applyBorder="1" applyAlignment="1">
      <alignment horizontal="center" vertical="center" wrapText="1"/>
    </xf>
    <xf numFmtId="1" fontId="6" fillId="0" borderId="1435" xfId="0" applyNumberFormat="1" applyFont="1" applyBorder="1" applyAlignment="1">
      <alignment horizontal="center" vertical="center" wrapText="1"/>
    </xf>
    <xf numFmtId="1" fontId="6" fillId="0" borderId="1965" xfId="0" applyNumberFormat="1" applyFont="1" applyBorder="1" applyAlignment="1">
      <alignment horizontal="center" vertical="center" wrapText="1"/>
    </xf>
    <xf numFmtId="1" fontId="6" fillId="0" borderId="1964" xfId="0" applyNumberFormat="1" applyFont="1" applyBorder="1" applyAlignment="1">
      <alignment horizontal="center" vertical="center" wrapText="1"/>
    </xf>
    <xf numFmtId="1" fontId="49" fillId="0" borderId="224" xfId="0" applyNumberFormat="1" applyFont="1" applyBorder="1" applyAlignment="1">
      <alignment horizontal="center" vertical="center" wrapText="1"/>
    </xf>
    <xf numFmtId="1" fontId="49" fillId="0" borderId="9" xfId="0" applyNumberFormat="1" applyFont="1" applyBorder="1" applyAlignment="1">
      <alignment horizontal="center" vertical="center" wrapText="1"/>
    </xf>
    <xf numFmtId="1" fontId="49" fillId="0" borderId="369" xfId="0" applyNumberFormat="1" applyFont="1" applyBorder="1" applyAlignment="1">
      <alignment horizontal="center" vertical="center" wrapText="1"/>
    </xf>
    <xf numFmtId="1" fontId="6" fillId="0" borderId="368" xfId="0" applyNumberFormat="1" applyFont="1" applyBorder="1" applyAlignment="1">
      <alignment horizontal="center" vertical="center" wrapText="1"/>
    </xf>
    <xf numFmtId="1" fontId="32" fillId="0" borderId="369" xfId="0" applyNumberFormat="1" applyFont="1" applyBorder="1" applyAlignment="1">
      <alignment horizontal="center" vertical="center" wrapText="1"/>
    </xf>
    <xf numFmtId="1" fontId="6" fillId="0" borderId="374" xfId="0" applyNumberFormat="1" applyFont="1" applyBorder="1" applyAlignment="1">
      <alignment horizontal="center" vertical="center" wrapText="1"/>
    </xf>
    <xf numFmtId="1" fontId="6" fillId="0" borderId="373" xfId="0" applyNumberFormat="1" applyFont="1" applyBorder="1" applyAlignment="1">
      <alignment horizontal="center" vertical="center" wrapText="1"/>
    </xf>
    <xf numFmtId="1" fontId="6" fillId="0" borderId="372" xfId="0" applyNumberFormat="1" applyFont="1" applyBorder="1" applyAlignment="1">
      <alignment horizontal="center" vertical="center" wrapText="1"/>
    </xf>
    <xf numFmtId="1" fontId="6" fillId="0" borderId="369" xfId="0" applyNumberFormat="1" applyFont="1" applyBorder="1" applyAlignment="1">
      <alignment horizontal="center" vertical="center"/>
    </xf>
    <xf numFmtId="1" fontId="6" fillId="0" borderId="374" xfId="0" applyNumberFormat="1" applyFont="1" applyBorder="1" applyAlignment="1">
      <alignment horizontal="center" vertical="center"/>
    </xf>
    <xf numFmtId="1" fontId="6" fillId="0" borderId="373" xfId="0" applyNumberFormat="1" applyFont="1" applyBorder="1" applyAlignment="1">
      <alignment horizontal="center" vertical="center"/>
    </xf>
    <xf numFmtId="1" fontId="6" fillId="0" borderId="372" xfId="0" applyNumberFormat="1" applyFont="1" applyBorder="1" applyAlignment="1">
      <alignment horizontal="center" vertical="center"/>
    </xf>
    <xf numFmtId="1" fontId="6" fillId="0" borderId="2198" xfId="0" applyNumberFormat="1" applyFont="1" applyBorder="1" applyAlignment="1">
      <alignment horizontal="center" vertical="center" wrapText="1"/>
    </xf>
    <xf numFmtId="1" fontId="6" fillId="0" borderId="2187" xfId="0" applyNumberFormat="1" applyFont="1" applyBorder="1" applyAlignment="1">
      <alignment horizontal="center" vertical="center" wrapText="1"/>
    </xf>
    <xf numFmtId="1" fontId="6" fillId="0" borderId="2198" xfId="0" applyNumberFormat="1" applyFont="1" applyBorder="1" applyAlignment="1">
      <alignment horizontal="center" vertical="center"/>
    </xf>
    <xf numFmtId="1" fontId="6" fillId="0" borderId="2213" xfId="0" applyNumberFormat="1" applyFont="1" applyBorder="1" applyAlignment="1">
      <alignment horizontal="center" vertical="center"/>
    </xf>
    <xf numFmtId="1" fontId="6" fillId="0" borderId="2192" xfId="0" applyNumberFormat="1" applyFont="1" applyBorder="1" applyAlignment="1">
      <alignment horizontal="center" vertical="center"/>
    </xf>
    <xf numFmtId="1" fontId="6" fillId="0" borderId="2196" xfId="0" applyNumberFormat="1" applyFont="1" applyBorder="1" applyAlignment="1">
      <alignment horizontal="center" vertical="center" wrapText="1"/>
    </xf>
    <xf numFmtId="1" fontId="6" fillId="0" borderId="2036" xfId="0" applyNumberFormat="1" applyFont="1" applyBorder="1" applyAlignment="1">
      <alignment horizontal="center" vertical="center"/>
    </xf>
    <xf numFmtId="1" fontId="6" fillId="0" borderId="203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43" xfId="0" applyNumberFormat="1" applyFont="1" applyBorder="1" applyAlignment="1">
      <alignment horizontal="center" vertical="center"/>
    </xf>
    <xf numFmtId="1" fontId="6" fillId="0" borderId="371" xfId="0" applyNumberFormat="1" applyFont="1" applyBorder="1" applyAlignment="1">
      <alignment horizontal="center" vertical="center"/>
    </xf>
    <xf numFmtId="1" fontId="6" fillId="0" borderId="381" xfId="0" applyNumberFormat="1" applyFont="1" applyBorder="1" applyAlignment="1">
      <alignment horizontal="center" vertical="center"/>
    </xf>
    <xf numFmtId="1" fontId="6" fillId="0" borderId="1965" xfId="0" applyNumberFormat="1" applyFont="1" applyBorder="1" applyAlignment="1">
      <alignment horizontal="center" vertical="center"/>
    </xf>
    <xf numFmtId="1" fontId="6" fillId="0" borderId="1963" xfId="0" applyNumberFormat="1" applyFont="1" applyBorder="1" applyAlignment="1">
      <alignment horizontal="center" vertical="center"/>
    </xf>
    <xf numFmtId="1" fontId="6" fillId="0" borderId="1962" xfId="0" applyNumberFormat="1" applyFont="1" applyBorder="1" applyAlignment="1">
      <alignment horizontal="center" vertical="center" wrapText="1"/>
    </xf>
    <xf numFmtId="1" fontId="49" fillId="0" borderId="1641" xfId="0" applyNumberFormat="1" applyFont="1" applyBorder="1" applyAlignment="1" applyProtection="1">
      <alignment horizontal="center" vertical="center" wrapText="1"/>
      <protection hidden="1"/>
    </xf>
    <xf numFmtId="1" fontId="49" fillId="0" borderId="1678" xfId="0" applyNumberFormat="1" applyFont="1" applyBorder="1" applyAlignment="1" applyProtection="1">
      <alignment horizontal="center" vertical="center" wrapText="1"/>
      <protection hidden="1"/>
    </xf>
    <xf numFmtId="1" fontId="49" fillId="0" borderId="1639" xfId="0" applyNumberFormat="1" applyFont="1" applyBorder="1" applyAlignment="1" applyProtection="1">
      <alignment horizontal="center" vertical="center" wrapText="1"/>
      <protection hidden="1"/>
    </xf>
    <xf numFmtId="1" fontId="49" fillId="0" borderId="1761" xfId="0" applyNumberFormat="1" applyFont="1" applyBorder="1" applyAlignment="1" applyProtection="1">
      <alignment horizontal="center" vertical="center" wrapText="1"/>
      <protection hidden="1"/>
    </xf>
    <xf numFmtId="1" fontId="49" fillId="0" borderId="1701" xfId="0" applyNumberFormat="1" applyFont="1" applyBorder="1" applyAlignment="1" applyProtection="1">
      <alignment horizontal="center" vertical="center" wrapText="1"/>
      <protection hidden="1"/>
    </xf>
    <xf numFmtId="1" fontId="49" fillId="0" borderId="1744" xfId="0" applyNumberFormat="1" applyFont="1" applyBorder="1" applyAlignment="1" applyProtection="1">
      <alignment horizontal="center" vertical="center" wrapText="1"/>
      <protection hidden="1"/>
    </xf>
    <xf numFmtId="1" fontId="38" fillId="3" borderId="2445" xfId="0" applyNumberFormat="1" applyFont="1" applyFill="1" applyBorder="1" applyAlignment="1">
      <alignment horizontal="center" vertical="center" wrapText="1"/>
    </xf>
    <xf numFmtId="1" fontId="38" fillId="3" borderId="133" xfId="0" applyNumberFormat="1" applyFont="1" applyFill="1" applyBorder="1" applyAlignment="1">
      <alignment horizontal="center" vertical="center" wrapText="1"/>
    </xf>
    <xf numFmtId="1" fontId="6" fillId="14" borderId="2198" xfId="0" applyNumberFormat="1" applyFont="1" applyFill="1" applyBorder="1" applyAlignment="1">
      <alignment horizontal="center" vertical="center" wrapText="1"/>
    </xf>
    <xf numFmtId="1" fontId="6" fillId="14" borderId="2192" xfId="0" applyNumberFormat="1" applyFont="1" applyFill="1" applyBorder="1" applyAlignment="1">
      <alignment horizontal="center" vertical="center" wrapText="1"/>
    </xf>
    <xf numFmtId="1" fontId="6" fillId="14" borderId="2267" xfId="0" applyNumberFormat="1" applyFont="1" applyFill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/>
    </xf>
    <xf numFmtId="1" fontId="6" fillId="0" borderId="333" xfId="0" applyNumberFormat="1" applyFont="1" applyBorder="1" applyAlignment="1">
      <alignment horizontal="left" wrapText="1"/>
    </xf>
    <xf numFmtId="1" fontId="6" fillId="0" borderId="332" xfId="0" applyNumberFormat="1" applyFont="1" applyBorder="1" applyAlignment="1">
      <alignment horizontal="left" wrapText="1"/>
    </xf>
    <xf numFmtId="1" fontId="6" fillId="0" borderId="61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13" fillId="0" borderId="510" xfId="0" applyNumberFormat="1" applyFont="1" applyBorder="1" applyAlignment="1">
      <alignment horizontal="center" wrapText="1"/>
    </xf>
    <xf numFmtId="1" fontId="13" fillId="0" borderId="503" xfId="0" applyNumberFormat="1" applyFont="1" applyBorder="1" applyAlignment="1">
      <alignment horizontal="center" wrapText="1"/>
    </xf>
    <xf numFmtId="1" fontId="6" fillId="0" borderId="510" xfId="0" applyNumberFormat="1" applyFont="1" applyBorder="1" applyAlignment="1">
      <alignment horizontal="left" wrapText="1"/>
    </xf>
    <xf numFmtId="1" fontId="6" fillId="0" borderId="503" xfId="0" applyNumberFormat="1" applyFont="1" applyBorder="1" applyAlignment="1">
      <alignment horizontal="left" wrapText="1"/>
    </xf>
    <xf numFmtId="1" fontId="4" fillId="0" borderId="592" xfId="0" applyNumberFormat="1" applyFont="1" applyBorder="1"/>
    <xf numFmtId="1" fontId="4" fillId="0" borderId="175" xfId="0" applyNumberFormat="1" applyFont="1" applyBorder="1"/>
    <xf numFmtId="1" fontId="4" fillId="0" borderId="679" xfId="0" applyNumberFormat="1" applyFont="1" applyBorder="1"/>
    <xf numFmtId="1" fontId="6" fillId="0" borderId="966" xfId="28" applyNumberFormat="1" applyFont="1" applyBorder="1" applyAlignment="1">
      <alignment horizontal="center" wrapText="1"/>
    </xf>
    <xf numFmtId="1" fontId="6" fillId="0" borderId="961" xfId="28" applyNumberFormat="1" applyFont="1" applyBorder="1" applyAlignment="1">
      <alignment horizontal="center" wrapText="1"/>
    </xf>
    <xf numFmtId="1" fontId="6" fillId="0" borderId="956" xfId="28" applyNumberFormat="1" applyFont="1" applyBorder="1" applyAlignment="1">
      <alignment horizontal="center" vertical="center" wrapText="1"/>
    </xf>
    <xf numFmtId="1" fontId="6" fillId="0" borderId="896" xfId="28" applyNumberFormat="1" applyFont="1" applyBorder="1" applyAlignment="1">
      <alignment horizontal="center" vertical="center" wrapText="1"/>
    </xf>
    <xf numFmtId="1" fontId="4" fillId="0" borderId="240" xfId="28" applyNumberFormat="1" applyFont="1" applyBorder="1" applyAlignment="1">
      <alignment horizontal="left" wrapText="1"/>
    </xf>
    <xf numFmtId="1" fontId="6" fillId="0" borderId="241" xfId="28" applyNumberFormat="1" applyFont="1" applyBorder="1" applyAlignment="1">
      <alignment horizontal="center" vertical="center" wrapText="1"/>
    </xf>
    <xf numFmtId="1" fontId="6" fillId="0" borderId="68" xfId="28" applyNumberFormat="1" applyFont="1" applyBorder="1" applyAlignment="1">
      <alignment horizontal="center" vertical="center" wrapText="1"/>
    </xf>
    <xf numFmtId="1" fontId="6" fillId="0" borderId="177" xfId="28" applyNumberFormat="1" applyFont="1" applyBorder="1" applyAlignment="1">
      <alignment horizontal="center" vertical="center" wrapText="1"/>
    </xf>
    <xf numFmtId="1" fontId="6" fillId="0" borderId="242" xfId="28" applyNumberFormat="1" applyFont="1" applyBorder="1" applyAlignment="1">
      <alignment horizontal="center" vertical="center" wrapText="1"/>
    </xf>
    <xf numFmtId="1" fontId="6" fillId="0" borderId="239" xfId="28" applyNumberFormat="1" applyFont="1" applyBorder="1" applyAlignment="1">
      <alignment horizontal="center" vertical="center" wrapText="1"/>
    </xf>
    <xf numFmtId="1" fontId="6" fillId="0" borderId="444" xfId="28" applyNumberFormat="1" applyFont="1" applyBorder="1" applyAlignment="1">
      <alignment horizontal="center" vertical="center" wrapText="1"/>
    </xf>
    <xf numFmtId="1" fontId="6" fillId="0" borderId="456" xfId="28" applyNumberFormat="1" applyFont="1" applyBorder="1" applyAlignment="1">
      <alignment horizontal="center" vertical="center" wrapText="1"/>
    </xf>
    <xf numFmtId="1" fontId="6" fillId="0" borderId="442" xfId="28" applyNumberFormat="1" applyFont="1" applyBorder="1" applyAlignment="1">
      <alignment horizontal="center" vertical="center" wrapText="1"/>
    </xf>
    <xf numFmtId="1" fontId="6" fillId="0" borderId="500" xfId="28" applyNumberFormat="1" applyFont="1" applyBorder="1" applyAlignment="1">
      <alignment horizontal="center" vertical="center" wrapText="1"/>
    </xf>
    <xf numFmtId="1" fontId="6" fillId="0" borderId="544" xfId="28" applyNumberFormat="1" applyFont="1" applyBorder="1" applyAlignment="1">
      <alignment horizontal="center" vertical="center" wrapText="1"/>
    </xf>
    <xf numFmtId="1" fontId="49" fillId="0" borderId="1329" xfId="0" applyNumberFormat="1" applyFont="1" applyBorder="1" applyAlignment="1">
      <alignment horizontal="center" vertical="center" wrapText="1"/>
    </xf>
    <xf numFmtId="1" fontId="49" fillId="0" borderId="1293" xfId="0" applyNumberFormat="1" applyFont="1" applyBorder="1" applyAlignment="1">
      <alignment horizontal="center" vertical="center" wrapText="1"/>
    </xf>
    <xf numFmtId="1" fontId="49" fillId="0" borderId="1277" xfId="0" applyNumberFormat="1" applyFont="1" applyBorder="1" applyAlignment="1">
      <alignment horizontal="center" vertical="center" wrapText="1"/>
    </xf>
    <xf numFmtId="1" fontId="49" fillId="0" borderId="1292" xfId="0" applyNumberFormat="1" applyFont="1" applyBorder="1" applyAlignment="1">
      <alignment horizontal="center" vertical="center" wrapText="1"/>
    </xf>
    <xf numFmtId="1" fontId="49" fillId="0" borderId="1107" xfId="0" applyNumberFormat="1" applyFont="1" applyBorder="1" applyAlignment="1">
      <alignment horizontal="center" vertical="center" wrapText="1"/>
    </xf>
    <xf numFmtId="1" fontId="49" fillId="0" borderId="2417" xfId="0" applyNumberFormat="1" applyFont="1" applyBorder="1" applyAlignment="1">
      <alignment horizontal="center" vertical="center" wrapText="1"/>
    </xf>
    <xf numFmtId="1" fontId="49" fillId="3" borderId="2419" xfId="0" applyNumberFormat="1" applyFont="1" applyFill="1" applyBorder="1" applyAlignment="1">
      <alignment horizontal="center" vertical="center"/>
    </xf>
    <xf numFmtId="1" fontId="49" fillId="3" borderId="2416" xfId="0" applyNumberFormat="1" applyFont="1" applyFill="1" applyBorder="1" applyAlignment="1">
      <alignment horizontal="center" vertical="center"/>
    </xf>
    <xf numFmtId="1" fontId="6" fillId="3" borderId="242" xfId="0" applyNumberFormat="1" applyFont="1" applyFill="1" applyBorder="1" applyAlignment="1">
      <alignment horizontal="center" vertical="center" wrapText="1"/>
    </xf>
    <xf numFmtId="1" fontId="6" fillId="3" borderId="239" xfId="0" applyNumberFormat="1" applyFont="1" applyFill="1" applyBorder="1" applyAlignment="1">
      <alignment horizontal="center" vertical="center" wrapText="1"/>
    </xf>
    <xf numFmtId="1" fontId="4" fillId="3" borderId="1692" xfId="0" applyNumberFormat="1" applyFont="1" applyFill="1" applyBorder="1" applyAlignment="1">
      <alignment horizontal="center" vertical="center"/>
    </xf>
    <xf numFmtId="1" fontId="4" fillId="3" borderId="1691" xfId="0" applyNumberFormat="1" applyFont="1" applyFill="1" applyBorder="1" applyAlignment="1">
      <alignment horizontal="center" vertical="center"/>
    </xf>
    <xf numFmtId="1" fontId="6" fillId="3" borderId="1751" xfId="0" applyNumberFormat="1" applyFont="1" applyFill="1" applyBorder="1" applyAlignment="1">
      <alignment horizontal="center" vertical="center" wrapText="1"/>
    </xf>
    <xf numFmtId="1" fontId="6" fillId="3" borderId="1678" xfId="0" applyNumberFormat="1" applyFont="1" applyFill="1" applyBorder="1" applyAlignment="1">
      <alignment horizontal="center" vertical="center" wrapText="1"/>
    </xf>
    <xf numFmtId="1" fontId="6" fillId="3" borderId="811" xfId="0" applyNumberFormat="1" applyFont="1" applyFill="1" applyBorder="1" applyAlignment="1">
      <alignment horizontal="center" vertical="center" wrapText="1"/>
    </xf>
    <xf numFmtId="1" fontId="6" fillId="3" borderId="1677" xfId="0" applyNumberFormat="1" applyFont="1" applyFill="1" applyBorder="1" applyAlignment="1">
      <alignment horizontal="center" vertical="center" wrapText="1"/>
    </xf>
    <xf numFmtId="1" fontId="6" fillId="3" borderId="1735" xfId="0" applyNumberFormat="1" applyFont="1" applyFill="1" applyBorder="1" applyAlignment="1">
      <alignment horizontal="center" vertical="center" wrapText="1"/>
    </xf>
    <xf numFmtId="1" fontId="6" fillId="3" borderId="114" xfId="0" applyNumberFormat="1" applyFont="1" applyFill="1" applyBorder="1" applyAlignment="1">
      <alignment horizontal="center" vertical="center" wrapText="1"/>
    </xf>
    <xf numFmtId="1" fontId="6" fillId="3" borderId="1720" xfId="0" applyNumberFormat="1" applyFont="1" applyFill="1" applyBorder="1" applyAlignment="1">
      <alignment horizontal="center" vertical="center" wrapText="1"/>
    </xf>
    <xf numFmtId="1" fontId="4" fillId="3" borderId="2448" xfId="0" applyNumberFormat="1" applyFont="1" applyFill="1" applyBorder="1" applyAlignment="1">
      <alignment horizontal="center" vertical="center"/>
    </xf>
    <xf numFmtId="1" fontId="4" fillId="3" borderId="2465" xfId="0" applyNumberFormat="1" applyFont="1" applyFill="1" applyBorder="1" applyAlignment="1">
      <alignment horizontal="center" vertical="center"/>
    </xf>
    <xf numFmtId="1" fontId="4" fillId="3" borderId="2484" xfId="0" applyNumberFormat="1" applyFont="1" applyFill="1" applyBorder="1" applyAlignment="1">
      <alignment horizontal="center" vertical="center"/>
    </xf>
    <xf numFmtId="1" fontId="6" fillId="3" borderId="2475" xfId="0" applyNumberFormat="1" applyFont="1" applyFill="1" applyBorder="1" applyAlignment="1">
      <alignment horizontal="center" vertical="center" wrapText="1"/>
    </xf>
    <xf numFmtId="1" fontId="6" fillId="3" borderId="2470" xfId="0" applyNumberFormat="1" applyFont="1" applyFill="1" applyBorder="1" applyAlignment="1">
      <alignment horizontal="center" vertical="center" wrapText="1"/>
    </xf>
    <xf numFmtId="1" fontId="6" fillId="3" borderId="2469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/>
    </xf>
    <xf numFmtId="1" fontId="6" fillId="0" borderId="530" xfId="28" applyNumberFormat="1" applyFont="1" applyBorder="1" applyAlignment="1">
      <alignment horizontal="left"/>
    </xf>
    <xf numFmtId="1" fontId="6" fillId="0" borderId="439" xfId="28" applyNumberFormat="1" applyFont="1" applyBorder="1" applyAlignment="1">
      <alignment horizontal="left"/>
    </xf>
    <xf numFmtId="1" fontId="6" fillId="0" borderId="240" xfId="28" applyNumberFormat="1" applyFont="1" applyBorder="1" applyAlignment="1">
      <alignment horizontal="center" vertical="center" wrapText="1"/>
    </xf>
    <xf numFmtId="1" fontId="6" fillId="0" borderId="175" xfId="28" applyNumberFormat="1" applyFont="1" applyBorder="1" applyAlignment="1">
      <alignment horizontal="center" vertical="center" wrapText="1"/>
    </xf>
    <xf numFmtId="1" fontId="6" fillId="0" borderId="435" xfId="28" applyNumberFormat="1" applyFont="1" applyBorder="1" applyAlignment="1">
      <alignment horizontal="left" vertical="center"/>
    </xf>
    <xf numFmtId="1" fontId="6" fillId="0" borderId="544" xfId="28" applyNumberFormat="1" applyFont="1" applyBorder="1" applyAlignment="1">
      <alignment horizontal="left" vertical="center"/>
    </xf>
    <xf numFmtId="1" fontId="6" fillId="0" borderId="224" xfId="28" applyNumberFormat="1" applyFont="1" applyBorder="1" applyAlignment="1">
      <alignment horizontal="center" vertical="center" wrapText="1"/>
    </xf>
    <xf numFmtId="1" fontId="6" fillId="0" borderId="369" xfId="28" applyNumberFormat="1" applyFont="1" applyBorder="1" applyAlignment="1">
      <alignment horizontal="center" vertical="center" wrapText="1"/>
    </xf>
    <xf numFmtId="1" fontId="6" fillId="0" borderId="1466" xfId="28" applyNumberFormat="1" applyFont="1" applyBorder="1" applyAlignment="1">
      <alignment horizontal="left"/>
    </xf>
    <xf numFmtId="1" fontId="6" fillId="0" borderId="1465" xfId="28" applyNumberFormat="1" applyFont="1" applyBorder="1" applyAlignment="1">
      <alignment horizontal="left"/>
    </xf>
    <xf numFmtId="1" fontId="6" fillId="0" borderId="456" xfId="28" applyNumberFormat="1" applyFont="1" applyBorder="1" applyAlignment="1">
      <alignment horizontal="center" vertical="center"/>
    </xf>
    <xf numFmtId="1" fontId="6" fillId="0" borderId="442" xfId="28" applyNumberFormat="1" applyFont="1" applyBorder="1" applyAlignment="1">
      <alignment horizontal="center" vertical="center"/>
    </xf>
    <xf numFmtId="1" fontId="6" fillId="0" borderId="1440" xfId="28" applyNumberFormat="1" applyFont="1" applyBorder="1" applyAlignment="1">
      <alignment horizontal="center" vertical="center" wrapText="1"/>
    </xf>
    <xf numFmtId="1" fontId="6" fillId="0" borderId="1439" xfId="28" applyNumberFormat="1" applyFont="1" applyBorder="1" applyAlignment="1">
      <alignment horizontal="center" vertical="center" wrapText="1"/>
    </xf>
    <xf numFmtId="1" fontId="6" fillId="0" borderId="1442" xfId="28" applyNumberFormat="1" applyFont="1" applyBorder="1" applyAlignment="1">
      <alignment horizontal="center" vertical="center" wrapText="1"/>
    </xf>
    <xf numFmtId="1" fontId="6" fillId="3" borderId="1753" xfId="0" applyNumberFormat="1" applyFont="1" applyFill="1" applyBorder="1" applyAlignment="1">
      <alignment horizontal="center" vertical="center" wrapText="1"/>
    </xf>
    <xf numFmtId="1" fontId="6" fillId="3" borderId="1752" xfId="0" applyNumberFormat="1" applyFont="1" applyFill="1" applyBorder="1" applyAlignment="1">
      <alignment horizontal="center" vertical="center" wrapText="1"/>
    </xf>
    <xf numFmtId="1" fontId="6" fillId="3" borderId="784" xfId="0" applyNumberFormat="1" applyFont="1" applyFill="1" applyBorder="1" applyAlignment="1">
      <alignment horizontal="center" vertical="center" wrapText="1"/>
    </xf>
    <xf numFmtId="1" fontId="6" fillId="3" borderId="1718" xfId="0" applyNumberFormat="1" applyFont="1" applyFill="1" applyBorder="1" applyAlignment="1">
      <alignment horizontal="center" vertical="center" wrapText="1"/>
    </xf>
    <xf numFmtId="1" fontId="6" fillId="3" borderId="517" xfId="0" applyNumberFormat="1" applyFont="1" applyFill="1" applyBorder="1" applyAlignment="1">
      <alignment horizontal="center" vertical="center"/>
    </xf>
    <xf numFmtId="1" fontId="6" fillId="3" borderId="1678" xfId="0" applyNumberFormat="1" applyFont="1" applyFill="1" applyBorder="1" applyAlignment="1">
      <alignment horizontal="center" vertical="center"/>
    </xf>
    <xf numFmtId="1" fontId="32" fillId="0" borderId="2139" xfId="0" applyNumberFormat="1" applyFont="1" applyBorder="1" applyAlignment="1">
      <alignment horizontal="center" vertical="center"/>
    </xf>
    <xf numFmtId="1" fontId="32" fillId="3" borderId="2140" xfId="0" applyNumberFormat="1" applyFont="1" applyFill="1" applyBorder="1" applyAlignment="1">
      <alignment horizontal="center" vertical="center"/>
    </xf>
    <xf numFmtId="1" fontId="32" fillId="3" borderId="811" xfId="0" applyNumberFormat="1" applyFont="1" applyFill="1" applyBorder="1" applyAlignment="1">
      <alignment horizontal="center" vertical="center"/>
    </xf>
    <xf numFmtId="1" fontId="32" fillId="3" borderId="2139" xfId="0" applyNumberFormat="1" applyFont="1" applyFill="1" applyBorder="1" applyAlignment="1">
      <alignment horizontal="center" vertical="center"/>
    </xf>
    <xf numFmtId="1" fontId="32" fillId="3" borderId="877" xfId="0" applyNumberFormat="1" applyFont="1" applyFill="1" applyBorder="1" applyAlignment="1">
      <alignment horizontal="center" vertical="center"/>
    </xf>
    <xf numFmtId="1" fontId="32" fillId="3" borderId="740" xfId="0" applyNumberFormat="1" applyFont="1" applyFill="1" applyBorder="1" applyAlignment="1">
      <alignment horizontal="center" vertical="center"/>
    </xf>
    <xf numFmtId="1" fontId="32" fillId="3" borderId="741" xfId="0" applyNumberFormat="1" applyFont="1" applyFill="1" applyBorder="1" applyAlignment="1">
      <alignment horizontal="center" vertical="center"/>
    </xf>
    <xf numFmtId="1" fontId="32" fillId="0" borderId="2186" xfId="0" applyNumberFormat="1" applyFont="1" applyBorder="1" applyAlignment="1">
      <alignment horizontal="center" vertical="center"/>
    </xf>
    <xf numFmtId="1" fontId="32" fillId="0" borderId="1701" xfId="0" applyNumberFormat="1" applyFont="1" applyBorder="1" applyAlignment="1">
      <alignment horizontal="center" vertical="center" wrapText="1"/>
    </xf>
    <xf numFmtId="1" fontId="32" fillId="0" borderId="1733" xfId="0" applyNumberFormat="1" applyFont="1" applyBorder="1" applyAlignment="1">
      <alignment horizontal="center" vertical="center" wrapText="1"/>
    </xf>
    <xf numFmtId="1" fontId="32" fillId="0" borderId="2197" xfId="0" applyNumberFormat="1" applyFont="1" applyBorder="1" applyAlignment="1">
      <alignment horizontal="center" vertical="center" wrapText="1"/>
    </xf>
    <xf numFmtId="1" fontId="32" fillId="0" borderId="2218" xfId="0" applyNumberFormat="1" applyFont="1" applyBorder="1" applyAlignment="1">
      <alignment horizontal="center" vertical="center" wrapText="1"/>
    </xf>
    <xf numFmtId="1" fontId="32" fillId="0" borderId="831" xfId="0" applyNumberFormat="1" applyFont="1" applyBorder="1" applyAlignment="1">
      <alignment vertical="center" wrapText="1"/>
    </xf>
    <xf numFmtId="1" fontId="32" fillId="0" borderId="828" xfId="0" applyNumberFormat="1" applyFont="1" applyBorder="1" applyAlignment="1">
      <alignment vertical="center" wrapText="1"/>
    </xf>
    <xf numFmtId="1" fontId="32" fillId="0" borderId="831" xfId="0" applyNumberFormat="1" applyFont="1" applyBorder="1" applyAlignment="1">
      <alignment horizontal="left" vertical="center"/>
    </xf>
    <xf numFmtId="1" fontId="32" fillId="0" borderId="828" xfId="0" applyNumberFormat="1" applyFont="1" applyBorder="1" applyAlignment="1">
      <alignment horizontal="left" vertical="center"/>
    </xf>
    <xf numFmtId="1" fontId="32" fillId="0" borderId="2198" xfId="0" applyNumberFormat="1" applyFont="1" applyBorder="1" applyAlignment="1">
      <alignment horizontal="center"/>
    </xf>
    <xf numFmtId="1" fontId="32" fillId="0" borderId="2187" xfId="0" applyNumberFormat="1" applyFont="1" applyBorder="1" applyAlignment="1">
      <alignment horizontal="center"/>
    </xf>
    <xf numFmtId="1" fontId="32" fillId="0" borderId="2150" xfId="0" applyNumberFormat="1" applyFont="1" applyBorder="1" applyAlignment="1">
      <alignment horizontal="center" vertical="center"/>
    </xf>
    <xf numFmtId="1" fontId="32" fillId="0" borderId="811" xfId="0" applyNumberFormat="1" applyFont="1" applyBorder="1" applyAlignment="1">
      <alignment horizontal="center" vertical="center"/>
    </xf>
    <xf numFmtId="1" fontId="32" fillId="0" borderId="2140" xfId="0" applyNumberFormat="1" applyFont="1" applyBorder="1" applyAlignment="1">
      <alignment horizontal="center" vertical="center"/>
    </xf>
    <xf numFmtId="1" fontId="32" fillId="0" borderId="2112" xfId="0" applyNumberFormat="1" applyFont="1" applyBorder="1" applyAlignment="1">
      <alignment horizontal="center" vertical="center"/>
    </xf>
    <xf numFmtId="1" fontId="32" fillId="0" borderId="2143" xfId="0" applyNumberFormat="1" applyFont="1" applyBorder="1" applyAlignment="1">
      <alignment horizontal="center" vertical="center"/>
    </xf>
    <xf numFmtId="1" fontId="32" fillId="0" borderId="1690" xfId="0" applyNumberFormat="1" applyFont="1" applyBorder="1" applyAlignment="1">
      <alignment horizontal="left" vertical="center"/>
    </xf>
    <xf numFmtId="1" fontId="32" fillId="0" borderId="1683" xfId="0" applyNumberFormat="1" applyFont="1" applyBorder="1" applyAlignment="1">
      <alignment horizontal="left" vertical="center"/>
    </xf>
    <xf numFmtId="1" fontId="32" fillId="0" borderId="1874" xfId="0" applyNumberFormat="1" applyFont="1" applyBorder="1" applyAlignment="1">
      <alignment horizontal="left" vertical="center"/>
    </xf>
    <xf numFmtId="1" fontId="32" fillId="0" borderId="2161" xfId="0" applyNumberFormat="1" applyFont="1" applyBorder="1" applyAlignment="1">
      <alignment horizontal="left" vertical="center"/>
    </xf>
    <xf numFmtId="1" fontId="32" fillId="0" borderId="2122" xfId="0" applyNumberFormat="1" applyFont="1" applyBorder="1" applyAlignment="1">
      <alignment horizontal="center" vertical="center"/>
    </xf>
    <xf numFmtId="1" fontId="32" fillId="0" borderId="877" xfId="0" applyNumberFormat="1" applyFont="1" applyBorder="1" applyAlignment="1">
      <alignment horizontal="center" vertical="center"/>
    </xf>
    <xf numFmtId="1" fontId="32" fillId="0" borderId="740" xfId="0" applyNumberFormat="1" applyFont="1" applyBorder="1" applyAlignment="1">
      <alignment horizontal="center" vertical="center"/>
    </xf>
    <xf numFmtId="1" fontId="63" fillId="0" borderId="2139" xfId="25" applyNumberFormat="1" applyFont="1" applyBorder="1" applyAlignment="1">
      <alignment horizontal="center" vertical="center" wrapText="1"/>
    </xf>
    <xf numFmtId="1" fontId="63" fillId="0" borderId="517" xfId="25" applyNumberFormat="1" applyFont="1" applyBorder="1" applyAlignment="1">
      <alignment horizontal="center" vertical="center" wrapText="1"/>
    </xf>
    <xf numFmtId="1" fontId="63" fillId="0" borderId="741" xfId="25" applyNumberFormat="1" applyFont="1" applyBorder="1" applyAlignment="1">
      <alignment horizontal="center" vertical="center" wrapText="1"/>
    </xf>
    <xf numFmtId="1" fontId="32" fillId="0" borderId="2140" xfId="25" applyNumberFormat="1" applyFont="1" applyBorder="1" applyAlignment="1">
      <alignment horizontal="center" vertical="center" wrapText="1"/>
    </xf>
    <xf numFmtId="1" fontId="32" fillId="0" borderId="811" xfId="25" applyNumberFormat="1" applyFont="1" applyBorder="1" applyAlignment="1">
      <alignment horizontal="center" vertical="center" wrapText="1"/>
    </xf>
    <xf numFmtId="1" fontId="32" fillId="0" borderId="2155" xfId="25" applyNumberFormat="1" applyFont="1" applyBorder="1" applyAlignment="1">
      <alignment horizontal="center" vertical="center" wrapText="1"/>
    </xf>
    <xf numFmtId="1" fontId="32" fillId="0" borderId="0" xfId="25" applyNumberFormat="1" applyFont="1" applyAlignment="1">
      <alignment horizontal="center" vertical="center" wrapText="1"/>
    </xf>
    <xf numFmtId="1" fontId="32" fillId="0" borderId="877" xfId="25" applyNumberFormat="1" applyFont="1" applyBorder="1" applyAlignment="1">
      <alignment horizontal="center" vertical="center" wrapText="1"/>
    </xf>
    <xf numFmtId="1" fontId="32" fillId="0" borderId="740" xfId="25" applyNumberFormat="1" applyFont="1" applyBorder="1" applyAlignment="1">
      <alignment horizontal="center" vertical="center" wrapText="1"/>
    </xf>
    <xf numFmtId="1" fontId="32" fillId="0" borderId="2155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1" fontId="32" fillId="3" borderId="2142" xfId="0" applyNumberFormat="1" applyFont="1" applyFill="1" applyBorder="1" applyAlignment="1">
      <alignment horizontal="center" vertical="center"/>
    </xf>
    <xf numFmtId="1" fontId="32" fillId="3" borderId="1670" xfId="0" applyNumberFormat="1" applyFont="1" applyFill="1" applyBorder="1" applyAlignment="1">
      <alignment horizontal="center" vertical="center"/>
    </xf>
    <xf numFmtId="1" fontId="32" fillId="3" borderId="2156" xfId="0" applyNumberFormat="1" applyFont="1" applyFill="1" applyBorder="1" applyAlignment="1">
      <alignment horizontal="center" vertical="center"/>
    </xf>
    <xf numFmtId="1" fontId="32" fillId="3" borderId="2112" xfId="0" applyNumberFormat="1" applyFont="1" applyFill="1" applyBorder="1" applyAlignment="1">
      <alignment horizontal="center" vertical="center"/>
    </xf>
    <xf numFmtId="1" fontId="32" fillId="3" borderId="2150" xfId="0" applyNumberFormat="1" applyFont="1" applyFill="1" applyBorder="1" applyAlignment="1">
      <alignment horizontal="center" vertical="center"/>
    </xf>
    <xf numFmtId="1" fontId="32" fillId="3" borderId="2192" xfId="0" applyNumberFormat="1" applyFont="1" applyFill="1" applyBorder="1" applyAlignment="1">
      <alignment horizontal="center" vertical="center"/>
    </xf>
    <xf numFmtId="1" fontId="32" fillId="0" borderId="2112" xfId="0" applyNumberFormat="1" applyFont="1" applyBorder="1" applyAlignment="1">
      <alignment horizontal="center" vertical="center" wrapText="1"/>
    </xf>
    <xf numFmtId="1" fontId="32" fillId="0" borderId="2192" xfId="0" applyNumberFormat="1" applyFont="1" applyBorder="1" applyAlignment="1">
      <alignment horizontal="center" vertical="center" wrapText="1"/>
    </xf>
    <xf numFmtId="1" fontId="32" fillId="3" borderId="2112" xfId="0" applyNumberFormat="1" applyFont="1" applyFill="1" applyBorder="1" applyAlignment="1">
      <alignment horizontal="center"/>
    </xf>
    <xf numFmtId="1" fontId="32" fillId="3" borderId="2143" xfId="0" applyNumberFormat="1" applyFont="1" applyFill="1" applyBorder="1" applyAlignment="1">
      <alignment horizontal="center"/>
    </xf>
    <xf numFmtId="1" fontId="51" fillId="0" borderId="2150" xfId="0" applyNumberFormat="1" applyFont="1" applyBorder="1" applyAlignment="1">
      <alignment horizontal="left"/>
    </xf>
    <xf numFmtId="1" fontId="51" fillId="0" borderId="811" xfId="0" applyNumberFormat="1" applyFont="1" applyBorder="1" applyAlignment="1">
      <alignment horizontal="left"/>
    </xf>
    <xf numFmtId="1" fontId="49" fillId="3" borderId="811" xfId="0" applyNumberFormat="1" applyFont="1" applyFill="1" applyBorder="1" applyAlignment="1">
      <alignment horizontal="center" vertical="center"/>
    </xf>
    <xf numFmtId="1" fontId="49" fillId="3" borderId="2139" xfId="0" applyNumberFormat="1" applyFont="1" applyFill="1" applyBorder="1" applyAlignment="1">
      <alignment horizontal="center" vertical="center"/>
    </xf>
    <xf numFmtId="1" fontId="49" fillId="3" borderId="0" xfId="0" applyNumberFormat="1" applyFont="1" applyFill="1" applyAlignment="1">
      <alignment horizontal="center" vertical="center"/>
    </xf>
    <xf numFmtId="1" fontId="49" fillId="3" borderId="517" xfId="0" applyNumberFormat="1" applyFont="1" applyFill="1" applyBorder="1" applyAlignment="1">
      <alignment horizontal="center" vertical="center"/>
    </xf>
    <xf numFmtId="1" fontId="49" fillId="3" borderId="740" xfId="0" applyNumberFormat="1" applyFont="1" applyFill="1" applyBorder="1" applyAlignment="1">
      <alignment horizontal="center" vertical="center"/>
    </xf>
    <xf numFmtId="1" fontId="49" fillId="3" borderId="741" xfId="0" applyNumberFormat="1" applyFont="1" applyFill="1" applyBorder="1" applyAlignment="1">
      <alignment horizontal="center" vertical="center"/>
    </xf>
    <xf numFmtId="1" fontId="49" fillId="3" borderId="2140" xfId="0" applyNumberFormat="1" applyFont="1" applyFill="1" applyBorder="1" applyAlignment="1">
      <alignment horizontal="center" vertical="center"/>
    </xf>
    <xf numFmtId="1" fontId="49" fillId="3" borderId="877" xfId="0" applyNumberFormat="1" applyFont="1" applyFill="1" applyBorder="1" applyAlignment="1">
      <alignment horizontal="center" vertical="center"/>
    </xf>
    <xf numFmtId="1" fontId="49" fillId="0" borderId="2112" xfId="0" applyNumberFormat="1" applyFont="1" applyBorder="1" applyAlignment="1" applyProtection="1">
      <alignment horizontal="center"/>
      <protection locked="0"/>
    </xf>
    <xf numFmtId="1" fontId="49" fillId="0" borderId="2150" xfId="0" applyNumberFormat="1" applyFont="1" applyBorder="1" applyAlignment="1" applyProtection="1">
      <alignment horizontal="center"/>
      <protection locked="0"/>
    </xf>
    <xf numFmtId="1" fontId="49" fillId="0" borderId="2143" xfId="0" applyNumberFormat="1" applyFont="1" applyBorder="1" applyAlignment="1" applyProtection="1">
      <alignment horizontal="center"/>
      <protection locked="0"/>
    </xf>
    <xf numFmtId="1" fontId="49" fillId="3" borderId="2150" xfId="0" applyNumberFormat="1" applyFont="1" applyFill="1" applyBorder="1" applyAlignment="1">
      <alignment horizontal="center"/>
    </xf>
    <xf numFmtId="1" fontId="49" fillId="3" borderId="2143" xfId="0" applyNumberFormat="1" applyFont="1" applyFill="1" applyBorder="1" applyAlignment="1">
      <alignment horizontal="center"/>
    </xf>
    <xf numFmtId="1" fontId="32" fillId="0" borderId="2139" xfId="0" applyNumberFormat="1" applyFont="1" applyBorder="1" applyAlignment="1">
      <alignment horizontal="center" vertical="center" wrapText="1"/>
    </xf>
    <xf numFmtId="1" fontId="32" fillId="3" borderId="2122" xfId="0" applyNumberFormat="1" applyFont="1" applyFill="1" applyBorder="1" applyAlignment="1">
      <alignment horizontal="center" vertical="center"/>
    </xf>
    <xf numFmtId="1" fontId="32" fillId="3" borderId="2142" xfId="0" applyNumberFormat="1" applyFont="1" applyFill="1" applyBorder="1" applyAlignment="1">
      <alignment horizontal="center" vertical="center" wrapText="1"/>
    </xf>
    <xf numFmtId="1" fontId="32" fillId="3" borderId="1670" xfId="0" applyNumberFormat="1" applyFont="1" applyFill="1" applyBorder="1" applyAlignment="1">
      <alignment horizontal="center" vertical="center" wrapText="1"/>
    </xf>
    <xf numFmtId="1" fontId="32" fillId="3" borderId="2156" xfId="0" applyNumberFormat="1" applyFont="1" applyFill="1" applyBorder="1" applyAlignment="1">
      <alignment horizontal="center" vertical="center" wrapText="1"/>
    </xf>
    <xf numFmtId="1" fontId="62" fillId="0" borderId="2150" xfId="0" applyNumberFormat="1" applyFont="1" applyBorder="1" applyAlignment="1">
      <alignment horizontal="left"/>
    </xf>
    <xf numFmtId="1" fontId="62" fillId="0" borderId="740" xfId="0" applyNumberFormat="1" applyFont="1" applyBorder="1" applyAlignment="1">
      <alignment horizontal="left"/>
    </xf>
    <xf numFmtId="1" fontId="32" fillId="3" borderId="1858" xfId="0" applyNumberFormat="1" applyFont="1" applyFill="1" applyBorder="1" applyAlignment="1">
      <alignment horizontal="left" vertical="center" wrapText="1"/>
    </xf>
    <xf numFmtId="1" fontId="32" fillId="3" borderId="1699" xfId="0" applyNumberFormat="1" applyFont="1" applyFill="1" applyBorder="1" applyAlignment="1">
      <alignment horizontal="left" vertical="center" wrapText="1"/>
    </xf>
    <xf numFmtId="1" fontId="32" fillId="3" borderId="1868" xfId="0" applyNumberFormat="1" applyFont="1" applyFill="1" applyBorder="1" applyAlignment="1">
      <alignment horizontal="left" vertical="center" wrapText="1"/>
    </xf>
    <xf numFmtId="1" fontId="32" fillId="3" borderId="2139" xfId="0" applyNumberFormat="1" applyFont="1" applyFill="1" applyBorder="1" applyAlignment="1">
      <alignment horizontal="center" vertical="center" wrapText="1"/>
    </xf>
    <xf numFmtId="1" fontId="32" fillId="3" borderId="741" xfId="0" applyNumberFormat="1" applyFont="1" applyFill="1" applyBorder="1" applyAlignment="1">
      <alignment horizontal="center" vertical="center" wrapText="1"/>
    </xf>
    <xf numFmtId="1" fontId="32" fillId="3" borderId="2112" xfId="0" applyNumberFormat="1" applyFont="1" applyFill="1" applyBorder="1" applyAlignment="1">
      <alignment horizontal="center" vertical="center" wrapText="1"/>
    </xf>
    <xf numFmtId="1" fontId="32" fillId="3" borderId="2143" xfId="0" applyNumberFormat="1" applyFont="1" applyFill="1" applyBorder="1" applyAlignment="1">
      <alignment horizontal="center" vertical="center" wrapText="1"/>
    </xf>
    <xf numFmtId="1" fontId="32" fillId="3" borderId="2143" xfId="0" applyNumberFormat="1" applyFont="1" applyFill="1" applyBorder="1" applyAlignment="1">
      <alignment horizontal="center" vertical="center"/>
    </xf>
    <xf numFmtId="1" fontId="32" fillId="0" borderId="2143" xfId="0" applyNumberFormat="1" applyFont="1" applyBorder="1" applyAlignment="1">
      <alignment horizontal="center" vertical="center" wrapText="1"/>
    </xf>
    <xf numFmtId="1" fontId="32" fillId="3" borderId="2155" xfId="0" applyNumberFormat="1" applyFont="1" applyFill="1" applyBorder="1" applyAlignment="1">
      <alignment horizontal="center" vertical="center"/>
    </xf>
    <xf numFmtId="1" fontId="32" fillId="3" borderId="0" xfId="0" applyNumberFormat="1" applyFont="1" applyFill="1" applyAlignment="1">
      <alignment horizontal="center" vertical="center"/>
    </xf>
    <xf numFmtId="1" fontId="32" fillId="3" borderId="517" xfId="0" applyNumberFormat="1" applyFont="1" applyFill="1" applyBorder="1" applyAlignment="1">
      <alignment horizontal="center" vertical="center"/>
    </xf>
    <xf numFmtId="1" fontId="32" fillId="3" borderId="2150" xfId="0" applyNumberFormat="1" applyFont="1" applyFill="1" applyBorder="1" applyAlignment="1">
      <alignment horizontal="center"/>
    </xf>
    <xf numFmtId="1" fontId="32" fillId="3" borderId="2151" xfId="0" applyNumberFormat="1" applyFont="1" applyFill="1" applyBorder="1" applyAlignment="1">
      <alignment horizontal="center"/>
    </xf>
    <xf numFmtId="1" fontId="32" fillId="0" borderId="2140" xfId="0" applyNumberFormat="1" applyFont="1" applyBorder="1" applyAlignment="1">
      <alignment horizontal="left" vertical="center" wrapText="1"/>
    </xf>
    <xf numFmtId="1" fontId="32" fillId="0" borderId="877" xfId="0" applyNumberFormat="1" applyFont="1" applyBorder="1" applyAlignment="1">
      <alignment horizontal="left" vertical="center" wrapText="1"/>
    </xf>
    <xf numFmtId="1" fontId="32" fillId="0" borderId="1664" xfId="0" applyNumberFormat="1" applyFont="1" applyBorder="1" applyAlignment="1">
      <alignment horizontal="left" vertical="center"/>
    </xf>
    <xf numFmtId="1" fontId="32" fillId="0" borderId="1445" xfId="0" applyNumberFormat="1" applyFont="1" applyBorder="1" applyAlignment="1">
      <alignment horizontal="left" vertical="center"/>
    </xf>
    <xf numFmtId="1" fontId="32" fillId="0" borderId="933" xfId="0" applyNumberFormat="1" applyFont="1" applyBorder="1" applyAlignment="1">
      <alignment horizontal="left" vertical="center"/>
    </xf>
    <xf numFmtId="1" fontId="32" fillId="0" borderId="933" xfId="0" applyNumberFormat="1" applyFont="1" applyBorder="1" applyAlignment="1">
      <alignment horizontal="left" vertical="center" wrapText="1"/>
    </xf>
    <xf numFmtId="1" fontId="32" fillId="0" borderId="1683" xfId="0" applyNumberFormat="1" applyFont="1" applyBorder="1" applyAlignment="1">
      <alignment horizontal="left" vertical="center" wrapText="1"/>
    </xf>
    <xf numFmtId="1" fontId="32" fillId="0" borderId="2142" xfId="0" applyNumberFormat="1" applyFont="1" applyBorder="1" applyAlignment="1">
      <alignment horizontal="left" vertical="center" wrapText="1"/>
    </xf>
    <xf numFmtId="1" fontId="32" fillId="0" borderId="1670" xfId="0" applyNumberFormat="1" applyFont="1" applyBorder="1" applyAlignment="1">
      <alignment horizontal="left" vertical="center" wrapText="1"/>
    </xf>
    <xf numFmtId="1" fontId="32" fillId="0" borderId="2142" xfId="0" applyNumberFormat="1" applyFont="1" applyBorder="1" applyAlignment="1">
      <alignment horizontal="left" vertical="center"/>
    </xf>
    <xf numFmtId="1" fontId="32" fillId="0" borderId="1670" xfId="0" applyNumberFormat="1" applyFont="1" applyBorder="1" applyAlignment="1">
      <alignment horizontal="left" vertical="center"/>
    </xf>
    <xf numFmtId="1" fontId="32" fillId="0" borderId="2156" xfId="0" applyNumberFormat="1" applyFont="1" applyBorder="1" applyAlignment="1">
      <alignment horizontal="left" vertical="center"/>
    </xf>
    <xf numFmtId="1" fontId="32" fillId="3" borderId="2151" xfId="0" applyNumberFormat="1" applyFont="1" applyFill="1" applyBorder="1" applyAlignment="1">
      <alignment horizontal="center" vertical="center"/>
    </xf>
    <xf numFmtId="1" fontId="32" fillId="0" borderId="1734" xfId="0" applyNumberFormat="1" applyFont="1" applyBorder="1" applyAlignment="1">
      <alignment horizontal="center" vertical="center"/>
    </xf>
    <xf numFmtId="1" fontId="32" fillId="0" borderId="902" xfId="0" applyNumberFormat="1" applyFont="1" applyBorder="1" applyAlignment="1">
      <alignment horizontal="center" vertical="center"/>
    </xf>
    <xf numFmtId="1" fontId="32" fillId="0" borderId="2142" xfId="0" applyNumberFormat="1" applyFont="1" applyBorder="1" applyAlignment="1">
      <alignment horizontal="center" vertical="center" wrapText="1"/>
    </xf>
    <xf numFmtId="1" fontId="32" fillId="0" borderId="1670" xfId="0" applyNumberFormat="1" applyFont="1" applyBorder="1" applyAlignment="1">
      <alignment horizontal="center" vertical="center" wrapText="1"/>
    </xf>
    <xf numFmtId="1" fontId="32" fillId="0" borderId="2156" xfId="0" applyNumberFormat="1" applyFont="1" applyBorder="1" applyAlignment="1">
      <alignment horizontal="center" vertical="center" wrapText="1"/>
    </xf>
    <xf numFmtId="1" fontId="32" fillId="0" borderId="2146" xfId="0" applyNumberFormat="1" applyFont="1" applyBorder="1" applyAlignment="1">
      <alignment horizontal="center" vertical="center" wrapText="1"/>
    </xf>
    <xf numFmtId="1" fontId="32" fillId="0" borderId="133" xfId="0" applyNumberFormat="1" applyFont="1" applyBorder="1" applyAlignment="1">
      <alignment horizontal="center" vertical="center" wrapText="1"/>
    </xf>
    <xf numFmtId="1" fontId="32" fillId="0" borderId="1843" xfId="0" applyNumberFormat="1" applyFont="1" applyBorder="1" applyAlignment="1">
      <alignment horizontal="center" vertical="center" wrapText="1"/>
    </xf>
    <xf numFmtId="1" fontId="32" fillId="0" borderId="2151" xfId="0" applyNumberFormat="1" applyFont="1" applyBorder="1" applyAlignment="1">
      <alignment horizontal="center" vertical="center"/>
    </xf>
    <xf numFmtId="0" fontId="0" fillId="0" borderId="1858" xfId="0" applyBorder="1" applyAlignment="1">
      <alignment horizontal="center" vertical="center"/>
    </xf>
    <xf numFmtId="0" fontId="0" fillId="0" borderId="1868" xfId="0" applyBorder="1" applyAlignment="1">
      <alignment horizontal="center" vertical="center"/>
    </xf>
    <xf numFmtId="0" fontId="0" fillId="0" borderId="1671" xfId="0" applyBorder="1" applyAlignment="1">
      <alignment horizontal="center" vertical="center"/>
    </xf>
    <xf numFmtId="1" fontId="49" fillId="0" borderId="2142" xfId="0" applyNumberFormat="1" applyFont="1" applyBorder="1" applyAlignment="1">
      <alignment horizontal="center" vertical="center" wrapText="1"/>
    </xf>
    <xf numFmtId="1" fontId="49" fillId="0" borderId="1670" xfId="0" applyNumberFormat="1" applyFont="1" applyBorder="1" applyAlignment="1">
      <alignment horizontal="center" vertical="center" wrapText="1"/>
    </xf>
    <xf numFmtId="1" fontId="49" fillId="0" borderId="2156" xfId="0" applyNumberFormat="1" applyFont="1" applyBorder="1" applyAlignment="1">
      <alignment horizontal="center" vertical="center" wrapText="1"/>
    </xf>
    <xf numFmtId="1" fontId="32" fillId="0" borderId="1858" xfId="0" applyNumberFormat="1" applyFont="1" applyBorder="1" applyAlignment="1">
      <alignment horizontal="center" vertical="center"/>
    </xf>
    <xf numFmtId="1" fontId="32" fillId="0" borderId="1699" xfId="0" applyNumberFormat="1" applyFont="1" applyBorder="1" applyAlignment="1">
      <alignment horizontal="center" vertical="center"/>
    </xf>
    <xf numFmtId="1" fontId="32" fillId="0" borderId="1868" xfId="0" applyNumberFormat="1" applyFont="1" applyBorder="1" applyAlignment="1">
      <alignment horizontal="center" vertical="center"/>
    </xf>
    <xf numFmtId="0" fontId="0" fillId="0" borderId="2122" xfId="0" applyBorder="1" applyAlignment="1">
      <alignment horizontal="center" vertical="center" wrapText="1"/>
    </xf>
    <xf numFmtId="1" fontId="32" fillId="0" borderId="1858" xfId="0" applyNumberFormat="1" applyFont="1" applyBorder="1" applyAlignment="1">
      <alignment horizontal="center" vertical="center" wrapText="1"/>
    </xf>
    <xf numFmtId="1" fontId="32" fillId="0" borderId="1868" xfId="0" applyNumberFormat="1" applyFont="1" applyBorder="1" applyAlignment="1">
      <alignment horizontal="center" vertical="center" wrapText="1"/>
    </xf>
    <xf numFmtId="1" fontId="32" fillId="0" borderId="1594" xfId="0" applyNumberFormat="1" applyFont="1" applyBorder="1" applyAlignment="1">
      <alignment horizontal="center" vertical="center" wrapText="1"/>
    </xf>
    <xf numFmtId="1" fontId="32" fillId="0" borderId="2223" xfId="0" applyNumberFormat="1" applyFont="1" applyBorder="1" applyAlignment="1">
      <alignment horizontal="center" vertical="center" wrapText="1"/>
    </xf>
    <xf numFmtId="1" fontId="32" fillId="0" borderId="2112" xfId="0" applyNumberFormat="1" applyFont="1" applyBorder="1" applyAlignment="1">
      <alignment horizontal="center"/>
    </xf>
    <xf numFmtId="1" fontId="32" fillId="0" borderId="2150" xfId="0" applyNumberFormat="1" applyFont="1" applyBorder="1" applyAlignment="1">
      <alignment horizontal="center"/>
    </xf>
    <xf numFmtId="1" fontId="32" fillId="0" borderId="2151" xfId="0" applyNumberFormat="1" applyFont="1" applyBorder="1" applyAlignment="1">
      <alignment horizontal="center"/>
    </xf>
    <xf numFmtId="1" fontId="32" fillId="0" borderId="2163" xfId="25" quotePrefix="1" applyNumberFormat="1" applyFont="1" applyBorder="1" applyAlignment="1" applyProtection="1">
      <alignment horizontal="center" vertical="center"/>
      <protection hidden="1"/>
    </xf>
    <xf numFmtId="1" fontId="32" fillId="0" borderId="2139" xfId="25" quotePrefix="1" applyNumberFormat="1" applyFont="1" applyBorder="1" applyAlignment="1" applyProtection="1">
      <alignment horizontal="center" vertical="center"/>
      <protection hidden="1"/>
    </xf>
    <xf numFmtId="1" fontId="32" fillId="0" borderId="2164" xfId="25" quotePrefix="1" applyNumberFormat="1" applyFont="1" applyBorder="1" applyAlignment="1" applyProtection="1">
      <alignment horizontal="center" vertical="center"/>
      <protection hidden="1"/>
    </xf>
    <xf numFmtId="1" fontId="32" fillId="0" borderId="741" xfId="25" quotePrefix="1" applyNumberFormat="1" applyFont="1" applyBorder="1" applyAlignment="1" applyProtection="1">
      <alignment horizontal="center" vertical="center"/>
      <protection hidden="1"/>
    </xf>
    <xf numFmtId="1" fontId="32" fillId="0" borderId="2141" xfId="25" applyNumberFormat="1" applyFont="1" applyBorder="1" applyAlignment="1" applyProtection="1">
      <alignment horizontal="center" vertical="center"/>
      <protection hidden="1"/>
    </xf>
    <xf numFmtId="1" fontId="32" fillId="0" borderId="901" xfId="25" applyNumberFormat="1" applyFont="1" applyBorder="1" applyAlignment="1" applyProtection="1">
      <alignment horizontal="center" vertical="center"/>
      <protection hidden="1"/>
    </xf>
    <xf numFmtId="1" fontId="32" fillId="0" borderId="2145" xfId="25" applyNumberFormat="1" applyFont="1" applyBorder="1" applyAlignment="1" applyProtection="1">
      <alignment horizontal="center" vertical="center"/>
      <protection hidden="1"/>
    </xf>
    <xf numFmtId="1" fontId="32" fillId="0" borderId="1854" xfId="25" applyNumberFormat="1" applyFont="1" applyBorder="1" applyAlignment="1" applyProtection="1">
      <alignment horizontal="center" vertical="center"/>
      <protection hidden="1"/>
    </xf>
    <xf numFmtId="1" fontId="6" fillId="0" borderId="1293" xfId="0" applyNumberFormat="1" applyFont="1" applyBorder="1" applyAlignment="1">
      <alignment horizontal="center" vertical="center"/>
    </xf>
    <xf numFmtId="1" fontId="6" fillId="0" borderId="1616" xfId="0" applyNumberFormat="1" applyFont="1" applyBorder="1" applyAlignment="1">
      <alignment horizontal="center" vertical="center"/>
    </xf>
    <xf numFmtId="1" fontId="49" fillId="0" borderId="1701" xfId="0" applyNumberFormat="1" applyFont="1" applyBorder="1" applyAlignment="1">
      <alignment horizontal="center" vertical="center" wrapText="1"/>
    </xf>
    <xf numFmtId="1" fontId="49" fillId="0" borderId="1715" xfId="0" applyNumberFormat="1" applyFont="1" applyBorder="1" applyAlignment="1">
      <alignment horizontal="center" vertical="center" wrapText="1"/>
    </xf>
    <xf numFmtId="1" fontId="6" fillId="3" borderId="904" xfId="0" applyNumberFormat="1" applyFont="1" applyFill="1" applyBorder="1" applyAlignment="1">
      <alignment horizontal="center" vertical="center" wrapText="1"/>
    </xf>
    <xf numFmtId="1" fontId="6" fillId="3" borderId="1701" xfId="0" applyNumberFormat="1" applyFont="1" applyFill="1" applyBorder="1" applyAlignment="1">
      <alignment horizontal="center" vertical="center" wrapText="1"/>
    </xf>
    <xf numFmtId="1" fontId="6" fillId="3" borderId="1715" xfId="0" applyNumberFormat="1" applyFont="1" applyFill="1" applyBorder="1" applyAlignment="1">
      <alignment horizontal="center" vertical="center" wrapText="1"/>
    </xf>
    <xf numFmtId="1" fontId="6" fillId="3" borderId="1723" xfId="0" applyNumberFormat="1" applyFont="1" applyFill="1" applyBorder="1" applyAlignment="1">
      <alignment horizontal="center" vertical="center" wrapText="1"/>
    </xf>
    <xf numFmtId="1" fontId="6" fillId="0" borderId="2458" xfId="0" applyNumberFormat="1" applyFont="1" applyBorder="1" applyAlignment="1">
      <alignment horizontal="center" vertical="center" wrapText="1"/>
    </xf>
    <xf numFmtId="1" fontId="6" fillId="0" borderId="2473" xfId="0" applyNumberFormat="1" applyFont="1" applyBorder="1" applyAlignment="1">
      <alignment horizontal="center" vertical="center" wrapText="1"/>
    </xf>
    <xf numFmtId="1" fontId="6" fillId="0" borderId="2439" xfId="0" applyNumberFormat="1" applyFont="1" applyBorder="1" applyAlignment="1">
      <alignment horizontal="center" vertical="center" wrapText="1"/>
    </xf>
    <xf numFmtId="1" fontId="6" fillId="0" borderId="2444" xfId="0" applyNumberFormat="1" applyFont="1" applyBorder="1" applyAlignment="1">
      <alignment horizontal="center" vertical="center" wrapText="1"/>
    </xf>
    <xf numFmtId="1" fontId="6" fillId="0" borderId="2457" xfId="0" applyNumberFormat="1" applyFont="1" applyBorder="1" applyAlignment="1">
      <alignment horizontal="center" vertical="center" wrapText="1"/>
    </xf>
    <xf numFmtId="1" fontId="6" fillId="0" borderId="2472" xfId="0" applyNumberFormat="1" applyFont="1" applyBorder="1" applyAlignment="1">
      <alignment horizontal="center" vertical="center" wrapText="1"/>
    </xf>
    <xf numFmtId="1" fontId="6" fillId="14" borderId="1694" xfId="0" applyNumberFormat="1" applyFont="1" applyFill="1" applyBorder="1" applyAlignment="1">
      <alignment horizontal="center" vertical="center" wrapText="1"/>
    </xf>
    <xf numFmtId="1" fontId="6" fillId="14" borderId="1691" xfId="0" applyNumberFormat="1" applyFont="1" applyFill="1" applyBorder="1" applyAlignment="1">
      <alignment horizontal="center" vertical="center" wrapText="1"/>
    </xf>
    <xf numFmtId="1" fontId="13" fillId="0" borderId="1694" xfId="0" applyNumberFormat="1" applyFont="1" applyBorder="1" applyAlignment="1">
      <alignment horizontal="center" vertical="center" wrapText="1"/>
    </xf>
    <xf numFmtId="1" fontId="13" fillId="0" borderId="1692" xfId="0" applyNumberFormat="1" applyFont="1" applyBorder="1" applyAlignment="1">
      <alignment horizontal="center" vertical="center" wrapText="1"/>
    </xf>
    <xf numFmtId="1" fontId="13" fillId="0" borderId="1691" xfId="0" applyNumberFormat="1" applyFont="1" applyBorder="1" applyAlignment="1">
      <alignment horizontal="center" vertical="center" wrapText="1"/>
    </xf>
    <xf numFmtId="1" fontId="13" fillId="14" borderId="1694" xfId="0" applyNumberFormat="1" applyFont="1" applyFill="1" applyBorder="1" applyAlignment="1">
      <alignment horizontal="center" vertical="center" wrapText="1"/>
    </xf>
    <xf numFmtId="1" fontId="13" fillId="14" borderId="1692" xfId="0" applyNumberFormat="1" applyFont="1" applyFill="1" applyBorder="1" applyAlignment="1">
      <alignment horizontal="center" vertical="center" wrapText="1"/>
    </xf>
    <xf numFmtId="1" fontId="13" fillId="14" borderId="1691" xfId="0" applyNumberFormat="1" applyFont="1" applyFill="1" applyBorder="1" applyAlignment="1">
      <alignment horizontal="center" vertical="center" wrapText="1"/>
    </xf>
    <xf numFmtId="1" fontId="6" fillId="14" borderId="1692" xfId="0" applyNumberFormat="1" applyFont="1" applyFill="1" applyBorder="1" applyAlignment="1">
      <alignment horizontal="center" vertical="center" wrapText="1"/>
    </xf>
    <xf numFmtId="1" fontId="49" fillId="3" borderId="1694" xfId="0" applyNumberFormat="1" applyFont="1" applyFill="1" applyBorder="1" applyAlignment="1">
      <alignment horizontal="left" vertical="center" wrapText="1"/>
    </xf>
    <xf numFmtId="1" fontId="49" fillId="3" borderId="1691" xfId="0" applyNumberFormat="1" applyFont="1" applyFill="1" applyBorder="1" applyAlignment="1">
      <alignment horizontal="left" vertical="center" wrapText="1"/>
    </xf>
    <xf numFmtId="1" fontId="49" fillId="0" borderId="933" xfId="0" applyNumberFormat="1" applyFont="1" applyBorder="1" applyAlignment="1">
      <alignment horizontal="left" vertical="center"/>
    </xf>
    <xf numFmtId="1" fontId="49" fillId="0" borderId="1683" xfId="0" applyNumberFormat="1" applyFont="1" applyBorder="1" applyAlignment="1">
      <alignment horizontal="left" vertical="center"/>
    </xf>
    <xf numFmtId="1" fontId="49" fillId="14" borderId="698" xfId="0" applyNumberFormat="1" applyFont="1" applyFill="1" applyBorder="1" applyAlignment="1">
      <alignment horizontal="left" vertical="center" wrapText="1"/>
    </xf>
    <xf numFmtId="1" fontId="49" fillId="14" borderId="1683" xfId="0" applyNumberFormat="1" applyFont="1" applyFill="1" applyBorder="1" applyAlignment="1">
      <alignment horizontal="left" vertical="center" wrapText="1"/>
    </xf>
    <xf numFmtId="1" fontId="49" fillId="14" borderId="1639" xfId="0" applyNumberFormat="1" applyFont="1" applyFill="1" applyBorder="1" applyAlignment="1">
      <alignment horizontal="left" vertical="center" wrapText="1"/>
    </xf>
    <xf numFmtId="1" fontId="49" fillId="14" borderId="1672" xfId="0" applyNumberFormat="1" applyFont="1" applyFill="1" applyBorder="1" applyAlignment="1">
      <alignment horizontal="left" vertical="center" wrapText="1"/>
    </xf>
    <xf numFmtId="1" fontId="49" fillId="14" borderId="1861" xfId="0" applyNumberFormat="1" applyFont="1" applyFill="1" applyBorder="1" applyAlignment="1">
      <alignment horizontal="left" vertical="center" wrapText="1"/>
    </xf>
    <xf numFmtId="1" fontId="49" fillId="14" borderId="1862" xfId="0" applyNumberFormat="1" applyFont="1" applyFill="1" applyBorder="1" applyAlignment="1">
      <alignment horizontal="left" vertical="center" wrapText="1"/>
    </xf>
    <xf numFmtId="1" fontId="49" fillId="0" borderId="1639" xfId="0" applyNumberFormat="1" applyFont="1" applyBorder="1" applyAlignment="1">
      <alignment horizontal="left" vertical="center" wrapText="1"/>
    </xf>
    <xf numFmtId="1" fontId="49" fillId="0" borderId="1672" xfId="0" applyNumberFormat="1" applyFont="1" applyBorder="1" applyAlignment="1">
      <alignment horizontal="left" vertical="center" wrapText="1"/>
    </xf>
    <xf numFmtId="1" fontId="6" fillId="0" borderId="1729" xfId="0" applyNumberFormat="1" applyFont="1" applyBorder="1" applyAlignment="1">
      <alignment horizontal="left" vertical="center"/>
    </xf>
    <xf numFmtId="1" fontId="6" fillId="0" borderId="1730" xfId="0" applyNumberFormat="1" applyFont="1" applyBorder="1" applyAlignment="1">
      <alignment horizontal="left" vertical="center"/>
    </xf>
    <xf numFmtId="1" fontId="6" fillId="0" borderId="113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left" vertical="center" wrapText="1"/>
    </xf>
    <xf numFmtId="1" fontId="49" fillId="0" borderId="698" xfId="0" applyNumberFormat="1" applyFont="1" applyBorder="1" applyAlignment="1">
      <alignment horizontal="left" vertical="center"/>
    </xf>
    <xf numFmtId="1" fontId="6" fillId="0" borderId="1694" xfId="0" applyNumberFormat="1" applyFont="1" applyBorder="1" applyAlignment="1">
      <alignment horizontal="left" vertical="center"/>
    </xf>
    <xf numFmtId="1" fontId="6" fillId="0" borderId="1691" xfId="0" applyNumberFormat="1" applyFont="1" applyBorder="1" applyAlignment="1">
      <alignment horizontal="left" vertical="center"/>
    </xf>
    <xf numFmtId="1" fontId="6" fillId="0" borderId="1679" xfId="0" applyNumberFormat="1" applyFont="1" applyBorder="1" applyAlignment="1">
      <alignment horizontal="left" vertical="center"/>
    </xf>
    <xf numFmtId="1" fontId="6" fillId="0" borderId="1704" xfId="0" applyNumberFormat="1" applyFont="1" applyBorder="1" applyAlignment="1">
      <alignment horizontal="left" vertical="center"/>
    </xf>
    <xf numFmtId="1" fontId="6" fillId="0" borderId="831" xfId="0" applyNumberFormat="1" applyFont="1" applyBorder="1" applyAlignment="1">
      <alignment horizontal="left" vertical="center"/>
    </xf>
    <xf numFmtId="1" fontId="6" fillId="0" borderId="1683" xfId="0" applyNumberFormat="1" applyFont="1" applyBorder="1" applyAlignment="1">
      <alignment horizontal="left" vertical="center"/>
    </xf>
    <xf numFmtId="1" fontId="6" fillId="0" borderId="112" xfId="0" applyNumberFormat="1" applyFont="1" applyBorder="1" applyAlignment="1">
      <alignment horizontal="left" vertical="center" wrapText="1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1158" xfId="0" applyNumberFormat="1" applyFont="1" applyBorder="1" applyAlignment="1">
      <alignment horizontal="center" vertical="center" wrapText="1"/>
    </xf>
    <xf numFmtId="1" fontId="49" fillId="14" borderId="1858" xfId="0" applyNumberFormat="1" applyFont="1" applyFill="1" applyBorder="1" applyAlignment="1">
      <alignment horizontal="left" vertical="center" wrapText="1"/>
    </xf>
    <xf numFmtId="1" fontId="49" fillId="14" borderId="2112" xfId="0" applyNumberFormat="1" applyFont="1" applyFill="1" applyBorder="1" applyAlignment="1">
      <alignment horizontal="left" vertical="center" wrapText="1"/>
    </xf>
    <xf numFmtId="1" fontId="49" fillId="14" borderId="2143" xfId="0" applyNumberFormat="1" applyFont="1" applyFill="1" applyBorder="1" applyAlignment="1">
      <alignment horizontal="left" vertical="center" wrapText="1"/>
    </xf>
    <xf numFmtId="1" fontId="49" fillId="3" borderId="1691" xfId="0" applyNumberFormat="1" applyFont="1" applyFill="1" applyBorder="1" applyAlignment="1">
      <alignment horizontal="center" vertical="center" wrapText="1"/>
    </xf>
    <xf numFmtId="1" fontId="49" fillId="3" borderId="1697" xfId="0" applyNumberFormat="1" applyFont="1" applyFill="1" applyBorder="1" applyAlignment="1">
      <alignment horizontal="center" vertical="center" wrapText="1"/>
    </xf>
    <xf numFmtId="1" fontId="6" fillId="3" borderId="1639" xfId="0" applyNumberFormat="1" applyFont="1" applyFill="1" applyBorder="1" applyAlignment="1">
      <alignment horizontal="center" vertical="center" wrapText="1"/>
    </xf>
    <xf numFmtId="1" fontId="6" fillId="3" borderId="1681" xfId="0" applyNumberFormat="1" applyFont="1" applyFill="1" applyBorder="1" applyAlignment="1">
      <alignment horizontal="center" vertical="center" wrapText="1"/>
    </xf>
    <xf numFmtId="1" fontId="49" fillId="14" borderId="1639" xfId="0" applyNumberFormat="1" applyFont="1" applyFill="1" applyBorder="1" applyAlignment="1">
      <alignment horizontal="center" vertical="center" wrapText="1"/>
    </xf>
    <xf numFmtId="1" fontId="49" fillId="14" borderId="1712" xfId="0" applyNumberFormat="1" applyFont="1" applyFill="1" applyBorder="1" applyAlignment="1">
      <alignment horizontal="center" vertical="center" wrapText="1"/>
    </xf>
    <xf numFmtId="1" fontId="6" fillId="0" borderId="1681" xfId="0" applyNumberFormat="1" applyFont="1" applyBorder="1" applyAlignment="1">
      <alignment horizontal="center" vertical="center" wrapText="1"/>
    </xf>
    <xf numFmtId="1" fontId="4" fillId="3" borderId="1666" xfId="0" applyNumberFormat="1" applyFont="1" applyFill="1" applyBorder="1" applyAlignment="1">
      <alignment horizontal="left" wrapText="1"/>
    </xf>
    <xf numFmtId="1" fontId="4" fillId="3" borderId="1710" xfId="0" applyNumberFormat="1" applyFont="1" applyFill="1" applyBorder="1" applyAlignment="1">
      <alignment horizontal="left" wrapText="1"/>
    </xf>
    <xf numFmtId="1" fontId="4" fillId="3" borderId="1677" xfId="0" applyNumberFormat="1" applyFont="1" applyFill="1" applyBorder="1" applyAlignment="1">
      <alignment horizontal="left" wrapText="1"/>
    </xf>
    <xf numFmtId="1" fontId="6" fillId="0" borderId="1694" xfId="0" applyNumberFormat="1" applyFont="1" applyBorder="1" applyAlignment="1">
      <alignment horizontal="center" wrapText="1"/>
    </xf>
    <xf numFmtId="1" fontId="6" fillId="0" borderId="1691" xfId="0" applyNumberFormat="1" applyFont="1" applyBorder="1" applyAlignment="1">
      <alignment horizontal="center" wrapText="1"/>
    </xf>
    <xf numFmtId="1" fontId="6" fillId="0" borderId="171" xfId="0" applyNumberFormat="1" applyFont="1" applyBorder="1" applyAlignment="1">
      <alignment horizontal="center" vertical="center"/>
    </xf>
    <xf numFmtId="1" fontId="49" fillId="14" borderId="2397" xfId="0" applyNumberFormat="1" applyFont="1" applyFill="1" applyBorder="1" applyAlignment="1">
      <alignment horizontal="center" vertical="center"/>
    </xf>
    <xf numFmtId="1" fontId="49" fillId="14" borderId="435" xfId="0" applyNumberFormat="1" applyFont="1" applyFill="1" applyBorder="1" applyAlignment="1">
      <alignment horizontal="center" vertical="center"/>
    </xf>
    <xf numFmtId="1" fontId="49" fillId="14" borderId="2217" xfId="0" applyNumberFormat="1" applyFont="1" applyFill="1" applyBorder="1" applyAlignment="1">
      <alignment horizontal="center" vertical="center"/>
    </xf>
    <xf numFmtId="1" fontId="49" fillId="14" borderId="1694" xfId="0" applyNumberFormat="1" applyFont="1" applyFill="1" applyBorder="1" applyAlignment="1">
      <alignment horizontal="center" vertical="center"/>
    </xf>
    <xf numFmtId="1" fontId="49" fillId="14" borderId="1691" xfId="0" applyNumberFormat="1" applyFont="1" applyFill="1" applyBorder="1" applyAlignment="1">
      <alignment horizontal="center" vertical="center"/>
    </xf>
    <xf numFmtId="1" fontId="49" fillId="0" borderId="1861" xfId="0" applyNumberFormat="1" applyFont="1" applyBorder="1" applyAlignment="1">
      <alignment horizontal="left" vertical="center"/>
    </xf>
    <xf numFmtId="1" fontId="49" fillId="0" borderId="1862" xfId="0" applyNumberFormat="1" applyFont="1" applyBorder="1" applyAlignment="1">
      <alignment horizontal="left" vertical="center"/>
    </xf>
    <xf numFmtId="1" fontId="49" fillId="14" borderId="1616" xfId="0" applyNumberFormat="1" applyFont="1" applyFill="1" applyBorder="1" applyAlignment="1">
      <alignment horizontal="left" vertical="center" wrapText="1"/>
    </xf>
    <xf numFmtId="1" fontId="91" fillId="0" borderId="1694" xfId="0" applyNumberFormat="1" applyFont="1" applyBorder="1" applyAlignment="1">
      <alignment horizontal="center" vertical="center"/>
    </xf>
    <xf numFmtId="1" fontId="91" fillId="0" borderId="1691" xfId="0" applyNumberFormat="1" applyFont="1" applyBorder="1" applyAlignment="1">
      <alignment horizontal="center" vertical="center"/>
    </xf>
    <xf numFmtId="1" fontId="49" fillId="14" borderId="1639" xfId="0" applyNumberFormat="1" applyFont="1" applyFill="1" applyBorder="1" applyAlignment="1" applyProtection="1">
      <alignment horizontal="center" vertical="center"/>
      <protection locked="0"/>
    </xf>
    <xf numFmtId="1" fontId="49" fillId="14" borderId="1712" xfId="0" applyNumberFormat="1" applyFont="1" applyFill="1" applyBorder="1" applyAlignment="1" applyProtection="1">
      <alignment horizontal="center" vertical="center"/>
      <protection locked="0"/>
    </xf>
    <xf numFmtId="1" fontId="49" fillId="14" borderId="1640" xfId="0" applyNumberFormat="1" applyFont="1" applyFill="1" applyBorder="1" applyAlignment="1">
      <alignment horizontal="center" vertical="center" wrapText="1"/>
    </xf>
    <xf numFmtId="1" fontId="49" fillId="14" borderId="1641" xfId="0" applyNumberFormat="1" applyFont="1" applyFill="1" applyBorder="1" applyAlignment="1">
      <alignment horizontal="center" vertical="center" wrapText="1"/>
    </xf>
    <xf numFmtId="1" fontId="49" fillId="14" borderId="1717" xfId="0" applyNumberFormat="1" applyFont="1" applyFill="1" applyBorder="1" applyAlignment="1">
      <alignment horizontal="center" vertical="center" wrapText="1"/>
    </xf>
    <xf numFmtId="1" fontId="49" fillId="14" borderId="1678" xfId="0" applyNumberFormat="1" applyFont="1" applyFill="1" applyBorder="1" applyAlignment="1">
      <alignment horizontal="center" vertical="center" wrapText="1"/>
    </xf>
    <xf numFmtId="1" fontId="49" fillId="14" borderId="1694" xfId="0" applyNumberFormat="1" applyFont="1" applyFill="1" applyBorder="1" applyAlignment="1">
      <alignment horizontal="left" vertical="center"/>
    </xf>
    <xf numFmtId="1" fontId="49" fillId="14" borderId="1691" xfId="0" applyNumberFormat="1" applyFont="1" applyFill="1" applyBorder="1" applyAlignment="1">
      <alignment horizontal="left" vertical="center"/>
    </xf>
    <xf numFmtId="1" fontId="91" fillId="14" borderId="1694" xfId="0" applyNumberFormat="1" applyFont="1" applyFill="1" applyBorder="1" applyAlignment="1">
      <alignment horizontal="left" vertical="center"/>
    </xf>
    <xf numFmtId="1" fontId="91" fillId="14" borderId="1691" xfId="0" applyNumberFormat="1" applyFont="1" applyFill="1" applyBorder="1" applyAlignment="1">
      <alignment horizontal="left" vertical="center"/>
    </xf>
    <xf numFmtId="0" fontId="6" fillId="0" borderId="2112" xfId="0" applyFont="1" applyBorder="1" applyAlignment="1">
      <alignment horizontal="center" vertical="center"/>
    </xf>
    <xf numFmtId="0" fontId="6" fillId="0" borderId="2150" xfId="0" applyFont="1" applyBorder="1" applyAlignment="1">
      <alignment horizontal="center" vertical="center"/>
    </xf>
    <xf numFmtId="0" fontId="6" fillId="0" borderId="2151" xfId="0" applyFont="1" applyBorder="1" applyAlignment="1">
      <alignment horizontal="center" vertical="center"/>
    </xf>
    <xf numFmtId="1" fontId="49" fillId="14" borderId="2122" xfId="0" applyNumberFormat="1" applyFont="1" applyFill="1" applyBorder="1" applyAlignment="1">
      <alignment horizontal="center" vertical="center"/>
    </xf>
    <xf numFmtId="1" fontId="49" fillId="14" borderId="2122" xfId="0" applyNumberFormat="1" applyFont="1" applyFill="1" applyBorder="1" applyAlignment="1">
      <alignment horizontal="center" vertical="center" wrapText="1"/>
    </xf>
    <xf numFmtId="1" fontId="6" fillId="3" borderId="1694" xfId="0" applyNumberFormat="1" applyFont="1" applyFill="1" applyBorder="1" applyAlignment="1">
      <alignment horizontal="center" vertical="center" wrapText="1"/>
    </xf>
    <xf numFmtId="1" fontId="6" fillId="3" borderId="1691" xfId="0" applyNumberFormat="1" applyFont="1" applyFill="1" applyBorder="1" applyAlignment="1">
      <alignment horizontal="center" vertical="center" wrapText="1"/>
    </xf>
    <xf numFmtId="1" fontId="6" fillId="3" borderId="1697" xfId="0" applyNumberFormat="1" applyFont="1" applyFill="1" applyBorder="1" applyAlignment="1">
      <alignment horizontal="center" vertical="center"/>
    </xf>
    <xf numFmtId="1" fontId="6" fillId="0" borderId="1711" xfId="0" applyNumberFormat="1" applyFont="1" applyBorder="1" applyAlignment="1">
      <alignment horizontal="center" vertical="center" wrapText="1"/>
    </xf>
    <xf numFmtId="1" fontId="49" fillId="14" borderId="2403" xfId="0" applyNumberFormat="1" applyFont="1" applyFill="1" applyBorder="1" applyAlignment="1">
      <alignment horizontal="center" vertical="center" wrapText="1"/>
    </xf>
    <xf numFmtId="1" fontId="49" fillId="14" borderId="2417" xfId="0" applyNumberFormat="1" applyFont="1" applyFill="1" applyBorder="1" applyAlignment="1">
      <alignment horizontal="center" vertical="center" wrapText="1"/>
    </xf>
    <xf numFmtId="1" fontId="49" fillId="14" borderId="2411" xfId="0" applyNumberFormat="1" applyFont="1" applyFill="1" applyBorder="1" applyAlignment="1">
      <alignment horizontal="center" vertical="center" wrapText="1"/>
    </xf>
    <xf numFmtId="1" fontId="49" fillId="14" borderId="2403" xfId="0" applyNumberFormat="1" applyFont="1" applyFill="1" applyBorder="1" applyAlignment="1">
      <alignment horizontal="left" vertical="center"/>
    </xf>
    <xf numFmtId="1" fontId="49" fillId="14" borderId="2411" xfId="0" applyNumberFormat="1" applyFont="1" applyFill="1" applyBorder="1" applyAlignment="1">
      <alignment horizontal="left" vertical="center"/>
    </xf>
    <xf numFmtId="1" fontId="6" fillId="0" borderId="1681" xfId="0" applyNumberFormat="1" applyFont="1" applyBorder="1" applyAlignment="1">
      <alignment horizontal="center" vertical="center"/>
    </xf>
    <xf numFmtId="1" fontId="51" fillId="0" borderId="1710" xfId="0" applyNumberFormat="1" applyFont="1" applyBorder="1" applyAlignment="1">
      <alignment horizontal="left" wrapText="1"/>
    </xf>
    <xf numFmtId="1" fontId="51" fillId="0" borderId="1677" xfId="0" applyNumberFormat="1" applyFont="1" applyBorder="1" applyAlignment="1">
      <alignment horizontal="left" wrapText="1"/>
    </xf>
    <xf numFmtId="1" fontId="13" fillId="3" borderId="2244" xfId="0" applyNumberFormat="1" applyFont="1" applyFill="1" applyBorder="1" applyAlignment="1">
      <alignment horizontal="center" vertical="center" wrapText="1"/>
    </xf>
    <xf numFmtId="1" fontId="13" fillId="3" borderId="2246" xfId="0" applyNumberFormat="1" applyFont="1" applyFill="1" applyBorder="1" applyAlignment="1">
      <alignment horizontal="center" vertical="center" wrapText="1"/>
    </xf>
    <xf numFmtId="1" fontId="13" fillId="3" borderId="2245" xfId="0" applyNumberFormat="1" applyFont="1" applyFill="1" applyBorder="1" applyAlignment="1">
      <alignment horizontal="center" vertical="center" wrapText="1"/>
    </xf>
    <xf numFmtId="0" fontId="6" fillId="0" borderId="811" xfId="0" applyFont="1" applyBorder="1" applyAlignment="1">
      <alignment horizontal="center" vertical="center" wrapText="1"/>
    </xf>
    <xf numFmtId="0" fontId="6" fillId="0" borderId="1957" xfId="0" applyFont="1" applyBorder="1" applyAlignment="1">
      <alignment horizontal="center" vertical="center" wrapText="1"/>
    </xf>
    <xf numFmtId="0" fontId="6" fillId="0" borderId="2139" xfId="0" applyFont="1" applyBorder="1" applyAlignment="1">
      <alignment horizontal="center" vertical="center"/>
    </xf>
    <xf numFmtId="0" fontId="6" fillId="0" borderId="1920" xfId="0" applyFont="1" applyBorder="1" applyAlignment="1">
      <alignment horizontal="center" vertical="center"/>
    </xf>
    <xf numFmtId="1" fontId="49" fillId="14" borderId="1761" xfId="0" applyNumberFormat="1" applyFont="1" applyFill="1" applyBorder="1" applyAlignment="1">
      <alignment horizontal="left" vertical="center" wrapText="1"/>
    </xf>
    <xf numFmtId="1" fontId="49" fillId="3" borderId="1694" xfId="0" applyNumberFormat="1" applyFont="1" applyFill="1" applyBorder="1" applyAlignment="1">
      <alignment horizontal="left" vertical="center"/>
    </xf>
    <xf numFmtId="1" fontId="49" fillId="3" borderId="1691" xfId="0" applyNumberFormat="1" applyFont="1" applyFill="1" applyBorder="1" applyAlignment="1">
      <alignment horizontal="left" vertical="center"/>
    </xf>
    <xf numFmtId="1" fontId="49" fillId="0" borderId="1639" xfId="0" applyNumberFormat="1" applyFont="1" applyBorder="1" applyAlignment="1">
      <alignment horizontal="left" vertical="center"/>
    </xf>
    <xf numFmtId="1" fontId="49" fillId="0" borderId="1672" xfId="0" applyNumberFormat="1" applyFont="1" applyBorder="1" applyAlignment="1">
      <alignment horizontal="left" vertical="center"/>
    </xf>
    <xf numFmtId="1" fontId="49" fillId="0" borderId="1956" xfId="0" applyNumberFormat="1" applyFont="1" applyBorder="1" applyAlignment="1">
      <alignment horizontal="left" vertical="center"/>
    </xf>
    <xf numFmtId="1" fontId="49" fillId="0" borderId="1920" xfId="0" applyNumberFormat="1" applyFont="1" applyBorder="1" applyAlignment="1">
      <alignment horizontal="left" vertical="center"/>
    </xf>
    <xf numFmtId="1" fontId="49" fillId="3" borderId="1729" xfId="0" applyNumberFormat="1" applyFont="1" applyFill="1" applyBorder="1" applyAlignment="1">
      <alignment horizontal="left" vertical="center" wrapText="1"/>
    </xf>
    <xf numFmtId="1" fontId="49" fillId="3" borderId="1730" xfId="0" applyNumberFormat="1" applyFont="1" applyFill="1" applyBorder="1" applyAlignment="1">
      <alignment horizontal="left" vertical="center" wrapText="1"/>
    </xf>
    <xf numFmtId="1" fontId="49" fillId="0" borderId="1664" xfId="0" applyNumberFormat="1" applyFont="1" applyBorder="1" applyAlignment="1">
      <alignment horizontal="left" vertical="center"/>
    </xf>
    <xf numFmtId="1" fontId="49" fillId="0" borderId="1445" xfId="0" applyNumberFormat="1" applyFont="1" applyBorder="1" applyAlignment="1">
      <alignment horizontal="left" vertical="center"/>
    </xf>
    <xf numFmtId="1" fontId="49" fillId="14" borderId="1761" xfId="0" applyNumberFormat="1" applyFont="1" applyFill="1" applyBorder="1" applyAlignment="1">
      <alignment horizontal="left" vertical="center"/>
    </xf>
    <xf numFmtId="1" fontId="49" fillId="0" borderId="1670" xfId="0" applyNumberFormat="1" applyFont="1" applyBorder="1" applyAlignment="1">
      <alignment horizontal="left" vertical="center"/>
    </xf>
    <xf numFmtId="1" fontId="49" fillId="0" borderId="1684" xfId="0" applyNumberFormat="1" applyFont="1" applyBorder="1" applyAlignment="1">
      <alignment horizontal="left" vertical="center" wrapText="1"/>
    </xf>
    <xf numFmtId="1" fontId="49" fillId="0" borderId="1635" xfId="0" applyNumberFormat="1" applyFont="1" applyBorder="1" applyAlignment="1">
      <alignment horizontal="left" vertical="center" wrapText="1"/>
    </xf>
    <xf numFmtId="1" fontId="49" fillId="0" borderId="1717" xfId="0" applyNumberFormat="1" applyFont="1" applyBorder="1" applyAlignment="1">
      <alignment horizontal="left" vertical="center"/>
    </xf>
    <xf numFmtId="1" fontId="49" fillId="0" borderId="1678" xfId="0" applyNumberFormat="1" applyFont="1" applyBorder="1" applyAlignment="1">
      <alignment horizontal="left" vertical="center"/>
    </xf>
    <xf numFmtId="1" fontId="4" fillId="3" borderId="1933" xfId="25" applyNumberFormat="1" applyFont="1" applyFill="1" applyBorder="1" applyAlignment="1">
      <alignment horizontal="left" wrapText="1"/>
    </xf>
    <xf numFmtId="1" fontId="49" fillId="0" borderId="1932" xfId="0" applyNumberFormat="1" applyFont="1" applyBorder="1" applyAlignment="1">
      <alignment horizontal="center" vertical="center"/>
    </xf>
    <xf numFmtId="1" fontId="49" fillId="0" borderId="1930" xfId="0" applyNumberFormat="1" applyFont="1" applyBorder="1" applyAlignment="1">
      <alignment horizontal="center" vertical="center"/>
    </xf>
    <xf numFmtId="0" fontId="49" fillId="0" borderId="1639" xfId="0" applyFont="1" applyBorder="1" applyAlignment="1">
      <alignment horizontal="center" vertical="center"/>
    </xf>
    <xf numFmtId="0" fontId="49" fillId="0" borderId="1670" xfId="0" applyFont="1" applyBorder="1" applyAlignment="1">
      <alignment horizontal="center" vertical="center"/>
    </xf>
    <xf numFmtId="0" fontId="49" fillId="0" borderId="1761" xfId="0" applyFont="1" applyBorder="1" applyAlignment="1">
      <alignment horizontal="center" vertical="center"/>
    </xf>
    <xf numFmtId="0" fontId="49" fillId="0" borderId="1761" xfId="0" applyFont="1" applyBorder="1"/>
    <xf numFmtId="0" fontId="49" fillId="0" borderId="1760" xfId="0" applyFont="1" applyBorder="1" applyAlignment="1">
      <alignment horizontal="center" vertical="center"/>
    </xf>
    <xf numFmtId="0" fontId="49" fillId="0" borderId="1847" xfId="0" applyFont="1" applyBorder="1"/>
    <xf numFmtId="0" fontId="91" fillId="0" borderId="1760" xfId="0" applyFont="1" applyBorder="1"/>
    <xf numFmtId="1" fontId="49" fillId="0" borderId="504" xfId="0" applyNumberFormat="1" applyFont="1" applyBorder="1" applyAlignment="1">
      <alignment horizontal="center" vertical="center"/>
    </xf>
    <xf numFmtId="1" fontId="53" fillId="14" borderId="698" xfId="0" applyNumberFormat="1" applyFont="1" applyFill="1" applyBorder="1" applyAlignment="1">
      <alignment horizontal="left" vertical="center" wrapText="1"/>
    </xf>
    <xf numFmtId="1" fontId="53" fillId="14" borderId="840" xfId="0" applyNumberFormat="1" applyFont="1" applyFill="1" applyBorder="1" applyAlignment="1">
      <alignment horizontal="left" vertical="center" wrapText="1"/>
    </xf>
    <xf numFmtId="1" fontId="53" fillId="14" borderId="828" xfId="0" applyNumberFormat="1" applyFont="1" applyFill="1" applyBorder="1" applyAlignment="1">
      <alignment horizontal="left" vertical="center" wrapText="1"/>
    </xf>
    <xf numFmtId="1" fontId="49" fillId="0" borderId="423" xfId="0" applyNumberFormat="1" applyFont="1" applyBorder="1" applyAlignment="1">
      <alignment horizontal="center" vertical="center" wrapText="1"/>
    </xf>
    <xf numFmtId="1" fontId="49" fillId="0" borderId="530" xfId="0" applyNumberFormat="1" applyFont="1" applyBorder="1" applyAlignment="1">
      <alignment horizontal="center" vertical="center" wrapText="1"/>
    </xf>
    <xf numFmtId="1" fontId="49" fillId="0" borderId="439" xfId="0" applyNumberFormat="1" applyFont="1" applyBorder="1" applyAlignment="1">
      <alignment horizontal="center" vertical="center" wrapText="1"/>
    </xf>
    <xf numFmtId="1" fontId="49" fillId="0" borderId="530" xfId="0" applyNumberFormat="1" applyFont="1" applyBorder="1" applyAlignment="1">
      <alignment horizontal="center"/>
    </xf>
    <xf numFmtId="1" fontId="49" fillId="0" borderId="354" xfId="0" applyNumberFormat="1" applyFont="1" applyBorder="1" applyAlignment="1">
      <alignment horizontal="center"/>
    </xf>
    <xf numFmtId="1" fontId="49" fillId="0" borderId="439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53" fillId="14" borderId="1664" xfId="25" applyNumberFormat="1" applyFont="1" applyFill="1" applyBorder="1" applyAlignment="1">
      <alignment horizontal="left" vertical="center" wrapText="1"/>
    </xf>
    <xf numFmtId="1" fontId="53" fillId="14" borderId="1445" xfId="25" applyNumberFormat="1" applyFont="1" applyFill="1" applyBorder="1" applyAlignment="1">
      <alignment horizontal="left" vertical="center" wrapText="1"/>
    </xf>
    <xf numFmtId="1" fontId="53" fillId="14" borderId="698" xfId="25" applyNumberFormat="1" applyFont="1" applyFill="1" applyBorder="1" applyAlignment="1">
      <alignment horizontal="left" vertical="center" wrapText="1"/>
    </xf>
    <xf numFmtId="1" fontId="53" fillId="14" borderId="828" xfId="25" applyNumberFormat="1" applyFont="1" applyFill="1" applyBorder="1" applyAlignment="1">
      <alignment horizontal="left" vertical="center" wrapText="1"/>
    </xf>
    <xf numFmtId="1" fontId="6" fillId="3" borderId="544" xfId="0" applyNumberFormat="1" applyFont="1" applyFill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517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horizontal="center"/>
    </xf>
    <xf numFmtId="1" fontId="6" fillId="0" borderId="566" xfId="0" applyNumberFormat="1" applyFont="1" applyBorder="1" applyAlignment="1">
      <alignment horizontal="center"/>
    </xf>
    <xf numFmtId="1" fontId="6" fillId="0" borderId="567" xfId="0" applyNumberFormat="1" applyFont="1" applyBorder="1" applyAlignment="1">
      <alignment horizontal="center"/>
    </xf>
    <xf numFmtId="1" fontId="49" fillId="0" borderId="435" xfId="0" applyNumberFormat="1" applyFont="1" applyBorder="1" applyAlignment="1">
      <alignment horizontal="center" vertical="center"/>
    </xf>
    <xf numFmtId="1" fontId="49" fillId="0" borderId="544" xfId="0" applyNumberFormat="1" applyFont="1" applyBorder="1" applyAlignment="1">
      <alignment horizontal="center" vertical="center"/>
    </xf>
    <xf numFmtId="1" fontId="49" fillId="0" borderId="435" xfId="0" applyNumberFormat="1" applyFont="1" applyBorder="1" applyAlignment="1">
      <alignment horizontal="center" vertical="center" wrapText="1"/>
    </xf>
    <xf numFmtId="1" fontId="49" fillId="0" borderId="544" xfId="0" applyNumberFormat="1" applyFont="1" applyBorder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/>
    </xf>
    <xf numFmtId="1" fontId="6" fillId="0" borderId="354" xfId="0" applyNumberFormat="1" applyFont="1" applyBorder="1" applyAlignment="1">
      <alignment horizontal="center"/>
    </xf>
    <xf numFmtId="1" fontId="6" fillId="0" borderId="439" xfId="0" applyNumberFormat="1" applyFont="1" applyBorder="1" applyAlignment="1">
      <alignment horizontal="center"/>
    </xf>
    <xf numFmtId="1" fontId="49" fillId="0" borderId="504" xfId="0" applyNumberFormat="1" applyFont="1" applyBorder="1" applyAlignment="1">
      <alignment horizontal="center" vertical="center" wrapText="1"/>
    </xf>
    <xf numFmtId="1" fontId="49" fillId="0" borderId="515" xfId="0" applyNumberFormat="1" applyFont="1" applyBorder="1" applyAlignment="1">
      <alignment horizontal="center" vertical="center" wrapText="1"/>
    </xf>
    <xf numFmtId="1" fontId="49" fillId="0" borderId="240" xfId="0" applyNumberFormat="1" applyFont="1" applyBorder="1" applyAlignment="1">
      <alignment horizontal="center" vertical="center" wrapText="1"/>
    </xf>
    <xf numFmtId="1" fontId="49" fillId="0" borderId="498" xfId="0" applyNumberFormat="1" applyFont="1" applyBorder="1" applyAlignment="1">
      <alignment horizontal="center" vertical="center" wrapText="1"/>
    </xf>
    <xf numFmtId="1" fontId="49" fillId="0" borderId="354" xfId="0" applyNumberFormat="1" applyFont="1" applyBorder="1" applyAlignment="1">
      <alignment horizontal="center" vertical="center" wrapText="1"/>
    </xf>
    <xf numFmtId="1" fontId="6" fillId="3" borderId="500" xfId="7" applyNumberFormat="1" applyFont="1" applyFill="1" applyBorder="1" applyAlignment="1">
      <alignment horizontal="center" wrapText="1"/>
    </xf>
    <xf numFmtId="1" fontId="6" fillId="3" borderId="544" xfId="7" applyNumberFormat="1" applyFont="1" applyFill="1" applyBorder="1" applyAlignment="1">
      <alignment horizontal="center" wrapText="1"/>
    </xf>
    <xf numFmtId="1" fontId="53" fillId="14" borderId="1863" xfId="25" applyNumberFormat="1" applyFont="1" applyFill="1" applyBorder="1" applyAlignment="1">
      <alignment horizontal="left" vertical="center" wrapText="1"/>
    </xf>
    <xf numFmtId="1" fontId="53" fillId="14" borderId="1864" xfId="25" applyNumberFormat="1" applyFont="1" applyFill="1" applyBorder="1" applyAlignment="1">
      <alignment horizontal="left" vertical="center" wrapText="1"/>
    </xf>
    <xf numFmtId="1" fontId="6" fillId="0" borderId="530" xfId="0" applyNumberFormat="1" applyFont="1" applyBorder="1" applyAlignment="1">
      <alignment horizontal="left"/>
    </xf>
    <xf numFmtId="1" fontId="6" fillId="0" borderId="439" xfId="0" applyNumberFormat="1" applyFont="1" applyBorder="1" applyAlignment="1">
      <alignment horizontal="left"/>
    </xf>
    <xf numFmtId="1" fontId="53" fillId="14" borderId="1813" xfId="0" applyNumberFormat="1" applyFont="1" applyFill="1" applyBorder="1" applyAlignment="1">
      <alignment horizontal="left" vertical="center" wrapText="1"/>
    </xf>
    <xf numFmtId="1" fontId="53" fillId="14" borderId="1692" xfId="0" applyNumberFormat="1" applyFont="1" applyFill="1" applyBorder="1" applyAlignment="1">
      <alignment horizontal="left" vertical="center" wrapText="1"/>
    </xf>
    <xf numFmtId="1" fontId="53" fillId="14" borderId="1865" xfId="0" applyNumberFormat="1" applyFont="1" applyFill="1" applyBorder="1" applyAlignment="1">
      <alignment horizontal="left" vertical="center" wrapText="1"/>
    </xf>
    <xf numFmtId="1" fontId="11" fillId="14" borderId="1639" xfId="0" applyNumberFormat="1" applyFont="1" applyFill="1" applyBorder="1" applyAlignment="1">
      <alignment horizontal="center" vertical="center" wrapText="1"/>
    </xf>
    <xf numFmtId="1" fontId="11" fillId="14" borderId="1670" xfId="0" applyNumberFormat="1" applyFont="1" applyFill="1" applyBorder="1" applyAlignment="1">
      <alignment horizontal="center" vertical="center" wrapText="1"/>
    </xf>
    <xf numFmtId="1" fontId="11" fillId="14" borderId="1761" xfId="0" applyNumberFormat="1" applyFont="1" applyFill="1" applyBorder="1" applyAlignment="1">
      <alignment horizontal="center" vertical="center" wrapText="1"/>
    </xf>
    <xf numFmtId="1" fontId="11" fillId="0" borderId="1861" xfId="25" applyNumberFormat="1" applyFont="1" applyBorder="1" applyAlignment="1">
      <alignment horizontal="left" vertical="center" wrapText="1"/>
    </xf>
    <xf numFmtId="1" fontId="11" fillId="0" borderId="1862" xfId="25" applyNumberFormat="1" applyFont="1" applyBorder="1" applyAlignment="1">
      <alignment horizontal="left" vertical="center" wrapText="1"/>
    </xf>
    <xf numFmtId="1" fontId="11" fillId="0" borderId="698" xfId="25" applyNumberFormat="1" applyFont="1" applyBorder="1" applyAlignment="1">
      <alignment horizontal="left" vertical="center" wrapText="1"/>
    </xf>
    <xf numFmtId="1" fontId="11" fillId="0" borderId="828" xfId="25" applyNumberFormat="1" applyFont="1" applyBorder="1" applyAlignment="1">
      <alignment horizontal="left" vertical="center" wrapText="1"/>
    </xf>
    <xf numFmtId="1" fontId="11" fillId="0" borderId="1863" xfId="25" applyNumberFormat="1" applyFont="1" applyBorder="1" applyAlignment="1">
      <alignment horizontal="left" vertical="center" wrapText="1"/>
    </xf>
    <xf numFmtId="1" fontId="11" fillId="0" borderId="1864" xfId="25" applyNumberFormat="1" applyFont="1" applyBorder="1" applyAlignment="1">
      <alignment horizontal="left" vertical="center" wrapText="1"/>
    </xf>
    <xf numFmtId="1" fontId="11" fillId="14" borderId="1639" xfId="0" applyNumberFormat="1" applyFont="1" applyFill="1" applyBorder="1" applyAlignment="1">
      <alignment horizontal="left" vertical="center" wrapText="1"/>
    </xf>
    <xf numFmtId="1" fontId="11" fillId="14" borderId="1761" xfId="0" applyNumberFormat="1" applyFont="1" applyFill="1" applyBorder="1" applyAlignment="1">
      <alignment horizontal="left" vertical="center" wrapText="1"/>
    </xf>
    <xf numFmtId="1" fontId="11" fillId="0" borderId="1664" xfId="25" applyNumberFormat="1" applyFont="1" applyBorder="1" applyAlignment="1">
      <alignment horizontal="left" vertical="center" wrapText="1"/>
    </xf>
    <xf numFmtId="1" fontId="11" fillId="0" borderId="1445" xfId="25" applyNumberFormat="1" applyFont="1" applyBorder="1" applyAlignment="1">
      <alignment horizontal="left" vertical="center" wrapText="1"/>
    </xf>
    <xf numFmtId="1" fontId="53" fillId="14" borderId="1639" xfId="0" applyNumberFormat="1" applyFont="1" applyFill="1" applyBorder="1" applyAlignment="1">
      <alignment vertical="center" wrapText="1"/>
    </xf>
    <xf numFmtId="1" fontId="53" fillId="14" borderId="1761" xfId="0" applyNumberFormat="1" applyFont="1" applyFill="1" applyBorder="1" applyAlignment="1">
      <alignment vertical="center" wrapText="1"/>
    </xf>
    <xf numFmtId="1" fontId="53" fillId="0" borderId="1664" xfId="25" applyNumberFormat="1" applyFont="1" applyBorder="1" applyAlignment="1">
      <alignment horizontal="left" vertical="center" wrapText="1"/>
    </xf>
    <xf numFmtId="1" fontId="53" fillId="0" borderId="1445" xfId="25" applyNumberFormat="1" applyFont="1" applyBorder="1" applyAlignment="1">
      <alignment horizontal="left" vertical="center" wrapText="1"/>
    </xf>
    <xf numFmtId="1" fontId="11" fillId="14" borderId="1856" xfId="0" applyNumberFormat="1" applyFont="1" applyFill="1" applyBorder="1" applyAlignment="1">
      <alignment horizontal="left" vertical="center" wrapText="1"/>
    </xf>
    <xf numFmtId="1" fontId="53" fillId="14" borderId="1670" xfId="0" applyNumberFormat="1" applyFont="1" applyFill="1" applyBorder="1" applyAlignment="1">
      <alignment vertical="center" wrapText="1"/>
    </xf>
    <xf numFmtId="1" fontId="51" fillId="3" borderId="0" xfId="25" applyNumberFormat="1" applyFont="1" applyFill="1" applyAlignment="1">
      <alignment horizontal="left" wrapText="1"/>
    </xf>
    <xf numFmtId="1" fontId="6" fillId="3" borderId="504" xfId="0" applyNumberFormat="1" applyFont="1" applyFill="1" applyBorder="1" applyAlignment="1">
      <alignment horizontal="center" vertical="center" wrapText="1"/>
    </xf>
    <xf numFmtId="1" fontId="6" fillId="3" borderId="504" xfId="25" applyNumberFormat="1" applyFont="1" applyFill="1" applyBorder="1" applyAlignment="1">
      <alignment horizontal="center" vertical="center" wrapText="1"/>
    </xf>
    <xf numFmtId="1" fontId="6" fillId="3" borderId="503" xfId="25" applyNumberFormat="1" applyFont="1" applyFill="1" applyBorder="1" applyAlignment="1">
      <alignment horizontal="center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0" borderId="506" xfId="0" applyNumberFormat="1" applyFont="1" applyBorder="1" applyAlignment="1">
      <alignment horizontal="left" vertical="center" wrapText="1"/>
    </xf>
    <xf numFmtId="1" fontId="6" fillId="0" borderId="509" xfId="0" applyNumberFormat="1" applyFont="1" applyBorder="1" applyAlignment="1">
      <alignment horizontal="left"/>
    </xf>
    <xf numFmtId="1" fontId="6" fillId="0" borderId="504" xfId="0" applyNumberFormat="1" applyFont="1" applyBorder="1" applyAlignment="1">
      <alignment horizontal="center"/>
    </xf>
    <xf numFmtId="1" fontId="6" fillId="3" borderId="519" xfId="25" applyNumberFormat="1" applyFont="1" applyFill="1" applyBorder="1" applyAlignment="1">
      <alignment horizontal="center" vertical="center" wrapText="1"/>
    </xf>
    <xf numFmtId="1" fontId="6" fillId="3" borderId="353" xfId="25" applyNumberFormat="1" applyFont="1" applyFill="1" applyBorder="1" applyAlignment="1">
      <alignment horizontal="center" vertical="center" wrapText="1"/>
    </xf>
    <xf numFmtId="1" fontId="6" fillId="3" borderId="343" xfId="25" applyNumberFormat="1" applyFont="1" applyFill="1" applyBorder="1" applyAlignment="1">
      <alignment horizontal="center" vertical="center" wrapText="1"/>
    </xf>
    <xf numFmtId="1" fontId="49" fillId="0" borderId="506" xfId="0" applyNumberFormat="1" applyFont="1" applyBorder="1" applyAlignment="1">
      <alignment horizontal="left" vertical="center" wrapText="1"/>
    </xf>
    <xf numFmtId="1" fontId="51" fillId="3" borderId="354" xfId="25" applyNumberFormat="1" applyFont="1" applyFill="1" applyBorder="1" applyAlignment="1">
      <alignment horizontal="left" wrapText="1"/>
    </xf>
    <xf numFmtId="1" fontId="6" fillId="3" borderId="510" xfId="0" applyNumberFormat="1" applyFont="1" applyFill="1" applyBorder="1" applyAlignment="1">
      <alignment horizontal="center" vertical="center" wrapText="1"/>
    </xf>
    <xf numFmtId="1" fontId="6" fillId="3" borderId="503" xfId="0" applyNumberFormat="1" applyFont="1" applyFill="1" applyBorder="1" applyAlignment="1">
      <alignment horizontal="center" vertical="center" wrapText="1"/>
    </xf>
    <xf numFmtId="1" fontId="6" fillId="3" borderId="510" xfId="0" applyNumberFormat="1" applyFont="1" applyFill="1" applyBorder="1" applyAlignment="1">
      <alignment horizontal="left" vertical="center" wrapText="1"/>
    </xf>
    <xf numFmtId="1" fontId="6" fillId="3" borderId="503" xfId="0" applyNumberFormat="1" applyFont="1" applyFill="1" applyBorder="1" applyAlignment="1">
      <alignment horizontal="left" vertical="center" wrapText="1"/>
    </xf>
    <xf numFmtId="1" fontId="6" fillId="3" borderId="333" xfId="0" applyNumberFormat="1" applyFont="1" applyFill="1" applyBorder="1" applyAlignment="1">
      <alignment horizontal="left" vertical="center" wrapText="1"/>
    </xf>
    <xf numFmtId="1" fontId="6" fillId="3" borderId="332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505" xfId="0" applyNumberFormat="1" applyFont="1" applyFill="1" applyBorder="1" applyAlignment="1">
      <alignment horizontal="left" vertical="center" wrapText="1"/>
    </xf>
    <xf numFmtId="1" fontId="6" fillId="3" borderId="506" xfId="0" applyNumberFormat="1" applyFont="1" applyFill="1" applyBorder="1" applyAlignment="1">
      <alignment horizontal="left" vertical="center" wrapText="1"/>
    </xf>
    <xf numFmtId="1" fontId="6" fillId="12" borderId="500" xfId="0" applyNumberFormat="1" applyFont="1" applyFill="1" applyBorder="1" applyAlignment="1">
      <alignment horizontal="center" vertical="center" wrapText="1"/>
    </xf>
    <xf numFmtId="1" fontId="6" fillId="12" borderId="544" xfId="0" applyNumberFormat="1" applyFont="1" applyFill="1" applyBorder="1" applyAlignment="1">
      <alignment horizontal="center" vertical="center" wrapText="1"/>
    </xf>
    <xf numFmtId="1" fontId="4" fillId="14" borderId="0" xfId="25" applyNumberFormat="1" applyFont="1" applyFill="1" applyAlignment="1">
      <alignment horizontal="left" wrapText="1"/>
    </xf>
    <xf numFmtId="1" fontId="4" fillId="14" borderId="0" xfId="25" applyNumberFormat="1" applyFont="1" applyFill="1" applyAlignment="1">
      <alignment wrapText="1"/>
    </xf>
    <xf numFmtId="1" fontId="9" fillId="14" borderId="0" xfId="0" applyNumberFormat="1" applyFont="1" applyFill="1" applyAlignment="1">
      <alignment wrapText="1"/>
    </xf>
    <xf numFmtId="1" fontId="6" fillId="3" borderId="0" xfId="0" applyNumberFormat="1" applyFont="1" applyFill="1" applyAlignment="1">
      <alignment horizontal="center" vertical="center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435" xfId="0" applyNumberFormat="1" applyFont="1" applyFill="1" applyBorder="1" applyAlignment="1">
      <alignment horizontal="center" vertical="center" wrapText="1"/>
    </xf>
    <xf numFmtId="1" fontId="6" fillId="0" borderId="1813" xfId="0" applyNumberFormat="1" applyFont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/>
    </xf>
    <xf numFmtId="1" fontId="6" fillId="0" borderId="456" xfId="0" applyNumberFormat="1" applyFont="1" applyBorder="1" applyAlignment="1">
      <alignment horizontal="center"/>
    </xf>
    <xf numFmtId="1" fontId="6" fillId="0" borderId="498" xfId="0" applyNumberFormat="1" applyFont="1" applyBorder="1"/>
    <xf numFmtId="1" fontId="6" fillId="0" borderId="51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3" borderId="515" xfId="0" applyNumberFormat="1" applyFont="1" applyFill="1" applyBorder="1" applyAlignment="1">
      <alignment horizontal="left" vertical="center" wrapText="1"/>
    </xf>
    <xf numFmtId="1" fontId="6" fillId="3" borderId="498" xfId="0" applyNumberFormat="1" applyFont="1" applyFill="1" applyBorder="1" applyAlignment="1">
      <alignment horizontal="left" vertical="center" wrapText="1"/>
    </xf>
    <xf numFmtId="1" fontId="6" fillId="3" borderId="52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0" fontId="49" fillId="0" borderId="1863" xfId="0" applyFont="1" applyBorder="1" applyAlignment="1">
      <alignment horizontal="left" vertical="center" wrapText="1"/>
    </xf>
    <xf numFmtId="0" fontId="49" fillId="0" borderId="1864" xfId="0" applyFont="1" applyBorder="1" applyAlignment="1">
      <alignment horizontal="left" vertical="center" wrapText="1"/>
    </xf>
    <xf numFmtId="0" fontId="49" fillId="0" borderId="1735" xfId="0" applyFont="1" applyBorder="1" applyAlignment="1">
      <alignment horizontal="left" vertical="center" wrapText="1"/>
    </xf>
    <xf numFmtId="0" fontId="49" fillId="0" borderId="1678" xfId="0" applyFont="1" applyBorder="1" applyAlignment="1">
      <alignment horizontal="left" vertical="center" wrapText="1"/>
    </xf>
    <xf numFmtId="0" fontId="91" fillId="0" borderId="1813" xfId="0" applyFont="1" applyBorder="1" applyAlignment="1">
      <alignment horizontal="center" vertical="center"/>
    </xf>
    <xf numFmtId="0" fontId="91" fillId="0" borderId="1865" xfId="0" applyFont="1" applyBorder="1" applyAlignment="1">
      <alignment horizontal="center" vertical="center"/>
    </xf>
    <xf numFmtId="0" fontId="91" fillId="0" borderId="1859" xfId="0" applyFont="1" applyBorder="1" applyAlignment="1">
      <alignment horizontal="center"/>
    </xf>
    <xf numFmtId="0" fontId="91" fillId="0" borderId="1860" xfId="0" applyFont="1" applyBorder="1" applyAlignment="1">
      <alignment horizontal="center"/>
    </xf>
    <xf numFmtId="0" fontId="49" fillId="0" borderId="1861" xfId="0" applyFont="1" applyBorder="1" applyAlignment="1">
      <alignment horizontal="left" vertical="center"/>
    </xf>
    <xf numFmtId="0" fontId="49" fillId="0" borderId="1862" xfId="0" applyFont="1" applyBorder="1" applyAlignment="1">
      <alignment horizontal="left" vertical="center"/>
    </xf>
    <xf numFmtId="0" fontId="49" fillId="0" borderId="698" xfId="0" applyFont="1" applyBorder="1" applyAlignment="1">
      <alignment horizontal="left" vertical="center"/>
    </xf>
    <xf numFmtId="0" fontId="49" fillId="0" borderId="828" xfId="0" applyFont="1" applyBorder="1" applyAlignment="1">
      <alignment horizontal="left" vertical="center"/>
    </xf>
    <xf numFmtId="0" fontId="49" fillId="0" borderId="698" xfId="0" applyFont="1" applyBorder="1" applyAlignment="1">
      <alignment horizontal="left" vertical="center" wrapText="1"/>
    </xf>
    <xf numFmtId="0" fontId="49" fillId="0" borderId="828" xfId="0" applyFont="1" applyBorder="1" applyAlignment="1">
      <alignment horizontal="left" vertical="center" wrapText="1"/>
    </xf>
    <xf numFmtId="0" fontId="49" fillId="0" borderId="1735" xfId="0" applyFont="1" applyBorder="1" applyAlignment="1">
      <alignment horizontal="left" vertical="center"/>
    </xf>
    <xf numFmtId="0" fontId="49" fillId="0" borderId="1678" xfId="0" applyFont="1" applyBorder="1" applyAlignment="1">
      <alignment horizontal="left" vertical="center"/>
    </xf>
    <xf numFmtId="0" fontId="91" fillId="0" borderId="1813" xfId="0" applyFont="1" applyBorder="1" applyAlignment="1">
      <alignment horizontal="left" vertical="center"/>
    </xf>
    <xf numFmtId="0" fontId="91" fillId="0" borderId="1865" xfId="0" applyFont="1" applyBorder="1" applyAlignment="1">
      <alignment horizontal="left" vertical="center"/>
    </xf>
    <xf numFmtId="0" fontId="49" fillId="0" borderId="1445" xfId="0" applyFont="1" applyBorder="1" applyAlignment="1">
      <alignment horizontal="left" vertical="center"/>
    </xf>
    <xf numFmtId="0" fontId="49" fillId="0" borderId="1923" xfId="0" applyFont="1" applyBorder="1" applyAlignment="1">
      <alignment horizontal="center" vertical="center"/>
    </xf>
    <xf numFmtId="1" fontId="6" fillId="0" borderId="1744" xfId="0" applyNumberFormat="1" applyFont="1" applyBorder="1" applyAlignment="1">
      <alignment horizontal="center" vertical="center" wrapText="1"/>
    </xf>
    <xf numFmtId="1" fontId="13" fillId="3" borderId="1856" xfId="0" applyNumberFormat="1" applyFont="1" applyFill="1" applyBorder="1" applyAlignment="1">
      <alignment horizontal="left" vertical="center"/>
    </xf>
    <xf numFmtId="1" fontId="6" fillId="3" borderId="1856" xfId="0" applyNumberFormat="1" applyFont="1" applyFill="1" applyBorder="1" applyAlignment="1">
      <alignment horizontal="center" vertical="center"/>
    </xf>
    <xf numFmtId="1" fontId="6" fillId="3" borderId="1856" xfId="0" applyNumberFormat="1" applyFont="1" applyFill="1" applyBorder="1" applyAlignment="1">
      <alignment horizontal="center" vertical="center" wrapText="1"/>
    </xf>
    <xf numFmtId="1" fontId="13" fillId="3" borderId="1856" xfId="0" applyNumberFormat="1" applyFont="1" applyFill="1" applyBorder="1" applyAlignment="1">
      <alignment horizontal="center" vertical="center"/>
    </xf>
    <xf numFmtId="1" fontId="49" fillId="3" borderId="698" xfId="0" applyNumberFormat="1" applyFont="1" applyFill="1" applyBorder="1"/>
    <xf numFmtId="1" fontId="49" fillId="3" borderId="840" xfId="0" applyNumberFormat="1" applyFont="1" applyFill="1" applyBorder="1"/>
    <xf numFmtId="1" fontId="49" fillId="3" borderId="828" xfId="0" applyNumberFormat="1" applyFont="1" applyFill="1" applyBorder="1"/>
    <xf numFmtId="1" fontId="49" fillId="3" borderId="1863" xfId="0" applyNumberFormat="1" applyFont="1" applyFill="1" applyBorder="1"/>
    <xf numFmtId="1" fontId="49" fillId="3" borderId="1873" xfId="0" applyNumberFormat="1" applyFont="1" applyFill="1" applyBorder="1"/>
    <xf numFmtId="1" fontId="49" fillId="3" borderId="1864" xfId="0" applyNumberFormat="1" applyFont="1" applyFill="1" applyBorder="1"/>
    <xf numFmtId="1" fontId="13" fillId="3" borderId="1735" xfId="0" applyNumberFormat="1" applyFont="1" applyFill="1" applyBorder="1"/>
    <xf numFmtId="1" fontId="13" fillId="3" borderId="1092" xfId="0" applyNumberFormat="1" applyFont="1" applyFill="1" applyBorder="1"/>
    <xf numFmtId="1" fontId="13" fillId="3" borderId="1678" xfId="0" applyNumberFormat="1" applyFont="1" applyFill="1" applyBorder="1"/>
    <xf numFmtId="1" fontId="6" fillId="0" borderId="1723" xfId="0" applyNumberFormat="1" applyFont="1" applyBorder="1" applyAlignment="1">
      <alignment horizontal="center" vertical="center" wrapText="1"/>
    </xf>
    <xf numFmtId="1" fontId="6" fillId="0" borderId="1682" xfId="0" applyNumberFormat="1" applyFont="1" applyBorder="1" applyAlignment="1">
      <alignment horizontal="center" vertical="center" wrapText="1"/>
    </xf>
    <xf numFmtId="1" fontId="6" fillId="0" borderId="1854" xfId="0" applyNumberFormat="1" applyFont="1" applyBorder="1" applyAlignment="1">
      <alignment horizontal="center" vertical="center" wrapText="1"/>
    </xf>
    <xf numFmtId="1" fontId="13" fillId="3" borderId="1640" xfId="0" applyNumberFormat="1" applyFont="1" applyFill="1" applyBorder="1" applyAlignment="1">
      <alignment horizontal="center" vertical="center"/>
    </xf>
    <xf numFmtId="1" fontId="13" fillId="3" borderId="1002" xfId="0" applyNumberFormat="1" applyFont="1" applyFill="1" applyBorder="1" applyAlignment="1">
      <alignment horizontal="center" vertical="center"/>
    </xf>
    <xf numFmtId="1" fontId="13" fillId="3" borderId="1641" xfId="0" applyNumberFormat="1" applyFont="1" applyFill="1" applyBorder="1" applyAlignment="1">
      <alignment horizontal="center" vertical="center"/>
    </xf>
    <xf numFmtId="1" fontId="13" fillId="3" borderId="1735" xfId="0" applyNumberFormat="1" applyFont="1" applyFill="1" applyBorder="1" applyAlignment="1">
      <alignment horizontal="center" vertical="center"/>
    </xf>
    <xf numFmtId="1" fontId="13" fillId="3" borderId="1092" xfId="0" applyNumberFormat="1" applyFont="1" applyFill="1" applyBorder="1" applyAlignment="1">
      <alignment horizontal="center" vertical="center"/>
    </xf>
    <xf numFmtId="1" fontId="13" fillId="3" borderId="1678" xfId="0" applyNumberFormat="1" applyFont="1" applyFill="1" applyBorder="1" applyAlignment="1">
      <alignment horizontal="center" vertical="center"/>
    </xf>
    <xf numFmtId="1" fontId="49" fillId="3" borderId="1861" xfId="0" applyNumberFormat="1" applyFont="1" applyFill="1" applyBorder="1"/>
    <xf numFmtId="1" fontId="49" fillId="3" borderId="1872" xfId="0" applyNumberFormat="1" applyFont="1" applyFill="1" applyBorder="1"/>
    <xf numFmtId="1" fontId="49" fillId="3" borderId="1862" xfId="0" applyNumberFormat="1" applyFont="1" applyFill="1" applyBorder="1"/>
    <xf numFmtId="1" fontId="6" fillId="3" borderId="698" xfId="0" applyNumberFormat="1" applyFont="1" applyFill="1" applyBorder="1"/>
    <xf numFmtId="1" fontId="6" fillId="3" borderId="840" xfId="0" applyNumberFormat="1" applyFont="1" applyFill="1" applyBorder="1"/>
    <xf numFmtId="1" fontId="6" fillId="3" borderId="828" xfId="0" applyNumberFormat="1" applyFont="1" applyFill="1" applyBorder="1"/>
    <xf numFmtId="1" fontId="6" fillId="3" borderId="1735" xfId="0" applyNumberFormat="1" applyFont="1" applyFill="1" applyBorder="1"/>
    <xf numFmtId="1" fontId="6" fillId="3" borderId="1092" xfId="0" applyNumberFormat="1" applyFont="1" applyFill="1" applyBorder="1"/>
    <xf numFmtId="1" fontId="6" fillId="3" borderId="1678" xfId="0" applyNumberFormat="1" applyFont="1" applyFill="1" applyBorder="1"/>
    <xf numFmtId="1" fontId="49" fillId="3" borderId="1735" xfId="0" applyNumberFormat="1" applyFont="1" applyFill="1" applyBorder="1"/>
    <xf numFmtId="1" fontId="49" fillId="3" borderId="1092" xfId="0" applyNumberFormat="1" applyFont="1" applyFill="1" applyBorder="1"/>
    <xf numFmtId="1" fontId="49" fillId="3" borderId="1678" xfId="0" applyNumberFormat="1" applyFont="1" applyFill="1" applyBorder="1"/>
    <xf numFmtId="1" fontId="6" fillId="3" borderId="1861" xfId="0" applyNumberFormat="1" applyFont="1" applyFill="1" applyBorder="1"/>
    <xf numFmtId="1" fontId="6" fillId="3" borderId="1872" xfId="0" applyNumberFormat="1" applyFont="1" applyFill="1" applyBorder="1"/>
    <xf numFmtId="1" fontId="6" fillId="3" borderId="1862" xfId="0" applyNumberFormat="1" applyFont="1" applyFill="1" applyBorder="1"/>
    <xf numFmtId="1" fontId="49" fillId="3" borderId="1664" xfId="0" applyNumberFormat="1" applyFont="1" applyFill="1" applyBorder="1"/>
    <xf numFmtId="1" fontId="49" fillId="3" borderId="71" xfId="0" applyNumberFormat="1" applyFont="1" applyFill="1" applyBorder="1"/>
    <xf numFmtId="1" fontId="49" fillId="3" borderId="1445" xfId="0" applyNumberFormat="1" applyFont="1" applyFill="1" applyBorder="1"/>
    <xf numFmtId="1" fontId="2" fillId="14" borderId="0" xfId="0" applyNumberFormat="1" applyFont="1" applyFill="1" applyAlignment="1">
      <alignment horizontal="center"/>
    </xf>
    <xf numFmtId="1" fontId="11" fillId="14" borderId="1813" xfId="25" applyNumberFormat="1" applyFont="1" applyFill="1" applyBorder="1" applyAlignment="1">
      <alignment horizontal="center" wrapText="1"/>
    </xf>
    <xf numFmtId="1" fontId="11" fillId="14" borderId="1865" xfId="25" applyNumberFormat="1" applyFont="1" applyFill="1" applyBorder="1" applyAlignment="1">
      <alignment horizontal="center" wrapText="1"/>
    </xf>
    <xf numFmtId="1" fontId="53" fillId="14" borderId="1863" xfId="0" applyNumberFormat="1" applyFont="1" applyFill="1" applyBorder="1" applyAlignment="1">
      <alignment horizontal="left" vertical="center" wrapText="1"/>
    </xf>
    <xf numFmtId="1" fontId="53" fillId="14" borderId="1637" xfId="0" applyNumberFormat="1" applyFont="1" applyFill="1" applyBorder="1" applyAlignment="1">
      <alignment horizontal="left" vertical="center" wrapText="1"/>
    </xf>
    <xf numFmtId="1" fontId="53" fillId="14" borderId="1635" xfId="0" applyNumberFormat="1" applyFont="1" applyFill="1" applyBorder="1" applyAlignment="1">
      <alignment horizontal="left" vertical="center" wrapText="1"/>
    </xf>
    <xf numFmtId="1" fontId="11" fillId="14" borderId="1670" xfId="0" applyNumberFormat="1" applyFont="1" applyFill="1" applyBorder="1" applyAlignment="1">
      <alignment horizontal="left" vertical="center" wrapText="1"/>
    </xf>
    <xf numFmtId="1" fontId="53" fillId="14" borderId="1670" xfId="0" applyNumberFormat="1" applyFont="1" applyFill="1" applyBorder="1" applyAlignment="1">
      <alignment horizontal="left" vertical="center" wrapText="1"/>
    </xf>
    <xf numFmtId="1" fontId="53" fillId="14" borderId="1761" xfId="0" applyNumberFormat="1" applyFont="1" applyFill="1" applyBorder="1" applyAlignment="1">
      <alignment horizontal="left" vertical="center" wrapText="1"/>
    </xf>
    <xf numFmtId="1" fontId="53" fillId="14" borderId="1861" xfId="0" applyNumberFormat="1" applyFont="1" applyFill="1" applyBorder="1" applyAlignment="1">
      <alignment horizontal="left" vertical="center" wrapText="1"/>
    </xf>
    <xf numFmtId="1" fontId="53" fillId="14" borderId="1862" xfId="0" applyNumberFormat="1" applyFont="1" applyFill="1" applyBorder="1" applyAlignment="1">
      <alignment horizontal="left" vertical="center" wrapText="1"/>
    </xf>
    <xf numFmtId="1" fontId="53" fillId="14" borderId="1735" xfId="0" applyNumberFormat="1" applyFont="1" applyFill="1" applyBorder="1" applyAlignment="1">
      <alignment horizontal="left" vertical="center" wrapText="1"/>
    </xf>
    <xf numFmtId="1" fontId="53" fillId="14" borderId="1678" xfId="0" applyNumberFormat="1" applyFont="1" applyFill="1" applyBorder="1" applyAlignment="1">
      <alignment horizontal="left" vertical="center" wrapText="1"/>
    </xf>
    <xf numFmtId="1" fontId="53" fillId="14" borderId="1639" xfId="0" applyNumberFormat="1" applyFont="1" applyFill="1" applyBorder="1" applyAlignment="1">
      <alignment horizontal="center" vertical="center" wrapText="1"/>
    </xf>
    <xf numFmtId="1" fontId="53" fillId="14" borderId="1670" xfId="0" applyNumberFormat="1" applyFont="1" applyFill="1" applyBorder="1" applyAlignment="1">
      <alignment horizontal="center" vertical="center" wrapText="1"/>
    </xf>
    <xf numFmtId="1" fontId="53" fillId="14" borderId="1761" xfId="0" applyNumberFormat="1" applyFont="1" applyFill="1" applyBorder="1" applyAlignment="1">
      <alignment horizontal="center" vertical="center" wrapText="1"/>
    </xf>
    <xf numFmtId="1" fontId="53" fillId="14" borderId="1639" xfId="0" applyNumberFormat="1" applyFont="1" applyFill="1" applyBorder="1" applyAlignment="1">
      <alignment horizontal="left" vertical="center" wrapText="1"/>
    </xf>
    <xf numFmtId="1" fontId="53" fillId="14" borderId="1872" xfId="0" applyNumberFormat="1" applyFont="1" applyFill="1" applyBorder="1" applyAlignment="1">
      <alignment horizontal="left" vertical="center" wrapText="1"/>
    </xf>
    <xf numFmtId="1" fontId="49" fillId="3" borderId="2112" xfId="0" applyNumberFormat="1" applyFont="1" applyFill="1" applyBorder="1" applyAlignment="1">
      <alignment horizontal="center" vertical="center"/>
    </xf>
    <xf numFmtId="1" fontId="49" fillId="3" borderId="2150" xfId="0" applyNumberFormat="1" applyFont="1" applyFill="1" applyBorder="1" applyAlignment="1">
      <alignment horizontal="center" vertical="center"/>
    </xf>
    <xf numFmtId="1" fontId="49" fillId="3" borderId="2143" xfId="0" applyNumberFormat="1" applyFont="1" applyFill="1" applyBorder="1" applyAlignment="1">
      <alignment horizontal="center" vertical="center"/>
    </xf>
    <xf numFmtId="1" fontId="49" fillId="3" borderId="1956" xfId="0" applyNumberFormat="1" applyFont="1" applyFill="1" applyBorder="1" applyAlignment="1">
      <alignment horizontal="center" vertical="center"/>
    </xf>
    <xf numFmtId="1" fontId="49" fillId="3" borderId="1957" xfId="0" applyNumberFormat="1" applyFont="1" applyFill="1" applyBorder="1" applyAlignment="1">
      <alignment horizontal="center" vertical="center"/>
    </xf>
    <xf numFmtId="1" fontId="49" fillId="3" borderId="1920" xfId="0" applyNumberFormat="1" applyFont="1" applyFill="1" applyBorder="1" applyAlignment="1">
      <alignment horizontal="center" vertical="center"/>
    </xf>
    <xf numFmtId="1" fontId="49" fillId="14" borderId="2139" xfId="0" applyNumberFormat="1" applyFont="1" applyFill="1" applyBorder="1" applyAlignment="1">
      <alignment horizontal="center" vertical="center"/>
    </xf>
    <xf numFmtId="1" fontId="49" fillId="14" borderId="517" xfId="0" applyNumberFormat="1" applyFont="1" applyFill="1" applyBorder="1" applyAlignment="1">
      <alignment horizontal="center" vertical="center"/>
    </xf>
    <xf numFmtId="1" fontId="49" fillId="14" borderId="1920" xfId="0" applyNumberFormat="1" applyFont="1" applyFill="1" applyBorder="1" applyAlignment="1">
      <alignment horizontal="center" vertical="center"/>
    </xf>
    <xf numFmtId="1" fontId="49" fillId="0" borderId="2140" xfId="0" applyNumberFormat="1" applyFont="1" applyBorder="1" applyAlignment="1">
      <alignment horizontal="center" vertical="center"/>
    </xf>
    <xf numFmtId="1" fontId="49" fillId="0" borderId="811" xfId="0" applyNumberFormat="1" applyFont="1" applyBorder="1" applyAlignment="1">
      <alignment horizontal="center" vertical="center"/>
    </xf>
    <xf numFmtId="1" fontId="49" fillId="0" borderId="2139" xfId="0" applyNumberFormat="1" applyFont="1" applyBorder="1" applyAlignment="1">
      <alignment horizontal="center" vertical="center"/>
    </xf>
    <xf numFmtId="1" fontId="49" fillId="0" borderId="1956" xfId="0" applyNumberFormat="1" applyFont="1" applyBorder="1" applyAlignment="1">
      <alignment horizontal="center" vertical="center"/>
    </xf>
    <xf numFmtId="1" fontId="49" fillId="0" borderId="1957" xfId="0" applyNumberFormat="1" applyFont="1" applyBorder="1" applyAlignment="1">
      <alignment horizontal="center" vertical="center"/>
    </xf>
    <xf numFmtId="1" fontId="49" fillId="0" borderId="1920" xfId="0" applyNumberFormat="1" applyFont="1" applyBorder="1" applyAlignment="1">
      <alignment horizontal="center" vertical="center"/>
    </xf>
    <xf numFmtId="1" fontId="49" fillId="0" borderId="2112" xfId="0" applyNumberFormat="1" applyFont="1" applyBorder="1" applyAlignment="1">
      <alignment horizontal="center" vertical="center"/>
    </xf>
    <xf numFmtId="1" fontId="49" fillId="0" borderId="2143" xfId="0" applyNumberFormat="1" applyFont="1" applyBorder="1" applyAlignment="1">
      <alignment horizontal="center" vertical="center"/>
    </xf>
    <xf numFmtId="1" fontId="32" fillId="0" borderId="606" xfId="0" applyNumberFormat="1" applyFont="1" applyBorder="1" applyAlignment="1">
      <alignment horizontal="left" vertical="center" wrapText="1"/>
    </xf>
    <xf numFmtId="1" fontId="32" fillId="0" borderId="607" xfId="0" applyNumberFormat="1" applyFont="1" applyBorder="1" applyAlignment="1">
      <alignment horizontal="left" vertical="center" wrapText="1"/>
    </xf>
    <xf numFmtId="1" fontId="32" fillId="0" borderId="522" xfId="0" applyNumberFormat="1" applyFont="1" applyBorder="1" applyAlignment="1">
      <alignment horizontal="left" vertical="center" wrapText="1"/>
    </xf>
    <xf numFmtId="1" fontId="32" fillId="0" borderId="31" xfId="0" applyNumberFormat="1" applyFont="1" applyBorder="1" applyAlignment="1">
      <alignment horizontal="left" vertical="center" wrapText="1"/>
    </xf>
    <xf numFmtId="1" fontId="32" fillId="0" borderId="71" xfId="0" applyNumberFormat="1" applyFont="1" applyBorder="1" applyAlignment="1">
      <alignment horizontal="left" vertical="center" wrapText="1"/>
    </xf>
    <xf numFmtId="1" fontId="32" fillId="0" borderId="612" xfId="0" applyNumberFormat="1" applyFont="1" applyBorder="1" applyAlignment="1">
      <alignment horizontal="left" vertical="center" wrapText="1"/>
    </xf>
    <xf numFmtId="1" fontId="32" fillId="14" borderId="952" xfId="0" applyNumberFormat="1" applyFont="1" applyFill="1" applyBorder="1" applyAlignment="1">
      <alignment horizontal="left" vertical="center" wrapText="1"/>
    </xf>
    <xf numFmtId="1" fontId="32" fillId="14" borderId="934" xfId="0" applyNumberFormat="1" applyFont="1" applyFill="1" applyBorder="1" applyAlignment="1">
      <alignment horizontal="left" vertical="center" wrapText="1"/>
    </xf>
    <xf numFmtId="1" fontId="32" fillId="14" borderId="1138" xfId="0" applyNumberFormat="1" applyFont="1" applyFill="1" applyBorder="1" applyAlignment="1">
      <alignment horizontal="left" vertical="center" wrapText="1"/>
    </xf>
    <xf numFmtId="1" fontId="32" fillId="14" borderId="1283" xfId="0" applyNumberFormat="1" applyFont="1" applyFill="1" applyBorder="1" applyAlignment="1">
      <alignment horizontal="left" vertical="center" wrapText="1"/>
    </xf>
    <xf numFmtId="1" fontId="32" fillId="14" borderId="71" xfId="0" applyNumberFormat="1" applyFont="1" applyFill="1" applyBorder="1" applyAlignment="1">
      <alignment horizontal="left" vertical="center" wrapText="1"/>
    </xf>
    <xf numFmtId="1" fontId="32" fillId="14" borderId="1058" xfId="0" applyNumberFormat="1" applyFont="1" applyFill="1" applyBorder="1" applyAlignment="1">
      <alignment horizontal="left" vertical="center" wrapText="1"/>
    </xf>
    <xf numFmtId="1" fontId="32" fillId="0" borderId="580" xfId="0" applyNumberFormat="1" applyFont="1" applyBorder="1" applyAlignment="1">
      <alignment horizontal="center" vertical="center"/>
    </xf>
    <xf numFmtId="1" fontId="32" fillId="14" borderId="1118" xfId="0" applyNumberFormat="1" applyFont="1" applyFill="1" applyBorder="1" applyAlignment="1">
      <alignment horizontal="left" vertical="center" wrapText="1"/>
    </xf>
    <xf numFmtId="1" fontId="32" fillId="14" borderId="1117" xfId="0" applyNumberFormat="1" applyFont="1" applyFill="1" applyBorder="1" applyAlignment="1">
      <alignment horizontal="left" vertical="center" wrapText="1"/>
    </xf>
    <xf numFmtId="1" fontId="32" fillId="0" borderId="444" xfId="0" applyNumberFormat="1" applyFont="1" applyBorder="1" applyAlignment="1">
      <alignment horizontal="center"/>
    </xf>
    <xf numFmtId="1" fontId="32" fillId="0" borderId="442" xfId="0" applyNumberFormat="1" applyFont="1" applyBorder="1" applyAlignment="1">
      <alignment horizontal="center"/>
    </xf>
    <xf numFmtId="1" fontId="32" fillId="0" borderId="1440" xfId="0" applyNumberFormat="1" applyFont="1" applyBorder="1" applyAlignment="1">
      <alignment horizontal="center" vertical="center"/>
    </xf>
    <xf numFmtId="1" fontId="32" fillId="0" borderId="1457" xfId="0" applyNumberFormat="1" applyFont="1" applyBorder="1" applyAlignment="1">
      <alignment horizontal="center" vertical="center"/>
    </xf>
    <xf numFmtId="1" fontId="32" fillId="0" borderId="51" xfId="0" applyNumberFormat="1" applyFont="1" applyBorder="1" applyAlignment="1">
      <alignment horizontal="left" vertical="center" wrapText="1"/>
    </xf>
    <xf numFmtId="1" fontId="32" fillId="0" borderId="40" xfId="0" applyNumberFormat="1" applyFont="1" applyBorder="1" applyAlignment="1">
      <alignment horizontal="left" vertical="center" wrapText="1"/>
    </xf>
    <xf numFmtId="1" fontId="32" fillId="0" borderId="50" xfId="0" applyNumberFormat="1" applyFont="1" applyBorder="1" applyAlignment="1">
      <alignment horizontal="left" vertical="center" wrapText="1"/>
    </xf>
    <xf numFmtId="1" fontId="32" fillId="0" borderId="447" xfId="0" applyNumberFormat="1" applyFont="1" applyBorder="1" applyAlignment="1">
      <alignment horizontal="center" vertical="center" wrapText="1"/>
    </xf>
    <xf numFmtId="1" fontId="32" fillId="0" borderId="442" xfId="0" applyNumberFormat="1" applyFont="1" applyBorder="1" applyAlignment="1">
      <alignment horizontal="center" vertical="center"/>
    </xf>
    <xf numFmtId="1" fontId="32" fillId="0" borderId="453" xfId="0" applyNumberFormat="1" applyFont="1" applyBorder="1" applyAlignment="1">
      <alignment horizontal="left" vertical="center" wrapText="1"/>
    </xf>
    <xf numFmtId="1" fontId="32" fillId="0" borderId="451" xfId="0" applyNumberFormat="1" applyFont="1" applyBorder="1" applyAlignment="1">
      <alignment horizontal="left" vertical="center" wrapText="1"/>
    </xf>
    <xf numFmtId="1" fontId="32" fillId="14" borderId="61" xfId="0" applyNumberFormat="1" applyFont="1" applyFill="1" applyBorder="1" applyAlignment="1">
      <alignment horizontal="left" vertical="center" wrapText="1"/>
    </xf>
    <xf numFmtId="1" fontId="32" fillId="14" borderId="291" xfId="0" applyNumberFormat="1" applyFont="1" applyFill="1" applyBorder="1" applyAlignment="1">
      <alignment horizontal="left" vertical="center" wrapText="1"/>
    </xf>
    <xf numFmtId="1" fontId="32" fillId="0" borderId="1697" xfId="0" applyNumberFormat="1" applyFont="1" applyBorder="1" applyAlignment="1">
      <alignment horizontal="center" vertical="center" wrapText="1"/>
    </xf>
    <xf numFmtId="1" fontId="32" fillId="0" borderId="241" xfId="0" applyNumberFormat="1" applyFont="1" applyBorder="1" applyAlignment="1">
      <alignment horizontal="center" vertical="center"/>
    </xf>
    <xf numFmtId="1" fontId="32" fillId="0" borderId="423" xfId="0" applyNumberFormat="1" applyFont="1" applyBorder="1" applyAlignment="1">
      <alignment horizontal="center" vertical="center"/>
    </xf>
    <xf numFmtId="1" fontId="32" fillId="0" borderId="68" xfId="0" applyNumberFormat="1" applyFont="1" applyBorder="1" applyAlignment="1">
      <alignment horizontal="center" vertical="center"/>
    </xf>
    <xf numFmtId="1" fontId="32" fillId="0" borderId="447" xfId="0" applyNumberFormat="1" applyFont="1" applyBorder="1" applyAlignment="1">
      <alignment horizontal="center" vertical="center"/>
    </xf>
    <xf numFmtId="1" fontId="32" fillId="0" borderId="461" xfId="0" applyNumberFormat="1" applyFont="1" applyBorder="1" applyAlignment="1">
      <alignment horizontal="center" vertical="center"/>
    </xf>
    <xf numFmtId="1" fontId="32" fillId="0" borderId="40" xfId="0" applyNumberFormat="1" applyFont="1" applyBorder="1" applyAlignment="1">
      <alignment horizontal="left"/>
    </xf>
    <xf numFmtId="1" fontId="32" fillId="0" borderId="50" xfId="0" applyNumberFormat="1" applyFont="1" applyBorder="1" applyAlignment="1">
      <alignment horizontal="left"/>
    </xf>
    <xf numFmtId="1" fontId="32" fillId="0" borderId="40" xfId="0" quotePrefix="1" applyNumberFormat="1" applyFont="1" applyBorder="1" applyAlignment="1">
      <alignment horizontal="left"/>
    </xf>
    <xf numFmtId="1" fontId="32" fillId="0" borderId="1459" xfId="0" applyNumberFormat="1" applyFont="1" applyBorder="1" applyAlignment="1">
      <alignment horizontal="left" vertical="center" wrapText="1"/>
    </xf>
    <xf numFmtId="1" fontId="32" fillId="0" borderId="1460" xfId="0" applyNumberFormat="1" applyFont="1" applyBorder="1" applyAlignment="1">
      <alignment horizontal="left" vertical="center" wrapText="1"/>
    </xf>
    <xf numFmtId="1" fontId="32" fillId="0" borderId="1284" xfId="0" applyNumberFormat="1" applyFont="1" applyBorder="1" applyAlignment="1">
      <alignment horizontal="left" vertical="center" wrapText="1"/>
    </xf>
    <xf numFmtId="1" fontId="32" fillId="0" borderId="1130" xfId="0" applyNumberFormat="1" applyFont="1" applyBorder="1" applyAlignment="1">
      <alignment horizontal="left" vertical="center" wrapText="1"/>
    </xf>
    <xf numFmtId="1" fontId="32" fillId="0" borderId="1462" xfId="0" applyNumberFormat="1" applyFont="1" applyBorder="1" applyAlignment="1">
      <alignment horizontal="center" vertical="center" wrapText="1"/>
    </xf>
    <xf numFmtId="1" fontId="64" fillId="3" borderId="0" xfId="0" applyNumberFormat="1" applyFont="1" applyFill="1" applyAlignment="1">
      <alignment horizontal="center" vertical="center"/>
    </xf>
    <xf numFmtId="164" fontId="32" fillId="14" borderId="2435" xfId="6" applyNumberFormat="1" applyFont="1" applyFill="1" applyBorder="1" applyAlignment="1">
      <alignment horizontal="center" vertical="center"/>
    </xf>
    <xf numFmtId="164" fontId="32" fillId="14" borderId="2437" xfId="6" applyNumberFormat="1" applyFont="1" applyFill="1" applyBorder="1" applyAlignment="1">
      <alignment horizontal="center" vertical="center"/>
    </xf>
    <xf numFmtId="164" fontId="32" fillId="14" borderId="2475" xfId="6" applyNumberFormat="1" applyFont="1" applyFill="1" applyBorder="1" applyAlignment="1">
      <alignment horizontal="center" vertical="center"/>
    </xf>
    <xf numFmtId="164" fontId="32" fillId="14" borderId="2469" xfId="6" applyNumberFormat="1" applyFont="1" applyFill="1" applyBorder="1" applyAlignment="1">
      <alignment horizontal="center" vertical="center"/>
    </xf>
    <xf numFmtId="164" fontId="32" fillId="14" borderId="2435" xfId="32" applyNumberFormat="1" applyFont="1" applyFill="1" applyBorder="1" applyAlignment="1" applyProtection="1">
      <alignment horizontal="center"/>
    </xf>
    <xf numFmtId="164" fontId="32" fillId="14" borderId="2436" xfId="32" applyNumberFormat="1" applyFont="1" applyFill="1" applyBorder="1" applyAlignment="1" applyProtection="1">
      <alignment horizontal="center"/>
    </xf>
    <xf numFmtId="164" fontId="32" fillId="14" borderId="2448" xfId="32" applyNumberFormat="1" applyFont="1" applyFill="1" applyBorder="1" applyAlignment="1" applyProtection="1">
      <alignment horizontal="center" vertical="center" wrapText="1"/>
    </xf>
    <xf numFmtId="164" fontId="32" fillId="14" borderId="2465" xfId="32" applyNumberFormat="1" applyFont="1" applyFill="1" applyBorder="1" applyAlignment="1" applyProtection="1">
      <alignment horizontal="center" vertical="center" wrapText="1"/>
    </xf>
    <xf numFmtId="164" fontId="32" fillId="14" borderId="924" xfId="32" applyNumberFormat="1" applyFont="1" applyFill="1" applyBorder="1" applyAlignment="1" applyProtection="1">
      <alignment horizontal="center" vertical="center"/>
    </xf>
    <xf numFmtId="1" fontId="32" fillId="0" borderId="453" xfId="0" applyNumberFormat="1" applyFont="1" applyBorder="1" applyAlignment="1">
      <alignment horizontal="left"/>
    </xf>
    <xf numFmtId="1" fontId="32" fillId="0" borderId="451" xfId="0" applyNumberFormat="1" applyFont="1" applyBorder="1" applyAlignment="1">
      <alignment horizontal="left"/>
    </xf>
    <xf numFmtId="1" fontId="32" fillId="0" borderId="23" xfId="0" applyNumberFormat="1" applyFont="1" applyBorder="1" applyAlignment="1">
      <alignment horizontal="left"/>
    </xf>
    <xf numFmtId="1" fontId="32" fillId="0" borderId="21" xfId="0" applyNumberFormat="1" applyFont="1" applyBorder="1" applyAlignment="1">
      <alignment horizontal="left"/>
    </xf>
    <xf numFmtId="1" fontId="105" fillId="0" borderId="1768" xfId="6" applyNumberFormat="1" applyFont="1" applyBorder="1" applyAlignment="1">
      <alignment horizontal="center" vertical="center"/>
    </xf>
    <xf numFmtId="0" fontId="108" fillId="0" borderId="1768" xfId="6" applyFont="1" applyBorder="1"/>
    <xf numFmtId="0" fontId="108" fillId="0" borderId="1769" xfId="6" applyFont="1" applyBorder="1"/>
    <xf numFmtId="0" fontId="108" fillId="0" borderId="1774" xfId="6" applyFont="1" applyBorder="1"/>
    <xf numFmtId="0" fontId="108" fillId="0" borderId="1775" xfId="6" applyFont="1" applyBorder="1"/>
    <xf numFmtId="1" fontId="49" fillId="0" borderId="1766" xfId="6" applyNumberFormat="1" applyFont="1" applyBorder="1" applyAlignment="1">
      <alignment horizontal="center" vertical="center" wrapText="1"/>
    </xf>
    <xf numFmtId="0" fontId="108" fillId="0" borderId="1777" xfId="6" applyFont="1" applyBorder="1"/>
    <xf numFmtId="1" fontId="49" fillId="0" borderId="1767" xfId="6" applyNumberFormat="1" applyFont="1" applyBorder="1" applyAlignment="1">
      <alignment horizontal="center" vertical="center"/>
    </xf>
    <xf numFmtId="0" fontId="108" fillId="0" borderId="1914" xfId="6" applyFont="1" applyBorder="1"/>
    <xf numFmtId="1" fontId="49" fillId="0" borderId="1771" xfId="6" applyNumberFormat="1" applyFont="1" applyBorder="1" applyAlignment="1">
      <alignment horizontal="center" vertical="center"/>
    </xf>
    <xf numFmtId="0" fontId="108" fillId="0" borderId="1776" xfId="6" applyFont="1" applyBorder="1"/>
    <xf numFmtId="1" fontId="49" fillId="0" borderId="1767" xfId="6" applyNumberFormat="1" applyFont="1" applyBorder="1" applyAlignment="1">
      <alignment horizontal="center" vertical="center" wrapText="1"/>
    </xf>
    <xf numFmtId="0" fontId="108" fillId="0" borderId="1780" xfId="6" applyFont="1" applyBorder="1"/>
    <xf numFmtId="0" fontId="108" fillId="0" borderId="1898" xfId="6" applyFont="1" applyBorder="1"/>
    <xf numFmtId="0" fontId="108" fillId="0" borderId="1773" xfId="6" applyFont="1" applyBorder="1"/>
    <xf numFmtId="1" fontId="6" fillId="0" borderId="169" xfId="0" applyNumberFormat="1" applyFont="1" applyBorder="1" applyAlignment="1">
      <alignment horizontal="center" vertical="center"/>
    </xf>
    <xf numFmtId="1" fontId="6" fillId="0" borderId="170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168" xfId="0" applyNumberFormat="1" applyFont="1" applyBorder="1" applyAlignment="1">
      <alignment horizontal="center" vertical="center" wrapText="1"/>
    </xf>
    <xf numFmtId="1" fontId="11" fillId="0" borderId="161" xfId="0" applyNumberFormat="1" applyFont="1" applyBorder="1" applyAlignment="1">
      <alignment horizontal="center" vertical="center" wrapText="1"/>
    </xf>
    <xf numFmtId="1" fontId="11" fillId="0" borderId="167" xfId="0" applyNumberFormat="1" applyFont="1" applyBorder="1" applyAlignment="1">
      <alignment horizontal="center" vertical="center" wrapText="1"/>
    </xf>
    <xf numFmtId="1" fontId="11" fillId="0" borderId="173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/>
    </xf>
    <xf numFmtId="1" fontId="6" fillId="0" borderId="708" xfId="0" applyNumberFormat="1" applyFont="1" applyBorder="1" applyAlignment="1">
      <alignment horizontal="center" vertical="center"/>
    </xf>
    <xf numFmtId="1" fontId="6" fillId="0" borderId="698" xfId="0" applyNumberFormat="1" applyFont="1" applyBorder="1" applyAlignment="1">
      <alignment horizontal="left" vertical="center" wrapText="1"/>
    </xf>
    <xf numFmtId="1" fontId="6" fillId="0" borderId="699" xfId="0" applyNumberFormat="1" applyFont="1" applyBorder="1" applyAlignment="1">
      <alignment horizontal="left" vertical="center" wrapText="1"/>
    </xf>
    <xf numFmtId="1" fontId="6" fillId="0" borderId="61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815" xfId="0" applyNumberFormat="1" applyFont="1" applyBorder="1" applyAlignment="1">
      <alignment horizontal="center" vertical="center" wrapText="1"/>
    </xf>
    <xf numFmtId="1" fontId="6" fillId="0" borderId="1428" xfId="0" applyNumberFormat="1" applyFont="1" applyBorder="1" applyAlignment="1">
      <alignment horizontal="center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46" xfId="0" applyNumberFormat="1" applyFont="1" applyFill="1" applyBorder="1" applyAlignment="1">
      <alignment horizontal="left" wrapText="1"/>
    </xf>
    <xf numFmtId="1" fontId="6" fillId="3" borderId="176" xfId="0" applyNumberFormat="1" applyFont="1" applyFill="1" applyBorder="1" applyAlignment="1">
      <alignment horizontal="left" wrapText="1"/>
    </xf>
    <xf numFmtId="1" fontId="6" fillId="3" borderId="177" xfId="0" applyNumberFormat="1" applyFont="1" applyFill="1" applyBorder="1" applyAlignment="1">
      <alignment horizontal="left" wrapText="1"/>
    </xf>
    <xf numFmtId="1" fontId="6" fillId="0" borderId="161" xfId="0" applyNumberFormat="1" applyFont="1" applyBorder="1" applyAlignment="1">
      <alignment horizontal="center"/>
    </xf>
    <xf numFmtId="1" fontId="6" fillId="0" borderId="173" xfId="0" applyNumberFormat="1" applyFont="1" applyBorder="1" applyAlignment="1">
      <alignment horizontal="center"/>
    </xf>
    <xf numFmtId="1" fontId="6" fillId="0" borderId="1541" xfId="0" applyNumberFormat="1" applyFont="1" applyBorder="1" applyAlignment="1">
      <alignment horizontal="center" vertical="center"/>
    </xf>
    <xf numFmtId="1" fontId="6" fillId="0" borderId="1542" xfId="0" applyNumberFormat="1" applyFont="1" applyBorder="1" applyAlignment="1">
      <alignment horizontal="center" vertical="center"/>
    </xf>
    <xf numFmtId="1" fontId="6" fillId="0" borderId="1547" xfId="0" applyNumberFormat="1" applyFont="1" applyBorder="1" applyAlignment="1">
      <alignment horizontal="center" vertical="center"/>
    </xf>
    <xf numFmtId="1" fontId="6" fillId="0" borderId="536" xfId="0" applyNumberFormat="1" applyFont="1" applyBorder="1" applyAlignment="1">
      <alignment horizontal="left" vertical="center"/>
    </xf>
    <xf numFmtId="1" fontId="6" fillId="0" borderId="135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866" xfId="0" applyNumberFormat="1" applyFont="1" applyBorder="1" applyAlignment="1">
      <alignment horizontal="left" vertical="center"/>
    </xf>
    <xf numFmtId="1" fontId="6" fillId="0" borderId="893" xfId="0" applyNumberFormat="1" applyFont="1" applyBorder="1" applyAlignment="1">
      <alignment horizontal="left" vertical="center"/>
    </xf>
    <xf numFmtId="1" fontId="6" fillId="0" borderId="757" xfId="0" applyNumberFormat="1" applyFont="1" applyBorder="1" applyAlignment="1">
      <alignment horizontal="left" vertical="center"/>
    </xf>
    <xf numFmtId="1" fontId="6" fillId="0" borderId="855" xfId="0" applyNumberFormat="1" applyFont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left" vertical="center"/>
    </xf>
    <xf numFmtId="1" fontId="6" fillId="3" borderId="431" xfId="0" applyNumberFormat="1" applyFont="1" applyFill="1" applyBorder="1" applyAlignment="1">
      <alignment horizontal="left" vertical="center"/>
    </xf>
    <xf numFmtId="1" fontId="6" fillId="0" borderId="156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435" xfId="0" applyNumberFormat="1" applyFont="1" applyBorder="1" applyAlignment="1">
      <alignment horizontal="center" vertical="center" textRotation="90"/>
    </xf>
    <xf numFmtId="1" fontId="6" fillId="0" borderId="1274" xfId="0" applyNumberFormat="1" applyFont="1" applyBorder="1" applyAlignment="1">
      <alignment horizontal="center" vertical="center" textRotation="90"/>
    </xf>
    <xf numFmtId="1" fontId="6" fillId="0" borderId="174" xfId="0" applyNumberFormat="1" applyFont="1" applyBorder="1" applyAlignment="1">
      <alignment horizontal="center" vertical="center" textRotation="90"/>
    </xf>
    <xf numFmtId="1" fontId="6" fillId="0" borderId="169" xfId="0" applyNumberFormat="1" applyFont="1" applyBorder="1" applyAlignment="1">
      <alignment horizontal="left" wrapText="1"/>
    </xf>
    <xf numFmtId="1" fontId="6" fillId="0" borderId="171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46" xfId="0" applyNumberFormat="1" applyFont="1" applyFill="1" applyBorder="1" applyAlignment="1">
      <alignment horizontal="left" vertical="center" wrapText="1"/>
    </xf>
    <xf numFmtId="1" fontId="6" fillId="0" borderId="137" xfId="0" applyNumberFormat="1" applyFont="1" applyBorder="1" applyAlignment="1">
      <alignment horizont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41" xfId="0" applyNumberFormat="1" applyFont="1" applyBorder="1"/>
    <xf numFmtId="1" fontId="6" fillId="0" borderId="63" xfId="0" applyNumberFormat="1" applyFont="1" applyBorder="1"/>
    <xf numFmtId="1" fontId="6" fillId="0" borderId="73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59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35" xfId="0" applyNumberFormat="1" applyFont="1" applyBorder="1" applyAlignment="1">
      <alignment horizontal="center" vertical="center"/>
    </xf>
    <xf numFmtId="1" fontId="6" fillId="0" borderId="137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54" xfId="0" applyNumberFormat="1" applyFont="1" applyBorder="1" applyAlignment="1">
      <alignment horizontal="center" vertical="center" wrapText="1"/>
    </xf>
    <xf numFmtId="1" fontId="38" fillId="3" borderId="156" xfId="0" applyNumberFormat="1" applyFont="1" applyFill="1" applyBorder="1" applyAlignment="1">
      <alignment horizontal="center" vertical="center" wrapText="1"/>
    </xf>
    <xf numFmtId="1" fontId="38" fillId="3" borderId="174" xfId="0" applyNumberFormat="1" applyFont="1" applyFill="1" applyBorder="1" applyAlignment="1">
      <alignment horizontal="center" vertical="center" wrapText="1"/>
    </xf>
    <xf numFmtId="0" fontId="6" fillId="0" borderId="770" xfId="0" applyFont="1" applyBorder="1" applyAlignment="1">
      <alignment horizontal="center" vertical="center"/>
    </xf>
    <xf numFmtId="1" fontId="6" fillId="0" borderId="775" xfId="0" applyNumberFormat="1" applyFont="1" applyBorder="1" applyAlignment="1">
      <alignment horizontal="center" vertical="center" wrapText="1"/>
    </xf>
    <xf numFmtId="1" fontId="6" fillId="0" borderId="899" xfId="0" applyNumberFormat="1" applyFont="1" applyBorder="1" applyAlignment="1">
      <alignment horizontal="center" vertical="center" wrapText="1"/>
    </xf>
    <xf numFmtId="1" fontId="6" fillId="0" borderId="810" xfId="0" applyNumberFormat="1" applyFont="1" applyBorder="1" applyAlignment="1">
      <alignment horizontal="center" vertical="center" wrapText="1"/>
    </xf>
    <xf numFmtId="1" fontId="6" fillId="0" borderId="886" xfId="0" applyNumberFormat="1" applyFont="1" applyBorder="1" applyAlignment="1">
      <alignment horizontal="center" vertical="center" wrapText="1"/>
    </xf>
    <xf numFmtId="1" fontId="38" fillId="3" borderId="866" xfId="0" applyNumberFormat="1" applyFont="1" applyFill="1" applyBorder="1" applyAlignment="1">
      <alignment horizontal="center" vertical="center" wrapText="1"/>
    </xf>
    <xf numFmtId="1" fontId="38" fillId="3" borderId="894" xfId="0" applyNumberFormat="1" applyFont="1" applyFill="1" applyBorder="1" applyAlignment="1">
      <alignment horizontal="center" vertical="center" wrapText="1"/>
    </xf>
    <xf numFmtId="1" fontId="38" fillId="3" borderId="893" xfId="0" applyNumberFormat="1" applyFont="1" applyFill="1" applyBorder="1" applyAlignment="1">
      <alignment horizontal="center" vertical="center" wrapText="1"/>
    </xf>
    <xf numFmtId="1" fontId="11" fillId="0" borderId="225" xfId="0" applyNumberFormat="1" applyFont="1" applyBorder="1" applyAlignment="1">
      <alignment horizontal="center" vertical="center" wrapText="1"/>
    </xf>
    <xf numFmtId="1" fontId="11" fillId="0" borderId="228" xfId="0" applyNumberFormat="1" applyFont="1" applyBorder="1" applyAlignment="1">
      <alignment horizontal="center" vertical="center" wrapText="1"/>
    </xf>
    <xf numFmtId="1" fontId="49" fillId="3" borderId="1735" xfId="0" applyNumberFormat="1" applyFont="1" applyFill="1" applyBorder="1" applyAlignment="1">
      <alignment horizontal="left" wrapText="1"/>
    </xf>
    <xf numFmtId="1" fontId="49" fillId="3" borderId="1678" xfId="0" applyNumberFormat="1" applyFont="1" applyFill="1" applyBorder="1" applyAlignment="1">
      <alignment horizontal="left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2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38" fillId="0" borderId="164" xfId="0" applyNumberFormat="1" applyFont="1" applyBorder="1" applyAlignment="1">
      <alignment horizontal="center" vertical="center"/>
    </xf>
    <xf numFmtId="1" fontId="38" fillId="0" borderId="171" xfId="0" applyNumberFormat="1" applyFont="1" applyBorder="1" applyAlignment="1">
      <alignment horizontal="center" vertical="center"/>
    </xf>
    <xf numFmtId="1" fontId="38" fillId="0" borderId="175" xfId="0" applyNumberFormat="1" applyFont="1" applyBorder="1" applyAlignment="1">
      <alignment horizontal="center" vertical="center"/>
    </xf>
    <xf numFmtId="1" fontId="38" fillId="0" borderId="177" xfId="0" applyNumberFormat="1" applyFont="1" applyBorder="1" applyAlignment="1">
      <alignment horizontal="center" vertical="center"/>
    </xf>
    <xf numFmtId="1" fontId="6" fillId="0" borderId="1640" xfId="0" applyNumberFormat="1" applyFont="1" applyBorder="1" applyAlignment="1">
      <alignment horizontal="center" vertical="center"/>
    </xf>
    <xf numFmtId="1" fontId="6" fillId="0" borderId="1734" xfId="0" applyNumberFormat="1" applyFont="1" applyBorder="1" applyAlignment="1">
      <alignment horizontal="center" vertical="center"/>
    </xf>
    <xf numFmtId="1" fontId="6" fillId="0" borderId="173" xfId="0" applyNumberFormat="1" applyFont="1" applyBorder="1" applyAlignment="1">
      <alignment horizontal="center" vertical="center"/>
    </xf>
    <xf numFmtId="1" fontId="38" fillId="3" borderId="226" xfId="0" applyNumberFormat="1" applyFont="1" applyFill="1" applyBorder="1" applyAlignment="1">
      <alignment horizontal="center" vertical="center"/>
    </xf>
    <xf numFmtId="1" fontId="38" fillId="3" borderId="227" xfId="0" applyNumberFormat="1" applyFont="1" applyFill="1" applyBorder="1" applyAlignment="1">
      <alignment horizontal="center" vertical="center"/>
    </xf>
    <xf numFmtId="1" fontId="6" fillId="0" borderId="164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48" xfId="0" applyNumberFormat="1" applyFont="1" applyBorder="1" applyAlignment="1">
      <alignment horizontal="left" vertical="center"/>
    </xf>
    <xf numFmtId="1" fontId="6" fillId="0" borderId="14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48" xfId="0" applyNumberFormat="1" applyFont="1" applyBorder="1" applyAlignment="1">
      <alignment horizontal="left" vertical="center" wrapText="1"/>
    </xf>
    <xf numFmtId="1" fontId="6" fillId="0" borderId="146" xfId="0" applyNumberFormat="1" applyFont="1" applyBorder="1" applyAlignment="1">
      <alignment horizontal="left" vertical="center" wrapText="1"/>
    </xf>
    <xf numFmtId="1" fontId="6" fillId="0" borderId="70" xfId="0" applyNumberFormat="1" applyFont="1" applyBorder="1" applyAlignment="1">
      <alignment horizontal="left" vertical="center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38" fillId="3" borderId="848" xfId="0" applyNumberFormat="1" applyFont="1" applyFill="1" applyBorder="1" applyAlignment="1">
      <alignment horizontal="center" vertical="center" wrapText="1"/>
    </xf>
    <xf numFmtId="1" fontId="38" fillId="3" borderId="721" xfId="0" applyNumberFormat="1" applyFont="1" applyFill="1" applyBorder="1" applyAlignment="1">
      <alignment horizontal="center" vertical="center" wrapText="1"/>
    </xf>
    <xf numFmtId="1" fontId="6" fillId="0" borderId="852" xfId="0" applyNumberFormat="1" applyFont="1" applyBorder="1" applyAlignment="1">
      <alignment horizontal="center" vertical="center" wrapText="1"/>
    </xf>
    <xf numFmtId="1" fontId="6" fillId="0" borderId="853" xfId="0" applyNumberFormat="1" applyFont="1" applyBorder="1" applyAlignment="1">
      <alignment horizontal="center" vertical="center" wrapText="1"/>
    </xf>
    <xf numFmtId="1" fontId="6" fillId="0" borderId="854" xfId="0" applyNumberFormat="1" applyFont="1" applyBorder="1" applyAlignment="1">
      <alignment horizontal="center" vertical="center" wrapText="1"/>
    </xf>
    <xf numFmtId="1" fontId="49" fillId="0" borderId="1815" xfId="0" applyNumberFormat="1" applyFont="1" applyBorder="1" applyAlignment="1">
      <alignment horizontal="center" wrapText="1"/>
    </xf>
    <xf numFmtId="1" fontId="49" fillId="0" borderId="1844" xfId="0" applyNumberFormat="1" applyFont="1" applyBorder="1" applyAlignment="1">
      <alignment horizontal="center" wrapText="1"/>
    </xf>
    <xf numFmtId="1" fontId="49" fillId="0" borderId="1691" xfId="0" applyNumberFormat="1" applyFont="1" applyBorder="1" applyAlignment="1">
      <alignment horizontal="center" vertical="center" wrapText="1"/>
    </xf>
    <xf numFmtId="1" fontId="49" fillId="0" borderId="1639" xfId="0" applyNumberFormat="1" applyFont="1" applyBorder="1" applyAlignment="1">
      <alignment horizontal="center" vertical="center" textRotation="90"/>
    </xf>
    <xf numFmtId="1" fontId="49" fillId="0" borderId="1616" xfId="0" applyNumberFormat="1" applyFont="1" applyBorder="1" applyAlignment="1">
      <alignment horizontal="center" vertical="center" textRotation="90"/>
    </xf>
    <xf numFmtId="1" fontId="49" fillId="0" borderId="1761" xfId="0" applyNumberFormat="1" applyFont="1" applyBorder="1" applyAlignment="1">
      <alignment horizontal="center" vertical="center" textRotation="90"/>
    </xf>
    <xf numFmtId="1" fontId="49" fillId="0" borderId="1640" xfId="0" applyNumberFormat="1" applyFont="1" applyBorder="1" applyAlignment="1">
      <alignment horizontal="left" wrapText="1"/>
    </xf>
    <xf numFmtId="1" fontId="49" fillId="0" borderId="1641" xfId="0" applyNumberFormat="1" applyFont="1" applyBorder="1" applyAlignment="1">
      <alignment horizontal="left" wrapText="1"/>
    </xf>
    <xf numFmtId="1" fontId="49" fillId="0" borderId="1523" xfId="0" applyNumberFormat="1" applyFont="1" applyBorder="1" applyAlignment="1">
      <alignment horizontal="left" vertical="center"/>
    </xf>
    <xf numFmtId="1" fontId="49" fillId="0" borderId="1523" xfId="0" applyNumberFormat="1" applyFont="1" applyBorder="1" applyAlignment="1">
      <alignment horizontal="left" vertical="center" wrapText="1"/>
    </xf>
    <xf numFmtId="1" fontId="49" fillId="0" borderId="1683" xfId="0" applyNumberFormat="1" applyFont="1" applyBorder="1" applyAlignment="1">
      <alignment horizontal="left" vertical="center" wrapText="1"/>
    </xf>
    <xf numFmtId="1" fontId="49" fillId="0" borderId="1165" xfId="0" applyNumberFormat="1" applyFont="1" applyBorder="1" applyAlignment="1">
      <alignment horizontal="left" vertical="center"/>
    </xf>
    <xf numFmtId="1" fontId="49" fillId="0" borderId="1155" xfId="0" applyNumberFormat="1" applyFont="1" applyBorder="1" applyAlignment="1">
      <alignment horizontal="left" vertical="center"/>
    </xf>
    <xf numFmtId="1" fontId="49" fillId="0" borderId="1832" xfId="0" applyNumberFormat="1" applyFont="1" applyBorder="1" applyAlignment="1">
      <alignment horizontal="left" vertical="center" wrapText="1"/>
    </xf>
    <xf numFmtId="1" fontId="49" fillId="3" borderId="1664" xfId="0" applyNumberFormat="1" applyFont="1" applyFill="1" applyBorder="1" applyAlignment="1">
      <alignment horizontal="left" vertical="center"/>
    </xf>
    <xf numFmtId="1" fontId="49" fillId="3" borderId="1445" xfId="0" applyNumberFormat="1" applyFont="1" applyFill="1" applyBorder="1" applyAlignment="1">
      <alignment horizontal="left" vertical="center"/>
    </xf>
    <xf numFmtId="1" fontId="49" fillId="3" borderId="1797" xfId="0" applyNumberFormat="1" applyFont="1" applyFill="1" applyBorder="1" applyAlignment="1">
      <alignment horizontal="left" vertical="center" wrapText="1"/>
    </xf>
    <xf numFmtId="1" fontId="49" fillId="3" borderId="1763" xfId="0" applyNumberFormat="1" applyFont="1" applyFill="1" applyBorder="1" applyAlignment="1">
      <alignment horizontal="left" vertical="center" wrapText="1"/>
    </xf>
    <xf numFmtId="1" fontId="49" fillId="0" borderId="2437" xfId="0" applyNumberFormat="1" applyFont="1" applyBorder="1" applyAlignment="1">
      <alignment horizontal="center" vertical="center" wrapText="1"/>
    </xf>
    <xf numFmtId="1" fontId="49" fillId="0" borderId="2469" xfId="0" applyNumberFormat="1" applyFont="1" applyBorder="1" applyAlignment="1">
      <alignment horizontal="center" vertical="center" wrapText="1"/>
    </xf>
    <xf numFmtId="1" fontId="49" fillId="0" borderId="2448" xfId="0" applyNumberFormat="1" applyFont="1" applyBorder="1" applyAlignment="1">
      <alignment horizontal="center" vertical="center"/>
    </xf>
    <xf numFmtId="1" fontId="49" fillId="0" borderId="2466" xfId="0" applyNumberFormat="1" applyFont="1" applyBorder="1" applyAlignment="1">
      <alignment horizontal="center" vertical="center"/>
    </xf>
    <xf numFmtId="1" fontId="49" fillId="0" borderId="2484" xfId="0" applyNumberFormat="1" applyFont="1" applyBorder="1" applyAlignment="1">
      <alignment horizontal="center" vertical="center"/>
    </xf>
    <xf numFmtId="1" fontId="49" fillId="0" borderId="2448" xfId="0" applyNumberFormat="1" applyFont="1" applyBorder="1" applyAlignment="1">
      <alignment horizontal="center" vertical="center" wrapText="1"/>
    </xf>
    <xf numFmtId="1" fontId="49" fillId="0" borderId="2466" xfId="0" applyNumberFormat="1" applyFont="1" applyBorder="1" applyAlignment="1">
      <alignment horizontal="center" vertical="center" wrapText="1"/>
    </xf>
    <xf numFmtId="0" fontId="49" fillId="0" borderId="1931" xfId="0" applyFont="1" applyBorder="1" applyAlignment="1">
      <alignment horizontal="center" vertical="center"/>
    </xf>
    <xf numFmtId="1" fontId="49" fillId="0" borderId="1923" xfId="0" applyNumberFormat="1" applyFont="1" applyBorder="1" applyAlignment="1">
      <alignment horizontal="center" vertical="center"/>
    </xf>
    <xf numFmtId="1" fontId="49" fillId="0" borderId="1002" xfId="0" applyNumberFormat="1" applyFont="1" applyBorder="1" applyAlignment="1">
      <alignment horizontal="center" vertical="center" wrapText="1"/>
    </xf>
    <xf numFmtId="1" fontId="49" fillId="0" borderId="1000" xfId="0" applyNumberFormat="1" applyFont="1" applyBorder="1" applyAlignment="1">
      <alignment horizontal="center" vertical="center" wrapText="1"/>
    </xf>
    <xf numFmtId="1" fontId="49" fillId="0" borderId="0" xfId="0" applyNumberFormat="1" applyFont="1" applyAlignment="1">
      <alignment horizontal="center" vertical="center" wrapText="1"/>
    </xf>
    <xf numFmtId="1" fontId="49" fillId="0" borderId="2465" xfId="0" applyNumberFormat="1" applyFont="1" applyBorder="1" applyAlignment="1">
      <alignment horizontal="center" vertical="center" wrapText="1"/>
    </xf>
    <xf numFmtId="1" fontId="49" fillId="0" borderId="2484" xfId="0" applyNumberFormat="1" applyFont="1" applyBorder="1" applyAlignment="1">
      <alignment horizontal="center" vertical="center" wrapText="1"/>
    </xf>
    <xf numFmtId="1" fontId="32" fillId="0" borderId="2142" xfId="0" applyNumberFormat="1" applyFont="1" applyBorder="1" applyAlignment="1">
      <alignment horizontal="center" vertical="center"/>
    </xf>
    <xf numFmtId="1" fontId="32" fillId="0" borderId="2156" xfId="0" applyNumberFormat="1" applyFont="1" applyBorder="1" applyAlignment="1">
      <alignment horizontal="center" vertical="center"/>
    </xf>
    <xf numFmtId="1" fontId="32" fillId="0" borderId="740" xfId="0" applyNumberFormat="1" applyFont="1" applyBorder="1" applyAlignment="1">
      <alignment horizontal="center" vertical="center" wrapText="1"/>
    </xf>
    <xf numFmtId="1" fontId="32" fillId="0" borderId="1682" xfId="0" applyNumberFormat="1" applyFont="1" applyBorder="1" applyAlignment="1">
      <alignment horizontal="center" vertical="center" wrapText="1"/>
    </xf>
    <xf numFmtId="1" fontId="32" fillId="0" borderId="901" xfId="0" applyNumberFormat="1" applyFont="1" applyBorder="1" applyAlignment="1">
      <alignment horizontal="center" vertical="center" wrapText="1"/>
    </xf>
    <xf numFmtId="1" fontId="32" fillId="14" borderId="2192" xfId="0" applyNumberFormat="1" applyFont="1" applyFill="1" applyBorder="1" applyAlignment="1">
      <alignment horizontal="center" vertical="center" wrapText="1"/>
    </xf>
    <xf numFmtId="1" fontId="32" fillId="14" borderId="2187" xfId="0" applyNumberFormat="1" applyFont="1" applyFill="1" applyBorder="1" applyAlignment="1">
      <alignment horizontal="center" vertical="center" wrapText="1"/>
    </xf>
    <xf numFmtId="0" fontId="32" fillId="14" borderId="811" xfId="0" applyFont="1" applyFill="1" applyBorder="1" applyAlignment="1">
      <alignment horizontal="center" wrapText="1"/>
    </xf>
    <xf numFmtId="0" fontId="32" fillId="14" borderId="2197" xfId="0" applyFont="1" applyFill="1" applyBorder="1" applyAlignment="1">
      <alignment horizontal="center" wrapText="1"/>
    </xf>
    <xf numFmtId="1" fontId="32" fillId="14" borderId="2198" xfId="0" applyNumberFormat="1" applyFont="1" applyFill="1" applyBorder="1" applyAlignment="1">
      <alignment horizontal="center" vertical="center"/>
    </xf>
    <xf numFmtId="1" fontId="32" fillId="14" borderId="2187" xfId="0" applyNumberFormat="1" applyFont="1" applyFill="1" applyBorder="1" applyAlignment="1">
      <alignment horizontal="center" vertical="center"/>
    </xf>
    <xf numFmtId="0" fontId="32" fillId="0" borderId="2193" xfId="0" applyFont="1" applyBorder="1" applyAlignment="1">
      <alignment horizontal="center" vertical="center" wrapText="1"/>
    </xf>
    <xf numFmtId="0" fontId="32" fillId="0" borderId="2199" xfId="0" applyFont="1" applyBorder="1" applyAlignment="1">
      <alignment horizontal="center" vertical="center" wrapText="1"/>
    </xf>
    <xf numFmtId="1" fontId="32" fillId="0" borderId="2198" xfId="0" applyNumberFormat="1" applyFont="1" applyBorder="1" applyAlignment="1">
      <alignment horizontal="center" vertical="center"/>
    </xf>
    <xf numFmtId="1" fontId="32" fillId="0" borderId="2192" xfId="0" applyNumberFormat="1" applyFont="1" applyBorder="1" applyAlignment="1">
      <alignment horizontal="center" vertical="center"/>
    </xf>
    <xf numFmtId="1" fontId="32" fillId="0" borderId="2187" xfId="0" applyNumberFormat="1" applyFont="1" applyBorder="1" applyAlignment="1">
      <alignment horizontal="center" vertical="center"/>
    </xf>
    <xf numFmtId="1" fontId="32" fillId="0" borderId="2166" xfId="0" applyNumberFormat="1" applyFont="1" applyBorder="1" applyAlignment="1">
      <alignment horizontal="center" vertical="center"/>
    </xf>
    <xf numFmtId="1" fontId="32" fillId="14" borderId="2112" xfId="0" applyNumberFormat="1" applyFont="1" applyFill="1" applyBorder="1" applyAlignment="1">
      <alignment horizontal="center" vertical="center"/>
    </xf>
    <xf numFmtId="1" fontId="32" fillId="14" borderId="2150" xfId="0" applyNumberFormat="1" applyFont="1" applyFill="1" applyBorder="1" applyAlignment="1">
      <alignment horizontal="center" vertical="center"/>
    </xf>
    <xf numFmtId="1" fontId="32" fillId="14" borderId="2143" xfId="0" applyNumberFormat="1" applyFont="1" applyFill="1" applyBorder="1" applyAlignment="1">
      <alignment horizontal="center" vertical="center"/>
    </xf>
    <xf numFmtId="1" fontId="49" fillId="0" borderId="741" xfId="0" applyNumberFormat="1" applyFont="1" applyBorder="1" applyAlignment="1">
      <alignment horizontal="center" vertical="center" wrapText="1"/>
    </xf>
    <xf numFmtId="1" fontId="32" fillId="14" borderId="2122" xfId="0" applyNumberFormat="1" applyFont="1" applyFill="1" applyBorder="1" applyAlignment="1">
      <alignment horizontal="center" vertical="center"/>
    </xf>
    <xf numFmtId="1" fontId="32" fillId="14" borderId="2144" xfId="0" applyNumberFormat="1" applyFont="1" applyFill="1" applyBorder="1" applyAlignment="1">
      <alignment horizontal="center" vertical="center"/>
    </xf>
    <xf numFmtId="1" fontId="32" fillId="14" borderId="2193" xfId="0" applyNumberFormat="1" applyFont="1" applyFill="1" applyBorder="1" applyAlignment="1">
      <alignment horizontal="center" vertical="center"/>
    </xf>
    <xf numFmtId="1" fontId="32" fillId="14" borderId="1670" xfId="0" applyNumberFormat="1" applyFont="1" applyFill="1" applyBorder="1" applyAlignment="1">
      <alignment horizontal="center" vertical="center"/>
    </xf>
    <xf numFmtId="1" fontId="32" fillId="14" borderId="2199" xfId="0" applyNumberFormat="1" applyFont="1" applyFill="1" applyBorder="1" applyAlignment="1">
      <alignment horizontal="center" vertical="center"/>
    </xf>
    <xf numFmtId="1" fontId="32" fillId="14" borderId="2194" xfId="0" applyNumberFormat="1" applyFont="1" applyFill="1" applyBorder="1" applyAlignment="1">
      <alignment horizontal="center" vertical="center"/>
    </xf>
    <xf numFmtId="1" fontId="32" fillId="14" borderId="811" xfId="0" applyNumberFormat="1" applyFont="1" applyFill="1" applyBorder="1" applyAlignment="1">
      <alignment horizontal="center" vertical="center"/>
    </xf>
    <xf numFmtId="1" fontId="32" fillId="14" borderId="2195" xfId="0" applyNumberFormat="1" applyFont="1" applyFill="1" applyBorder="1" applyAlignment="1">
      <alignment horizontal="center" vertical="center"/>
    </xf>
    <xf numFmtId="1" fontId="32" fillId="14" borderId="2196" xfId="0" applyNumberFormat="1" applyFont="1" applyFill="1" applyBorder="1" applyAlignment="1">
      <alignment horizontal="center" vertical="center"/>
    </xf>
    <xf numFmtId="1" fontId="32" fillId="14" borderId="740" xfId="0" applyNumberFormat="1" applyFont="1" applyFill="1" applyBorder="1" applyAlignment="1">
      <alignment horizontal="center" vertical="center"/>
    </xf>
    <xf numFmtId="1" fontId="32" fillId="14" borderId="902" xfId="0" applyNumberFormat="1" applyFont="1" applyFill="1" applyBorder="1" applyAlignment="1">
      <alignment horizontal="center" vertical="center"/>
    </xf>
    <xf numFmtId="1" fontId="78" fillId="0" borderId="784" xfId="0" applyNumberFormat="1" applyFont="1" applyBorder="1" applyAlignment="1">
      <alignment horizontal="center" vertical="center" wrapText="1"/>
    </xf>
    <xf numFmtId="1" fontId="78" fillId="0" borderId="901" xfId="0" applyNumberFormat="1" applyFont="1" applyBorder="1" applyAlignment="1">
      <alignment horizontal="center" vertical="center" wrapText="1"/>
    </xf>
    <xf numFmtId="1" fontId="32" fillId="0" borderId="2172" xfId="0" applyNumberFormat="1" applyFont="1" applyBorder="1" applyAlignment="1">
      <alignment horizontal="center" vertical="center"/>
    </xf>
    <xf numFmtId="1" fontId="32" fillId="0" borderId="2199" xfId="0" applyNumberFormat="1" applyFont="1" applyBorder="1" applyAlignment="1">
      <alignment horizontal="center" vertical="center" wrapText="1"/>
    </xf>
    <xf numFmtId="1" fontId="32" fillId="0" borderId="2193" xfId="0" applyNumberFormat="1" applyFont="1" applyBorder="1" applyAlignment="1">
      <alignment horizontal="center" vertical="center"/>
    </xf>
    <xf numFmtId="1" fontId="32" fillId="0" borderId="2199" xfId="0" applyNumberFormat="1" applyFont="1" applyBorder="1" applyAlignment="1">
      <alignment horizontal="center" vertical="center"/>
    </xf>
    <xf numFmtId="1" fontId="32" fillId="0" borderId="2160" xfId="0" applyNumberFormat="1" applyFont="1" applyBorder="1" applyAlignment="1">
      <alignment horizontal="center" vertical="center" wrapText="1"/>
    </xf>
    <xf numFmtId="1" fontId="32" fillId="0" borderId="1840" xfId="0" applyNumberFormat="1" applyFont="1" applyBorder="1" applyAlignment="1">
      <alignment horizontal="center" vertical="center" wrapText="1"/>
    </xf>
    <xf numFmtId="1" fontId="32" fillId="0" borderId="2169" xfId="0" applyNumberFormat="1" applyFont="1" applyBorder="1" applyAlignment="1">
      <alignment horizontal="center" vertical="center" wrapText="1"/>
    </xf>
    <xf numFmtId="1" fontId="32" fillId="0" borderId="408" xfId="0" applyNumberFormat="1" applyFont="1" applyBorder="1" applyAlignment="1">
      <alignment horizontal="center" vertical="center" wrapText="1"/>
    </xf>
    <xf numFmtId="1" fontId="32" fillId="0" borderId="1744" xfId="0" applyNumberFormat="1" applyFont="1" applyBorder="1" applyAlignment="1">
      <alignment horizontal="center" vertical="center" wrapText="1"/>
    </xf>
    <xf numFmtId="1" fontId="32" fillId="0" borderId="2150" xfId="0" applyNumberFormat="1" applyFont="1" applyBorder="1" applyAlignment="1">
      <alignment horizontal="center" vertical="center" wrapText="1"/>
    </xf>
    <xf numFmtId="1" fontId="49" fillId="0" borderId="133" xfId="0" applyNumberFormat="1" applyFont="1" applyBorder="1" applyAlignment="1">
      <alignment horizontal="center" vertical="center" wrapText="1"/>
    </xf>
    <xf numFmtId="1" fontId="49" fillId="0" borderId="1843" xfId="0" applyNumberFormat="1" applyFont="1" applyBorder="1" applyAlignment="1">
      <alignment horizontal="center" vertical="center" wrapText="1"/>
    </xf>
    <xf numFmtId="1" fontId="78" fillId="0" borderId="382" xfId="0" applyNumberFormat="1" applyFont="1" applyBorder="1" applyAlignment="1">
      <alignment horizontal="center" vertical="center" wrapText="1"/>
    </xf>
    <xf numFmtId="1" fontId="78" fillId="0" borderId="1682" xfId="0" applyNumberFormat="1" applyFont="1" applyBorder="1" applyAlignment="1">
      <alignment horizontal="center" vertical="center" wrapText="1"/>
    </xf>
    <xf numFmtId="1" fontId="78" fillId="0" borderId="1958" xfId="0" applyNumberFormat="1" applyFont="1" applyBorder="1" applyAlignment="1">
      <alignment horizontal="center" vertical="center" wrapText="1"/>
    </xf>
    <xf numFmtId="1" fontId="78" fillId="0" borderId="1854" xfId="0" applyNumberFormat="1" applyFont="1" applyBorder="1" applyAlignment="1">
      <alignment horizontal="center" vertical="center" wrapText="1"/>
    </xf>
    <xf numFmtId="1" fontId="32" fillId="14" borderId="2273" xfId="0" applyNumberFormat="1" applyFont="1" applyFill="1" applyBorder="1" applyAlignment="1">
      <alignment horizontal="center" vertical="center"/>
    </xf>
    <xf numFmtId="1" fontId="32" fillId="14" borderId="2245" xfId="0" applyNumberFormat="1" applyFont="1" applyFill="1" applyBorder="1" applyAlignment="1">
      <alignment horizontal="center" vertical="center"/>
    </xf>
    <xf numFmtId="1" fontId="64" fillId="0" borderId="0" xfId="0" applyNumberFormat="1" applyFont="1" applyAlignment="1">
      <alignment horizontal="center" vertical="center" wrapText="1"/>
    </xf>
    <xf numFmtId="1" fontId="32" fillId="0" borderId="2140" xfId="0" applyNumberFormat="1" applyFont="1" applyBorder="1" applyAlignment="1">
      <alignment horizontal="center" vertical="center" wrapText="1"/>
    </xf>
    <xf numFmtId="1" fontId="32" fillId="0" borderId="811" xfId="0" applyNumberFormat="1" applyFont="1" applyBorder="1" applyAlignment="1">
      <alignment horizontal="center" vertical="center" wrapText="1"/>
    </xf>
    <xf numFmtId="1" fontId="32" fillId="0" borderId="2155" xfId="0" applyNumberFormat="1" applyFont="1" applyBorder="1" applyAlignment="1">
      <alignment horizontal="center" vertical="center" wrapText="1"/>
    </xf>
    <xf numFmtId="1" fontId="32" fillId="14" borderId="2446" xfId="0" applyNumberFormat="1" applyFont="1" applyFill="1" applyBorder="1" applyAlignment="1">
      <alignment horizontal="center" vertical="center"/>
    </xf>
    <xf numFmtId="1" fontId="32" fillId="14" borderId="2442" xfId="0" applyNumberFormat="1" applyFont="1" applyFill="1" applyBorder="1" applyAlignment="1">
      <alignment horizontal="center" vertical="center"/>
    </xf>
    <xf numFmtId="1" fontId="32" fillId="0" borderId="2454" xfId="0" applyNumberFormat="1" applyFont="1" applyBorder="1" applyAlignment="1">
      <alignment horizontal="center" vertical="center" wrapText="1"/>
    </xf>
    <xf numFmtId="1" fontId="32" fillId="0" borderId="2454" xfId="0" quotePrefix="1" applyNumberFormat="1" applyFont="1" applyBorder="1" applyAlignment="1">
      <alignment horizontal="center" vertical="center" wrapText="1"/>
    </xf>
    <xf numFmtId="1" fontId="32" fillId="0" borderId="2170" xfId="0" applyNumberFormat="1" applyFont="1" applyBorder="1" applyAlignment="1">
      <alignment horizontal="center" vertical="center" wrapText="1"/>
    </xf>
    <xf numFmtId="1" fontId="32" fillId="0" borderId="2170" xfId="0" applyNumberFormat="1" applyFont="1" applyBorder="1" applyAlignment="1">
      <alignment horizontal="center" vertical="center"/>
    </xf>
    <xf numFmtId="1" fontId="32" fillId="0" borderId="2171" xfId="0" applyNumberFormat="1" applyFont="1" applyBorder="1" applyAlignment="1">
      <alignment horizontal="center" vertical="center" wrapText="1"/>
    </xf>
    <xf numFmtId="1" fontId="32" fillId="14" borderId="2143" xfId="0" applyNumberFormat="1" applyFont="1" applyFill="1" applyBorder="1" applyAlignment="1">
      <alignment horizontal="center" vertical="center" wrapText="1"/>
    </xf>
    <xf numFmtId="1" fontId="32" fillId="14" borderId="2122" xfId="0" applyNumberFormat="1" applyFont="1" applyFill="1" applyBorder="1" applyAlignment="1">
      <alignment horizontal="center" vertical="center" wrapText="1"/>
    </xf>
    <xf numFmtId="1" fontId="32" fillId="14" borderId="2186" xfId="0" applyNumberFormat="1" applyFont="1" applyFill="1" applyBorder="1" applyAlignment="1">
      <alignment horizontal="center" vertical="center" wrapText="1"/>
    </xf>
    <xf numFmtId="1" fontId="32" fillId="3" borderId="2150" xfId="0" applyNumberFormat="1" applyFont="1" applyFill="1" applyBorder="1" applyAlignment="1">
      <alignment horizontal="center" vertical="center" wrapText="1"/>
    </xf>
    <xf numFmtId="1" fontId="32" fillId="0" borderId="2169" xfId="0" applyNumberFormat="1" applyFont="1" applyBorder="1" applyAlignment="1">
      <alignment horizontal="center" vertical="center"/>
    </xf>
    <xf numFmtId="1" fontId="32" fillId="0" borderId="877" xfId="0" applyNumberFormat="1" applyFont="1" applyBorder="1" applyAlignment="1">
      <alignment horizontal="center" vertical="center" wrapText="1"/>
    </xf>
    <xf numFmtId="1" fontId="32" fillId="0" borderId="2179" xfId="0" applyNumberFormat="1" applyFont="1" applyBorder="1" applyAlignment="1">
      <alignment horizontal="center" vertical="center" wrapText="1"/>
    </xf>
    <xf numFmtId="1" fontId="32" fillId="0" borderId="2428" xfId="0" applyNumberFormat="1" applyFont="1" applyBorder="1" applyAlignment="1">
      <alignment horizontal="center" vertical="center"/>
    </xf>
    <xf numFmtId="1" fontId="32" fillId="0" borderId="2435" xfId="0" applyNumberFormat="1" applyFont="1" applyBorder="1" applyAlignment="1">
      <alignment horizontal="center" vertical="center"/>
    </xf>
    <xf numFmtId="1" fontId="32" fillId="0" borderId="2436" xfId="0" applyNumberFormat="1" applyFont="1" applyBorder="1" applyAlignment="1">
      <alignment horizontal="center" vertical="center"/>
    </xf>
    <xf numFmtId="1" fontId="32" fillId="0" borderId="2481" xfId="0" applyNumberFormat="1" applyFont="1" applyBorder="1" applyAlignment="1">
      <alignment horizontal="center" vertical="center"/>
    </xf>
    <xf numFmtId="1" fontId="32" fillId="0" borderId="1449" xfId="0" applyNumberFormat="1" applyFont="1" applyBorder="1" applyAlignment="1">
      <alignment horizontal="center" vertical="center"/>
    </xf>
    <xf numFmtId="1" fontId="32" fillId="0" borderId="500" xfId="0" applyNumberFormat="1" applyFont="1" applyBorder="1" applyAlignment="1">
      <alignment horizontal="center" vertical="center" wrapText="1"/>
    </xf>
    <xf numFmtId="1" fontId="32" fillId="0" borderId="9" xfId="0" applyNumberFormat="1" applyFont="1" applyBorder="1" applyAlignment="1">
      <alignment horizontal="center" vertical="center"/>
    </xf>
    <xf numFmtId="1" fontId="32" fillId="0" borderId="369" xfId="0" applyNumberFormat="1" applyFont="1" applyBorder="1" applyAlignment="1">
      <alignment horizontal="center" vertical="center"/>
    </xf>
    <xf numFmtId="1" fontId="32" fillId="0" borderId="35" xfId="0" applyNumberFormat="1" applyFont="1" applyBorder="1" applyAlignment="1">
      <alignment horizontal="center" vertical="center"/>
    </xf>
    <xf numFmtId="1" fontId="32" fillId="0" borderId="1856" xfId="0" applyNumberFormat="1" applyFont="1" applyBorder="1" applyAlignment="1">
      <alignment horizontal="center" vertical="center"/>
    </xf>
    <xf numFmtId="1" fontId="32" fillId="0" borderId="1917" xfId="0" applyNumberFormat="1" applyFont="1" applyBorder="1" applyAlignment="1">
      <alignment horizontal="center" vertical="center"/>
    </xf>
    <xf numFmtId="0" fontId="32" fillId="0" borderId="1865" xfId="0" applyFont="1" applyBorder="1" applyAlignment="1">
      <alignment horizontal="center" vertical="center" wrapText="1"/>
    </xf>
    <xf numFmtId="0" fontId="32" fillId="0" borderId="288" xfId="0" applyFont="1" applyBorder="1" applyAlignment="1">
      <alignment horizontal="center" vertical="center" wrapText="1"/>
    </xf>
    <xf numFmtId="1" fontId="32" fillId="0" borderId="815" xfId="0" applyNumberFormat="1" applyFont="1" applyBorder="1" applyAlignment="1">
      <alignment horizontal="center" vertical="center"/>
    </xf>
    <xf numFmtId="1" fontId="32" fillId="0" borderId="721" xfId="0" applyNumberFormat="1" applyFont="1" applyBorder="1" applyAlignment="1">
      <alignment horizontal="center" vertical="center"/>
    </xf>
    <xf numFmtId="0" fontId="32" fillId="0" borderId="903" xfId="0" applyFont="1" applyBorder="1" applyAlignment="1">
      <alignment horizontal="center" vertical="center" wrapText="1"/>
    </xf>
    <xf numFmtId="0" fontId="32" fillId="0" borderId="1430" xfId="0" applyFont="1" applyBorder="1" applyAlignment="1">
      <alignment horizontal="center" vertical="center" wrapText="1"/>
    </xf>
    <xf numFmtId="0" fontId="32" fillId="0" borderId="1009" xfId="0" applyFont="1" applyBorder="1" applyAlignment="1">
      <alignment horizontal="center" vertical="center" wrapText="1"/>
    </xf>
    <xf numFmtId="0" fontId="32" fillId="0" borderId="1024" xfId="0" applyFont="1" applyBorder="1" applyAlignment="1">
      <alignment horizontal="center" vertical="center" wrapText="1"/>
    </xf>
    <xf numFmtId="0" fontId="32" fillId="0" borderId="1449" xfId="0" applyFont="1" applyBorder="1" applyAlignment="1">
      <alignment horizontal="center" vertical="center" wrapText="1"/>
    </xf>
    <xf numFmtId="0" fontId="32" fillId="0" borderId="1423" xfId="0" applyFont="1" applyBorder="1" applyAlignment="1">
      <alignment horizontal="center" vertical="center" wrapText="1"/>
    </xf>
    <xf numFmtId="0" fontId="32" fillId="0" borderId="1081" xfId="0" applyFont="1" applyBorder="1" applyAlignment="1">
      <alignment horizontal="center" vertical="center" wrapText="1"/>
    </xf>
    <xf numFmtId="1" fontId="32" fillId="0" borderId="387" xfId="0" applyNumberFormat="1" applyFont="1" applyBorder="1" applyAlignment="1">
      <alignment horizontal="center" vertical="center"/>
    </xf>
    <xf numFmtId="1" fontId="32" fillId="0" borderId="390" xfId="0" applyNumberFormat="1" applyFont="1" applyBorder="1" applyAlignment="1">
      <alignment horizontal="center" vertical="center"/>
    </xf>
    <xf numFmtId="1" fontId="32" fillId="0" borderId="370" xfId="0" applyNumberFormat="1" applyFont="1" applyBorder="1" applyAlignment="1">
      <alignment horizontal="center" vertical="center"/>
    </xf>
    <xf numFmtId="1" fontId="32" fillId="0" borderId="355" xfId="0" applyNumberFormat="1" applyFont="1" applyBorder="1" applyAlignment="1">
      <alignment horizontal="center" vertical="center"/>
    </xf>
    <xf numFmtId="1" fontId="78" fillId="0" borderId="1146" xfId="0" applyNumberFormat="1" applyFont="1" applyBorder="1" applyAlignment="1">
      <alignment horizontal="center" vertical="center" wrapText="1"/>
    </xf>
    <xf numFmtId="1" fontId="78" fillId="0" borderId="1107" xfId="0" applyNumberFormat="1" applyFont="1" applyBorder="1" applyAlignment="1">
      <alignment horizontal="center" vertical="center" wrapText="1"/>
    </xf>
    <xf numFmtId="1" fontId="78" fillId="0" borderId="1149" xfId="0" applyNumberFormat="1" applyFont="1" applyBorder="1" applyAlignment="1">
      <alignment horizontal="center" vertical="center" wrapText="1"/>
    </xf>
    <xf numFmtId="0" fontId="32" fillId="0" borderId="815" xfId="0" applyFont="1" applyBorder="1" applyAlignment="1">
      <alignment horizontal="center" vertical="center" wrapText="1"/>
    </xf>
    <xf numFmtId="0" fontId="32" fillId="0" borderId="1428" xfId="0" applyFont="1" applyBorder="1" applyAlignment="1">
      <alignment horizontal="center" vertical="center" wrapText="1"/>
    </xf>
    <xf numFmtId="1" fontId="32" fillId="0" borderId="1630" xfId="0" applyNumberFormat="1" applyFont="1" applyBorder="1" applyAlignment="1">
      <alignment horizontal="center" vertical="center" wrapText="1"/>
    </xf>
    <xf numFmtId="1" fontId="32" fillId="0" borderId="1619" xfId="0" applyNumberFormat="1" applyFont="1" applyBorder="1" applyAlignment="1">
      <alignment horizontal="center" vertical="center" wrapText="1"/>
    </xf>
    <xf numFmtId="0" fontId="49" fillId="0" borderId="1865" xfId="0" applyFont="1" applyBorder="1" applyAlignment="1">
      <alignment horizontal="center"/>
    </xf>
    <xf numFmtId="0" fontId="49" fillId="0" borderId="1505" xfId="0" applyFont="1" applyBorder="1" applyAlignment="1">
      <alignment horizontal="center"/>
    </xf>
    <xf numFmtId="1" fontId="49" fillId="0" borderId="1856" xfId="0" applyNumberFormat="1" applyFont="1" applyBorder="1" applyAlignment="1">
      <alignment horizontal="center" vertical="center"/>
    </xf>
    <xf numFmtId="1" fontId="49" fillId="0" borderId="1917" xfId="0" applyNumberFormat="1" applyFont="1" applyBorder="1" applyAlignment="1">
      <alignment horizontal="center" vertical="center"/>
    </xf>
    <xf numFmtId="0" fontId="49" fillId="0" borderId="1856" xfId="0" applyFont="1" applyBorder="1" applyAlignment="1">
      <alignment horizontal="center" vertical="center"/>
    </xf>
    <xf numFmtId="0" fontId="49" fillId="0" borderId="1917" xfId="0" applyFont="1" applyBorder="1" applyAlignment="1">
      <alignment horizontal="center" vertical="center"/>
    </xf>
    <xf numFmtId="1" fontId="49" fillId="0" borderId="1293" xfId="0" applyNumberFormat="1" applyFont="1" applyBorder="1" applyAlignment="1">
      <alignment horizontal="center" vertical="center"/>
    </xf>
    <xf numFmtId="1" fontId="49" fillId="0" borderId="1274" xfId="0" applyNumberFormat="1" applyFont="1" applyBorder="1" applyAlignment="1">
      <alignment horizontal="center" vertical="center"/>
    </xf>
    <xf numFmtId="1" fontId="49" fillId="0" borderId="1529" xfId="0" applyNumberFormat="1" applyFont="1" applyBorder="1" applyAlignment="1">
      <alignment horizontal="center" vertical="center"/>
    </xf>
    <xf numFmtId="1" fontId="49" fillId="0" borderId="1537" xfId="0" applyNumberFormat="1" applyFont="1" applyBorder="1" applyAlignment="1">
      <alignment horizontal="center" vertical="center" wrapText="1"/>
    </xf>
    <xf numFmtId="0" fontId="49" fillId="0" borderId="1692" xfId="0" applyFont="1" applyBorder="1" applyAlignment="1">
      <alignment horizontal="center" vertical="center"/>
    </xf>
    <xf numFmtId="0" fontId="49" fillId="0" borderId="1542" xfId="0" applyFont="1" applyBorder="1" applyAlignment="1">
      <alignment horizontal="center" vertical="center"/>
    </xf>
    <xf numFmtId="0" fontId="49" fillId="0" borderId="1543" xfId="0" applyFont="1" applyBorder="1" applyAlignment="1">
      <alignment horizontal="center" vertical="center"/>
    </xf>
    <xf numFmtId="1" fontId="49" fillId="0" borderId="1641" xfId="0" applyNumberFormat="1" applyFont="1" applyBorder="1" applyAlignment="1">
      <alignment horizontal="center" vertical="center"/>
    </xf>
    <xf numFmtId="1" fontId="49" fillId="0" borderId="1544" xfId="0" applyNumberFormat="1" applyFont="1" applyBorder="1" applyAlignment="1">
      <alignment horizontal="center" vertical="center"/>
    </xf>
    <xf numFmtId="1" fontId="32" fillId="0" borderId="903" xfId="0" applyNumberFormat="1" applyFont="1" applyBorder="1" applyAlignment="1">
      <alignment horizontal="center" vertical="center"/>
    </xf>
    <xf numFmtId="1" fontId="32" fillId="0" borderId="1486" xfId="0" applyNumberFormat="1" applyFont="1" applyBorder="1" applyAlignment="1">
      <alignment horizontal="center" vertical="center"/>
    </xf>
    <xf numFmtId="1" fontId="32" fillId="0" borderId="1293" xfId="0" applyNumberFormat="1" applyFont="1" applyBorder="1" applyAlignment="1">
      <alignment horizontal="center" vertical="center"/>
    </xf>
    <xf numFmtId="1" fontId="32" fillId="0" borderId="1274" xfId="0" applyNumberFormat="1" applyFont="1" applyBorder="1" applyAlignment="1">
      <alignment horizontal="center" vertical="center"/>
    </xf>
    <xf numFmtId="1" fontId="32" fillId="0" borderId="1487" xfId="0" applyNumberFormat="1" applyFont="1" applyBorder="1" applyAlignment="1">
      <alignment horizontal="center" vertical="center"/>
    </xf>
    <xf numFmtId="1" fontId="49" fillId="0" borderId="1497" xfId="0" applyNumberFormat="1" applyFont="1" applyBorder="1" applyAlignment="1">
      <alignment horizontal="center" vertical="center"/>
    </xf>
    <xf numFmtId="1" fontId="49" fillId="0" borderId="1489" xfId="0" applyNumberFormat="1" applyFont="1" applyBorder="1" applyAlignment="1">
      <alignment horizontal="center" vertical="center"/>
    </xf>
    <xf numFmtId="1" fontId="49" fillId="0" borderId="1505" xfId="0" applyNumberFormat="1" applyFont="1" applyBorder="1" applyAlignment="1">
      <alignment horizontal="center" vertical="center"/>
    </xf>
    <xf numFmtId="1" fontId="49" fillId="0" borderId="1495" xfId="0" applyNumberFormat="1" applyFont="1" applyBorder="1" applyAlignment="1">
      <alignment horizontal="center" vertical="center"/>
    </xf>
    <xf numFmtId="1" fontId="49" fillId="0" borderId="1629" xfId="0" applyNumberFormat="1" applyFont="1" applyBorder="1" applyAlignment="1">
      <alignment horizontal="left" vertical="center"/>
    </xf>
    <xf numFmtId="1" fontId="49" fillId="0" borderId="1519" xfId="0" applyNumberFormat="1" applyFont="1" applyBorder="1" applyAlignment="1">
      <alignment horizontal="left" vertical="center"/>
    </xf>
    <xf numFmtId="1" fontId="49" fillId="0" borderId="2277" xfId="0" applyNumberFormat="1" applyFont="1" applyBorder="1" applyAlignment="1">
      <alignment horizontal="left" vertical="center"/>
    </xf>
    <xf numFmtId="1" fontId="32" fillId="0" borderId="2244" xfId="0" applyNumberFormat="1" applyFont="1" applyBorder="1" applyAlignment="1">
      <alignment horizontal="center"/>
    </xf>
    <xf numFmtId="1" fontId="32" fillId="0" borderId="2245" xfId="0" applyNumberFormat="1" applyFont="1" applyBorder="1" applyAlignment="1">
      <alignment horizontal="center"/>
    </xf>
    <xf numFmtId="1" fontId="32" fillId="0" borderId="2280" xfId="0" applyNumberFormat="1" applyFont="1" applyBorder="1" applyAlignment="1">
      <alignment horizontal="center"/>
    </xf>
    <xf numFmtId="1" fontId="32" fillId="0" borderId="1117" xfId="0" applyNumberFormat="1" applyFont="1" applyBorder="1" applyAlignment="1">
      <alignment horizontal="center"/>
    </xf>
    <xf numFmtId="1" fontId="32" fillId="0" borderId="2281" xfId="0" applyNumberFormat="1" applyFont="1" applyBorder="1" applyAlignment="1">
      <alignment horizontal="center"/>
    </xf>
    <xf numFmtId="1" fontId="32" fillId="0" borderId="828" xfId="0" applyNumberFormat="1" applyFont="1" applyBorder="1" applyAlignment="1">
      <alignment horizontal="center"/>
    </xf>
    <xf numFmtId="1" fontId="6" fillId="0" borderId="1377" xfId="0" applyNumberFormat="1" applyFont="1" applyBorder="1" applyAlignment="1">
      <alignment horizontal="center" vertical="center" wrapText="1"/>
    </xf>
    <xf numFmtId="1" fontId="6" fillId="0" borderId="1395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/>
    </xf>
    <xf numFmtId="1" fontId="6" fillId="0" borderId="1418" xfId="0" applyNumberFormat="1" applyFont="1" applyBorder="1" applyAlignment="1">
      <alignment horizontal="center" vertical="center" wrapText="1"/>
    </xf>
    <xf numFmtId="1" fontId="6" fillId="0" borderId="1409" xfId="0" applyNumberFormat="1" applyFont="1" applyBorder="1" applyAlignment="1">
      <alignment horizontal="center" vertical="center" wrapText="1"/>
    </xf>
    <xf numFmtId="1" fontId="6" fillId="0" borderId="1417" xfId="0" applyNumberFormat="1" applyFont="1" applyBorder="1" applyAlignment="1">
      <alignment horizontal="center" vertical="center" wrapText="1"/>
    </xf>
    <xf numFmtId="1" fontId="6" fillId="0" borderId="1543" xfId="0" applyNumberFormat="1" applyFont="1" applyBorder="1" applyAlignment="1">
      <alignment horizontal="center" vertical="center"/>
    </xf>
    <xf numFmtId="1" fontId="6" fillId="0" borderId="1541" xfId="0" applyNumberFormat="1" applyFont="1" applyBorder="1" applyAlignment="1">
      <alignment horizontal="center" vertical="center" wrapText="1"/>
    </xf>
    <xf numFmtId="1" fontId="6" fillId="0" borderId="1542" xfId="0" applyNumberFormat="1" applyFont="1" applyBorder="1" applyAlignment="1">
      <alignment horizontal="center" vertical="center" wrapText="1"/>
    </xf>
    <xf numFmtId="1" fontId="6" fillId="0" borderId="1543" xfId="0" applyNumberFormat="1" applyFont="1" applyBorder="1" applyAlignment="1">
      <alignment horizontal="center" vertical="center" wrapText="1"/>
    </xf>
    <xf numFmtId="1" fontId="6" fillId="0" borderId="1547" xfId="0" applyNumberFormat="1" applyFont="1" applyBorder="1" applyAlignment="1">
      <alignment horizontal="center" vertical="center" wrapText="1"/>
    </xf>
    <xf numFmtId="1" fontId="6" fillId="0" borderId="1546" xfId="0" applyNumberFormat="1" applyFont="1" applyBorder="1" applyAlignment="1">
      <alignment horizontal="center" vertical="center" wrapText="1"/>
    </xf>
    <xf numFmtId="1" fontId="6" fillId="0" borderId="1546" xfId="0" applyNumberFormat="1" applyFont="1" applyBorder="1" applyAlignment="1">
      <alignment horizontal="center" vertical="center"/>
    </xf>
    <xf numFmtId="1" fontId="6" fillId="0" borderId="1567" xfId="0" applyNumberFormat="1" applyFont="1" applyBorder="1" applyAlignment="1">
      <alignment horizontal="center" vertical="center" wrapText="1"/>
    </xf>
    <xf numFmtId="1" fontId="6" fillId="0" borderId="1568" xfId="0" applyNumberFormat="1" applyFont="1" applyBorder="1" applyAlignment="1">
      <alignment horizontal="center" vertical="center" wrapText="1"/>
    </xf>
    <xf numFmtId="1" fontId="6" fillId="0" borderId="1502" xfId="0" applyNumberFormat="1" applyFont="1" applyBorder="1" applyAlignment="1">
      <alignment horizontal="center" vertical="center" wrapText="1"/>
    </xf>
    <xf numFmtId="1" fontId="6" fillId="0" borderId="1447" xfId="0" applyNumberFormat="1" applyFont="1" applyBorder="1" applyAlignment="1">
      <alignment horizontal="center" vertical="center" wrapText="1"/>
    </xf>
    <xf numFmtId="1" fontId="6" fillId="0" borderId="1540" xfId="0" applyNumberFormat="1" applyFont="1" applyBorder="1" applyAlignment="1">
      <alignment horizontal="center" vertical="center" wrapText="1"/>
    </xf>
    <xf numFmtId="1" fontId="6" fillId="0" borderId="888" xfId="0" applyNumberFormat="1" applyFont="1" applyBorder="1" applyAlignment="1">
      <alignment horizontal="center" vertical="center"/>
    </xf>
    <xf numFmtId="1" fontId="6" fillId="0" borderId="1540" xfId="0" applyNumberFormat="1" applyFont="1" applyBorder="1" applyAlignment="1">
      <alignment horizontal="center" vertical="center"/>
    </xf>
    <xf numFmtId="1" fontId="6" fillId="0" borderId="1562" xfId="0" applyNumberFormat="1" applyFont="1" applyBorder="1" applyAlignment="1">
      <alignment horizontal="center" vertical="center"/>
    </xf>
    <xf numFmtId="1" fontId="6" fillId="0" borderId="1381" xfId="0" applyNumberFormat="1" applyFont="1" applyBorder="1" applyAlignment="1">
      <alignment horizontal="center" vertical="center"/>
    </xf>
    <xf numFmtId="1" fontId="6" fillId="0" borderId="1374" xfId="0" applyNumberFormat="1" applyFont="1" applyBorder="1" applyAlignment="1">
      <alignment horizontal="center" vertical="center"/>
    </xf>
    <xf numFmtId="1" fontId="6" fillId="0" borderId="644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1386" xfId="0" applyNumberFormat="1" applyFont="1" applyBorder="1" applyAlignment="1">
      <alignment horizontal="center" vertical="center"/>
    </xf>
    <xf numFmtId="1" fontId="6" fillId="0" borderId="1377" xfId="0" applyNumberFormat="1" applyFont="1" applyBorder="1" applyAlignment="1">
      <alignment horizontal="center" vertical="center"/>
    </xf>
    <xf numFmtId="1" fontId="6" fillId="0" borderId="1379" xfId="0" applyNumberFormat="1" applyFont="1" applyBorder="1" applyAlignment="1">
      <alignment horizontal="center" vertical="center"/>
    </xf>
    <xf numFmtId="1" fontId="6" fillId="0" borderId="1567" xfId="0" applyNumberFormat="1" applyFont="1" applyBorder="1" applyAlignment="1">
      <alignment horizontal="center" vertical="center"/>
    </xf>
    <xf numFmtId="1" fontId="6" fillId="0" borderId="1568" xfId="0" applyNumberFormat="1" applyFont="1" applyBorder="1" applyAlignment="1">
      <alignment horizontal="center" vertical="center"/>
    </xf>
    <xf numFmtId="1" fontId="6" fillId="0" borderId="1502" xfId="0" applyNumberFormat="1" applyFont="1" applyBorder="1" applyAlignment="1">
      <alignment horizontal="center" vertical="center"/>
    </xf>
    <xf numFmtId="1" fontId="6" fillId="3" borderId="1359" xfId="0" applyNumberFormat="1" applyFont="1" applyFill="1" applyBorder="1" applyAlignment="1" applyProtection="1">
      <alignment horizontal="center" wrapText="1"/>
      <protection hidden="1"/>
    </xf>
    <xf numFmtId="1" fontId="6" fillId="3" borderId="1543" xfId="0" applyNumberFormat="1" applyFont="1" applyFill="1" applyBorder="1" applyAlignment="1" applyProtection="1">
      <alignment horizontal="center" wrapText="1"/>
      <protection hidden="1"/>
    </xf>
    <xf numFmtId="1" fontId="6" fillId="0" borderId="1560" xfId="0" applyNumberFormat="1" applyFont="1" applyBorder="1" applyAlignment="1">
      <alignment horizontal="center" vertical="center" wrapText="1"/>
    </xf>
    <xf numFmtId="1" fontId="6" fillId="0" borderId="1559" xfId="0" applyNumberFormat="1" applyFont="1" applyBorder="1" applyAlignment="1">
      <alignment horizontal="center" vertical="center" wrapText="1"/>
    </xf>
    <xf numFmtId="1" fontId="6" fillId="0" borderId="1561" xfId="0" applyNumberFormat="1" applyFont="1" applyBorder="1" applyAlignment="1">
      <alignment horizontal="center" vertical="center" wrapText="1"/>
    </xf>
    <xf numFmtId="1" fontId="6" fillId="0" borderId="1395" xfId="0" applyNumberFormat="1" applyFont="1" applyBorder="1" applyAlignment="1">
      <alignment horizontal="center" vertical="center"/>
    </xf>
    <xf numFmtId="1" fontId="6" fillId="0" borderId="1385" xfId="0" applyNumberFormat="1" applyFont="1" applyBorder="1" applyAlignment="1">
      <alignment horizontal="center" vertical="center"/>
    </xf>
    <xf numFmtId="1" fontId="6" fillId="0" borderId="1369" xfId="0" applyNumberFormat="1" applyFont="1" applyBorder="1" applyAlignment="1">
      <alignment horizontal="center" vertical="center"/>
    </xf>
    <xf numFmtId="1" fontId="6" fillId="0" borderId="1382" xfId="0" applyNumberFormat="1" applyFont="1" applyBorder="1" applyAlignment="1">
      <alignment horizontal="center" vertical="center"/>
    </xf>
    <xf numFmtId="1" fontId="6" fillId="0" borderId="1368" xfId="0" applyNumberFormat="1" applyFont="1" applyBorder="1" applyAlignment="1">
      <alignment horizontal="center" vertical="center"/>
    </xf>
    <xf numFmtId="1" fontId="6" fillId="0" borderId="1378" xfId="0" applyNumberFormat="1" applyFont="1" applyBorder="1" applyAlignment="1">
      <alignment horizontal="center" vertical="center" wrapText="1"/>
    </xf>
    <xf numFmtId="1" fontId="6" fillId="0" borderId="1379" xfId="0" applyNumberFormat="1" applyFont="1" applyBorder="1" applyAlignment="1">
      <alignment horizontal="center" vertical="center" wrapText="1"/>
    </xf>
    <xf numFmtId="1" fontId="6" fillId="0" borderId="224" xfId="27" applyNumberFormat="1" applyFont="1" applyBorder="1" applyAlignment="1">
      <alignment horizontal="center" vertical="center" wrapText="1"/>
    </xf>
    <xf numFmtId="1" fontId="6" fillId="0" borderId="435" xfId="27" applyNumberFormat="1" applyFont="1" applyBorder="1" applyAlignment="1">
      <alignment horizontal="center" vertical="center" wrapText="1"/>
    </xf>
    <xf numFmtId="1" fontId="6" fillId="0" borderId="237" xfId="27" applyNumberFormat="1" applyFont="1" applyBorder="1" applyAlignment="1">
      <alignment horizontal="center" vertical="center" wrapText="1"/>
    </xf>
    <xf numFmtId="1" fontId="6" fillId="0" borderId="1382" xfId="27" applyNumberFormat="1" applyFont="1" applyBorder="1" applyAlignment="1">
      <alignment horizontal="center" vertical="center" wrapText="1"/>
    </xf>
    <xf numFmtId="1" fontId="6" fillId="0" borderId="517" xfId="27" applyNumberFormat="1" applyFont="1" applyBorder="1" applyAlignment="1">
      <alignment horizontal="center" vertical="center" wrapText="1"/>
    </xf>
    <xf numFmtId="1" fontId="6" fillId="0" borderId="1368" xfId="27" applyNumberFormat="1" applyFont="1" applyBorder="1" applyAlignment="1">
      <alignment horizontal="center" vertical="center" wrapText="1"/>
    </xf>
    <xf numFmtId="1" fontId="6" fillId="0" borderId="1003" xfId="0" applyNumberFormat="1" applyFont="1" applyBorder="1" applyAlignment="1">
      <alignment horizontal="center" vertical="center" wrapText="1"/>
    </xf>
    <xf numFmtId="1" fontId="6" fillId="0" borderId="1548" xfId="0" applyNumberFormat="1" applyFont="1" applyBorder="1" applyAlignment="1">
      <alignment horizontal="center" vertical="center" wrapText="1"/>
    </xf>
    <xf numFmtId="1" fontId="32" fillId="0" borderId="1375" xfId="0" applyNumberFormat="1" applyFont="1" applyBorder="1" applyAlignment="1">
      <alignment horizontal="center" vertical="center"/>
    </xf>
    <xf numFmtId="1" fontId="32" fillId="0" borderId="1371" xfId="0" applyNumberFormat="1" applyFont="1" applyBorder="1" applyAlignment="1">
      <alignment horizontal="center" vertical="center"/>
    </xf>
    <xf numFmtId="1" fontId="32" fillId="0" borderId="1378" xfId="0" applyNumberFormat="1" applyFont="1" applyBorder="1" applyAlignment="1">
      <alignment horizontal="center" vertical="center"/>
    </xf>
    <xf numFmtId="1" fontId="32" fillId="0" borderId="1377" xfId="0" applyNumberFormat="1" applyFont="1" applyBorder="1" applyAlignment="1">
      <alignment horizontal="center" vertical="center"/>
    </xf>
    <xf numFmtId="1" fontId="32" fillId="0" borderId="1376" xfId="0" applyNumberFormat="1" applyFont="1" applyBorder="1" applyAlignment="1">
      <alignment horizontal="center" vertical="center"/>
    </xf>
    <xf numFmtId="1" fontId="32" fillId="0" borderId="1378" xfId="0" applyNumberFormat="1" applyFont="1" applyBorder="1" applyAlignment="1">
      <alignment horizontal="center" vertical="center" wrapText="1"/>
    </xf>
    <xf numFmtId="1" fontId="32" fillId="0" borderId="1376" xfId="0" applyNumberFormat="1" applyFont="1" applyBorder="1" applyAlignment="1">
      <alignment horizontal="center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63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/>
    </xf>
    <xf numFmtId="1" fontId="6" fillId="0" borderId="463" xfId="0" applyNumberFormat="1" applyFont="1" applyBorder="1" applyAlignment="1">
      <alignment horizontal="center" vertical="center"/>
    </xf>
    <xf numFmtId="1" fontId="11" fillId="0" borderId="1382" xfId="27" applyNumberFormat="1" applyFont="1" applyBorder="1" applyAlignment="1">
      <alignment horizontal="center" vertical="center" wrapText="1"/>
    </xf>
    <xf numFmtId="1" fontId="11" fillId="0" borderId="517" xfId="27" applyNumberFormat="1" applyFont="1" applyBorder="1" applyAlignment="1">
      <alignment horizontal="center" vertical="center" wrapText="1"/>
    </xf>
    <xf numFmtId="1" fontId="11" fillId="0" borderId="1368" xfId="27" applyNumberFormat="1" applyFont="1" applyBorder="1" applyAlignment="1">
      <alignment horizontal="center" vertical="center" wrapText="1"/>
    </xf>
    <xf numFmtId="1" fontId="6" fillId="3" borderId="1543" xfId="0" applyNumberFormat="1" applyFont="1" applyFill="1" applyBorder="1" applyAlignment="1">
      <alignment horizontal="center" vertical="center" wrapText="1"/>
    </xf>
    <xf numFmtId="1" fontId="6" fillId="3" borderId="1359" xfId="0" applyNumberFormat="1" applyFont="1" applyFill="1" applyBorder="1" applyAlignment="1">
      <alignment horizontal="center" vertical="center" wrapText="1"/>
    </xf>
    <xf numFmtId="1" fontId="6" fillId="0" borderId="1439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horizontal="center" vertical="center" wrapText="1"/>
    </xf>
    <xf numFmtId="1" fontId="11" fillId="0" borderId="2464" xfId="0" applyNumberFormat="1" applyFont="1" applyBorder="1" applyAlignment="1">
      <alignment horizontal="center" vertical="center" wrapText="1"/>
    </xf>
    <xf numFmtId="1" fontId="11" fillId="0" borderId="129" xfId="0" applyNumberFormat="1" applyFont="1" applyBorder="1" applyAlignment="1">
      <alignment horizontal="center" vertical="center" wrapText="1"/>
    </xf>
    <xf numFmtId="1" fontId="11" fillId="0" borderId="2467" xfId="0" applyNumberFormat="1" applyFont="1" applyBorder="1" applyAlignment="1">
      <alignment horizontal="center" vertical="center" wrapText="1"/>
    </xf>
    <xf numFmtId="1" fontId="6" fillId="0" borderId="2454" xfId="0" applyNumberFormat="1" applyFont="1" applyBorder="1" applyAlignment="1">
      <alignment horizontal="center" vertical="center" wrapText="1"/>
    </xf>
    <xf numFmtId="1" fontId="6" fillId="0" borderId="2454" xfId="0" applyNumberFormat="1" applyFont="1" applyBorder="1" applyAlignment="1">
      <alignment horizontal="center" vertical="center"/>
    </xf>
    <xf numFmtId="1" fontId="4" fillId="3" borderId="2470" xfId="0" applyNumberFormat="1" applyFont="1" applyFill="1" applyBorder="1" applyAlignment="1">
      <alignment horizontal="left"/>
    </xf>
    <xf numFmtId="1" fontId="11" fillId="0" borderId="2438" xfId="0" applyNumberFormat="1" applyFont="1" applyBorder="1" applyAlignment="1">
      <alignment horizontal="center" vertical="center" wrapText="1"/>
    </xf>
    <xf numFmtId="1" fontId="11" fillId="0" borderId="435" xfId="0" applyNumberFormat="1" applyFont="1" applyBorder="1" applyAlignment="1">
      <alignment horizontal="center" vertical="center" wrapText="1"/>
    </xf>
    <xf numFmtId="1" fontId="11" fillId="0" borderId="2471" xfId="0" applyNumberFormat="1" applyFont="1" applyBorder="1" applyAlignment="1">
      <alignment horizontal="center" vertical="center" wrapText="1"/>
    </xf>
    <xf numFmtId="1" fontId="6" fillId="0" borderId="2462" xfId="0" applyNumberFormat="1" applyFont="1" applyBorder="1" applyAlignment="1">
      <alignment horizontal="center" vertical="center" wrapText="1"/>
    </xf>
    <xf numFmtId="1" fontId="11" fillId="0" borderId="2454" xfId="27" applyNumberFormat="1" applyFont="1" applyBorder="1" applyAlignment="1">
      <alignment horizontal="center" vertical="center" wrapText="1"/>
    </xf>
    <xf numFmtId="1" fontId="6" fillId="0" borderId="2462" xfId="0" applyNumberFormat="1" applyFont="1" applyBorder="1" applyAlignment="1">
      <alignment horizontal="center" vertical="center"/>
    </xf>
    <xf numFmtId="1" fontId="50" fillId="0" borderId="2454" xfId="27" applyNumberFormat="1" applyFont="1" applyBorder="1" applyAlignment="1">
      <alignment horizontal="center" vertical="center" wrapText="1"/>
    </xf>
    <xf numFmtId="1" fontId="49" fillId="0" borderId="2462" xfId="0" applyNumberFormat="1" applyFont="1" applyBorder="1" applyAlignment="1">
      <alignment horizontal="center" vertical="center" wrapText="1"/>
    </xf>
    <xf numFmtId="1" fontId="49" fillId="0" borderId="2435" xfId="0" applyNumberFormat="1" applyFont="1" applyBorder="1" applyAlignment="1">
      <alignment horizontal="center" vertical="center" wrapText="1"/>
    </xf>
    <xf numFmtId="1" fontId="49" fillId="0" borderId="2475" xfId="0" applyNumberFormat="1" applyFont="1" applyBorder="1" applyAlignment="1">
      <alignment horizontal="center" vertical="center" wrapText="1"/>
    </xf>
    <xf numFmtId="1" fontId="49" fillId="0" borderId="2462" xfId="0" applyNumberFormat="1" applyFont="1" applyBorder="1" applyAlignment="1">
      <alignment horizontal="center" vertical="center"/>
    </xf>
    <xf numFmtId="1" fontId="11" fillId="0" borderId="2438" xfId="27" applyNumberFormat="1" applyFont="1" applyBorder="1" applyAlignment="1">
      <alignment horizontal="center" vertical="center" wrapText="1"/>
    </xf>
    <xf numFmtId="1" fontId="11" fillId="0" borderId="435" xfId="27" applyNumberFormat="1" applyFont="1" applyBorder="1" applyAlignment="1">
      <alignment horizontal="center" vertical="center" wrapText="1"/>
    </xf>
    <xf numFmtId="1" fontId="11" fillId="0" borderId="2471" xfId="27" applyNumberFormat="1" applyFont="1" applyBorder="1" applyAlignment="1">
      <alignment horizontal="center" vertical="center" wrapText="1"/>
    </xf>
    <xf numFmtId="1" fontId="49" fillId="0" borderId="2443" xfId="0" applyNumberFormat="1" applyFont="1" applyBorder="1" applyAlignment="1">
      <alignment horizontal="center" vertical="center" wrapText="1"/>
    </xf>
    <xf numFmtId="1" fontId="49" fillId="0" borderId="1521" xfId="0" applyNumberFormat="1" applyFont="1" applyBorder="1" applyAlignment="1">
      <alignment horizontal="center" vertical="center" wrapText="1"/>
    </xf>
    <xf numFmtId="1" fontId="49" fillId="0" borderId="1857" xfId="0" applyNumberFormat="1" applyFont="1" applyBorder="1" applyAlignment="1">
      <alignment horizontal="center" vertical="center" wrapText="1"/>
    </xf>
    <xf numFmtId="1" fontId="38" fillId="0" borderId="2448" xfId="27" applyNumberFormat="1" applyFont="1" applyBorder="1" applyAlignment="1">
      <alignment horizontal="center" vertical="center" wrapText="1"/>
    </xf>
    <xf numFmtId="1" fontId="49" fillId="0" borderId="2454" xfId="0" applyNumberFormat="1" applyFont="1" applyBorder="1" applyAlignment="1">
      <alignment horizontal="center" vertical="center"/>
    </xf>
    <xf numFmtId="1" fontId="50" fillId="0" borderId="2448" xfId="27" applyNumberFormat="1" applyFont="1" applyBorder="1" applyAlignment="1">
      <alignment horizontal="center" vertical="center" wrapText="1"/>
    </xf>
    <xf numFmtId="1" fontId="49" fillId="0" borderId="2438" xfId="0" applyNumberFormat="1" applyFont="1" applyBorder="1" applyAlignment="1">
      <alignment horizontal="center" vertical="center"/>
    </xf>
    <xf numFmtId="1" fontId="49" fillId="0" borderId="2471" xfId="0" applyNumberFormat="1" applyFont="1" applyBorder="1" applyAlignment="1">
      <alignment horizontal="center" vertical="center"/>
    </xf>
    <xf numFmtId="1" fontId="49" fillId="0" borderId="2454" xfId="0" applyNumberFormat="1" applyFont="1" applyBorder="1" applyAlignment="1">
      <alignment horizontal="center" vertical="center" wrapText="1"/>
    </xf>
    <xf numFmtId="1" fontId="49" fillId="0" borderId="2438" xfId="0" applyNumberFormat="1" applyFont="1" applyBorder="1" applyAlignment="1">
      <alignment horizontal="center" vertical="center" wrapText="1"/>
    </xf>
    <xf numFmtId="1" fontId="49" fillId="0" borderId="2471" xfId="0" applyNumberFormat="1" applyFont="1" applyBorder="1" applyAlignment="1">
      <alignment horizontal="center" vertical="center" wrapText="1"/>
    </xf>
    <xf numFmtId="0" fontId="6" fillId="0" borderId="240" xfId="0" applyFont="1" applyBorder="1" applyAlignment="1">
      <alignment horizontal="center" vertical="center" wrapText="1"/>
    </xf>
    <xf numFmtId="0" fontId="6" fillId="0" borderId="24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8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141" xfId="0" applyFont="1" applyBorder="1" applyAlignment="1">
      <alignment horizontal="center" vertical="center" wrapText="1"/>
    </xf>
    <xf numFmtId="0" fontId="6" fillId="0" borderId="225" xfId="0" applyFont="1" applyBorder="1" applyAlignment="1">
      <alignment horizontal="center" vertical="center" wrapText="1"/>
    </xf>
    <xf numFmtId="0" fontId="6" fillId="0" borderId="226" xfId="0" applyFont="1" applyBorder="1" applyAlignment="1">
      <alignment horizontal="center" vertical="center" wrapText="1"/>
    </xf>
    <xf numFmtId="0" fontId="6" fillId="0" borderId="227" xfId="0" applyFont="1" applyBorder="1" applyAlignment="1">
      <alignment horizontal="center" vertical="center" wrapText="1"/>
    </xf>
    <xf numFmtId="0" fontId="6" fillId="14" borderId="241" xfId="0" applyFont="1" applyFill="1" applyBorder="1" applyAlignment="1">
      <alignment horizontal="center" vertical="center" wrapText="1"/>
    </xf>
    <xf numFmtId="0" fontId="6" fillId="14" borderId="68" xfId="0" applyFont="1" applyFill="1" applyBorder="1" applyAlignment="1">
      <alignment horizontal="center" vertical="center" wrapText="1"/>
    </xf>
    <xf numFmtId="0" fontId="6" fillId="14" borderId="141" xfId="0" applyFont="1" applyFill="1" applyBorder="1" applyAlignment="1">
      <alignment horizontal="center" vertical="center" wrapText="1"/>
    </xf>
    <xf numFmtId="0" fontId="6" fillId="0" borderId="225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/>
    </xf>
    <xf numFmtId="0" fontId="6" fillId="0" borderId="224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37" xfId="0" applyFont="1" applyBorder="1" applyAlignment="1">
      <alignment horizontal="center" vertical="center" wrapText="1"/>
    </xf>
    <xf numFmtId="0" fontId="6" fillId="0" borderId="228" xfId="0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0" fontId="6" fillId="0" borderId="227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 wrapText="1"/>
    </xf>
    <xf numFmtId="0" fontId="6" fillId="0" borderId="128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0" xfId="0" applyFont="1" applyBorder="1" applyAlignment="1">
      <alignment horizontal="left" vertical="center" wrapText="1"/>
    </xf>
    <xf numFmtId="0" fontId="6" fillId="0" borderId="222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41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141" xfId="0" applyFont="1" applyBorder="1" applyAlignment="1">
      <alignment horizontal="center" vertical="center"/>
    </xf>
    <xf numFmtId="0" fontId="6" fillId="0" borderId="223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608" xfId="0" applyFont="1" applyBorder="1" applyAlignment="1">
      <alignment horizontal="center" vertical="center" wrapText="1"/>
    </xf>
    <xf numFmtId="0" fontId="6" fillId="0" borderId="615" xfId="0" applyFont="1" applyBorder="1" applyAlignment="1">
      <alignment horizontal="center" vertical="center" wrapText="1"/>
    </xf>
    <xf numFmtId="0" fontId="6" fillId="0" borderId="238" xfId="0" applyFont="1" applyBorder="1" applyAlignment="1">
      <alignment horizontal="center" vertical="center" wrapText="1"/>
    </xf>
    <xf numFmtId="0" fontId="6" fillId="0" borderId="48" xfId="0" applyFont="1" applyBorder="1" applyAlignment="1">
      <alignment horizontal="center" vertical="center" wrapText="1"/>
    </xf>
    <xf numFmtId="0" fontId="6" fillId="0" borderId="236" xfId="0" applyFont="1" applyBorder="1" applyAlignment="1">
      <alignment horizontal="left" vertical="center" wrapText="1"/>
    </xf>
    <xf numFmtId="0" fontId="6" fillId="0" borderId="234" xfId="0" applyFont="1" applyBorder="1" applyAlignment="1">
      <alignment horizontal="left" vertical="center" wrapText="1"/>
    </xf>
    <xf numFmtId="0" fontId="6" fillId="0" borderId="606" xfId="0" applyFont="1" applyBorder="1" applyAlignment="1">
      <alignment horizontal="left" vertical="center" wrapText="1"/>
    </xf>
    <xf numFmtId="0" fontId="6" fillId="0" borderId="607" xfId="0" applyFont="1" applyBorder="1" applyAlignment="1">
      <alignment horizontal="left" vertical="center" wrapText="1"/>
    </xf>
    <xf numFmtId="0" fontId="6" fillId="14" borderId="606" xfId="0" applyFont="1" applyFill="1" applyBorder="1" applyAlignment="1">
      <alignment horizontal="left" vertical="center" wrapText="1"/>
    </xf>
    <xf numFmtId="0" fontId="6" fillId="14" borderId="607" xfId="0" applyFont="1" applyFill="1" applyBorder="1" applyAlignment="1">
      <alignment horizontal="left" vertical="center" wrapText="1"/>
    </xf>
    <xf numFmtId="0" fontId="6" fillId="0" borderId="225" xfId="0" applyFont="1" applyBorder="1" applyAlignment="1">
      <alignment horizontal="left" vertical="center" wrapText="1"/>
    </xf>
    <xf numFmtId="0" fontId="6" fillId="0" borderId="228" xfId="0" applyFont="1" applyBorder="1" applyAlignment="1">
      <alignment horizontal="left" vertical="center" wrapText="1"/>
    </xf>
    <xf numFmtId="0" fontId="6" fillId="0" borderId="966" xfId="0" applyFont="1" applyBorder="1" applyAlignment="1">
      <alignment horizontal="center" vertical="center" wrapText="1"/>
    </xf>
    <xf numFmtId="0" fontId="6" fillId="0" borderId="958" xfId="0" applyFont="1" applyBorder="1" applyAlignment="1">
      <alignment horizontal="center" vertical="center" wrapText="1"/>
    </xf>
    <xf numFmtId="0" fontId="6" fillId="0" borderId="967" xfId="0" applyFont="1" applyBorder="1" applyAlignment="1">
      <alignment horizontal="center" vertical="center" wrapText="1"/>
    </xf>
    <xf numFmtId="0" fontId="6" fillId="0" borderId="903" xfId="0" applyFont="1" applyBorder="1" applyAlignment="1">
      <alignment horizontal="center" vertical="center" wrapText="1"/>
    </xf>
    <xf numFmtId="0" fontId="6" fillId="0" borderId="517" xfId="0" applyFont="1" applyBorder="1" applyAlignment="1">
      <alignment horizontal="center" vertical="center" wrapText="1"/>
    </xf>
    <xf numFmtId="0" fontId="6" fillId="0" borderId="961" xfId="0" applyFont="1" applyBorder="1" applyAlignment="1">
      <alignment horizontal="center" vertical="center" wrapText="1"/>
    </xf>
    <xf numFmtId="0" fontId="6" fillId="0" borderId="643" xfId="0" applyFont="1" applyBorder="1" applyAlignment="1">
      <alignment horizontal="left" vertical="center" wrapText="1"/>
    </xf>
    <xf numFmtId="0" fontId="6" fillId="0" borderId="635" xfId="0" applyFont="1" applyBorder="1" applyAlignment="1">
      <alignment horizontal="left" vertical="center" wrapText="1"/>
    </xf>
    <xf numFmtId="0" fontId="45" fillId="0" borderId="903" xfId="0" applyFont="1" applyBorder="1" applyAlignment="1">
      <alignment horizontal="center" vertical="center" wrapText="1"/>
    </xf>
    <xf numFmtId="0" fontId="45" fillId="0" borderId="741" xfId="0" applyFont="1" applyBorder="1" applyAlignment="1">
      <alignment horizontal="center" vertical="center" wrapText="1"/>
    </xf>
    <xf numFmtId="1" fontId="45" fillId="0" borderId="848" xfId="0" applyNumberFormat="1" applyFont="1" applyBorder="1" applyAlignment="1" applyProtection="1">
      <alignment horizontal="center" vertical="center" wrapText="1"/>
      <protection hidden="1"/>
    </xf>
    <xf numFmtId="1" fontId="45" fillId="0" borderId="896" xfId="0" applyNumberFormat="1" applyFont="1" applyBorder="1" applyAlignment="1" applyProtection="1">
      <alignment horizontal="center" vertical="center" wrapText="1"/>
      <protection hidden="1"/>
    </xf>
    <xf numFmtId="1" fontId="6" fillId="0" borderId="923" xfId="0" applyNumberFormat="1" applyFont="1" applyBorder="1" applyAlignment="1">
      <alignment horizontal="center" vertical="center"/>
    </xf>
    <xf numFmtId="1" fontId="6" fillId="0" borderId="958" xfId="0" applyNumberFormat="1" applyFont="1" applyBorder="1" applyAlignment="1">
      <alignment horizontal="center" vertical="center"/>
    </xf>
    <xf numFmtId="1" fontId="6" fillId="0" borderId="957" xfId="0" applyNumberFormat="1" applyFont="1" applyBorder="1" applyAlignment="1">
      <alignment horizontal="center" vertical="center"/>
    </xf>
    <xf numFmtId="0" fontId="6" fillId="14" borderId="53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 wrapText="1"/>
    </xf>
    <xf numFmtId="1" fontId="66" fillId="0" borderId="0" xfId="0" applyNumberFormat="1" applyFont="1" applyAlignment="1">
      <alignment horizontal="center" vertical="center" wrapText="1"/>
    </xf>
    <xf numFmtId="1" fontId="32" fillId="49" borderId="589" xfId="0" applyNumberFormat="1" applyFont="1" applyFill="1" applyBorder="1" applyAlignment="1">
      <alignment horizontal="center" vertical="center"/>
    </xf>
    <xf numFmtId="1" fontId="32" fillId="49" borderId="435" xfId="0" applyNumberFormat="1" applyFont="1" applyFill="1" applyBorder="1" applyAlignment="1">
      <alignment horizontal="center" vertical="center"/>
    </xf>
    <xf numFmtId="1" fontId="32" fillId="49" borderId="544" xfId="0" applyNumberFormat="1" applyFont="1" applyFill="1" applyBorder="1" applyAlignment="1">
      <alignment horizontal="center" vertical="center"/>
    </xf>
    <xf numFmtId="1" fontId="32" fillId="49" borderId="585" xfId="0" applyNumberFormat="1" applyFont="1" applyFill="1" applyBorder="1" applyAlignment="1">
      <alignment horizontal="center" vertical="center" wrapText="1"/>
    </xf>
    <xf numFmtId="1" fontId="32" fillId="49" borderId="586" xfId="0" applyNumberFormat="1" applyFont="1" applyFill="1" applyBorder="1" applyAlignment="1">
      <alignment horizontal="center" vertical="center" wrapText="1"/>
    </xf>
    <xf numFmtId="1" fontId="32" fillId="49" borderId="587" xfId="0" applyNumberFormat="1" applyFont="1" applyFill="1" applyBorder="1" applyAlignment="1">
      <alignment horizontal="center" vertical="center" wrapText="1"/>
    </xf>
    <xf numFmtId="1" fontId="32" fillId="49" borderId="423" xfId="0" applyNumberFormat="1" applyFont="1" applyFill="1" applyBorder="1" applyAlignment="1">
      <alignment horizontal="center" vertical="center" wrapText="1"/>
    </xf>
    <xf numFmtId="1" fontId="32" fillId="49" borderId="0" xfId="0" applyNumberFormat="1" applyFont="1" applyFill="1" applyAlignment="1">
      <alignment horizontal="center" vertical="center" wrapText="1"/>
    </xf>
    <xf numFmtId="1" fontId="32" fillId="49" borderId="517" xfId="0" applyNumberFormat="1" applyFont="1" applyFill="1" applyBorder="1" applyAlignment="1">
      <alignment horizontal="center" vertical="center" wrapText="1"/>
    </xf>
    <xf numFmtId="1" fontId="32" fillId="49" borderId="1425" xfId="0" applyNumberFormat="1" applyFont="1" applyFill="1" applyBorder="1" applyAlignment="1">
      <alignment horizontal="center" vertical="center" wrapText="1"/>
    </xf>
    <xf numFmtId="1" fontId="32" fillId="49" borderId="1304" xfId="0" applyNumberFormat="1" applyFont="1" applyFill="1" applyBorder="1" applyAlignment="1">
      <alignment horizontal="center" vertical="center" wrapText="1"/>
    </xf>
    <xf numFmtId="1" fontId="32" fillId="49" borderId="1324" xfId="0" applyNumberFormat="1" applyFont="1" applyFill="1" applyBorder="1" applyAlignment="1">
      <alignment horizontal="center" vertical="center" wrapText="1"/>
    </xf>
    <xf numFmtId="1" fontId="32" fillId="49" borderId="1304" xfId="0" applyNumberFormat="1" applyFont="1" applyFill="1" applyBorder="1" applyAlignment="1">
      <alignment horizontal="center" vertical="center"/>
    </xf>
    <xf numFmtId="1" fontId="32" fillId="49" borderId="1324" xfId="0" applyNumberFormat="1" applyFont="1" applyFill="1" applyBorder="1" applyAlignment="1">
      <alignment horizontal="center" vertical="center"/>
    </xf>
    <xf numFmtId="1" fontId="32" fillId="49" borderId="1425" xfId="0" applyNumberFormat="1" applyFont="1" applyFill="1" applyBorder="1" applyAlignment="1">
      <alignment horizontal="center" vertical="center"/>
    </xf>
    <xf numFmtId="1" fontId="32" fillId="14" borderId="1009" xfId="0" applyNumberFormat="1" applyFont="1" applyFill="1" applyBorder="1" applyAlignment="1" applyProtection="1">
      <alignment horizontal="center" vertical="center" wrapText="1"/>
      <protection hidden="1"/>
    </xf>
    <xf numFmtId="1" fontId="32" fillId="14" borderId="1024" xfId="0" applyNumberFormat="1" applyFont="1" applyFill="1" applyBorder="1" applyAlignment="1" applyProtection="1">
      <alignment horizontal="center" vertical="center" wrapText="1"/>
      <protection hidden="1"/>
    </xf>
    <xf numFmtId="1" fontId="32" fillId="14" borderId="1012" xfId="0" applyNumberFormat="1" applyFont="1" applyFill="1" applyBorder="1" applyAlignment="1">
      <alignment horizontal="center" vertical="center"/>
    </xf>
    <xf numFmtId="1" fontId="32" fillId="14" borderId="1016" xfId="0" applyNumberFormat="1" applyFont="1" applyFill="1" applyBorder="1" applyAlignment="1">
      <alignment horizontal="center" vertical="center"/>
    </xf>
    <xf numFmtId="1" fontId="32" fillId="14" borderId="1013" xfId="0" applyNumberFormat="1" applyFont="1" applyFill="1" applyBorder="1" applyAlignment="1">
      <alignment horizontal="center" vertical="center"/>
    </xf>
    <xf numFmtId="0" fontId="65" fillId="14" borderId="0" xfId="6" applyFont="1" applyFill="1" applyAlignment="1">
      <alignment horizontal="center" vertical="center" wrapText="1"/>
    </xf>
    <xf numFmtId="164" fontId="66" fillId="14" borderId="912" xfId="32" applyNumberFormat="1" applyFont="1" applyFill="1" applyBorder="1" applyAlignment="1" applyProtection="1">
      <alignment horizontal="center" vertical="center"/>
    </xf>
    <xf numFmtId="164" fontId="66" fillId="14" borderId="886" xfId="32" applyNumberFormat="1" applyFont="1" applyFill="1" applyBorder="1" applyAlignment="1" applyProtection="1">
      <alignment horizontal="center" vertical="center"/>
    </xf>
    <xf numFmtId="164" fontId="66" fillId="14" borderId="896" xfId="32" applyNumberFormat="1" applyFont="1" applyFill="1" applyBorder="1" applyAlignment="1" applyProtection="1">
      <alignment horizontal="center" vertical="center"/>
    </xf>
    <xf numFmtId="164" fontId="66" fillId="14" borderId="905" xfId="32" applyNumberFormat="1" applyFont="1" applyFill="1" applyBorder="1" applyAlignment="1" applyProtection="1">
      <alignment horizontal="center" vertical="center" wrapText="1"/>
    </xf>
    <xf numFmtId="164" fontId="66" fillId="14" borderId="851" xfId="32" applyNumberFormat="1" applyFont="1" applyFill="1" applyBorder="1" applyAlignment="1" applyProtection="1">
      <alignment horizontal="center" vertical="center" wrapText="1"/>
    </xf>
    <xf numFmtId="164" fontId="66" fillId="14" borderId="903" xfId="32" applyNumberFormat="1" applyFont="1" applyFill="1" applyBorder="1" applyAlignment="1" applyProtection="1">
      <alignment horizontal="center" vertical="center" wrapText="1"/>
    </xf>
    <xf numFmtId="164" fontId="66" fillId="14" borderId="848" xfId="32" applyNumberFormat="1" applyFont="1" applyFill="1" applyBorder="1" applyAlignment="1" applyProtection="1">
      <alignment horizontal="center" vertical="center"/>
    </xf>
    <xf numFmtId="164" fontId="66" fillId="14" borderId="923" xfId="32" applyNumberFormat="1" applyFont="1" applyFill="1" applyBorder="1" applyAlignment="1" applyProtection="1">
      <alignment horizontal="center" vertical="center" wrapText="1"/>
    </xf>
    <xf numFmtId="164" fontId="66" fillId="14" borderId="930" xfId="32" applyNumberFormat="1" applyFont="1" applyFill="1" applyBorder="1" applyAlignment="1" applyProtection="1">
      <alignment horizontal="center" vertical="center" wrapText="1"/>
    </xf>
    <xf numFmtId="164" fontId="66" fillId="14" borderId="929" xfId="32" applyNumberFormat="1" applyFont="1" applyFill="1" applyBorder="1" applyAlignment="1" applyProtection="1">
      <alignment horizontal="center" vertical="center" wrapText="1"/>
    </xf>
    <xf numFmtId="164" fontId="66" fillId="14" borderId="1422" xfId="6" applyNumberFormat="1" applyFont="1" applyFill="1" applyBorder="1" applyAlignment="1">
      <alignment horizontal="center"/>
    </xf>
    <xf numFmtId="164" fontId="66" fillId="14" borderId="1423" xfId="6" applyNumberFormat="1" applyFont="1" applyFill="1" applyBorder="1" applyAlignment="1">
      <alignment horizontal="center"/>
    </xf>
    <xf numFmtId="0" fontId="66" fillId="0" borderId="0" xfId="0" applyFont="1" applyAlignment="1">
      <alignment horizontal="center" wrapText="1"/>
    </xf>
    <xf numFmtId="164" fontId="66" fillId="14" borderId="1425" xfId="6" applyNumberFormat="1" applyFont="1" applyFill="1" applyBorder="1" applyAlignment="1">
      <alignment horizontal="center"/>
    </xf>
    <xf numFmtId="164" fontId="66" fillId="14" borderId="1424" xfId="6" applyNumberFormat="1" applyFont="1" applyFill="1" applyBorder="1" applyAlignment="1">
      <alignment horizontal="center"/>
    </xf>
    <xf numFmtId="1" fontId="32" fillId="0" borderId="1430" xfId="0" applyNumberFormat="1" applyFont="1" applyBorder="1" applyAlignment="1">
      <alignment horizontal="center" vertical="center" wrapText="1"/>
    </xf>
    <xf numFmtId="1" fontId="32" fillId="0" borderId="886" xfId="0" applyNumberFormat="1" applyFont="1" applyBorder="1" applyAlignment="1">
      <alignment horizontal="center" vertical="center" wrapText="1"/>
    </xf>
    <xf numFmtId="1" fontId="49" fillId="0" borderId="1760" xfId="449" applyNumberFormat="1" applyFont="1" applyBorder="1" applyAlignment="1">
      <alignment horizontal="center" vertical="center" wrapText="1"/>
    </xf>
    <xf numFmtId="0" fontId="51" fillId="0" borderId="1735" xfId="449" applyFont="1" applyBorder="1" applyAlignment="1">
      <alignment horizontal="left" wrapText="1"/>
    </xf>
    <xf numFmtId="0" fontId="51" fillId="0" borderId="1677" xfId="449" applyFont="1" applyBorder="1" applyAlignment="1">
      <alignment horizontal="left" wrapText="1"/>
    </xf>
    <xf numFmtId="1" fontId="49" fillId="0" borderId="1813" xfId="449" applyNumberFormat="1" applyFont="1" applyBorder="1" applyAlignment="1">
      <alignment horizontal="center" vertical="center" wrapText="1"/>
    </xf>
    <xf numFmtId="1" fontId="49" fillId="0" borderId="1692" xfId="449" applyNumberFormat="1" applyFont="1" applyBorder="1" applyAlignment="1">
      <alignment horizontal="center" vertical="center" wrapText="1"/>
    </xf>
    <xf numFmtId="1" fontId="49" fillId="0" borderId="1814" xfId="449" applyNumberFormat="1" applyFont="1" applyBorder="1" applyAlignment="1">
      <alignment horizontal="center" vertical="center" wrapText="1"/>
    </xf>
    <xf numFmtId="1" fontId="102" fillId="0" borderId="1691" xfId="449" applyNumberFormat="1" applyFont="1" applyBorder="1" applyAlignment="1">
      <alignment horizontal="center" vertical="center" wrapText="1"/>
    </xf>
    <xf numFmtId="1" fontId="102" fillId="0" borderId="1760" xfId="449" applyNumberFormat="1" applyFont="1" applyBorder="1" applyAlignment="1">
      <alignment horizontal="center" vertical="center" wrapText="1"/>
    </xf>
    <xf numFmtId="1" fontId="49" fillId="0" borderId="1760" xfId="449" applyNumberFormat="1" applyFont="1" applyBorder="1" applyAlignment="1">
      <alignment horizontal="center" vertical="center"/>
    </xf>
    <xf numFmtId="1" fontId="49" fillId="0" borderId="1830" xfId="449" applyNumberFormat="1" applyFont="1" applyBorder="1" applyAlignment="1">
      <alignment horizontal="center" vertical="center"/>
    </xf>
    <xf numFmtId="1" fontId="32" fillId="0" borderId="905" xfId="0" applyNumberFormat="1" applyFont="1" applyBorder="1" applyAlignment="1">
      <alignment horizontal="center" vertical="center" wrapText="1"/>
    </xf>
    <xf numFmtId="1" fontId="32" fillId="0" borderId="923" xfId="0" applyNumberFormat="1" applyFont="1" applyBorder="1" applyAlignment="1">
      <alignment horizontal="center" vertical="center" wrapText="1"/>
    </xf>
    <xf numFmtId="1" fontId="32" fillId="0" borderId="930" xfId="0" applyNumberFormat="1" applyFont="1" applyBorder="1" applyAlignment="1">
      <alignment horizontal="center" vertical="center" wrapText="1"/>
    </xf>
    <xf numFmtId="1" fontId="32" fillId="0" borderId="929" xfId="0" applyNumberFormat="1" applyFont="1" applyBorder="1" applyAlignment="1">
      <alignment horizontal="center" vertical="center" wrapText="1"/>
    </xf>
    <xf numFmtId="1" fontId="32" fillId="0" borderId="1641" xfId="0" applyNumberFormat="1" applyFont="1" applyBorder="1" applyAlignment="1">
      <alignment horizontal="center" vertical="center" wrapText="1"/>
    </xf>
    <xf numFmtId="1" fontId="32" fillId="0" borderId="1678" xfId="0" applyNumberFormat="1" applyFont="1" applyBorder="1" applyAlignment="1">
      <alignment horizontal="center" vertical="center" wrapText="1"/>
    </xf>
    <xf numFmtId="1" fontId="32" fillId="0" borderId="1293" xfId="0" applyNumberFormat="1" applyFont="1" applyBorder="1" applyAlignment="1">
      <alignment horizontal="center" vertical="center" wrapText="1"/>
    </xf>
    <xf numFmtId="1" fontId="32" fillId="0" borderId="1428" xfId="0" applyNumberFormat="1" applyFont="1" applyBorder="1" applyAlignment="1">
      <alignment horizontal="center" vertical="center" wrapText="1"/>
    </xf>
    <xf numFmtId="1" fontId="32" fillId="0" borderId="923" xfId="0" applyNumberFormat="1" applyFont="1" applyBorder="1" applyAlignment="1">
      <alignment horizontal="center" vertical="center"/>
    </xf>
    <xf numFmtId="1" fontId="32" fillId="0" borderId="930" xfId="0" applyNumberFormat="1" applyFont="1" applyBorder="1" applyAlignment="1">
      <alignment horizontal="center" vertical="center"/>
    </xf>
    <xf numFmtId="1" fontId="32" fillId="0" borderId="929" xfId="0" applyNumberFormat="1" applyFont="1" applyBorder="1" applyAlignment="1">
      <alignment horizontal="center" vertical="center"/>
    </xf>
    <xf numFmtId="1" fontId="32" fillId="0" borderId="2374" xfId="0" applyNumberFormat="1" applyFont="1" applyBorder="1" applyAlignment="1">
      <alignment horizontal="center" vertical="center" wrapText="1"/>
    </xf>
    <xf numFmtId="1" fontId="32" fillId="0" borderId="2355" xfId="0" applyNumberFormat="1" applyFont="1" applyBorder="1" applyAlignment="1">
      <alignment horizontal="center" vertical="center" wrapText="1"/>
    </xf>
    <xf numFmtId="1" fontId="32" fillId="0" borderId="2356" xfId="0" applyNumberFormat="1" applyFont="1" applyBorder="1" applyAlignment="1">
      <alignment horizontal="center" vertical="center" wrapText="1"/>
    </xf>
    <xf numFmtId="1" fontId="32" fillId="0" borderId="129" xfId="0" applyNumberFormat="1" applyFont="1" applyBorder="1" applyAlignment="1">
      <alignment horizontal="center" vertical="center" wrapText="1"/>
    </xf>
    <xf numFmtId="1" fontId="32" fillId="0" borderId="966" xfId="0" applyNumberFormat="1" applyFont="1" applyBorder="1" applyAlignment="1">
      <alignment horizontal="center" vertical="center"/>
    </xf>
    <xf numFmtId="1" fontId="32" fillId="0" borderId="961" xfId="0" applyNumberFormat="1" applyFont="1" applyBorder="1" applyAlignment="1">
      <alignment horizontal="center" vertical="center"/>
    </xf>
    <xf numFmtId="1" fontId="32" fillId="3" borderId="848" xfId="0" applyNumberFormat="1" applyFont="1" applyFill="1" applyBorder="1" applyAlignment="1">
      <alignment horizontal="center" vertical="center" wrapText="1"/>
    </xf>
    <xf numFmtId="1" fontId="32" fillId="3" borderId="896" xfId="0" applyNumberFormat="1" applyFont="1" applyFill="1" applyBorder="1" applyAlignment="1">
      <alignment horizontal="center" vertical="center" wrapText="1"/>
    </xf>
    <xf numFmtId="1" fontId="32" fillId="0" borderId="947" xfId="0" applyNumberFormat="1" applyFont="1" applyBorder="1" applyAlignment="1">
      <alignment horizontal="center" vertical="center" wrapText="1"/>
    </xf>
    <xf numFmtId="1" fontId="32" fillId="0" borderId="775" xfId="0" applyNumberFormat="1" applyFont="1" applyBorder="1" applyAlignment="1">
      <alignment horizontal="center" vertical="center" wrapText="1"/>
    </xf>
    <xf numFmtId="1" fontId="32" fillId="0" borderId="899" xfId="0" applyNumberFormat="1" applyFont="1" applyBorder="1" applyAlignment="1">
      <alignment horizontal="center" vertical="center" wrapText="1"/>
    </xf>
    <xf numFmtId="1" fontId="32" fillId="0" borderId="2145" xfId="0" applyNumberFormat="1" applyFont="1" applyBorder="1" applyAlignment="1">
      <alignment horizontal="center" vertical="center" wrapText="1"/>
    </xf>
    <xf numFmtId="1" fontId="32" fillId="0" borderId="1854" xfId="0" applyNumberFormat="1" applyFont="1" applyBorder="1" applyAlignment="1">
      <alignment horizontal="center" vertical="center" wrapText="1"/>
    </xf>
    <xf numFmtId="1" fontId="32" fillId="0" borderId="2141" xfId="0" applyNumberFormat="1" applyFont="1" applyBorder="1" applyAlignment="1">
      <alignment horizontal="center" vertical="center" wrapText="1"/>
    </xf>
    <xf numFmtId="1" fontId="32" fillId="0" borderId="1718" xfId="0" applyNumberFormat="1" applyFont="1" applyBorder="1" applyAlignment="1">
      <alignment horizontal="center" vertical="center" wrapText="1"/>
    </xf>
    <xf numFmtId="1" fontId="32" fillId="14" borderId="1000" xfId="0" applyNumberFormat="1" applyFont="1" applyFill="1" applyBorder="1" applyAlignment="1">
      <alignment horizontal="center" vertical="center" wrapText="1"/>
    </xf>
    <xf numFmtId="1" fontId="32" fillId="14" borderId="517" xfId="0" applyNumberFormat="1" applyFont="1" applyFill="1" applyBorder="1" applyAlignment="1">
      <alignment horizontal="center" vertical="center" wrapText="1"/>
    </xf>
    <xf numFmtId="1" fontId="32" fillId="14" borderId="741" xfId="0" applyNumberFormat="1" applyFont="1" applyFill="1" applyBorder="1" applyAlignment="1">
      <alignment horizontal="center" vertical="center" wrapText="1"/>
    </xf>
    <xf numFmtId="1" fontId="32" fillId="0" borderId="967" xfId="0" applyNumberFormat="1" applyFont="1" applyBorder="1" applyAlignment="1">
      <alignment horizontal="center" vertical="center"/>
    </xf>
    <xf numFmtId="1" fontId="32" fillId="0" borderId="957" xfId="0" applyNumberFormat="1" applyFont="1" applyBorder="1" applyAlignment="1">
      <alignment horizontal="center" vertical="center"/>
    </xf>
    <xf numFmtId="1" fontId="32" fillId="0" borderId="1012" xfId="0" applyNumberFormat="1" applyFont="1" applyBorder="1" applyAlignment="1">
      <alignment horizontal="center" vertical="center"/>
    </xf>
    <xf numFmtId="1" fontId="32" fillId="0" borderId="1013" xfId="0" applyNumberFormat="1" applyFont="1" applyBorder="1" applyAlignment="1">
      <alignment horizontal="center" vertical="center"/>
    </xf>
    <xf numFmtId="1" fontId="66" fillId="14" borderId="1000" xfId="0" applyNumberFormat="1" applyFont="1" applyFill="1" applyBorder="1" applyAlignment="1">
      <alignment horizontal="center" vertical="center" wrapText="1"/>
    </xf>
    <xf numFmtId="1" fontId="66" fillId="14" borderId="517" xfId="0" applyNumberFormat="1" applyFont="1" applyFill="1" applyBorder="1" applyAlignment="1">
      <alignment horizontal="center" vertical="center" wrapText="1"/>
    </xf>
    <xf numFmtId="1" fontId="66" fillId="14" borderId="741" xfId="0" applyNumberFormat="1" applyFont="1" applyFill="1" applyBorder="1" applyAlignment="1">
      <alignment horizontal="center" vertical="center" wrapText="1"/>
    </xf>
    <xf numFmtId="0" fontId="32" fillId="0" borderId="435" xfId="0" applyFont="1" applyBorder="1" applyAlignment="1">
      <alignment horizontal="center" vertical="center" wrapText="1"/>
    </xf>
    <xf numFmtId="0" fontId="32" fillId="0" borderId="896" xfId="0" applyFont="1" applyBorder="1" applyAlignment="1">
      <alignment horizontal="center" vertical="center" wrapText="1"/>
    </xf>
    <xf numFmtId="0" fontId="32" fillId="0" borderId="848" xfId="0" applyFont="1" applyBorder="1" applyAlignment="1">
      <alignment horizontal="center" vertical="center" wrapText="1"/>
    </xf>
    <xf numFmtId="0" fontId="32" fillId="0" borderId="923" xfId="0" applyFont="1" applyBorder="1" applyAlignment="1">
      <alignment horizontal="center" vertical="center"/>
    </xf>
    <xf numFmtId="0" fontId="32" fillId="0" borderId="958" xfId="0" applyFont="1" applyBorder="1" applyAlignment="1">
      <alignment horizontal="center" vertical="center"/>
    </xf>
    <xf numFmtId="0" fontId="32" fillId="0" borderId="1012" xfId="0" applyFont="1" applyBorder="1" applyAlignment="1">
      <alignment horizontal="center"/>
    </xf>
    <xf numFmtId="0" fontId="32" fillId="0" borderId="1016" xfId="0" applyFont="1" applyBorder="1" applyAlignment="1">
      <alignment horizontal="center"/>
    </xf>
    <xf numFmtId="0" fontId="32" fillId="0" borderId="1013" xfId="0" applyFont="1" applyBorder="1" applyAlignment="1">
      <alignment horizontal="center"/>
    </xf>
    <xf numFmtId="1" fontId="32" fillId="0" borderId="1574" xfId="0" applyNumberFormat="1" applyFont="1" applyBorder="1" applyAlignment="1">
      <alignment horizontal="center" vertical="center"/>
    </xf>
    <xf numFmtId="1" fontId="32" fillId="0" borderId="1544" xfId="0" applyNumberFormat="1" applyFont="1" applyBorder="1" applyAlignment="1">
      <alignment horizontal="center" vertical="center"/>
    </xf>
    <xf numFmtId="0" fontId="32" fillId="0" borderId="1541" xfId="0" applyFont="1" applyBorder="1" applyAlignment="1">
      <alignment horizontal="center" vertical="center" wrapText="1"/>
    </xf>
    <xf numFmtId="0" fontId="32" fillId="0" borderId="1542" xfId="0" applyFont="1" applyBorder="1" applyAlignment="1">
      <alignment horizontal="center" vertical="center" wrapText="1"/>
    </xf>
    <xf numFmtId="0" fontId="32" fillId="0" borderId="1543" xfId="0" applyFont="1" applyBorder="1" applyAlignment="1">
      <alignment horizontal="center" vertical="center" wrapText="1"/>
    </xf>
    <xf numFmtId="1" fontId="32" fillId="0" borderId="848" xfId="0" applyNumberFormat="1" applyFont="1" applyBorder="1" applyAlignment="1">
      <alignment horizontal="center" vertical="center"/>
    </xf>
    <xf numFmtId="1" fontId="32" fillId="0" borderId="896" xfId="0" applyNumberFormat="1" applyFont="1" applyBorder="1" applyAlignment="1">
      <alignment horizontal="center" vertical="center"/>
    </xf>
    <xf numFmtId="1" fontId="32" fillId="0" borderId="851" xfId="0" applyNumberFormat="1" applyFont="1" applyBorder="1" applyAlignment="1">
      <alignment horizontal="center" vertical="center" wrapText="1"/>
    </xf>
    <xf numFmtId="1" fontId="32" fillId="0" borderId="1012" xfId="0" applyNumberFormat="1" applyFont="1" applyBorder="1" applyAlignment="1">
      <alignment horizontal="center" vertical="center" wrapText="1"/>
    </xf>
    <xf numFmtId="1" fontId="32" fillId="0" borderId="848" xfId="0" applyNumberFormat="1" applyFont="1" applyBorder="1" applyAlignment="1">
      <alignment horizontal="center" vertical="center" wrapText="1"/>
    </xf>
    <xf numFmtId="1" fontId="32" fillId="0" borderId="958" xfId="0" applyNumberFormat="1" applyFont="1" applyBorder="1" applyAlignment="1">
      <alignment horizontal="center" vertical="center"/>
    </xf>
    <xf numFmtId="1" fontId="32" fillId="0" borderId="905" xfId="0" applyNumberFormat="1" applyFont="1" applyBorder="1" applyAlignment="1">
      <alignment horizontal="center" vertical="center"/>
    </xf>
    <xf numFmtId="1" fontId="32" fillId="14" borderId="923" xfId="0" applyNumberFormat="1" applyFont="1" applyFill="1" applyBorder="1" applyAlignment="1">
      <alignment horizontal="center" vertical="center" wrapText="1"/>
    </xf>
    <xf numFmtId="1" fontId="32" fillId="14" borderId="958" xfId="0" applyNumberFormat="1" applyFont="1" applyFill="1" applyBorder="1" applyAlignment="1">
      <alignment horizontal="center" vertical="center" wrapText="1"/>
    </xf>
    <xf numFmtId="1" fontId="32" fillId="14" borderId="957" xfId="0" applyNumberFormat="1" applyFont="1" applyFill="1" applyBorder="1" applyAlignment="1">
      <alignment horizontal="center" vertical="center" wrapText="1"/>
    </xf>
    <xf numFmtId="1" fontId="32" fillId="0" borderId="957" xfId="0" applyNumberFormat="1" applyFont="1" applyBorder="1" applyAlignment="1">
      <alignment horizontal="center" vertical="center" wrapText="1"/>
    </xf>
    <xf numFmtId="0" fontId="32" fillId="0" borderId="903" xfId="0" applyFont="1" applyBorder="1" applyAlignment="1">
      <alignment horizontal="center" vertical="center"/>
    </xf>
    <xf numFmtId="0" fontId="32" fillId="0" borderId="517" xfId="0" applyFont="1" applyBorder="1" applyAlignment="1">
      <alignment horizontal="center" vertical="center"/>
    </xf>
    <xf numFmtId="0" fontId="32" fillId="0" borderId="741" xfId="0" applyFont="1" applyBorder="1" applyAlignment="1">
      <alignment horizontal="center" vertical="center"/>
    </xf>
    <xf numFmtId="1" fontId="32" fillId="14" borderId="848" xfId="0" applyNumberFormat="1" applyFont="1" applyFill="1" applyBorder="1" applyAlignment="1" applyProtection="1">
      <alignment horizontal="center" vertical="center" wrapText="1"/>
      <protection hidden="1"/>
    </xf>
    <xf numFmtId="1" fontId="32" fillId="14" borderId="435" xfId="0" applyNumberFormat="1" applyFont="1" applyFill="1" applyBorder="1" applyAlignment="1" applyProtection="1">
      <alignment horizontal="center" vertical="center" wrapText="1"/>
      <protection hidden="1"/>
    </xf>
    <xf numFmtId="1" fontId="32" fillId="14" borderId="896" xfId="0" applyNumberFormat="1" applyFont="1" applyFill="1" applyBorder="1" applyAlignment="1" applyProtection="1">
      <alignment horizontal="center" vertical="center" wrapText="1"/>
      <protection hidden="1"/>
    </xf>
    <xf numFmtId="1" fontId="32" fillId="14" borderId="905" xfId="0" applyNumberFormat="1" applyFont="1" applyFill="1" applyBorder="1" applyAlignment="1">
      <alignment horizontal="center" vertical="center" wrapText="1"/>
    </xf>
    <xf numFmtId="1" fontId="32" fillId="14" borderId="851" xfId="0" applyNumberFormat="1" applyFont="1" applyFill="1" applyBorder="1" applyAlignment="1">
      <alignment horizontal="center" vertical="center" wrapText="1"/>
    </xf>
    <xf numFmtId="1" fontId="32" fillId="14" borderId="903" xfId="0" applyNumberFormat="1" applyFont="1" applyFill="1" applyBorder="1" applyAlignment="1">
      <alignment horizontal="center" vertical="center" wrapText="1"/>
    </xf>
    <xf numFmtId="1" fontId="32" fillId="14" borderId="877" xfId="0" applyNumberFormat="1" applyFont="1" applyFill="1" applyBorder="1" applyAlignment="1">
      <alignment horizontal="center" vertical="center" wrapText="1"/>
    </xf>
    <xf numFmtId="1" fontId="32" fillId="14" borderId="740" xfId="0" applyNumberFormat="1" applyFont="1" applyFill="1" applyBorder="1" applyAlignment="1">
      <alignment horizontal="center" vertical="center" wrapText="1"/>
    </xf>
    <xf numFmtId="0" fontId="32" fillId="0" borderId="923" xfId="0" applyFont="1" applyBorder="1" applyAlignment="1">
      <alignment horizontal="center"/>
    </xf>
    <xf numFmtId="0" fontId="32" fillId="0" borderId="958" xfId="0" applyFont="1" applyBorder="1" applyAlignment="1">
      <alignment horizontal="center"/>
    </xf>
    <xf numFmtId="0" fontId="32" fillId="0" borderId="957" xfId="0" applyFont="1" applyBorder="1" applyAlignment="1">
      <alignment horizontal="center"/>
    </xf>
    <xf numFmtId="1" fontId="32" fillId="14" borderId="923" xfId="0" applyNumberFormat="1" applyFont="1" applyFill="1" applyBorder="1" applyAlignment="1">
      <alignment horizontal="center" vertical="top"/>
    </xf>
    <xf numFmtId="1" fontId="32" fillId="14" borderId="958" xfId="0" applyNumberFormat="1" applyFont="1" applyFill="1" applyBorder="1" applyAlignment="1">
      <alignment horizontal="center" vertical="top"/>
    </xf>
    <xf numFmtId="1" fontId="32" fillId="14" borderId="957" xfId="0" applyNumberFormat="1" applyFont="1" applyFill="1" applyBorder="1" applyAlignment="1">
      <alignment horizontal="center" vertical="top"/>
    </xf>
    <xf numFmtId="0" fontId="32" fillId="14" borderId="848" xfId="0" applyFont="1" applyFill="1" applyBorder="1" applyAlignment="1" applyProtection="1">
      <alignment horizontal="center" vertical="center" wrapText="1"/>
      <protection locked="0"/>
    </xf>
    <xf numFmtId="0" fontId="32" fillId="14" borderId="896" xfId="0" applyFont="1" applyFill="1" applyBorder="1" applyAlignment="1" applyProtection="1">
      <alignment horizontal="center" vertical="center" wrapText="1"/>
      <protection locked="0"/>
    </xf>
    <xf numFmtId="0" fontId="32" fillId="14" borderId="924" xfId="0" applyFont="1" applyFill="1" applyBorder="1" applyAlignment="1" applyProtection="1">
      <alignment horizontal="center" vertical="center" wrapText="1"/>
      <protection locked="0"/>
    </xf>
    <xf numFmtId="0" fontId="32" fillId="14" borderId="923" xfId="0" applyFont="1" applyFill="1" applyBorder="1" applyAlignment="1" applyProtection="1">
      <alignment horizontal="center" vertical="center" wrapText="1"/>
      <protection locked="0"/>
    </xf>
    <xf numFmtId="0" fontId="32" fillId="14" borderId="957" xfId="0" applyFont="1" applyFill="1" applyBorder="1" applyAlignment="1" applyProtection="1">
      <alignment horizontal="center" vertical="center" wrapText="1"/>
      <protection locked="0"/>
    </xf>
    <xf numFmtId="0" fontId="32" fillId="14" borderId="923" xfId="0" applyFont="1" applyFill="1" applyBorder="1" applyAlignment="1" applyProtection="1">
      <alignment horizontal="center" wrapText="1"/>
      <protection locked="0"/>
    </xf>
    <xf numFmtId="0" fontId="32" fillId="14" borderId="958" xfId="0" applyFont="1" applyFill="1" applyBorder="1" applyAlignment="1" applyProtection="1">
      <alignment horizontal="center" wrapText="1"/>
      <protection locked="0"/>
    </xf>
    <xf numFmtId="0" fontId="32" fillId="14" borderId="957" xfId="0" applyFont="1" applyFill="1" applyBorder="1" applyAlignment="1" applyProtection="1">
      <alignment horizontal="center" wrapText="1"/>
      <protection locked="0"/>
    </xf>
    <xf numFmtId="0" fontId="66" fillId="14" borderId="924" xfId="0" applyFont="1" applyFill="1" applyBorder="1" applyAlignment="1" applyProtection="1">
      <alignment horizontal="center" vertical="center" wrapText="1"/>
      <protection locked="0"/>
    </xf>
    <xf numFmtId="0" fontId="32" fillId="14" borderId="903" xfId="0" applyFont="1" applyFill="1" applyBorder="1" applyAlignment="1" applyProtection="1">
      <alignment horizontal="center" vertical="center" wrapText="1"/>
      <protection locked="0"/>
    </xf>
    <xf numFmtId="0" fontId="32" fillId="14" borderId="741" xfId="0" applyFont="1" applyFill="1" applyBorder="1" applyAlignment="1" applyProtection="1">
      <alignment horizontal="center" vertical="center" wrapText="1"/>
      <protection locked="0"/>
    </xf>
    <xf numFmtId="1" fontId="63" fillId="3" borderId="0" xfId="0" applyNumberFormat="1" applyFont="1" applyFill="1" applyAlignment="1">
      <alignment horizontal="center" vertical="center" wrapText="1"/>
    </xf>
    <xf numFmtId="1" fontId="32" fillId="0" borderId="924" xfId="0" applyNumberFormat="1" applyFont="1" applyBorder="1" applyAlignment="1">
      <alignment horizontal="center" vertical="center" wrapText="1"/>
    </xf>
    <xf numFmtId="1" fontId="32" fillId="0" borderId="931" xfId="0" applyNumberFormat="1" applyFont="1" applyBorder="1" applyAlignment="1">
      <alignment horizontal="center" vertical="center" wrapText="1"/>
    </xf>
    <xf numFmtId="1" fontId="66" fillId="0" borderId="848" xfId="0" applyNumberFormat="1" applyFont="1" applyBorder="1" applyAlignment="1">
      <alignment horizontal="center" vertical="center"/>
    </xf>
    <xf numFmtId="1" fontId="66" fillId="0" borderId="435" xfId="0" applyNumberFormat="1" applyFont="1" applyBorder="1" applyAlignment="1">
      <alignment horizontal="center" vertical="center"/>
    </xf>
    <xf numFmtId="1" fontId="66" fillId="0" borderId="896" xfId="0" applyNumberFormat="1" applyFont="1" applyBorder="1" applyAlignment="1">
      <alignment horizontal="center" vertical="center"/>
    </xf>
    <xf numFmtId="1" fontId="32" fillId="0" borderId="1016" xfId="0" applyNumberFormat="1" applyFont="1" applyBorder="1" applyAlignment="1">
      <alignment horizontal="center" vertical="center"/>
    </xf>
    <xf numFmtId="1" fontId="32" fillId="0" borderId="926" xfId="0" applyNumberFormat="1" applyFont="1" applyBorder="1" applyAlignment="1">
      <alignment horizontal="center" vertical="center" wrapText="1"/>
    </xf>
    <xf numFmtId="1" fontId="32" fillId="0" borderId="928" xfId="0" applyNumberFormat="1" applyFont="1" applyBorder="1" applyAlignment="1">
      <alignment horizontal="center" vertical="center" wrapText="1"/>
    </xf>
    <xf numFmtId="1" fontId="32" fillId="0" borderId="1008" xfId="0" applyNumberFormat="1" applyFont="1" applyBorder="1" applyAlignment="1">
      <alignment horizontal="center" vertical="center" wrapText="1"/>
    </xf>
    <xf numFmtId="1" fontId="32" fillId="0" borderId="1563" xfId="0" applyNumberFormat="1" applyFont="1" applyBorder="1" applyAlignment="1">
      <alignment horizontal="center" vertical="center" wrapText="1"/>
    </xf>
    <xf numFmtId="1" fontId="32" fillId="0" borderId="383" xfId="0" applyNumberFormat="1" applyFont="1" applyBorder="1" applyAlignment="1">
      <alignment horizontal="center" vertical="center" wrapText="1"/>
    </xf>
    <xf numFmtId="1" fontId="32" fillId="0" borderId="629" xfId="0" applyNumberFormat="1" applyFont="1" applyBorder="1" applyAlignment="1">
      <alignment horizontal="left" vertical="center"/>
    </xf>
    <xf numFmtId="1" fontId="32" fillId="0" borderId="431" xfId="0" applyNumberFormat="1" applyFont="1" applyBorder="1" applyAlignment="1">
      <alignment horizontal="left" vertical="center"/>
    </xf>
    <xf numFmtId="1" fontId="32" fillId="0" borderId="917" xfId="0" applyNumberFormat="1" applyFont="1" applyBorder="1" applyAlignment="1">
      <alignment horizontal="left" vertical="center"/>
    </xf>
    <xf numFmtId="1" fontId="32" fillId="0" borderId="919" xfId="0" applyNumberFormat="1" applyFont="1" applyBorder="1" applyAlignment="1">
      <alignment horizontal="left" vertical="center"/>
    </xf>
    <xf numFmtId="1" fontId="32" fillId="0" borderId="917" xfId="0" applyNumberFormat="1" applyFont="1" applyBorder="1" applyAlignment="1">
      <alignment horizontal="left" vertical="center" shrinkToFit="1"/>
    </xf>
    <xf numFmtId="1" fontId="32" fillId="0" borderId="919" xfId="0" applyNumberFormat="1" applyFont="1" applyBorder="1" applyAlignment="1">
      <alignment horizontal="left" vertical="center" shrinkToFit="1"/>
    </xf>
    <xf numFmtId="1" fontId="32" fillId="0" borderId="939" xfId="0" applyNumberFormat="1" applyFont="1" applyBorder="1" applyAlignment="1">
      <alignment horizontal="left" vertical="center"/>
    </xf>
    <xf numFmtId="1" fontId="32" fillId="0" borderId="690" xfId="0" applyNumberFormat="1" applyFont="1" applyBorder="1" applyAlignment="1">
      <alignment horizontal="left" vertical="center"/>
    </xf>
    <xf numFmtId="1" fontId="32" fillId="0" borderId="905" xfId="0" applyNumberFormat="1" applyFont="1" applyBorder="1" applyAlignment="1">
      <alignment horizontal="left" vertical="center"/>
    </xf>
    <xf numFmtId="1" fontId="32" fillId="0" borderId="903" xfId="0" applyNumberFormat="1" applyFont="1" applyBorder="1" applyAlignment="1">
      <alignment horizontal="left" vertical="center"/>
    </xf>
    <xf numFmtId="1" fontId="32" fillId="0" borderId="851" xfId="0" applyNumberFormat="1" applyFont="1" applyBorder="1" applyAlignment="1">
      <alignment horizontal="center" vertical="center"/>
    </xf>
    <xf numFmtId="1" fontId="32" fillId="0" borderId="1030" xfId="0" applyNumberFormat="1" applyFont="1" applyBorder="1" applyAlignment="1">
      <alignment horizontal="center" vertical="center" wrapText="1"/>
    </xf>
    <xf numFmtId="1" fontId="32" fillId="0" borderId="1569" xfId="0" applyNumberFormat="1" applyFont="1" applyBorder="1" applyAlignment="1">
      <alignment horizontal="center" vertical="center" wrapText="1"/>
    </xf>
    <xf numFmtId="1" fontId="32" fillId="0" borderId="513" xfId="0" applyNumberFormat="1" applyFont="1" applyBorder="1" applyAlignment="1">
      <alignment horizontal="center" vertical="center" wrapText="1"/>
    </xf>
    <xf numFmtId="1" fontId="32" fillId="0" borderId="1541" xfId="0" applyNumberFormat="1" applyFont="1" applyBorder="1" applyAlignment="1">
      <alignment horizontal="center" vertical="center"/>
    </xf>
    <xf numFmtId="1" fontId="32" fillId="0" borderId="1542" xfId="0" applyNumberFormat="1" applyFont="1" applyBorder="1" applyAlignment="1">
      <alignment horizontal="center" vertical="center"/>
    </xf>
    <xf numFmtId="1" fontId="32" fillId="0" borderId="1543" xfId="0" applyNumberFormat="1" applyFont="1" applyBorder="1" applyAlignment="1">
      <alignment horizontal="center" vertical="center"/>
    </xf>
    <xf numFmtId="1" fontId="32" fillId="0" borderId="1274" xfId="0" applyNumberFormat="1" applyFont="1" applyBorder="1" applyAlignment="1" applyProtection="1">
      <alignment horizontal="center" vertical="center" wrapText="1"/>
      <protection hidden="1"/>
    </xf>
    <xf numFmtId="1" fontId="32" fillId="0" borderId="1544" xfId="0" applyNumberFormat="1" applyFont="1" applyBorder="1" applyAlignment="1" applyProtection="1">
      <alignment horizontal="center" vertical="center" wrapText="1"/>
      <protection hidden="1"/>
    </xf>
    <xf numFmtId="164" fontId="32" fillId="14" borderId="924" xfId="6" applyNumberFormat="1" applyFont="1" applyFill="1" applyBorder="1" applyAlignment="1">
      <alignment horizontal="center"/>
    </xf>
    <xf numFmtId="164" fontId="32" fillId="14" borderId="937" xfId="6" applyNumberFormat="1" applyFont="1" applyFill="1" applyBorder="1" applyAlignment="1">
      <alignment horizontal="center"/>
    </xf>
    <xf numFmtId="1" fontId="32" fillId="0" borderId="1541" xfId="0" applyNumberFormat="1" applyFont="1" applyBorder="1" applyAlignment="1">
      <alignment horizontal="center" vertical="center" wrapText="1"/>
    </xf>
    <xf numFmtId="1" fontId="32" fillId="0" borderId="1542" xfId="0" applyNumberFormat="1" applyFont="1" applyBorder="1" applyAlignment="1">
      <alignment horizontal="center" vertical="center" wrapText="1"/>
    </xf>
    <xf numFmtId="1" fontId="32" fillId="0" borderId="1543" xfId="0" applyNumberFormat="1" applyFont="1" applyBorder="1" applyAlignment="1">
      <alignment horizontal="center" vertical="center" wrapText="1"/>
    </xf>
    <xf numFmtId="1" fontId="32" fillId="0" borderId="1547" xfId="0" applyNumberFormat="1" applyFont="1" applyBorder="1" applyAlignment="1">
      <alignment horizontal="center" vertical="center" wrapText="1"/>
    </xf>
    <xf numFmtId="1" fontId="32" fillId="3" borderId="1293" xfId="0" applyNumberFormat="1" applyFont="1" applyFill="1" applyBorder="1" applyAlignment="1">
      <alignment horizontal="center" vertical="center" wrapText="1"/>
    </xf>
    <xf numFmtId="1" fontId="32" fillId="3" borderId="1544" xfId="0" applyNumberFormat="1" applyFont="1" applyFill="1" applyBorder="1" applyAlignment="1">
      <alignment horizontal="center" vertical="center" wrapText="1"/>
    </xf>
    <xf numFmtId="1" fontId="32" fillId="0" borderId="1560" xfId="0" applyNumberFormat="1" applyFont="1" applyBorder="1" applyAlignment="1">
      <alignment horizontal="center" vertical="center" wrapText="1"/>
    </xf>
    <xf numFmtId="1" fontId="32" fillId="0" borderId="1559" xfId="0" applyNumberFormat="1" applyFont="1" applyBorder="1" applyAlignment="1">
      <alignment horizontal="center" vertical="center" wrapText="1"/>
    </xf>
    <xf numFmtId="164" fontId="32" fillId="14" borderId="905" xfId="32" applyNumberFormat="1" applyFont="1" applyFill="1" applyBorder="1" applyAlignment="1" applyProtection="1">
      <alignment horizontal="center" vertical="center"/>
    </xf>
    <xf numFmtId="164" fontId="32" fillId="14" borderId="903" xfId="32" applyNumberFormat="1" applyFont="1" applyFill="1" applyBorder="1" applyAlignment="1" applyProtection="1">
      <alignment horizontal="center" vertical="center"/>
    </xf>
    <xf numFmtId="164" fontId="32" fillId="14" borderId="877" xfId="32" applyNumberFormat="1" applyFont="1" applyFill="1" applyBorder="1" applyAlignment="1" applyProtection="1">
      <alignment horizontal="center" vertical="center"/>
    </xf>
    <xf numFmtId="164" fontId="32" fillId="14" borderId="741" xfId="32" applyNumberFormat="1" applyFont="1" applyFill="1" applyBorder="1" applyAlignment="1" applyProtection="1">
      <alignment horizontal="center" vertical="center"/>
    </xf>
    <xf numFmtId="164" fontId="32" fillId="14" borderId="1639" xfId="32" applyNumberFormat="1" applyFont="1" applyFill="1" applyBorder="1" applyAlignment="1" applyProtection="1">
      <alignment horizontal="center" vertical="center"/>
    </xf>
    <xf numFmtId="164" fontId="32" fillId="14" borderId="435" xfId="32" applyNumberFormat="1" applyFont="1" applyFill="1" applyBorder="1" applyAlignment="1" applyProtection="1">
      <alignment horizontal="center" vertical="center"/>
    </xf>
    <xf numFmtId="164" fontId="32" fillId="14" borderId="1761" xfId="32" applyNumberFormat="1" applyFont="1" applyFill="1" applyBorder="1" applyAlignment="1" applyProtection="1">
      <alignment horizontal="center" vertical="center"/>
    </xf>
    <xf numFmtId="164" fontId="32" fillId="14" borderId="923" xfId="32" applyNumberFormat="1" applyFont="1" applyFill="1" applyBorder="1" applyAlignment="1" applyProtection="1">
      <alignment horizontal="center"/>
    </xf>
    <xf numFmtId="164" fontId="32" fillId="14" borderId="930" xfId="32" applyNumberFormat="1" applyFont="1" applyFill="1" applyBorder="1" applyAlignment="1" applyProtection="1">
      <alignment horizontal="center"/>
    </xf>
    <xf numFmtId="164" fontId="32" fillId="14" borderId="929" xfId="32" applyNumberFormat="1" applyFont="1" applyFill="1" applyBorder="1" applyAlignment="1" applyProtection="1">
      <alignment horizontal="center"/>
    </xf>
    <xf numFmtId="164" fontId="32" fillId="14" borderId="924" xfId="32" applyNumberFormat="1" applyFont="1" applyFill="1" applyBorder="1" applyAlignment="1" applyProtection="1">
      <alignment horizontal="center" vertical="center" wrapText="1"/>
    </xf>
    <xf numFmtId="164" fontId="32" fillId="14" borderId="929" xfId="6" applyNumberFormat="1" applyFont="1" applyFill="1" applyBorder="1" applyAlignment="1">
      <alignment horizontal="center" vertical="center"/>
    </xf>
    <xf numFmtId="164" fontId="32" fillId="14" borderId="924" xfId="6" applyNumberFormat="1" applyFont="1" applyFill="1" applyBorder="1" applyAlignment="1">
      <alignment horizontal="center" vertical="center"/>
    </xf>
    <xf numFmtId="1" fontId="32" fillId="0" borderId="1030" xfId="0" applyNumberFormat="1" applyFont="1" applyBorder="1" applyAlignment="1">
      <alignment horizontal="center" vertical="center"/>
    </xf>
    <xf numFmtId="1" fontId="32" fillId="0" borderId="2376" xfId="0" applyNumberFormat="1" applyFont="1" applyBorder="1" applyAlignment="1">
      <alignment horizontal="center" vertical="center" wrapText="1"/>
    </xf>
    <xf numFmtId="1" fontId="32" fillId="0" borderId="370" xfId="0" applyNumberFormat="1" applyFont="1" applyBorder="1" applyAlignment="1">
      <alignment horizontal="center" vertical="center" wrapText="1"/>
    </xf>
    <xf numFmtId="1" fontId="32" fillId="0" borderId="904" xfId="0" applyNumberFormat="1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1" fontId="49" fillId="0" borderId="1758" xfId="0" applyNumberFormat="1" applyFont="1" applyBorder="1" applyAlignment="1">
      <alignment horizontal="center" vertical="center" wrapText="1"/>
    </xf>
    <xf numFmtId="1" fontId="49" fillId="0" borderId="1750" xfId="0" applyNumberFormat="1" applyFont="1" applyBorder="1" applyAlignment="1">
      <alignment horizontal="center" vertical="center" wrapText="1"/>
    </xf>
    <xf numFmtId="0" fontId="49" fillId="0" borderId="1768" xfId="0" applyFont="1" applyBorder="1" applyAlignment="1">
      <alignment horizontal="center" vertical="center"/>
    </xf>
    <xf numFmtId="0" fontId="49" fillId="0" borderId="1769" xfId="0" applyFont="1" applyBorder="1" applyAlignment="1">
      <alignment horizontal="center" vertical="center"/>
    </xf>
    <xf numFmtId="0" fontId="49" fillId="0" borderId="1774" xfId="0" applyFont="1" applyBorder="1" applyAlignment="1">
      <alignment horizontal="center" vertical="center"/>
    </xf>
    <xf numFmtId="0" fontId="49" fillId="0" borderId="1775" xfId="0" applyFont="1" applyBorder="1" applyAlignment="1">
      <alignment horizontal="center" vertical="center"/>
    </xf>
    <xf numFmtId="1" fontId="49" fillId="0" borderId="1758" xfId="0" applyNumberFormat="1" applyFont="1" applyBorder="1" applyAlignment="1">
      <alignment horizontal="center" vertical="center"/>
    </xf>
    <xf numFmtId="1" fontId="49" fillId="0" borderId="1807" xfId="0" applyNumberFormat="1" applyFont="1" applyBorder="1" applyAlignment="1">
      <alignment horizontal="center" vertical="center"/>
    </xf>
    <xf numFmtId="1" fontId="49" fillId="0" borderId="1593" xfId="0" applyNumberFormat="1" applyFont="1" applyBorder="1" applyAlignment="1">
      <alignment horizontal="center" vertical="center" wrapText="1"/>
    </xf>
    <xf numFmtId="1" fontId="49" fillId="0" borderId="784" xfId="0" applyNumberFormat="1" applyFont="1" applyBorder="1" applyAlignment="1">
      <alignment horizontal="center" vertical="center" wrapText="1"/>
    </xf>
    <xf numFmtId="1" fontId="49" fillId="0" borderId="1718" xfId="0" applyNumberFormat="1" applyFont="1" applyBorder="1" applyAlignment="1">
      <alignment horizontal="center" vertical="center" wrapText="1"/>
    </xf>
    <xf numFmtId="1" fontId="49" fillId="0" borderId="1806" xfId="0" applyNumberFormat="1" applyFont="1" applyBorder="1" applyAlignment="1">
      <alignment horizontal="center" vertical="center"/>
    </xf>
    <xf numFmtId="1" fontId="49" fillId="0" borderId="1692" xfId="0" applyNumberFormat="1" applyFont="1" applyBorder="1" applyAlignment="1">
      <alignment horizontal="center" vertical="center"/>
    </xf>
    <xf numFmtId="0" fontId="105" fillId="0" borderId="1768" xfId="0" applyFont="1" applyBorder="1" applyAlignment="1">
      <alignment horizontal="center" vertical="center"/>
    </xf>
    <xf numFmtId="0" fontId="105" fillId="0" borderId="1768" xfId="0" applyFont="1" applyBorder="1"/>
    <xf numFmtId="0" fontId="105" fillId="0" borderId="1769" xfId="0" applyFont="1" applyBorder="1"/>
    <xf numFmtId="0" fontId="105" fillId="0" borderId="1774" xfId="0" applyFont="1" applyBorder="1"/>
    <xf numFmtId="0" fontId="105" fillId="0" borderId="1775" xfId="0" applyFont="1" applyBorder="1"/>
    <xf numFmtId="1" fontId="49" fillId="0" borderId="1813" xfId="0" applyNumberFormat="1" applyFont="1" applyBorder="1" applyAlignment="1">
      <alignment horizontal="center" vertical="center"/>
    </xf>
    <xf numFmtId="1" fontId="49" fillId="0" borderId="1814" xfId="0" applyNumberFormat="1" applyFont="1" applyBorder="1" applyAlignment="1">
      <alignment horizontal="center" vertical="center"/>
    </xf>
    <xf numFmtId="0" fontId="49" fillId="0" borderId="1770" xfId="0" applyFont="1" applyBorder="1" applyAlignment="1">
      <alignment horizontal="center" vertical="center"/>
    </xf>
    <xf numFmtId="0" fontId="105" fillId="0" borderId="1776" xfId="0" applyFont="1" applyBorder="1" applyAlignment="1">
      <alignment vertical="center"/>
    </xf>
    <xf numFmtId="0" fontId="49" fillId="0" borderId="1771" xfId="0" applyFont="1" applyBorder="1" applyAlignment="1">
      <alignment horizontal="center" vertical="center"/>
    </xf>
    <xf numFmtId="0" fontId="49" fillId="0" borderId="1776" xfId="0" applyFont="1" applyBorder="1" applyAlignment="1">
      <alignment horizontal="center" vertical="center"/>
    </xf>
    <xf numFmtId="0" fontId="49" fillId="0" borderId="1766" xfId="0" applyFont="1" applyBorder="1" applyAlignment="1">
      <alignment horizontal="center" vertical="center" wrapText="1"/>
    </xf>
    <xf numFmtId="0" fontId="49" fillId="0" borderId="1772" xfId="0" applyFont="1" applyBorder="1" applyAlignment="1">
      <alignment horizontal="center"/>
    </xf>
    <xf numFmtId="0" fontId="49" fillId="0" borderId="1777" xfId="0" applyFont="1" applyBorder="1" applyAlignment="1">
      <alignment horizontal="center"/>
    </xf>
    <xf numFmtId="0" fontId="49" fillId="0" borderId="1766" xfId="0" applyFont="1" applyBorder="1" applyAlignment="1">
      <alignment horizontal="center" vertical="center"/>
    </xf>
    <xf numFmtId="1" fontId="49" fillId="0" borderId="1767" xfId="0" applyNumberFormat="1" applyFont="1" applyBorder="1" applyAlignment="1">
      <alignment horizontal="center" vertical="center" wrapText="1"/>
    </xf>
    <xf numFmtId="0" fontId="105" fillId="0" borderId="1773" xfId="0" applyFont="1" applyBorder="1"/>
    <xf numFmtId="0" fontId="49" fillId="0" borderId="1772" xfId="0" applyFont="1" applyBorder="1" applyAlignment="1">
      <alignment horizontal="center" vertical="center"/>
    </xf>
    <xf numFmtId="0" fontId="49" fillId="0" borderId="1770" xfId="0" applyFont="1" applyBorder="1" applyAlignment="1">
      <alignment horizontal="center"/>
    </xf>
    <xf numFmtId="0" fontId="105" fillId="0" borderId="1771" xfId="0" applyFont="1" applyBorder="1"/>
    <xf numFmtId="0" fontId="105" fillId="0" borderId="1776" xfId="0" applyFont="1" applyBorder="1"/>
    <xf numFmtId="1" fontId="49" fillId="0" borderId="1806" xfId="0" applyNumberFormat="1" applyFont="1" applyBorder="1" applyAlignment="1">
      <alignment horizontal="center" vertical="center" wrapText="1"/>
    </xf>
    <xf numFmtId="1" fontId="104" fillId="3" borderId="0" xfId="0" applyNumberFormat="1" applyFont="1" applyFill="1" applyAlignment="1">
      <alignment horizontal="center" vertical="center" wrapText="1"/>
    </xf>
    <xf numFmtId="0" fontId="49" fillId="0" borderId="1777" xfId="0" applyFont="1" applyBorder="1" applyAlignment="1">
      <alignment horizontal="center" vertical="center"/>
    </xf>
    <xf numFmtId="0" fontId="105" fillId="0" borderId="1766" xfId="0" applyFont="1" applyBorder="1" applyAlignment="1">
      <alignment horizontal="center" vertical="center"/>
    </xf>
    <xf numFmtId="0" fontId="105" fillId="0" borderId="1772" xfId="0" applyFont="1" applyBorder="1" applyAlignment="1">
      <alignment horizontal="center" vertical="center"/>
    </xf>
    <xf numFmtId="0" fontId="105" fillId="0" borderId="1777" xfId="0" applyFont="1" applyBorder="1" applyAlignment="1">
      <alignment horizontal="center" vertical="center"/>
    </xf>
    <xf numFmtId="1" fontId="91" fillId="0" borderId="1767" xfId="0" applyNumberFormat="1" applyFont="1" applyBorder="1" applyAlignment="1">
      <alignment horizontal="center" vertical="center" wrapText="1"/>
    </xf>
    <xf numFmtId="1" fontId="91" fillId="0" borderId="1769" xfId="0" applyNumberFormat="1" applyFont="1" applyBorder="1" applyAlignment="1">
      <alignment horizontal="center" vertical="center" wrapText="1"/>
    </xf>
    <xf numFmtId="1" fontId="91" fillId="0" borderId="1780" xfId="0" applyNumberFormat="1" applyFont="1" applyBorder="1" applyAlignment="1">
      <alignment horizontal="center" vertical="center" wrapText="1"/>
    </xf>
    <xf numFmtId="1" fontId="91" fillId="0" borderId="1898" xfId="0" applyNumberFormat="1" applyFont="1" applyBorder="1" applyAlignment="1">
      <alignment horizontal="center" vertical="center" wrapText="1"/>
    </xf>
    <xf numFmtId="1" fontId="91" fillId="0" borderId="1773" xfId="0" applyNumberFormat="1" applyFont="1" applyBorder="1" applyAlignment="1">
      <alignment horizontal="center" vertical="center" wrapText="1"/>
    </xf>
    <xf numFmtId="1" fontId="91" fillId="0" borderId="1775" xfId="0" applyNumberFormat="1" applyFont="1" applyBorder="1" applyAlignment="1">
      <alignment horizontal="center" vertical="center" wrapText="1"/>
    </xf>
    <xf numFmtId="0" fontId="29" fillId="0" borderId="2435" xfId="0" applyFont="1" applyBorder="1" applyAlignment="1" applyProtection="1">
      <alignment horizontal="center" vertical="center"/>
      <protection hidden="1"/>
    </xf>
    <xf numFmtId="0" fontId="29" fillId="0" borderId="2436" xfId="0" applyFont="1" applyBorder="1" applyAlignment="1" applyProtection="1">
      <alignment horizontal="center" vertical="center"/>
      <protection hidden="1"/>
    </xf>
    <xf numFmtId="0" fontId="29" fillId="0" borderId="2437" xfId="0" applyFont="1" applyBorder="1" applyAlignment="1" applyProtection="1">
      <alignment horizontal="center" vertical="center"/>
      <protection hidden="1"/>
    </xf>
    <xf numFmtId="0" fontId="28" fillId="0" borderId="423" xfId="0" applyFont="1" applyBorder="1" applyAlignment="1" applyProtection="1">
      <alignment horizontal="left" vertical="center"/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517" xfId="0" applyFont="1" applyBorder="1" applyAlignment="1" applyProtection="1">
      <alignment horizontal="left" vertical="center"/>
      <protection hidden="1"/>
    </xf>
    <xf numFmtId="0" fontId="28" fillId="0" borderId="2475" xfId="0" applyFont="1" applyBorder="1" applyAlignment="1" applyProtection="1">
      <alignment horizontal="left" vertical="center"/>
      <protection hidden="1"/>
    </xf>
    <xf numFmtId="0" fontId="28" fillId="0" borderId="2470" xfId="0" applyFont="1" applyBorder="1" applyAlignment="1" applyProtection="1">
      <alignment horizontal="left" vertical="center"/>
      <protection hidden="1"/>
    </xf>
    <xf numFmtId="0" fontId="28" fillId="0" borderId="2469" xfId="0" applyFont="1" applyBorder="1" applyAlignment="1" applyProtection="1">
      <alignment horizontal="left" vertical="center"/>
      <protection hidden="1"/>
    </xf>
    <xf numFmtId="0" fontId="31" fillId="11" borderId="126" xfId="0" applyFont="1" applyFill="1" applyBorder="1" applyAlignment="1">
      <alignment horizontal="center" vertical="center" wrapText="1"/>
    </xf>
    <xf numFmtId="0" fontId="31" fillId="11" borderId="125" xfId="0" applyFont="1" applyFill="1" applyBorder="1" applyAlignment="1">
      <alignment horizontal="center" vertical="center" wrapText="1"/>
    </xf>
    <xf numFmtId="0" fontId="31" fillId="11" borderId="124" xfId="0" applyFont="1" applyFill="1" applyBorder="1" applyAlignment="1">
      <alignment horizontal="center" vertical="center" wrapText="1"/>
    </xf>
    <xf numFmtId="0" fontId="30" fillId="11" borderId="122" xfId="0" applyFont="1" applyFill="1" applyBorder="1" applyAlignment="1" applyProtection="1">
      <alignment horizontal="center" vertical="center" wrapText="1"/>
      <protection hidden="1"/>
    </xf>
    <xf numFmtId="0" fontId="30" fillId="11" borderId="116" xfId="0" applyFont="1" applyFill="1" applyBorder="1" applyAlignment="1" applyProtection="1">
      <alignment horizontal="center" vertical="center" wrapText="1"/>
      <protection hidden="1"/>
    </xf>
    <xf numFmtId="0" fontId="30" fillId="11" borderId="121" xfId="0" applyFont="1" applyFill="1" applyBorder="1" applyAlignment="1" applyProtection="1">
      <alignment horizontal="center" vertical="center" wrapText="1"/>
      <protection hidden="1"/>
    </xf>
    <xf numFmtId="0" fontId="30" fillId="11" borderId="120" xfId="0" applyFont="1" applyFill="1" applyBorder="1" applyAlignment="1" applyProtection="1">
      <alignment horizontal="center" vertical="center" wrapText="1"/>
      <protection hidden="1"/>
    </xf>
    <xf numFmtId="0" fontId="30" fillId="11" borderId="119" xfId="0" applyFont="1" applyFill="1" applyBorder="1" applyAlignment="1" applyProtection="1">
      <alignment horizontal="center" vertical="center" wrapText="1"/>
      <protection hidden="1"/>
    </xf>
    <xf numFmtId="0" fontId="30" fillId="11" borderId="118" xfId="0" applyFont="1" applyFill="1" applyBorder="1" applyAlignment="1" applyProtection="1">
      <alignment horizontal="center" vertical="center" wrapText="1"/>
      <protection hidden="1"/>
    </xf>
  </cellXfs>
  <cellStyles count="2528">
    <cellStyle name="20% - Énfasis1" xfId="21" builtinId="30"/>
    <cellStyle name="Bueno" xfId="2527" builtinId="26"/>
    <cellStyle name="Celda de comprobación" xfId="29" builtinId="23"/>
    <cellStyle name="Escribir 2" xfId="12" xr:uid="{00000000-0005-0000-0000-000002000000}"/>
    <cellStyle name="Escribir 2 10" xfId="87" xr:uid="{00000000-0005-0000-0000-000003000000}"/>
    <cellStyle name="Escribir 2 10 2" xfId="284" xr:uid="{15D995FE-0D33-46DC-896A-EE20B3671B55}"/>
    <cellStyle name="Escribir 2 10 2 2" xfId="718" xr:uid="{6AA49824-7011-4B38-ABE5-CEF60BFD8658}"/>
    <cellStyle name="Escribir 2 10 2 3" xfId="1134" xr:uid="{D83BE1B3-61C7-449D-8BE0-F0D83E1E4D66}"/>
    <cellStyle name="Escribir 2 10 2 4" xfId="1547" xr:uid="{22C9C73F-EC92-4A35-BFAF-CA46DDEC0A9D}"/>
    <cellStyle name="Escribir 2 10 2 5" xfId="1957" xr:uid="{208D4129-13FC-48A3-B91C-2B65E3A84297}"/>
    <cellStyle name="Escribir 2 10 2 6" xfId="2364" xr:uid="{8F123145-B65D-4A32-841C-B066EA57FAFA}"/>
    <cellStyle name="Escribir 2 10 3" xfId="521" xr:uid="{31508749-19D1-458E-8B83-866E9C7CC255}"/>
    <cellStyle name="Escribir 2 10 4" xfId="939" xr:uid="{4955CBD0-55BA-457B-A3EF-F4E8E6B0D1E2}"/>
    <cellStyle name="Escribir 2 10 5" xfId="1352" xr:uid="{4FA4C4CC-D291-4B43-9728-057CF08E9DD3}"/>
    <cellStyle name="Escribir 2 10 6" xfId="1763" xr:uid="{B129E43A-17F4-4F40-B88B-AD05082F0941}"/>
    <cellStyle name="Escribir 2 10 7" xfId="2171" xr:uid="{8157673B-BEB3-425F-9763-4DDD7CBC2EF4}"/>
    <cellStyle name="Escribir 2 11" xfId="99" xr:uid="{00000000-0005-0000-0000-000004000000}"/>
    <cellStyle name="Escribir 2 11 2" xfId="296" xr:uid="{C0661566-4C01-40B0-A43A-FB7907A1456C}"/>
    <cellStyle name="Escribir 2 11 2 2" xfId="730" xr:uid="{F642F97D-1B47-4499-8C04-68682451F2D4}"/>
    <cellStyle name="Escribir 2 11 2 3" xfId="1146" xr:uid="{2D92E357-5D34-44FE-9938-3D3F8823BA1D}"/>
    <cellStyle name="Escribir 2 11 2 4" xfId="1559" xr:uid="{F8D2C716-2896-4538-9C3C-2AA7C7A6A2E5}"/>
    <cellStyle name="Escribir 2 11 2 5" xfId="1969" xr:uid="{A4C35B7F-F9A1-4073-9726-BC9913CCE32B}"/>
    <cellStyle name="Escribir 2 11 2 6" xfId="2376" xr:uid="{70386415-8C1C-497B-8B9B-C7F67739988E}"/>
    <cellStyle name="Escribir 2 11 3" xfId="533" xr:uid="{49E74CB3-A89E-40E3-BE0D-54846FFC20C3}"/>
    <cellStyle name="Escribir 2 11 4" xfId="951" xr:uid="{B157748A-4A43-408C-8277-039302883C85}"/>
    <cellStyle name="Escribir 2 11 5" xfId="1364" xr:uid="{3E25F49F-B4B4-4518-9E96-17C9CF53B2CE}"/>
    <cellStyle name="Escribir 2 11 6" xfId="1775" xr:uid="{516069F5-A90E-445C-AC7E-BA7494914FAB}"/>
    <cellStyle name="Escribir 2 11 7" xfId="2183" xr:uid="{B82EC869-602B-46A0-B47E-95AEEC3C17D2}"/>
    <cellStyle name="Escribir 2 12" xfId="120" xr:uid="{00000000-0005-0000-0000-000005000000}"/>
    <cellStyle name="Escribir 2 12 2" xfId="317" xr:uid="{8FE594D8-21FD-4D31-988C-96CF699C8235}"/>
    <cellStyle name="Escribir 2 12 2 2" xfId="751" xr:uid="{B68E2F3D-D84A-4127-B2C0-E592DCDCE4DD}"/>
    <cellStyle name="Escribir 2 12 2 3" xfId="1167" xr:uid="{FEFB6916-E485-4887-9404-55EED4ADE034}"/>
    <cellStyle name="Escribir 2 12 2 4" xfId="1580" xr:uid="{376B7E0A-18E9-418B-A694-744A8CB4A6E5}"/>
    <cellStyle name="Escribir 2 12 2 5" xfId="1990" xr:uid="{39524EF6-1249-4E16-9618-75DC38EF6FB1}"/>
    <cellStyle name="Escribir 2 12 2 6" xfId="2397" xr:uid="{1D4C7E05-026D-4DF7-8625-4A7312D1CC97}"/>
    <cellStyle name="Escribir 2 12 3" xfId="554" xr:uid="{FB7CFAA8-65F2-4E6D-A0D1-EE4323C56949}"/>
    <cellStyle name="Escribir 2 12 4" xfId="972" xr:uid="{E75A9793-B641-4CAE-9E3C-C003B7D64620}"/>
    <cellStyle name="Escribir 2 12 5" xfId="1385" xr:uid="{ECDFB853-F510-4E88-9D5D-30BBB1F69512}"/>
    <cellStyle name="Escribir 2 12 6" xfId="1796" xr:uid="{C5444515-E789-4A0F-817C-DD31CDEE3DB3}"/>
    <cellStyle name="Escribir 2 12 7" xfId="2204" xr:uid="{E725EB68-6813-4E05-9913-BA58B0403176}"/>
    <cellStyle name="Escribir 2 13" xfId="130" xr:uid="{00000000-0005-0000-0000-000006000000}"/>
    <cellStyle name="Escribir 2 13 2" xfId="327" xr:uid="{A133219F-B572-4D35-86FB-AA2C3E2E8430}"/>
    <cellStyle name="Escribir 2 13 2 2" xfId="761" xr:uid="{CE4EC1D7-E420-4CAB-B548-6F0A4FF94CCD}"/>
    <cellStyle name="Escribir 2 13 2 3" xfId="1177" xr:uid="{D4065B0D-1FB9-44D8-831C-C65C9313DFA3}"/>
    <cellStyle name="Escribir 2 13 2 4" xfId="1590" xr:uid="{1259845B-C2C4-4689-80DC-D5E5285156D6}"/>
    <cellStyle name="Escribir 2 13 2 5" xfId="2000" xr:uid="{DDD61917-229C-4BFF-8471-E00EA4413C72}"/>
    <cellStyle name="Escribir 2 13 2 6" xfId="2407" xr:uid="{658A86C2-9703-42DF-A06E-280CB20B8563}"/>
    <cellStyle name="Escribir 2 13 3" xfId="564" xr:uid="{5DF94484-470B-4CAC-B899-E4229C0017A3}"/>
    <cellStyle name="Escribir 2 13 4" xfId="982" xr:uid="{BE98A79B-D261-4BF8-83D6-5022DAC8E1F6}"/>
    <cellStyle name="Escribir 2 13 5" xfId="1395" xr:uid="{D2B120EB-1DBD-4388-8670-97122FD01F25}"/>
    <cellStyle name="Escribir 2 13 6" xfId="1806" xr:uid="{D818F7CF-7041-4AC1-91C5-9FA9BEF03673}"/>
    <cellStyle name="Escribir 2 13 7" xfId="2214" xr:uid="{9FB8960E-9FB0-4DD4-9E0E-E702DF3A8EDE}"/>
    <cellStyle name="Escribir 2 14" xfId="137" xr:uid="{00000000-0005-0000-0000-000007000000}"/>
    <cellStyle name="Escribir 2 14 2" xfId="334" xr:uid="{5FA122CC-B625-4EF7-99EE-06BE74289335}"/>
    <cellStyle name="Escribir 2 14 2 2" xfId="768" xr:uid="{77A2F770-2AA4-4C01-A7F7-9106408C7180}"/>
    <cellStyle name="Escribir 2 14 2 3" xfId="1184" xr:uid="{4F14E39C-4A80-4179-8AB6-4CD75C722BC6}"/>
    <cellStyle name="Escribir 2 14 2 4" xfId="1597" xr:uid="{7BD56BED-D02F-414E-B83F-F421E1374843}"/>
    <cellStyle name="Escribir 2 14 2 5" xfId="2007" xr:uid="{5046F3E7-49D0-4E0D-B874-D37284961017}"/>
    <cellStyle name="Escribir 2 14 2 6" xfId="2414" xr:uid="{B73186CC-E6D3-48AF-9C8D-000548F735A6}"/>
    <cellStyle name="Escribir 2 14 3" xfId="571" xr:uid="{A53F2560-F5AA-4024-AB0D-EDA760CC054B}"/>
    <cellStyle name="Escribir 2 14 4" xfId="989" xr:uid="{B5B38822-ABA2-498E-BFE3-232907001779}"/>
    <cellStyle name="Escribir 2 14 5" xfId="1402" xr:uid="{C0EB628A-B7E4-4B53-B80B-291396BCA7E6}"/>
    <cellStyle name="Escribir 2 14 6" xfId="1813" xr:uid="{05ED33BD-428F-4354-AAC2-ECA99CD988A4}"/>
    <cellStyle name="Escribir 2 14 7" xfId="2221" xr:uid="{452FE202-8D27-4C17-95C2-73702E877A74}"/>
    <cellStyle name="Escribir 2 15" xfId="146" xr:uid="{00000000-0005-0000-0000-000008000000}"/>
    <cellStyle name="Escribir 2 15 2" xfId="343" xr:uid="{6D271D5C-6883-457B-B7F8-9890C5E94DF9}"/>
    <cellStyle name="Escribir 2 15 2 2" xfId="777" xr:uid="{1F4EF6FB-7BC4-43F6-8D43-25A91578F2F9}"/>
    <cellStyle name="Escribir 2 15 2 3" xfId="1193" xr:uid="{475FC2AB-E126-4B67-A7B1-FB7EA1031C7B}"/>
    <cellStyle name="Escribir 2 15 2 4" xfId="1606" xr:uid="{12268346-BD3F-4F7D-88BC-B75103300BB6}"/>
    <cellStyle name="Escribir 2 15 2 5" xfId="2016" xr:uid="{EE5BD3A1-4639-40AE-957A-CAD168CCC305}"/>
    <cellStyle name="Escribir 2 15 2 6" xfId="2423" xr:uid="{4FFD5F9B-C473-415E-B5ED-8A1E1DC53F9D}"/>
    <cellStyle name="Escribir 2 15 3" xfId="580" xr:uid="{5CD74932-837C-44B5-9ED6-9A31615B3552}"/>
    <cellStyle name="Escribir 2 15 4" xfId="998" xr:uid="{5CD1C78B-C5B7-4C12-85C4-E52F8602AAB9}"/>
    <cellStyle name="Escribir 2 15 5" xfId="1411" xr:uid="{F9778F4B-91E5-4084-BDD0-2933E2C0A3DD}"/>
    <cellStyle name="Escribir 2 15 6" xfId="1822" xr:uid="{09465540-62F3-4ACD-8575-7CD582442E30}"/>
    <cellStyle name="Escribir 2 15 7" xfId="2230" xr:uid="{8F29E7AD-AA25-4298-ACFC-48AADD15A3CA}"/>
    <cellStyle name="Escribir 2 16" xfId="154" xr:uid="{00000000-0005-0000-0000-000009000000}"/>
    <cellStyle name="Escribir 2 16 2" xfId="351" xr:uid="{9841E221-7816-4CE5-8D2B-48F06E81E6B7}"/>
    <cellStyle name="Escribir 2 16 2 2" xfId="785" xr:uid="{2A7F26EA-F33E-4A56-8D87-36F29DAAE9A2}"/>
    <cellStyle name="Escribir 2 16 2 3" xfId="1201" xr:uid="{DE4CC9CB-9B93-4E13-BEF1-C5DF68006ADF}"/>
    <cellStyle name="Escribir 2 16 2 4" xfId="1614" xr:uid="{E338DD7D-1A85-4391-A011-DF052795EF35}"/>
    <cellStyle name="Escribir 2 16 2 5" xfId="2024" xr:uid="{EF2B4F42-162B-4D7B-B6C6-EA64EEE98783}"/>
    <cellStyle name="Escribir 2 16 2 6" xfId="2431" xr:uid="{23100CE9-B6CE-4783-912F-3A00DF734EED}"/>
    <cellStyle name="Escribir 2 16 3" xfId="588" xr:uid="{8F276266-3CD1-4B22-9097-F64025D8DF56}"/>
    <cellStyle name="Escribir 2 16 4" xfId="1006" xr:uid="{DF9810BE-05C7-434D-BC49-476C7D7DD52A}"/>
    <cellStyle name="Escribir 2 16 5" xfId="1419" xr:uid="{98E0EEC9-EBD2-4817-8ACC-1023C4779B47}"/>
    <cellStyle name="Escribir 2 16 6" xfId="1830" xr:uid="{B8FE3398-1ABB-4430-8306-82D637CDE7FE}"/>
    <cellStyle name="Escribir 2 16 7" xfId="2238" xr:uid="{E80660E1-5C2A-4C3F-85B9-0AD1553CDD5B}"/>
    <cellStyle name="Escribir 2 17" xfId="160" xr:uid="{D1A020B9-DB62-4890-AC99-ADC3B22311A4}"/>
    <cellStyle name="Escribir 2 17 2" xfId="357" xr:uid="{F643FBC6-659C-414B-8CE8-CEDC57280391}"/>
    <cellStyle name="Escribir 2 17 2 2" xfId="791" xr:uid="{EF2E0834-A220-4741-9397-EC62EE603C37}"/>
    <cellStyle name="Escribir 2 17 2 3" xfId="1207" xr:uid="{D4E9984F-2270-40F1-B3A2-D5DD7AD7C53F}"/>
    <cellStyle name="Escribir 2 17 2 4" xfId="1620" xr:uid="{5505CB8F-964F-46DE-A1A7-B76184251DC5}"/>
    <cellStyle name="Escribir 2 17 2 5" xfId="2030" xr:uid="{BBD47CC0-302C-4526-8FA3-26389EC1A005}"/>
    <cellStyle name="Escribir 2 17 2 6" xfId="2437" xr:uid="{3206DE06-0711-470D-9E1D-1457C083EEA9}"/>
    <cellStyle name="Escribir 2 17 3" xfId="594" xr:uid="{5D21D4CF-B7A0-42EE-B90A-089129270918}"/>
    <cellStyle name="Escribir 2 17 4" xfId="1012" xr:uid="{40591DD3-C8F9-4326-9B6C-3D84211BABDA}"/>
    <cellStyle name="Escribir 2 17 5" xfId="1425" xr:uid="{5EAE6C67-CCA0-4CF6-9BC1-749529D98B04}"/>
    <cellStyle name="Escribir 2 17 6" xfId="1836" xr:uid="{18749C04-EB25-438B-B945-F567031D5D02}"/>
    <cellStyle name="Escribir 2 17 7" xfId="2244" xr:uid="{7B4649F0-2F0F-4621-AC4E-976CAE8D0207}"/>
    <cellStyle name="Escribir 2 18" xfId="178" xr:uid="{2B199F24-9A38-4E63-9FCD-F6305B815975}"/>
    <cellStyle name="Escribir 2 18 2" xfId="375" xr:uid="{66985584-235A-4A9D-8A7B-2052D98C489E}"/>
    <cellStyle name="Escribir 2 18 2 2" xfId="809" xr:uid="{DE8ACBCD-D0EE-4680-BEC8-BA8C47CC2A3B}"/>
    <cellStyle name="Escribir 2 18 2 3" xfId="1224" xr:uid="{E1846E50-5213-46C8-BE50-401FFB9AB98E}"/>
    <cellStyle name="Escribir 2 18 2 4" xfId="1637" xr:uid="{7D544742-C7DD-45CD-AF44-1ED527F32DD6}"/>
    <cellStyle name="Escribir 2 18 2 5" xfId="2047" xr:uid="{9FBE4A71-7022-4028-B0DB-56C585F80ECF}"/>
    <cellStyle name="Escribir 2 18 2 6" xfId="2454" xr:uid="{A64D5871-CBE8-4B1D-8BD2-509336896068}"/>
    <cellStyle name="Escribir 2 18 3" xfId="612" xr:uid="{C994DCFA-D595-4F8C-9248-9C14E394AA12}"/>
    <cellStyle name="Escribir 2 18 4" xfId="1030" xr:uid="{9B615EBF-0AFD-49E9-AF03-ED1052308472}"/>
    <cellStyle name="Escribir 2 18 5" xfId="1443" xr:uid="{7C8C7311-A8A0-46FD-AE90-1092E8EB44B0}"/>
    <cellStyle name="Escribir 2 18 6" xfId="1853" xr:uid="{67F8918C-EC1E-414C-B152-27C1F44A6583}"/>
    <cellStyle name="Escribir 2 18 7" xfId="2261" xr:uid="{C73BFCED-B7DC-4C2B-8F44-9E7CB5B33883}"/>
    <cellStyle name="Escribir 2 19" xfId="188" xr:uid="{CEBD12DF-DDB3-460A-BCFE-89665A154133}"/>
    <cellStyle name="Escribir 2 19 2" xfId="385" xr:uid="{450DB207-FEA9-44AF-92EC-A8D17D746998}"/>
    <cellStyle name="Escribir 2 19 2 2" xfId="819" xr:uid="{C6EDA67E-E32B-440B-B140-372132B2A6F8}"/>
    <cellStyle name="Escribir 2 19 2 3" xfId="1234" xr:uid="{1DE9128C-32A0-4C34-BFA5-0E9187FB1106}"/>
    <cellStyle name="Escribir 2 19 2 4" xfId="1647" xr:uid="{3DBA221D-F233-4010-BF60-F06D583E2D75}"/>
    <cellStyle name="Escribir 2 19 2 5" xfId="2057" xr:uid="{2465F388-F225-4300-8F1E-7FECF5C93A6D}"/>
    <cellStyle name="Escribir 2 19 2 6" xfId="2464" xr:uid="{4FC71B82-D982-4535-B4E3-7C4743687ED8}"/>
    <cellStyle name="Escribir 2 19 3" xfId="622" xr:uid="{159AB87E-BB5B-4F8E-AFE5-C0089DC9A6C1}"/>
    <cellStyle name="Escribir 2 19 4" xfId="1040" xr:uid="{D298E339-A8FC-4815-8327-5D4888570009}"/>
    <cellStyle name="Escribir 2 19 5" xfId="1453" xr:uid="{C0048852-8798-49D0-A24D-B53CC23CE228}"/>
    <cellStyle name="Escribir 2 19 6" xfId="1863" xr:uid="{7D2560AC-9C9B-480A-9051-D78E9FE4D8FC}"/>
    <cellStyle name="Escribir 2 19 7" xfId="2271" xr:uid="{44D78BF1-12B8-4870-9043-BF004BEECA5B}"/>
    <cellStyle name="Escribir 2 2" xfId="11" xr:uid="{00000000-0005-0000-0000-00000A000000}"/>
    <cellStyle name="Escribir 2 2 10" xfId="119" xr:uid="{00000000-0005-0000-0000-00000B000000}"/>
    <cellStyle name="Escribir 2 2 10 2" xfId="316" xr:uid="{D5EF21B6-9DF5-48DE-B291-8ED185080C12}"/>
    <cellStyle name="Escribir 2 2 10 2 2" xfId="750" xr:uid="{D7A47E74-7D47-4E85-A790-04EE097A28A5}"/>
    <cellStyle name="Escribir 2 2 10 2 3" xfId="1166" xr:uid="{67EBDDAE-E6FD-46EA-B6A8-D48D3357DD92}"/>
    <cellStyle name="Escribir 2 2 10 2 4" xfId="1579" xr:uid="{55209FB4-DA96-4D75-95C7-4B24298CC50E}"/>
    <cellStyle name="Escribir 2 2 10 2 5" xfId="1989" xr:uid="{C9766941-1504-4061-BEB5-F4FCE219D69C}"/>
    <cellStyle name="Escribir 2 2 10 2 6" xfId="2396" xr:uid="{43086EB3-9E2B-469E-A69F-A731F6B29C06}"/>
    <cellStyle name="Escribir 2 2 10 3" xfId="553" xr:uid="{AC1FA55A-2112-45C9-B661-18C026659D96}"/>
    <cellStyle name="Escribir 2 2 10 4" xfId="971" xr:uid="{F0C1CF8B-5236-4D2E-9F31-D104A9819EBE}"/>
    <cellStyle name="Escribir 2 2 10 5" xfId="1384" xr:uid="{1E493D60-AD5C-4AB0-ABEE-7C94007DAE40}"/>
    <cellStyle name="Escribir 2 2 10 6" xfId="1795" xr:uid="{6B9126EA-EB28-4D9C-9919-543D0FAEBC12}"/>
    <cellStyle name="Escribir 2 2 10 7" xfId="2203" xr:uid="{02D4CE8E-9261-4CD0-AD00-B0B1745C74DC}"/>
    <cellStyle name="Escribir 2 2 11" xfId="129" xr:uid="{00000000-0005-0000-0000-00000C000000}"/>
    <cellStyle name="Escribir 2 2 11 2" xfId="326" xr:uid="{64709C9E-5FB4-4AC9-B2D0-A22C60FE2075}"/>
    <cellStyle name="Escribir 2 2 11 2 2" xfId="760" xr:uid="{5F2E85D6-3150-4703-A36F-85161C0B06EE}"/>
    <cellStyle name="Escribir 2 2 11 2 3" xfId="1176" xr:uid="{08369CD6-6BF1-4877-A49F-A05757D408B4}"/>
    <cellStyle name="Escribir 2 2 11 2 4" xfId="1589" xr:uid="{74717A30-C4F4-40EE-BEA7-1069EBE68D1B}"/>
    <cellStyle name="Escribir 2 2 11 2 5" xfId="1999" xr:uid="{DEB8BF18-7F4D-46EE-AC3E-83CC14292158}"/>
    <cellStyle name="Escribir 2 2 11 2 6" xfId="2406" xr:uid="{F7330172-DB83-4FC0-9761-64912A4C778B}"/>
    <cellStyle name="Escribir 2 2 11 3" xfId="563" xr:uid="{69BC9226-63E8-41C1-BB74-BED826EF0097}"/>
    <cellStyle name="Escribir 2 2 11 4" xfId="981" xr:uid="{1E41D6A2-9C4F-4F02-93CB-DB9FEEFC3605}"/>
    <cellStyle name="Escribir 2 2 11 5" xfId="1394" xr:uid="{B7701933-E008-4301-AB96-D85F4CE47713}"/>
    <cellStyle name="Escribir 2 2 11 6" xfId="1805" xr:uid="{C2563E08-B526-41E1-B411-65DD8D1AD0A2}"/>
    <cellStyle name="Escribir 2 2 11 7" xfId="2213" xr:uid="{E4CE2C5D-61CC-4D1A-9386-AFAB99D5C08B}"/>
    <cellStyle name="Escribir 2 2 12" xfId="121" xr:uid="{00000000-0005-0000-0000-00000D000000}"/>
    <cellStyle name="Escribir 2 2 12 2" xfId="318" xr:uid="{C3B195F4-0732-4549-B659-F57398BC4957}"/>
    <cellStyle name="Escribir 2 2 12 2 2" xfId="752" xr:uid="{AF614A0B-0660-43F6-A1EA-463CCEFD346E}"/>
    <cellStyle name="Escribir 2 2 12 2 3" xfId="1168" xr:uid="{09614600-9CA3-455E-80D3-4E82104C7B6F}"/>
    <cellStyle name="Escribir 2 2 12 2 4" xfId="1581" xr:uid="{A488497A-AD25-4475-827C-52424283BFD5}"/>
    <cellStyle name="Escribir 2 2 12 2 5" xfId="1991" xr:uid="{9FD407DC-BD81-4A39-B04C-7B082A9560FC}"/>
    <cellStyle name="Escribir 2 2 12 2 6" xfId="2398" xr:uid="{08D6D2D2-DBAE-45DA-8A37-CD144EED656C}"/>
    <cellStyle name="Escribir 2 2 12 3" xfId="555" xr:uid="{1F71AE53-7DB8-424A-9E16-401EE6F4C514}"/>
    <cellStyle name="Escribir 2 2 12 4" xfId="973" xr:uid="{48E62920-776D-4F0E-A12A-49B2718DD906}"/>
    <cellStyle name="Escribir 2 2 12 5" xfId="1386" xr:uid="{80E07694-11F5-437F-BBD0-4725D72D7535}"/>
    <cellStyle name="Escribir 2 2 12 6" xfId="1797" xr:uid="{2D88DDDD-E8CF-4E1B-821B-2323A9E5818B}"/>
    <cellStyle name="Escribir 2 2 12 7" xfId="2205" xr:uid="{89C45A93-38B5-43E1-9A0B-D5177A1359C3}"/>
    <cellStyle name="Escribir 2 2 13" xfId="145" xr:uid="{00000000-0005-0000-0000-00000E000000}"/>
    <cellStyle name="Escribir 2 2 13 2" xfId="342" xr:uid="{B519522B-FC9D-4464-A574-83405B3B3CA2}"/>
    <cellStyle name="Escribir 2 2 13 2 2" xfId="776" xr:uid="{B2810975-760A-475C-A71F-E7998DDE9DD9}"/>
    <cellStyle name="Escribir 2 2 13 2 3" xfId="1192" xr:uid="{C2345442-9018-4DDE-BDB1-48A0C403ED4F}"/>
    <cellStyle name="Escribir 2 2 13 2 4" xfId="1605" xr:uid="{67A36E1C-6307-474A-B9E9-BC9F53069E47}"/>
    <cellStyle name="Escribir 2 2 13 2 5" xfId="2015" xr:uid="{B9A27060-FFD5-4F99-A2F6-4092FED12621}"/>
    <cellStyle name="Escribir 2 2 13 2 6" xfId="2422" xr:uid="{BF0EE05F-223F-4DE7-A10D-BF1203AEB6AB}"/>
    <cellStyle name="Escribir 2 2 13 3" xfId="579" xr:uid="{157D72E0-B949-4B1B-AA49-89054A8AEC9D}"/>
    <cellStyle name="Escribir 2 2 13 4" xfId="997" xr:uid="{09EFAC08-3784-4FF3-AE2E-8BD26E4F6912}"/>
    <cellStyle name="Escribir 2 2 13 5" xfId="1410" xr:uid="{23EFFD99-7A6F-4F7F-A47B-054CA4D83558}"/>
    <cellStyle name="Escribir 2 2 13 6" xfId="1821" xr:uid="{9D01AE91-A147-415E-B940-2678AE5AEC76}"/>
    <cellStyle name="Escribir 2 2 13 7" xfId="2229" xr:uid="{8D102C52-8002-407D-9133-BB1E8DAE415B}"/>
    <cellStyle name="Escribir 2 2 14" xfId="159" xr:uid="{2C1E27BC-1C88-4867-9727-CBAB9B147085}"/>
    <cellStyle name="Escribir 2 2 14 2" xfId="356" xr:uid="{5D062ED1-37C0-49AE-8D5F-7F426B354908}"/>
    <cellStyle name="Escribir 2 2 14 2 2" xfId="790" xr:uid="{EE1773E8-3EA0-4B93-8BF3-053AA969FEF0}"/>
    <cellStyle name="Escribir 2 2 14 2 3" xfId="1206" xr:uid="{5CDE13CF-36EF-4F65-BA36-F614A503B502}"/>
    <cellStyle name="Escribir 2 2 14 2 4" xfId="1619" xr:uid="{FD7C42A1-653D-4351-833E-A0F69A22E347}"/>
    <cellStyle name="Escribir 2 2 14 2 5" xfId="2029" xr:uid="{57FDA978-9F09-4748-94A8-E0975E372A71}"/>
    <cellStyle name="Escribir 2 2 14 2 6" xfId="2436" xr:uid="{9A35ADBF-3B1B-408E-8365-8C58C547FEFF}"/>
    <cellStyle name="Escribir 2 2 14 3" xfId="593" xr:uid="{C1BAD7CB-FCF3-4261-AF8C-10A6B6F7D5A4}"/>
    <cellStyle name="Escribir 2 2 14 4" xfId="1011" xr:uid="{C5BE8619-D1B7-45A4-A05C-046A0FF0F3BD}"/>
    <cellStyle name="Escribir 2 2 14 5" xfId="1424" xr:uid="{E4B4D546-3263-4802-A3AA-065DD78E1E86}"/>
    <cellStyle name="Escribir 2 2 14 6" xfId="1835" xr:uid="{973F7215-DCEB-41FD-94FF-D628B546076D}"/>
    <cellStyle name="Escribir 2 2 14 7" xfId="2243" xr:uid="{F7884E14-BCDE-4F70-A351-DF9E56BAFE50}"/>
    <cellStyle name="Escribir 2 2 15" xfId="168" xr:uid="{4803CA62-46E2-4958-8F3F-A9FF6651404E}"/>
    <cellStyle name="Escribir 2 2 15 2" xfId="365" xr:uid="{2AC118F3-E049-43BD-BDBC-8A3E8F256CA3}"/>
    <cellStyle name="Escribir 2 2 15 2 2" xfId="799" xr:uid="{8C82D061-8AC8-46C3-B133-EB9716829791}"/>
    <cellStyle name="Escribir 2 2 15 2 3" xfId="1214" xr:uid="{35F51C1A-3193-4CF6-BAF8-37DA5EA49A9C}"/>
    <cellStyle name="Escribir 2 2 15 2 4" xfId="1627" xr:uid="{4EE70FB6-A12D-4C93-B31F-4B4200E6DD48}"/>
    <cellStyle name="Escribir 2 2 15 2 5" xfId="2037" xr:uid="{C80B61CA-6E3C-49E3-BB1B-62D4AC8755D4}"/>
    <cellStyle name="Escribir 2 2 15 2 6" xfId="2444" xr:uid="{55A64657-5164-4DAA-BD8E-9BE802854D83}"/>
    <cellStyle name="Escribir 2 2 15 3" xfId="602" xr:uid="{8CC4054E-702C-4BDC-8674-3F56E55DFD9A}"/>
    <cellStyle name="Escribir 2 2 15 4" xfId="1020" xr:uid="{93F97D6E-4B03-431D-A9FC-1E2EC9F14DA9}"/>
    <cellStyle name="Escribir 2 2 15 5" xfId="1433" xr:uid="{46E9B787-93E2-481C-86B3-D22483B412FA}"/>
    <cellStyle name="Escribir 2 2 15 6" xfId="1843" xr:uid="{84277D21-A097-4B25-A495-29541757B05D}"/>
    <cellStyle name="Escribir 2 2 15 7" xfId="2251" xr:uid="{94BFBC92-23E5-4DD3-9BF8-7C59733C5B9E}"/>
    <cellStyle name="Escribir 2 2 16" xfId="177" xr:uid="{97F1E428-602A-4445-BB74-69EE8018D7E2}"/>
    <cellStyle name="Escribir 2 2 16 2" xfId="374" xr:uid="{B9A46088-9C47-4438-9637-AAD9F4D8DE65}"/>
    <cellStyle name="Escribir 2 2 16 2 2" xfId="808" xr:uid="{802FE356-B189-4FDC-A1C9-EBBC37653621}"/>
    <cellStyle name="Escribir 2 2 16 2 3" xfId="1223" xr:uid="{29DC3395-72D8-436D-937D-9FE31B2F95C9}"/>
    <cellStyle name="Escribir 2 2 16 2 4" xfId="1636" xr:uid="{C2BDC68B-CE37-4A0D-AD8C-6DCBAE002647}"/>
    <cellStyle name="Escribir 2 2 16 2 5" xfId="2046" xr:uid="{FDEBB941-5580-4AD0-B1BF-93FFE47AB8B3}"/>
    <cellStyle name="Escribir 2 2 16 2 6" xfId="2453" xr:uid="{31AD1882-1FEA-40C6-A528-79A6083D2A31}"/>
    <cellStyle name="Escribir 2 2 16 3" xfId="611" xr:uid="{64EE9ACB-F618-4500-8823-D47494859E24}"/>
    <cellStyle name="Escribir 2 2 16 4" xfId="1029" xr:uid="{42F11739-AE09-4A37-B20D-B399EB55993E}"/>
    <cellStyle name="Escribir 2 2 16 5" xfId="1442" xr:uid="{5E5059D5-F559-4776-AAE6-71E4A04A4478}"/>
    <cellStyle name="Escribir 2 2 16 6" xfId="1852" xr:uid="{F1C17105-997B-4169-B4E9-CFAEBEB49408}"/>
    <cellStyle name="Escribir 2 2 16 7" xfId="2260" xr:uid="{6321D987-529F-4E82-A25F-002DC2B6BF0B}"/>
    <cellStyle name="Escribir 2 2 17" xfId="187" xr:uid="{8B954C44-54F5-4974-BA9E-3375FB46D736}"/>
    <cellStyle name="Escribir 2 2 17 2" xfId="384" xr:uid="{04759599-8EE7-4058-B4AE-617BFF7E9479}"/>
    <cellStyle name="Escribir 2 2 17 2 2" xfId="818" xr:uid="{C2668E1B-D448-45F4-93B1-D31939135B3C}"/>
    <cellStyle name="Escribir 2 2 17 2 3" xfId="1233" xr:uid="{B46F4288-2DEF-4781-A970-B8ED2ECDC771}"/>
    <cellStyle name="Escribir 2 2 17 2 4" xfId="1646" xr:uid="{17CC55B6-3C36-4F26-A846-54B515A52CFB}"/>
    <cellStyle name="Escribir 2 2 17 2 5" xfId="2056" xr:uid="{280A09B4-758F-4B42-B681-E07F7FF81D03}"/>
    <cellStyle name="Escribir 2 2 17 2 6" xfId="2463" xr:uid="{00BA5216-DA7F-4C36-A2D9-99835EFF7A70}"/>
    <cellStyle name="Escribir 2 2 17 3" xfId="621" xr:uid="{615F4653-13B0-40EC-951F-319ABC5716A6}"/>
    <cellStyle name="Escribir 2 2 17 4" xfId="1039" xr:uid="{761CC37A-F6B8-400E-92C6-C4AA26CAC6AA}"/>
    <cellStyle name="Escribir 2 2 17 5" xfId="1452" xr:uid="{0C8C5F2A-50E6-43F7-B6F8-1CBD378683D3}"/>
    <cellStyle name="Escribir 2 2 17 6" xfId="1862" xr:uid="{E611FBBE-98BA-422C-86A2-1B9B6635F4B0}"/>
    <cellStyle name="Escribir 2 2 17 7" xfId="2270" xr:uid="{07242FF7-7ACE-4DB6-97D3-402A1C24DDA1}"/>
    <cellStyle name="Escribir 2 2 18" xfId="197" xr:uid="{E719DC29-46EF-4A0E-BCCF-CE99389310A3}"/>
    <cellStyle name="Escribir 2 2 18 2" xfId="394" xr:uid="{12F535F2-4F3C-45F9-94C4-BCA4CE448B16}"/>
    <cellStyle name="Escribir 2 2 18 2 2" xfId="828" xr:uid="{4827E0CB-FA51-43E8-BFC6-7818AA598764}"/>
    <cellStyle name="Escribir 2 2 18 2 3" xfId="1243" xr:uid="{FF47CFF9-BA4B-4515-A3F4-ECC355613E0A}"/>
    <cellStyle name="Escribir 2 2 18 2 4" xfId="1656" xr:uid="{195416B6-7123-42EF-B63E-1BE3A1A652B0}"/>
    <cellStyle name="Escribir 2 2 18 2 5" xfId="2066" xr:uid="{586FC814-1A3B-433B-86F5-C2655641B8CC}"/>
    <cellStyle name="Escribir 2 2 18 2 6" xfId="2473" xr:uid="{FC530A67-D93B-49F1-9E6A-CBE20D2BE772}"/>
    <cellStyle name="Escribir 2 2 18 3" xfId="631" xr:uid="{DF07129F-B21C-4014-A2C3-B82CCE610EA1}"/>
    <cellStyle name="Escribir 2 2 18 4" xfId="1049" xr:uid="{216E6F2B-D066-4EB6-8173-343D0A334871}"/>
    <cellStyle name="Escribir 2 2 18 5" xfId="1462" xr:uid="{4F44FE6D-C712-4DAC-AAA1-A7B703E2772B}"/>
    <cellStyle name="Escribir 2 2 18 6" xfId="1872" xr:uid="{367691FD-070E-443C-A08B-D7BEEEDAFF1F}"/>
    <cellStyle name="Escribir 2 2 18 7" xfId="2280" xr:uid="{A905CA8E-0D83-4444-8390-2974E78C44BA}"/>
    <cellStyle name="Escribir 2 2 19" xfId="209" xr:uid="{12D35654-4266-4AD9-BC9B-2C26E753EE0F}"/>
    <cellStyle name="Escribir 2 2 19 2" xfId="406" xr:uid="{4DF68860-6626-4571-A285-0CB0BE5F88B6}"/>
    <cellStyle name="Escribir 2 2 19 2 2" xfId="840" xr:uid="{149C7041-4814-4081-B7CA-0268D58B9365}"/>
    <cellStyle name="Escribir 2 2 19 2 3" xfId="1255" xr:uid="{A2B0B51A-C0F0-4FF6-AF12-7FD0E4EB0C22}"/>
    <cellStyle name="Escribir 2 2 19 2 4" xfId="1668" xr:uid="{BD17E2BB-A928-4ED2-A38D-C28F6B73C9EF}"/>
    <cellStyle name="Escribir 2 2 19 2 5" xfId="2078" xr:uid="{AD73757D-561E-45C8-981E-F47233F6C9A8}"/>
    <cellStyle name="Escribir 2 2 19 2 6" xfId="2485" xr:uid="{5A735B3D-C6D3-473E-91F3-2D2878E65E0D}"/>
    <cellStyle name="Escribir 2 2 19 3" xfId="643" xr:uid="{CA7A25B7-572A-4404-BAEC-2EA6A9B9C5C6}"/>
    <cellStyle name="Escribir 2 2 19 4" xfId="1061" xr:uid="{2D76DA6F-7B54-4AFD-8198-1AE0C8BE4D51}"/>
    <cellStyle name="Escribir 2 2 19 5" xfId="1474" xr:uid="{0903CFD7-96D6-4C54-9B12-355D9166DB10}"/>
    <cellStyle name="Escribir 2 2 19 6" xfId="1884" xr:uid="{C49A90CC-E086-402D-A652-F58172DD0DF3}"/>
    <cellStyle name="Escribir 2 2 19 7" xfId="2292" xr:uid="{1D74F178-5246-4193-81AA-60682F1AE912}"/>
    <cellStyle name="Escribir 2 2 2" xfId="42" xr:uid="{00000000-0005-0000-0000-00000F000000}"/>
    <cellStyle name="Escribir 2 2 2 2" xfId="239" xr:uid="{8C6FDD0C-7852-47FC-8160-F3F899B79B39}"/>
    <cellStyle name="Escribir 2 2 2 2 2" xfId="673" xr:uid="{C3655187-E737-48A6-B4FF-F2B7B5EEC178}"/>
    <cellStyle name="Escribir 2 2 2 2 3" xfId="1090" xr:uid="{11CC7EED-62D9-4161-AB8E-0F564263F5C3}"/>
    <cellStyle name="Escribir 2 2 2 2 4" xfId="1503" xr:uid="{3017BA7F-F040-4F0B-9766-9FC30A99438F}"/>
    <cellStyle name="Escribir 2 2 2 2 5" xfId="1913" xr:uid="{AB2A6256-9F67-47D1-8AC1-97520247D62E}"/>
    <cellStyle name="Escribir 2 2 2 2 6" xfId="2321" xr:uid="{E481EB29-03BB-49CF-8145-06DDA8F21872}"/>
    <cellStyle name="Escribir 2 2 2 3" xfId="476" xr:uid="{CAC50D7D-4A1B-4004-9F71-1556D6F3A54B}"/>
    <cellStyle name="Escribir 2 2 2 4" xfId="894" xr:uid="{356BBF64-FFEB-42D6-A036-F42A0D457FDD}"/>
    <cellStyle name="Escribir 2 2 2 5" xfId="1309" xr:uid="{FCCC6693-3442-4EE2-BDEB-038226ED25D9}"/>
    <cellStyle name="Escribir 2 2 2 6" xfId="1720" xr:uid="{6703AD01-62CE-405C-9FAF-7F387DEACB95}"/>
    <cellStyle name="Escribir 2 2 2 7" xfId="2128" xr:uid="{87976DA1-07BA-4821-A37E-29698800BF77}"/>
    <cellStyle name="Escribir 2 2 20" xfId="216" xr:uid="{145AF2B3-6CF9-4849-9345-2CE73F3D39A1}"/>
    <cellStyle name="Escribir 2 2 20 2" xfId="413" xr:uid="{0E2D9D51-6132-475B-9307-1A2CC4944779}"/>
    <cellStyle name="Escribir 2 2 20 2 2" xfId="847" xr:uid="{16364A44-AED3-4AA3-91BB-4ADC3DD01CD9}"/>
    <cellStyle name="Escribir 2 2 20 2 3" xfId="1262" xr:uid="{FC7FAFBF-3B8B-4490-9167-F1A9E4432F77}"/>
    <cellStyle name="Escribir 2 2 20 2 4" xfId="1675" xr:uid="{A87C97C7-F9C1-43CD-88DE-AF6FB46ED3F6}"/>
    <cellStyle name="Escribir 2 2 20 2 5" xfId="2085" xr:uid="{81AA0ACA-BC08-4608-B872-12B69D696BEF}"/>
    <cellStyle name="Escribir 2 2 20 2 6" xfId="2492" xr:uid="{29A323D8-183E-444B-BCF9-8459635B66C7}"/>
    <cellStyle name="Escribir 2 2 20 3" xfId="650" xr:uid="{A2449901-F958-413A-8E13-354290322DB8}"/>
    <cellStyle name="Escribir 2 2 20 4" xfId="1068" xr:uid="{CA3F61F5-A458-4EC6-99C2-AC1A3585A5D2}"/>
    <cellStyle name="Escribir 2 2 20 5" xfId="1481" xr:uid="{9DBFE72D-990E-47ED-80EA-554B8F1A2702}"/>
    <cellStyle name="Escribir 2 2 20 6" xfId="1891" xr:uid="{B8F5BF1A-1BFB-4D9B-AAD8-31B5FA26E717}"/>
    <cellStyle name="Escribir 2 2 20 7" xfId="2299" xr:uid="{E732CBDB-47A7-465F-9DEA-73800685345D}"/>
    <cellStyle name="Escribir 2 2 21" xfId="225" xr:uid="{0E7736E6-C308-49AA-A4C8-B95981103149}"/>
    <cellStyle name="Escribir 2 2 21 2" xfId="659" xr:uid="{04DC258F-C6DE-4933-B02C-065D5BBEE60A}"/>
    <cellStyle name="Escribir 2 2 21 3" xfId="1077" xr:uid="{74CA4B8A-9457-4773-BDC5-800DD7DDDE9D}"/>
    <cellStyle name="Escribir 2 2 21 4" xfId="1490" xr:uid="{A29C8FC1-E5A7-45DF-816C-CA924FD5C08A}"/>
    <cellStyle name="Escribir 2 2 21 5" xfId="1900" xr:uid="{C117D171-BC95-49E8-96CD-9C72FC4D2819}"/>
    <cellStyle name="Escribir 2 2 21 6" xfId="2308" xr:uid="{8984FA9A-1F72-4799-97E6-FF5D0F0317C9}"/>
    <cellStyle name="Escribir 2 2 22" xfId="422" xr:uid="{8914C6FC-DD48-41AC-8047-9DA46F37F77F}"/>
    <cellStyle name="Escribir 2 2 22 2" xfId="856" xr:uid="{4F0981CC-DE1C-4534-9FFD-1B9E3E18D99A}"/>
    <cellStyle name="Escribir 2 2 22 3" xfId="1271" xr:uid="{923EC1BC-77DC-4CD4-9BAB-50F62F86F446}"/>
    <cellStyle name="Escribir 2 2 22 4" xfId="1684" xr:uid="{2F676ECA-684D-42AA-8E73-191D36245095}"/>
    <cellStyle name="Escribir 2 2 22 5" xfId="2094" xr:uid="{82C8E092-B923-4FE6-BEA9-974C3CA64DC9}"/>
    <cellStyle name="Escribir 2 2 22 6" xfId="2501" xr:uid="{D855ECD3-6CF1-4CF7-94AA-3345E42D0D21}"/>
    <cellStyle name="Escribir 2 2 23" xfId="436" xr:uid="{CACE8AA4-A926-49DE-BF12-EA356D984FCA}"/>
    <cellStyle name="Escribir 2 2 23 2" xfId="870" xr:uid="{267AD359-8E9B-4616-A01A-1C37139F77E1}"/>
    <cellStyle name="Escribir 2 2 23 3" xfId="1284" xr:uid="{1CF5AA0B-5CE8-429F-9436-8C2023655516}"/>
    <cellStyle name="Escribir 2 2 23 4" xfId="1698" xr:uid="{E3BB4783-A965-4B52-90B1-67B025536382}"/>
    <cellStyle name="Escribir 2 2 23 5" xfId="2108" xr:uid="{5DCE24E6-AB0D-405C-AFAC-7969B94C65CD}"/>
    <cellStyle name="Escribir 2 2 23 6" xfId="2514" xr:uid="{5E19E1DC-3859-4960-B26A-691CF4F2D3DA}"/>
    <cellStyle name="Escribir 2 2 24" xfId="434" xr:uid="{C3BDE745-2E6C-4BB4-BAC3-3D7D2BA8035F}"/>
    <cellStyle name="Escribir 2 2 24 2" xfId="868" xr:uid="{F207E6A2-5A2E-45BA-84FE-1E6EDA441A90}"/>
    <cellStyle name="Escribir 2 2 24 3" xfId="1282" xr:uid="{95EE047A-EAB1-4BA6-BAFB-FD4F44923BA1}"/>
    <cellStyle name="Escribir 2 2 24 4" xfId="1696" xr:uid="{6260417C-79D7-487D-A4F0-A4B10B98A963}"/>
    <cellStyle name="Escribir 2 2 24 5" xfId="2106" xr:uid="{29B6A66B-0398-40C5-B82A-B7B9E871EBC0}"/>
    <cellStyle name="Escribir 2 2 24 6" xfId="2512" xr:uid="{064F8379-C1F6-4C9C-9864-73617E7E8EA6}"/>
    <cellStyle name="Escribir 2 2 25" xfId="455" xr:uid="{40EA2300-A9CB-4397-9B82-6EE27BEEBD34}"/>
    <cellStyle name="Escribir 2 2 26" xfId="453" xr:uid="{E806E2E0-3E12-41E6-BD05-4B70C8D17EE7}"/>
    <cellStyle name="Escribir 2 2 27" xfId="468" xr:uid="{83E1A503-9BE6-45E5-B7CD-534599FE77A2}"/>
    <cellStyle name="Escribir 2 2 28" xfId="933" xr:uid="{F140009D-80BA-48F6-8BEB-B4E1270C0890}"/>
    <cellStyle name="Escribir 2 2 29" xfId="2121" xr:uid="{35541D50-B161-4EF3-884C-0A38B6A06D68}"/>
    <cellStyle name="Escribir 2 2 3" xfId="54" xr:uid="{00000000-0005-0000-0000-000010000000}"/>
    <cellStyle name="Escribir 2 2 3 2" xfId="251" xr:uid="{F4D4D0AF-BE96-4E3E-B703-9EEEBBF2D85F}"/>
    <cellStyle name="Escribir 2 2 3 2 2" xfId="685" xr:uid="{92694073-2394-48E0-98E2-41C5CA8F458E}"/>
    <cellStyle name="Escribir 2 2 3 2 3" xfId="1102" xr:uid="{C66CEA15-9CF8-45C9-B8A1-13EB7B507940}"/>
    <cellStyle name="Escribir 2 2 3 2 4" xfId="1514" xr:uid="{D3BED6EA-464C-46B3-B05C-4F8B1483D700}"/>
    <cellStyle name="Escribir 2 2 3 2 5" xfId="1925" xr:uid="{523E3385-B838-4F3C-B739-937A820D06C4}"/>
    <cellStyle name="Escribir 2 2 3 2 6" xfId="2332" xr:uid="{652F11C0-B6F7-4A99-998D-CE5E9BE881C3}"/>
    <cellStyle name="Escribir 2 2 3 3" xfId="488" xr:uid="{1C135E9A-43C3-4608-9BD9-5B55D1D7454D}"/>
    <cellStyle name="Escribir 2 2 3 4" xfId="906" xr:uid="{28F195AA-ACC8-4467-BE34-2C30B4D53A34}"/>
    <cellStyle name="Escribir 2 2 3 5" xfId="1320" xr:uid="{CFE8A3DD-C703-4273-B2F3-26868CCF3FA8}"/>
    <cellStyle name="Escribir 2 2 3 6" xfId="1731" xr:uid="{1A270E18-54CA-4BAE-80BE-15C281251950}"/>
    <cellStyle name="Escribir 2 2 3 7" xfId="2139" xr:uid="{573CAA66-2670-41B5-B9E1-686116CD048A}"/>
    <cellStyle name="Escribir 2 2 4" xfId="37" xr:uid="{00000000-0005-0000-0000-000011000000}"/>
    <cellStyle name="Escribir 2 2 4 2" xfId="234" xr:uid="{41444932-C2CC-4F3A-9ED2-D49759194720}"/>
    <cellStyle name="Escribir 2 2 4 2 2" xfId="668" xr:uid="{721AB16E-5A87-4D8F-A12A-60C2D8BDD0A8}"/>
    <cellStyle name="Escribir 2 2 4 2 3" xfId="1085" xr:uid="{7ED61452-BD4C-4929-8182-C9E738CBFFC2}"/>
    <cellStyle name="Escribir 2 2 4 2 4" xfId="1498" xr:uid="{929CCA9B-24D9-4FF7-A3D3-F90CDF4CD6B4}"/>
    <cellStyle name="Escribir 2 2 4 2 5" xfId="1908" xr:uid="{127E881B-C5EC-4DC9-A6F0-CFFBC81AE4A5}"/>
    <cellStyle name="Escribir 2 2 4 2 6" xfId="2316" xr:uid="{78F4A2F2-8287-482C-BA73-5B5117685F52}"/>
    <cellStyle name="Escribir 2 2 4 3" xfId="471" xr:uid="{B0096E6D-C1DE-41E1-84CD-8048ED2021C6}"/>
    <cellStyle name="Escribir 2 2 4 4" xfId="889" xr:uid="{D9EB29EC-2AE9-4674-8480-9DECC7171E41}"/>
    <cellStyle name="Escribir 2 2 4 5" xfId="1304" xr:uid="{DCF044BE-AEE2-40FA-BE60-2FB72E69557D}"/>
    <cellStyle name="Escribir 2 2 4 6" xfId="1715" xr:uid="{4668EB7D-B408-4262-92A1-067D7717A993}"/>
    <cellStyle name="Escribir 2 2 4 7" xfId="2123" xr:uid="{4434F012-C82E-4BB1-BBEB-DABEA8036367}"/>
    <cellStyle name="Escribir 2 2 5" xfId="47" xr:uid="{00000000-0005-0000-0000-000012000000}"/>
    <cellStyle name="Escribir 2 2 5 2" xfId="244" xr:uid="{3AF5E311-47F6-465C-AE4A-CF9A097A4765}"/>
    <cellStyle name="Escribir 2 2 5 2 2" xfId="678" xr:uid="{808C40D1-1436-4075-AD97-A0B8C8A7B79C}"/>
    <cellStyle name="Escribir 2 2 5 2 3" xfId="1095" xr:uid="{FCB8E577-33C4-4D74-B0E4-08A553F30DCD}"/>
    <cellStyle name="Escribir 2 2 5 2 4" xfId="1508" xr:uid="{8D309C28-56A4-4872-B7F6-6FB0091A2440}"/>
    <cellStyle name="Escribir 2 2 5 2 5" xfId="1918" xr:uid="{02162312-38CE-49C2-A0DC-6C5811E985C1}"/>
    <cellStyle name="Escribir 2 2 5 2 6" xfId="2326" xr:uid="{A8A132E9-B828-458B-9652-27104FCE238C}"/>
    <cellStyle name="Escribir 2 2 5 3" xfId="481" xr:uid="{A334074B-ED13-443D-B862-BF88F4D8A026}"/>
    <cellStyle name="Escribir 2 2 5 4" xfId="899" xr:uid="{3B16268E-9215-432C-85C9-4CAE01825016}"/>
    <cellStyle name="Escribir 2 2 5 5" xfId="1314" xr:uid="{1F82AFB9-E242-4EC9-9ED6-2DD3E7543057}"/>
    <cellStyle name="Escribir 2 2 5 6" xfId="1725" xr:uid="{DDE98488-4748-4761-82F9-884BB74BEBAA}"/>
    <cellStyle name="Escribir 2 2 5 7" xfId="2133" xr:uid="{E63F340D-A142-41EC-A28F-81799906BB0B}"/>
    <cellStyle name="Escribir 2 2 6" xfId="90" xr:uid="{00000000-0005-0000-0000-000013000000}"/>
    <cellStyle name="Escribir 2 2 6 2" xfId="287" xr:uid="{024C957E-1122-43F3-AC7F-DADF19C7415E}"/>
    <cellStyle name="Escribir 2 2 6 2 2" xfId="721" xr:uid="{FA3C0EE1-EB4A-4CF7-BF65-1D59855FC3F8}"/>
    <cellStyle name="Escribir 2 2 6 2 3" xfId="1137" xr:uid="{25FDD263-F0D6-4B64-B2BD-5A44DEC7D86F}"/>
    <cellStyle name="Escribir 2 2 6 2 4" xfId="1550" xr:uid="{1734B29A-E385-4CE4-A1B6-059D70C5FAF5}"/>
    <cellStyle name="Escribir 2 2 6 2 5" xfId="1960" xr:uid="{1F9628F6-6CCA-4CCA-96A8-4FB88BF6E6F1}"/>
    <cellStyle name="Escribir 2 2 6 2 6" xfId="2367" xr:uid="{37BB9F5B-C3E7-4DE8-A38A-E5C7BD90DA59}"/>
    <cellStyle name="Escribir 2 2 6 3" xfId="524" xr:uid="{3F437306-678D-4D9B-879C-4E2AD4094CA1}"/>
    <cellStyle name="Escribir 2 2 6 4" xfId="942" xr:uid="{B7A1BBA3-71DF-4F28-B084-91C1A136F8EA}"/>
    <cellStyle name="Escribir 2 2 6 5" xfId="1355" xr:uid="{0EFAE75F-AC77-49AC-83A9-CB9129A42A78}"/>
    <cellStyle name="Escribir 2 2 6 6" xfId="1766" xr:uid="{19BE7CAD-D63F-4D25-9E77-B1B025843243}"/>
    <cellStyle name="Escribir 2 2 6 7" xfId="2174" xr:uid="{E341AB44-63CA-4B0B-9575-939BF64A068D}"/>
    <cellStyle name="Escribir 2 2 7" xfId="88" xr:uid="{00000000-0005-0000-0000-000014000000}"/>
    <cellStyle name="Escribir 2 2 7 2" xfId="285" xr:uid="{E3209EF5-FE4D-4B78-BCDE-BA2034D066C4}"/>
    <cellStyle name="Escribir 2 2 7 2 2" xfId="719" xr:uid="{053BE9A2-A03C-4EBB-9D25-9CA1821BE83A}"/>
    <cellStyle name="Escribir 2 2 7 2 3" xfId="1135" xr:uid="{2F2B3175-1914-45BA-BDB5-D00CD1EC6D73}"/>
    <cellStyle name="Escribir 2 2 7 2 4" xfId="1548" xr:uid="{FD953CC6-E652-4173-BB47-10E653FF267A}"/>
    <cellStyle name="Escribir 2 2 7 2 5" xfId="1958" xr:uid="{20040826-EB91-4F23-A66A-8C04BB0F80A3}"/>
    <cellStyle name="Escribir 2 2 7 2 6" xfId="2365" xr:uid="{392EEAE2-9B29-4A4C-829E-0BEE1232390A}"/>
    <cellStyle name="Escribir 2 2 7 3" xfId="522" xr:uid="{1BF10B2A-B555-49EA-91F8-7BD5C7B29AE7}"/>
    <cellStyle name="Escribir 2 2 7 4" xfId="940" xr:uid="{327DB497-D8BF-412A-A697-E86C9F854748}"/>
    <cellStyle name="Escribir 2 2 7 5" xfId="1353" xr:uid="{68536B26-BA71-4626-A89B-073A855A6A8D}"/>
    <cellStyle name="Escribir 2 2 7 6" xfId="1764" xr:uid="{59B5E2AE-30C9-4869-A1C2-A8C5A74D20C0}"/>
    <cellStyle name="Escribir 2 2 7 7" xfId="2172" xr:uid="{F471209C-3C06-49B6-8530-150BE0793360}"/>
    <cellStyle name="Escribir 2 2 8" xfId="98" xr:uid="{00000000-0005-0000-0000-000015000000}"/>
    <cellStyle name="Escribir 2 2 8 2" xfId="295" xr:uid="{B48D6A85-B37F-43E6-9B5B-1CBCCDAB31D2}"/>
    <cellStyle name="Escribir 2 2 8 2 2" xfId="729" xr:uid="{D166B4C7-7B0D-406A-A361-E4DE9F563729}"/>
    <cellStyle name="Escribir 2 2 8 2 3" xfId="1145" xr:uid="{58B7E8BB-B52E-45AD-91B3-40CD991E887D}"/>
    <cellStyle name="Escribir 2 2 8 2 4" xfId="1558" xr:uid="{189C4C45-8BE3-4D8D-90AB-A16B901AD695}"/>
    <cellStyle name="Escribir 2 2 8 2 5" xfId="1968" xr:uid="{2F5D5CB9-79B4-475F-AC8A-5D86E30F57B0}"/>
    <cellStyle name="Escribir 2 2 8 2 6" xfId="2375" xr:uid="{1E3B4DE1-DB28-4A7D-8E2D-D50D1C85C0D7}"/>
    <cellStyle name="Escribir 2 2 8 3" xfId="532" xr:uid="{A38DB46B-EC20-4ADE-BE16-8D24F469E426}"/>
    <cellStyle name="Escribir 2 2 8 4" xfId="950" xr:uid="{63547D3C-BE8D-43A7-AECF-7C2A39160D98}"/>
    <cellStyle name="Escribir 2 2 8 5" xfId="1363" xr:uid="{0868C0C1-6E2E-43A9-A9BA-5FE39A00096D}"/>
    <cellStyle name="Escribir 2 2 8 6" xfId="1774" xr:uid="{9EEB46C2-08F9-4C1A-8F42-3FD8BA6B6EAA}"/>
    <cellStyle name="Escribir 2 2 8 7" xfId="2182" xr:uid="{360E059E-14A4-4473-8149-D545A83E0F6E}"/>
    <cellStyle name="Escribir 2 2 9" xfId="111" xr:uid="{00000000-0005-0000-0000-000016000000}"/>
    <cellStyle name="Escribir 2 2 9 2" xfId="308" xr:uid="{FC232C5B-A34E-4D42-91C5-1DC6B75CCD1C}"/>
    <cellStyle name="Escribir 2 2 9 2 2" xfId="742" xr:uid="{39AA1EEE-3FBF-4335-A24A-E06E1B8164A3}"/>
    <cellStyle name="Escribir 2 2 9 2 3" xfId="1158" xr:uid="{6FAEA9D3-DFA6-448E-AE4A-02E5E3DF5D27}"/>
    <cellStyle name="Escribir 2 2 9 2 4" xfId="1571" xr:uid="{575EDA3D-EDBF-4EA0-9C03-631D88EE8ABE}"/>
    <cellStyle name="Escribir 2 2 9 2 5" xfId="1981" xr:uid="{D9B08FDE-040F-45F5-9E20-AA6C9DDB96A1}"/>
    <cellStyle name="Escribir 2 2 9 2 6" xfId="2388" xr:uid="{D3CB77D7-5B55-47E6-83AE-5EB324E08D75}"/>
    <cellStyle name="Escribir 2 2 9 3" xfId="545" xr:uid="{E26D105F-0449-467C-AAA7-A174C152D458}"/>
    <cellStyle name="Escribir 2 2 9 4" xfId="963" xr:uid="{B5BF7E9C-DF73-465A-B25C-C780F00FB35B}"/>
    <cellStyle name="Escribir 2 2 9 5" xfId="1376" xr:uid="{445B6044-68EA-4E62-A691-7D6DF1E08C23}"/>
    <cellStyle name="Escribir 2 2 9 6" xfId="1787" xr:uid="{D79EC43C-26B6-4698-BC94-F27DF850C3EF}"/>
    <cellStyle name="Escribir 2 2 9 7" xfId="2195" xr:uid="{E9519C01-4BBD-45BA-956C-E20749FB9566}"/>
    <cellStyle name="Escribir 2 20" xfId="198" xr:uid="{70CB7D16-36F4-44AC-A09C-5C25CA1C2F40}"/>
    <cellStyle name="Escribir 2 20 2" xfId="395" xr:uid="{1A405FC1-87F1-4F8C-9661-DF712B036CBC}"/>
    <cellStyle name="Escribir 2 20 2 2" xfId="829" xr:uid="{A7F508E5-6B90-4696-9D0F-1174CE0B9A7E}"/>
    <cellStyle name="Escribir 2 20 2 3" xfId="1244" xr:uid="{A4E34307-F7FD-4915-8328-BEF61E06BB0B}"/>
    <cellStyle name="Escribir 2 20 2 4" xfId="1657" xr:uid="{DCE372A0-43DA-4FCE-952A-51753CBE0196}"/>
    <cellStyle name="Escribir 2 20 2 5" xfId="2067" xr:uid="{676F6F87-D8AC-41D1-8839-50E34DA58E1F}"/>
    <cellStyle name="Escribir 2 20 2 6" xfId="2474" xr:uid="{2849A798-2E30-4892-B10C-0FF9583E4B66}"/>
    <cellStyle name="Escribir 2 20 3" xfId="632" xr:uid="{E5A74DCD-88EA-4182-8B8F-039AAAA3506C}"/>
    <cellStyle name="Escribir 2 20 4" xfId="1050" xr:uid="{BC5D7AEA-6852-4351-9092-3F36058B1B16}"/>
    <cellStyle name="Escribir 2 20 5" xfId="1463" xr:uid="{36D42E4A-975F-4403-963B-70FAB50E419A}"/>
    <cellStyle name="Escribir 2 20 6" xfId="1873" xr:uid="{B55D3692-A41D-4C4E-9075-AA68E3552173}"/>
    <cellStyle name="Escribir 2 20 7" xfId="2281" xr:uid="{6FA18B34-76C8-4A89-9786-8C970D2A1EA9}"/>
    <cellStyle name="Escribir 2 21" xfId="210" xr:uid="{6B853DFA-40D9-4A9D-9C43-05A39F9E902B}"/>
    <cellStyle name="Escribir 2 21 2" xfId="407" xr:uid="{AC707F16-6128-43E9-B2C6-A37B9FA55280}"/>
    <cellStyle name="Escribir 2 21 2 2" xfId="841" xr:uid="{53C93430-5307-4AC8-8DC2-C6040A16B497}"/>
    <cellStyle name="Escribir 2 21 2 3" xfId="1256" xr:uid="{0D7A5857-47D8-469A-8021-8FD720ACFDF5}"/>
    <cellStyle name="Escribir 2 21 2 4" xfId="1669" xr:uid="{ECFF661F-F434-4CD4-82C2-20192E6AF3C4}"/>
    <cellStyle name="Escribir 2 21 2 5" xfId="2079" xr:uid="{F3C7327C-6219-405A-87BF-96981D12CD23}"/>
    <cellStyle name="Escribir 2 21 2 6" xfId="2486" xr:uid="{3E6BEC2B-052F-467D-B3F7-FFE78CF8410A}"/>
    <cellStyle name="Escribir 2 21 3" xfId="644" xr:uid="{819FB96C-936D-48F6-B67B-8D3CDB0815E7}"/>
    <cellStyle name="Escribir 2 21 4" xfId="1062" xr:uid="{CA927003-DBD0-4C5A-8A74-10B08099FCA3}"/>
    <cellStyle name="Escribir 2 21 5" xfId="1475" xr:uid="{9434501A-73AC-4D48-8982-C36FF6B8B03C}"/>
    <cellStyle name="Escribir 2 21 6" xfId="1885" xr:uid="{0CECD1C9-A747-4DA4-88F3-B507235C013A}"/>
    <cellStyle name="Escribir 2 21 7" xfId="2293" xr:uid="{F3738282-E014-461D-BF24-2B0A0B3BA31D}"/>
    <cellStyle name="Escribir 2 22" xfId="226" xr:uid="{1D150A33-5755-4FC8-B964-3BCC6263F570}"/>
    <cellStyle name="Escribir 2 22 2" xfId="660" xr:uid="{F47046D7-93EE-4544-B6C0-696248FFBC77}"/>
    <cellStyle name="Escribir 2 22 3" xfId="1078" xr:uid="{25B565AE-31BC-49FD-9514-0F097EF522A4}"/>
    <cellStyle name="Escribir 2 22 4" xfId="1491" xr:uid="{1D219052-798F-4D27-BB2F-B024E8449D22}"/>
    <cellStyle name="Escribir 2 22 5" xfId="1901" xr:uid="{7EF5E766-AD3D-40F4-BF1B-876DDB42027E}"/>
    <cellStyle name="Escribir 2 22 6" xfId="2309" xr:uid="{C37E50AE-B72C-4349-A815-B1D54844A61C}"/>
    <cellStyle name="Escribir 2 23" xfId="423" xr:uid="{B9F64D4D-A1CF-4E95-99A2-5D7CE84FDA43}"/>
    <cellStyle name="Escribir 2 23 2" xfId="857" xr:uid="{319D54C9-D3C4-4B28-A483-FAA39CF82B89}"/>
    <cellStyle name="Escribir 2 23 3" xfId="1272" xr:uid="{C1CE412C-54B8-468E-ADDF-FDC35132F211}"/>
    <cellStyle name="Escribir 2 23 4" xfId="1685" xr:uid="{A6E1134B-83E3-4C41-9593-AE9346197EA9}"/>
    <cellStyle name="Escribir 2 23 5" xfId="2095" xr:uid="{B6271676-755D-48E5-87F4-9B5325536D20}"/>
    <cellStyle name="Escribir 2 23 6" xfId="2502" xr:uid="{237D3169-CE18-43CD-B06A-CC185BCF6333}"/>
    <cellStyle name="Escribir 2 24" xfId="437" xr:uid="{BC2FDF4C-1B92-4534-82F9-7D71E44D497C}"/>
    <cellStyle name="Escribir 2 24 2" xfId="871" xr:uid="{C4DEA5AB-0D7E-4CD0-98C9-8C791F89A240}"/>
    <cellStyle name="Escribir 2 24 3" xfId="1285" xr:uid="{56DC20DA-FAA4-49CE-BE64-B380A66137F1}"/>
    <cellStyle name="Escribir 2 24 4" xfId="1699" xr:uid="{F9BB1600-A40E-456E-B664-26D5C1DB4008}"/>
    <cellStyle name="Escribir 2 24 5" xfId="2109" xr:uid="{2C8F42B1-6977-4701-8EDA-B08D152991BF}"/>
    <cellStyle name="Escribir 2 24 6" xfId="2515" xr:uid="{111F7BC1-4EB5-4ABF-A8DB-61BC78F4EF79}"/>
    <cellStyle name="Escribir 2 25" xfId="433" xr:uid="{F5A1F4FB-B375-4577-8EF0-5E5222B89B9B}"/>
    <cellStyle name="Escribir 2 25 2" xfId="867" xr:uid="{80EBDA6E-3069-4BA8-895D-A39EAB707021}"/>
    <cellStyle name="Escribir 2 25 3" xfId="1281" xr:uid="{979A7318-3C94-415F-9BCC-0666C4C8C864}"/>
    <cellStyle name="Escribir 2 25 4" xfId="1695" xr:uid="{5108F21F-9E30-48CC-9E6C-532AC5C9FAD7}"/>
    <cellStyle name="Escribir 2 25 5" xfId="2105" xr:uid="{9FCF8BA1-3F6E-4837-B11B-0C6A4CF1818A}"/>
    <cellStyle name="Escribir 2 25 6" xfId="2511" xr:uid="{73DDFF73-AFE6-4A64-9189-D627C0673C71}"/>
    <cellStyle name="Escribir 2 26" xfId="456" xr:uid="{2D59AED3-A1C6-4C1F-81B8-E6E85DF5FC72}"/>
    <cellStyle name="Escribir 2 27" xfId="451" xr:uid="{CD52395C-A109-4673-81E4-E3A094E0F19C}"/>
    <cellStyle name="Escribir 2 28" xfId="467" xr:uid="{584DEB5A-B923-4D7E-823A-DBECD107989A}"/>
    <cellStyle name="Escribir 2 29" xfId="887" xr:uid="{1F22384D-BF79-43DF-B121-8A989D71E6A7}"/>
    <cellStyle name="Escribir 2 3" xfId="16" xr:uid="{00000000-0005-0000-0000-000017000000}"/>
    <cellStyle name="Escribir 2 3 10" xfId="113" xr:uid="{00000000-0005-0000-0000-000018000000}"/>
    <cellStyle name="Escribir 2 3 10 2" xfId="310" xr:uid="{C833F916-7839-4CF9-A0B0-7E901CD7B3AA}"/>
    <cellStyle name="Escribir 2 3 10 2 2" xfId="744" xr:uid="{D980C83D-ABE4-4A4C-A912-9AE98A59080C}"/>
    <cellStyle name="Escribir 2 3 10 2 3" xfId="1160" xr:uid="{A2D1E5DA-E59F-4C62-B334-25180EC0B295}"/>
    <cellStyle name="Escribir 2 3 10 2 4" xfId="1573" xr:uid="{B93B739E-F416-436F-A134-5D506BD71EF3}"/>
    <cellStyle name="Escribir 2 3 10 2 5" xfId="1983" xr:uid="{0471AF0D-B4CB-4726-BE6E-ED0E2F0A144F}"/>
    <cellStyle name="Escribir 2 3 10 2 6" xfId="2390" xr:uid="{46963D30-A143-404C-BE46-803BC047DE6D}"/>
    <cellStyle name="Escribir 2 3 10 3" xfId="547" xr:uid="{9861F957-77CA-49AA-9C71-44493A93C566}"/>
    <cellStyle name="Escribir 2 3 10 4" xfId="965" xr:uid="{16829E76-3D65-45ED-9FA4-421AC8622F7C}"/>
    <cellStyle name="Escribir 2 3 10 5" xfId="1378" xr:uid="{2C9149B6-509B-4DB6-BE11-282C36D9D128}"/>
    <cellStyle name="Escribir 2 3 10 6" xfId="1789" xr:uid="{35B04364-F61D-40C7-9C2D-277BA02F1C27}"/>
    <cellStyle name="Escribir 2 3 10 7" xfId="2197" xr:uid="{8468356E-588A-496D-A3E6-310D1FF204D0}"/>
    <cellStyle name="Escribir 2 3 11" xfId="123" xr:uid="{00000000-0005-0000-0000-000019000000}"/>
    <cellStyle name="Escribir 2 3 11 2" xfId="320" xr:uid="{A90DEEBA-38AF-426D-A415-DD9B32A19783}"/>
    <cellStyle name="Escribir 2 3 11 2 2" xfId="754" xr:uid="{CAFB280E-6803-4CF6-BDF4-90C5ED5AF387}"/>
    <cellStyle name="Escribir 2 3 11 2 3" xfId="1170" xr:uid="{FA7BB0C7-6DFB-4734-B41D-2C49DBB5EC8F}"/>
    <cellStyle name="Escribir 2 3 11 2 4" xfId="1583" xr:uid="{26551298-B461-436D-A282-A6E72178F944}"/>
    <cellStyle name="Escribir 2 3 11 2 5" xfId="1993" xr:uid="{A3804749-CF1A-47AA-9C3D-011ACB7A26E8}"/>
    <cellStyle name="Escribir 2 3 11 2 6" xfId="2400" xr:uid="{C7D0DE91-41CA-4B18-9E33-3E0134AB403D}"/>
    <cellStyle name="Escribir 2 3 11 3" xfId="557" xr:uid="{973E9019-9C15-480F-B375-D2D93639C13B}"/>
    <cellStyle name="Escribir 2 3 11 4" xfId="975" xr:uid="{EF382654-BCED-4A2D-B185-FB7855F7E7F9}"/>
    <cellStyle name="Escribir 2 3 11 5" xfId="1388" xr:uid="{EB7492F4-6CC0-4360-824B-67561D420A3B}"/>
    <cellStyle name="Escribir 2 3 11 6" xfId="1799" xr:uid="{41002CC1-A1E2-4133-B6FE-3B56ABB1211D}"/>
    <cellStyle name="Escribir 2 3 11 7" xfId="2207" xr:uid="{BC0E2AF0-9348-4327-9CD9-788FEAEEB920}"/>
    <cellStyle name="Escribir 2 3 12" xfId="132" xr:uid="{00000000-0005-0000-0000-00001A000000}"/>
    <cellStyle name="Escribir 2 3 12 2" xfId="329" xr:uid="{116198CF-76CD-4894-8BCF-CDF02EE803F0}"/>
    <cellStyle name="Escribir 2 3 12 2 2" xfId="763" xr:uid="{3EB81257-34E0-4A41-BACE-D8DF9FB1425B}"/>
    <cellStyle name="Escribir 2 3 12 2 3" xfId="1179" xr:uid="{29AAD31C-5179-4F49-BD49-2E7BA423925E}"/>
    <cellStyle name="Escribir 2 3 12 2 4" xfId="1592" xr:uid="{595EE5F9-175D-4326-892A-24939372926D}"/>
    <cellStyle name="Escribir 2 3 12 2 5" xfId="2002" xr:uid="{5918EB74-45C7-4259-BFCD-B0976762E271}"/>
    <cellStyle name="Escribir 2 3 12 2 6" xfId="2409" xr:uid="{F8F8810A-CC2D-449C-BA41-C188FF959F11}"/>
    <cellStyle name="Escribir 2 3 12 3" xfId="566" xr:uid="{626ACDF4-0578-4330-B918-42982034D0E7}"/>
    <cellStyle name="Escribir 2 3 12 4" xfId="984" xr:uid="{50EB66F9-BA71-4154-BED7-E95F9A1C1A06}"/>
    <cellStyle name="Escribir 2 3 12 5" xfId="1397" xr:uid="{00CC162B-D053-4E1C-8723-A1877D111F6A}"/>
    <cellStyle name="Escribir 2 3 12 6" xfId="1808" xr:uid="{ED87BCA2-6B58-4511-B42D-9C9D599C80E9}"/>
    <cellStyle name="Escribir 2 3 12 7" xfId="2216" xr:uid="{09B1C064-81E2-4271-9F74-26D1E3BFD114}"/>
    <cellStyle name="Escribir 2 3 13" xfId="139" xr:uid="{00000000-0005-0000-0000-00001B000000}"/>
    <cellStyle name="Escribir 2 3 13 2" xfId="336" xr:uid="{56272F98-C6C3-41C2-9109-53254ECBF588}"/>
    <cellStyle name="Escribir 2 3 13 2 2" xfId="770" xr:uid="{8FEFB4A9-2A0F-4FCB-B65A-6FEE385CBF6B}"/>
    <cellStyle name="Escribir 2 3 13 2 3" xfId="1186" xr:uid="{8AA79B99-E461-4988-BB12-23C9C31078F6}"/>
    <cellStyle name="Escribir 2 3 13 2 4" xfId="1599" xr:uid="{0BA47430-33AA-44DA-8F73-070EAB56E80F}"/>
    <cellStyle name="Escribir 2 3 13 2 5" xfId="2009" xr:uid="{8536B204-8D4B-4FFC-92A6-C2B53EB8DF0C}"/>
    <cellStyle name="Escribir 2 3 13 2 6" xfId="2416" xr:uid="{3CBAD11B-E4AB-41C5-80A5-F55E805869B9}"/>
    <cellStyle name="Escribir 2 3 13 3" xfId="573" xr:uid="{AD906697-E81F-4722-9682-5EF23E27AEFB}"/>
    <cellStyle name="Escribir 2 3 13 4" xfId="991" xr:uid="{DD42D791-536D-4820-8682-3212F62AC234}"/>
    <cellStyle name="Escribir 2 3 13 5" xfId="1404" xr:uid="{5032080E-2245-4568-9718-41B7F0173B43}"/>
    <cellStyle name="Escribir 2 3 13 6" xfId="1815" xr:uid="{1CE2BBB9-34D3-429C-A93C-6D2FF8757CE7}"/>
    <cellStyle name="Escribir 2 3 13 7" xfId="2223" xr:uid="{78A8DED9-3A04-4248-9DDB-32CB2686400E}"/>
    <cellStyle name="Escribir 2 3 14" xfId="148" xr:uid="{00000000-0005-0000-0000-00001C000000}"/>
    <cellStyle name="Escribir 2 3 14 2" xfId="345" xr:uid="{AA342691-040D-47C9-B71A-B1468EAAA30D}"/>
    <cellStyle name="Escribir 2 3 14 2 2" xfId="779" xr:uid="{1071D67A-236D-42D5-BD90-3863D10FDFFA}"/>
    <cellStyle name="Escribir 2 3 14 2 3" xfId="1195" xr:uid="{8917C277-11BF-4418-87FC-D483F6D9E367}"/>
    <cellStyle name="Escribir 2 3 14 2 4" xfId="1608" xr:uid="{8160BBF0-C7A4-4970-AF6D-CA9682F9C7B2}"/>
    <cellStyle name="Escribir 2 3 14 2 5" xfId="2018" xr:uid="{D892A19C-C741-4C6B-A638-EFC0F373792F}"/>
    <cellStyle name="Escribir 2 3 14 2 6" xfId="2425" xr:uid="{B30B971F-AD67-4AD8-BBA3-5F4BB31CEBFF}"/>
    <cellStyle name="Escribir 2 3 14 3" xfId="582" xr:uid="{97583F31-A903-447A-B0FA-A1BF55C3F0C9}"/>
    <cellStyle name="Escribir 2 3 14 4" xfId="1000" xr:uid="{1EC199BA-2F1E-427A-A73B-5A4B043E6EA9}"/>
    <cellStyle name="Escribir 2 3 14 5" xfId="1413" xr:uid="{9DF2995B-F5F2-4020-A899-906E6F33E6CC}"/>
    <cellStyle name="Escribir 2 3 14 6" xfId="1824" xr:uid="{52EFCC67-29B9-4915-9EFB-1F3AB977CB83}"/>
    <cellStyle name="Escribir 2 3 14 7" xfId="2232" xr:uid="{CE6F9318-84F8-4DD6-A615-13E982F39301}"/>
    <cellStyle name="Escribir 2 3 15" xfId="155" xr:uid="{00000000-0005-0000-0000-00001D000000}"/>
    <cellStyle name="Escribir 2 3 15 2" xfId="352" xr:uid="{7C69C380-06E7-4680-8009-843CE8617699}"/>
    <cellStyle name="Escribir 2 3 15 2 2" xfId="786" xr:uid="{EF4658A7-0E06-4FB7-A5F3-F2DEBDB588DF}"/>
    <cellStyle name="Escribir 2 3 15 2 3" xfId="1202" xr:uid="{A14F5561-F524-4BAD-9BEF-2568BB7328BF}"/>
    <cellStyle name="Escribir 2 3 15 2 4" xfId="1615" xr:uid="{A294F44F-555C-43EE-9458-597B801CC180}"/>
    <cellStyle name="Escribir 2 3 15 2 5" xfId="2025" xr:uid="{DF753F49-FD17-4878-805E-266CF577A269}"/>
    <cellStyle name="Escribir 2 3 15 2 6" xfId="2432" xr:uid="{430196B7-8D4C-4279-888B-4654042BF725}"/>
    <cellStyle name="Escribir 2 3 15 3" xfId="589" xr:uid="{C9D9E791-16F5-4551-A2F6-580118BF5345}"/>
    <cellStyle name="Escribir 2 3 15 4" xfId="1007" xr:uid="{6A7DC7AC-1810-4442-BF7C-70A4AA59D145}"/>
    <cellStyle name="Escribir 2 3 15 5" xfId="1420" xr:uid="{A5F1E168-0741-4DB0-99EA-2726858B2FA6}"/>
    <cellStyle name="Escribir 2 3 15 6" xfId="1831" xr:uid="{EEB0D722-DB6C-4C13-B044-A6C017B79126}"/>
    <cellStyle name="Escribir 2 3 15 7" xfId="2239" xr:uid="{13D0368A-10FF-4BB2-B67F-2956217F505B}"/>
    <cellStyle name="Escribir 2 3 16" xfId="162" xr:uid="{E02F49AF-0142-4314-BFE0-99033779472F}"/>
    <cellStyle name="Escribir 2 3 16 2" xfId="359" xr:uid="{8798BDFD-B3CA-4087-8740-80A5AE7938D6}"/>
    <cellStyle name="Escribir 2 3 16 2 2" xfId="793" xr:uid="{841E345E-EC53-4E1E-905E-87C1342677F1}"/>
    <cellStyle name="Escribir 2 3 16 2 3" xfId="1209" xr:uid="{9FD65BA1-A7C3-4180-8F30-E6013D5194F9}"/>
    <cellStyle name="Escribir 2 3 16 2 4" xfId="1622" xr:uid="{21E35AE3-86DA-4533-9944-307C0708DCCA}"/>
    <cellStyle name="Escribir 2 3 16 2 5" xfId="2032" xr:uid="{B0DE1E8B-D583-4C65-8B98-C68BE02694A1}"/>
    <cellStyle name="Escribir 2 3 16 2 6" xfId="2439" xr:uid="{725F6BBF-F070-492F-B596-D528DA7E3D54}"/>
    <cellStyle name="Escribir 2 3 16 3" xfId="596" xr:uid="{61ED0427-F7A0-4901-9225-6AD9C10437ED}"/>
    <cellStyle name="Escribir 2 3 16 4" xfId="1014" xr:uid="{A80C056C-F30E-49E3-8F49-833C41377EDC}"/>
    <cellStyle name="Escribir 2 3 16 5" xfId="1427" xr:uid="{67D34223-820B-43C3-BD2D-2DB09AE8BF53}"/>
    <cellStyle name="Escribir 2 3 16 6" xfId="1838" xr:uid="{32EECF28-E0EF-4DE3-AD99-3714BFDEC0F6}"/>
    <cellStyle name="Escribir 2 3 16 7" xfId="2246" xr:uid="{E8EFC3CD-8640-475C-9D05-9915C5C81536}"/>
    <cellStyle name="Escribir 2 3 17" xfId="180" xr:uid="{96DC62BD-FA47-4975-A89F-5B850502649E}"/>
    <cellStyle name="Escribir 2 3 17 2" xfId="377" xr:uid="{4D43BF0D-00FF-4307-BC62-22C46B2CDE21}"/>
    <cellStyle name="Escribir 2 3 17 2 2" xfId="811" xr:uid="{8672E181-E227-4E7F-874F-ED0C7C5437EB}"/>
    <cellStyle name="Escribir 2 3 17 2 3" xfId="1226" xr:uid="{DACB4727-BB95-406C-AF73-4559FCF8F182}"/>
    <cellStyle name="Escribir 2 3 17 2 4" xfId="1639" xr:uid="{CF05E3DF-45E9-489C-BA95-D2DB9C05C8C7}"/>
    <cellStyle name="Escribir 2 3 17 2 5" xfId="2049" xr:uid="{0404C226-6589-4E4A-B3D6-203C7F9888F9}"/>
    <cellStyle name="Escribir 2 3 17 2 6" xfId="2456" xr:uid="{2E2FD636-AE1F-47DA-8ED1-0AAE7366D9E2}"/>
    <cellStyle name="Escribir 2 3 17 3" xfId="614" xr:uid="{4624717C-0537-4CB4-A460-8E46B339B263}"/>
    <cellStyle name="Escribir 2 3 17 4" xfId="1032" xr:uid="{78F8A5C6-8824-4B54-AC4E-DEACC278E898}"/>
    <cellStyle name="Escribir 2 3 17 5" xfId="1445" xr:uid="{69DB0ACC-7050-4308-90AB-848C9E9C58CB}"/>
    <cellStyle name="Escribir 2 3 17 6" xfId="1855" xr:uid="{F6831E8F-D337-41F5-BFC0-94B71EF57DC8}"/>
    <cellStyle name="Escribir 2 3 17 7" xfId="2263" xr:uid="{F5775AC9-1CBE-4D53-9AE8-F52F1E2E0B4B}"/>
    <cellStyle name="Escribir 2 3 18" xfId="190" xr:uid="{426E40D7-3809-41FA-A17B-D8D6A495BCB1}"/>
    <cellStyle name="Escribir 2 3 18 2" xfId="387" xr:uid="{34ECE449-B1B0-4A54-80AE-B2DA0BBEA527}"/>
    <cellStyle name="Escribir 2 3 18 2 2" xfId="821" xr:uid="{E3AA1517-93DF-419D-8F2D-C3C605801343}"/>
    <cellStyle name="Escribir 2 3 18 2 3" xfId="1236" xr:uid="{6753AFA8-42C6-4905-AD92-13CDC4396E1E}"/>
    <cellStyle name="Escribir 2 3 18 2 4" xfId="1649" xr:uid="{215C52FC-252B-43D9-AED8-B32C87A3DFA0}"/>
    <cellStyle name="Escribir 2 3 18 2 5" xfId="2059" xr:uid="{E1AE0F77-406B-4DC3-B2F9-12ADC12C784C}"/>
    <cellStyle name="Escribir 2 3 18 2 6" xfId="2466" xr:uid="{E7349F9A-5A21-40E7-B70F-F6AFED5A97CE}"/>
    <cellStyle name="Escribir 2 3 18 3" xfId="624" xr:uid="{8636A327-DD3E-4738-B6BD-7B4C0645D3A4}"/>
    <cellStyle name="Escribir 2 3 18 4" xfId="1042" xr:uid="{D03A8047-5D9E-41AF-9D73-002FE2503796}"/>
    <cellStyle name="Escribir 2 3 18 5" xfId="1455" xr:uid="{521AA422-068E-4FEC-ABF5-452400B8EEA7}"/>
    <cellStyle name="Escribir 2 3 18 6" xfId="1865" xr:uid="{495C81AB-2348-4659-8E07-256F923820CA}"/>
    <cellStyle name="Escribir 2 3 18 7" xfId="2273" xr:uid="{8908DB64-B138-41B6-8743-96212E0A0174}"/>
    <cellStyle name="Escribir 2 3 19" xfId="200" xr:uid="{CEE9E9AA-8A8C-448D-929C-DB61A20942CE}"/>
    <cellStyle name="Escribir 2 3 19 2" xfId="397" xr:uid="{B37D6BDD-0BB8-4594-BCFF-F04BE272DC00}"/>
    <cellStyle name="Escribir 2 3 19 2 2" xfId="831" xr:uid="{D41DDC88-E97F-4D01-AC15-92B6AD1E61C6}"/>
    <cellStyle name="Escribir 2 3 19 2 3" xfId="1246" xr:uid="{40A65D62-8B38-45E9-B796-ECC45773A796}"/>
    <cellStyle name="Escribir 2 3 19 2 4" xfId="1659" xr:uid="{F563601E-2E44-465C-B241-60D92AC6922B}"/>
    <cellStyle name="Escribir 2 3 19 2 5" xfId="2069" xr:uid="{EE1D0CFB-DD4E-4781-8245-4A0D5FCF9861}"/>
    <cellStyle name="Escribir 2 3 19 2 6" xfId="2476" xr:uid="{B32C7345-F638-4096-9703-C0DE9E4DDF08}"/>
    <cellStyle name="Escribir 2 3 19 3" xfId="634" xr:uid="{A00C2D33-1BCC-4F5F-921B-47B34B015231}"/>
    <cellStyle name="Escribir 2 3 19 4" xfId="1052" xr:uid="{DCFD62AC-6515-45DF-AD22-15C2DBBE7EB6}"/>
    <cellStyle name="Escribir 2 3 19 5" xfId="1465" xr:uid="{82D08649-C5CC-41A6-91D6-71A232439422}"/>
    <cellStyle name="Escribir 2 3 19 6" xfId="1875" xr:uid="{837BE19E-A138-44AA-A92C-5856CB657D60}"/>
    <cellStyle name="Escribir 2 3 19 7" xfId="2283" xr:uid="{E7C2FCD4-E901-4F32-B3C7-45F84E759CB5}"/>
    <cellStyle name="Escribir 2 3 2" xfId="45" xr:uid="{00000000-0005-0000-0000-00001E000000}"/>
    <cellStyle name="Escribir 2 3 2 2" xfId="242" xr:uid="{E7834B4D-259C-47C7-AFD4-49650C8E0F83}"/>
    <cellStyle name="Escribir 2 3 2 2 2" xfId="676" xr:uid="{31FE609E-44B6-4DB2-B00C-0B41198550DE}"/>
    <cellStyle name="Escribir 2 3 2 2 3" xfId="1093" xr:uid="{FC28CF1F-D991-43E3-A9FA-951DC583A24A}"/>
    <cellStyle name="Escribir 2 3 2 2 4" xfId="1506" xr:uid="{0DDD999A-0255-4657-BDFC-77407CE1C836}"/>
    <cellStyle name="Escribir 2 3 2 2 5" xfId="1916" xr:uid="{9CEA6495-8A55-41BE-A0E5-004C8E00E435}"/>
    <cellStyle name="Escribir 2 3 2 2 6" xfId="2324" xr:uid="{EC120A62-E464-4F2A-9EAC-A9996080D396}"/>
    <cellStyle name="Escribir 2 3 2 3" xfId="479" xr:uid="{7644770D-2F91-4790-8CFF-4885EB5A55CA}"/>
    <cellStyle name="Escribir 2 3 2 4" xfId="897" xr:uid="{AE2081E3-BE84-4078-ACC5-1B3CD1DBFAE9}"/>
    <cellStyle name="Escribir 2 3 2 5" xfId="1312" xr:uid="{7205F39C-7ECB-459A-98C4-E4F563FB64BC}"/>
    <cellStyle name="Escribir 2 3 2 6" xfId="1723" xr:uid="{A14B5FEB-390F-44FE-A98D-BA448CCDBFFB}"/>
    <cellStyle name="Escribir 2 3 2 7" xfId="2131" xr:uid="{8AA1D59B-38BD-4FB5-A12D-2767C848CDBB}"/>
    <cellStyle name="Escribir 2 3 20" xfId="212" xr:uid="{EE6994F2-4C67-42CF-B7D7-31CB5230F25F}"/>
    <cellStyle name="Escribir 2 3 20 2" xfId="409" xr:uid="{09621B6C-64D8-4843-AD92-DDB97B914515}"/>
    <cellStyle name="Escribir 2 3 20 2 2" xfId="843" xr:uid="{FCCD1B37-23ED-41D2-BA61-7D7E7128CC1C}"/>
    <cellStyle name="Escribir 2 3 20 2 3" xfId="1258" xr:uid="{8C70194E-B423-4C7F-BF9A-11F99C20BA24}"/>
    <cellStyle name="Escribir 2 3 20 2 4" xfId="1671" xr:uid="{0B54E2EB-8005-43EA-93B4-791C9B85261B}"/>
    <cellStyle name="Escribir 2 3 20 2 5" xfId="2081" xr:uid="{E6647EE7-8C4E-4A61-8800-792A49043658}"/>
    <cellStyle name="Escribir 2 3 20 2 6" xfId="2488" xr:uid="{E238DE7C-D178-4253-A9BD-DE96DC086313}"/>
    <cellStyle name="Escribir 2 3 20 3" xfId="646" xr:uid="{99978509-50E0-46F4-9F54-FB8B24BEE50E}"/>
    <cellStyle name="Escribir 2 3 20 4" xfId="1064" xr:uid="{23BA769B-8D60-4CA1-BD42-88E91F9A96E6}"/>
    <cellStyle name="Escribir 2 3 20 5" xfId="1477" xr:uid="{7BC79D4E-24D9-479D-9495-6ABFAC82B961}"/>
    <cellStyle name="Escribir 2 3 20 6" xfId="1887" xr:uid="{64FAFE16-B08A-4B76-B1F0-5DE4CDA4AEF1}"/>
    <cellStyle name="Escribir 2 3 20 7" xfId="2295" xr:uid="{FC80BB19-225D-4663-B252-65387EFB9AD1}"/>
    <cellStyle name="Escribir 2 3 21" xfId="228" xr:uid="{6CF8CB9B-8B3C-47A0-890E-132B38E85466}"/>
    <cellStyle name="Escribir 2 3 21 2" xfId="662" xr:uid="{AD1077BE-CEB8-4F76-A478-DE7170BAA270}"/>
    <cellStyle name="Escribir 2 3 21 3" xfId="1080" xr:uid="{FA70833B-7994-49D6-8F04-028B5EF213D7}"/>
    <cellStyle name="Escribir 2 3 21 4" xfId="1493" xr:uid="{DC70D21A-129D-49C4-8D8F-78C64C45C620}"/>
    <cellStyle name="Escribir 2 3 21 5" xfId="1903" xr:uid="{8CB9890E-041D-4972-989B-FC9364FA00AF}"/>
    <cellStyle name="Escribir 2 3 21 6" xfId="2311" xr:uid="{B018E579-A59D-4CA0-8726-1F00DAF777BD}"/>
    <cellStyle name="Escribir 2 3 22" xfId="425" xr:uid="{14B53BC0-2012-486C-9BC9-30764EFA3082}"/>
    <cellStyle name="Escribir 2 3 22 2" xfId="859" xr:uid="{8582D5FE-ADAD-4BF8-B563-34A11594D6F6}"/>
    <cellStyle name="Escribir 2 3 22 3" xfId="1274" xr:uid="{DF18259C-B43B-4088-9583-ED1E85937A47}"/>
    <cellStyle name="Escribir 2 3 22 4" xfId="1687" xr:uid="{C1F048BA-D27F-43B8-96EE-4839C0B7D58F}"/>
    <cellStyle name="Escribir 2 3 22 5" xfId="2097" xr:uid="{F09B2CB9-5F3C-4F6C-87E8-DD65ACD0D833}"/>
    <cellStyle name="Escribir 2 3 22 6" xfId="2504" xr:uid="{A37F9EE6-7F12-47AF-9D3D-99534F1A1C8C}"/>
    <cellStyle name="Escribir 2 3 23" xfId="440" xr:uid="{4666C1AA-BDB3-40FC-83D8-7E25E1312EEC}"/>
    <cellStyle name="Escribir 2 3 23 2" xfId="874" xr:uid="{CF89E1B5-18FE-414C-BEAA-5EAB44CB9123}"/>
    <cellStyle name="Escribir 2 3 23 3" xfId="1288" xr:uid="{A3008B24-6230-455F-9A01-885D759D4056}"/>
    <cellStyle name="Escribir 2 3 23 4" xfId="1702" xr:uid="{F401AF15-FFA3-4E84-8052-A6EE77129016}"/>
    <cellStyle name="Escribir 2 3 23 5" xfId="2112" xr:uid="{FFAF36E2-0FDB-4A72-B1D5-F95075F2CA66}"/>
    <cellStyle name="Escribir 2 3 23 6" xfId="2518" xr:uid="{B95EC9F1-BEFC-4D3F-961A-41C232C429BD}"/>
    <cellStyle name="Escribir 2 3 24" xfId="432" xr:uid="{BAD88F7D-A5D9-40D9-A998-56D60C0F95D3}"/>
    <cellStyle name="Escribir 2 3 24 2" xfId="866" xr:uid="{32168184-4CC8-4AF5-B6CC-C997116A1DC2}"/>
    <cellStyle name="Escribir 2 3 24 3" xfId="1280" xr:uid="{90A0E070-4365-4064-9060-6A3AC025735A}"/>
    <cellStyle name="Escribir 2 3 24 4" xfId="1694" xr:uid="{3F112DA3-B07D-472C-8BFD-B6F5926962D5}"/>
    <cellStyle name="Escribir 2 3 24 5" xfId="2104" xr:uid="{BAEA7E55-6FE8-4926-A01B-A23F26746ADC}"/>
    <cellStyle name="Escribir 2 3 24 6" xfId="2510" xr:uid="{2EFA23A7-4AA6-4640-A270-2BD0CE84F5F7}"/>
    <cellStyle name="Escribir 2 3 25" xfId="459" xr:uid="{89562535-7BA6-4330-BA02-2A1CA5C0F094}"/>
    <cellStyle name="Escribir 2 3 26" xfId="457" xr:uid="{D8AE2A45-67E1-4F0D-B51F-1D1A518A9AC6}"/>
    <cellStyle name="Escribir 2 3 27" xfId="886" xr:uid="{DAADF287-0270-476A-B4BD-14FA3A4BEC90}"/>
    <cellStyle name="Escribir 2 3 28" xfId="1691" xr:uid="{3451D17B-82C4-4BAF-844F-1F3F379CACDF}"/>
    <cellStyle name="Escribir 2 3 29" xfId="1299" xr:uid="{DC37D0A6-9E6C-41FF-95DD-3D77665D15D6}"/>
    <cellStyle name="Escribir 2 3 3" xfId="58" xr:uid="{00000000-0005-0000-0000-00001F000000}"/>
    <cellStyle name="Escribir 2 3 3 2" xfId="255" xr:uid="{B0C01C9E-0EA8-4B96-8E53-C1E3F3353803}"/>
    <cellStyle name="Escribir 2 3 3 2 2" xfId="689" xr:uid="{9BF36A4C-0C4E-4B0A-9FF5-B905E97E87E3}"/>
    <cellStyle name="Escribir 2 3 3 2 3" xfId="1106" xr:uid="{A181F809-93CD-408B-8D84-1AC55BDC6348}"/>
    <cellStyle name="Escribir 2 3 3 2 4" xfId="1518" xr:uid="{5DB85F5D-7C20-42C8-8F8E-117570755787}"/>
    <cellStyle name="Escribir 2 3 3 2 5" xfId="1929" xr:uid="{15E56C54-8AFF-4F76-B574-155164C5A5AF}"/>
    <cellStyle name="Escribir 2 3 3 2 6" xfId="2336" xr:uid="{E96E259A-4174-4A9B-8F5D-E240F1C7F5E1}"/>
    <cellStyle name="Escribir 2 3 3 3" xfId="492" xr:uid="{2C991DA9-432E-43CE-A686-A556256BDF87}"/>
    <cellStyle name="Escribir 2 3 3 4" xfId="910" xr:uid="{B1DF6FF7-733D-489A-8238-4620355CB782}"/>
    <cellStyle name="Escribir 2 3 3 5" xfId="1324" xr:uid="{087E7F01-ABD1-475E-A780-A589CE9ACB98}"/>
    <cellStyle name="Escribir 2 3 3 6" xfId="1735" xr:uid="{74C5658C-90EE-4028-A6CB-3C120E589A97}"/>
    <cellStyle name="Escribir 2 3 3 7" xfId="2143" xr:uid="{FE15B96C-B513-4DE2-9ECF-1CB74AB3E142}"/>
    <cellStyle name="Escribir 2 3 4" xfId="39" xr:uid="{00000000-0005-0000-0000-000020000000}"/>
    <cellStyle name="Escribir 2 3 4 2" xfId="236" xr:uid="{E65F3C62-8BC5-4B69-8D5C-8AFC8285C7CD}"/>
    <cellStyle name="Escribir 2 3 4 2 2" xfId="670" xr:uid="{2E29D9BA-09FC-4239-B022-E9F06ADF5AA6}"/>
    <cellStyle name="Escribir 2 3 4 2 3" xfId="1087" xr:uid="{454D8729-AEEA-49CD-A70F-A1A24C318FC4}"/>
    <cellStyle name="Escribir 2 3 4 2 4" xfId="1500" xr:uid="{8CBC861C-E693-43D5-B438-15FCAB0469A8}"/>
    <cellStyle name="Escribir 2 3 4 2 5" xfId="1910" xr:uid="{55B4B96D-C63B-4373-92AE-680F1F910B85}"/>
    <cellStyle name="Escribir 2 3 4 2 6" xfId="2318" xr:uid="{3EC139A5-0C28-4F01-AA50-4A24C8D4A3B3}"/>
    <cellStyle name="Escribir 2 3 4 3" xfId="473" xr:uid="{AD89ED18-04E0-4002-879A-44D880CF43D4}"/>
    <cellStyle name="Escribir 2 3 4 4" xfId="891" xr:uid="{3BB3661C-D224-494F-ABDC-FAD1B0453EFF}"/>
    <cellStyle name="Escribir 2 3 4 5" xfId="1306" xr:uid="{BFD5922A-292D-470A-A334-C89E05C44658}"/>
    <cellStyle name="Escribir 2 3 4 6" xfId="1717" xr:uid="{DD49E0DA-0E78-425B-915C-7B17394D42D6}"/>
    <cellStyle name="Escribir 2 3 4 7" xfId="2125" xr:uid="{2DC62DFE-C40C-4ED5-B900-4CE69E5AA663}"/>
    <cellStyle name="Escribir 2 3 5" xfId="71" xr:uid="{00000000-0005-0000-0000-000021000000}"/>
    <cellStyle name="Escribir 2 3 5 2" xfId="268" xr:uid="{559E77B2-9AE9-4A41-93CD-25CF706B66B9}"/>
    <cellStyle name="Escribir 2 3 5 2 2" xfId="702" xr:uid="{995851A9-7496-4CA0-9761-67B9423B6AC9}"/>
    <cellStyle name="Escribir 2 3 5 2 3" xfId="1119" xr:uid="{D3CE6DB8-829C-4825-A6A7-09B6365A057B}"/>
    <cellStyle name="Escribir 2 3 5 2 4" xfId="1531" xr:uid="{C2DC1B22-10FE-4CA3-B94F-5ACE3545C3D2}"/>
    <cellStyle name="Escribir 2 3 5 2 5" xfId="1942" xr:uid="{37CF5CFE-F436-4D13-90DB-297EB144AB90}"/>
    <cellStyle name="Escribir 2 3 5 2 6" xfId="2349" xr:uid="{4195F0FA-12BF-4C56-8008-4900CC0E9041}"/>
    <cellStyle name="Escribir 2 3 5 3" xfId="505" xr:uid="{B0CE0B75-BA42-49AF-8AD8-3E55BEB6B615}"/>
    <cellStyle name="Escribir 2 3 5 4" xfId="923" xr:uid="{38FE4A18-0DC6-430B-8E28-EDD4D82BE188}"/>
    <cellStyle name="Escribir 2 3 5 5" xfId="1337" xr:uid="{79869905-2B76-4A87-A43C-BF7A5E770719}"/>
    <cellStyle name="Escribir 2 3 5 6" xfId="1748" xr:uid="{CD7963AD-91D8-44DA-A0BE-42B4785E062A}"/>
    <cellStyle name="Escribir 2 3 5 7" xfId="2156" xr:uid="{E7D02DF4-C74F-4471-B33D-4F730A29AF69}"/>
    <cellStyle name="Escribir 2 3 6" xfId="77" xr:uid="{00000000-0005-0000-0000-000022000000}"/>
    <cellStyle name="Escribir 2 3 6 2" xfId="274" xr:uid="{26A9CDCA-61B7-4FB8-91F3-0F9B540C2474}"/>
    <cellStyle name="Escribir 2 3 6 2 2" xfId="708" xr:uid="{3AA04C9E-6FD9-494F-A2FB-25B9111CFEA3}"/>
    <cellStyle name="Escribir 2 3 6 2 3" xfId="1125" xr:uid="{359B66DF-A9F9-4C2E-B16F-635872DBE3CE}"/>
    <cellStyle name="Escribir 2 3 6 2 4" xfId="1537" xr:uid="{707AC83B-5B6C-4DD3-93B5-ADA4C601D230}"/>
    <cellStyle name="Escribir 2 3 6 2 5" xfId="1948" xr:uid="{F029B5BA-CE82-4BD1-A8E8-E347535CA697}"/>
    <cellStyle name="Escribir 2 3 6 2 6" xfId="2355" xr:uid="{66C3E511-7F93-49A9-ADDC-C0AE61471285}"/>
    <cellStyle name="Escribir 2 3 6 3" xfId="511" xr:uid="{46361094-6D27-47BD-9ECB-D2C0E50A3BF7}"/>
    <cellStyle name="Escribir 2 3 6 4" xfId="929" xr:uid="{AD8C9D4D-78B8-448A-884E-2B75E11EBC56}"/>
    <cellStyle name="Escribir 2 3 6 5" xfId="1343" xr:uid="{B52520C7-3B6E-4881-B280-6D7B4981B9E4}"/>
    <cellStyle name="Escribir 2 3 6 6" xfId="1754" xr:uid="{9FED6F7F-C1A7-4832-A9E9-2402B76BE982}"/>
    <cellStyle name="Escribir 2 3 6 7" xfId="2162" xr:uid="{9AF334D0-2C20-4FB1-A173-A14B46940F9C}"/>
    <cellStyle name="Escribir 2 3 7" xfId="93" xr:uid="{00000000-0005-0000-0000-000023000000}"/>
    <cellStyle name="Escribir 2 3 7 2" xfId="290" xr:uid="{E27254C4-EBAD-47E6-9123-3268238296C9}"/>
    <cellStyle name="Escribir 2 3 7 2 2" xfId="724" xr:uid="{89462585-18AD-4BB8-997B-F684F88DCA70}"/>
    <cellStyle name="Escribir 2 3 7 2 3" xfId="1140" xr:uid="{6AC04D6F-34D7-4949-8B65-03B54E036816}"/>
    <cellStyle name="Escribir 2 3 7 2 4" xfId="1553" xr:uid="{46138116-F16B-47C7-8049-7F7C59DD46E8}"/>
    <cellStyle name="Escribir 2 3 7 2 5" xfId="1963" xr:uid="{1F576717-81DD-4561-8797-EB8A3FB3558A}"/>
    <cellStyle name="Escribir 2 3 7 2 6" xfId="2370" xr:uid="{E7111BCD-7BB3-4CB1-B4D6-A613A41C1715}"/>
    <cellStyle name="Escribir 2 3 7 3" xfId="527" xr:uid="{CAC15521-F2B9-4F2A-9645-9D73E3E8D972}"/>
    <cellStyle name="Escribir 2 3 7 4" xfId="945" xr:uid="{4B095992-38A9-4CC7-893C-12CE3B656C76}"/>
    <cellStyle name="Escribir 2 3 7 5" xfId="1358" xr:uid="{64AE9262-2465-41D1-A198-D29A2F4A3455}"/>
    <cellStyle name="Escribir 2 3 7 6" xfId="1769" xr:uid="{990375E0-66BF-4F4C-8AC6-582FE2049C11}"/>
    <cellStyle name="Escribir 2 3 7 7" xfId="2177" xr:uid="{06BE4F60-175D-42A1-A59D-250DD02D009E}"/>
    <cellStyle name="Escribir 2 3 8" xfId="86" xr:uid="{00000000-0005-0000-0000-000024000000}"/>
    <cellStyle name="Escribir 2 3 8 2" xfId="283" xr:uid="{C9246F2E-3EB0-42BE-B907-1201E4DE041B}"/>
    <cellStyle name="Escribir 2 3 8 2 2" xfId="717" xr:uid="{BAE69DF5-98E8-48F1-8D11-6CAF971B9E1B}"/>
    <cellStyle name="Escribir 2 3 8 2 3" xfId="1133" xr:uid="{92E89978-5D41-4FFC-8A35-D997D9618045}"/>
    <cellStyle name="Escribir 2 3 8 2 4" xfId="1546" xr:uid="{5ACC255B-15B7-4291-9F17-F0866B07080C}"/>
    <cellStyle name="Escribir 2 3 8 2 5" xfId="1956" xr:uid="{8ECFC61F-5871-4C11-B917-9AE7B0EDF8C5}"/>
    <cellStyle name="Escribir 2 3 8 2 6" xfId="2363" xr:uid="{9ABA730F-7787-4C6F-840E-DA3A00A7E479}"/>
    <cellStyle name="Escribir 2 3 8 3" xfId="520" xr:uid="{5FA96DAA-0A06-42F2-B169-2687B762E1E6}"/>
    <cellStyle name="Escribir 2 3 8 4" xfId="938" xr:uid="{33EDB723-A794-44A0-8507-A7EB2CEB1B86}"/>
    <cellStyle name="Escribir 2 3 8 5" xfId="1351" xr:uid="{E21FCE25-2A00-4F71-A181-6297AF2F8F6B}"/>
    <cellStyle name="Escribir 2 3 8 6" xfId="1762" xr:uid="{DCBC11F1-D772-4573-A320-17F583218C15}"/>
    <cellStyle name="Escribir 2 3 8 7" xfId="2170" xr:uid="{636A0A8F-CB9D-4B54-86C4-7F1E649768D8}"/>
    <cellStyle name="Escribir 2 3 9" xfId="106" xr:uid="{00000000-0005-0000-0000-000025000000}"/>
    <cellStyle name="Escribir 2 3 9 2" xfId="303" xr:uid="{573B6F6C-7E82-46EC-A0FF-C1A7AB4B1F9C}"/>
    <cellStyle name="Escribir 2 3 9 2 2" xfId="737" xr:uid="{566F2ACA-5F92-4B4A-B9F9-F9599E4F3245}"/>
    <cellStyle name="Escribir 2 3 9 2 3" xfId="1153" xr:uid="{E4854536-84CD-49A6-BD23-AD02A8138ADE}"/>
    <cellStyle name="Escribir 2 3 9 2 4" xfId="1566" xr:uid="{8EBFBAFB-A9A3-4534-91E8-ED00128B1AD8}"/>
    <cellStyle name="Escribir 2 3 9 2 5" xfId="1976" xr:uid="{A504F88C-149F-4E18-BD2C-13A735641A2D}"/>
    <cellStyle name="Escribir 2 3 9 2 6" xfId="2383" xr:uid="{5D6095B8-137B-4202-AC92-461866190DA0}"/>
    <cellStyle name="Escribir 2 3 9 3" xfId="540" xr:uid="{552A78EC-E800-4D1F-ACC6-A6A11CDA0BC4}"/>
    <cellStyle name="Escribir 2 3 9 4" xfId="958" xr:uid="{040E91B5-2123-4345-95E1-7DDD1B782919}"/>
    <cellStyle name="Escribir 2 3 9 5" xfId="1371" xr:uid="{133CA00C-43C2-46E5-A054-7569695CC020}"/>
    <cellStyle name="Escribir 2 3 9 6" xfId="1782" xr:uid="{74FE6799-3280-4671-B62F-E877E4BB7AF7}"/>
    <cellStyle name="Escribir 2 3 9 7" xfId="2190" xr:uid="{2BCACF0B-2D72-46FF-B68B-7F47A1BBDFCD}"/>
    <cellStyle name="Escribir 2 30" xfId="903" xr:uid="{4601DE38-A91A-40F3-BE63-2EA598A0B5FF}"/>
    <cellStyle name="Escribir 2 4" xfId="43" xr:uid="{00000000-0005-0000-0000-000026000000}"/>
    <cellStyle name="Escribir 2 4 2" xfId="240" xr:uid="{A4708ACB-78CE-498B-A475-C47A03AE0844}"/>
    <cellStyle name="Escribir 2 4 2 2" xfId="674" xr:uid="{9B9EEE84-B0FF-4C84-B35B-8FFF26A25BC3}"/>
    <cellStyle name="Escribir 2 4 2 3" xfId="1091" xr:uid="{986B6A46-E645-4DAB-BDD9-7543554424F7}"/>
    <cellStyle name="Escribir 2 4 2 4" xfId="1504" xr:uid="{2E3E24BA-A902-4B75-871D-FA5F5253E574}"/>
    <cellStyle name="Escribir 2 4 2 5" xfId="1914" xr:uid="{10D1D2CF-FF82-4D25-8161-7C446B0C8377}"/>
    <cellStyle name="Escribir 2 4 2 6" xfId="2322" xr:uid="{1018E7E3-2DD9-445D-99AF-7837CC5A9780}"/>
    <cellStyle name="Escribir 2 4 3" xfId="477" xr:uid="{C087CE4F-4C30-4779-9596-37EA87EB29BC}"/>
    <cellStyle name="Escribir 2 4 4" xfId="895" xr:uid="{3F963EED-0D9B-461D-B717-564C30A94A1D}"/>
    <cellStyle name="Escribir 2 4 5" xfId="1310" xr:uid="{8CA128FA-F16A-458A-AC7D-8191C2932557}"/>
    <cellStyle name="Escribir 2 4 6" xfId="1721" xr:uid="{8B24403E-0A85-44F1-90EC-B4F37BF726A4}"/>
    <cellStyle name="Escribir 2 4 7" xfId="2129" xr:uid="{F43D587D-89A0-48D7-87A4-4757F7A6AC81}"/>
    <cellStyle name="Escribir 2 5" xfId="55" xr:uid="{00000000-0005-0000-0000-000027000000}"/>
    <cellStyle name="Escribir 2 5 2" xfId="252" xr:uid="{29A555E8-AF7B-42DC-8379-4666F38721C6}"/>
    <cellStyle name="Escribir 2 5 2 2" xfId="686" xr:uid="{7B6CF69D-90A9-451C-92DC-04C4D0FAB1A3}"/>
    <cellStyle name="Escribir 2 5 2 3" xfId="1103" xr:uid="{EAE0DC06-7BFC-40D6-B5A1-78A7606E4B3A}"/>
    <cellStyle name="Escribir 2 5 2 4" xfId="1515" xr:uid="{72D3F757-13E9-4DD5-A579-267A88C5A1E3}"/>
    <cellStyle name="Escribir 2 5 2 5" xfId="1926" xr:uid="{3707D0ED-52B5-4DCF-89DF-DF65A04840E2}"/>
    <cellStyle name="Escribir 2 5 2 6" xfId="2333" xr:uid="{DE8B0476-A31F-44B2-BA79-BF74E745DDE0}"/>
    <cellStyle name="Escribir 2 5 3" xfId="489" xr:uid="{8EF792BF-8CB4-4E74-BE63-C34962A83383}"/>
    <cellStyle name="Escribir 2 5 4" xfId="907" xr:uid="{CF00AF6E-AB06-4DCE-B4AE-56730235D3ED}"/>
    <cellStyle name="Escribir 2 5 5" xfId="1321" xr:uid="{D61F57A8-B794-48C4-A845-3EC87FFB4949}"/>
    <cellStyle name="Escribir 2 5 6" xfId="1732" xr:uid="{9466E3E7-345E-4880-831B-18D8792FA96F}"/>
    <cellStyle name="Escribir 2 5 7" xfId="2140" xr:uid="{E6E61DE5-42B1-45E4-93BF-E70DA7A57D86}"/>
    <cellStyle name="Escribir 2 6" xfId="38" xr:uid="{00000000-0005-0000-0000-000028000000}"/>
    <cellStyle name="Escribir 2 6 2" xfId="235" xr:uid="{614F926C-8B24-4901-AB78-315364E78AB6}"/>
    <cellStyle name="Escribir 2 6 2 2" xfId="669" xr:uid="{59297AD3-028A-4D7A-B0A7-A6284F31FF18}"/>
    <cellStyle name="Escribir 2 6 2 3" xfId="1086" xr:uid="{AA10215B-38B5-433E-97D5-C9CCC9AA733A}"/>
    <cellStyle name="Escribir 2 6 2 4" xfId="1499" xr:uid="{8FA23BDE-2106-4077-9B1A-72684210177F}"/>
    <cellStyle name="Escribir 2 6 2 5" xfId="1909" xr:uid="{8C4131C3-C0A5-4BA1-B5FE-3664A7C9C197}"/>
    <cellStyle name="Escribir 2 6 2 6" xfId="2317" xr:uid="{3F60BDBA-EEA3-44A8-A7FB-7621784337B2}"/>
    <cellStyle name="Escribir 2 6 3" xfId="472" xr:uid="{C0BC8BF7-8862-47F3-A81E-EFCC45D16094}"/>
    <cellStyle name="Escribir 2 6 4" xfId="890" xr:uid="{45985124-CF6C-42E9-8646-39CC47C4F23D}"/>
    <cellStyle name="Escribir 2 6 5" xfId="1305" xr:uid="{2188F745-F005-4A2F-9D27-E38A3A8178BF}"/>
    <cellStyle name="Escribir 2 6 6" xfId="1716" xr:uid="{C3102F1E-5CF9-433D-9988-CA1B1A9575CF}"/>
    <cellStyle name="Escribir 2 6 7" xfId="2124" xr:uid="{E4D6FE50-F6C9-4FF0-8E99-55C45E9A8936}"/>
    <cellStyle name="Escribir 2 7" xfId="63" xr:uid="{00000000-0005-0000-0000-000029000000}"/>
    <cellStyle name="Escribir 2 7 2" xfId="260" xr:uid="{4A9FCECB-6A1B-4FA1-90D5-DA9D1CFCCC94}"/>
    <cellStyle name="Escribir 2 7 2 2" xfId="694" xr:uid="{1D581224-E39A-4687-9EF7-ACB2681002D7}"/>
    <cellStyle name="Escribir 2 7 2 3" xfId="1111" xr:uid="{0376C330-E611-4816-964E-15AEF1EEE713}"/>
    <cellStyle name="Escribir 2 7 2 4" xfId="1523" xr:uid="{F872E208-8211-44ED-9B41-08584FFDAD00}"/>
    <cellStyle name="Escribir 2 7 2 5" xfId="1934" xr:uid="{D29D905E-5AD8-444F-B960-897FD0BD4435}"/>
    <cellStyle name="Escribir 2 7 2 6" xfId="2341" xr:uid="{0B9D58E0-5DD3-4086-96CA-D28DB857D091}"/>
    <cellStyle name="Escribir 2 7 3" xfId="497" xr:uid="{6CFBA609-7B9E-46C5-A853-C206435757A3}"/>
    <cellStyle name="Escribir 2 7 4" xfId="915" xr:uid="{3A87472E-A517-43E6-9E1B-8EC0DAEC7233}"/>
    <cellStyle name="Escribir 2 7 5" xfId="1329" xr:uid="{A0C63CEF-DE91-46E0-8D74-877F87C690F2}"/>
    <cellStyle name="Escribir 2 7 6" xfId="1740" xr:uid="{6BDF5CCC-019D-410C-8442-3FCCA93B9BD0}"/>
    <cellStyle name="Escribir 2 7 7" xfId="2148" xr:uid="{89414238-E27E-4D08-AD72-610ABBA27DFA}"/>
    <cellStyle name="Escribir 2 8" xfId="75" xr:uid="{00000000-0005-0000-0000-00002A000000}"/>
    <cellStyle name="Escribir 2 8 2" xfId="272" xr:uid="{16244151-C15F-4B0D-9171-A4FF87350472}"/>
    <cellStyle name="Escribir 2 8 2 2" xfId="706" xr:uid="{B5456082-0960-499F-B281-A4D563009A06}"/>
    <cellStyle name="Escribir 2 8 2 3" xfId="1123" xr:uid="{18983991-D522-4845-BAFB-35A136F8D1A6}"/>
    <cellStyle name="Escribir 2 8 2 4" xfId="1535" xr:uid="{AA9AF48B-7D35-4E2A-9BDC-A0F129A49609}"/>
    <cellStyle name="Escribir 2 8 2 5" xfId="1946" xr:uid="{F69E53A6-4D4A-402E-8790-B519DE89A67F}"/>
    <cellStyle name="Escribir 2 8 2 6" xfId="2353" xr:uid="{B146AEC1-9819-4221-B5A6-F7D8E7C4B6BC}"/>
    <cellStyle name="Escribir 2 8 3" xfId="509" xr:uid="{13225321-D8C4-4A3B-BA80-7337A7266AAC}"/>
    <cellStyle name="Escribir 2 8 4" xfId="927" xr:uid="{0B5933D7-7D53-4E83-8CDF-7BA92CCB66E5}"/>
    <cellStyle name="Escribir 2 8 5" xfId="1341" xr:uid="{AAC0F02A-65B4-40D9-ADF6-C1EB9F6CA277}"/>
    <cellStyle name="Escribir 2 8 6" xfId="1752" xr:uid="{43EF5DEB-D80B-4BE3-9960-1C5FB30C9832}"/>
    <cellStyle name="Escribir 2 8 7" xfId="2160" xr:uid="{6B27501C-747F-4DB6-A8E8-02B71E805C78}"/>
    <cellStyle name="Escribir 2 9" xfId="91" xr:uid="{00000000-0005-0000-0000-00002B000000}"/>
    <cellStyle name="Escribir 2 9 2" xfId="288" xr:uid="{99EE0127-73F5-4F6A-8351-04E5E32C99A4}"/>
    <cellStyle name="Escribir 2 9 2 2" xfId="722" xr:uid="{6F23C0A9-DD4B-4327-AD9A-F531645479B8}"/>
    <cellStyle name="Escribir 2 9 2 3" xfId="1138" xr:uid="{9F186F10-4C0C-4D68-ACD6-B64429E0C350}"/>
    <cellStyle name="Escribir 2 9 2 4" xfId="1551" xr:uid="{FCAC8E10-2243-4B68-83B3-722ABAE59A9C}"/>
    <cellStyle name="Escribir 2 9 2 5" xfId="1961" xr:uid="{9FAB1356-DC91-4816-8020-B3B993CCD2E2}"/>
    <cellStyle name="Escribir 2 9 2 6" xfId="2368" xr:uid="{3909B2DE-56D5-4BE5-93A4-F1B04E16DFD8}"/>
    <cellStyle name="Escribir 2 9 3" xfId="525" xr:uid="{F95C60DF-E10F-45F3-A36B-EC0825693457}"/>
    <cellStyle name="Escribir 2 9 4" xfId="943" xr:uid="{C242F458-2351-4E5A-96F1-80F4AEFD6292}"/>
    <cellStyle name="Escribir 2 9 5" xfId="1356" xr:uid="{C33DAB1D-5991-4530-90F8-2DFD34ADBD1A}"/>
    <cellStyle name="Escribir 2 9 6" xfId="1767" xr:uid="{48F736A1-B352-48C4-B73F-CFCFC6EB6B98}"/>
    <cellStyle name="Escribir 2 9 7" xfId="2175" xr:uid="{09CFAB34-0455-4FD1-8E24-39C36D8CDBA2}"/>
    <cellStyle name="Hipervínculo" xfId="19" builtinId="8" hidden="1"/>
    <cellStyle name="Hipervínculo visitado" xfId="20" builtinId="9" hidden="1"/>
    <cellStyle name="Millares [0]" xfId="30" builtinId="6"/>
    <cellStyle name="Millares [0] 2" xfId="1" xr:uid="{00000000-0005-0000-0000-00002F000000}"/>
    <cellStyle name="Millares [0] 2 2" xfId="2" xr:uid="{00000000-0005-0000-0000-000030000000}"/>
    <cellStyle name="Millares [0] 3" xfId="36" xr:uid="{00000000-0005-0000-0000-000031000000}"/>
    <cellStyle name="Millares [0] 3 2 2" xfId="3" xr:uid="{00000000-0005-0000-0000-000032000000}"/>
    <cellStyle name="Millares [0] 3 2 2 2" xfId="13" xr:uid="{00000000-0005-0000-0000-000033000000}"/>
    <cellStyle name="Millares [0] 4" xfId="51" xr:uid="{00000000-0005-0000-0000-000034000000}"/>
    <cellStyle name="Millares [0] 4 2" xfId="166" xr:uid="{306284BB-30A7-458A-83AD-10DA7CDACCE1}"/>
    <cellStyle name="Millares [0] 4 2 2" xfId="363" xr:uid="{9E8147D0-CB62-45DC-B3DA-A6F7C9164316}"/>
    <cellStyle name="Millares [0] 4 2 2 2" xfId="797" xr:uid="{B9565B60-E8D2-4518-BD54-9F46157629E1}"/>
    <cellStyle name="Millares [0] 4 2 3" xfId="600" xr:uid="{0580948A-9775-4706-AA04-7B49B690E5DA}"/>
    <cellStyle name="Millares [0] 4 3" xfId="248" xr:uid="{D8F0E587-CB19-4749-A270-FF33F430AA52}"/>
    <cellStyle name="Millares [0] 4 3 2" xfId="682" xr:uid="{BE2FABD1-AAF0-4DFB-BC23-650E84ED6B19}"/>
    <cellStyle name="Millares [0] 4 4" xfId="485" xr:uid="{566E6332-6F56-477C-9C52-677DFA759ACA}"/>
    <cellStyle name="Millares [0] 5" xfId="81" xr:uid="{00000000-0005-0000-0000-000035000000}"/>
    <cellStyle name="Millares [0] 5 2" xfId="278" xr:uid="{B8542C25-0673-4AA8-83C9-990A08BF3223}"/>
    <cellStyle name="Millares [0] 5 2 2" xfId="712" xr:uid="{60FF9639-4948-4EA6-ACCD-3B90CF7B37C4}"/>
    <cellStyle name="Millares [0] 5 3" xfId="515" xr:uid="{1C6B72DE-366D-4234-8611-5CC2319B3482}"/>
    <cellStyle name="Millares [0] 6" xfId="232" xr:uid="{AF70C630-A9E5-4EB7-87BD-44DE7AF322F4}"/>
    <cellStyle name="Millares [0] 6 2" xfId="666" xr:uid="{62F35D37-A2BB-419A-97FD-80DDB7E44F04}"/>
    <cellStyle name="Millares [0] 7" xfId="429" xr:uid="{958F6C68-8BBA-4F44-932A-CBB2109C1F0F}"/>
    <cellStyle name="Millares [0] 7 2" xfId="863" xr:uid="{CEF784C7-9B7D-4EC0-8AA9-4EB4F7A46E2A}"/>
    <cellStyle name="Millares [0] 8" xfId="466" xr:uid="{15E1D3B2-6339-4DAC-8705-71F9D6756129}"/>
    <cellStyle name="Millares 10 3" xfId="4" xr:uid="{00000000-0005-0000-0000-000036000000}"/>
    <cellStyle name="Millares 2" xfId="5" xr:uid="{00000000-0005-0000-0000-000037000000}"/>
    <cellStyle name="Millares 2 2" xfId="34" xr:uid="{00000000-0005-0000-0000-000038000000}"/>
    <cellStyle name="Normal" xfId="0" builtinId="0"/>
    <cellStyle name="Normal 2" xfId="6" xr:uid="{00000000-0005-0000-0000-00003A000000}"/>
    <cellStyle name="Normal 2 2" xfId="7" xr:uid="{00000000-0005-0000-0000-00003B000000}"/>
    <cellStyle name="Normal 3" xfId="449" xr:uid="{3D3D14F2-C8F7-4429-813D-26A313651531}"/>
    <cellStyle name="Normal 6" xfId="8" xr:uid="{00000000-0005-0000-0000-00003C000000}"/>
    <cellStyle name="Normal_nombre" xfId="10" xr:uid="{00000000-0005-0000-0000-00003D000000}"/>
    <cellStyle name="Normal_REM 02-2002" xfId="23" xr:uid="{00000000-0005-0000-0000-00003E000000}"/>
    <cellStyle name="Normal_REM 04-2002" xfId="25" xr:uid="{00000000-0005-0000-0000-00003F000000}"/>
    <cellStyle name="Normal_REM 05-2002" xfId="24" xr:uid="{00000000-0005-0000-0000-000040000000}"/>
    <cellStyle name="Normal_REM 09-2002" xfId="33" xr:uid="{00000000-0005-0000-0000-000041000000}"/>
    <cellStyle name="Normal_REM 17-2002" xfId="17" xr:uid="{00000000-0005-0000-0000-000042000000}"/>
    <cellStyle name="Normal_REM 18A-2002" xfId="27" xr:uid="{00000000-0005-0000-0000-000043000000}"/>
    <cellStyle name="Normal_REM 21-2002" xfId="28" xr:uid="{00000000-0005-0000-0000-000044000000}"/>
    <cellStyle name="Normal_RMC-MUNI" xfId="32" xr:uid="{00000000-0005-0000-0000-000045000000}"/>
    <cellStyle name="Notas 2" xfId="9" xr:uid="{00000000-0005-0000-0000-000046000000}"/>
    <cellStyle name="Notas 2 10" xfId="84" xr:uid="{00000000-0005-0000-0000-000047000000}"/>
    <cellStyle name="Notas 2 10 2" xfId="281" xr:uid="{55F58605-D71B-4D0D-B447-B9A7C1F04F9E}"/>
    <cellStyle name="Notas 2 10 2 2" xfId="715" xr:uid="{E8022804-20CF-46F5-85C6-BE037B7AE4D4}"/>
    <cellStyle name="Notas 2 10 2 3" xfId="1131" xr:uid="{72DF1A11-3419-4E36-BA8A-6C7C359BA3BA}"/>
    <cellStyle name="Notas 2 10 2 4" xfId="1544" xr:uid="{C33C1BD5-B7F7-4F9C-B97F-BB265E9A89C2}"/>
    <cellStyle name="Notas 2 10 2 5" xfId="1954" xr:uid="{A05D8D25-2500-4BAB-8FE2-7F06BF7023DB}"/>
    <cellStyle name="Notas 2 10 2 6" xfId="2361" xr:uid="{23E8A14F-C116-473C-897B-B752A9B28441}"/>
    <cellStyle name="Notas 2 10 3" xfId="518" xr:uid="{B09B643D-0AC5-431E-B915-AD408E82C810}"/>
    <cellStyle name="Notas 2 10 4" xfId="936" xr:uid="{71D7620E-2FE9-46FD-8718-37D246A43D65}"/>
    <cellStyle name="Notas 2 10 5" xfId="1349" xr:uid="{F3FC9A80-1BD4-49AB-B108-F9C597B79E07}"/>
    <cellStyle name="Notas 2 10 6" xfId="1760" xr:uid="{946FD175-7A34-45F3-BB73-6C01A002E492}"/>
    <cellStyle name="Notas 2 10 7" xfId="2168" xr:uid="{00A3AEDC-B5E6-4D4D-B40C-A1C3ED0D68AD}"/>
    <cellStyle name="Notas 2 11" xfId="97" xr:uid="{00000000-0005-0000-0000-000048000000}"/>
    <cellStyle name="Notas 2 11 2" xfId="294" xr:uid="{B8DE554E-AD12-482B-903A-6CB852EB3812}"/>
    <cellStyle name="Notas 2 11 2 2" xfId="728" xr:uid="{1A8BB024-CD2D-4965-B90F-9FCD08445D88}"/>
    <cellStyle name="Notas 2 11 2 3" xfId="1144" xr:uid="{31CBDC2F-BF95-4E9E-A213-4182D29F2C47}"/>
    <cellStyle name="Notas 2 11 2 4" xfId="1557" xr:uid="{B789D1C3-C341-45F8-ADD5-4F8E9D0A2AB1}"/>
    <cellStyle name="Notas 2 11 2 5" xfId="1967" xr:uid="{FBFFBE7C-A654-471A-9A0E-A3DC6DF132C4}"/>
    <cellStyle name="Notas 2 11 2 6" xfId="2374" xr:uid="{D0669625-485F-4439-ABD1-528D04F17922}"/>
    <cellStyle name="Notas 2 11 3" xfId="531" xr:uid="{5CE58CB5-12BB-4A49-8239-30C43038D4F5}"/>
    <cellStyle name="Notas 2 11 4" xfId="949" xr:uid="{69916BA1-91E5-4A07-8B5C-8A8C7526112E}"/>
    <cellStyle name="Notas 2 11 5" xfId="1362" xr:uid="{FC768B44-1914-4699-BB3B-6D038EE85086}"/>
    <cellStyle name="Notas 2 11 6" xfId="1773" xr:uid="{766FB3B2-38F2-49EF-A250-FD7543FC633A}"/>
    <cellStyle name="Notas 2 11 7" xfId="2181" xr:uid="{E73CA4B0-C9CF-49A4-8E55-A082BE8C6FE6}"/>
    <cellStyle name="Notas 2 12" xfId="118" xr:uid="{00000000-0005-0000-0000-000049000000}"/>
    <cellStyle name="Notas 2 12 2" xfId="315" xr:uid="{AA2204F0-9FFA-4ED6-B54A-006B784BCBD7}"/>
    <cellStyle name="Notas 2 12 2 2" xfId="749" xr:uid="{977E6262-14A1-49BE-9D3E-E8E0A23CC929}"/>
    <cellStyle name="Notas 2 12 2 3" xfId="1165" xr:uid="{A3CC56D3-0330-4FB9-B9CB-27B9F2E4E340}"/>
    <cellStyle name="Notas 2 12 2 4" xfId="1578" xr:uid="{2D0798C6-AD21-478F-B42D-B5F3AEEB1EE0}"/>
    <cellStyle name="Notas 2 12 2 5" xfId="1988" xr:uid="{912FE52A-2C81-49D2-AE6D-FE12CBFE5F11}"/>
    <cellStyle name="Notas 2 12 2 6" xfId="2395" xr:uid="{852969D0-91BE-45F4-B144-E3B642CF434D}"/>
    <cellStyle name="Notas 2 12 3" xfId="552" xr:uid="{668AB710-0611-4922-A908-49BC5640D916}"/>
    <cellStyle name="Notas 2 12 4" xfId="970" xr:uid="{64037C71-1651-426A-BE11-AF36CA5512D9}"/>
    <cellStyle name="Notas 2 12 5" xfId="1383" xr:uid="{90D57FD6-20B8-4204-A03D-3F1A69D3A7E7}"/>
    <cellStyle name="Notas 2 12 6" xfId="1794" xr:uid="{713FC4AA-CB03-4FD7-8B54-7B667F021BA1}"/>
    <cellStyle name="Notas 2 12 7" xfId="2202" xr:uid="{22425B6C-BB18-47A6-BE0C-172AEA0A02BC}"/>
    <cellStyle name="Notas 2 13" xfId="128" xr:uid="{00000000-0005-0000-0000-00004A000000}"/>
    <cellStyle name="Notas 2 13 2" xfId="325" xr:uid="{5DA66067-008A-44B1-8FA6-0130E8EEFEE0}"/>
    <cellStyle name="Notas 2 13 2 2" xfId="759" xr:uid="{37C4E85A-9E99-4728-8511-E2C84DA20C2F}"/>
    <cellStyle name="Notas 2 13 2 3" xfId="1175" xr:uid="{AEDFC8D5-50A1-41ED-8F86-604B86580422}"/>
    <cellStyle name="Notas 2 13 2 4" xfId="1588" xr:uid="{C6CFD3CC-888B-4F02-9CF7-52F9F61C505E}"/>
    <cellStyle name="Notas 2 13 2 5" xfId="1998" xr:uid="{82A6BCA1-8C02-4A8D-8BA6-604DA094A094}"/>
    <cellStyle name="Notas 2 13 2 6" xfId="2405" xr:uid="{1C3743A6-DAFE-4BCA-8ACF-67D2C4AF6AA7}"/>
    <cellStyle name="Notas 2 13 3" xfId="562" xr:uid="{7A68F711-B14B-44BE-A424-37D593ADC647}"/>
    <cellStyle name="Notas 2 13 4" xfId="980" xr:uid="{A6A1BF3F-1F24-4D70-811D-52E365AE32DD}"/>
    <cellStyle name="Notas 2 13 5" xfId="1393" xr:uid="{0E818319-441D-4E3B-BD69-9C8F1EA85CF2}"/>
    <cellStyle name="Notas 2 13 6" xfId="1804" xr:uid="{40CD8A4E-1906-4021-8798-20B115151B1E}"/>
    <cellStyle name="Notas 2 13 7" xfId="2212" xr:uid="{F490794E-5084-4698-84A8-5C4D307A9C07}"/>
    <cellStyle name="Notas 2 14" xfId="117" xr:uid="{00000000-0005-0000-0000-00004B000000}"/>
    <cellStyle name="Notas 2 14 2" xfId="314" xr:uid="{431713E0-E040-4C87-A3B1-6B32E9D33C80}"/>
    <cellStyle name="Notas 2 14 2 2" xfId="748" xr:uid="{53F87AB5-6B8D-4AFC-82E4-FBF5FE1FE566}"/>
    <cellStyle name="Notas 2 14 2 3" xfId="1164" xr:uid="{EF01A2E8-DFC9-4EF6-BE05-8C8E820321DB}"/>
    <cellStyle name="Notas 2 14 2 4" xfId="1577" xr:uid="{79929117-C8F0-435B-903D-C7F54FFFEEEF}"/>
    <cellStyle name="Notas 2 14 2 5" xfId="1987" xr:uid="{1EEC5A7F-DC51-4BC6-A986-ACF0C33694F7}"/>
    <cellStyle name="Notas 2 14 2 6" xfId="2394" xr:uid="{ABC69B50-64A7-4A53-A9C9-E8227CCF71F0}"/>
    <cellStyle name="Notas 2 14 3" xfId="551" xr:uid="{702B8348-9B1C-4CAA-98D8-362628CD553A}"/>
    <cellStyle name="Notas 2 14 4" xfId="969" xr:uid="{908832FA-76E6-45BA-A282-2B1A1B1BD1AC}"/>
    <cellStyle name="Notas 2 14 5" xfId="1382" xr:uid="{44A2E696-E254-42AB-8903-C25C1A761CFD}"/>
    <cellStyle name="Notas 2 14 6" xfId="1793" xr:uid="{014B1FCE-86FE-4922-A8E0-0E05E6EA5844}"/>
    <cellStyle name="Notas 2 14 7" xfId="2201" xr:uid="{8B253D66-EF49-40D3-9F95-D838C8D8F3FD}"/>
    <cellStyle name="Notas 2 15" xfId="144" xr:uid="{00000000-0005-0000-0000-00004C000000}"/>
    <cellStyle name="Notas 2 15 2" xfId="341" xr:uid="{6060473A-0440-44EA-9216-20C470D646EA}"/>
    <cellStyle name="Notas 2 15 2 2" xfId="775" xr:uid="{6BF90297-2449-4433-84F3-4FC764B269A1}"/>
    <cellStyle name="Notas 2 15 2 3" xfId="1191" xr:uid="{3552C9B6-653F-41A4-8E2B-F0D4EB6824B1}"/>
    <cellStyle name="Notas 2 15 2 4" xfId="1604" xr:uid="{D7EE28CA-DA9D-4EDA-BE18-3572D76BCC4C}"/>
    <cellStyle name="Notas 2 15 2 5" xfId="2014" xr:uid="{FCCE71BB-2F24-4804-81EB-FEF94F2062F3}"/>
    <cellStyle name="Notas 2 15 2 6" xfId="2421" xr:uid="{A5EE02B4-980E-4F3E-B425-972F01752B9E}"/>
    <cellStyle name="Notas 2 15 3" xfId="578" xr:uid="{A9A5E0BA-C3FA-4304-93F9-BF7242D17139}"/>
    <cellStyle name="Notas 2 15 4" xfId="996" xr:uid="{6FF381A1-6847-4F8C-8ABC-EA79AD998EAA}"/>
    <cellStyle name="Notas 2 15 5" xfId="1409" xr:uid="{5FE4EC34-69DC-4176-9ADE-922CFAC2D4A0}"/>
    <cellStyle name="Notas 2 15 6" xfId="1820" xr:uid="{0B164D9E-87F7-413F-9237-1AB2E3D4B058}"/>
    <cellStyle name="Notas 2 15 7" xfId="2228" xr:uid="{8EAF4D02-FF9D-437A-B07A-B0F18B7DF49E}"/>
    <cellStyle name="Notas 2 16" xfId="153" xr:uid="{00000000-0005-0000-0000-00004D000000}"/>
    <cellStyle name="Notas 2 16 2" xfId="350" xr:uid="{5EFDE236-F7D7-472E-AB9C-3B842BAB6489}"/>
    <cellStyle name="Notas 2 16 2 2" xfId="784" xr:uid="{27DE4398-1FAA-45B8-90C2-2C01E9487B61}"/>
    <cellStyle name="Notas 2 16 2 3" xfId="1200" xr:uid="{8B1717E9-BCE9-425B-8DAF-A3A6584A4FAC}"/>
    <cellStyle name="Notas 2 16 2 4" xfId="1613" xr:uid="{0254B1E0-3BC0-4561-8F70-118F2BDC0A15}"/>
    <cellStyle name="Notas 2 16 2 5" xfId="2023" xr:uid="{9BE62868-FBA1-4DAF-9B01-8987D60EBF07}"/>
    <cellStyle name="Notas 2 16 2 6" xfId="2430" xr:uid="{DF461DBD-D08F-460E-B899-D3512A605EBF}"/>
    <cellStyle name="Notas 2 16 3" xfId="587" xr:uid="{9F5407B7-0DEE-49B4-A013-E0392038B687}"/>
    <cellStyle name="Notas 2 16 4" xfId="1005" xr:uid="{5F298BDD-CBFF-4AE4-933A-0ED10CFB7810}"/>
    <cellStyle name="Notas 2 16 5" xfId="1418" xr:uid="{78E3BDB5-2047-46A0-9172-2251FBFB61FC}"/>
    <cellStyle name="Notas 2 16 6" xfId="1829" xr:uid="{6B0A44CF-251E-435C-AD21-29BD76337668}"/>
    <cellStyle name="Notas 2 16 7" xfId="2237" xr:uid="{20D9BF98-EF9C-48C2-A599-8EDB9141EA32}"/>
    <cellStyle name="Notas 2 17" xfId="158" xr:uid="{6F8CB93F-6FB2-4D15-B431-DB2E7B89A9D4}"/>
    <cellStyle name="Notas 2 17 2" xfId="355" xr:uid="{27C6EBA0-0667-4FD8-8EF1-C2B2E6274EDE}"/>
    <cellStyle name="Notas 2 17 2 2" xfId="789" xr:uid="{87A10F97-C4CA-4A61-91EF-CDB027CA5A56}"/>
    <cellStyle name="Notas 2 17 2 3" xfId="1205" xr:uid="{3C292508-D364-42BE-9C9B-A156727BA95A}"/>
    <cellStyle name="Notas 2 17 2 4" xfId="1618" xr:uid="{6B73BC03-4F75-4F2C-90F4-90009A383752}"/>
    <cellStyle name="Notas 2 17 2 5" xfId="2028" xr:uid="{EDA98E12-5C83-4B11-954B-8067B36A9A0A}"/>
    <cellStyle name="Notas 2 17 2 6" xfId="2435" xr:uid="{4A702316-1FF0-44AB-8681-083E76305860}"/>
    <cellStyle name="Notas 2 17 3" xfId="592" xr:uid="{1F370F72-A962-4DF8-A03A-F3BF195960B5}"/>
    <cellStyle name="Notas 2 17 4" xfId="1010" xr:uid="{92B29F79-1803-43A2-9B98-9757F1B340EF}"/>
    <cellStyle name="Notas 2 17 5" xfId="1423" xr:uid="{076363E5-D48F-49B2-87DB-B1E675081102}"/>
    <cellStyle name="Notas 2 17 6" xfId="1834" xr:uid="{17B125E8-85AA-48F1-BC9B-E3D0CE15B7EA}"/>
    <cellStyle name="Notas 2 17 7" xfId="2242" xr:uid="{D0C1346E-CD1D-4424-97B0-BB7E45B21961}"/>
    <cellStyle name="Notas 2 18" xfId="176" xr:uid="{B61D352F-E441-4A28-BBF7-0DF64FCDE6E0}"/>
    <cellStyle name="Notas 2 18 2" xfId="373" xr:uid="{104FBBA2-456B-4FB3-98FA-7EDA7131D783}"/>
    <cellStyle name="Notas 2 18 2 2" xfId="807" xr:uid="{DF8EAA00-7EB6-4FE6-B334-FB9B14D6DB2C}"/>
    <cellStyle name="Notas 2 18 2 3" xfId="1222" xr:uid="{37EA6F76-E640-4910-866F-5D94A6B2D718}"/>
    <cellStyle name="Notas 2 18 2 4" xfId="1635" xr:uid="{17BC88E1-1E88-45AC-A199-0AAA33BC0748}"/>
    <cellStyle name="Notas 2 18 2 5" xfId="2045" xr:uid="{BDAA7C06-F926-46F9-849E-F439940FB88A}"/>
    <cellStyle name="Notas 2 18 2 6" xfId="2452" xr:uid="{CC55D321-FFC6-43D6-9986-ABF9CB772DE0}"/>
    <cellStyle name="Notas 2 18 3" xfId="610" xr:uid="{8955526D-1C03-4EB4-B441-162B4A270A4B}"/>
    <cellStyle name="Notas 2 18 4" xfId="1028" xr:uid="{1785DA99-DF96-4682-A552-45C61EFD0C6C}"/>
    <cellStyle name="Notas 2 18 5" xfId="1441" xr:uid="{335AD755-AC33-4440-BAB0-C5B499C92F10}"/>
    <cellStyle name="Notas 2 18 6" xfId="1851" xr:uid="{02A60C0A-2997-475E-A40A-F569E6644107}"/>
    <cellStyle name="Notas 2 18 7" xfId="2259" xr:uid="{7F56FBD6-44FB-4A2E-ABFF-6BED0866ED08}"/>
    <cellStyle name="Notas 2 19" xfId="186" xr:uid="{10166131-E932-439D-93E8-72DA6ACF198F}"/>
    <cellStyle name="Notas 2 19 2" xfId="383" xr:uid="{36F8AEC0-6B27-4FBF-8D93-5CCB474782D6}"/>
    <cellStyle name="Notas 2 19 2 2" xfId="817" xr:uid="{536A5D73-22FB-42F6-90C9-F9FBFE1320BD}"/>
    <cellStyle name="Notas 2 19 2 3" xfId="1232" xr:uid="{04E24E9A-8F3C-497B-B496-A0F4BE8026BA}"/>
    <cellStyle name="Notas 2 19 2 4" xfId="1645" xr:uid="{389471D2-FC79-494D-8B0F-832B818861A4}"/>
    <cellStyle name="Notas 2 19 2 5" xfId="2055" xr:uid="{22B057E6-2CFE-4D66-8FFA-1885D573FC95}"/>
    <cellStyle name="Notas 2 19 2 6" xfId="2462" xr:uid="{DA228D44-3AAA-40C2-B322-2D8F4C1F4611}"/>
    <cellStyle name="Notas 2 19 3" xfId="620" xr:uid="{164FB4DC-52E5-476D-BD1F-BA4B5764BB93}"/>
    <cellStyle name="Notas 2 19 4" xfId="1038" xr:uid="{86EC2598-0150-44DE-991F-1FAE2114E556}"/>
    <cellStyle name="Notas 2 19 5" xfId="1451" xr:uid="{FF1A53B1-CED5-4430-BE64-3F4CFEA9E6EB}"/>
    <cellStyle name="Notas 2 19 6" xfId="1861" xr:uid="{9ADC94C5-1DD4-421D-8FC8-4B1233CC8938}"/>
    <cellStyle name="Notas 2 19 7" xfId="2269" xr:uid="{FFC851E6-7DD3-4CD6-BCED-7AB0C38BC67A}"/>
    <cellStyle name="Notas 2 2" xfId="15" xr:uid="{00000000-0005-0000-0000-00004E000000}"/>
    <cellStyle name="Notas 2 2 10" xfId="105" xr:uid="{00000000-0005-0000-0000-00004F000000}"/>
    <cellStyle name="Notas 2 2 10 2" xfId="302" xr:uid="{39877CCE-944C-492C-BB24-27BE48E2183C}"/>
    <cellStyle name="Notas 2 2 10 2 2" xfId="736" xr:uid="{8F790E91-60D6-44D2-A63F-AF670FE772C4}"/>
    <cellStyle name="Notas 2 2 10 2 3" xfId="1152" xr:uid="{99EF6B76-49A0-4D69-9E2D-EBE0F901DF79}"/>
    <cellStyle name="Notas 2 2 10 2 4" xfId="1565" xr:uid="{CCDCF9AD-5B8C-43FC-B10B-B3591A22A8B3}"/>
    <cellStyle name="Notas 2 2 10 2 5" xfId="1975" xr:uid="{EEAEBC7A-3515-4179-9AF0-29F0BC3219E7}"/>
    <cellStyle name="Notas 2 2 10 2 6" xfId="2382" xr:uid="{DCD5C15E-7A6E-4D51-B638-4D38928F54EB}"/>
    <cellStyle name="Notas 2 2 10 3" xfId="539" xr:uid="{B3936883-9059-485F-A518-4ACACEAE65BC}"/>
    <cellStyle name="Notas 2 2 10 4" xfId="957" xr:uid="{07707B17-497C-48E3-8E16-DC2BD0CABF82}"/>
    <cellStyle name="Notas 2 2 10 5" xfId="1370" xr:uid="{29B34EC2-2C7F-44D8-ACA5-6AC06134173A}"/>
    <cellStyle name="Notas 2 2 10 6" xfId="1781" xr:uid="{11959843-42A9-4973-870D-50BCDC545DB6}"/>
    <cellStyle name="Notas 2 2 10 7" xfId="2189" xr:uid="{8944606F-1F36-4B22-9DB0-617EF80E76BA}"/>
    <cellStyle name="Notas 2 2 11" xfId="112" xr:uid="{00000000-0005-0000-0000-000050000000}"/>
    <cellStyle name="Notas 2 2 11 2" xfId="309" xr:uid="{BD1EBD52-365B-4D65-A452-F7C809BAA27B}"/>
    <cellStyle name="Notas 2 2 11 2 2" xfId="743" xr:uid="{3E0F1768-3779-4FBE-86F6-1BA13E9C8397}"/>
    <cellStyle name="Notas 2 2 11 2 3" xfId="1159" xr:uid="{3BD5BDF0-EEFB-4C75-9826-516EDA03ED35}"/>
    <cellStyle name="Notas 2 2 11 2 4" xfId="1572" xr:uid="{D63D12F8-CAE9-4BB3-A6F1-3091E47E88B6}"/>
    <cellStyle name="Notas 2 2 11 2 5" xfId="1982" xr:uid="{7B0BE804-486B-476F-946A-4106B0CF9DD2}"/>
    <cellStyle name="Notas 2 2 11 2 6" xfId="2389" xr:uid="{DD5EDA09-582C-4EE1-8D41-E04986C5EE95}"/>
    <cellStyle name="Notas 2 2 11 3" xfId="546" xr:uid="{35654D58-905B-4FAC-8A8D-B35FB0C0DCC2}"/>
    <cellStyle name="Notas 2 2 11 4" xfId="964" xr:uid="{EEDCB9A6-7D3B-44B2-A043-3D1FF2C8EEED}"/>
    <cellStyle name="Notas 2 2 11 5" xfId="1377" xr:uid="{E861B4ED-C997-4C01-82B3-B01CF2F84DE9}"/>
    <cellStyle name="Notas 2 2 11 6" xfId="1788" xr:uid="{DC7BD9CD-DA8A-45BE-B457-606B2FE58DE3}"/>
    <cellStyle name="Notas 2 2 11 7" xfId="2196" xr:uid="{AEF4435B-9A4B-4E28-82AD-F6FAB261C27D}"/>
    <cellStyle name="Notas 2 2 12" xfId="122" xr:uid="{00000000-0005-0000-0000-000051000000}"/>
    <cellStyle name="Notas 2 2 12 2" xfId="319" xr:uid="{FB71192C-29C2-4D53-97C4-11F92A7D561B}"/>
    <cellStyle name="Notas 2 2 12 2 2" xfId="753" xr:uid="{BA8EF7AC-9A76-4548-92D6-350D5842979E}"/>
    <cellStyle name="Notas 2 2 12 2 3" xfId="1169" xr:uid="{31125E43-F48C-46A8-8EE4-906F09DE4E4E}"/>
    <cellStyle name="Notas 2 2 12 2 4" xfId="1582" xr:uid="{B888D319-09BE-4F9B-916F-862B5C52B8AB}"/>
    <cellStyle name="Notas 2 2 12 2 5" xfId="1992" xr:uid="{16022B9A-BA27-4A3B-BEC9-AFB79BD4C06D}"/>
    <cellStyle name="Notas 2 2 12 2 6" xfId="2399" xr:uid="{771DEAAF-680A-45B2-80C0-5A9996F261C1}"/>
    <cellStyle name="Notas 2 2 12 3" xfId="556" xr:uid="{10D00BBB-1ED0-43CD-AC40-8CC31BEFF71C}"/>
    <cellStyle name="Notas 2 2 12 4" xfId="974" xr:uid="{FB0752E0-35EB-49D7-88AE-4FBEB8938920}"/>
    <cellStyle name="Notas 2 2 12 5" xfId="1387" xr:uid="{A57CACE0-D544-4207-82B7-9512B8A58679}"/>
    <cellStyle name="Notas 2 2 12 6" xfId="1798" xr:uid="{224E9586-AB5E-4C9C-A17C-B87A27C5461B}"/>
    <cellStyle name="Notas 2 2 12 7" xfId="2206" xr:uid="{8AF37B69-DCE9-45C4-8F18-518D88033A8F}"/>
    <cellStyle name="Notas 2 2 13" xfId="131" xr:uid="{00000000-0005-0000-0000-000052000000}"/>
    <cellStyle name="Notas 2 2 13 2" xfId="328" xr:uid="{546A5176-8075-4792-94B3-58E4C3AB0C28}"/>
    <cellStyle name="Notas 2 2 13 2 2" xfId="762" xr:uid="{669CAC10-DEEE-4741-BC46-90813089E341}"/>
    <cellStyle name="Notas 2 2 13 2 3" xfId="1178" xr:uid="{C648B4F6-9B3D-49DB-AABC-F117D86E0D0B}"/>
    <cellStyle name="Notas 2 2 13 2 4" xfId="1591" xr:uid="{C814A3AD-285F-4A60-886E-DD93474C15A1}"/>
    <cellStyle name="Notas 2 2 13 2 5" xfId="2001" xr:uid="{F9C2A8B8-AF07-4A9E-BD17-FCE6001DB790}"/>
    <cellStyle name="Notas 2 2 13 2 6" xfId="2408" xr:uid="{375E29A0-D549-4383-952B-56F16C037177}"/>
    <cellStyle name="Notas 2 2 13 3" xfId="565" xr:uid="{04AD0A55-74E2-4FE5-9D10-123658C32CAA}"/>
    <cellStyle name="Notas 2 2 13 4" xfId="983" xr:uid="{7CC001E2-FF68-4CFA-98AF-4E65F441A090}"/>
    <cellStyle name="Notas 2 2 13 5" xfId="1396" xr:uid="{312502D5-D623-4D4B-BB28-B0CA7B11643B}"/>
    <cellStyle name="Notas 2 2 13 6" xfId="1807" xr:uid="{C8E43C15-70D2-4707-83E8-DF071D8B1A73}"/>
    <cellStyle name="Notas 2 2 13 7" xfId="2215" xr:uid="{ED1FABA8-4BD8-4B00-AA08-B0A7B0569387}"/>
    <cellStyle name="Notas 2 2 14" xfId="138" xr:uid="{00000000-0005-0000-0000-000053000000}"/>
    <cellStyle name="Notas 2 2 14 2" xfId="335" xr:uid="{CB71FCDB-F183-4131-B0DA-2BEF51965FFE}"/>
    <cellStyle name="Notas 2 2 14 2 2" xfId="769" xr:uid="{4E30D971-5ADD-4267-BEA3-F84CA1C573D5}"/>
    <cellStyle name="Notas 2 2 14 2 3" xfId="1185" xr:uid="{6730AEA8-CC83-4E1F-8EB4-AD159F61C334}"/>
    <cellStyle name="Notas 2 2 14 2 4" xfId="1598" xr:uid="{16DF0F1E-2D95-4708-A985-FD498B1441C9}"/>
    <cellStyle name="Notas 2 2 14 2 5" xfId="2008" xr:uid="{836A53C5-6469-4563-B459-DECB349BA36D}"/>
    <cellStyle name="Notas 2 2 14 2 6" xfId="2415" xr:uid="{D4BE3F96-AEC1-4E49-A874-2217B1A77A1E}"/>
    <cellStyle name="Notas 2 2 14 3" xfId="572" xr:uid="{2D8D3B56-88A0-4395-A992-13EE44DEA1F0}"/>
    <cellStyle name="Notas 2 2 14 4" xfId="990" xr:uid="{E8073847-79FA-4E12-9D9D-A66412BD6BD6}"/>
    <cellStyle name="Notas 2 2 14 5" xfId="1403" xr:uid="{EB4D0B48-F82D-4AF6-AAF3-587C05904114}"/>
    <cellStyle name="Notas 2 2 14 6" xfId="1814" xr:uid="{BD147E2B-B647-4575-9D04-5B9DD71791CD}"/>
    <cellStyle name="Notas 2 2 14 7" xfId="2222" xr:uid="{BAF995AB-2453-4F57-B102-FEAA2CE768EB}"/>
    <cellStyle name="Notas 2 2 15" xfId="147" xr:uid="{00000000-0005-0000-0000-000054000000}"/>
    <cellStyle name="Notas 2 2 15 2" xfId="344" xr:uid="{AA04F71E-6DDF-4632-BCCA-9B5FD1590759}"/>
    <cellStyle name="Notas 2 2 15 2 2" xfId="778" xr:uid="{C4BD0523-062A-4964-BA55-C56BD78A297A}"/>
    <cellStyle name="Notas 2 2 15 2 3" xfId="1194" xr:uid="{A6AFD5DF-9334-49C5-AD9C-C80D88EE76A1}"/>
    <cellStyle name="Notas 2 2 15 2 4" xfId="1607" xr:uid="{24BB7550-0C1F-4CEE-A896-4AD2AE2504A6}"/>
    <cellStyle name="Notas 2 2 15 2 5" xfId="2017" xr:uid="{91D09673-0015-41A5-8678-E5BEDE2E9930}"/>
    <cellStyle name="Notas 2 2 15 2 6" xfId="2424" xr:uid="{6ED4572C-60D3-4662-8F9D-1C251498A1F3}"/>
    <cellStyle name="Notas 2 2 15 3" xfId="581" xr:uid="{85EECD52-E9F3-439E-984E-A7C2B9930C26}"/>
    <cellStyle name="Notas 2 2 15 4" xfId="999" xr:uid="{C0A48114-95FF-433A-A09A-49622018F71C}"/>
    <cellStyle name="Notas 2 2 15 5" xfId="1412" xr:uid="{83828513-CDB3-42BB-BDC7-495A873A176C}"/>
    <cellStyle name="Notas 2 2 15 6" xfId="1823" xr:uid="{9AE33F0A-6DA1-4305-84E0-7298E58DE186}"/>
    <cellStyle name="Notas 2 2 15 7" xfId="2231" xr:uid="{26068433-7ACB-4208-84F3-77E98D8ABA02}"/>
    <cellStyle name="Notas 2 2 16" xfId="161" xr:uid="{EFA6D262-2284-42E8-BCB1-6CBF04617C80}"/>
    <cellStyle name="Notas 2 2 16 2" xfId="358" xr:uid="{E42152E7-15BA-4DB3-98EF-91C4971C603F}"/>
    <cellStyle name="Notas 2 2 16 2 2" xfId="792" xr:uid="{ECD6D2C3-DC5D-4D60-9133-79D2A595610B}"/>
    <cellStyle name="Notas 2 2 16 2 3" xfId="1208" xr:uid="{21DB8222-4E56-412D-9CED-EE5538B2BD18}"/>
    <cellStyle name="Notas 2 2 16 2 4" xfId="1621" xr:uid="{DDC7BA0C-3287-42AE-9DE8-BFB76CB773E7}"/>
    <cellStyle name="Notas 2 2 16 2 5" xfId="2031" xr:uid="{E24DEC17-CA8E-433C-A0AB-ED8145549262}"/>
    <cellStyle name="Notas 2 2 16 2 6" xfId="2438" xr:uid="{D9AF91CB-8364-4ECF-8D4C-C6F8CDBF57C7}"/>
    <cellStyle name="Notas 2 2 16 3" xfId="595" xr:uid="{887FB878-4006-46EC-8168-1F9D440111F5}"/>
    <cellStyle name="Notas 2 2 16 4" xfId="1013" xr:uid="{B9ABAA71-DAC1-40DF-982E-AE77738F0252}"/>
    <cellStyle name="Notas 2 2 16 5" xfId="1426" xr:uid="{F841912A-ED80-444F-95C5-E1ECCE808E64}"/>
    <cellStyle name="Notas 2 2 16 6" xfId="1837" xr:uid="{3A180057-F23B-4C1C-B9D7-7A2CC26EB746}"/>
    <cellStyle name="Notas 2 2 16 7" xfId="2245" xr:uid="{4C7D4814-9E9D-449C-9ED5-256D84F16E52}"/>
    <cellStyle name="Notas 2 2 17" xfId="170" xr:uid="{666AABC2-345B-481F-9C10-941B097FF596}"/>
    <cellStyle name="Notas 2 2 17 2" xfId="367" xr:uid="{B175CA02-B2C1-44D1-A459-673A80E334EF}"/>
    <cellStyle name="Notas 2 2 17 2 2" xfId="801" xr:uid="{E2D28604-FC73-4D87-8D50-152B97293F47}"/>
    <cellStyle name="Notas 2 2 17 2 3" xfId="1216" xr:uid="{AC71D85B-5771-466B-9B4E-01B14ED28CF4}"/>
    <cellStyle name="Notas 2 2 17 2 4" xfId="1629" xr:uid="{4C2BCAA9-B1BB-4FE6-8C49-1E3EA1804B7E}"/>
    <cellStyle name="Notas 2 2 17 2 5" xfId="2039" xr:uid="{E4BA590A-9B52-402A-AD65-81BCE83DFFE1}"/>
    <cellStyle name="Notas 2 2 17 2 6" xfId="2446" xr:uid="{FB92588C-5602-4F88-8110-276C560A5661}"/>
    <cellStyle name="Notas 2 2 17 3" xfId="604" xr:uid="{62920362-54F7-4C42-8AF1-980124EC1C88}"/>
    <cellStyle name="Notas 2 2 17 4" xfId="1022" xr:uid="{54A7CD51-4958-4A5C-B926-CF298EB600E3}"/>
    <cellStyle name="Notas 2 2 17 5" xfId="1435" xr:uid="{CAF80F84-F941-452D-B2B4-9557BCD6F7A3}"/>
    <cellStyle name="Notas 2 2 17 6" xfId="1845" xr:uid="{06D7E48E-5F9F-421C-9107-9CDD0A97B116}"/>
    <cellStyle name="Notas 2 2 17 7" xfId="2253" xr:uid="{FA481820-DB67-4ABE-AD28-CE85CBFEE829}"/>
    <cellStyle name="Notas 2 2 18" xfId="179" xr:uid="{7F81B05C-23D0-4D11-A143-B5F088C2BB22}"/>
    <cellStyle name="Notas 2 2 18 2" xfId="376" xr:uid="{96B53232-3DB5-4FAF-A8DC-C196EF9EBF8B}"/>
    <cellStyle name="Notas 2 2 18 2 2" xfId="810" xr:uid="{C0EB10EB-C7BB-4068-A81B-C047E4516705}"/>
    <cellStyle name="Notas 2 2 18 2 3" xfId="1225" xr:uid="{3B13D0E6-B7D1-4206-B5F3-A11744E483CC}"/>
    <cellStyle name="Notas 2 2 18 2 4" xfId="1638" xr:uid="{96968D3C-A5B0-499D-8FDC-55320D89D1B8}"/>
    <cellStyle name="Notas 2 2 18 2 5" xfId="2048" xr:uid="{5291DE21-E9CB-4478-9F8B-A4A36F708BF1}"/>
    <cellStyle name="Notas 2 2 18 2 6" xfId="2455" xr:uid="{CB85DF56-D612-4506-B58E-5ED0FFF5CE66}"/>
    <cellStyle name="Notas 2 2 18 3" xfId="613" xr:uid="{36008F9D-D880-4C24-A47B-0B007CDBDE14}"/>
    <cellStyle name="Notas 2 2 18 4" xfId="1031" xr:uid="{5A428D87-D994-4CA9-A4D2-F92DEE3C1E49}"/>
    <cellStyle name="Notas 2 2 18 5" xfId="1444" xr:uid="{657C5F67-CF3B-49FC-9074-5743CC0CB357}"/>
    <cellStyle name="Notas 2 2 18 6" xfId="1854" xr:uid="{8A52B8A5-12FD-4C06-A6E1-1E63B1871DD9}"/>
    <cellStyle name="Notas 2 2 18 7" xfId="2262" xr:uid="{4F0868C3-BEC8-42DF-99C0-64C73E3CEFEB}"/>
    <cellStyle name="Notas 2 2 19" xfId="189" xr:uid="{27FCB378-6D03-4E3D-B76F-2382C5092832}"/>
    <cellStyle name="Notas 2 2 19 2" xfId="386" xr:uid="{E2850678-7785-48F9-ABF1-D4A097203A3F}"/>
    <cellStyle name="Notas 2 2 19 2 2" xfId="820" xr:uid="{9214D89A-1289-42ED-9B8F-7056E286516C}"/>
    <cellStyle name="Notas 2 2 19 2 3" xfId="1235" xr:uid="{D98CBB1B-BBB3-467F-8C86-FFD244AD77E4}"/>
    <cellStyle name="Notas 2 2 19 2 4" xfId="1648" xr:uid="{2B8FCF81-F655-4DC8-B0AB-3AE120B8D7EB}"/>
    <cellStyle name="Notas 2 2 19 2 5" xfId="2058" xr:uid="{06AFE5F2-2B27-4BC6-987B-71AD6CD0EAC7}"/>
    <cellStyle name="Notas 2 2 19 2 6" xfId="2465" xr:uid="{7E35EC30-48C9-4D74-AA78-83F83A1D08F4}"/>
    <cellStyle name="Notas 2 2 19 3" xfId="623" xr:uid="{8F758773-ABD2-4285-9E9A-A7D577FB9BC4}"/>
    <cellStyle name="Notas 2 2 19 4" xfId="1041" xr:uid="{E667E0C8-9CE0-41EF-AF34-AA7F4F15A96B}"/>
    <cellStyle name="Notas 2 2 19 5" xfId="1454" xr:uid="{04AC475C-264B-478D-9879-DECA57BFA2E8}"/>
    <cellStyle name="Notas 2 2 19 6" xfId="1864" xr:uid="{722FBF76-AA80-482C-A9AC-7E7A5AFFD0A5}"/>
    <cellStyle name="Notas 2 2 19 7" xfId="2272" xr:uid="{FF5D2ABD-29EE-44AD-BBD4-8608B8181403}"/>
    <cellStyle name="Notas 2 2 2" xfId="18" xr:uid="{00000000-0005-0000-0000-000055000000}"/>
    <cellStyle name="Notas 2 2 2 10" xfId="107" xr:uid="{00000000-0005-0000-0000-000056000000}"/>
    <cellStyle name="Notas 2 2 2 10 2" xfId="304" xr:uid="{D5B034A0-7097-4421-9336-03CF35136126}"/>
    <cellStyle name="Notas 2 2 2 10 2 2" xfId="738" xr:uid="{20CE6626-C414-4264-BFD6-A5CBCAA73007}"/>
    <cellStyle name="Notas 2 2 2 10 2 3" xfId="1154" xr:uid="{BE49AABF-52C4-4CD0-84B5-C2B4F4B7CAC1}"/>
    <cellStyle name="Notas 2 2 2 10 2 4" xfId="1567" xr:uid="{45FAC395-9DBC-4DAD-B468-530B03FF959A}"/>
    <cellStyle name="Notas 2 2 2 10 2 5" xfId="1977" xr:uid="{D02C710E-14AB-460F-8CE0-CE497B71D860}"/>
    <cellStyle name="Notas 2 2 2 10 2 6" xfId="2384" xr:uid="{AB5A96A0-09E9-497E-857F-7DC01A84A865}"/>
    <cellStyle name="Notas 2 2 2 10 3" xfId="541" xr:uid="{FC59DB57-CDE5-422C-879F-4E87D6A178D9}"/>
    <cellStyle name="Notas 2 2 2 10 4" xfId="959" xr:uid="{1A0C5508-960F-4B5A-B703-9F9CA1178AE4}"/>
    <cellStyle name="Notas 2 2 2 10 5" xfId="1372" xr:uid="{20F12E48-2A1F-4665-966B-63D0686A316A}"/>
    <cellStyle name="Notas 2 2 2 10 6" xfId="1783" xr:uid="{8B976571-0862-4D58-908A-9E1BC70F2AF0}"/>
    <cellStyle name="Notas 2 2 2 10 7" xfId="2191" xr:uid="{976F69FA-695D-42EE-817B-0313ED48C3FD}"/>
    <cellStyle name="Notas 2 2 2 11" xfId="124" xr:uid="{00000000-0005-0000-0000-000057000000}"/>
    <cellStyle name="Notas 2 2 2 11 2" xfId="321" xr:uid="{0810F0DD-0951-444B-9279-EBBF61007105}"/>
    <cellStyle name="Notas 2 2 2 11 2 2" xfId="755" xr:uid="{8987C0FB-68BD-4522-BB7E-02ADD28CB9D2}"/>
    <cellStyle name="Notas 2 2 2 11 2 3" xfId="1171" xr:uid="{0B6D4000-5877-4520-8E9F-ACD391898311}"/>
    <cellStyle name="Notas 2 2 2 11 2 4" xfId="1584" xr:uid="{446EC6D2-C4AE-40F4-A0E4-A09F52A8D382}"/>
    <cellStyle name="Notas 2 2 2 11 2 5" xfId="1994" xr:uid="{D33E0121-C79B-4E9D-A914-EA6797D445C0}"/>
    <cellStyle name="Notas 2 2 2 11 2 6" xfId="2401" xr:uid="{B99DCA8A-1078-46FD-91BC-932044270861}"/>
    <cellStyle name="Notas 2 2 2 11 3" xfId="558" xr:uid="{A1AA46AD-00F6-477C-8175-16088BCFD107}"/>
    <cellStyle name="Notas 2 2 2 11 4" xfId="976" xr:uid="{2A0D0CC8-D98C-435A-A52D-3C8A605BF928}"/>
    <cellStyle name="Notas 2 2 2 11 5" xfId="1389" xr:uid="{973B1B2D-7B4F-43E9-98C3-5C08524C43E9}"/>
    <cellStyle name="Notas 2 2 2 11 6" xfId="1800" xr:uid="{7DC5B113-D12C-42F0-802F-2F744DF36CD3}"/>
    <cellStyle name="Notas 2 2 2 11 7" xfId="2208" xr:uid="{493A1D3F-7CEF-4347-BFA7-0BF58E1A84A4}"/>
    <cellStyle name="Notas 2 2 2 12" xfId="133" xr:uid="{00000000-0005-0000-0000-000058000000}"/>
    <cellStyle name="Notas 2 2 2 12 2" xfId="330" xr:uid="{EB0BE167-7E50-499E-BB2B-4195F4F33959}"/>
    <cellStyle name="Notas 2 2 2 12 2 2" xfId="764" xr:uid="{F6C4AF70-47A4-4328-B7AB-FE5785204944}"/>
    <cellStyle name="Notas 2 2 2 12 2 3" xfId="1180" xr:uid="{9BCEF4C4-4B6F-4F1F-A6AC-C51013E94D6A}"/>
    <cellStyle name="Notas 2 2 2 12 2 4" xfId="1593" xr:uid="{3F114B65-481C-4566-AEB2-594682812E60}"/>
    <cellStyle name="Notas 2 2 2 12 2 5" xfId="2003" xr:uid="{3177933A-29BB-4202-B0E7-D0410F9D1A22}"/>
    <cellStyle name="Notas 2 2 2 12 2 6" xfId="2410" xr:uid="{ECF18B39-6177-4FEF-87B2-5187A6CE917B}"/>
    <cellStyle name="Notas 2 2 2 12 3" xfId="567" xr:uid="{B6EF0FA6-58DA-41BF-91DB-F926E5CDC44B}"/>
    <cellStyle name="Notas 2 2 2 12 4" xfId="985" xr:uid="{2589C4AB-BF9A-4965-BF03-9127E99246BC}"/>
    <cellStyle name="Notas 2 2 2 12 5" xfId="1398" xr:uid="{99C77853-0A0B-447B-9695-058AE82708D0}"/>
    <cellStyle name="Notas 2 2 2 12 6" xfId="1809" xr:uid="{5AF55986-C0B9-4F09-9C9A-9258AD6FAA64}"/>
    <cellStyle name="Notas 2 2 2 12 7" xfId="2217" xr:uid="{0C1418FE-053D-4415-AA34-9559394A2736}"/>
    <cellStyle name="Notas 2 2 2 13" xfId="140" xr:uid="{00000000-0005-0000-0000-000059000000}"/>
    <cellStyle name="Notas 2 2 2 13 2" xfId="337" xr:uid="{34B5BADD-31F3-4939-843E-916FDB6C9B3C}"/>
    <cellStyle name="Notas 2 2 2 13 2 2" xfId="771" xr:uid="{019ABC7E-D6FD-4299-99B5-F2F670E5D196}"/>
    <cellStyle name="Notas 2 2 2 13 2 3" xfId="1187" xr:uid="{45143B9B-078B-4E75-89CF-8B0B2FDC71EC}"/>
    <cellStyle name="Notas 2 2 2 13 2 4" xfId="1600" xr:uid="{EB7E66E1-81F3-4AC6-9D00-8BFE33CC6E02}"/>
    <cellStyle name="Notas 2 2 2 13 2 5" xfId="2010" xr:uid="{F23CE006-CDA8-4DD2-8413-84C55E5CDD8B}"/>
    <cellStyle name="Notas 2 2 2 13 2 6" xfId="2417" xr:uid="{C08B4CDF-2134-444C-8931-03F4AC46E572}"/>
    <cellStyle name="Notas 2 2 2 13 3" xfId="574" xr:uid="{AFB54375-54D8-4C1F-BD6F-408FCA11F4CA}"/>
    <cellStyle name="Notas 2 2 2 13 4" xfId="992" xr:uid="{AA783DCC-429F-404A-9CA6-1DAE67A36224}"/>
    <cellStyle name="Notas 2 2 2 13 5" xfId="1405" xr:uid="{937F00C0-DAC3-472A-98CD-25368BBBEAB2}"/>
    <cellStyle name="Notas 2 2 2 13 6" xfId="1816" xr:uid="{335FBB4A-BE99-4A46-92B2-A5A11D2E11B8}"/>
    <cellStyle name="Notas 2 2 2 13 7" xfId="2224" xr:uid="{7B2CCD62-C3EF-4C9D-A48B-ECC2E548E131}"/>
    <cellStyle name="Notas 2 2 2 14" xfId="149" xr:uid="{00000000-0005-0000-0000-00005A000000}"/>
    <cellStyle name="Notas 2 2 2 14 2" xfId="346" xr:uid="{E50FCB8B-A160-4AA3-9953-AAC206E360D7}"/>
    <cellStyle name="Notas 2 2 2 14 2 2" xfId="780" xr:uid="{5C1ABB81-9F17-42A0-A5E1-C5862AA93B31}"/>
    <cellStyle name="Notas 2 2 2 14 2 3" xfId="1196" xr:uid="{23973F1E-5139-44CF-B948-C0CE1B039FA7}"/>
    <cellStyle name="Notas 2 2 2 14 2 4" xfId="1609" xr:uid="{848B2BB8-DF8B-4362-88DC-FCBED1BFE5D5}"/>
    <cellStyle name="Notas 2 2 2 14 2 5" xfId="2019" xr:uid="{DE6572A8-37AB-4075-8F90-D2827A661E44}"/>
    <cellStyle name="Notas 2 2 2 14 2 6" xfId="2426" xr:uid="{FE52C901-18B5-45B3-B140-26F6406EDC06}"/>
    <cellStyle name="Notas 2 2 2 14 3" xfId="583" xr:uid="{F963FDB4-3B89-467E-8C39-4D4A114F12B7}"/>
    <cellStyle name="Notas 2 2 2 14 4" xfId="1001" xr:uid="{5271DAE5-2CB5-480E-AA85-81CDAC0A409C}"/>
    <cellStyle name="Notas 2 2 2 14 5" xfId="1414" xr:uid="{C0169579-C5A3-4603-9187-93918559F134}"/>
    <cellStyle name="Notas 2 2 2 14 6" xfId="1825" xr:uid="{F5BA15C0-CCD1-425B-8FE7-F365137F8744}"/>
    <cellStyle name="Notas 2 2 2 14 7" xfId="2233" xr:uid="{66C433AA-95FB-43C4-B916-5D652B7A48C8}"/>
    <cellStyle name="Notas 2 2 2 15" xfId="156" xr:uid="{00000000-0005-0000-0000-00005B000000}"/>
    <cellStyle name="Notas 2 2 2 15 2" xfId="353" xr:uid="{27EE4EFA-4E5F-417B-BA68-F9C75E1E63CE}"/>
    <cellStyle name="Notas 2 2 2 15 2 2" xfId="787" xr:uid="{0FBC59CF-5B11-48CF-A7F0-0C41112D8871}"/>
    <cellStyle name="Notas 2 2 2 15 2 3" xfId="1203" xr:uid="{D153B10D-2127-41F4-A74A-EDA60D9818CE}"/>
    <cellStyle name="Notas 2 2 2 15 2 4" xfId="1616" xr:uid="{389435A0-632B-457B-A503-FFC6FE16BC52}"/>
    <cellStyle name="Notas 2 2 2 15 2 5" xfId="2026" xr:uid="{8FCEF3E7-C791-4EA0-84D6-9156BB3B82C5}"/>
    <cellStyle name="Notas 2 2 2 15 2 6" xfId="2433" xr:uid="{3A96D268-15A6-4705-8B5B-A7FA29A7E393}"/>
    <cellStyle name="Notas 2 2 2 15 3" xfId="590" xr:uid="{0648D762-1365-4CFA-AA20-1F1BEF51A808}"/>
    <cellStyle name="Notas 2 2 2 15 4" xfId="1008" xr:uid="{143B8218-F54F-4C26-B87A-B3ACC653CDE5}"/>
    <cellStyle name="Notas 2 2 2 15 5" xfId="1421" xr:uid="{C1560232-2F1C-41D7-981B-31B6A55AEB3B}"/>
    <cellStyle name="Notas 2 2 2 15 6" xfId="1832" xr:uid="{79DF5355-4798-4B91-8CC9-C22407A8DEC3}"/>
    <cellStyle name="Notas 2 2 2 15 7" xfId="2240" xr:uid="{F5C9023E-3B14-41F3-A555-70E60A2EF41B}"/>
    <cellStyle name="Notas 2 2 2 16" xfId="163" xr:uid="{7DB8AB18-64B2-4C7C-B054-E637FBE8231D}"/>
    <cellStyle name="Notas 2 2 2 16 2" xfId="360" xr:uid="{20944D6C-84A7-4482-9D29-6327DDB0416F}"/>
    <cellStyle name="Notas 2 2 2 16 2 2" xfId="794" xr:uid="{82FAA6C0-52B6-4D1E-99CC-6FE4F26AAE75}"/>
    <cellStyle name="Notas 2 2 2 16 2 3" xfId="1210" xr:uid="{54E25DDE-3813-42F0-A3B2-9C2F4BD60B24}"/>
    <cellStyle name="Notas 2 2 2 16 2 4" xfId="1623" xr:uid="{FDCBF190-0A7A-4E4F-AE2D-E851DA48FB2A}"/>
    <cellStyle name="Notas 2 2 2 16 2 5" xfId="2033" xr:uid="{2852CB44-ADA3-4406-89D3-3E80313F8812}"/>
    <cellStyle name="Notas 2 2 2 16 2 6" xfId="2440" xr:uid="{EE363029-F72A-4DF1-A108-D7564E513D35}"/>
    <cellStyle name="Notas 2 2 2 16 3" xfId="597" xr:uid="{703B3B03-3A2A-41A1-9301-D1FC8422D273}"/>
    <cellStyle name="Notas 2 2 2 16 4" xfId="1015" xr:uid="{A7390709-0B31-4CA9-99EC-B8A0A5772672}"/>
    <cellStyle name="Notas 2 2 2 16 5" xfId="1428" xr:uid="{B205FE81-270E-4ADF-B5D1-991FDE781AD4}"/>
    <cellStyle name="Notas 2 2 2 16 6" xfId="1839" xr:uid="{212EDC3B-F319-46B8-873F-1B15AAC37593}"/>
    <cellStyle name="Notas 2 2 2 16 7" xfId="2247" xr:uid="{05DCCE4B-A35D-4C5D-9D7A-0A7A4809ACA5}"/>
    <cellStyle name="Notas 2 2 2 17" xfId="171" xr:uid="{EFABD00A-71E7-4875-BE3F-2D4CBF82AE47}"/>
    <cellStyle name="Notas 2 2 2 17 2" xfId="368" xr:uid="{FFE0320C-A733-457F-96E4-9846467BFB6B}"/>
    <cellStyle name="Notas 2 2 2 17 2 2" xfId="802" xr:uid="{73B841EC-14F2-490B-BA39-9E561DD8A63E}"/>
    <cellStyle name="Notas 2 2 2 17 2 3" xfId="1217" xr:uid="{7AF9E0E9-36F0-4211-8AF8-27D455A6537B}"/>
    <cellStyle name="Notas 2 2 2 17 2 4" xfId="1630" xr:uid="{5D32FC53-9DDC-4618-A793-CD065D482241}"/>
    <cellStyle name="Notas 2 2 2 17 2 5" xfId="2040" xr:uid="{C41E96E6-2D9B-4276-88FB-30B40B99851C}"/>
    <cellStyle name="Notas 2 2 2 17 2 6" xfId="2447" xr:uid="{85C9F962-97B8-49E6-A34C-A35D37A97260}"/>
    <cellStyle name="Notas 2 2 2 17 3" xfId="605" xr:uid="{A4770AF6-A88E-4884-86E5-AB9443ADC100}"/>
    <cellStyle name="Notas 2 2 2 17 4" xfId="1023" xr:uid="{0B63210E-9E75-4A35-A09E-B29AB798AF54}"/>
    <cellStyle name="Notas 2 2 2 17 5" xfId="1436" xr:uid="{849ACA1F-319D-42AF-8AA9-670202EB05D3}"/>
    <cellStyle name="Notas 2 2 2 17 6" xfId="1846" xr:uid="{DFD58FB7-25A8-4830-AE4D-3A8B4868B975}"/>
    <cellStyle name="Notas 2 2 2 17 7" xfId="2254" xr:uid="{01338F2E-4733-4870-83B9-CF987850049C}"/>
    <cellStyle name="Notas 2 2 2 18" xfId="181" xr:uid="{14298F65-55E1-49A1-BFDC-A94AD7E52490}"/>
    <cellStyle name="Notas 2 2 2 18 2" xfId="378" xr:uid="{593CEE90-AC6A-4D07-AE23-14FBCED1EA5E}"/>
    <cellStyle name="Notas 2 2 2 18 2 2" xfId="812" xr:uid="{B4EBE2E3-48F6-49EA-8455-DF6008373DAC}"/>
    <cellStyle name="Notas 2 2 2 18 2 3" xfId="1227" xr:uid="{A3A87E73-DFC5-46EC-82A8-340A78C35F1E}"/>
    <cellStyle name="Notas 2 2 2 18 2 4" xfId="1640" xr:uid="{8E6E7C46-6839-430F-B252-A47244CFF349}"/>
    <cellStyle name="Notas 2 2 2 18 2 5" xfId="2050" xr:uid="{2FFCB33F-164A-46F2-932B-81C72024DDAF}"/>
    <cellStyle name="Notas 2 2 2 18 2 6" xfId="2457" xr:uid="{B55C0286-7D3C-4F05-AF8E-70FC929DBF68}"/>
    <cellStyle name="Notas 2 2 2 18 3" xfId="615" xr:uid="{307CB07D-B0F7-419D-ACB5-FB382B93F284}"/>
    <cellStyle name="Notas 2 2 2 18 4" xfId="1033" xr:uid="{6EAFFDAA-A129-4496-9BFF-85BAB8CCFD1F}"/>
    <cellStyle name="Notas 2 2 2 18 5" xfId="1446" xr:uid="{A71BC4F4-271F-494C-9B68-327AB62CA883}"/>
    <cellStyle name="Notas 2 2 2 18 6" xfId="1856" xr:uid="{9DFF78B5-990F-410A-BC4A-A2CE33E03802}"/>
    <cellStyle name="Notas 2 2 2 18 7" xfId="2264" xr:uid="{11388F50-0E87-470B-B946-0DFA6208CD6E}"/>
    <cellStyle name="Notas 2 2 2 19" xfId="191" xr:uid="{21007EAD-AF18-4D2F-A87E-0F22DF39085B}"/>
    <cellStyle name="Notas 2 2 2 19 2" xfId="388" xr:uid="{A31B4794-9DFB-4AC5-8F21-9C70DC029BAC}"/>
    <cellStyle name="Notas 2 2 2 19 2 2" xfId="822" xr:uid="{37429352-8F76-466B-A900-9D738B03D387}"/>
    <cellStyle name="Notas 2 2 2 19 2 3" xfId="1237" xr:uid="{38FFA649-8235-4922-9B12-2D293281327D}"/>
    <cellStyle name="Notas 2 2 2 19 2 4" xfId="1650" xr:uid="{7453790E-3561-4B46-B56E-07B06A968106}"/>
    <cellStyle name="Notas 2 2 2 19 2 5" xfId="2060" xr:uid="{71C669F4-C3F7-4991-A25B-1E2C98117827}"/>
    <cellStyle name="Notas 2 2 2 19 2 6" xfId="2467" xr:uid="{7FFBB3F7-8628-491F-AB08-923CD8BD254B}"/>
    <cellStyle name="Notas 2 2 2 19 3" xfId="625" xr:uid="{3EAA9898-3F6A-44A1-A8C4-4403BE28AA24}"/>
    <cellStyle name="Notas 2 2 2 19 4" xfId="1043" xr:uid="{0E61BFA0-3666-42E9-96D6-569B3434F361}"/>
    <cellStyle name="Notas 2 2 2 19 5" xfId="1456" xr:uid="{8F10DB2D-A9FD-4F2C-B794-D2F23D92C58E}"/>
    <cellStyle name="Notas 2 2 2 19 6" xfId="1866" xr:uid="{309F03B5-6B4C-45B1-B615-61EE696F6631}"/>
    <cellStyle name="Notas 2 2 2 19 7" xfId="2274" xr:uid="{FB2F4501-9667-4C6C-B133-E7DE6F2CA054}"/>
    <cellStyle name="Notas 2 2 2 2" xfId="22" xr:uid="{00000000-0005-0000-0000-00005C000000}"/>
    <cellStyle name="Notas 2 2 2 2 10" xfId="114" xr:uid="{00000000-0005-0000-0000-00005D000000}"/>
    <cellStyle name="Notas 2 2 2 2 10 2" xfId="311" xr:uid="{02E0561D-0463-4BFE-82E3-3407DDED9A80}"/>
    <cellStyle name="Notas 2 2 2 2 10 2 2" xfId="745" xr:uid="{5C3E7005-2BAC-45B8-A643-8702683866B4}"/>
    <cellStyle name="Notas 2 2 2 2 10 2 3" xfId="1161" xr:uid="{C9868535-0A3C-4F76-89CC-7CC329839889}"/>
    <cellStyle name="Notas 2 2 2 2 10 2 4" xfId="1574" xr:uid="{F49373C0-99A7-4A84-AF6A-47CEBCACCFC4}"/>
    <cellStyle name="Notas 2 2 2 2 10 2 5" xfId="1984" xr:uid="{E8DCF488-2F10-4ADF-A838-90FFBED262C0}"/>
    <cellStyle name="Notas 2 2 2 2 10 2 6" xfId="2391" xr:uid="{03702910-F081-43CD-97E8-2E0914412876}"/>
    <cellStyle name="Notas 2 2 2 2 10 3" xfId="548" xr:uid="{5F86AB91-9809-4DA2-A024-CF4C487C7D53}"/>
    <cellStyle name="Notas 2 2 2 2 10 4" xfId="966" xr:uid="{54597139-40EE-4252-96A2-2DC401C48189}"/>
    <cellStyle name="Notas 2 2 2 2 10 5" xfId="1379" xr:uid="{764E0FD4-95E6-4106-A2D9-005ECB4B1C24}"/>
    <cellStyle name="Notas 2 2 2 2 10 6" xfId="1790" xr:uid="{3A42E1BB-0769-4F90-82D4-CEC37CE8CB1E}"/>
    <cellStyle name="Notas 2 2 2 2 10 7" xfId="2198" xr:uid="{F5BBE09B-70FB-431B-9469-CAA14442404C}"/>
    <cellStyle name="Notas 2 2 2 2 11" xfId="125" xr:uid="{00000000-0005-0000-0000-00005E000000}"/>
    <cellStyle name="Notas 2 2 2 2 11 2" xfId="322" xr:uid="{DAABDC3E-12A7-4183-B858-321F93D06E55}"/>
    <cellStyle name="Notas 2 2 2 2 11 2 2" xfId="756" xr:uid="{ACC2FEBA-15E2-458E-9AD7-2F9150CDB91D}"/>
    <cellStyle name="Notas 2 2 2 2 11 2 3" xfId="1172" xr:uid="{7878E1E0-CD62-4162-8DD8-132B75E4A222}"/>
    <cellStyle name="Notas 2 2 2 2 11 2 4" xfId="1585" xr:uid="{10CCABFD-8C46-4D21-ABC7-865F2087DACD}"/>
    <cellStyle name="Notas 2 2 2 2 11 2 5" xfId="1995" xr:uid="{C7851592-85A2-456A-BE49-DD2F90676EF3}"/>
    <cellStyle name="Notas 2 2 2 2 11 2 6" xfId="2402" xr:uid="{63AE5972-BFFE-45A1-8E0C-CC647D68A5BB}"/>
    <cellStyle name="Notas 2 2 2 2 11 3" xfId="559" xr:uid="{4B875084-AA01-47C3-9EA8-445061C9F377}"/>
    <cellStyle name="Notas 2 2 2 2 11 4" xfId="977" xr:uid="{1131B52D-B443-4C26-B85B-332A180D04EE}"/>
    <cellStyle name="Notas 2 2 2 2 11 5" xfId="1390" xr:uid="{ADC36D21-738D-4C15-8AA1-7E4FA05B4073}"/>
    <cellStyle name="Notas 2 2 2 2 11 6" xfId="1801" xr:uid="{97816AF3-AC98-46BD-9D2D-6A2F378A8766}"/>
    <cellStyle name="Notas 2 2 2 2 11 7" xfId="2209" xr:uid="{CFE0EAE1-E360-4B69-A0D3-B46DF146DF17}"/>
    <cellStyle name="Notas 2 2 2 2 12" xfId="134" xr:uid="{00000000-0005-0000-0000-00005F000000}"/>
    <cellStyle name="Notas 2 2 2 2 12 2" xfId="331" xr:uid="{2A542E3C-B298-4187-9322-B4D7943E2E5A}"/>
    <cellStyle name="Notas 2 2 2 2 12 2 2" xfId="765" xr:uid="{00B8C691-FB46-4835-8FB3-F0BEA60B3462}"/>
    <cellStyle name="Notas 2 2 2 2 12 2 3" xfId="1181" xr:uid="{CEFE045A-7477-4855-A0B8-EF000951B494}"/>
    <cellStyle name="Notas 2 2 2 2 12 2 4" xfId="1594" xr:uid="{47DCC4C0-0391-4325-8590-C47A83C06D97}"/>
    <cellStyle name="Notas 2 2 2 2 12 2 5" xfId="2004" xr:uid="{F9033529-F111-400E-B515-6E2AC0940928}"/>
    <cellStyle name="Notas 2 2 2 2 12 2 6" xfId="2411" xr:uid="{76EC7F2F-F00E-45C0-80CA-217EDB0AD692}"/>
    <cellStyle name="Notas 2 2 2 2 12 3" xfId="568" xr:uid="{3E90761F-008F-459B-9304-DE3D35B46F14}"/>
    <cellStyle name="Notas 2 2 2 2 12 4" xfId="986" xr:uid="{6CC0BC7E-AC96-4C84-8534-B3906DAD75EF}"/>
    <cellStyle name="Notas 2 2 2 2 12 5" xfId="1399" xr:uid="{CE1AFE15-3334-4B24-BD63-F6A9E3ACA447}"/>
    <cellStyle name="Notas 2 2 2 2 12 6" xfId="1810" xr:uid="{107835B8-E10C-4E41-8967-254D812CBFBE}"/>
    <cellStyle name="Notas 2 2 2 2 12 7" xfId="2218" xr:uid="{7E2C2952-9CF3-4AFD-AE35-E3DCD85CD993}"/>
    <cellStyle name="Notas 2 2 2 2 13" xfId="141" xr:uid="{00000000-0005-0000-0000-000060000000}"/>
    <cellStyle name="Notas 2 2 2 2 13 2" xfId="338" xr:uid="{B4DEABCE-319C-4F3B-BCB1-5C0834B35161}"/>
    <cellStyle name="Notas 2 2 2 2 13 2 2" xfId="772" xr:uid="{5702C989-F011-44A1-8328-6371765FDE32}"/>
    <cellStyle name="Notas 2 2 2 2 13 2 3" xfId="1188" xr:uid="{C607A77D-A97B-417D-830E-0B58B20566FE}"/>
    <cellStyle name="Notas 2 2 2 2 13 2 4" xfId="1601" xr:uid="{3C723877-79D3-4D4E-B85C-F837DAEC0EA3}"/>
    <cellStyle name="Notas 2 2 2 2 13 2 5" xfId="2011" xr:uid="{DF494178-878B-4F43-8E32-390111D93B1B}"/>
    <cellStyle name="Notas 2 2 2 2 13 2 6" xfId="2418" xr:uid="{3F0C23D4-AEDD-47A1-A472-F4F452B6774C}"/>
    <cellStyle name="Notas 2 2 2 2 13 3" xfId="575" xr:uid="{FCAEE01D-6345-41C6-8F45-EAE75A9D9E53}"/>
    <cellStyle name="Notas 2 2 2 2 13 4" xfId="993" xr:uid="{16418C4E-4AF6-4BAF-ABAC-7BC27C47EB6B}"/>
    <cellStyle name="Notas 2 2 2 2 13 5" xfId="1406" xr:uid="{F5232B84-DDE4-4638-9F0D-659F7DD28274}"/>
    <cellStyle name="Notas 2 2 2 2 13 6" xfId="1817" xr:uid="{1EB397D9-07ED-417C-9023-972C8BFF0A4F}"/>
    <cellStyle name="Notas 2 2 2 2 13 7" xfId="2225" xr:uid="{BF4231C0-F82D-4E26-AD39-B6863AE1FD83}"/>
    <cellStyle name="Notas 2 2 2 2 14" xfId="150" xr:uid="{00000000-0005-0000-0000-000061000000}"/>
    <cellStyle name="Notas 2 2 2 2 14 2" xfId="347" xr:uid="{5369EC45-8F75-45AF-A587-C77F3BB5B917}"/>
    <cellStyle name="Notas 2 2 2 2 14 2 2" xfId="781" xr:uid="{C6E722E5-F5F5-42C2-B618-7ED3DCE68117}"/>
    <cellStyle name="Notas 2 2 2 2 14 2 3" xfId="1197" xr:uid="{AF0F1763-1086-4024-86ED-559B2BB61D41}"/>
    <cellStyle name="Notas 2 2 2 2 14 2 4" xfId="1610" xr:uid="{4E853599-DDB3-428A-A93F-56DCE95A26B2}"/>
    <cellStyle name="Notas 2 2 2 2 14 2 5" xfId="2020" xr:uid="{410CA5C9-413E-4DB6-9633-EBAAB482171E}"/>
    <cellStyle name="Notas 2 2 2 2 14 2 6" xfId="2427" xr:uid="{0A461659-C9C9-4BBC-A224-862D8C50C40B}"/>
    <cellStyle name="Notas 2 2 2 2 14 3" xfId="584" xr:uid="{66562A83-2D96-4F2B-8392-1E01F839F9BF}"/>
    <cellStyle name="Notas 2 2 2 2 14 4" xfId="1002" xr:uid="{668A7970-7818-49D6-923C-9DEDB40BA961}"/>
    <cellStyle name="Notas 2 2 2 2 14 5" xfId="1415" xr:uid="{A973B99F-E8CB-4A80-976D-0CAC0079D2E8}"/>
    <cellStyle name="Notas 2 2 2 2 14 6" xfId="1826" xr:uid="{9A2CC69E-B124-4473-9E20-3A8AFA4EDDE2}"/>
    <cellStyle name="Notas 2 2 2 2 14 7" xfId="2234" xr:uid="{A4583C69-0DA0-4D69-8E0B-52DCA6B0DB71}"/>
    <cellStyle name="Notas 2 2 2 2 15" xfId="164" xr:uid="{26E03CC8-F20E-4EE6-AA72-CD4FA8BA20EB}"/>
    <cellStyle name="Notas 2 2 2 2 15 2" xfId="361" xr:uid="{8157F93B-6625-414C-B72E-FBA8F79D8B5A}"/>
    <cellStyle name="Notas 2 2 2 2 15 2 2" xfId="795" xr:uid="{F63E645C-452D-41DE-B74A-6B200B33AE22}"/>
    <cellStyle name="Notas 2 2 2 2 15 2 3" xfId="1211" xr:uid="{B162393F-7B12-417C-B25B-E384C9446668}"/>
    <cellStyle name="Notas 2 2 2 2 15 2 4" xfId="1624" xr:uid="{618C45BF-71CE-4163-86E2-008BEDFC1AC1}"/>
    <cellStyle name="Notas 2 2 2 2 15 2 5" xfId="2034" xr:uid="{EA380C22-A2D4-43CC-99E9-E75DEE0DA5C5}"/>
    <cellStyle name="Notas 2 2 2 2 15 2 6" xfId="2441" xr:uid="{23C0B174-B632-43D7-A0DE-4B3650187096}"/>
    <cellStyle name="Notas 2 2 2 2 15 3" xfId="598" xr:uid="{2515B62F-04E4-4166-8B41-E40CD632F06B}"/>
    <cellStyle name="Notas 2 2 2 2 15 4" xfId="1016" xr:uid="{D9F3CE7B-61EB-4B3E-87B9-3E1992844E23}"/>
    <cellStyle name="Notas 2 2 2 2 15 5" xfId="1429" xr:uid="{963F0FEC-4E06-4BE5-96AA-88420DFF1616}"/>
    <cellStyle name="Notas 2 2 2 2 15 6" xfId="1840" xr:uid="{A9F7D103-9950-4DCD-B9FD-38A269ACDA6A}"/>
    <cellStyle name="Notas 2 2 2 2 15 7" xfId="2248" xr:uid="{35DD8FB3-1AE7-4948-AB83-9ABCA5281999}"/>
    <cellStyle name="Notas 2 2 2 2 16" xfId="172" xr:uid="{C8915F99-B71A-4FF1-ACF8-A26C4E15AE9D}"/>
    <cellStyle name="Notas 2 2 2 2 16 2" xfId="369" xr:uid="{3F32F0F0-FCB5-4849-9A7A-708C54ABF816}"/>
    <cellStyle name="Notas 2 2 2 2 16 2 2" xfId="803" xr:uid="{A42C0D0C-ED7F-4DAA-B5AB-42B232B28E13}"/>
    <cellStyle name="Notas 2 2 2 2 16 2 3" xfId="1218" xr:uid="{C45FFB18-344B-4834-AAB8-E8EF405BC278}"/>
    <cellStyle name="Notas 2 2 2 2 16 2 4" xfId="1631" xr:uid="{670CB3ED-E52C-4013-84B2-5FB64B66ACF7}"/>
    <cellStyle name="Notas 2 2 2 2 16 2 5" xfId="2041" xr:uid="{E7FEE3BA-0F07-40A0-88F3-8F99EAD56ACA}"/>
    <cellStyle name="Notas 2 2 2 2 16 2 6" xfId="2448" xr:uid="{19DE65FE-A5CF-46C9-9271-1B84E5C5CDF8}"/>
    <cellStyle name="Notas 2 2 2 2 16 3" xfId="606" xr:uid="{5805A73A-C459-4E3B-AD8B-3A1756FA9979}"/>
    <cellStyle name="Notas 2 2 2 2 16 4" xfId="1024" xr:uid="{DB93BE5C-574E-46F5-B5C8-5CE5FEA129BC}"/>
    <cellStyle name="Notas 2 2 2 2 16 5" xfId="1437" xr:uid="{1530861F-EB14-4DBA-8813-C81EC97E17BE}"/>
    <cellStyle name="Notas 2 2 2 2 16 6" xfId="1847" xr:uid="{1094B180-0694-49C1-9DB4-E65791FF00D4}"/>
    <cellStyle name="Notas 2 2 2 2 16 7" xfId="2255" xr:uid="{8C4E7DD0-F2B8-423E-B881-1EC2A66727F3}"/>
    <cellStyle name="Notas 2 2 2 2 17" xfId="182" xr:uid="{7D842BB6-2A1B-49A9-BB05-3BE5F893B2DC}"/>
    <cellStyle name="Notas 2 2 2 2 17 2" xfId="379" xr:uid="{3710ECB0-D11D-4382-AD14-20107EFE676F}"/>
    <cellStyle name="Notas 2 2 2 2 17 2 2" xfId="813" xr:uid="{C4FA79DA-9995-40A7-8712-6CB6B75CA897}"/>
    <cellStyle name="Notas 2 2 2 2 17 2 3" xfId="1228" xr:uid="{BDED86C3-0ABA-4BC0-9468-56B48A32AE26}"/>
    <cellStyle name="Notas 2 2 2 2 17 2 4" xfId="1641" xr:uid="{42EED954-4409-470E-8910-81599024F1F4}"/>
    <cellStyle name="Notas 2 2 2 2 17 2 5" xfId="2051" xr:uid="{E8328F02-A9DF-4CBC-AE35-4F8DABAB7266}"/>
    <cellStyle name="Notas 2 2 2 2 17 2 6" xfId="2458" xr:uid="{E7ED5B8E-FFD2-4AED-9EBB-C768497FC1E3}"/>
    <cellStyle name="Notas 2 2 2 2 17 3" xfId="616" xr:uid="{545942CA-B61E-4722-858D-EFF9A51A4619}"/>
    <cellStyle name="Notas 2 2 2 2 17 4" xfId="1034" xr:uid="{893EC3F7-2757-4A35-BFE7-72A6B399FDC8}"/>
    <cellStyle name="Notas 2 2 2 2 17 5" xfId="1447" xr:uid="{432F82B1-6329-4021-9A33-7CE9FC020650}"/>
    <cellStyle name="Notas 2 2 2 2 17 6" xfId="1857" xr:uid="{17070755-2EF5-4EDE-818A-79FCE074F36A}"/>
    <cellStyle name="Notas 2 2 2 2 17 7" xfId="2265" xr:uid="{3789822A-D057-4A08-A040-57D887A235E5}"/>
    <cellStyle name="Notas 2 2 2 2 18" xfId="192" xr:uid="{96E849BA-43D0-493C-A07F-CEF39ABB4B95}"/>
    <cellStyle name="Notas 2 2 2 2 18 2" xfId="389" xr:uid="{C443C743-A780-4885-8468-157DE88478FF}"/>
    <cellStyle name="Notas 2 2 2 2 18 2 2" xfId="823" xr:uid="{0BC45755-0FCB-4258-8115-CAE539A131A6}"/>
    <cellStyle name="Notas 2 2 2 2 18 2 3" xfId="1238" xr:uid="{E6C35F1A-D133-4D1A-A23D-A498D5BBA12B}"/>
    <cellStyle name="Notas 2 2 2 2 18 2 4" xfId="1651" xr:uid="{5321AEC2-81C6-4565-A153-F2435DD0F28E}"/>
    <cellStyle name="Notas 2 2 2 2 18 2 5" xfId="2061" xr:uid="{7DE74F53-E975-4F06-8D6F-1E9AEA89714F}"/>
    <cellStyle name="Notas 2 2 2 2 18 2 6" xfId="2468" xr:uid="{FE5EF2B9-5053-430E-9B15-530ED0D96E05}"/>
    <cellStyle name="Notas 2 2 2 2 18 3" xfId="626" xr:uid="{36CE51E6-AEEB-4E59-9A41-12DCD4CDABB2}"/>
    <cellStyle name="Notas 2 2 2 2 18 4" xfId="1044" xr:uid="{D996E8FA-AA71-4F17-8656-0045D214AD3D}"/>
    <cellStyle name="Notas 2 2 2 2 18 5" xfId="1457" xr:uid="{96CCD11A-E267-4321-9520-A31853F2E84B}"/>
    <cellStyle name="Notas 2 2 2 2 18 6" xfId="1867" xr:uid="{A0A379E6-DBF6-4420-A9F0-3F091FF9F196}"/>
    <cellStyle name="Notas 2 2 2 2 18 7" xfId="2275" xr:uid="{3922CE30-A408-4A40-9325-1E5E1B696073}"/>
    <cellStyle name="Notas 2 2 2 2 19" xfId="202" xr:uid="{F0286EB3-3DD6-4D0F-8C45-C41F91B8C770}"/>
    <cellStyle name="Notas 2 2 2 2 19 2" xfId="399" xr:uid="{BA6E49C0-8353-45BF-AF7C-25C13D5761D4}"/>
    <cellStyle name="Notas 2 2 2 2 19 2 2" xfId="833" xr:uid="{523B58C9-B0F7-423B-B857-970EE76E3C7E}"/>
    <cellStyle name="Notas 2 2 2 2 19 2 3" xfId="1248" xr:uid="{239B300F-04BD-434E-9A46-CF34CF2604E5}"/>
    <cellStyle name="Notas 2 2 2 2 19 2 4" xfId="1661" xr:uid="{738748C6-A141-4611-AB36-4D7139CC8354}"/>
    <cellStyle name="Notas 2 2 2 2 19 2 5" xfId="2071" xr:uid="{15D6E2C3-F463-4B35-A792-B92C47708C6A}"/>
    <cellStyle name="Notas 2 2 2 2 19 2 6" xfId="2478" xr:uid="{DF301904-5D4F-4A06-91BF-1E53C210544E}"/>
    <cellStyle name="Notas 2 2 2 2 19 3" xfId="636" xr:uid="{8F9D4421-036A-49A9-94D0-01D99A25D648}"/>
    <cellStyle name="Notas 2 2 2 2 19 4" xfId="1054" xr:uid="{3CC03D75-17C1-43E7-B6CC-3731B3EDEA0D}"/>
    <cellStyle name="Notas 2 2 2 2 19 5" xfId="1467" xr:uid="{D0AE2877-4000-41E5-BA5F-EBE0DFC59C4B}"/>
    <cellStyle name="Notas 2 2 2 2 19 6" xfId="1877" xr:uid="{D56DB3F2-C20F-4B92-96B1-5A72B7A509B1}"/>
    <cellStyle name="Notas 2 2 2 2 19 7" xfId="2285" xr:uid="{72648EEF-C34E-46B4-9C2E-347A2BC9DC02}"/>
    <cellStyle name="Notas 2 2 2 2 2" xfId="48" xr:uid="{00000000-0005-0000-0000-000062000000}"/>
    <cellStyle name="Notas 2 2 2 2 2 2" xfId="245" xr:uid="{9B5BA3D1-F60F-47C6-830D-E2B746D1D245}"/>
    <cellStyle name="Notas 2 2 2 2 2 2 2" xfId="679" xr:uid="{5ED8E092-4DC0-458B-9B92-7B563B7144CF}"/>
    <cellStyle name="Notas 2 2 2 2 2 2 3" xfId="1096" xr:uid="{7D87114C-ACE9-41F4-B5FB-2DC311929B1A}"/>
    <cellStyle name="Notas 2 2 2 2 2 2 4" xfId="1509" xr:uid="{3C65E2C4-04DC-4A34-901D-AAFB3CFF580C}"/>
    <cellStyle name="Notas 2 2 2 2 2 2 5" xfId="1919" xr:uid="{B09B2CA9-E61E-4A5A-B96B-3168BC56B062}"/>
    <cellStyle name="Notas 2 2 2 2 2 2 6" xfId="2327" xr:uid="{79678C53-C410-480F-9D36-C192A8F8235E}"/>
    <cellStyle name="Notas 2 2 2 2 2 3" xfId="482" xr:uid="{1DC7AAF2-153D-4007-B0D5-991934D675E9}"/>
    <cellStyle name="Notas 2 2 2 2 2 4" xfId="900" xr:uid="{7B5430A7-D915-4CF8-8F3F-032ACEE2F085}"/>
    <cellStyle name="Notas 2 2 2 2 2 5" xfId="1315" xr:uid="{77F14421-D4B2-448B-9BA6-3AD260AE2A32}"/>
    <cellStyle name="Notas 2 2 2 2 2 6" xfId="1726" xr:uid="{4880CE0E-A3D3-4F78-901D-5040783AF877}"/>
    <cellStyle name="Notas 2 2 2 2 2 7" xfId="2134" xr:uid="{ED4A9359-02E7-42B9-BB68-E61CD6E529DF}"/>
    <cellStyle name="Notas 2 2 2 2 20" xfId="214" xr:uid="{9025A42D-F0FE-4026-A631-362084A7984F}"/>
    <cellStyle name="Notas 2 2 2 2 20 2" xfId="411" xr:uid="{AD2DDDFF-ADAA-484E-8F48-DC5E6B0ED962}"/>
    <cellStyle name="Notas 2 2 2 2 20 2 2" xfId="845" xr:uid="{C372A837-CE6F-403B-B95C-1699AF7E98BF}"/>
    <cellStyle name="Notas 2 2 2 2 20 2 3" xfId="1260" xr:uid="{C4116C2D-4C37-49E1-A3E4-2548CE735BEE}"/>
    <cellStyle name="Notas 2 2 2 2 20 2 4" xfId="1673" xr:uid="{C9673B43-0D03-4ED0-BF6D-5A3DC8D4CC54}"/>
    <cellStyle name="Notas 2 2 2 2 20 2 5" xfId="2083" xr:uid="{1B8E5EC1-2FA0-4962-88B5-C0F07C0089AF}"/>
    <cellStyle name="Notas 2 2 2 2 20 2 6" xfId="2490" xr:uid="{4CFC4F1B-B031-4415-ABA1-3FEE6DCE743C}"/>
    <cellStyle name="Notas 2 2 2 2 20 3" xfId="648" xr:uid="{B11F11DF-EB9C-4355-98CF-F26A12171B82}"/>
    <cellStyle name="Notas 2 2 2 2 20 4" xfId="1066" xr:uid="{47FAA886-C532-40B7-AB33-7FEAC2AAD658}"/>
    <cellStyle name="Notas 2 2 2 2 20 5" xfId="1479" xr:uid="{E21C1642-B63A-437C-A554-D30DA3BAFB4B}"/>
    <cellStyle name="Notas 2 2 2 2 20 6" xfId="1889" xr:uid="{AABA12B4-6EC1-4397-BC0C-C482F69500D5}"/>
    <cellStyle name="Notas 2 2 2 2 20 7" xfId="2297" xr:uid="{13FD1805-80ED-4468-A937-24AD35C7CBE9}"/>
    <cellStyle name="Notas 2 2 2 2 21" xfId="220" xr:uid="{4B7A8BDD-C0AF-4785-BDA0-51C16321621D}"/>
    <cellStyle name="Notas 2 2 2 2 21 2" xfId="417" xr:uid="{3B9FFB65-717D-490E-9017-FE1C3B666276}"/>
    <cellStyle name="Notas 2 2 2 2 21 2 2" xfId="851" xr:uid="{3C65AB75-0CB6-4457-B7A2-4583591DFBC6}"/>
    <cellStyle name="Notas 2 2 2 2 21 2 3" xfId="1266" xr:uid="{164E7780-6EB1-402B-833A-15B75245E3F8}"/>
    <cellStyle name="Notas 2 2 2 2 21 2 4" xfId="1679" xr:uid="{0720AAB8-870A-4394-BDCA-3A5EBA4AE394}"/>
    <cellStyle name="Notas 2 2 2 2 21 2 5" xfId="2089" xr:uid="{F91A3320-B046-4B13-81B9-462D789729E8}"/>
    <cellStyle name="Notas 2 2 2 2 21 2 6" xfId="2496" xr:uid="{71231F36-D6BC-4786-939C-8A9234114BF6}"/>
    <cellStyle name="Notas 2 2 2 2 21 3" xfId="654" xr:uid="{E875BA15-B56F-4FAB-8CBF-227B7FF62973}"/>
    <cellStyle name="Notas 2 2 2 2 21 4" xfId="1072" xr:uid="{C763BB1C-AAD0-421D-9BAF-84D48E5B12F5}"/>
    <cellStyle name="Notas 2 2 2 2 21 5" xfId="1485" xr:uid="{A3C787FD-2F01-4ED6-B7AC-F1E2865FF46E}"/>
    <cellStyle name="Notas 2 2 2 2 21 6" xfId="1895" xr:uid="{01D06279-35AC-4402-8456-433155C1F62B}"/>
    <cellStyle name="Notas 2 2 2 2 21 7" xfId="2303" xr:uid="{7B9C48B4-4126-4D1D-9868-7CAE3A428B2E}"/>
    <cellStyle name="Notas 2 2 2 2 22" xfId="230" xr:uid="{C0E68636-DD69-4962-9D41-CE4065CE5566}"/>
    <cellStyle name="Notas 2 2 2 2 22 2" xfId="664" xr:uid="{E1DC6347-A7C0-4262-9058-AC2EC31686B8}"/>
    <cellStyle name="Notas 2 2 2 2 22 3" xfId="1082" xr:uid="{6AF948C1-D3EC-4133-BF35-229F32B7F668}"/>
    <cellStyle name="Notas 2 2 2 2 22 4" xfId="1495" xr:uid="{ADEA6AAE-D82F-45E0-879C-3D371A402934}"/>
    <cellStyle name="Notas 2 2 2 2 22 5" xfId="1905" xr:uid="{64367B8A-4EF1-47B4-BD10-B5275CE19FB9}"/>
    <cellStyle name="Notas 2 2 2 2 22 6" xfId="2313" xr:uid="{48EDF103-DE72-406C-858E-32C708BACF04}"/>
    <cellStyle name="Notas 2 2 2 2 23" xfId="427" xr:uid="{559E57BC-CD11-4BB4-8FEC-13B230C9CC62}"/>
    <cellStyle name="Notas 2 2 2 2 23 2" xfId="861" xr:uid="{F04FADFF-0409-401B-8AF0-2C0703B4A3DE}"/>
    <cellStyle name="Notas 2 2 2 2 23 3" xfId="1276" xr:uid="{3D72D7F8-ADAF-45B5-A0FC-3FC14FD8E435}"/>
    <cellStyle name="Notas 2 2 2 2 23 4" xfId="1689" xr:uid="{CF1B8CD2-DBBE-43DE-8CD8-AB21F364BBBE}"/>
    <cellStyle name="Notas 2 2 2 2 23 5" xfId="2099" xr:uid="{B52FC4B2-144E-481A-B0BB-E5DFDF98B9A0}"/>
    <cellStyle name="Notas 2 2 2 2 23 6" xfId="2506" xr:uid="{637934FD-82AE-4282-8CF2-B8571F9CFBD7}"/>
    <cellStyle name="Notas 2 2 2 2 24" xfId="442" xr:uid="{B93DA6D6-4852-47A1-8B6E-2AA29E776D15}"/>
    <cellStyle name="Notas 2 2 2 2 24 2" xfId="876" xr:uid="{43A327EC-90FC-4B0A-B6EF-B9EB632EDCD2}"/>
    <cellStyle name="Notas 2 2 2 2 24 3" xfId="1290" xr:uid="{05E7734E-8F31-4171-9231-323CB053726D}"/>
    <cellStyle name="Notas 2 2 2 2 24 4" xfId="1704" xr:uid="{74A94E02-BBC9-497E-ADC3-5BDE6A2043D8}"/>
    <cellStyle name="Notas 2 2 2 2 24 5" xfId="2114" xr:uid="{B605CAD4-3EC4-4CB0-8A65-2B166B74DF43}"/>
    <cellStyle name="Notas 2 2 2 2 24 6" xfId="2520" xr:uid="{683B7483-99AF-47C0-A9E9-7F4260C74450}"/>
    <cellStyle name="Notas 2 2 2 2 25" xfId="431" xr:uid="{4C3C63D2-428B-4D83-BB6E-D4835F1FF8AA}"/>
    <cellStyle name="Notas 2 2 2 2 25 2" xfId="865" xr:uid="{605C11A0-7C84-4BA3-8E4A-448494BA914F}"/>
    <cellStyle name="Notas 2 2 2 2 25 3" xfId="1279" xr:uid="{54CEB559-2E61-436E-86D2-8B2630A1799A}"/>
    <cellStyle name="Notas 2 2 2 2 25 4" xfId="1693" xr:uid="{C8AC39CC-4DA6-4966-B0BD-C8A3FE631E03}"/>
    <cellStyle name="Notas 2 2 2 2 25 5" xfId="2103" xr:uid="{48F54BA0-8960-4E0A-8468-92F64F7E6A4F}"/>
    <cellStyle name="Notas 2 2 2 2 25 6" xfId="2509" xr:uid="{8B460FA4-F073-49BA-AF09-8EB4792FBD9C}"/>
    <cellStyle name="Notas 2 2 2 2 26" xfId="462" xr:uid="{7D979C94-8534-4C22-B74B-CF0422F3445D}"/>
    <cellStyle name="Notas 2 2 2 2 27" xfId="461" xr:uid="{DD566933-5E9F-42D8-B1B1-DAAB7CA68357}"/>
    <cellStyle name="Notas 2 2 2 2 28" xfId="1298" xr:uid="{600498BF-A842-4ABB-9663-7976B059A37E}"/>
    <cellStyle name="Notas 2 2 2 2 29" xfId="1431" xr:uid="{DC5EF824-0680-4EA8-9E33-77E36BFA93AF}"/>
    <cellStyle name="Notas 2 2 2 2 3" xfId="61" xr:uid="{00000000-0005-0000-0000-000063000000}"/>
    <cellStyle name="Notas 2 2 2 2 3 2" xfId="258" xr:uid="{71B4C665-F2F9-4211-8B70-82179F999AFE}"/>
    <cellStyle name="Notas 2 2 2 2 3 2 2" xfId="692" xr:uid="{C6A20D83-DD92-43CB-A390-45A2809BFD46}"/>
    <cellStyle name="Notas 2 2 2 2 3 2 3" xfId="1109" xr:uid="{E3E8981D-7CFC-4602-9EE5-240343301F0B}"/>
    <cellStyle name="Notas 2 2 2 2 3 2 4" xfId="1521" xr:uid="{E597B47E-A850-4EAF-98FA-0558E0EF2E40}"/>
    <cellStyle name="Notas 2 2 2 2 3 2 5" xfId="1932" xr:uid="{5D431572-57ED-440F-9B38-69FEFBA1FB8C}"/>
    <cellStyle name="Notas 2 2 2 2 3 2 6" xfId="2339" xr:uid="{72337B99-FE33-419B-A5C8-0375E9C673E1}"/>
    <cellStyle name="Notas 2 2 2 2 3 3" xfId="495" xr:uid="{ADDCBF25-E60E-4055-BB21-10B1F830B83A}"/>
    <cellStyle name="Notas 2 2 2 2 3 4" xfId="913" xr:uid="{127028D5-6A7B-4198-BE0F-78D338D81C7E}"/>
    <cellStyle name="Notas 2 2 2 2 3 5" xfId="1327" xr:uid="{89D87029-61DA-4301-AAC7-359C34886980}"/>
    <cellStyle name="Notas 2 2 2 2 3 6" xfId="1738" xr:uid="{747F56F1-1282-49FC-8F2E-A3B51E6209BB}"/>
    <cellStyle name="Notas 2 2 2 2 3 7" xfId="2146" xr:uid="{22091A74-48DF-4D1A-AC82-51A84D47F5CA}"/>
    <cellStyle name="Notas 2 2 2 2 30" xfId="1922" xr:uid="{79E23DE3-4BFC-4337-92D5-95641DC1C89F}"/>
    <cellStyle name="Notas 2 2 2 2 4" xfId="52" xr:uid="{00000000-0005-0000-0000-000064000000}"/>
    <cellStyle name="Notas 2 2 2 2 4 2" xfId="249" xr:uid="{2DD190BC-BDA6-44B2-A3AB-7F1779C3C25F}"/>
    <cellStyle name="Notas 2 2 2 2 4 2 2" xfId="683" xr:uid="{0504211B-2FF2-46B6-9F90-2E67094FF517}"/>
    <cellStyle name="Notas 2 2 2 2 4 2 3" xfId="1100" xr:uid="{2283A3F2-AAAA-47AA-B828-603926B42A4B}"/>
    <cellStyle name="Notas 2 2 2 2 4 2 4" xfId="1512" xr:uid="{222E8A3E-FA04-4B2F-BE96-25AF3468E50F}"/>
    <cellStyle name="Notas 2 2 2 2 4 2 5" xfId="1923" xr:uid="{C78282C8-7A04-423B-BCCB-D18F2B83CDFE}"/>
    <cellStyle name="Notas 2 2 2 2 4 2 6" xfId="2330" xr:uid="{9E89BB0C-14CB-4BAE-BA10-D7095A41C4B5}"/>
    <cellStyle name="Notas 2 2 2 2 4 3" xfId="486" xr:uid="{2084093A-9E4E-4D33-A3A7-4EFA839D4CA3}"/>
    <cellStyle name="Notas 2 2 2 2 4 4" xfId="904" xr:uid="{51720FEA-23FC-48A1-A90C-8378E7473E7C}"/>
    <cellStyle name="Notas 2 2 2 2 4 5" xfId="1318" xr:uid="{755066BF-0043-47ED-95FB-9FB8206CB996}"/>
    <cellStyle name="Notas 2 2 2 2 4 6" xfId="1729" xr:uid="{24A324D8-05E2-467B-B768-A1873977FD10}"/>
    <cellStyle name="Notas 2 2 2 2 4 7" xfId="2137" xr:uid="{A20FE615-366B-4DE5-BD15-B8BE83260776}"/>
    <cellStyle name="Notas 2 2 2 2 5" xfId="67" xr:uid="{00000000-0005-0000-0000-000065000000}"/>
    <cellStyle name="Notas 2 2 2 2 5 2" xfId="264" xr:uid="{3E676E23-AC0E-4770-881B-883EF1A27A65}"/>
    <cellStyle name="Notas 2 2 2 2 5 2 2" xfId="698" xr:uid="{F11A7FB0-6F8A-4DD2-ADB3-3ACD6E744443}"/>
    <cellStyle name="Notas 2 2 2 2 5 2 3" xfId="1115" xr:uid="{AB0AAE19-5A65-41CF-809D-FD110FCE9F91}"/>
    <cellStyle name="Notas 2 2 2 2 5 2 4" xfId="1527" xr:uid="{69D2E31F-9FFB-46F7-9F1B-50BC7A394DEF}"/>
    <cellStyle name="Notas 2 2 2 2 5 2 5" xfId="1938" xr:uid="{75C14BC2-DED7-419E-A4D8-EF58B2B30365}"/>
    <cellStyle name="Notas 2 2 2 2 5 2 6" xfId="2345" xr:uid="{AA41C62C-A514-4931-B53F-72A958DD70DC}"/>
    <cellStyle name="Notas 2 2 2 2 5 3" xfId="501" xr:uid="{84D4FADF-B009-451B-95B2-B528E7AF67E3}"/>
    <cellStyle name="Notas 2 2 2 2 5 4" xfId="919" xr:uid="{13B38FC3-CA02-4F21-A74C-FCFC078D0F93}"/>
    <cellStyle name="Notas 2 2 2 2 5 5" xfId="1333" xr:uid="{30A36790-BDED-4783-BED2-997DC96A3D73}"/>
    <cellStyle name="Notas 2 2 2 2 5 6" xfId="1744" xr:uid="{7B5CE5AE-AEC9-477A-B808-E567D4C5F4A8}"/>
    <cellStyle name="Notas 2 2 2 2 5 7" xfId="2152" xr:uid="{831E6B54-0A98-4454-BB03-10942EDCB7F5}"/>
    <cellStyle name="Notas 2 2 2 2 6" xfId="79" xr:uid="{00000000-0005-0000-0000-000066000000}"/>
    <cellStyle name="Notas 2 2 2 2 6 2" xfId="276" xr:uid="{0B34579B-1134-42B2-9780-1E58655015FB}"/>
    <cellStyle name="Notas 2 2 2 2 6 2 2" xfId="710" xr:uid="{E158AD41-D7F6-4202-A7C9-5FF0AD0AE46E}"/>
    <cellStyle name="Notas 2 2 2 2 6 2 3" xfId="1127" xr:uid="{EB105D5F-7201-438E-8423-9BD36A7468D7}"/>
    <cellStyle name="Notas 2 2 2 2 6 2 4" xfId="1539" xr:uid="{5852A8C7-5621-471F-B25F-11CA7A989427}"/>
    <cellStyle name="Notas 2 2 2 2 6 2 5" xfId="1950" xr:uid="{5A3E164D-332E-4D25-93FE-00B2A2ABDD69}"/>
    <cellStyle name="Notas 2 2 2 2 6 2 6" xfId="2357" xr:uid="{E97A623D-9F1E-4A21-BD8F-7CAB84971213}"/>
    <cellStyle name="Notas 2 2 2 2 6 3" xfId="513" xr:uid="{13F3D001-8B7A-4664-A5DD-4D44B982BCFA}"/>
    <cellStyle name="Notas 2 2 2 2 6 4" xfId="931" xr:uid="{9DB73EB2-3129-4455-A128-94E16D5F3A62}"/>
    <cellStyle name="Notas 2 2 2 2 6 5" xfId="1345" xr:uid="{2FFFD723-4F76-409F-BBE3-23131C421993}"/>
    <cellStyle name="Notas 2 2 2 2 6 6" xfId="1756" xr:uid="{48FE3333-86AD-449A-A1A3-A45AA1A65852}"/>
    <cellStyle name="Notas 2 2 2 2 6 7" xfId="2164" xr:uid="{96EFDF4E-7FFF-4C78-9E86-BEE1E057DFBD}"/>
    <cellStyle name="Notas 2 2 2 2 7" xfId="95" xr:uid="{00000000-0005-0000-0000-000067000000}"/>
    <cellStyle name="Notas 2 2 2 2 7 2" xfId="292" xr:uid="{61D6255D-6867-4439-A1AA-F7C1FCBF242E}"/>
    <cellStyle name="Notas 2 2 2 2 7 2 2" xfId="726" xr:uid="{290312FD-95EA-4FAE-B432-42B21608FC5E}"/>
    <cellStyle name="Notas 2 2 2 2 7 2 3" xfId="1142" xr:uid="{54841792-4629-4B3D-83F9-B8531767ECB1}"/>
    <cellStyle name="Notas 2 2 2 2 7 2 4" xfId="1555" xr:uid="{24777B2C-4A91-4021-B5CE-F18F5205A9C4}"/>
    <cellStyle name="Notas 2 2 2 2 7 2 5" xfId="1965" xr:uid="{2B5EAF40-4D15-4C92-A24A-188C14988F53}"/>
    <cellStyle name="Notas 2 2 2 2 7 2 6" xfId="2372" xr:uid="{73287101-C8C4-4A3E-950A-D6F98F6E3B0E}"/>
    <cellStyle name="Notas 2 2 2 2 7 3" xfId="529" xr:uid="{E9D58F92-A21E-4192-ACA5-B923FB164AF6}"/>
    <cellStyle name="Notas 2 2 2 2 7 4" xfId="947" xr:uid="{95D3661D-3A13-4E5C-9113-41EC0B74E396}"/>
    <cellStyle name="Notas 2 2 2 2 7 5" xfId="1360" xr:uid="{BD73455A-31F5-430B-88DC-51CB71488372}"/>
    <cellStyle name="Notas 2 2 2 2 7 6" xfId="1771" xr:uid="{B3CA5BFC-0A5A-49F5-9302-94A01059D4CA}"/>
    <cellStyle name="Notas 2 2 2 2 7 7" xfId="2179" xr:uid="{A4F168B6-83B4-49AE-BEEE-C1836BA0C43A}"/>
    <cellStyle name="Notas 2 2 2 2 8" xfId="102" xr:uid="{00000000-0005-0000-0000-000068000000}"/>
    <cellStyle name="Notas 2 2 2 2 8 2" xfId="299" xr:uid="{9198BDD1-E64F-4DFE-AD73-344BBBB3AC76}"/>
    <cellStyle name="Notas 2 2 2 2 8 2 2" xfId="733" xr:uid="{2E8F688B-339C-42F7-8E47-A17CC9CA95A5}"/>
    <cellStyle name="Notas 2 2 2 2 8 2 3" xfId="1149" xr:uid="{E702C5F2-C249-4FD4-8A5A-AF84366067CA}"/>
    <cellStyle name="Notas 2 2 2 2 8 2 4" xfId="1562" xr:uid="{26B6AF8C-8704-45B2-AC92-B83C5D6047C9}"/>
    <cellStyle name="Notas 2 2 2 2 8 2 5" xfId="1972" xr:uid="{9D64C88E-3ACB-42BF-92D2-B83EC7685EAF}"/>
    <cellStyle name="Notas 2 2 2 2 8 2 6" xfId="2379" xr:uid="{9AB439E4-4AF5-47C2-BAD1-C001C0C67359}"/>
    <cellStyle name="Notas 2 2 2 2 8 3" xfId="536" xr:uid="{10538771-0F71-477B-B374-568A965E5460}"/>
    <cellStyle name="Notas 2 2 2 2 8 4" xfId="954" xr:uid="{B69F31DD-3FDE-4B4A-82CD-D34968F87C2C}"/>
    <cellStyle name="Notas 2 2 2 2 8 5" xfId="1367" xr:uid="{6193E158-B248-4197-96D1-4012F49F512C}"/>
    <cellStyle name="Notas 2 2 2 2 8 6" xfId="1778" xr:uid="{E2A637E2-F1CA-423F-A4E2-1A0C4A982CA6}"/>
    <cellStyle name="Notas 2 2 2 2 8 7" xfId="2186" xr:uid="{333E0CD0-EE65-4B6E-895E-A2CE6141662B}"/>
    <cellStyle name="Notas 2 2 2 2 9" xfId="108" xr:uid="{00000000-0005-0000-0000-000069000000}"/>
    <cellStyle name="Notas 2 2 2 2 9 2" xfId="305" xr:uid="{703C51CF-3432-42F5-BD9A-476DAA33E3B6}"/>
    <cellStyle name="Notas 2 2 2 2 9 2 2" xfId="739" xr:uid="{9C22AAA9-0611-49EE-9AF0-30D95DBC876E}"/>
    <cellStyle name="Notas 2 2 2 2 9 2 3" xfId="1155" xr:uid="{57036FE7-22F8-49CA-B94A-3DC4D53C903B}"/>
    <cellStyle name="Notas 2 2 2 2 9 2 4" xfId="1568" xr:uid="{B96A3CE1-D4B5-45E7-9A75-B616CB093CEF}"/>
    <cellStyle name="Notas 2 2 2 2 9 2 5" xfId="1978" xr:uid="{6032D58B-300A-4645-BE4F-9AABD251A13B}"/>
    <cellStyle name="Notas 2 2 2 2 9 2 6" xfId="2385" xr:uid="{A9586E6C-DA93-4EF7-8F7F-C1E39141D5A0}"/>
    <cellStyle name="Notas 2 2 2 2 9 3" xfId="542" xr:uid="{E3E5DF08-8C49-4D2F-85BF-8DCB7C70222F}"/>
    <cellStyle name="Notas 2 2 2 2 9 4" xfId="960" xr:uid="{27BC4498-A058-474F-A663-7289AF6EAEBC}"/>
    <cellStyle name="Notas 2 2 2 2 9 5" xfId="1373" xr:uid="{EFC92643-D3F6-432A-8082-9884EBE96466}"/>
    <cellStyle name="Notas 2 2 2 2 9 6" xfId="1784" xr:uid="{CEE37F2E-8520-4C05-B4D4-CB5D60AE487B}"/>
    <cellStyle name="Notas 2 2 2 2 9 7" xfId="2192" xr:uid="{9BC67E6F-04BD-4211-A056-40595B67E450}"/>
    <cellStyle name="Notas 2 2 2 20" xfId="201" xr:uid="{C488D8C0-4BD7-49F7-8236-2B4FB63FCB42}"/>
    <cellStyle name="Notas 2 2 2 20 2" xfId="398" xr:uid="{D40A752E-0941-4BEF-ACB5-C51ABC3B24C3}"/>
    <cellStyle name="Notas 2 2 2 20 2 2" xfId="832" xr:uid="{E9B7084D-EA3D-41FB-ACAD-055756D9B767}"/>
    <cellStyle name="Notas 2 2 2 20 2 3" xfId="1247" xr:uid="{6FA61F90-183A-4468-9036-8867C615C072}"/>
    <cellStyle name="Notas 2 2 2 20 2 4" xfId="1660" xr:uid="{B9D4EB78-CC56-447E-84DF-093130D5D197}"/>
    <cellStyle name="Notas 2 2 2 20 2 5" xfId="2070" xr:uid="{A473AA1A-0013-49E7-9F53-265B12EE92CE}"/>
    <cellStyle name="Notas 2 2 2 20 2 6" xfId="2477" xr:uid="{9C169AF6-DFDF-4237-9CAB-873472A14171}"/>
    <cellStyle name="Notas 2 2 2 20 3" xfId="635" xr:uid="{0D40E1F1-13C8-41F0-8DE7-3E6A6ECD9F4B}"/>
    <cellStyle name="Notas 2 2 2 20 4" xfId="1053" xr:uid="{700A50BC-21E2-410B-B309-59284BF6843C}"/>
    <cellStyle name="Notas 2 2 2 20 5" xfId="1466" xr:uid="{CB92C7B7-7D0E-4E14-A93B-626CCB099EA7}"/>
    <cellStyle name="Notas 2 2 2 20 6" xfId="1876" xr:uid="{ED8B66D3-EA07-49F8-B5B0-FA2B7032FA3C}"/>
    <cellStyle name="Notas 2 2 2 20 7" xfId="2284" xr:uid="{5666437C-8FB5-4989-AE8E-A20D3B2C9BAB}"/>
    <cellStyle name="Notas 2 2 2 21" xfId="213" xr:uid="{735F9C02-1181-4375-BEB2-AF8B056359E3}"/>
    <cellStyle name="Notas 2 2 2 21 2" xfId="410" xr:uid="{5AFDA3EF-DCF7-48E5-846C-F4D499D38065}"/>
    <cellStyle name="Notas 2 2 2 21 2 2" xfId="844" xr:uid="{693A0E72-A8CD-4250-A1F1-430AFAB656B0}"/>
    <cellStyle name="Notas 2 2 2 21 2 3" xfId="1259" xr:uid="{9E0E507D-6305-48B6-AFF0-E9AB93183DEC}"/>
    <cellStyle name="Notas 2 2 2 21 2 4" xfId="1672" xr:uid="{80C028FF-8568-4C62-B7FB-90F75E747666}"/>
    <cellStyle name="Notas 2 2 2 21 2 5" xfId="2082" xr:uid="{5408A058-D51F-45F9-AF70-E94B3ACA3726}"/>
    <cellStyle name="Notas 2 2 2 21 2 6" xfId="2489" xr:uid="{9321689D-51D8-4A45-B015-42DE3C34C3E9}"/>
    <cellStyle name="Notas 2 2 2 21 3" xfId="647" xr:uid="{EE177150-B0D6-482C-A8F6-AB68E9C305F9}"/>
    <cellStyle name="Notas 2 2 2 21 4" xfId="1065" xr:uid="{88E10B32-619F-4349-8551-136215DF867B}"/>
    <cellStyle name="Notas 2 2 2 21 5" xfId="1478" xr:uid="{D32D1E1A-C6BA-49C4-AE86-DDEAE9133058}"/>
    <cellStyle name="Notas 2 2 2 21 6" xfId="1888" xr:uid="{F5ECE336-3206-498A-BA60-F9EA186DDE85}"/>
    <cellStyle name="Notas 2 2 2 21 7" xfId="2296" xr:uid="{09335605-4D63-4BF5-93B0-07F82CCED3EE}"/>
    <cellStyle name="Notas 2 2 2 22" xfId="219" xr:uid="{D9BCF46B-A5FE-42B3-8615-D5A079B81DBA}"/>
    <cellStyle name="Notas 2 2 2 22 2" xfId="416" xr:uid="{7AE2F2FF-5376-4BA5-8386-63679BA313C4}"/>
    <cellStyle name="Notas 2 2 2 22 2 2" xfId="850" xr:uid="{6FFF67D8-9E22-4B4C-8CBC-DA24B17CA973}"/>
    <cellStyle name="Notas 2 2 2 22 2 3" xfId="1265" xr:uid="{FAF7579B-DC33-4AD0-A5F0-E3A8A2AD96E7}"/>
    <cellStyle name="Notas 2 2 2 22 2 4" xfId="1678" xr:uid="{E621E7E6-88DB-4900-987D-C0BC675C6381}"/>
    <cellStyle name="Notas 2 2 2 22 2 5" xfId="2088" xr:uid="{BBE05065-D2C5-4E85-B143-2FABE38B7B5A}"/>
    <cellStyle name="Notas 2 2 2 22 2 6" xfId="2495" xr:uid="{66B6F8F6-980C-4B1D-8692-2A6F820B8D8A}"/>
    <cellStyle name="Notas 2 2 2 22 3" xfId="653" xr:uid="{16DFCB11-6C1A-488D-BE57-E339753B7BED}"/>
    <cellStyle name="Notas 2 2 2 22 4" xfId="1071" xr:uid="{96BA4E29-2D1D-4726-BB2A-C88C39A3D2CD}"/>
    <cellStyle name="Notas 2 2 2 22 5" xfId="1484" xr:uid="{40A76DD0-9F8E-4D9B-839F-0029FB30206A}"/>
    <cellStyle name="Notas 2 2 2 22 6" xfId="1894" xr:uid="{6ED709CF-7855-49B2-8561-C92303E539B1}"/>
    <cellStyle name="Notas 2 2 2 22 7" xfId="2302" xr:uid="{F82876E9-2E10-4924-9C36-DE51D512195C}"/>
    <cellStyle name="Notas 2 2 2 23" xfId="229" xr:uid="{7FD3EDCB-94E5-4798-8C00-5B8D0FFC780B}"/>
    <cellStyle name="Notas 2 2 2 23 2" xfId="663" xr:uid="{F67DE70B-CB71-45DD-B604-626C0400B87D}"/>
    <cellStyle name="Notas 2 2 2 23 3" xfId="1081" xr:uid="{179CA306-236D-417D-99A8-AEE1E045DF46}"/>
    <cellStyle name="Notas 2 2 2 23 4" xfId="1494" xr:uid="{F6BCC2B1-A88A-492B-96AE-EAAEE4D06E5B}"/>
    <cellStyle name="Notas 2 2 2 23 5" xfId="1904" xr:uid="{5FA3080D-D89B-42E3-B4C2-A5AD6975FC6E}"/>
    <cellStyle name="Notas 2 2 2 23 6" xfId="2312" xr:uid="{EE4C1C21-1B75-441C-9D8A-16D556F5F33F}"/>
    <cellStyle name="Notas 2 2 2 24" xfId="426" xr:uid="{CFE5A114-6BF6-49AF-A63D-378FAD45737B}"/>
    <cellStyle name="Notas 2 2 2 24 2" xfId="860" xr:uid="{BAA9FE7C-BC0F-4FDB-9A7A-4B099C7526E4}"/>
    <cellStyle name="Notas 2 2 2 24 3" xfId="1275" xr:uid="{8B887DE2-7DBB-4961-8A08-8BFEC700DED3}"/>
    <cellStyle name="Notas 2 2 2 24 4" xfId="1688" xr:uid="{C6F32546-D059-4370-9492-C5BA3C362535}"/>
    <cellStyle name="Notas 2 2 2 24 5" xfId="2098" xr:uid="{DD26EF8F-5DA2-4312-9648-BBFFF5A4EC3C}"/>
    <cellStyle name="Notas 2 2 2 24 6" xfId="2505" xr:uid="{FF1082B6-16AD-4E57-BEED-B6190A808BC3}"/>
    <cellStyle name="Notas 2 2 2 25" xfId="441" xr:uid="{EF5853C0-6D2F-4076-A1AD-055E2754AF7D}"/>
    <cellStyle name="Notas 2 2 2 25 2" xfId="875" xr:uid="{B97E3A0B-52D7-4E3C-AB4A-844D345FA6B3}"/>
    <cellStyle name="Notas 2 2 2 25 3" xfId="1289" xr:uid="{8EE82659-3873-4E0F-8002-BB3F37A5AC9A}"/>
    <cellStyle name="Notas 2 2 2 25 4" xfId="1703" xr:uid="{56B15908-29A0-44FA-80E3-4C473DC23F1E}"/>
    <cellStyle name="Notas 2 2 2 25 5" xfId="2113" xr:uid="{AEB587B0-8D30-4D0E-A847-37B7AE5C16AD}"/>
    <cellStyle name="Notas 2 2 2 25 6" xfId="2519" xr:uid="{6C2ACD57-283B-40FD-869E-AF123483C60C}"/>
    <cellStyle name="Notas 2 2 2 26" xfId="438" xr:uid="{372EA159-CA71-4558-A935-11B2972DA278}"/>
    <cellStyle name="Notas 2 2 2 26 2" xfId="872" xr:uid="{588C344C-1A24-49B4-9970-ED41353F3AC8}"/>
    <cellStyle name="Notas 2 2 2 26 3" xfId="1286" xr:uid="{D3BD4BC8-EC5F-4C3B-8EE2-8A2E04F1BB51}"/>
    <cellStyle name="Notas 2 2 2 26 4" xfId="1700" xr:uid="{C2CC27EE-6C19-481F-AB4E-D4812380D836}"/>
    <cellStyle name="Notas 2 2 2 26 5" xfId="2110" xr:uid="{711EAC51-1564-4362-BF3A-B6292905F091}"/>
    <cellStyle name="Notas 2 2 2 26 6" xfId="2516" xr:uid="{0FBD1A5F-3807-4483-8422-C31D290CA9FD}"/>
    <cellStyle name="Notas 2 2 2 27" xfId="460" xr:uid="{5CD467A8-C984-4770-B8E2-2C76E56E39C8}"/>
    <cellStyle name="Notas 2 2 2 28" xfId="470" xr:uid="{EAC41B24-C716-4DEE-AFC5-3228350FA1E0}"/>
    <cellStyle name="Notas 2 2 2 29" xfId="465" xr:uid="{ED7E3D5B-61B4-4916-BEEE-FD76081E8E68}"/>
    <cellStyle name="Notas 2 2 2 3" xfId="46" xr:uid="{00000000-0005-0000-0000-00006A000000}"/>
    <cellStyle name="Notas 2 2 2 3 2" xfId="243" xr:uid="{E41F847D-BA57-4546-9833-92B3D59EC9D4}"/>
    <cellStyle name="Notas 2 2 2 3 2 2" xfId="677" xr:uid="{32469E5D-F861-4D89-AEB9-27DEDCCBC5D5}"/>
    <cellStyle name="Notas 2 2 2 3 2 3" xfId="1094" xr:uid="{525AC7BD-C4AD-4411-BA9E-F21ADDCFB1E9}"/>
    <cellStyle name="Notas 2 2 2 3 2 4" xfId="1507" xr:uid="{FC96F6DD-402C-47E1-907E-003389A46D9E}"/>
    <cellStyle name="Notas 2 2 2 3 2 5" xfId="1917" xr:uid="{56E3948C-EAE6-40BB-857C-491ADCCFB9C6}"/>
    <cellStyle name="Notas 2 2 2 3 2 6" xfId="2325" xr:uid="{AAB78AAA-68F8-4B92-B291-AE21587B4EBA}"/>
    <cellStyle name="Notas 2 2 2 3 3" xfId="480" xr:uid="{F6C5CCA3-E8D5-47DB-8B85-0D7DDB6B7DA6}"/>
    <cellStyle name="Notas 2 2 2 3 4" xfId="898" xr:uid="{5C52899F-9314-4305-89C8-BA72F2BFC9F9}"/>
    <cellStyle name="Notas 2 2 2 3 5" xfId="1313" xr:uid="{0D5A5665-6CF5-4143-8AC8-E09DF4EFFD36}"/>
    <cellStyle name="Notas 2 2 2 3 6" xfId="1724" xr:uid="{0BCE4D73-ED59-42A4-860E-F2F7233710D2}"/>
    <cellStyle name="Notas 2 2 2 3 7" xfId="2132" xr:uid="{F6F6343B-DB2A-4132-B650-EBDD3E8C7FBC}"/>
    <cellStyle name="Notas 2 2 2 30" xfId="1541" xr:uid="{5E2179B4-C4CE-4A8D-B991-AEFB4DDF5015}"/>
    <cellStyle name="Notas 2 2 2 31" xfId="2101" xr:uid="{8A08DCAF-E433-4036-A4C6-44C0A481D0C3}"/>
    <cellStyle name="Notas 2 2 2 4" xfId="59" xr:uid="{00000000-0005-0000-0000-00006B000000}"/>
    <cellStyle name="Notas 2 2 2 4 2" xfId="256" xr:uid="{8C8C061A-E360-4A4F-8532-393FE4BC3D02}"/>
    <cellStyle name="Notas 2 2 2 4 2 2" xfId="690" xr:uid="{69F48102-4D43-4E59-B498-BD75CA17246F}"/>
    <cellStyle name="Notas 2 2 2 4 2 3" xfId="1107" xr:uid="{3E7066B2-14CB-44BD-ABDE-53BA66598616}"/>
    <cellStyle name="Notas 2 2 2 4 2 4" xfId="1519" xr:uid="{C015B563-1818-4A8B-836F-6CC3A1FEA4BD}"/>
    <cellStyle name="Notas 2 2 2 4 2 5" xfId="1930" xr:uid="{0CBF3FD1-A680-41F7-A9FB-E54BD2C7EE50}"/>
    <cellStyle name="Notas 2 2 2 4 2 6" xfId="2337" xr:uid="{5C485F97-1F0B-42B4-BB31-2F9ED1AA811F}"/>
    <cellStyle name="Notas 2 2 2 4 3" xfId="493" xr:uid="{8106E51C-2F5B-4ACB-B6BB-E73FC06ACA88}"/>
    <cellStyle name="Notas 2 2 2 4 4" xfId="911" xr:uid="{DE121D91-B030-45FE-94E2-7C67679F4C43}"/>
    <cellStyle name="Notas 2 2 2 4 5" xfId="1325" xr:uid="{5FF07752-B26D-45AA-93D6-05C87F8A608A}"/>
    <cellStyle name="Notas 2 2 2 4 6" xfId="1736" xr:uid="{FFCD9FB0-6F58-4F72-A13E-C35FBA8EE8E9}"/>
    <cellStyle name="Notas 2 2 2 4 7" xfId="2144" xr:uid="{1B86CC64-2F4B-46CC-9647-993FD6D5FB06}"/>
    <cellStyle name="Notas 2 2 2 5" xfId="56" xr:uid="{00000000-0005-0000-0000-00006C000000}"/>
    <cellStyle name="Notas 2 2 2 5 2" xfId="253" xr:uid="{A0179FAD-5E88-4DF7-9DB0-812F1FCD8D34}"/>
    <cellStyle name="Notas 2 2 2 5 2 2" xfId="687" xr:uid="{A071259D-300A-4C63-B2E2-9D7B890BA4C1}"/>
    <cellStyle name="Notas 2 2 2 5 2 3" xfId="1104" xr:uid="{9344BD94-8B03-4D9B-AD1F-3A30D2AFDE07}"/>
    <cellStyle name="Notas 2 2 2 5 2 4" xfId="1516" xr:uid="{DFC4F5B5-85E8-4E65-8704-A98F7F335D6F}"/>
    <cellStyle name="Notas 2 2 2 5 2 5" xfId="1927" xr:uid="{594A9D57-ED06-4601-8A3F-783524519BB4}"/>
    <cellStyle name="Notas 2 2 2 5 2 6" xfId="2334" xr:uid="{40AC497F-1667-458D-90B2-19FD50080EE3}"/>
    <cellStyle name="Notas 2 2 2 5 3" xfId="490" xr:uid="{F0F63FD3-D384-4CAB-B5AD-BC758935936E}"/>
    <cellStyle name="Notas 2 2 2 5 4" xfId="908" xr:uid="{2A4FF89A-9564-40AC-BDA7-99924894684C}"/>
    <cellStyle name="Notas 2 2 2 5 5" xfId="1322" xr:uid="{396CF16D-F3F0-4D9D-AA18-51A99441AAEA}"/>
    <cellStyle name="Notas 2 2 2 5 6" xfId="1733" xr:uid="{4389D1C9-2F4B-40B4-B59B-4CC67B83427A}"/>
    <cellStyle name="Notas 2 2 2 5 7" xfId="2141" xr:uid="{F912A8BD-76B3-46C0-8C42-9EB96EF67410}"/>
    <cellStyle name="Notas 2 2 2 6" xfId="65" xr:uid="{00000000-0005-0000-0000-00006D000000}"/>
    <cellStyle name="Notas 2 2 2 6 2" xfId="262" xr:uid="{8091F82C-7380-4CF3-8ED7-29591F257321}"/>
    <cellStyle name="Notas 2 2 2 6 2 2" xfId="696" xr:uid="{9A60C4FC-B5A7-42B8-89C9-820C218D944A}"/>
    <cellStyle name="Notas 2 2 2 6 2 3" xfId="1113" xr:uid="{7CF86E26-685D-4679-BA9B-895268F74CC7}"/>
    <cellStyle name="Notas 2 2 2 6 2 4" xfId="1525" xr:uid="{DC87E0DA-5C22-47C6-9D40-8BD7339E80AC}"/>
    <cellStyle name="Notas 2 2 2 6 2 5" xfId="1936" xr:uid="{FACAB8AA-E33B-466E-B03A-69AB92C8A7A4}"/>
    <cellStyle name="Notas 2 2 2 6 2 6" xfId="2343" xr:uid="{F589657D-3CFA-44AB-9F41-417964B0204A}"/>
    <cellStyle name="Notas 2 2 2 6 3" xfId="499" xr:uid="{775F8276-16CB-4E7D-8945-13CC6B32F2DC}"/>
    <cellStyle name="Notas 2 2 2 6 4" xfId="917" xr:uid="{5439D2FA-FB1D-44AC-8A81-E6906D7C7B8D}"/>
    <cellStyle name="Notas 2 2 2 6 5" xfId="1331" xr:uid="{23BF34BB-D701-4D7E-B621-7CE00F6794E9}"/>
    <cellStyle name="Notas 2 2 2 6 6" xfId="1742" xr:uid="{DAFE0E9A-ED2C-40D9-BF90-F7FDF37623E9}"/>
    <cellStyle name="Notas 2 2 2 6 7" xfId="2150" xr:uid="{225B0EB4-9C27-4EEB-90DD-01D81806C1B6}"/>
    <cellStyle name="Notas 2 2 2 7" xfId="78" xr:uid="{00000000-0005-0000-0000-00006E000000}"/>
    <cellStyle name="Notas 2 2 2 7 2" xfId="275" xr:uid="{7A244929-B19A-46B8-9F01-7606C96C51B1}"/>
    <cellStyle name="Notas 2 2 2 7 2 2" xfId="709" xr:uid="{16B0B5C0-3618-4DDD-9941-2828B7533076}"/>
    <cellStyle name="Notas 2 2 2 7 2 3" xfId="1126" xr:uid="{9F28395C-C9B5-4681-8569-FAF4EAB9C6F6}"/>
    <cellStyle name="Notas 2 2 2 7 2 4" xfId="1538" xr:uid="{9338590E-9BBC-4471-A476-B9C3DB40E6A2}"/>
    <cellStyle name="Notas 2 2 2 7 2 5" xfId="1949" xr:uid="{98A9AF39-D163-48E9-89D3-9F1D00AE01BA}"/>
    <cellStyle name="Notas 2 2 2 7 2 6" xfId="2356" xr:uid="{A45DA25E-B881-4B1D-899B-61AB8FB9120F}"/>
    <cellStyle name="Notas 2 2 2 7 3" xfId="512" xr:uid="{7890F1FE-20CD-4E47-96F1-1AD17DD0F7AD}"/>
    <cellStyle name="Notas 2 2 2 7 4" xfId="930" xr:uid="{BCDEE386-AE08-4453-9874-8F855768255B}"/>
    <cellStyle name="Notas 2 2 2 7 5" xfId="1344" xr:uid="{94538CF3-C957-491B-9694-8C66AEA09223}"/>
    <cellStyle name="Notas 2 2 2 7 6" xfId="1755" xr:uid="{582E1E88-D82B-49E7-B47D-0883225BC182}"/>
    <cellStyle name="Notas 2 2 2 7 7" xfId="2163" xr:uid="{A78E4020-9627-4791-BAC5-41CA71AF4169}"/>
    <cellStyle name="Notas 2 2 2 8" xfId="94" xr:uid="{00000000-0005-0000-0000-00006F000000}"/>
    <cellStyle name="Notas 2 2 2 8 2" xfId="291" xr:uid="{6C46907F-78C5-4D62-8253-2A56AA19C133}"/>
    <cellStyle name="Notas 2 2 2 8 2 2" xfId="725" xr:uid="{5059C6F9-F817-4B90-95E6-FA51817C94D6}"/>
    <cellStyle name="Notas 2 2 2 8 2 3" xfId="1141" xr:uid="{69EA7F1E-0A35-4CFC-A230-BF80BFDD8EBB}"/>
    <cellStyle name="Notas 2 2 2 8 2 4" xfId="1554" xr:uid="{72893F50-EC48-4DA6-8563-3FFFC515EB9C}"/>
    <cellStyle name="Notas 2 2 2 8 2 5" xfId="1964" xr:uid="{7E85CCDA-355B-412F-967C-ACEC063361C4}"/>
    <cellStyle name="Notas 2 2 2 8 2 6" xfId="2371" xr:uid="{0A80EF38-B87C-4AF5-8072-6CEF5A89200C}"/>
    <cellStyle name="Notas 2 2 2 8 3" xfId="528" xr:uid="{86C7D6E1-4B36-42CA-80D2-C7AF839BC615}"/>
    <cellStyle name="Notas 2 2 2 8 4" xfId="946" xr:uid="{2F225507-A91C-4D6D-82B6-E04839F0832D}"/>
    <cellStyle name="Notas 2 2 2 8 5" xfId="1359" xr:uid="{4BD5055A-CEE2-4812-B197-F9840D7180F6}"/>
    <cellStyle name="Notas 2 2 2 8 6" xfId="1770" xr:uid="{97A1026B-53CF-4D0F-920E-DF60F83A573B}"/>
    <cellStyle name="Notas 2 2 2 8 7" xfId="2178" xr:uid="{FA908A23-903C-4DEB-8076-849E4197E1C5}"/>
    <cellStyle name="Notas 2 2 2 9" xfId="85" xr:uid="{00000000-0005-0000-0000-000070000000}"/>
    <cellStyle name="Notas 2 2 2 9 2" xfId="282" xr:uid="{A6D7C4BC-543A-48AC-AE84-C9A2DF9D4FEC}"/>
    <cellStyle name="Notas 2 2 2 9 2 2" xfId="716" xr:uid="{E0D5A080-86F3-4903-9C83-070EBFF29234}"/>
    <cellStyle name="Notas 2 2 2 9 2 3" xfId="1132" xr:uid="{70AEAB7E-741E-4F98-A537-CBF4457ECABA}"/>
    <cellStyle name="Notas 2 2 2 9 2 4" xfId="1545" xr:uid="{EC51884A-9C6C-46E9-A942-59E23D47AF36}"/>
    <cellStyle name="Notas 2 2 2 9 2 5" xfId="1955" xr:uid="{2F5A95AF-FC51-4719-9BFC-7D36052A04F9}"/>
    <cellStyle name="Notas 2 2 2 9 2 6" xfId="2362" xr:uid="{097A669E-F87C-472D-8F67-75B3E35C0503}"/>
    <cellStyle name="Notas 2 2 2 9 3" xfId="519" xr:uid="{793725E8-71A0-4999-A49B-AAACCAAA70BA}"/>
    <cellStyle name="Notas 2 2 2 9 4" xfId="937" xr:uid="{AB193DE8-22BD-4B18-9355-E91847CED135}"/>
    <cellStyle name="Notas 2 2 2 9 5" xfId="1350" xr:uid="{6D166BE4-8437-468D-8A77-35E8CCE165E6}"/>
    <cellStyle name="Notas 2 2 2 9 6" xfId="1761" xr:uid="{20124A25-EED2-4F7C-A339-8B5F6A8A58F5}"/>
    <cellStyle name="Notas 2 2 2 9 7" xfId="2169" xr:uid="{3958A12B-21E1-49C5-93D9-0E3579011B98}"/>
    <cellStyle name="Notas 2 2 20" xfId="199" xr:uid="{D3D09771-795E-4493-8FDD-D9680DC8C688}"/>
    <cellStyle name="Notas 2 2 20 2" xfId="396" xr:uid="{2CEB99F6-83C6-42F9-8051-35D4AEB55281}"/>
    <cellStyle name="Notas 2 2 20 2 2" xfId="830" xr:uid="{8DCBA647-820E-47F0-A4E9-189A14647008}"/>
    <cellStyle name="Notas 2 2 20 2 3" xfId="1245" xr:uid="{17335B25-3E02-43C0-A59D-D3C7F2CCC09C}"/>
    <cellStyle name="Notas 2 2 20 2 4" xfId="1658" xr:uid="{5BA647A2-5A4E-47E0-A217-A3330CAA2BB9}"/>
    <cellStyle name="Notas 2 2 20 2 5" xfId="2068" xr:uid="{A4753045-D32F-4774-A7A4-98A3C1C6CB52}"/>
    <cellStyle name="Notas 2 2 20 2 6" xfId="2475" xr:uid="{1459F53C-023A-40E0-B649-96081838E58C}"/>
    <cellStyle name="Notas 2 2 20 3" xfId="633" xr:uid="{0DC6754F-3986-429E-9DDA-C808FA1EF3DF}"/>
    <cellStyle name="Notas 2 2 20 4" xfId="1051" xr:uid="{51D6D329-1135-417F-9ACB-2301B3302EFC}"/>
    <cellStyle name="Notas 2 2 20 5" xfId="1464" xr:uid="{A5DD96AF-0107-4E28-A09D-715D148A6D2B}"/>
    <cellStyle name="Notas 2 2 20 6" xfId="1874" xr:uid="{69ACBE62-A8AA-426C-AC20-1897B0AD03A0}"/>
    <cellStyle name="Notas 2 2 20 7" xfId="2282" xr:uid="{AE72ED69-FC94-450B-8C28-9F4F12068648}"/>
    <cellStyle name="Notas 2 2 21" xfId="211" xr:uid="{CEFA556C-47CC-40AA-8985-C15D2861D427}"/>
    <cellStyle name="Notas 2 2 21 2" xfId="408" xr:uid="{751F9B54-8D92-428D-997A-8D3949074B58}"/>
    <cellStyle name="Notas 2 2 21 2 2" xfId="842" xr:uid="{17AB8F59-3A7F-460D-A65B-E5F015539480}"/>
    <cellStyle name="Notas 2 2 21 2 3" xfId="1257" xr:uid="{FF9A8BC1-2363-4330-94C3-D0F6FCC3D41B}"/>
    <cellStyle name="Notas 2 2 21 2 4" xfId="1670" xr:uid="{15E81002-A68C-4239-B6E6-1B1CA5AD0641}"/>
    <cellStyle name="Notas 2 2 21 2 5" xfId="2080" xr:uid="{90630C3E-E3C5-4F72-AA58-8C29AAB52FEB}"/>
    <cellStyle name="Notas 2 2 21 2 6" xfId="2487" xr:uid="{A6E9A60E-F078-4814-A2C8-387A760EB508}"/>
    <cellStyle name="Notas 2 2 21 3" xfId="645" xr:uid="{39908769-187E-43C0-9FCC-551AA41E0579}"/>
    <cellStyle name="Notas 2 2 21 4" xfId="1063" xr:uid="{54F727EE-3C71-4B1B-98D7-14263A988217}"/>
    <cellStyle name="Notas 2 2 21 5" xfId="1476" xr:uid="{C469CB4F-3A01-42E8-868F-113A3C9D1885}"/>
    <cellStyle name="Notas 2 2 21 6" xfId="1886" xr:uid="{1FABC8C9-4140-4A6D-83CA-0E8B943255D7}"/>
    <cellStyle name="Notas 2 2 21 7" xfId="2294" xr:uid="{B637B657-6055-4203-B1E6-865B237F00BE}"/>
    <cellStyle name="Notas 2 2 22" xfId="206" xr:uid="{682EC3DB-D3DE-4F65-A224-5D75A920D211}"/>
    <cellStyle name="Notas 2 2 22 2" xfId="403" xr:uid="{8A39F559-9AF6-4483-AE9F-3606CC6B5B94}"/>
    <cellStyle name="Notas 2 2 22 2 2" xfId="837" xr:uid="{E5E3CD05-E5B6-4EC5-AD51-DC76FE08CB24}"/>
    <cellStyle name="Notas 2 2 22 2 3" xfId="1252" xr:uid="{DE79E111-D348-44E8-BDA2-A54453D6E1C7}"/>
    <cellStyle name="Notas 2 2 22 2 4" xfId="1665" xr:uid="{4A47714F-D319-48A1-A313-F62DCEBFDD99}"/>
    <cellStyle name="Notas 2 2 22 2 5" xfId="2075" xr:uid="{ABE6A61D-2941-41F4-B68F-B6A99DF73296}"/>
    <cellStyle name="Notas 2 2 22 2 6" xfId="2482" xr:uid="{A99F26D4-4570-4700-8127-29012FB3739F}"/>
    <cellStyle name="Notas 2 2 22 3" xfId="640" xr:uid="{8C9BE18D-CC45-4AC1-908A-2D0E47BA4680}"/>
    <cellStyle name="Notas 2 2 22 4" xfId="1058" xr:uid="{9E8BC1B5-A403-42D6-BCCA-998C468AC268}"/>
    <cellStyle name="Notas 2 2 22 5" xfId="1471" xr:uid="{18D0B5FC-FC02-4E21-B21D-32D433B0A54A}"/>
    <cellStyle name="Notas 2 2 22 6" xfId="1881" xr:uid="{9356513E-514A-4300-A889-503A1E7BF8E2}"/>
    <cellStyle name="Notas 2 2 22 7" xfId="2289" xr:uid="{0B853F65-1807-4EA2-8353-D786BF4A9095}"/>
    <cellStyle name="Notas 2 2 23" xfId="227" xr:uid="{3DA4E975-909A-4A01-9732-C7BB98E777E3}"/>
    <cellStyle name="Notas 2 2 23 2" xfId="661" xr:uid="{3B13C2C4-36E1-4BFE-B345-4B5656D72BBC}"/>
    <cellStyle name="Notas 2 2 23 3" xfId="1079" xr:uid="{05E6C155-E1B3-422B-AAC9-020EF67D4516}"/>
    <cellStyle name="Notas 2 2 23 4" xfId="1492" xr:uid="{197F9D9F-4B9C-4620-80CA-F601E2E316A8}"/>
    <cellStyle name="Notas 2 2 23 5" xfId="1902" xr:uid="{07B7E4C9-6FCC-4DFB-A73A-CDAFEF669325}"/>
    <cellStyle name="Notas 2 2 23 6" xfId="2310" xr:uid="{CAE97C7D-CD74-4076-9610-4240E1FB656C}"/>
    <cellStyle name="Notas 2 2 24" xfId="424" xr:uid="{32C7FF97-8790-4508-86AD-58241F5A89BB}"/>
    <cellStyle name="Notas 2 2 24 2" xfId="858" xr:uid="{93D47AA6-7BA0-4E42-8803-288FF63009BC}"/>
    <cellStyle name="Notas 2 2 24 3" xfId="1273" xr:uid="{CA9DFE55-B0A4-4252-800A-6DE4853D70F2}"/>
    <cellStyle name="Notas 2 2 24 4" xfId="1686" xr:uid="{6F134E24-FCF2-4584-BCF1-65697FB1786D}"/>
    <cellStyle name="Notas 2 2 24 5" xfId="2096" xr:uid="{9CF7A3D6-A3D6-4A29-BD49-EBF5A0CCC44B}"/>
    <cellStyle name="Notas 2 2 24 6" xfId="2503" xr:uid="{1EA187AF-9AFB-4CF0-A068-16A50613706F}"/>
    <cellStyle name="Notas 2 2 25" xfId="439" xr:uid="{31150215-6C4F-4A94-B8BE-8DF300C2BFA7}"/>
    <cellStyle name="Notas 2 2 25 2" xfId="873" xr:uid="{0F36C041-214E-4103-9394-A598C7779503}"/>
    <cellStyle name="Notas 2 2 25 3" xfId="1287" xr:uid="{AFCE1E92-EBF0-4086-9537-A26F7E1D2115}"/>
    <cellStyle name="Notas 2 2 25 4" xfId="1701" xr:uid="{03668AFE-6002-4ABA-BAAC-86F3AE55E092}"/>
    <cellStyle name="Notas 2 2 25 5" xfId="2111" xr:uid="{D8D572C8-F022-48A9-88F9-1B843BA26289}"/>
    <cellStyle name="Notas 2 2 25 6" xfId="2517" xr:uid="{1135BFF9-35FE-4816-AB46-6A0BDEC3C62B}"/>
    <cellStyle name="Notas 2 2 26" xfId="445" xr:uid="{360E524E-22EA-4558-9AEF-816088FD45AD}"/>
    <cellStyle name="Notas 2 2 26 2" xfId="879" xr:uid="{738FAB5A-3CA1-404E-8955-1561DD292728}"/>
    <cellStyle name="Notas 2 2 26 3" xfId="1293" xr:uid="{AB5B67C6-003D-452D-915B-7FF0C6726252}"/>
    <cellStyle name="Notas 2 2 26 4" xfId="1707" xr:uid="{445175D3-320D-4546-BF0A-5992F15D6540}"/>
    <cellStyle name="Notas 2 2 26 5" xfId="2117" xr:uid="{30CBBE95-6E6B-45FE-95D6-83F58F8C246E}"/>
    <cellStyle name="Notas 2 2 26 6" xfId="2523" xr:uid="{0EA374EA-98CA-4410-8A2D-B5D9151D337F}"/>
    <cellStyle name="Notas 2 2 27" xfId="458" xr:uid="{4D41178D-4FE4-482D-A7E9-94F1370CBF7B}"/>
    <cellStyle name="Notas 2 2 28" xfId="452" xr:uid="{0CB6F2C3-6DB0-4641-BEC3-96AE5496FB81}"/>
    <cellStyle name="Notas 2 2 29" xfId="464" xr:uid="{7747D60E-C1D8-4DED-AA15-B9470EB6E68F}"/>
    <cellStyle name="Notas 2 2 3" xfId="44" xr:uid="{00000000-0005-0000-0000-000071000000}"/>
    <cellStyle name="Notas 2 2 3 2" xfId="241" xr:uid="{ADF9A832-285D-45C2-98C8-5945CED8D845}"/>
    <cellStyle name="Notas 2 2 3 2 2" xfId="675" xr:uid="{4A788847-D200-4DAA-A1DC-A016A21B900D}"/>
    <cellStyle name="Notas 2 2 3 2 3" xfId="1092" xr:uid="{BDF32793-01B6-41C2-B430-96D5C3836403}"/>
    <cellStyle name="Notas 2 2 3 2 4" xfId="1505" xr:uid="{72619406-8530-459E-A1F6-DC465E961A64}"/>
    <cellStyle name="Notas 2 2 3 2 5" xfId="1915" xr:uid="{C925BBCE-EA75-4745-B1DD-2855926DE2D1}"/>
    <cellStyle name="Notas 2 2 3 2 6" xfId="2323" xr:uid="{185C0393-64A6-4F2D-821F-7EF665B0017F}"/>
    <cellStyle name="Notas 2 2 3 3" xfId="478" xr:uid="{86C1BD3A-1B69-4E29-881C-8EB2BE3CFF11}"/>
    <cellStyle name="Notas 2 2 3 4" xfId="896" xr:uid="{885F381A-31F3-4732-919E-EFDFD934C3EE}"/>
    <cellStyle name="Notas 2 2 3 5" xfId="1311" xr:uid="{BA411E72-7FDC-404D-BD43-F88C8C45A2B7}"/>
    <cellStyle name="Notas 2 2 3 6" xfId="1722" xr:uid="{A058F9C4-E99A-4335-B483-0601574E2AF1}"/>
    <cellStyle name="Notas 2 2 3 7" xfId="2130" xr:uid="{C53A9598-6021-48FF-BED6-A233F7B8710E}"/>
    <cellStyle name="Notas 2 2 30" xfId="1713" xr:uid="{4C1CB618-39D1-4063-96C9-550FCD6A6A29}"/>
    <cellStyle name="Notas 2 2 4" xfId="57" xr:uid="{00000000-0005-0000-0000-000072000000}"/>
    <cellStyle name="Notas 2 2 4 2" xfId="254" xr:uid="{3FBE1C7D-48C3-4240-839E-D13F64BD6774}"/>
    <cellStyle name="Notas 2 2 4 2 2" xfId="688" xr:uid="{35957AE1-4437-43DD-A375-6BB98FCD82B2}"/>
    <cellStyle name="Notas 2 2 4 2 3" xfId="1105" xr:uid="{86295D66-9944-426F-B599-13E36D596068}"/>
    <cellStyle name="Notas 2 2 4 2 4" xfId="1517" xr:uid="{79F3AEA8-24CB-45F8-92CD-EE156BF295D8}"/>
    <cellStyle name="Notas 2 2 4 2 5" xfId="1928" xr:uid="{5F9A6194-013C-4DD6-83BA-055E7D3A238A}"/>
    <cellStyle name="Notas 2 2 4 2 6" xfId="2335" xr:uid="{B78415D6-366D-4B06-9723-8781C736AAF7}"/>
    <cellStyle name="Notas 2 2 4 3" xfId="491" xr:uid="{D93627B3-3D3F-4D06-A81F-E91444205187}"/>
    <cellStyle name="Notas 2 2 4 4" xfId="909" xr:uid="{081C8058-202D-4381-95DF-9D49B9F1BA18}"/>
    <cellStyle name="Notas 2 2 4 5" xfId="1323" xr:uid="{20CD788F-1E55-4367-BE06-DF90BFC3AFB6}"/>
    <cellStyle name="Notas 2 2 4 6" xfId="1734" xr:uid="{84E7CE23-C218-4070-A4FC-2EE57C47007B}"/>
    <cellStyle name="Notas 2 2 4 7" xfId="2142" xr:uid="{7CDB2CAB-F873-4F0C-A81B-0C1B4460E5B4}"/>
    <cellStyle name="Notas 2 2 5" xfId="68" xr:uid="{00000000-0005-0000-0000-000073000000}"/>
    <cellStyle name="Notas 2 2 5 2" xfId="265" xr:uid="{B78A57A9-A7ED-45D6-9B56-9CCAE9B48E4E}"/>
    <cellStyle name="Notas 2 2 5 2 2" xfId="699" xr:uid="{D4256C32-410D-4ABE-8DC0-0323D3EE5514}"/>
    <cellStyle name="Notas 2 2 5 2 3" xfId="1116" xr:uid="{E07D0638-F067-49C5-BFDE-D900B340CA7C}"/>
    <cellStyle name="Notas 2 2 5 2 4" xfId="1528" xr:uid="{660A2F80-EA6A-4501-9B51-11C02521DE84}"/>
    <cellStyle name="Notas 2 2 5 2 5" xfId="1939" xr:uid="{AE868CD5-DEBA-4231-B452-61AA90061439}"/>
    <cellStyle name="Notas 2 2 5 2 6" xfId="2346" xr:uid="{282D27E3-01A7-43C0-8DB8-766AECB84673}"/>
    <cellStyle name="Notas 2 2 5 3" xfId="502" xr:uid="{1069F17B-7150-4159-A156-54B8E4E8040F}"/>
    <cellStyle name="Notas 2 2 5 4" xfId="920" xr:uid="{2CB24296-60ED-40CD-A14E-1CDD203E57C6}"/>
    <cellStyle name="Notas 2 2 5 5" xfId="1334" xr:uid="{667E3015-2E8E-45E8-909B-B4FF45D631FE}"/>
    <cellStyle name="Notas 2 2 5 6" xfId="1745" xr:uid="{2102F36B-5523-4662-837D-98C1DFD071B8}"/>
    <cellStyle name="Notas 2 2 5 7" xfId="2153" xr:uid="{7FC859BB-3C8F-4276-A8B3-E864FA357168}"/>
    <cellStyle name="Notas 2 2 6" xfId="66" xr:uid="{00000000-0005-0000-0000-000074000000}"/>
    <cellStyle name="Notas 2 2 6 2" xfId="263" xr:uid="{1E91A472-AF70-48BC-A64F-13D8FC852516}"/>
    <cellStyle name="Notas 2 2 6 2 2" xfId="697" xr:uid="{8ADA93D1-AFE3-4E09-B4EA-1990F5D109C0}"/>
    <cellStyle name="Notas 2 2 6 2 3" xfId="1114" xr:uid="{2EDD1AE4-D178-496E-8237-77768D906841}"/>
    <cellStyle name="Notas 2 2 6 2 4" xfId="1526" xr:uid="{F18075E8-8046-4C53-B27B-3680898D23EC}"/>
    <cellStyle name="Notas 2 2 6 2 5" xfId="1937" xr:uid="{3DD4B50D-4BC4-46D1-828B-C7BC8A4C36BB}"/>
    <cellStyle name="Notas 2 2 6 2 6" xfId="2344" xr:uid="{D60F61D1-1828-48DB-A773-370B107F93BA}"/>
    <cellStyle name="Notas 2 2 6 3" xfId="500" xr:uid="{8C3A94A6-EDBA-4A92-99EC-EECDD2F30A21}"/>
    <cellStyle name="Notas 2 2 6 4" xfId="918" xr:uid="{339A1ED6-B8CA-43BC-A5FC-37060702E5AC}"/>
    <cellStyle name="Notas 2 2 6 5" xfId="1332" xr:uid="{5689FCBE-1648-4C79-A06E-26D010C2C33F}"/>
    <cellStyle name="Notas 2 2 6 6" xfId="1743" xr:uid="{5F40F3E0-581E-402E-AB48-0726B00CA454}"/>
    <cellStyle name="Notas 2 2 6 7" xfId="2151" xr:uid="{137C6A7D-BDF2-49F2-B42E-95F54FAA7C78}"/>
    <cellStyle name="Notas 2 2 7" xfId="76" xr:uid="{00000000-0005-0000-0000-000075000000}"/>
    <cellStyle name="Notas 2 2 7 2" xfId="273" xr:uid="{CE91B484-AB24-4C37-90F7-0CCD9535CCBE}"/>
    <cellStyle name="Notas 2 2 7 2 2" xfId="707" xr:uid="{52D10B30-78A4-4507-A57D-15E9093145ED}"/>
    <cellStyle name="Notas 2 2 7 2 3" xfId="1124" xr:uid="{5A37C4AD-8DCD-499C-884F-1574D2731486}"/>
    <cellStyle name="Notas 2 2 7 2 4" xfId="1536" xr:uid="{9B279684-8A97-4CFF-B0A2-5C16CD3A364D}"/>
    <cellStyle name="Notas 2 2 7 2 5" xfId="1947" xr:uid="{FC6B103B-6CE9-4E8A-B006-BBDCBC65D3BC}"/>
    <cellStyle name="Notas 2 2 7 2 6" xfId="2354" xr:uid="{C5F609CD-8AD3-456E-B595-D74C3F487D4D}"/>
    <cellStyle name="Notas 2 2 7 3" xfId="510" xr:uid="{F362C9BD-1974-4F3F-91A0-49E39A4E8C87}"/>
    <cellStyle name="Notas 2 2 7 4" xfId="928" xr:uid="{401502CB-580B-419A-B692-274C84A7A203}"/>
    <cellStyle name="Notas 2 2 7 5" xfId="1342" xr:uid="{FEB90355-9B9C-4234-A729-601AF4C7B12B}"/>
    <cellStyle name="Notas 2 2 7 6" xfId="1753" xr:uid="{8F4686B8-0702-4BE3-BA3F-70A8A4E69F42}"/>
    <cellStyle name="Notas 2 2 7 7" xfId="2161" xr:uid="{06D7D49D-32F8-44DC-A4B1-45D42B993B43}"/>
    <cellStyle name="Notas 2 2 8" xfId="92" xr:uid="{00000000-0005-0000-0000-000076000000}"/>
    <cellStyle name="Notas 2 2 8 2" xfId="289" xr:uid="{004538E1-6C6B-49B4-8E9A-BA1887CB7FEC}"/>
    <cellStyle name="Notas 2 2 8 2 2" xfId="723" xr:uid="{39ACE978-6AC6-4ED0-8100-ACF9890180EF}"/>
    <cellStyle name="Notas 2 2 8 2 3" xfId="1139" xr:uid="{6F0A8691-40AE-4C95-BFA0-774E67D0E05F}"/>
    <cellStyle name="Notas 2 2 8 2 4" xfId="1552" xr:uid="{E284F621-099F-4D62-9213-4BE69A6F5036}"/>
    <cellStyle name="Notas 2 2 8 2 5" xfId="1962" xr:uid="{8C817EF2-B90C-4A37-AAD7-3EB868591D33}"/>
    <cellStyle name="Notas 2 2 8 2 6" xfId="2369" xr:uid="{1EC9F51B-0A36-44A1-A479-B99172DC192F}"/>
    <cellStyle name="Notas 2 2 8 3" xfId="526" xr:uid="{2006711B-C433-4803-A7A2-756DCEE94209}"/>
    <cellStyle name="Notas 2 2 8 4" xfId="944" xr:uid="{EE4F91FC-9EE1-4929-A4F0-0A8086E9CFE5}"/>
    <cellStyle name="Notas 2 2 8 5" xfId="1357" xr:uid="{223D4274-CD53-4A0F-8701-3E916DCA3435}"/>
    <cellStyle name="Notas 2 2 8 6" xfId="1768" xr:uid="{519288CC-B387-4149-A5EE-25223E4C3FC5}"/>
    <cellStyle name="Notas 2 2 8 7" xfId="2176" xr:uid="{EC2EB825-9237-4EC6-88D0-918928A6A076}"/>
    <cellStyle name="Notas 2 2 9" xfId="101" xr:uid="{00000000-0005-0000-0000-000077000000}"/>
    <cellStyle name="Notas 2 2 9 2" xfId="298" xr:uid="{554395B6-B3E6-4177-B3C4-9CFE02F0717E}"/>
    <cellStyle name="Notas 2 2 9 2 2" xfId="732" xr:uid="{A7A0B92E-8DA6-4BEF-9F54-BBB587F82441}"/>
    <cellStyle name="Notas 2 2 9 2 3" xfId="1148" xr:uid="{F6B83530-EFD4-490B-B76B-1961B43064CC}"/>
    <cellStyle name="Notas 2 2 9 2 4" xfId="1561" xr:uid="{F3F04F13-7775-4A65-90DF-485ED964D169}"/>
    <cellStyle name="Notas 2 2 9 2 5" xfId="1971" xr:uid="{CE47E519-04B8-4AF9-9B71-062A7AE2FE24}"/>
    <cellStyle name="Notas 2 2 9 2 6" xfId="2378" xr:uid="{5B7101D7-9E5E-4AF6-959B-CEEEDE3DC4F9}"/>
    <cellStyle name="Notas 2 2 9 3" xfId="535" xr:uid="{F43CF32B-E9F7-4C28-A632-2357350D671E}"/>
    <cellStyle name="Notas 2 2 9 4" xfId="953" xr:uid="{B28F4B85-685F-453B-98C4-B6FAD6D6B58C}"/>
    <cellStyle name="Notas 2 2 9 5" xfId="1366" xr:uid="{3977D910-9A5A-456D-950B-9C1C181110B5}"/>
    <cellStyle name="Notas 2 2 9 6" xfId="1777" xr:uid="{195CDF1F-827C-4CB1-BA3D-C6D81B97D190}"/>
    <cellStyle name="Notas 2 2 9 7" xfId="2185" xr:uid="{AD2677CE-1F82-4A62-BF77-575C285A371A}"/>
    <cellStyle name="Notas 2 20" xfId="196" xr:uid="{A45A1D69-8E5C-42E8-A64A-75665E4866B2}"/>
    <cellStyle name="Notas 2 20 2" xfId="393" xr:uid="{FD3429BE-61E3-46CA-AA90-A836B7C938F4}"/>
    <cellStyle name="Notas 2 20 2 2" xfId="827" xr:uid="{4F102802-AC40-4B7D-BAE4-22D609AFF922}"/>
    <cellStyle name="Notas 2 20 2 3" xfId="1242" xr:uid="{E17E5CE4-DA30-4FC3-BCAC-3B354DB37875}"/>
    <cellStyle name="Notas 2 20 2 4" xfId="1655" xr:uid="{BF1F2430-5FE2-44A5-942E-6D7AE885A539}"/>
    <cellStyle name="Notas 2 20 2 5" xfId="2065" xr:uid="{469E222B-5DDC-4502-9179-34B1B3AF56B8}"/>
    <cellStyle name="Notas 2 20 2 6" xfId="2472" xr:uid="{62B3A9CB-4E59-45B6-8BAF-0E7817E6CBEB}"/>
    <cellStyle name="Notas 2 20 3" xfId="630" xr:uid="{82F288A9-6E38-4585-8135-98752A622356}"/>
    <cellStyle name="Notas 2 20 4" xfId="1048" xr:uid="{9926CDF2-CC46-4B32-8A15-ECEAFA8D2553}"/>
    <cellStyle name="Notas 2 20 5" xfId="1461" xr:uid="{521EC00F-A5E1-4A70-B062-81F317E2FC15}"/>
    <cellStyle name="Notas 2 20 6" xfId="1871" xr:uid="{80FBC618-4892-462B-B1EE-F8A50D1FFC81}"/>
    <cellStyle name="Notas 2 20 7" xfId="2279" xr:uid="{E9097DEB-CF0F-48EA-ABA0-743F59FC9AC8}"/>
    <cellStyle name="Notas 2 21" xfId="208" xr:uid="{99160E83-B4CE-46BC-8A51-1CCAD3FDC643}"/>
    <cellStyle name="Notas 2 21 2" xfId="405" xr:uid="{43917F67-5BCA-4184-95D8-1076B77E0B04}"/>
    <cellStyle name="Notas 2 21 2 2" xfId="839" xr:uid="{02D70A66-0D62-436C-BF81-7D8DDED5F17E}"/>
    <cellStyle name="Notas 2 21 2 3" xfId="1254" xr:uid="{CAD86B93-42B2-4F56-9E71-974AC5BBF4B4}"/>
    <cellStyle name="Notas 2 21 2 4" xfId="1667" xr:uid="{BE795157-ECAD-4C83-B44B-445E48DEB72F}"/>
    <cellStyle name="Notas 2 21 2 5" xfId="2077" xr:uid="{FED77DC6-5A14-44E3-AC56-7DE9FE19EE1B}"/>
    <cellStyle name="Notas 2 21 2 6" xfId="2484" xr:uid="{5D3EB816-73C2-48EF-A348-D03EDD660DE3}"/>
    <cellStyle name="Notas 2 21 3" xfId="642" xr:uid="{27FA8B76-2DC9-452D-A710-D34389F8AE1B}"/>
    <cellStyle name="Notas 2 21 4" xfId="1060" xr:uid="{8C0AEF3F-092C-4F15-8175-35C7366AD442}"/>
    <cellStyle name="Notas 2 21 5" xfId="1473" xr:uid="{3F02A2A1-CC89-4BB6-8C72-7AC964CB64BE}"/>
    <cellStyle name="Notas 2 21 6" xfId="1883" xr:uid="{C9905ABE-3C0B-43B6-9523-6CA6A37AA716}"/>
    <cellStyle name="Notas 2 21 7" xfId="2291" xr:uid="{7D2AFE0A-4B0D-490C-9C61-1CF83BBB59BB}"/>
    <cellStyle name="Notas 2 22" xfId="207" xr:uid="{C975D8E1-B37A-4E25-B700-BBB402E3E894}"/>
    <cellStyle name="Notas 2 22 2" xfId="404" xr:uid="{DFBE2E8C-E7B0-4693-9275-3F82DCE00054}"/>
    <cellStyle name="Notas 2 22 2 2" xfId="838" xr:uid="{645CBFA6-8F48-4D53-A582-63001D494001}"/>
    <cellStyle name="Notas 2 22 2 3" xfId="1253" xr:uid="{51A1D452-EB25-458F-96C7-0D130A7ACF8D}"/>
    <cellStyle name="Notas 2 22 2 4" xfId="1666" xr:uid="{8D56189E-B6E7-4EF0-9AD7-4C0D3F7E8C46}"/>
    <cellStyle name="Notas 2 22 2 5" xfId="2076" xr:uid="{7D0BCDB8-8308-4E9B-99DA-D62871C7E782}"/>
    <cellStyle name="Notas 2 22 2 6" xfId="2483" xr:uid="{037DDC64-381A-4959-80C7-AF1CCDB5DA7E}"/>
    <cellStyle name="Notas 2 22 3" xfId="641" xr:uid="{35A6FFA8-27C8-4B14-9A03-D6190814AD8B}"/>
    <cellStyle name="Notas 2 22 4" xfId="1059" xr:uid="{05D0594E-2817-43F5-991A-1EDEA5C8E7E3}"/>
    <cellStyle name="Notas 2 22 5" xfId="1472" xr:uid="{1D49892A-6A1F-4D27-9676-889DDCB76D34}"/>
    <cellStyle name="Notas 2 22 6" xfId="1882" xr:uid="{C3848BF3-EE5B-4350-A605-7E2E95BD7D74}"/>
    <cellStyle name="Notas 2 22 7" xfId="2290" xr:uid="{8AEC1F86-2368-4220-8D54-9E0257FC38B2}"/>
    <cellStyle name="Notas 2 23" xfId="224" xr:uid="{3150A918-B828-4133-B75A-11ABFE9D5470}"/>
    <cellStyle name="Notas 2 23 2" xfId="658" xr:uid="{B05E578A-3127-436E-9695-0D922A625162}"/>
    <cellStyle name="Notas 2 23 3" xfId="1076" xr:uid="{AC246F30-6AA4-457C-854E-CAE2D3ACA164}"/>
    <cellStyle name="Notas 2 23 4" xfId="1489" xr:uid="{1CFD69A3-AB62-4A1A-8AFA-9DEAB0878E9C}"/>
    <cellStyle name="Notas 2 23 5" xfId="1899" xr:uid="{02B3A1CF-1641-437A-B60E-7E024E10513F}"/>
    <cellStyle name="Notas 2 23 6" xfId="2307" xr:uid="{C3C200FD-1BAB-465A-9F5B-EF9C25A5CD81}"/>
    <cellStyle name="Notas 2 24" xfId="421" xr:uid="{D7F46960-B24B-477B-A30C-3DA5E0C99E31}"/>
    <cellStyle name="Notas 2 24 2" xfId="855" xr:uid="{7B68DBF3-E2AC-4187-AD19-D7373DD952F6}"/>
    <cellStyle name="Notas 2 24 3" xfId="1270" xr:uid="{22642099-05AC-42B1-B395-2579BA4A6BBC}"/>
    <cellStyle name="Notas 2 24 4" xfId="1683" xr:uid="{0954AE4E-C2A8-4D98-B1D7-756A546C7B13}"/>
    <cellStyle name="Notas 2 24 5" xfId="2093" xr:uid="{DDAC7A13-E809-4FE0-80AD-F629BE22B845}"/>
    <cellStyle name="Notas 2 24 6" xfId="2500" xr:uid="{1FA2175F-6220-4623-B606-0E7C0EFE6D83}"/>
    <cellStyle name="Notas 2 25" xfId="435" xr:uid="{32F5A10C-F3EB-4733-A16D-CB5D47C3B414}"/>
    <cellStyle name="Notas 2 25 2" xfId="869" xr:uid="{98F58B65-7651-4422-B3D8-1E915E7273D8}"/>
    <cellStyle name="Notas 2 25 3" xfId="1283" xr:uid="{99D767BD-1FEC-42EC-AC47-BEDDFD632545}"/>
    <cellStyle name="Notas 2 25 4" xfId="1697" xr:uid="{E8E5A34D-DFB8-4B5D-B041-F04450FC5DC0}"/>
    <cellStyle name="Notas 2 25 5" xfId="2107" xr:uid="{2B07EF45-5708-4147-BC99-ECAD0635ADE7}"/>
    <cellStyle name="Notas 2 25 6" xfId="2513" xr:uid="{279B9968-816F-4674-922B-77BB38D8EF28}"/>
    <cellStyle name="Notas 2 26" xfId="443" xr:uid="{CCA258D3-AB0A-459D-92CD-F1B4448A8542}"/>
    <cellStyle name="Notas 2 26 2" xfId="877" xr:uid="{6D3FBE21-A2B6-478D-8EC5-ED2D8E79961A}"/>
    <cellStyle name="Notas 2 26 3" xfId="1291" xr:uid="{CD97C852-BC44-41B4-BF89-E0E520EC3778}"/>
    <cellStyle name="Notas 2 26 4" xfId="1705" xr:uid="{DFDBD34F-DFFA-4129-8E5B-B5C1748853DC}"/>
    <cellStyle name="Notas 2 26 5" xfId="2115" xr:uid="{33841039-678A-479F-B1FD-8FC41E4D1CFE}"/>
    <cellStyle name="Notas 2 26 6" xfId="2521" xr:uid="{8D45EE70-F626-4A21-A943-C17633884AD3}"/>
    <cellStyle name="Notas 2 27" xfId="454" xr:uid="{01720A6F-195A-4A80-A59F-1933DD4CB675}"/>
    <cellStyle name="Notas 2 28" xfId="883" xr:uid="{76778239-65BE-4AA3-8ED8-897487F32556}"/>
    <cellStyle name="Notas 2 29" xfId="1018" xr:uid="{1B105990-3D1C-440C-9E63-C4FE910187F9}"/>
    <cellStyle name="Notas 2 3" xfId="26" xr:uid="{00000000-0005-0000-0000-000078000000}"/>
    <cellStyle name="Notas 2 3 10" xfId="109" xr:uid="{00000000-0005-0000-0000-000079000000}"/>
    <cellStyle name="Notas 2 3 10 2" xfId="306" xr:uid="{5F6A4ECB-4385-43F7-A01E-040C3B30C290}"/>
    <cellStyle name="Notas 2 3 10 2 2" xfId="740" xr:uid="{34068066-3928-4856-BD0E-9BA915789A3A}"/>
    <cellStyle name="Notas 2 3 10 2 3" xfId="1156" xr:uid="{B84DBBA7-4E2D-4853-99B3-49CFC56D1B89}"/>
    <cellStyle name="Notas 2 3 10 2 4" xfId="1569" xr:uid="{EC5AEF1E-B4F5-4FFC-8A77-B8E4A8D7C438}"/>
    <cellStyle name="Notas 2 3 10 2 5" xfId="1979" xr:uid="{2CF7CDE0-A1EC-40CC-AFAC-4774A60B88E4}"/>
    <cellStyle name="Notas 2 3 10 2 6" xfId="2386" xr:uid="{46128D1B-876D-4CC2-9B62-ADBBB819FB2C}"/>
    <cellStyle name="Notas 2 3 10 3" xfId="543" xr:uid="{72773E4C-02AD-46CF-AB94-D32E64D0C790}"/>
    <cellStyle name="Notas 2 3 10 4" xfId="961" xr:uid="{817E066A-A7B8-469B-8F04-A820385EF8BC}"/>
    <cellStyle name="Notas 2 3 10 5" xfId="1374" xr:uid="{BD6DF046-D458-4AB8-91BA-06DCD37E4F4C}"/>
    <cellStyle name="Notas 2 3 10 6" xfId="1785" xr:uid="{05EE8468-BFEB-474A-BF12-2BAA705300CF}"/>
    <cellStyle name="Notas 2 3 10 7" xfId="2193" xr:uid="{D2C00932-B159-4BC8-9A93-10779B696620}"/>
    <cellStyle name="Notas 2 3 11" xfId="115" xr:uid="{00000000-0005-0000-0000-00007A000000}"/>
    <cellStyle name="Notas 2 3 11 2" xfId="312" xr:uid="{91FC444A-896C-4537-A3B0-F7928B6F1E43}"/>
    <cellStyle name="Notas 2 3 11 2 2" xfId="746" xr:uid="{153CD498-8280-4404-A6E8-F53CADAB8F52}"/>
    <cellStyle name="Notas 2 3 11 2 3" xfId="1162" xr:uid="{4BBD44A5-0FD4-4078-B8FE-17405F284A26}"/>
    <cellStyle name="Notas 2 3 11 2 4" xfId="1575" xr:uid="{B80262B5-F95A-402C-822D-D4CB2BE704CF}"/>
    <cellStyle name="Notas 2 3 11 2 5" xfId="1985" xr:uid="{44E5BC41-A5E6-4ED6-AB7B-3E51CF4513BB}"/>
    <cellStyle name="Notas 2 3 11 2 6" xfId="2392" xr:uid="{8D695E20-8067-4BCA-835C-9F9120659E63}"/>
    <cellStyle name="Notas 2 3 11 3" xfId="549" xr:uid="{17C9159F-1C70-4483-9D91-A44BB19AECCE}"/>
    <cellStyle name="Notas 2 3 11 4" xfId="967" xr:uid="{E343E0EE-DE7C-4738-A3EC-7607BF8387A2}"/>
    <cellStyle name="Notas 2 3 11 5" xfId="1380" xr:uid="{21ADC1D3-9CD1-4232-89A8-96DB12D500E2}"/>
    <cellStyle name="Notas 2 3 11 6" xfId="1791" xr:uid="{0111CC81-2333-4950-8835-2AF64D2AA0EB}"/>
    <cellStyle name="Notas 2 3 11 7" xfId="2199" xr:uid="{939D2469-AF26-42BB-97C7-1E08F12727C3}"/>
    <cellStyle name="Notas 2 3 12" xfId="126" xr:uid="{00000000-0005-0000-0000-00007B000000}"/>
    <cellStyle name="Notas 2 3 12 2" xfId="323" xr:uid="{7BD6C4B2-00B2-469E-B2BE-3E45BDD46850}"/>
    <cellStyle name="Notas 2 3 12 2 2" xfId="757" xr:uid="{2F198B32-7AEA-4655-B8E0-12133E2D70B0}"/>
    <cellStyle name="Notas 2 3 12 2 3" xfId="1173" xr:uid="{02EDC87A-7EF5-48FB-89C6-509F2ADDA955}"/>
    <cellStyle name="Notas 2 3 12 2 4" xfId="1586" xr:uid="{591A66D1-5D17-4906-B578-15A3377E725B}"/>
    <cellStyle name="Notas 2 3 12 2 5" xfId="1996" xr:uid="{0A386136-9528-44F2-A72D-CADFD1A249D4}"/>
    <cellStyle name="Notas 2 3 12 2 6" xfId="2403" xr:uid="{0E0A6308-7BC7-4812-8CCC-E5032152D424}"/>
    <cellStyle name="Notas 2 3 12 3" xfId="560" xr:uid="{4C83E7DA-8B03-43C0-85F2-59EFB9A3C33D}"/>
    <cellStyle name="Notas 2 3 12 4" xfId="978" xr:uid="{B22EF6BB-9E88-4D3D-9210-65471CA7BF7B}"/>
    <cellStyle name="Notas 2 3 12 5" xfId="1391" xr:uid="{699E8AB3-8EFE-4628-A3C9-27602266A8ED}"/>
    <cellStyle name="Notas 2 3 12 6" xfId="1802" xr:uid="{B74CC565-71D5-41D6-80B0-39EFD687ED7C}"/>
    <cellStyle name="Notas 2 3 12 7" xfId="2210" xr:uid="{99D99F59-513F-4601-B8C8-685842DF9990}"/>
    <cellStyle name="Notas 2 3 13" xfId="135" xr:uid="{00000000-0005-0000-0000-00007C000000}"/>
    <cellStyle name="Notas 2 3 13 2" xfId="332" xr:uid="{97A6890C-9F74-4949-B228-8F968CB648C1}"/>
    <cellStyle name="Notas 2 3 13 2 2" xfId="766" xr:uid="{D2796D12-F915-4809-84B4-765CF0DD97B8}"/>
    <cellStyle name="Notas 2 3 13 2 3" xfId="1182" xr:uid="{4A83AE31-EA99-4B70-ABFE-654230F9A839}"/>
    <cellStyle name="Notas 2 3 13 2 4" xfId="1595" xr:uid="{7AC4BE97-7EE2-42E2-A0C4-82AE87A564DA}"/>
    <cellStyle name="Notas 2 3 13 2 5" xfId="2005" xr:uid="{63CF9426-9900-42A9-A7D1-E0FE01675E92}"/>
    <cellStyle name="Notas 2 3 13 2 6" xfId="2412" xr:uid="{784F3992-3BDF-4533-B691-B60D2C0F0F4F}"/>
    <cellStyle name="Notas 2 3 13 3" xfId="569" xr:uid="{B9937E7E-673E-41EB-82B8-B5694A09AC02}"/>
    <cellStyle name="Notas 2 3 13 4" xfId="987" xr:uid="{68295A96-070F-428B-AE5E-20292A432F88}"/>
    <cellStyle name="Notas 2 3 13 5" xfId="1400" xr:uid="{87A8A118-EEDA-4A49-B0AC-D0A6FE49369D}"/>
    <cellStyle name="Notas 2 3 13 6" xfId="1811" xr:uid="{E78A22FB-5854-469C-BB5A-4E979925462B}"/>
    <cellStyle name="Notas 2 3 13 7" xfId="2219" xr:uid="{C7D0EA30-5D04-42B8-BC64-0C9B1FD5EFDD}"/>
    <cellStyle name="Notas 2 3 14" xfId="142" xr:uid="{00000000-0005-0000-0000-00007D000000}"/>
    <cellStyle name="Notas 2 3 14 2" xfId="339" xr:uid="{BB021ECC-163F-45CA-9101-8017C848A5D6}"/>
    <cellStyle name="Notas 2 3 14 2 2" xfId="773" xr:uid="{5D9C5619-AC6B-4FD4-BA3F-63B7D58ED8F0}"/>
    <cellStyle name="Notas 2 3 14 2 3" xfId="1189" xr:uid="{E5DCFD9D-6493-48B6-B84B-84C8A4412F10}"/>
    <cellStyle name="Notas 2 3 14 2 4" xfId="1602" xr:uid="{7FC2FA93-BCF9-4397-9C6E-CBB937ABE9F1}"/>
    <cellStyle name="Notas 2 3 14 2 5" xfId="2012" xr:uid="{2BF3B8CD-D082-4E30-A9F0-D055183162A4}"/>
    <cellStyle name="Notas 2 3 14 2 6" xfId="2419" xr:uid="{0571731E-DBAE-4E60-A83E-67C3175F2AC4}"/>
    <cellStyle name="Notas 2 3 14 3" xfId="576" xr:uid="{E132D5BD-E57E-491F-8AE0-D0D62721A8A5}"/>
    <cellStyle name="Notas 2 3 14 4" xfId="994" xr:uid="{5A608F1C-0EDD-4427-9ED3-2CFFB2C2365C}"/>
    <cellStyle name="Notas 2 3 14 5" xfId="1407" xr:uid="{BDA4D6D1-09FA-437F-89AC-3E829A11EC65}"/>
    <cellStyle name="Notas 2 3 14 6" xfId="1818" xr:uid="{EDDB1F0A-3D2A-4A57-BA84-927C628DFE96}"/>
    <cellStyle name="Notas 2 3 14 7" xfId="2226" xr:uid="{638E1F13-5664-40D4-B933-8F77AF675D47}"/>
    <cellStyle name="Notas 2 3 15" xfId="151" xr:uid="{00000000-0005-0000-0000-00007E000000}"/>
    <cellStyle name="Notas 2 3 15 2" xfId="348" xr:uid="{16FAC8F0-7338-44FB-A5D6-96C5C59E67B8}"/>
    <cellStyle name="Notas 2 3 15 2 2" xfId="782" xr:uid="{1D5767F7-0978-45C6-8D89-7328183B5E28}"/>
    <cellStyle name="Notas 2 3 15 2 3" xfId="1198" xr:uid="{25F05EAF-20D6-4326-BFB2-57612725AE27}"/>
    <cellStyle name="Notas 2 3 15 2 4" xfId="1611" xr:uid="{AB86DB45-4CC6-4611-92ED-4099416AF6A0}"/>
    <cellStyle name="Notas 2 3 15 2 5" xfId="2021" xr:uid="{BEFAA222-479B-46CE-AB69-B730E8B43099}"/>
    <cellStyle name="Notas 2 3 15 2 6" xfId="2428" xr:uid="{9BC1DF93-9A7E-47D6-A238-60078118FAAD}"/>
    <cellStyle name="Notas 2 3 15 3" xfId="585" xr:uid="{6EDAC3D9-E7CB-4485-BF2D-E9951E807A08}"/>
    <cellStyle name="Notas 2 3 15 4" xfId="1003" xr:uid="{FBD4D037-DF59-4783-83D4-632467E4D854}"/>
    <cellStyle name="Notas 2 3 15 5" xfId="1416" xr:uid="{30915366-3E36-4BFD-9F11-E64E5EBE05E7}"/>
    <cellStyle name="Notas 2 3 15 6" xfId="1827" xr:uid="{0CC0FA4C-FF17-4293-BCD1-86836DE2B85D}"/>
    <cellStyle name="Notas 2 3 15 7" xfId="2235" xr:uid="{C6A3B9D8-D9B0-41AA-A055-32655C0EC677}"/>
    <cellStyle name="Notas 2 3 16" xfId="165" xr:uid="{2C834F48-3E4A-4230-941E-3CF914CB43AA}"/>
    <cellStyle name="Notas 2 3 16 2" xfId="362" xr:uid="{8B471514-85D1-43FF-84B4-1A5B3F68CB59}"/>
    <cellStyle name="Notas 2 3 16 2 2" xfId="796" xr:uid="{F86D8158-2953-4421-BDD6-CED439F6EC85}"/>
    <cellStyle name="Notas 2 3 16 2 3" xfId="1212" xr:uid="{92D45557-5895-4505-9F3C-0B9032B9A156}"/>
    <cellStyle name="Notas 2 3 16 2 4" xfId="1625" xr:uid="{EA341A5F-A644-44F5-BFAC-613885989227}"/>
    <cellStyle name="Notas 2 3 16 2 5" xfId="2035" xr:uid="{18A50A3C-A303-4210-B6BD-E520C59D67D1}"/>
    <cellStyle name="Notas 2 3 16 2 6" xfId="2442" xr:uid="{34F24F2C-55D3-4B42-80DF-1EB89E0E450B}"/>
    <cellStyle name="Notas 2 3 16 3" xfId="599" xr:uid="{04FC5350-48D4-41C0-8349-F861FE59E5F7}"/>
    <cellStyle name="Notas 2 3 16 4" xfId="1017" xr:uid="{F7849CD4-3C5B-4E28-AD65-70525A02A110}"/>
    <cellStyle name="Notas 2 3 16 5" xfId="1430" xr:uid="{AE59C391-E32E-4904-9FCD-C64B0FCF20AD}"/>
    <cellStyle name="Notas 2 3 16 6" xfId="1841" xr:uid="{376885F9-1BB2-4244-A021-FD70640144CE}"/>
    <cellStyle name="Notas 2 3 16 7" xfId="2249" xr:uid="{F5680B87-7128-4F2C-AD9E-8B018FA0620D}"/>
    <cellStyle name="Notas 2 3 17" xfId="173" xr:uid="{C29BC2F7-684D-4585-A36E-969E1D4B7EB6}"/>
    <cellStyle name="Notas 2 3 17 2" xfId="370" xr:uid="{CD72A959-E512-46F0-8D07-63A0B39CD1FF}"/>
    <cellStyle name="Notas 2 3 17 2 2" xfId="804" xr:uid="{44BC0920-2B2D-4D62-B2A8-6719648732A5}"/>
    <cellStyle name="Notas 2 3 17 2 3" xfId="1219" xr:uid="{78DFC5DD-4095-4DA6-8C25-2947C98225AD}"/>
    <cellStyle name="Notas 2 3 17 2 4" xfId="1632" xr:uid="{3FB60D51-FFB9-4264-B5D1-6A705B264449}"/>
    <cellStyle name="Notas 2 3 17 2 5" xfId="2042" xr:uid="{25F7E7D7-5867-40DF-B221-A13F9AA86829}"/>
    <cellStyle name="Notas 2 3 17 2 6" xfId="2449" xr:uid="{7635CFAB-3832-4C8C-9632-D49EC2E6482D}"/>
    <cellStyle name="Notas 2 3 17 3" xfId="607" xr:uid="{74927BE3-E469-43D4-B063-68B059CC476B}"/>
    <cellStyle name="Notas 2 3 17 4" xfId="1025" xr:uid="{83EED7A0-C44D-4A10-9C26-618A94B2BBB6}"/>
    <cellStyle name="Notas 2 3 17 5" xfId="1438" xr:uid="{AE02023D-88E5-483F-B9F9-254868F8BD4B}"/>
    <cellStyle name="Notas 2 3 17 6" xfId="1848" xr:uid="{B9153EE8-B0A6-4A5B-847C-48FB201BD9F5}"/>
    <cellStyle name="Notas 2 3 17 7" xfId="2256" xr:uid="{B91C2CD9-0473-4EC4-B19F-CF23F291B3F8}"/>
    <cellStyle name="Notas 2 3 18" xfId="183" xr:uid="{1DF31BB2-DCC5-414A-8BF3-B9A9D4142762}"/>
    <cellStyle name="Notas 2 3 18 2" xfId="380" xr:uid="{E416BA6C-1473-4FAF-912F-45D9FCD75EB1}"/>
    <cellStyle name="Notas 2 3 18 2 2" xfId="814" xr:uid="{C79B6275-AE2B-4633-8EF7-F464D4CDA541}"/>
    <cellStyle name="Notas 2 3 18 2 3" xfId="1229" xr:uid="{F8D5E7F9-F4CC-4645-B95C-E0BFA05E2E63}"/>
    <cellStyle name="Notas 2 3 18 2 4" xfId="1642" xr:uid="{62D4111B-D72A-4E59-BD23-D5B95AC36BA5}"/>
    <cellStyle name="Notas 2 3 18 2 5" xfId="2052" xr:uid="{3F46BB55-8BBC-4982-873B-C0A58F67D183}"/>
    <cellStyle name="Notas 2 3 18 2 6" xfId="2459" xr:uid="{70159CC3-BDC7-4B8F-8C77-E70D30F9D93C}"/>
    <cellStyle name="Notas 2 3 18 3" xfId="617" xr:uid="{9EAD00B7-A853-4E6C-A2C0-D4A062DFABDF}"/>
    <cellStyle name="Notas 2 3 18 4" xfId="1035" xr:uid="{E3EC93C6-EE9C-47E0-84CF-001757A93F2E}"/>
    <cellStyle name="Notas 2 3 18 5" xfId="1448" xr:uid="{A4A5136C-FF35-48F7-B255-9C9BC7DB55B2}"/>
    <cellStyle name="Notas 2 3 18 6" xfId="1858" xr:uid="{DA54B168-020E-4288-8CF6-0BA0E0ECC5D0}"/>
    <cellStyle name="Notas 2 3 18 7" xfId="2266" xr:uid="{5E1BA238-AEA8-43D9-A4DA-A6142BF88684}"/>
    <cellStyle name="Notas 2 3 19" xfId="193" xr:uid="{30F8B6B9-96AB-4C82-8E97-B49C94BBC25B}"/>
    <cellStyle name="Notas 2 3 19 2" xfId="390" xr:uid="{BCA1B1A8-0B24-441D-BC96-14EFEA4CA625}"/>
    <cellStyle name="Notas 2 3 19 2 2" xfId="824" xr:uid="{BC430CBB-DEDE-4A98-A145-E23390869E35}"/>
    <cellStyle name="Notas 2 3 19 2 3" xfId="1239" xr:uid="{A81FB9D6-95CB-4776-9F62-1886CA98F507}"/>
    <cellStyle name="Notas 2 3 19 2 4" xfId="1652" xr:uid="{D5841963-75D9-4EB7-A562-C3D922244975}"/>
    <cellStyle name="Notas 2 3 19 2 5" xfId="2062" xr:uid="{C09AAD12-BCBF-445C-9013-F062DF0594CE}"/>
    <cellStyle name="Notas 2 3 19 2 6" xfId="2469" xr:uid="{0A816329-8642-49A6-A9FB-07633FDA6EC0}"/>
    <cellStyle name="Notas 2 3 19 3" xfId="627" xr:uid="{EEAF89A2-0B4D-4B80-AE24-5BB05C507E35}"/>
    <cellStyle name="Notas 2 3 19 4" xfId="1045" xr:uid="{F9AFE844-67CB-438D-BB33-6F7562D6F54D}"/>
    <cellStyle name="Notas 2 3 19 5" xfId="1458" xr:uid="{31E35182-A6DF-49AB-8A5A-7A82F613E71A}"/>
    <cellStyle name="Notas 2 3 19 6" xfId="1868" xr:uid="{3AE54ED3-9A4D-422D-A203-FF7FD58ADA0C}"/>
    <cellStyle name="Notas 2 3 19 7" xfId="2276" xr:uid="{34AB1A04-E72D-4D7B-AFAD-F470766287B7}"/>
    <cellStyle name="Notas 2 3 2" xfId="49" xr:uid="{00000000-0005-0000-0000-00007F000000}"/>
    <cellStyle name="Notas 2 3 2 2" xfId="246" xr:uid="{F0FC6638-3A26-43F5-A3EF-766387BA4D45}"/>
    <cellStyle name="Notas 2 3 2 2 2" xfId="680" xr:uid="{93F70EE9-4EA0-4E2D-BF8F-5060CA6DBD8D}"/>
    <cellStyle name="Notas 2 3 2 2 3" xfId="1097" xr:uid="{CD6F9B14-23E2-48EE-AEDA-7331594EBD72}"/>
    <cellStyle name="Notas 2 3 2 2 4" xfId="1510" xr:uid="{6D6385C5-463C-44B8-A54F-E540A06DD39C}"/>
    <cellStyle name="Notas 2 3 2 2 5" xfId="1920" xr:uid="{580E2AE3-59A7-43F0-8740-89016B27A57E}"/>
    <cellStyle name="Notas 2 3 2 2 6" xfId="2328" xr:uid="{0CFBFD14-CC6F-43C0-A456-6E1A0EDE1629}"/>
    <cellStyle name="Notas 2 3 2 3" xfId="483" xr:uid="{4D6B004C-840F-4722-B6E5-68384F89B4E4}"/>
    <cellStyle name="Notas 2 3 2 4" xfId="901" xr:uid="{18803873-1020-4049-AE8F-B5FCB05E40F1}"/>
    <cellStyle name="Notas 2 3 2 5" xfId="1316" xr:uid="{39A119FD-1369-4A97-93E3-1361940E6107}"/>
    <cellStyle name="Notas 2 3 2 6" xfId="1727" xr:uid="{EB895129-B55A-4EB6-A820-601ED236EFFB}"/>
    <cellStyle name="Notas 2 3 2 7" xfId="2135" xr:uid="{1055C6A8-238A-421D-937E-D0754EECDA8E}"/>
    <cellStyle name="Notas 2 3 20" xfId="203" xr:uid="{AB0302CC-E6C1-4EED-B057-7508573A3C2E}"/>
    <cellStyle name="Notas 2 3 20 2" xfId="400" xr:uid="{195C10ED-43F8-4481-A798-279BFBD3B27D}"/>
    <cellStyle name="Notas 2 3 20 2 2" xfId="834" xr:uid="{A19F8208-547D-4457-BA0A-72E33C889432}"/>
    <cellStyle name="Notas 2 3 20 2 3" xfId="1249" xr:uid="{1A1841AF-41D0-4F70-AD7C-97EBAD7EA582}"/>
    <cellStyle name="Notas 2 3 20 2 4" xfId="1662" xr:uid="{8726659A-5D00-4BF9-BD23-BE0305ED84E1}"/>
    <cellStyle name="Notas 2 3 20 2 5" xfId="2072" xr:uid="{614AE131-E849-416A-94A2-1819CF2AD4CE}"/>
    <cellStyle name="Notas 2 3 20 2 6" xfId="2479" xr:uid="{71B59DEE-3A26-4E6A-8BAC-61854800AC7A}"/>
    <cellStyle name="Notas 2 3 20 3" xfId="637" xr:uid="{8FD47846-89E1-4677-BAF2-1CA7AC1FA32A}"/>
    <cellStyle name="Notas 2 3 20 4" xfId="1055" xr:uid="{61BDEA8E-8A23-45DF-B112-10DFBFE8FECB}"/>
    <cellStyle name="Notas 2 3 20 5" xfId="1468" xr:uid="{796C817D-72FD-41D3-934F-B8E4494DCA0C}"/>
    <cellStyle name="Notas 2 3 20 6" xfId="1878" xr:uid="{C7650B89-7F39-4127-88FE-D4DEEF83CAFD}"/>
    <cellStyle name="Notas 2 3 20 7" xfId="2286" xr:uid="{562E92C8-23E6-4369-AF00-33655F751B0B}"/>
    <cellStyle name="Notas 2 3 21" xfId="215" xr:uid="{D0A9A056-5DD6-425E-87D6-C89ACF78BAE2}"/>
    <cellStyle name="Notas 2 3 21 2" xfId="412" xr:uid="{301CE788-87DD-4473-9AF8-E26D776BD6BE}"/>
    <cellStyle name="Notas 2 3 21 2 2" xfId="846" xr:uid="{76E50FFA-B091-43CA-B1F4-38B87B4AEB09}"/>
    <cellStyle name="Notas 2 3 21 2 3" xfId="1261" xr:uid="{6F78A797-17E0-45B2-A2FE-4A419B40C741}"/>
    <cellStyle name="Notas 2 3 21 2 4" xfId="1674" xr:uid="{8FE2DC12-699B-433D-8F22-3B82D7B60298}"/>
    <cellStyle name="Notas 2 3 21 2 5" xfId="2084" xr:uid="{07BA22EA-E939-42E4-9228-9BDFFDC82C8C}"/>
    <cellStyle name="Notas 2 3 21 2 6" xfId="2491" xr:uid="{00DFF37C-19D1-4DAD-8447-EAF261A8D5CF}"/>
    <cellStyle name="Notas 2 3 21 3" xfId="649" xr:uid="{EC61A114-2BA9-408D-B454-8A5F51F4AE45}"/>
    <cellStyle name="Notas 2 3 21 4" xfId="1067" xr:uid="{8FBCC583-1BF6-4F3B-B66B-DA5162AA3EC9}"/>
    <cellStyle name="Notas 2 3 21 5" xfId="1480" xr:uid="{3C8B44BE-B1B7-4ED5-AA11-A82D996E790E}"/>
    <cellStyle name="Notas 2 3 21 6" xfId="1890" xr:uid="{4F16D68D-E5C8-4B1D-ABB2-2668C0BE74C1}"/>
    <cellStyle name="Notas 2 3 21 7" xfId="2298" xr:uid="{9D72CB2A-3E73-42B9-8F49-D1E24E6B0D7F}"/>
    <cellStyle name="Notas 2 3 22" xfId="221" xr:uid="{70BFAD42-F28A-40B3-992C-083447699D29}"/>
    <cellStyle name="Notas 2 3 22 2" xfId="418" xr:uid="{CA168F5A-6DA7-4959-838A-82C17795AA5E}"/>
    <cellStyle name="Notas 2 3 22 2 2" xfId="852" xr:uid="{2AA846F2-02D2-4027-B327-F2E056471C87}"/>
    <cellStyle name="Notas 2 3 22 2 3" xfId="1267" xr:uid="{8753E68D-3365-4813-AD17-F85D448681DA}"/>
    <cellStyle name="Notas 2 3 22 2 4" xfId="1680" xr:uid="{FB09D410-C958-4203-8FEA-5743953D817C}"/>
    <cellStyle name="Notas 2 3 22 2 5" xfId="2090" xr:uid="{C02CF50D-1849-4372-9CDA-C3AC93960C90}"/>
    <cellStyle name="Notas 2 3 22 2 6" xfId="2497" xr:uid="{DB6CB4E7-AAA0-46D6-BC8D-C746DE1940B3}"/>
    <cellStyle name="Notas 2 3 22 3" xfId="655" xr:uid="{16954BEA-93FD-4D76-9C66-49B3DD9FB0BA}"/>
    <cellStyle name="Notas 2 3 22 4" xfId="1073" xr:uid="{68D34110-50E8-4BE8-81A6-7933C906BCC9}"/>
    <cellStyle name="Notas 2 3 22 5" xfId="1486" xr:uid="{832D7D5E-F0BD-48C2-9E98-A1D79491ADDD}"/>
    <cellStyle name="Notas 2 3 22 6" xfId="1896" xr:uid="{4D8CF8FC-1068-41F8-9404-5F45A984F280}"/>
    <cellStyle name="Notas 2 3 22 7" xfId="2304" xr:uid="{9787728D-F167-44FE-BECD-318479786366}"/>
    <cellStyle name="Notas 2 3 23" xfId="231" xr:uid="{CF8DECB9-4187-47F5-87C2-499F6920EF75}"/>
    <cellStyle name="Notas 2 3 23 2" xfId="665" xr:uid="{9AB61DE3-A0CC-4DC4-B127-4604CF06CE55}"/>
    <cellStyle name="Notas 2 3 23 3" xfId="1083" xr:uid="{A4167805-9F52-4816-BEAD-ECCC3F0F788C}"/>
    <cellStyle name="Notas 2 3 23 4" xfId="1496" xr:uid="{A2BCE2E0-9D82-4064-A9CB-C1E51012A5A7}"/>
    <cellStyle name="Notas 2 3 23 5" xfId="1906" xr:uid="{FEC82A27-8854-4CD7-8645-CBBCC12ED870}"/>
    <cellStyle name="Notas 2 3 23 6" xfId="2314" xr:uid="{9CEAB104-2988-4812-8AC0-22025F10210F}"/>
    <cellStyle name="Notas 2 3 24" xfId="428" xr:uid="{A7C7151B-1443-4634-BCE2-0E9504BDCF21}"/>
    <cellStyle name="Notas 2 3 24 2" xfId="862" xr:uid="{5BD8A643-0A3C-4AD3-A46E-F2E4D971E43D}"/>
    <cellStyle name="Notas 2 3 24 3" xfId="1277" xr:uid="{5E594434-BEBC-4763-A1C6-AF6954AC5CC4}"/>
    <cellStyle name="Notas 2 3 24 4" xfId="1690" xr:uid="{5644D23A-06DF-42EF-AC06-5BC754436F08}"/>
    <cellStyle name="Notas 2 3 24 5" xfId="2100" xr:uid="{19AE64D6-0930-4720-8700-258262131780}"/>
    <cellStyle name="Notas 2 3 24 6" xfId="2507" xr:uid="{3DE02940-AFB2-4593-9160-F1D2CF1C2F80}"/>
    <cellStyle name="Notas 2 3 25" xfId="444" xr:uid="{A7884C01-4F8A-41E4-9EFC-44B9D4539011}"/>
    <cellStyle name="Notas 2 3 25 2" xfId="878" xr:uid="{47FB2E67-1B5A-4CDA-8712-B2BE7208C079}"/>
    <cellStyle name="Notas 2 3 25 3" xfId="1292" xr:uid="{4A79A3C2-D73E-484F-9493-21ED477115FA}"/>
    <cellStyle name="Notas 2 3 25 4" xfId="1706" xr:uid="{0772139B-B7D0-485E-A44A-893E77B3B194}"/>
    <cellStyle name="Notas 2 3 25 5" xfId="2116" xr:uid="{02DF0352-CA47-46A6-BB55-9E2A0496D058}"/>
    <cellStyle name="Notas 2 3 25 6" xfId="2522" xr:uid="{896B79D2-62D6-4EF8-ADC5-109C73CF0243}"/>
    <cellStyle name="Notas 2 3 26" xfId="447" xr:uid="{78C46709-F2FF-417B-8B40-ECBD4C1CA45F}"/>
    <cellStyle name="Notas 2 3 26 2" xfId="881" xr:uid="{F828B864-F188-49FE-908F-782A72439DBE}"/>
    <cellStyle name="Notas 2 3 26 3" xfId="1295" xr:uid="{85E28729-E31F-41DF-87B0-FEC32C38AEFF}"/>
    <cellStyle name="Notas 2 3 26 4" xfId="1709" xr:uid="{9C8841B3-0211-47A8-B228-A0B3A4C1B99F}"/>
    <cellStyle name="Notas 2 3 26 5" xfId="2119" xr:uid="{6E2C5D68-5E89-4339-9785-4F2A47056DD0}"/>
    <cellStyle name="Notas 2 3 26 6" xfId="2525" xr:uid="{4FBFA1AD-A327-4B28-9C7A-22C770151B14}"/>
    <cellStyle name="Notas 2 3 27" xfId="463" xr:uid="{7FC1D12C-8E41-44F5-B572-CA28AFB485B9}"/>
    <cellStyle name="Notas 2 3 28" xfId="885" xr:uid="{291DD4C3-F03C-4CFF-800F-11BDB710D982}"/>
    <cellStyle name="Notas 2 3 29" xfId="1300" xr:uid="{46C1D6FD-C03D-47D8-ABB8-9DADA2BF1553}"/>
    <cellStyle name="Notas 2 3 3" xfId="64" xr:uid="{00000000-0005-0000-0000-000080000000}"/>
    <cellStyle name="Notas 2 3 3 2" xfId="261" xr:uid="{346F41E9-1E90-42B4-8CFA-CED564F0D4EC}"/>
    <cellStyle name="Notas 2 3 3 2 2" xfId="695" xr:uid="{7AF5AAA8-F8B5-48E9-9128-68448722CE83}"/>
    <cellStyle name="Notas 2 3 3 2 3" xfId="1112" xr:uid="{BC720024-CC9F-4795-9CE3-AC49E0CDBCFA}"/>
    <cellStyle name="Notas 2 3 3 2 4" xfId="1524" xr:uid="{6E1279E0-26AF-4549-90B5-2E06E39AB34E}"/>
    <cellStyle name="Notas 2 3 3 2 5" xfId="1935" xr:uid="{726D584F-8790-41BC-B04E-24E6B4E37C8E}"/>
    <cellStyle name="Notas 2 3 3 2 6" xfId="2342" xr:uid="{1D7CA2D0-6C71-4F26-846E-114CE47E344D}"/>
    <cellStyle name="Notas 2 3 3 3" xfId="498" xr:uid="{E3F3F511-A5D7-4D85-B632-6E8BFD340B79}"/>
    <cellStyle name="Notas 2 3 3 4" xfId="916" xr:uid="{A55D1C2F-41E1-4168-8F60-F4217AB8F44D}"/>
    <cellStyle name="Notas 2 3 3 5" xfId="1330" xr:uid="{C685E8B7-ACF7-485F-9467-31CBFA47BD47}"/>
    <cellStyle name="Notas 2 3 3 6" xfId="1741" xr:uid="{4DC459A2-E1DE-474F-BE49-49EE8BF044B3}"/>
    <cellStyle name="Notas 2 3 3 7" xfId="2149" xr:uid="{D8913F00-5078-4B6C-B3C1-4BD7419284A1}"/>
    <cellStyle name="Notas 2 3 30" xfId="1303" xr:uid="{1FFCAAC5-7432-4782-8593-44FE0685C294}"/>
    <cellStyle name="Notas 2 3 31" xfId="1301" xr:uid="{F7267448-753E-4B89-871C-07AC4A35969C}"/>
    <cellStyle name="Notas 2 3 4" xfId="70" xr:uid="{00000000-0005-0000-0000-000081000000}"/>
    <cellStyle name="Notas 2 3 4 2" xfId="267" xr:uid="{FACA27B4-528D-4801-A0BA-C51FEE130E12}"/>
    <cellStyle name="Notas 2 3 4 2 2" xfId="701" xr:uid="{5B859C6D-DCFB-46BE-AB75-A9B6450397B9}"/>
    <cellStyle name="Notas 2 3 4 2 3" xfId="1118" xr:uid="{990F1AFA-F4B0-4F8B-928E-0FBFE2D92F2C}"/>
    <cellStyle name="Notas 2 3 4 2 4" xfId="1530" xr:uid="{BECEDE36-EF4B-460B-8C21-4E9AFCAE50A7}"/>
    <cellStyle name="Notas 2 3 4 2 5" xfId="1941" xr:uid="{E8AC94AC-65AD-43B8-95C8-49177115BB3A}"/>
    <cellStyle name="Notas 2 3 4 2 6" xfId="2348" xr:uid="{8F42F41F-12C4-400E-81B1-5701FE70CAEC}"/>
    <cellStyle name="Notas 2 3 4 3" xfId="504" xr:uid="{FBFD0C1D-028B-410E-9D08-E0DEFF6B2518}"/>
    <cellStyle name="Notas 2 3 4 4" xfId="922" xr:uid="{BB39B4C9-D696-4FA3-99BF-D98FDEC20ED6}"/>
    <cellStyle name="Notas 2 3 4 5" xfId="1336" xr:uid="{2D314DA2-7FC6-45D3-8E41-A11DF1CBF80D}"/>
    <cellStyle name="Notas 2 3 4 6" xfId="1747" xr:uid="{5235D7B6-B6C2-421E-8483-A60D3F85F6CE}"/>
    <cellStyle name="Notas 2 3 4 7" xfId="2155" xr:uid="{B3430880-41B8-48D2-8FC3-948E9D25027D}"/>
    <cellStyle name="Notas 2 3 5" xfId="40" xr:uid="{00000000-0005-0000-0000-000082000000}"/>
    <cellStyle name="Notas 2 3 5 2" xfId="237" xr:uid="{1A95B34E-3B5D-4794-BF59-6BC4063806B3}"/>
    <cellStyle name="Notas 2 3 5 2 2" xfId="671" xr:uid="{C493937E-C038-4D82-AC0D-72511775BDFD}"/>
    <cellStyle name="Notas 2 3 5 2 3" xfId="1088" xr:uid="{E9282F3D-050E-4953-B1AD-2279C99FC7D7}"/>
    <cellStyle name="Notas 2 3 5 2 4" xfId="1501" xr:uid="{3181EEFB-9739-4AA2-B694-7450DD48CA04}"/>
    <cellStyle name="Notas 2 3 5 2 5" xfId="1911" xr:uid="{F89F9F56-7F06-42D2-B1FD-7424F1ABBFB5}"/>
    <cellStyle name="Notas 2 3 5 2 6" xfId="2319" xr:uid="{B8FAD745-E09B-4867-9228-4D465E830654}"/>
    <cellStyle name="Notas 2 3 5 3" xfId="474" xr:uid="{4509F21F-FEC1-4239-BC4C-786E00EE4684}"/>
    <cellStyle name="Notas 2 3 5 4" xfId="892" xr:uid="{5D085FFB-0239-48D8-95E5-E080F373D5DB}"/>
    <cellStyle name="Notas 2 3 5 5" xfId="1307" xr:uid="{064ED254-4A65-4913-AE54-879AA4DD90FB}"/>
    <cellStyle name="Notas 2 3 5 6" xfId="1718" xr:uid="{E14D5122-A89B-4007-B949-F028F2F08E0B}"/>
    <cellStyle name="Notas 2 3 5 7" xfId="2126" xr:uid="{7FD53062-D7EA-413F-A0F5-590D7FEB0300}"/>
    <cellStyle name="Notas 2 3 6" xfId="80" xr:uid="{00000000-0005-0000-0000-000083000000}"/>
    <cellStyle name="Notas 2 3 6 2" xfId="277" xr:uid="{33886197-3740-4BD1-BEB6-A22FABA42376}"/>
    <cellStyle name="Notas 2 3 6 2 2" xfId="711" xr:uid="{2CC0BF86-CE01-4F73-9897-12EB9CB10BEC}"/>
    <cellStyle name="Notas 2 3 6 2 3" xfId="1128" xr:uid="{034D4EAD-AA30-4D4D-A049-557A95691246}"/>
    <cellStyle name="Notas 2 3 6 2 4" xfId="1540" xr:uid="{2D9405B0-61E4-4DD8-981D-F5505833D462}"/>
    <cellStyle name="Notas 2 3 6 2 5" xfId="1951" xr:uid="{B164C2D8-389A-407F-A78D-60526EEF1FDC}"/>
    <cellStyle name="Notas 2 3 6 2 6" xfId="2358" xr:uid="{75E4A6F3-372C-4627-9696-B04EE8BBBEE9}"/>
    <cellStyle name="Notas 2 3 6 3" xfId="514" xr:uid="{52A47E8F-D10B-474C-A41A-EA46FD02BB24}"/>
    <cellStyle name="Notas 2 3 6 4" xfId="932" xr:uid="{D896A999-10C3-45F0-8856-AB1A66481E3E}"/>
    <cellStyle name="Notas 2 3 6 5" xfId="1346" xr:uid="{752446D7-D460-4988-AC49-4C2B1550F68E}"/>
    <cellStyle name="Notas 2 3 6 6" xfId="1757" xr:uid="{78C28ACD-9026-463E-A6BF-FDF1355E6B69}"/>
    <cellStyle name="Notas 2 3 6 7" xfId="2165" xr:uid="{DA4CC368-343E-489F-9667-6A157B4E88FF}"/>
    <cellStyle name="Notas 2 3 7" xfId="83" xr:uid="{00000000-0005-0000-0000-000084000000}"/>
    <cellStyle name="Notas 2 3 7 2" xfId="280" xr:uid="{F71A4957-8444-4D37-84DC-37AF4DB4D6A4}"/>
    <cellStyle name="Notas 2 3 7 2 2" xfId="714" xr:uid="{860FC389-A647-438B-A2A4-38010C3DE3FF}"/>
    <cellStyle name="Notas 2 3 7 2 3" xfId="1130" xr:uid="{5AFA3FFE-66D9-4C3F-B4AC-0CD9ACB726E4}"/>
    <cellStyle name="Notas 2 3 7 2 4" xfId="1543" xr:uid="{A101C4F5-AEE8-4244-8F5D-8717A8C8ECED}"/>
    <cellStyle name="Notas 2 3 7 2 5" xfId="1953" xr:uid="{150EF1E5-D609-4BC3-B882-6056E9A8590B}"/>
    <cellStyle name="Notas 2 3 7 2 6" xfId="2360" xr:uid="{79A03C9D-317A-48B6-8CB4-4DA1C81805EB}"/>
    <cellStyle name="Notas 2 3 7 3" xfId="517" xr:uid="{DCE5A332-7143-4BC8-843B-079A824C65F2}"/>
    <cellStyle name="Notas 2 3 7 4" xfId="935" xr:uid="{8DC692BE-F226-416A-B0FE-7028E8971FA6}"/>
    <cellStyle name="Notas 2 3 7 5" xfId="1348" xr:uid="{92903F09-9AFF-42E9-AA42-736B5136DF75}"/>
    <cellStyle name="Notas 2 3 7 6" xfId="1759" xr:uid="{3212507A-CFFA-4C1C-92B8-FB655A09811B}"/>
    <cellStyle name="Notas 2 3 7 7" xfId="2167" xr:uid="{962E8483-46DF-4391-94C5-1C86B5C5D0D4}"/>
    <cellStyle name="Notas 2 3 8" xfId="96" xr:uid="{00000000-0005-0000-0000-000085000000}"/>
    <cellStyle name="Notas 2 3 8 2" xfId="293" xr:uid="{97A5684A-EE21-4690-B1EB-80A344979603}"/>
    <cellStyle name="Notas 2 3 8 2 2" xfId="727" xr:uid="{97B671FA-3750-4863-9780-11F056D92651}"/>
    <cellStyle name="Notas 2 3 8 2 3" xfId="1143" xr:uid="{C3007A1B-F4CD-44E5-80E8-F547BEA1AECF}"/>
    <cellStyle name="Notas 2 3 8 2 4" xfId="1556" xr:uid="{30FD3A2E-3B09-406A-A2AD-B91C04EAB585}"/>
    <cellStyle name="Notas 2 3 8 2 5" xfId="1966" xr:uid="{5F4AEFE4-81E8-46C8-8C01-58C5C52B6866}"/>
    <cellStyle name="Notas 2 3 8 2 6" xfId="2373" xr:uid="{2D6B65A1-6F95-4311-85C9-AB8D2617DE18}"/>
    <cellStyle name="Notas 2 3 8 3" xfId="530" xr:uid="{41520922-DC51-4B7D-8F1C-E599A55A7465}"/>
    <cellStyle name="Notas 2 3 8 4" xfId="948" xr:uid="{BA1A69D4-68E3-4369-9D90-F976D65279DF}"/>
    <cellStyle name="Notas 2 3 8 5" xfId="1361" xr:uid="{8DFECD8E-9135-4262-BD44-C46176B68E49}"/>
    <cellStyle name="Notas 2 3 8 6" xfId="1772" xr:uid="{DC34DC01-D7AA-4BF2-BD6D-396C3202953B}"/>
    <cellStyle name="Notas 2 3 8 7" xfId="2180" xr:uid="{430D62DB-F384-4036-8B80-11C8BAE5B566}"/>
    <cellStyle name="Notas 2 3 9" xfId="103" xr:uid="{00000000-0005-0000-0000-000086000000}"/>
    <cellStyle name="Notas 2 3 9 2" xfId="300" xr:uid="{1C820332-83A9-4598-965A-2E14E54FB622}"/>
    <cellStyle name="Notas 2 3 9 2 2" xfId="734" xr:uid="{3FE7A237-D76E-4DBF-9245-BC9A1ECBCD96}"/>
    <cellStyle name="Notas 2 3 9 2 3" xfId="1150" xr:uid="{54E9EC61-ED93-4BAC-A52D-EC224EFFAD6B}"/>
    <cellStyle name="Notas 2 3 9 2 4" xfId="1563" xr:uid="{A9FB456A-7515-4FF0-B115-30970B22944D}"/>
    <cellStyle name="Notas 2 3 9 2 5" xfId="1973" xr:uid="{BE8708AC-83C1-4DA3-A6D0-263BA60AECA2}"/>
    <cellStyle name="Notas 2 3 9 2 6" xfId="2380" xr:uid="{B99675F1-1F6A-4FE9-A103-373C8F6FAF20}"/>
    <cellStyle name="Notas 2 3 9 3" xfId="537" xr:uid="{D7EB828C-6830-46ED-A10E-AF6AAB8ADDD2}"/>
    <cellStyle name="Notas 2 3 9 4" xfId="955" xr:uid="{DC223DDD-5B17-4EBF-B894-46733F6E89EB}"/>
    <cellStyle name="Notas 2 3 9 5" xfId="1368" xr:uid="{1B20D4A4-3BF7-4B30-9C0C-89DB08648F4B}"/>
    <cellStyle name="Notas 2 3 9 6" xfId="1779" xr:uid="{5B94057D-B046-4885-A7FE-793764045D94}"/>
    <cellStyle name="Notas 2 3 9 7" xfId="2187" xr:uid="{9004AA1B-2633-4C69-ABA7-82AF1BE16F3E}"/>
    <cellStyle name="Notas 2 30" xfId="1711" xr:uid="{C5784303-F8D1-4E88-9940-F85EC0850397}"/>
    <cellStyle name="Notas 2 31" xfId="1099" xr:uid="{AA6B882D-5465-4E79-B5F8-2E424E95EC45}"/>
    <cellStyle name="Notas 2 4" xfId="41" xr:uid="{00000000-0005-0000-0000-000087000000}"/>
    <cellStyle name="Notas 2 4 2" xfId="238" xr:uid="{B8D1325B-692E-4C55-BA84-7C95C26A00E2}"/>
    <cellStyle name="Notas 2 4 2 2" xfId="672" xr:uid="{30BC9260-39F8-4A9F-ABF3-E983B15189E0}"/>
    <cellStyle name="Notas 2 4 2 3" xfId="1089" xr:uid="{CA8CAB59-E52D-42C2-BE40-1531071B49BD}"/>
    <cellStyle name="Notas 2 4 2 4" xfId="1502" xr:uid="{28DB70B6-4BF2-48A8-B464-8BC7BC8C943F}"/>
    <cellStyle name="Notas 2 4 2 5" xfId="1912" xr:uid="{A88C1E92-013B-4915-956A-5FDA57E7442A}"/>
    <cellStyle name="Notas 2 4 2 6" xfId="2320" xr:uid="{F0B4BCD5-FBE4-4856-BE27-21C56C3F5DF6}"/>
    <cellStyle name="Notas 2 4 3" xfId="475" xr:uid="{90C76FA9-C31B-4691-957A-07E33C9495BF}"/>
    <cellStyle name="Notas 2 4 4" xfId="893" xr:uid="{E38617B5-73D5-4A3B-9220-AA5DD671CCC9}"/>
    <cellStyle name="Notas 2 4 5" xfId="1308" xr:uid="{22AA2E6E-3EC0-426C-B657-65FE12D03A78}"/>
    <cellStyle name="Notas 2 4 6" xfId="1719" xr:uid="{E23E725F-BE30-4A7F-BB36-3471932D2CFC}"/>
    <cellStyle name="Notas 2 4 7" xfId="2127" xr:uid="{0F8AE698-DE03-41F8-A38A-C9DB4F8CB94A}"/>
    <cellStyle name="Notas 2 5" xfId="50" xr:uid="{00000000-0005-0000-0000-000088000000}"/>
    <cellStyle name="Notas 2 5 2" xfId="247" xr:uid="{D46DD86C-82AA-45BD-AFF6-1E3E791F6310}"/>
    <cellStyle name="Notas 2 5 2 2" xfId="681" xr:uid="{8E056651-C18C-4B2B-8CB7-0662AAC153F5}"/>
    <cellStyle name="Notas 2 5 2 3" xfId="1098" xr:uid="{91FB4AC9-90B0-44C4-8F16-6681663F644F}"/>
    <cellStyle name="Notas 2 5 2 4" xfId="1511" xr:uid="{DBF28FAA-3847-4FEC-BBA2-B69E4A165DBF}"/>
    <cellStyle name="Notas 2 5 2 5" xfId="1921" xr:uid="{16294337-91E6-48A2-B854-686504F4D468}"/>
    <cellStyle name="Notas 2 5 2 6" xfId="2329" xr:uid="{6591F97E-3209-42FE-A023-CA04DCDDA700}"/>
    <cellStyle name="Notas 2 5 3" xfId="484" xr:uid="{9700A5A7-EB0A-42B2-ACD3-DA3A306E4DFC}"/>
    <cellStyle name="Notas 2 5 4" xfId="902" xr:uid="{8C503306-133D-43DA-B403-569F87CACC3D}"/>
    <cellStyle name="Notas 2 5 5" xfId="1317" xr:uid="{72A2B0E1-8866-4849-A1C6-A5F69F955211}"/>
    <cellStyle name="Notas 2 5 6" xfId="1728" xr:uid="{F6725D66-117F-42B1-B37F-472C72CEFB89}"/>
    <cellStyle name="Notas 2 5 7" xfId="2136" xr:uid="{1E2F3DA6-4F21-48B9-BAC3-D30074365D33}"/>
    <cellStyle name="Notas 2 6" xfId="62" xr:uid="{00000000-0005-0000-0000-000089000000}"/>
    <cellStyle name="Notas 2 6 2" xfId="259" xr:uid="{16DC81EA-0B1B-4416-9C70-C8B29F9696C1}"/>
    <cellStyle name="Notas 2 6 2 2" xfId="693" xr:uid="{6C1C596E-9C4C-4E6C-B2AA-B564B021E316}"/>
    <cellStyle name="Notas 2 6 2 3" xfId="1110" xr:uid="{6CB2F7E8-54C0-426D-AAD5-44DF365FB3A3}"/>
    <cellStyle name="Notas 2 6 2 4" xfId="1522" xr:uid="{4B352C9C-36C0-46B2-BBB6-794456B87D51}"/>
    <cellStyle name="Notas 2 6 2 5" xfId="1933" xr:uid="{E5A2AF01-5EAA-457A-B852-33CA371D20AE}"/>
    <cellStyle name="Notas 2 6 2 6" xfId="2340" xr:uid="{B9893D5B-76C8-46F2-AD4E-FF477168440B}"/>
    <cellStyle name="Notas 2 6 3" xfId="496" xr:uid="{D70CF261-CC80-4FE3-8738-8E2D8ED19FA8}"/>
    <cellStyle name="Notas 2 6 4" xfId="914" xr:uid="{AFF24F44-8209-4B15-8028-B02094146F39}"/>
    <cellStyle name="Notas 2 6 5" xfId="1328" xr:uid="{099A89E1-0CA1-4EE6-918F-137A02A125D1}"/>
    <cellStyle name="Notas 2 6 6" xfId="1739" xr:uid="{A70CD3EC-EDA5-4A75-A592-4F1ED546B419}"/>
    <cellStyle name="Notas 2 6 7" xfId="2147" xr:uid="{7577273E-FC92-4C18-B6A7-8B5CBF7538A0}"/>
    <cellStyle name="Notas 2 7" xfId="60" xr:uid="{00000000-0005-0000-0000-00008A000000}"/>
    <cellStyle name="Notas 2 7 2" xfId="257" xr:uid="{B5C0D35A-83E8-495B-8AA4-8CBF2D0377F1}"/>
    <cellStyle name="Notas 2 7 2 2" xfId="691" xr:uid="{D2B259A4-B4EF-4A7D-8D62-2224869641E0}"/>
    <cellStyle name="Notas 2 7 2 3" xfId="1108" xr:uid="{61DCFF7D-EAA9-4F02-B421-D8C56A46B358}"/>
    <cellStyle name="Notas 2 7 2 4" xfId="1520" xr:uid="{E577185E-4A1C-477E-93F4-5C7EEE779641}"/>
    <cellStyle name="Notas 2 7 2 5" xfId="1931" xr:uid="{D974F152-B367-44F8-B19F-59817A489127}"/>
    <cellStyle name="Notas 2 7 2 6" xfId="2338" xr:uid="{62BE6B1F-9C4F-4703-AC27-D6F935FE6111}"/>
    <cellStyle name="Notas 2 7 3" xfId="494" xr:uid="{19FB070A-4226-4372-B2DA-1030D121A123}"/>
    <cellStyle name="Notas 2 7 4" xfId="912" xr:uid="{4FEFD82B-3C9B-4B3A-9B85-C562557A01EF}"/>
    <cellStyle name="Notas 2 7 5" xfId="1326" xr:uid="{9765B7EF-F3AE-470A-9DEA-B420857E44BA}"/>
    <cellStyle name="Notas 2 7 6" xfId="1737" xr:uid="{1D67B265-F48E-4960-A8ED-62C53D4CE77D}"/>
    <cellStyle name="Notas 2 7 7" xfId="2145" xr:uid="{1027B86F-2B21-4096-A337-C84E3ABFD38C}"/>
    <cellStyle name="Notas 2 8" xfId="74" xr:uid="{00000000-0005-0000-0000-00008B000000}"/>
    <cellStyle name="Notas 2 8 2" xfId="271" xr:uid="{A3B10A0B-A945-4547-8CA3-C452DDE21967}"/>
    <cellStyle name="Notas 2 8 2 2" xfId="705" xr:uid="{FE2724A6-E6C6-47C2-8B38-4B5D194AB4F1}"/>
    <cellStyle name="Notas 2 8 2 3" xfId="1122" xr:uid="{4D359C26-E603-4F54-B772-FF7270BEC66C}"/>
    <cellStyle name="Notas 2 8 2 4" xfId="1534" xr:uid="{A514C64A-E037-49E3-8E6A-C0F20C745332}"/>
    <cellStyle name="Notas 2 8 2 5" xfId="1945" xr:uid="{8F89EDD0-FF0B-463A-A8E2-776E563385C3}"/>
    <cellStyle name="Notas 2 8 2 6" xfId="2352" xr:uid="{99D39F19-67DC-46EF-A28B-9126CE19E81B}"/>
    <cellStyle name="Notas 2 8 3" xfId="508" xr:uid="{5366F988-3E3F-45EB-A15D-D49619CFE6BF}"/>
    <cellStyle name="Notas 2 8 4" xfId="926" xr:uid="{0A3A0C2A-EF68-4651-920D-79057D928E00}"/>
    <cellStyle name="Notas 2 8 5" xfId="1340" xr:uid="{A85F54EC-A3F4-45D1-8DD8-DDF24DD841D9}"/>
    <cellStyle name="Notas 2 8 6" xfId="1751" xr:uid="{DE1496F8-4ACC-4864-A88F-C8A14EEC09E5}"/>
    <cellStyle name="Notas 2 8 7" xfId="2159" xr:uid="{81A245D8-2A2F-439F-AFD1-9066A47AFE81}"/>
    <cellStyle name="Notas 2 9" xfId="89" xr:uid="{00000000-0005-0000-0000-00008C000000}"/>
    <cellStyle name="Notas 2 9 2" xfId="286" xr:uid="{602DE936-15B0-4F13-B3FE-C490740E728F}"/>
    <cellStyle name="Notas 2 9 2 2" xfId="720" xr:uid="{10FD7348-0565-45B5-8B9A-55B062F5633D}"/>
    <cellStyle name="Notas 2 9 2 3" xfId="1136" xr:uid="{0499DBAB-6219-4CBC-9B9C-CF70C50B70CA}"/>
    <cellStyle name="Notas 2 9 2 4" xfId="1549" xr:uid="{423F835C-956F-4647-946F-6C9976443163}"/>
    <cellStyle name="Notas 2 9 2 5" xfId="1959" xr:uid="{94EA93EB-4AE2-4FA4-8E80-27DB1FA67CDE}"/>
    <cellStyle name="Notas 2 9 2 6" xfId="2366" xr:uid="{370E4871-AD55-49BD-AB24-19A5FF18503E}"/>
    <cellStyle name="Notas 2 9 3" xfId="523" xr:uid="{D1680BF7-473D-4862-B579-8AA5E67148C8}"/>
    <cellStyle name="Notas 2 9 4" xfId="941" xr:uid="{DBE70E34-FD18-40F3-91E9-8C8804D759FA}"/>
    <cellStyle name="Notas 2 9 5" xfId="1354" xr:uid="{B075D18B-D97F-4B94-922B-38FD5586AB98}"/>
    <cellStyle name="Notas 2 9 6" xfId="1765" xr:uid="{717F25BA-737D-4CC0-AE5A-860E4E6555BF}"/>
    <cellStyle name="Notas 2 9 7" xfId="2173" xr:uid="{D1822638-EA7B-44BF-B651-E2FE7C931AD0}"/>
    <cellStyle name="Notas 3" xfId="14" xr:uid="{00000000-0005-0000-0000-00008D000000}"/>
    <cellStyle name="Notas 3 2" xfId="35" xr:uid="{00000000-0005-0000-0000-00008E000000}"/>
    <cellStyle name="Notas 3 2 10" xfId="116" xr:uid="{00000000-0005-0000-0000-00008F000000}"/>
    <cellStyle name="Notas 3 2 10 2" xfId="313" xr:uid="{AE49FB5A-EFFD-4C0D-90CA-88F4D2859E18}"/>
    <cellStyle name="Notas 3 2 10 2 2" xfId="747" xr:uid="{6F299485-DE0C-40BD-8912-146F821D9539}"/>
    <cellStyle name="Notas 3 2 10 2 3" xfId="1163" xr:uid="{EEE267A0-9DDB-402E-B1D0-87DA31FACDF6}"/>
    <cellStyle name="Notas 3 2 10 2 4" xfId="1576" xr:uid="{ED63EE65-5FF8-4064-B3D5-CC529FBDDA33}"/>
    <cellStyle name="Notas 3 2 10 2 5" xfId="1986" xr:uid="{A672852F-478C-4E63-AF93-E7F13EC93540}"/>
    <cellStyle name="Notas 3 2 10 2 6" xfId="2393" xr:uid="{FFEA0E9F-35D5-4053-AAA8-B0FCE9C03A0E}"/>
    <cellStyle name="Notas 3 2 10 3" xfId="550" xr:uid="{94D7DBD8-6EB2-43F4-A41F-0ACA5A1CC494}"/>
    <cellStyle name="Notas 3 2 10 4" xfId="968" xr:uid="{710F6C76-3D7F-4742-A4E8-E890808988CA}"/>
    <cellStyle name="Notas 3 2 10 5" xfId="1381" xr:uid="{C15A1102-0902-46C7-BF67-8CD2DD6E793E}"/>
    <cellStyle name="Notas 3 2 10 6" xfId="1792" xr:uid="{9EB89D49-C819-438F-B780-B0E643F1A6D2}"/>
    <cellStyle name="Notas 3 2 10 7" xfId="2200" xr:uid="{AE3FC724-BDBE-4EE5-A312-7BB99DDB1E85}"/>
    <cellStyle name="Notas 3 2 11" xfId="127" xr:uid="{00000000-0005-0000-0000-000090000000}"/>
    <cellStyle name="Notas 3 2 11 2" xfId="324" xr:uid="{F8453826-8B54-466A-BBE6-0DE5BC239AD0}"/>
    <cellStyle name="Notas 3 2 11 2 2" xfId="758" xr:uid="{6D3942FD-E0D0-4814-BA5E-7D86D8766895}"/>
    <cellStyle name="Notas 3 2 11 2 3" xfId="1174" xr:uid="{26BB57E7-C285-4272-BE05-002FDC4A8D9B}"/>
    <cellStyle name="Notas 3 2 11 2 4" xfId="1587" xr:uid="{EE281806-C902-4B6F-8DEF-1B666BED5AE0}"/>
    <cellStyle name="Notas 3 2 11 2 5" xfId="1997" xr:uid="{37244FCD-B516-4C20-8300-2F94A682580D}"/>
    <cellStyle name="Notas 3 2 11 2 6" xfId="2404" xr:uid="{31AE213C-E89F-44B5-9EC2-C02FF9DAA6F7}"/>
    <cellStyle name="Notas 3 2 11 3" xfId="561" xr:uid="{FE76401B-36D6-4C58-9363-7E7A01839CCA}"/>
    <cellStyle name="Notas 3 2 11 4" xfId="979" xr:uid="{4A4A1023-4C1A-449A-B089-2E07B0C7AD17}"/>
    <cellStyle name="Notas 3 2 11 5" xfId="1392" xr:uid="{F2067AEA-CA9B-4FF5-BCE0-974BDF5410AC}"/>
    <cellStyle name="Notas 3 2 11 6" xfId="1803" xr:uid="{6BF73D0B-8A40-4CA4-BE8A-B7D72142D81B}"/>
    <cellStyle name="Notas 3 2 11 7" xfId="2211" xr:uid="{5F72FCC0-5736-49CB-9222-0974CBC0355D}"/>
    <cellStyle name="Notas 3 2 12" xfId="136" xr:uid="{00000000-0005-0000-0000-000091000000}"/>
    <cellStyle name="Notas 3 2 12 2" xfId="333" xr:uid="{BDFB9D03-0BFA-49C7-96D3-44C3C38FCC89}"/>
    <cellStyle name="Notas 3 2 12 2 2" xfId="767" xr:uid="{5AE5C223-4DF2-442D-B9F0-1A8C6453F38E}"/>
    <cellStyle name="Notas 3 2 12 2 3" xfId="1183" xr:uid="{B3142030-A055-491B-B25B-A7D210CD7711}"/>
    <cellStyle name="Notas 3 2 12 2 4" xfId="1596" xr:uid="{D3AE4A39-FFA8-4888-9F35-EB1D654F5293}"/>
    <cellStyle name="Notas 3 2 12 2 5" xfId="2006" xr:uid="{8C5627D2-9F90-4D0E-A667-E3E7B08D5BEB}"/>
    <cellStyle name="Notas 3 2 12 2 6" xfId="2413" xr:uid="{9DD3B816-D54A-435F-879E-9EEE62DFFFD9}"/>
    <cellStyle name="Notas 3 2 12 3" xfId="570" xr:uid="{AC6CBC90-ED21-461D-8701-D14C82A8B8F5}"/>
    <cellStyle name="Notas 3 2 12 4" xfId="988" xr:uid="{EDFB7169-2A56-4E57-9D7F-DE4DC82881C8}"/>
    <cellStyle name="Notas 3 2 12 5" xfId="1401" xr:uid="{F0FB5F34-8AB0-4AAA-8625-6D6CC6B56A8A}"/>
    <cellStyle name="Notas 3 2 12 6" xfId="1812" xr:uid="{47374F10-B6AD-47B7-906E-E49F676BF79B}"/>
    <cellStyle name="Notas 3 2 12 7" xfId="2220" xr:uid="{B23B9B32-3789-43B1-94A7-A82DFE97A803}"/>
    <cellStyle name="Notas 3 2 13" xfId="143" xr:uid="{00000000-0005-0000-0000-000092000000}"/>
    <cellStyle name="Notas 3 2 13 2" xfId="340" xr:uid="{875D7B2B-74CE-42F0-865A-98D7D88C7B98}"/>
    <cellStyle name="Notas 3 2 13 2 2" xfId="774" xr:uid="{EAC3D242-FE01-4823-8D65-A52691B73BF4}"/>
    <cellStyle name="Notas 3 2 13 2 3" xfId="1190" xr:uid="{A45A78A2-85A5-4318-BB97-19B621A84365}"/>
    <cellStyle name="Notas 3 2 13 2 4" xfId="1603" xr:uid="{926D516B-B2B0-4517-A589-1C129A334CB2}"/>
    <cellStyle name="Notas 3 2 13 2 5" xfId="2013" xr:uid="{D3B1DEFF-4027-464E-9EAD-1474AF379881}"/>
    <cellStyle name="Notas 3 2 13 2 6" xfId="2420" xr:uid="{F7743745-4BED-4B4A-813F-F3F78A4948B0}"/>
    <cellStyle name="Notas 3 2 13 3" xfId="577" xr:uid="{F34A0964-E06C-46E5-9C17-E3E6ECD6488E}"/>
    <cellStyle name="Notas 3 2 13 4" xfId="995" xr:uid="{7922C06D-46B6-44B3-9B4C-88C5A3327C44}"/>
    <cellStyle name="Notas 3 2 13 5" xfId="1408" xr:uid="{FD4B93F1-66EB-4C7A-B402-04DD259202D2}"/>
    <cellStyle name="Notas 3 2 13 6" xfId="1819" xr:uid="{2D191C39-72A1-4E0F-B2A1-7AF0F5F3C2B1}"/>
    <cellStyle name="Notas 3 2 13 7" xfId="2227" xr:uid="{F13B3F03-E144-490F-A89F-776317A68365}"/>
    <cellStyle name="Notas 3 2 14" xfId="152" xr:uid="{00000000-0005-0000-0000-000093000000}"/>
    <cellStyle name="Notas 3 2 14 2" xfId="349" xr:uid="{85E16EE0-A7E6-4E83-AD79-80984E82F6FE}"/>
    <cellStyle name="Notas 3 2 14 2 2" xfId="783" xr:uid="{693BD6B9-6F48-4BF1-B9F9-48C436718894}"/>
    <cellStyle name="Notas 3 2 14 2 3" xfId="1199" xr:uid="{4A83E90F-23B3-4760-BDAC-76F02153E2BA}"/>
    <cellStyle name="Notas 3 2 14 2 4" xfId="1612" xr:uid="{617E05AE-2B97-4533-94EC-A01B155AD09B}"/>
    <cellStyle name="Notas 3 2 14 2 5" xfId="2022" xr:uid="{35B8BCF6-A166-4D57-8024-551BB2F0DDB6}"/>
    <cellStyle name="Notas 3 2 14 2 6" xfId="2429" xr:uid="{56A8B3CC-2CFD-418B-8F3C-4A914E39854F}"/>
    <cellStyle name="Notas 3 2 14 3" xfId="586" xr:uid="{009BE35E-F8C8-452D-9E3B-62C288D523EC}"/>
    <cellStyle name="Notas 3 2 14 4" xfId="1004" xr:uid="{3E69B34D-29D5-434B-90DF-9555ED2B81D3}"/>
    <cellStyle name="Notas 3 2 14 5" xfId="1417" xr:uid="{7984C894-23A5-40BB-8998-9D8521A781D7}"/>
    <cellStyle name="Notas 3 2 14 6" xfId="1828" xr:uid="{61D55CF5-5AE6-462C-A710-0BE1B788EC48}"/>
    <cellStyle name="Notas 3 2 14 7" xfId="2236" xr:uid="{9C1AB666-EDBD-479E-B493-331B8B86CEDC}"/>
    <cellStyle name="Notas 3 2 15" xfId="157" xr:uid="{00000000-0005-0000-0000-000094000000}"/>
    <cellStyle name="Notas 3 2 15 2" xfId="354" xr:uid="{3378804C-1767-49A7-9165-5E39B9CD018A}"/>
    <cellStyle name="Notas 3 2 15 2 2" xfId="788" xr:uid="{FC21B329-5F41-45F6-BB5A-83B77039D800}"/>
    <cellStyle name="Notas 3 2 15 2 3" xfId="1204" xr:uid="{D9F87AFA-7ADF-4255-90E2-AB9EDFB176D5}"/>
    <cellStyle name="Notas 3 2 15 2 4" xfId="1617" xr:uid="{90A6423F-06DE-409B-81AA-243922723B7C}"/>
    <cellStyle name="Notas 3 2 15 2 5" xfId="2027" xr:uid="{0A34F47C-D0C7-4983-ABEB-3E0214D35C33}"/>
    <cellStyle name="Notas 3 2 15 2 6" xfId="2434" xr:uid="{3AFB6F24-B962-4942-8F07-F63885C0C1E6}"/>
    <cellStyle name="Notas 3 2 15 3" xfId="591" xr:uid="{2EF0F954-E300-4576-8326-7D6D4BD2C230}"/>
    <cellStyle name="Notas 3 2 15 4" xfId="1009" xr:uid="{D2D263A0-E2DC-4066-89D3-60EF514BE1E0}"/>
    <cellStyle name="Notas 3 2 15 5" xfId="1422" xr:uid="{C190ED66-E344-4B19-B2EB-4A9D1642BC58}"/>
    <cellStyle name="Notas 3 2 15 6" xfId="1833" xr:uid="{735179FB-18F1-4581-AEEF-B315E7D7C1DF}"/>
    <cellStyle name="Notas 3 2 15 7" xfId="2241" xr:uid="{0C65D558-09D7-44F2-84E0-9272F549AC58}"/>
    <cellStyle name="Notas 3 2 16" xfId="167" xr:uid="{458DDFAD-D9F6-4D59-AAF1-9ABAEB1430E7}"/>
    <cellStyle name="Notas 3 2 16 2" xfId="364" xr:uid="{41E6FFFB-0387-4757-AFB3-E29740A14C50}"/>
    <cellStyle name="Notas 3 2 16 2 2" xfId="798" xr:uid="{58176FDC-B190-4A13-BAE6-1A1D14E37D9C}"/>
    <cellStyle name="Notas 3 2 16 2 3" xfId="1213" xr:uid="{E3225033-C4F5-44E7-8ECD-DF4B410BE56F}"/>
    <cellStyle name="Notas 3 2 16 2 4" xfId="1626" xr:uid="{842416F2-8770-41B8-934A-C43CB8A278A0}"/>
    <cellStyle name="Notas 3 2 16 2 5" xfId="2036" xr:uid="{C0F82A18-4754-4454-B81D-056094639F14}"/>
    <cellStyle name="Notas 3 2 16 2 6" xfId="2443" xr:uid="{6F2AEEA1-038E-4B2C-83DC-AD86867A2FC7}"/>
    <cellStyle name="Notas 3 2 16 3" xfId="601" xr:uid="{CC65614F-1475-4E51-BB69-767E333DE11F}"/>
    <cellStyle name="Notas 3 2 16 4" xfId="1019" xr:uid="{DD0E8A3B-1EFF-46FE-84A2-6E981C95D7C0}"/>
    <cellStyle name="Notas 3 2 16 5" xfId="1432" xr:uid="{893772D9-3A4B-4FD4-BF7F-FD55FFF6DA35}"/>
    <cellStyle name="Notas 3 2 16 6" xfId="1842" xr:uid="{6FDADD91-6C4D-4C0F-9D2A-20B95F6BD03A}"/>
    <cellStyle name="Notas 3 2 16 7" xfId="2250" xr:uid="{DA2799EC-CA4F-4217-AB95-BCCE740F61FC}"/>
    <cellStyle name="Notas 3 2 17" xfId="174" xr:uid="{6138AD7F-8E8F-4894-822A-40CF10A325D3}"/>
    <cellStyle name="Notas 3 2 17 2" xfId="371" xr:uid="{7658B938-F032-4944-BD5F-BEB2DECF4AD5}"/>
    <cellStyle name="Notas 3 2 17 2 2" xfId="805" xr:uid="{BD6FDA43-8371-4ED1-A8D3-117FFEF25D04}"/>
    <cellStyle name="Notas 3 2 17 2 3" xfId="1220" xr:uid="{04BC1055-E7C9-4E5D-A502-84AA4D8FD11A}"/>
    <cellStyle name="Notas 3 2 17 2 4" xfId="1633" xr:uid="{F97F3CEA-E711-4DA4-8979-E67EAB5913BC}"/>
    <cellStyle name="Notas 3 2 17 2 5" xfId="2043" xr:uid="{A66059B0-D2BF-4EC8-BF48-820EBB1D8050}"/>
    <cellStyle name="Notas 3 2 17 2 6" xfId="2450" xr:uid="{1FD7DA75-04C5-46C9-8329-5C8B5D8F3FF1}"/>
    <cellStyle name="Notas 3 2 17 3" xfId="608" xr:uid="{08BD659D-D4C6-4767-A455-DF45D1E19EF1}"/>
    <cellStyle name="Notas 3 2 17 4" xfId="1026" xr:uid="{587D23DA-78A3-4B66-8A7D-97E331CB4795}"/>
    <cellStyle name="Notas 3 2 17 5" xfId="1439" xr:uid="{7C291010-3B88-4E57-88CF-E5B9AC016F5B}"/>
    <cellStyle name="Notas 3 2 17 6" xfId="1849" xr:uid="{90EE35DA-D235-4B00-849C-F78BFC012B08}"/>
    <cellStyle name="Notas 3 2 17 7" xfId="2257" xr:uid="{02F3B1DC-F9AF-4532-BC45-EF3D329DE5BB}"/>
    <cellStyle name="Notas 3 2 18" xfId="184" xr:uid="{E86CAD0A-8A00-402C-8522-EDF18CB7E214}"/>
    <cellStyle name="Notas 3 2 18 2" xfId="381" xr:uid="{4201F385-4EDC-4562-82ED-08B8A695587B}"/>
    <cellStyle name="Notas 3 2 18 2 2" xfId="815" xr:uid="{D4A71E4D-814B-4DB9-85A9-D91D1B9A4752}"/>
    <cellStyle name="Notas 3 2 18 2 3" xfId="1230" xr:uid="{7E0B8F02-2355-4FD7-BBE4-9EAF9659A34D}"/>
    <cellStyle name="Notas 3 2 18 2 4" xfId="1643" xr:uid="{42799BFE-B0D2-40AF-9398-9267CEAF4FFA}"/>
    <cellStyle name="Notas 3 2 18 2 5" xfId="2053" xr:uid="{4AF02D79-B197-4F11-AA42-DA7BFD99E50C}"/>
    <cellStyle name="Notas 3 2 18 2 6" xfId="2460" xr:uid="{18011CDB-3F33-4223-9EF1-23D5190117F6}"/>
    <cellStyle name="Notas 3 2 18 3" xfId="618" xr:uid="{6C879722-9190-44AA-AB14-942484692D08}"/>
    <cellStyle name="Notas 3 2 18 4" xfId="1036" xr:uid="{4671F226-28DE-4E05-8589-3AF905B04C5B}"/>
    <cellStyle name="Notas 3 2 18 5" xfId="1449" xr:uid="{87B02103-E633-45BD-9183-5B78BAC0281A}"/>
    <cellStyle name="Notas 3 2 18 6" xfId="1859" xr:uid="{6F5B7ABB-43DA-4A27-BC1E-E9FAA4817413}"/>
    <cellStyle name="Notas 3 2 18 7" xfId="2267" xr:uid="{5FCA8D6C-7466-4059-9D27-E90F63F028ED}"/>
    <cellStyle name="Notas 3 2 19" xfId="194" xr:uid="{DDFC4E4C-7C24-49D9-8099-5BCD706B868E}"/>
    <cellStyle name="Notas 3 2 19 2" xfId="391" xr:uid="{1F88C704-6C8D-4C4B-A219-277E339AD886}"/>
    <cellStyle name="Notas 3 2 19 2 2" xfId="825" xr:uid="{293B4C2A-0CA9-4E4B-87FF-211B975C3E3F}"/>
    <cellStyle name="Notas 3 2 19 2 3" xfId="1240" xr:uid="{DD62B886-FED9-47B4-B6A9-397F538B7111}"/>
    <cellStyle name="Notas 3 2 19 2 4" xfId="1653" xr:uid="{C9EECFD5-A1C2-4CCC-A944-89F9924ACD3D}"/>
    <cellStyle name="Notas 3 2 19 2 5" xfId="2063" xr:uid="{14FE9CE8-6B1A-4DF1-B4E1-DEDBF731DDDF}"/>
    <cellStyle name="Notas 3 2 19 2 6" xfId="2470" xr:uid="{B6852FBC-EEA7-4D47-9054-13A142EE088F}"/>
    <cellStyle name="Notas 3 2 19 3" xfId="628" xr:uid="{7720EA07-0B8F-4CC3-81D0-FE377A178B35}"/>
    <cellStyle name="Notas 3 2 19 4" xfId="1046" xr:uid="{4674B1A2-045E-43B6-800A-9EB1A528D8BA}"/>
    <cellStyle name="Notas 3 2 19 5" xfId="1459" xr:uid="{9CF11E41-5331-4318-BBA3-931BF78C6BF0}"/>
    <cellStyle name="Notas 3 2 19 6" xfId="1869" xr:uid="{2F469015-2240-48C6-8B90-49A5272B3220}"/>
    <cellStyle name="Notas 3 2 19 7" xfId="2277" xr:uid="{EEA21DDB-9D5E-4B3B-8BE4-A691C56A9062}"/>
    <cellStyle name="Notas 3 2 2" xfId="53" xr:uid="{00000000-0005-0000-0000-000095000000}"/>
    <cellStyle name="Notas 3 2 2 10" xfId="487" xr:uid="{C4800D0E-4375-4F55-8A1E-048A742C8B52}"/>
    <cellStyle name="Notas 3 2 2 11" xfId="905" xr:uid="{B4CA35D4-1F50-47D7-8CD7-7DA4897560E5}"/>
    <cellStyle name="Notas 3 2 2 12" xfId="1319" xr:uid="{A99D6E54-BA9E-4C17-93D9-6C187D8461F5}"/>
    <cellStyle name="Notas 3 2 2 13" xfId="1730" xr:uid="{04C4E274-4DB9-4C8B-A24C-4849C2CE1D44}"/>
    <cellStyle name="Notas 3 2 2 14" xfId="2138" xr:uid="{2ECF929C-4F2D-4FB8-9E5F-C8CD3E6F551C}"/>
    <cellStyle name="Notas 3 2 2 2" xfId="169" xr:uid="{FFB16E10-E6EA-446F-9E0D-27166C59AEE3}"/>
    <cellStyle name="Notas 3 2 2 2 2" xfId="366" xr:uid="{844BB9AC-CB1F-4F9A-BAB6-184B5C89A36C}"/>
    <cellStyle name="Notas 3 2 2 2 2 2" xfId="800" xr:uid="{7D468C67-85BE-481F-80D6-DE7C90C57C8C}"/>
    <cellStyle name="Notas 3 2 2 2 2 3" xfId="1215" xr:uid="{B2B44DAB-31D1-473F-A8F8-410A297CC73A}"/>
    <cellStyle name="Notas 3 2 2 2 2 4" xfId="1628" xr:uid="{1B5E7F0D-6E56-468C-AA3F-CFE9383771E6}"/>
    <cellStyle name="Notas 3 2 2 2 2 5" xfId="2038" xr:uid="{C012AC7B-6B4B-41C8-A4E1-1DD85F4108E4}"/>
    <cellStyle name="Notas 3 2 2 2 2 6" xfId="2445" xr:uid="{D61E0115-32D4-4DCF-A78B-4944988108C0}"/>
    <cellStyle name="Notas 3 2 2 2 3" xfId="603" xr:uid="{12B308A9-F2C0-4DC6-A1C7-D545523CAD90}"/>
    <cellStyle name="Notas 3 2 2 2 4" xfId="1021" xr:uid="{0B1F9E02-B27D-4786-9914-7E6184DDEA42}"/>
    <cellStyle name="Notas 3 2 2 2 5" xfId="1434" xr:uid="{05753FC3-35D7-42C8-9502-76426B59E14C}"/>
    <cellStyle name="Notas 3 2 2 2 6" xfId="1844" xr:uid="{23C735F6-72D2-450E-A260-ED5C4AB11BFF}"/>
    <cellStyle name="Notas 3 2 2 2 7" xfId="2252" xr:uid="{FA396E15-1AA9-49AF-9FB6-515402B74BE6}"/>
    <cellStyle name="Notas 3 2 2 3" xfId="175" xr:uid="{F1AA91E8-8326-4F99-BB1B-317FD8AB93D2}"/>
    <cellStyle name="Notas 3 2 2 3 2" xfId="372" xr:uid="{E0B0A4C8-89F9-419F-B551-EE81F54691A6}"/>
    <cellStyle name="Notas 3 2 2 3 2 2" xfId="806" xr:uid="{3F33E20E-131C-4DF3-A6DA-878AD559C0F4}"/>
    <cellStyle name="Notas 3 2 2 3 2 3" xfId="1221" xr:uid="{C38FA365-608C-4372-A110-98062ADE9BC8}"/>
    <cellStyle name="Notas 3 2 2 3 2 4" xfId="1634" xr:uid="{3DA588CE-97E2-403F-9736-652DE79D5102}"/>
    <cellStyle name="Notas 3 2 2 3 2 5" xfId="2044" xr:uid="{06413691-63BC-410C-AC7C-959064CC0D3D}"/>
    <cellStyle name="Notas 3 2 2 3 2 6" xfId="2451" xr:uid="{C3CF928C-D674-43AD-A82B-ABE89C91658F}"/>
    <cellStyle name="Notas 3 2 2 3 3" xfId="609" xr:uid="{99EED540-5EFA-43D0-BDCE-6D72F546FC28}"/>
    <cellStyle name="Notas 3 2 2 3 4" xfId="1027" xr:uid="{E8A6298A-7759-4605-8B82-A3559389FE6A}"/>
    <cellStyle name="Notas 3 2 2 3 5" xfId="1440" xr:uid="{C00BE81F-2AF6-4D98-AD57-6050A867B0C6}"/>
    <cellStyle name="Notas 3 2 2 3 6" xfId="1850" xr:uid="{62C64A75-0A52-4FFE-AC53-25F3143CC060}"/>
    <cellStyle name="Notas 3 2 2 3 7" xfId="2258" xr:uid="{436AD3B5-A62F-4C0D-980F-625D88006861}"/>
    <cellStyle name="Notas 3 2 2 4" xfId="185" xr:uid="{FD45B187-64C2-4598-AB40-AC0A07E4D80B}"/>
    <cellStyle name="Notas 3 2 2 4 2" xfId="382" xr:uid="{AC8826C8-A862-424E-AE44-DD1A273943ED}"/>
    <cellStyle name="Notas 3 2 2 4 2 2" xfId="816" xr:uid="{928DB6C1-BB0B-4926-8458-800746610D2C}"/>
    <cellStyle name="Notas 3 2 2 4 2 3" xfId="1231" xr:uid="{C20A7ED0-1045-4DF8-9740-528CEF33E2E8}"/>
    <cellStyle name="Notas 3 2 2 4 2 4" xfId="1644" xr:uid="{F03020EC-A6F3-4933-9B08-EA09E73E0C9A}"/>
    <cellStyle name="Notas 3 2 2 4 2 5" xfId="2054" xr:uid="{D9BCFABE-D0A3-4625-96DE-8EA1862CF74B}"/>
    <cellStyle name="Notas 3 2 2 4 2 6" xfId="2461" xr:uid="{E6FCA86E-55FB-4422-8590-AC802B682A1D}"/>
    <cellStyle name="Notas 3 2 2 4 3" xfId="619" xr:uid="{A93E2A7A-7AA7-4CCD-A743-FD5F01AD06AE}"/>
    <cellStyle name="Notas 3 2 2 4 4" xfId="1037" xr:uid="{96358BE2-4D51-4613-9169-9E171D1ECA13}"/>
    <cellStyle name="Notas 3 2 2 4 5" xfId="1450" xr:uid="{009CA749-9DEF-412D-8377-553C1F812E45}"/>
    <cellStyle name="Notas 3 2 2 4 6" xfId="1860" xr:uid="{2580B2FB-D0C5-4DAB-B80F-01B41720E50C}"/>
    <cellStyle name="Notas 3 2 2 4 7" xfId="2268" xr:uid="{1A9AFA3D-ED62-4238-B773-4B6178377247}"/>
    <cellStyle name="Notas 3 2 2 5" xfId="195" xr:uid="{03A69184-120B-4DE2-B8D7-A68D921F738B}"/>
    <cellStyle name="Notas 3 2 2 5 2" xfId="392" xr:uid="{683DD475-1625-4026-9F9F-CA4EE0217933}"/>
    <cellStyle name="Notas 3 2 2 5 2 2" xfId="826" xr:uid="{C16E599F-031D-4F57-8D7B-8E53825BBBB9}"/>
    <cellStyle name="Notas 3 2 2 5 2 3" xfId="1241" xr:uid="{C4D836EF-B01E-4782-9A26-DFF639716C9D}"/>
    <cellStyle name="Notas 3 2 2 5 2 4" xfId="1654" xr:uid="{E622F1E7-195E-46DD-B247-665AFAC2595B}"/>
    <cellStyle name="Notas 3 2 2 5 2 5" xfId="2064" xr:uid="{FC17C4B5-AB2B-4BF7-8909-08A3A7D999AD}"/>
    <cellStyle name="Notas 3 2 2 5 2 6" xfId="2471" xr:uid="{4931AD9D-87F0-49E7-8757-12ACC07D76AB}"/>
    <cellStyle name="Notas 3 2 2 5 3" xfId="629" xr:uid="{6DF166FD-16FF-4227-ABA0-447A62F3EE0D}"/>
    <cellStyle name="Notas 3 2 2 5 4" xfId="1047" xr:uid="{A187FA8C-25E3-49C7-88E1-A290951553C5}"/>
    <cellStyle name="Notas 3 2 2 5 5" xfId="1460" xr:uid="{11F3997D-CF55-4601-9A69-CFB4917BFB43}"/>
    <cellStyle name="Notas 3 2 2 5 6" xfId="1870" xr:uid="{9CE0F993-3B8B-444F-B353-D9277520BB1F}"/>
    <cellStyle name="Notas 3 2 2 5 7" xfId="2278" xr:uid="{4EC55E03-D03D-4735-A5C2-40F9B39A8E2C}"/>
    <cellStyle name="Notas 3 2 2 6" xfId="205" xr:uid="{9771BD2E-C172-4209-9824-1EF212E9C27A}"/>
    <cellStyle name="Notas 3 2 2 6 2" xfId="402" xr:uid="{6445CDF4-5932-4B12-8C02-22214A5989D2}"/>
    <cellStyle name="Notas 3 2 2 6 2 2" xfId="836" xr:uid="{E2EB644A-588D-403A-A1CC-74BBFB493C04}"/>
    <cellStyle name="Notas 3 2 2 6 2 3" xfId="1251" xr:uid="{5DDB9EC5-4B54-4FEE-AD2C-7165CE5AA43A}"/>
    <cellStyle name="Notas 3 2 2 6 2 4" xfId="1664" xr:uid="{5D2EE864-0F1D-4C86-BD30-196586E753C1}"/>
    <cellStyle name="Notas 3 2 2 6 2 5" xfId="2074" xr:uid="{888886B9-D46E-4504-AF07-F0E6C3416AA3}"/>
    <cellStyle name="Notas 3 2 2 6 2 6" xfId="2481" xr:uid="{1A62007E-A35B-4015-96AD-4A7AFBDAA7BD}"/>
    <cellStyle name="Notas 3 2 2 6 3" xfId="639" xr:uid="{CF8FE70F-9095-49D9-9D19-D917BFB15FA8}"/>
    <cellStyle name="Notas 3 2 2 6 4" xfId="1057" xr:uid="{413F12B0-3861-435A-A583-F3DC7FB4A52B}"/>
    <cellStyle name="Notas 3 2 2 6 5" xfId="1470" xr:uid="{4362DFE4-F120-4CBE-9D0C-A0C6FD48915C}"/>
    <cellStyle name="Notas 3 2 2 6 6" xfId="1880" xr:uid="{163C2D4A-D49D-4087-B01D-0166476AB0AC}"/>
    <cellStyle name="Notas 3 2 2 6 7" xfId="2288" xr:uid="{237D7D9D-0ACF-4152-8106-1554AA814676}"/>
    <cellStyle name="Notas 3 2 2 7" xfId="218" xr:uid="{8FD21BC7-67BA-41B7-9C9C-DD36B0CB9D0B}"/>
    <cellStyle name="Notas 3 2 2 7 2" xfId="415" xr:uid="{097DC34C-429C-459D-870F-087FF94ACE10}"/>
    <cellStyle name="Notas 3 2 2 7 2 2" xfId="849" xr:uid="{1269FA83-5F70-4EA9-A344-484C956730A9}"/>
    <cellStyle name="Notas 3 2 2 7 2 3" xfId="1264" xr:uid="{51632A53-85A3-45A1-9998-F0B0A156FE3E}"/>
    <cellStyle name="Notas 3 2 2 7 2 4" xfId="1677" xr:uid="{A74AD121-41A7-4C29-9F88-46067DF0ACDC}"/>
    <cellStyle name="Notas 3 2 2 7 2 5" xfId="2087" xr:uid="{C3F01DA0-0FC4-4485-92D9-C4D7EDD909F0}"/>
    <cellStyle name="Notas 3 2 2 7 2 6" xfId="2494" xr:uid="{5BC2DBC6-3628-4331-8889-4386A65BD0AB}"/>
    <cellStyle name="Notas 3 2 2 7 3" xfId="652" xr:uid="{0814BE18-77A4-4617-AC1F-26C1FEBE988B}"/>
    <cellStyle name="Notas 3 2 2 7 4" xfId="1070" xr:uid="{EF9BD627-07C0-4F00-A68A-0DDF590BAA69}"/>
    <cellStyle name="Notas 3 2 2 7 5" xfId="1483" xr:uid="{78397A49-71AE-4C37-A514-CC63764DA32D}"/>
    <cellStyle name="Notas 3 2 2 7 6" xfId="1893" xr:uid="{2ADC35C6-E653-4BCB-8A96-5C0878CC1BDF}"/>
    <cellStyle name="Notas 3 2 2 7 7" xfId="2301" xr:uid="{2C0A549B-BFD1-4C97-BBCF-A96CB49DFFB5}"/>
    <cellStyle name="Notas 3 2 2 8" xfId="223" xr:uid="{C37F22A4-79DC-42D7-B3A0-683EBD507D2E}"/>
    <cellStyle name="Notas 3 2 2 8 2" xfId="420" xr:uid="{6EB9C533-A021-4803-9EC2-0361258E0EA8}"/>
    <cellStyle name="Notas 3 2 2 8 2 2" xfId="854" xr:uid="{0CE33634-FFDD-4D56-A41F-4D308F086E17}"/>
    <cellStyle name="Notas 3 2 2 8 2 3" xfId="1269" xr:uid="{EA6E44A3-8BB1-41BD-8E8B-C8F2529C2ABB}"/>
    <cellStyle name="Notas 3 2 2 8 2 4" xfId="1682" xr:uid="{04B96CF8-27EC-4368-91A4-74CC20FF80A7}"/>
    <cellStyle name="Notas 3 2 2 8 2 5" xfId="2092" xr:uid="{E17615F8-C4C0-42C5-BE46-F0916817BA19}"/>
    <cellStyle name="Notas 3 2 2 8 2 6" xfId="2499" xr:uid="{0BADFE07-0A40-4D92-A941-5FE3B8D87975}"/>
    <cellStyle name="Notas 3 2 2 8 3" xfId="657" xr:uid="{404D4DCB-25F3-4751-8C2B-546A331560A1}"/>
    <cellStyle name="Notas 3 2 2 8 4" xfId="1075" xr:uid="{382C8299-D369-4611-87ED-95794A471BAC}"/>
    <cellStyle name="Notas 3 2 2 8 5" xfId="1488" xr:uid="{578313BC-F981-4477-911C-532A49844807}"/>
    <cellStyle name="Notas 3 2 2 8 6" xfId="1898" xr:uid="{916D73F4-1157-4625-BE81-BCBA634F008A}"/>
    <cellStyle name="Notas 3 2 2 8 7" xfId="2306" xr:uid="{B514C9EB-475F-41D0-BBE6-0C39FAB1CC97}"/>
    <cellStyle name="Notas 3 2 2 9" xfId="250" xr:uid="{51CED234-3375-4DFA-9DC1-F3F774FA90C2}"/>
    <cellStyle name="Notas 3 2 2 9 2" xfId="684" xr:uid="{6659CA44-874D-466E-8601-846F9C1A3D1E}"/>
    <cellStyle name="Notas 3 2 2 9 3" xfId="1101" xr:uid="{8845AB5D-C652-40D0-87C2-37F47301C44D}"/>
    <cellStyle name="Notas 3 2 2 9 4" xfId="1513" xr:uid="{67514B0C-1CA8-4532-99CF-36E9D30A76D7}"/>
    <cellStyle name="Notas 3 2 2 9 5" xfId="1924" xr:uid="{1C488F7A-0868-4058-A679-9A1C4FBA3D5F}"/>
    <cellStyle name="Notas 3 2 2 9 6" xfId="2331" xr:uid="{C8DE254A-4893-47E1-AA2C-06CC8DF555EB}"/>
    <cellStyle name="Notas 3 2 20" xfId="204" xr:uid="{B859FC21-7532-4895-8E00-6C8BB9F58D6F}"/>
    <cellStyle name="Notas 3 2 20 2" xfId="401" xr:uid="{6A23501E-9AFF-4F1D-98FE-CF1F665266E0}"/>
    <cellStyle name="Notas 3 2 20 2 2" xfId="835" xr:uid="{37485594-284B-4D68-AE42-418B1D7928E9}"/>
    <cellStyle name="Notas 3 2 20 2 3" xfId="1250" xr:uid="{F4988412-15BD-4BC8-AA53-023949F38E2B}"/>
    <cellStyle name="Notas 3 2 20 2 4" xfId="1663" xr:uid="{CD6C1CE0-DB63-49BB-895E-494146FF81A1}"/>
    <cellStyle name="Notas 3 2 20 2 5" xfId="2073" xr:uid="{C57DA236-8F78-4692-BB5C-E48966053003}"/>
    <cellStyle name="Notas 3 2 20 2 6" xfId="2480" xr:uid="{9EEAF177-5F0E-4A1C-8440-CDDB5A0273EB}"/>
    <cellStyle name="Notas 3 2 20 3" xfId="638" xr:uid="{9DE3C6DC-7877-496C-9FC1-37B2934135C3}"/>
    <cellStyle name="Notas 3 2 20 4" xfId="1056" xr:uid="{8AF41AFC-B434-4020-98D6-C7BD8A73527E}"/>
    <cellStyle name="Notas 3 2 20 5" xfId="1469" xr:uid="{B72C8F52-8012-4C83-AD4F-0E58C3836830}"/>
    <cellStyle name="Notas 3 2 20 6" xfId="1879" xr:uid="{AB9B51DA-13BD-47D6-8816-A9371B55BA15}"/>
    <cellStyle name="Notas 3 2 20 7" xfId="2287" xr:uid="{01D3446D-FAE8-455B-BE25-A8426052F43C}"/>
    <cellStyle name="Notas 3 2 21" xfId="217" xr:uid="{9A9EBAB2-89D4-4629-A240-1282DF101A73}"/>
    <cellStyle name="Notas 3 2 21 2" xfId="414" xr:uid="{ED1D91F1-EB93-47AD-B2B1-9270B565DA0D}"/>
    <cellStyle name="Notas 3 2 21 2 2" xfId="848" xr:uid="{A67424F9-C8A0-4C7E-B032-749A953B9E54}"/>
    <cellStyle name="Notas 3 2 21 2 3" xfId="1263" xr:uid="{B30B64CD-FD8C-4C9B-8959-0B7B1340F7E0}"/>
    <cellStyle name="Notas 3 2 21 2 4" xfId="1676" xr:uid="{13CD3344-9ED5-45C3-9750-938B5A5D9DAC}"/>
    <cellStyle name="Notas 3 2 21 2 5" xfId="2086" xr:uid="{58F5E6C4-CA55-4D9D-B394-DB4C8CD741FA}"/>
    <cellStyle name="Notas 3 2 21 2 6" xfId="2493" xr:uid="{39791342-D726-4A51-8F6F-F388F0E5A6BC}"/>
    <cellStyle name="Notas 3 2 21 3" xfId="651" xr:uid="{5CAA7290-A9CD-4A78-9304-0C57D6598A18}"/>
    <cellStyle name="Notas 3 2 21 4" xfId="1069" xr:uid="{86C039A7-035A-4D43-920D-6C680EAFE01B}"/>
    <cellStyle name="Notas 3 2 21 5" xfId="1482" xr:uid="{191ED29A-308B-4AA3-8B7B-F227683A2D64}"/>
    <cellStyle name="Notas 3 2 21 6" xfId="1892" xr:uid="{91F8B49B-3EA6-4549-ACC3-9000644349D2}"/>
    <cellStyle name="Notas 3 2 21 7" xfId="2300" xr:uid="{64B6F81F-CDEE-4D0C-8666-82B6DE45AA4A}"/>
    <cellStyle name="Notas 3 2 22" xfId="222" xr:uid="{0141FF48-151A-403D-8B1C-853BF6124E88}"/>
    <cellStyle name="Notas 3 2 22 2" xfId="419" xr:uid="{3B08E7A3-9D65-4F9D-B22E-ECFE684C6463}"/>
    <cellStyle name="Notas 3 2 22 2 2" xfId="853" xr:uid="{F5E1B778-9236-4488-9969-04AF8CC6EE06}"/>
    <cellStyle name="Notas 3 2 22 2 3" xfId="1268" xr:uid="{603E1036-6E7A-48F9-AA05-912A4B9E9973}"/>
    <cellStyle name="Notas 3 2 22 2 4" xfId="1681" xr:uid="{94CD886C-A201-416D-A164-247EE2C44892}"/>
    <cellStyle name="Notas 3 2 22 2 5" xfId="2091" xr:uid="{EE7BCF07-A5F5-4DCD-A1E0-BEF53F490AA4}"/>
    <cellStyle name="Notas 3 2 22 2 6" xfId="2498" xr:uid="{E03713A4-FAA6-44C7-9285-7AF184D32B44}"/>
    <cellStyle name="Notas 3 2 22 3" xfId="656" xr:uid="{366B7014-CE35-411C-AA6D-5FBCC4805CA6}"/>
    <cellStyle name="Notas 3 2 22 4" xfId="1074" xr:uid="{2B22730F-97B2-46D9-86AF-0D8D98B2C97F}"/>
    <cellStyle name="Notas 3 2 22 5" xfId="1487" xr:uid="{2C8EBD08-FA06-4F81-9ED1-6710D5412C54}"/>
    <cellStyle name="Notas 3 2 22 6" xfId="1897" xr:uid="{B0CE514B-15FE-4E74-BCA0-4C22112B6D5C}"/>
    <cellStyle name="Notas 3 2 22 7" xfId="2305" xr:uid="{4631655A-C256-49B6-ACD4-B69FA1D3911C}"/>
    <cellStyle name="Notas 3 2 23" xfId="233" xr:uid="{2E6FA1F4-105C-4EA6-AB57-E709A6EB73E6}"/>
    <cellStyle name="Notas 3 2 23 2" xfId="667" xr:uid="{B04DE57E-EEA7-4702-B680-F1E0BCC86633}"/>
    <cellStyle name="Notas 3 2 23 3" xfId="1084" xr:uid="{447B344E-7B80-44F3-A7C2-C88E4A03713F}"/>
    <cellStyle name="Notas 3 2 23 4" xfId="1497" xr:uid="{A315123F-051E-477F-8AD9-E968D80C4694}"/>
    <cellStyle name="Notas 3 2 23 5" xfId="1907" xr:uid="{E3CE7A4B-34D8-4F32-9049-6386BDDA2E34}"/>
    <cellStyle name="Notas 3 2 23 6" xfId="2315" xr:uid="{EB074DD7-6844-4D6B-9890-947F420B010E}"/>
    <cellStyle name="Notas 3 2 24" xfId="430" xr:uid="{58CBAAC1-7346-44FA-85A6-8B22AF087E5D}"/>
    <cellStyle name="Notas 3 2 24 2" xfId="864" xr:uid="{9D9E589E-E371-458C-B5F3-692C6FE356C4}"/>
    <cellStyle name="Notas 3 2 24 3" xfId="1278" xr:uid="{9D9941D5-567A-4CA9-AB36-C6EFBEB5835F}"/>
    <cellStyle name="Notas 3 2 24 4" xfId="1692" xr:uid="{E90DCF19-9749-48FB-8B47-12889E0AFA56}"/>
    <cellStyle name="Notas 3 2 24 5" xfId="2102" xr:uid="{018ABD9D-2D05-4E47-B03C-F834335DDFA4}"/>
    <cellStyle name="Notas 3 2 24 6" xfId="2508" xr:uid="{5CAA83C9-F81C-4519-A64C-FDEF47DEF638}"/>
    <cellStyle name="Notas 3 2 25" xfId="446" xr:uid="{3FC3715E-5EE2-47C6-9B38-5E89F6659CF7}"/>
    <cellStyle name="Notas 3 2 25 2" xfId="880" xr:uid="{E18F9330-943D-4920-8596-667ADEB5FBD0}"/>
    <cellStyle name="Notas 3 2 25 3" xfId="1294" xr:uid="{E6F92A12-5258-42F3-9A56-1CCDB27650C0}"/>
    <cellStyle name="Notas 3 2 25 4" xfId="1708" xr:uid="{675C448D-F765-4CC9-8542-800BC077B77A}"/>
    <cellStyle name="Notas 3 2 25 5" xfId="2118" xr:uid="{798385B7-0342-4EF4-8805-6E512E1699C5}"/>
    <cellStyle name="Notas 3 2 25 6" xfId="2524" xr:uid="{06A39C33-A78E-4E25-8C7D-05C6734942F7}"/>
    <cellStyle name="Notas 3 2 26" xfId="448" xr:uid="{785FC654-C3F0-486D-9DE7-C65E6BC91A02}"/>
    <cellStyle name="Notas 3 2 26 2" xfId="882" xr:uid="{B6D3DCE1-5E87-454D-8F5F-04CE2F3D6B00}"/>
    <cellStyle name="Notas 3 2 26 3" xfId="1296" xr:uid="{B7A0BCF8-F919-4E8E-A0F0-B538553922B6}"/>
    <cellStyle name="Notas 3 2 26 4" xfId="1710" xr:uid="{296AA3A2-3007-4717-8F81-8FFA7A9A8229}"/>
    <cellStyle name="Notas 3 2 26 5" xfId="2120" xr:uid="{A94F7ED0-C5E0-4C6A-9096-31A386EDC39D}"/>
    <cellStyle name="Notas 3 2 26 6" xfId="2526" xr:uid="{7B11D536-FA59-4997-982A-3FBA06EB3683}"/>
    <cellStyle name="Notas 3 2 27" xfId="450" xr:uid="{2330ABB2-A7CF-4614-9443-5198A0432A27}"/>
    <cellStyle name="Notas 3 2 27 2" xfId="884" xr:uid="{93422729-373D-4D5C-BD94-02C5E22A21AC}"/>
    <cellStyle name="Notas 3 2 27 3" xfId="1297" xr:uid="{9F0E03F0-414E-4E8A-9D50-3C9FB90C9356}"/>
    <cellStyle name="Notas 3 2 27 4" xfId="1712" xr:uid="{434D2924-694F-403A-81C3-018BF586316F}"/>
    <cellStyle name="Notas 3 2 28" xfId="469" xr:uid="{677EEAD2-E2B5-48F3-AC2B-73005BF44CEE}"/>
    <cellStyle name="Notas 3 2 29" xfId="888" xr:uid="{9DF04CA7-5803-4198-B692-341B49296894}"/>
    <cellStyle name="Notas 3 2 3" xfId="69" xr:uid="{00000000-0005-0000-0000-000096000000}"/>
    <cellStyle name="Notas 3 2 3 2" xfId="266" xr:uid="{86BB64DC-E5F0-4CE9-8992-A0373FF195AD}"/>
    <cellStyle name="Notas 3 2 3 2 2" xfId="700" xr:uid="{7910F1F2-DDA8-4A3B-94EB-8AAB052F237E}"/>
    <cellStyle name="Notas 3 2 3 2 3" xfId="1117" xr:uid="{272F963B-64D0-4AF2-A2EB-690A59B12D7A}"/>
    <cellStyle name="Notas 3 2 3 2 4" xfId="1529" xr:uid="{0B5F63A1-7FF5-451C-B89B-FA056324D0FB}"/>
    <cellStyle name="Notas 3 2 3 2 5" xfId="1940" xr:uid="{9096F2A7-C74F-4A6C-811C-D3FB82850056}"/>
    <cellStyle name="Notas 3 2 3 2 6" xfId="2347" xr:uid="{B0E1C6B8-45B1-496B-9D94-7A46FEC72DB6}"/>
    <cellStyle name="Notas 3 2 3 3" xfId="503" xr:uid="{E9A3EA41-CBED-4E03-BDBF-4190E566DCC1}"/>
    <cellStyle name="Notas 3 2 3 4" xfId="921" xr:uid="{B0BAE228-82FA-44FA-A5B2-E642CB178CED}"/>
    <cellStyle name="Notas 3 2 3 5" xfId="1335" xr:uid="{15F8E889-A7E8-41CB-A598-FBC407D629A0}"/>
    <cellStyle name="Notas 3 2 3 6" xfId="1746" xr:uid="{CD309529-4D16-4AFB-A424-9E99913F69C3}"/>
    <cellStyle name="Notas 3 2 3 7" xfId="2154" xr:uid="{51B9D932-8B37-479F-9264-8E0191C58D07}"/>
    <cellStyle name="Notas 3 2 30" xfId="1302" xr:uid="{05710979-6BE1-4B87-9173-8DE315420737}"/>
    <cellStyle name="Notas 3 2 31" xfId="1714" xr:uid="{6F7A944D-B60D-4C80-AE8A-04D16C3A9DC4}"/>
    <cellStyle name="Notas 3 2 32" xfId="2122" xr:uid="{15978CF9-D17E-437C-B6B0-AD583F36F9D3}"/>
    <cellStyle name="Notas 3 2 4" xfId="72" xr:uid="{00000000-0005-0000-0000-000097000000}"/>
    <cellStyle name="Notas 3 2 4 2" xfId="269" xr:uid="{1F2D85F4-D675-4757-A0BE-22194812006D}"/>
    <cellStyle name="Notas 3 2 4 2 2" xfId="703" xr:uid="{B8CBE33F-B2FF-4109-8F35-FCF0DA5B781C}"/>
    <cellStyle name="Notas 3 2 4 2 3" xfId="1120" xr:uid="{36D4CE7E-88D0-4BA2-B5BD-4A5BAA74755F}"/>
    <cellStyle name="Notas 3 2 4 2 4" xfId="1532" xr:uid="{D26EBF12-8D05-411D-9445-22F5869E48E9}"/>
    <cellStyle name="Notas 3 2 4 2 5" xfId="1943" xr:uid="{D689A5DE-3DD3-4528-94A2-8EACE0C21FFD}"/>
    <cellStyle name="Notas 3 2 4 2 6" xfId="2350" xr:uid="{AFBB5236-B3FA-4E55-A054-2174DFCFD83A}"/>
    <cellStyle name="Notas 3 2 4 3" xfId="506" xr:uid="{A4C702A6-E27A-438A-B563-D6A1A5F1FB37}"/>
    <cellStyle name="Notas 3 2 4 4" xfId="924" xr:uid="{5620D773-60A2-4B26-B5AB-1E8DA804E7B2}"/>
    <cellStyle name="Notas 3 2 4 5" xfId="1338" xr:uid="{49D98198-2894-4E85-B4B6-46C7BD536165}"/>
    <cellStyle name="Notas 3 2 4 6" xfId="1749" xr:uid="{3790C8EF-C619-45B8-A7BD-C0A5133327CE}"/>
    <cellStyle name="Notas 3 2 4 7" xfId="2157" xr:uid="{E1C62504-A4E7-481C-8BAC-D5BC6224BC5D}"/>
    <cellStyle name="Notas 3 2 5" xfId="73" xr:uid="{00000000-0005-0000-0000-000098000000}"/>
    <cellStyle name="Notas 3 2 5 2" xfId="270" xr:uid="{595013A9-EAD0-43BC-8D57-55A8C2D76275}"/>
    <cellStyle name="Notas 3 2 5 2 2" xfId="704" xr:uid="{7E67E50F-1221-4BF6-8B9A-314A4A737AEB}"/>
    <cellStyle name="Notas 3 2 5 2 3" xfId="1121" xr:uid="{895E5ADF-89E6-4D47-86BB-958E3162F5D4}"/>
    <cellStyle name="Notas 3 2 5 2 4" xfId="1533" xr:uid="{73C9B980-EF83-400E-A915-BB6A669F752A}"/>
    <cellStyle name="Notas 3 2 5 2 5" xfId="1944" xr:uid="{32D71A11-809B-47F8-8699-A50EAD58EA75}"/>
    <cellStyle name="Notas 3 2 5 2 6" xfId="2351" xr:uid="{171ABDE0-E38B-4A93-8483-9047ADD091BB}"/>
    <cellStyle name="Notas 3 2 5 3" xfId="507" xr:uid="{2A9D7C3D-526C-418E-B1C9-76861C33B0A9}"/>
    <cellStyle name="Notas 3 2 5 4" xfId="925" xr:uid="{C794F851-0638-4FA1-9D00-40180052C017}"/>
    <cellStyle name="Notas 3 2 5 5" xfId="1339" xr:uid="{F4156196-E322-4C40-8F86-D0945B570AF2}"/>
    <cellStyle name="Notas 3 2 5 6" xfId="1750" xr:uid="{F75C0A43-DC20-4DF7-9C36-4E8EF24C8E37}"/>
    <cellStyle name="Notas 3 2 5 7" xfId="2158" xr:uid="{D7AF20AC-0C3E-4AD6-B222-72D80A08E431}"/>
    <cellStyle name="Notas 3 2 6" xfId="82" xr:uid="{00000000-0005-0000-0000-000099000000}"/>
    <cellStyle name="Notas 3 2 6 2" xfId="279" xr:uid="{BEC4E61A-C4B0-4B31-8967-622DB9E0E233}"/>
    <cellStyle name="Notas 3 2 6 2 2" xfId="713" xr:uid="{A8C4EFA0-5AC7-4B95-9A52-6AA6E1036D59}"/>
    <cellStyle name="Notas 3 2 6 2 3" xfId="1129" xr:uid="{1F9509AD-2E4B-479A-BBA9-99C5CC64E375}"/>
    <cellStyle name="Notas 3 2 6 2 4" xfId="1542" xr:uid="{BBDCF166-6868-44A6-982E-B91CB84DB6FF}"/>
    <cellStyle name="Notas 3 2 6 2 5" xfId="1952" xr:uid="{E709E22D-2568-454A-8E29-D2E087ACC831}"/>
    <cellStyle name="Notas 3 2 6 2 6" xfId="2359" xr:uid="{0A4D6623-AB92-451A-9E4A-266A861E44D2}"/>
    <cellStyle name="Notas 3 2 6 3" xfId="516" xr:uid="{75A62848-FD32-44AA-BA6A-DB5D9E089489}"/>
    <cellStyle name="Notas 3 2 6 4" xfId="934" xr:uid="{35617F17-24CF-4E2D-9A54-E72073CDA77D}"/>
    <cellStyle name="Notas 3 2 6 5" xfId="1347" xr:uid="{258368BF-DE15-4975-AE88-65AA10E533D8}"/>
    <cellStyle name="Notas 3 2 6 6" xfId="1758" xr:uid="{0F30A21B-27BD-45B2-A6C8-D4BBF47C0809}"/>
    <cellStyle name="Notas 3 2 6 7" xfId="2166" xr:uid="{EA73DFDE-54AD-4CE7-AC5C-C65B815D429C}"/>
    <cellStyle name="Notas 3 2 7" xfId="100" xr:uid="{00000000-0005-0000-0000-00009A000000}"/>
    <cellStyle name="Notas 3 2 7 2" xfId="297" xr:uid="{FB6CAB48-764C-449A-9B0E-858F28872EC5}"/>
    <cellStyle name="Notas 3 2 7 2 2" xfId="731" xr:uid="{7F85CA28-1707-4AFE-9FA5-528D2C97291D}"/>
    <cellStyle name="Notas 3 2 7 2 3" xfId="1147" xr:uid="{A5278DE9-43C9-4B3B-B7C4-A54E3EACC7A9}"/>
    <cellStyle name="Notas 3 2 7 2 4" xfId="1560" xr:uid="{B624A9E1-13BB-4B72-8E39-29B890F77F86}"/>
    <cellStyle name="Notas 3 2 7 2 5" xfId="1970" xr:uid="{60DAF137-05AF-4685-A00D-AD20315BF8AF}"/>
    <cellStyle name="Notas 3 2 7 2 6" xfId="2377" xr:uid="{0FFFEE4B-61FB-4E7A-A341-1341E7129024}"/>
    <cellStyle name="Notas 3 2 7 3" xfId="534" xr:uid="{DE471CAC-D7B7-4E64-9F91-4E9FF7CF60C1}"/>
    <cellStyle name="Notas 3 2 7 4" xfId="952" xr:uid="{AE11D30D-982C-4BD9-B94B-6752B8F2B5E4}"/>
    <cellStyle name="Notas 3 2 7 5" xfId="1365" xr:uid="{56C7E5CC-3D65-4CFD-8898-0B9CD750FEB7}"/>
    <cellStyle name="Notas 3 2 7 6" xfId="1776" xr:uid="{A65B3CA5-6172-4EF8-9FE3-607DAC0062F2}"/>
    <cellStyle name="Notas 3 2 7 7" xfId="2184" xr:uid="{9CEE35C1-ECAE-48E0-9E64-ED8C0FEF56B3}"/>
    <cellStyle name="Notas 3 2 8" xfId="104" xr:uid="{00000000-0005-0000-0000-00009B000000}"/>
    <cellStyle name="Notas 3 2 8 2" xfId="301" xr:uid="{96356644-8863-4A64-9761-9AA1AF2CAC76}"/>
    <cellStyle name="Notas 3 2 8 2 2" xfId="735" xr:uid="{C3DE33BF-C7F4-4320-92E1-21FDCFDD7A18}"/>
    <cellStyle name="Notas 3 2 8 2 3" xfId="1151" xr:uid="{64E7E5EF-9C66-4914-B2FE-C4C6571ED5E7}"/>
    <cellStyle name="Notas 3 2 8 2 4" xfId="1564" xr:uid="{213F2D39-15A1-404E-8110-CD9899D6B547}"/>
    <cellStyle name="Notas 3 2 8 2 5" xfId="1974" xr:uid="{6D409710-A1E5-4432-83F4-197E9DED0FE8}"/>
    <cellStyle name="Notas 3 2 8 2 6" xfId="2381" xr:uid="{525FEFB1-5699-4DBB-926C-F69E040B7A5B}"/>
    <cellStyle name="Notas 3 2 8 3" xfId="538" xr:uid="{AF002A4C-0202-4F8F-8211-52D9586D8806}"/>
    <cellStyle name="Notas 3 2 8 4" xfId="956" xr:uid="{B4402865-37B7-4EB6-9CA4-697E6F7CCC25}"/>
    <cellStyle name="Notas 3 2 8 5" xfId="1369" xr:uid="{C7474FA1-EE76-41E1-B296-4F2CAC589CFC}"/>
    <cellStyle name="Notas 3 2 8 6" xfId="1780" xr:uid="{4CE1C74E-3851-4B25-8302-65473900EFDF}"/>
    <cellStyle name="Notas 3 2 8 7" xfId="2188" xr:uid="{12F7A03B-8067-41DB-AF91-C6AE93CFA3F7}"/>
    <cellStyle name="Notas 3 2 9" xfId="110" xr:uid="{00000000-0005-0000-0000-00009C000000}"/>
    <cellStyle name="Notas 3 2 9 2" xfId="307" xr:uid="{28FDF210-074A-4A46-B407-11BAF24970D6}"/>
    <cellStyle name="Notas 3 2 9 2 2" xfId="741" xr:uid="{CC70DBBA-0201-4DF8-88B1-B26D52F77509}"/>
    <cellStyle name="Notas 3 2 9 2 3" xfId="1157" xr:uid="{E8674253-51B6-4C87-B567-D895BD435C3A}"/>
    <cellStyle name="Notas 3 2 9 2 4" xfId="1570" xr:uid="{66809C58-08EE-465A-9533-8D4323D3450F}"/>
    <cellStyle name="Notas 3 2 9 2 5" xfId="1980" xr:uid="{6C7FB44F-C564-41CF-A378-50F01FDA8C2F}"/>
    <cellStyle name="Notas 3 2 9 2 6" xfId="2387" xr:uid="{731508F6-A4D3-4C8E-931D-FA5A5AD1E0BB}"/>
    <cellStyle name="Notas 3 2 9 3" xfId="544" xr:uid="{83CBA7DD-367B-4DCF-AE25-8A148DD24988}"/>
    <cellStyle name="Notas 3 2 9 4" xfId="962" xr:uid="{6CF19F4D-54B4-45B4-9DDB-7175D048BBC8}"/>
    <cellStyle name="Notas 3 2 9 5" xfId="1375" xr:uid="{E62EE103-E695-41AB-B591-1E79FB396AC3}"/>
    <cellStyle name="Notas 3 2 9 6" xfId="1786" xr:uid="{9FB9CEFE-F71E-49ED-985E-9CC503F220C8}"/>
    <cellStyle name="Notas 3 2 9 7" xfId="2194" xr:uid="{37E21916-5B8F-43A6-9ED5-4E23B47B65C9}"/>
    <cellStyle name="Porcentaje" xfId="31" builtinId="5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FBFBF"/>
      <color rgb="FFD9D9D9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zoomScaleNormal="100" workbookViewId="0">
      <selection sqref="A1:B1"/>
    </sheetView>
  </sheetViews>
  <sheetFormatPr baseColWidth="10" defaultColWidth="11.44140625" defaultRowHeight="10.199999999999999" x14ac:dyDescent="0.2"/>
  <cols>
    <col min="1" max="1" width="49.44140625" style="7" customWidth="1"/>
    <col min="2" max="2" width="60.6640625" style="4" customWidth="1"/>
    <col min="3" max="8" width="5.6640625" style="4" customWidth="1"/>
    <col min="9" max="9" width="16.88671875" style="1" customWidth="1"/>
    <col min="10" max="18" width="11.88671875" style="1" customWidth="1"/>
    <col min="19" max="26" width="23.109375" style="1" customWidth="1"/>
    <col min="27" max="27" width="11.44140625" style="1" hidden="1" customWidth="1"/>
    <col min="28" max="28" width="54.33203125" style="1" hidden="1" customWidth="1"/>
    <col min="29" max="29" width="27.44140625" style="1" hidden="1" customWidth="1"/>
    <col min="30" max="30" width="8.6640625" style="1" hidden="1" customWidth="1"/>
    <col min="31" max="32" width="23.109375" style="1" hidden="1" customWidth="1"/>
    <col min="33" max="33" width="39.5546875" style="1" hidden="1" customWidth="1"/>
    <col min="34" max="35" width="23.109375" style="1" hidden="1" customWidth="1"/>
    <col min="36" max="39" width="23.109375" style="1" customWidth="1"/>
    <col min="40" max="50" width="23.109375" style="4" customWidth="1"/>
    <col min="51" max="16384" width="11.44140625" style="4"/>
  </cols>
  <sheetData>
    <row r="1" spans="1:33" ht="36" customHeight="1" x14ac:dyDescent="0.2">
      <c r="A1" s="8536" t="s">
        <v>3973</v>
      </c>
      <c r="B1" s="8537"/>
      <c r="C1" s="8530" t="s">
        <v>215</v>
      </c>
      <c r="D1" s="8531"/>
      <c r="E1" s="8531"/>
      <c r="F1" s="8531"/>
      <c r="G1" s="8531"/>
      <c r="H1" s="8532"/>
    </row>
    <row r="2" spans="1:33" ht="21.75" customHeight="1" x14ac:dyDescent="0.25">
      <c r="A2" s="23" t="s">
        <v>214</v>
      </c>
      <c r="B2" s="40"/>
      <c r="C2" s="38"/>
      <c r="D2" s="37"/>
      <c r="E2" s="37"/>
      <c r="F2" s="37"/>
      <c r="G2" s="36"/>
      <c r="H2" s="1"/>
      <c r="I2" s="39" t="str">
        <f>IF(OR(NOMBRE!C2="",NOMBRE!D2="",NOMBRE!E2="",NOMBRE!F2="",NOMBRE!G2=""),"Falta Cód. Com.","")</f>
        <v>Falta Cód. Com.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1</v>
      </c>
    </row>
    <row r="3" spans="1:33" ht="21.75" customHeight="1" x14ac:dyDescent="0.25">
      <c r="A3" s="23" t="s">
        <v>213</v>
      </c>
      <c r="B3" s="30"/>
      <c r="C3" s="38"/>
      <c r="D3" s="37"/>
      <c r="E3" s="37"/>
      <c r="F3" s="37"/>
      <c r="G3" s="37"/>
      <c r="H3" s="36"/>
      <c r="I3" s="35" t="str">
        <f>IF(OR(NOMBRE!C3="",NOMBRE!D3="",NOMBRE!E3="",NOMBRE!F3="",NOMBRE!G3="",NOMBRE!H3=""),"Falta Cód. Est.","")</f>
        <v>Falta Cód. Est.</v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1</v>
      </c>
    </row>
    <row r="4" spans="1:33" ht="28.5" customHeight="1" x14ac:dyDescent="0.25">
      <c r="A4" s="23" t="s">
        <v>212</v>
      </c>
      <c r="B4" s="7080"/>
      <c r="C4" s="33"/>
      <c r="D4" s="8"/>
      <c r="E4" s="8"/>
      <c r="F4" s="8"/>
      <c r="G4" s="8"/>
      <c r="H4" s="8"/>
      <c r="I4" s="27" t="str">
        <f>IF(OR(NOMBRE!B4=""),"Falta Tipo. Est.","")</f>
        <v>Falta Tipo. Est.</v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1</v>
      </c>
    </row>
    <row r="5" spans="1:33" ht="21.75" customHeight="1" x14ac:dyDescent="0.25">
      <c r="A5" s="23" t="s">
        <v>211</v>
      </c>
      <c r="B5" s="30"/>
      <c r="C5" s="33"/>
      <c r="D5" s="8"/>
      <c r="E5" s="8"/>
      <c r="F5" s="8"/>
      <c r="G5" s="8"/>
      <c r="H5" s="8"/>
      <c r="I5" s="27" t="str">
        <f>IF(OR(NOMBRE!B5=""),"Falta Dependencia. Est.","")</f>
        <v>Falta Dependencia. Est.</v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1</v>
      </c>
    </row>
    <row r="6" spans="1:33" ht="21.75" customHeight="1" x14ac:dyDescent="0.25">
      <c r="A6" s="23" t="s">
        <v>210</v>
      </c>
      <c r="B6" s="30"/>
      <c r="C6" s="29"/>
      <c r="D6" s="28"/>
      <c r="E6" s="8"/>
      <c r="F6" s="8"/>
      <c r="G6" s="8"/>
      <c r="H6" s="8"/>
      <c r="I6" s="27" t="str">
        <f>IF(OR(NOMBRE!C6="",NOMBRE!D6=""),"Falta Cód. Mes.","")</f>
        <v>Falta Cód. Mes.</v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1</v>
      </c>
    </row>
    <row r="7" spans="1:33" ht="21.75" customHeight="1" x14ac:dyDescent="0.3">
      <c r="A7" s="23" t="s">
        <v>209</v>
      </c>
      <c r="B7" s="22">
        <v>2023</v>
      </c>
      <c r="C7" s="1"/>
      <c r="D7" s="1"/>
      <c r="E7" s="1"/>
      <c r="F7" s="1"/>
      <c r="G7" s="1"/>
      <c r="H7" s="1"/>
      <c r="AG7" s="21">
        <f>SUM(AG2:AG6)</f>
        <v>5</v>
      </c>
    </row>
    <row r="8" spans="1:33" ht="12" customHeight="1" x14ac:dyDescent="0.2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2">
      <c r="A9" s="8538" t="s">
        <v>5494</v>
      </c>
      <c r="B9" s="8539"/>
      <c r="C9" s="1"/>
      <c r="D9" s="1"/>
      <c r="E9" s="1"/>
      <c r="F9" s="1"/>
      <c r="G9" s="8542" t="s">
        <v>328</v>
      </c>
      <c r="H9" s="8543"/>
      <c r="I9" s="8543"/>
      <c r="J9" s="8544"/>
    </row>
    <row r="10" spans="1:33" ht="12" customHeight="1" x14ac:dyDescent="0.2">
      <c r="A10" s="18"/>
      <c r="B10" s="3"/>
      <c r="C10" s="1"/>
      <c r="D10" s="1"/>
      <c r="E10" s="1"/>
      <c r="F10" s="1"/>
      <c r="G10" s="8545"/>
      <c r="H10" s="8546"/>
      <c r="I10" s="8546"/>
      <c r="J10" s="8547"/>
    </row>
    <row r="11" spans="1:33" ht="27" customHeight="1" x14ac:dyDescent="0.2">
      <c r="A11" s="17" t="s">
        <v>208</v>
      </c>
      <c r="B11" s="15"/>
      <c r="C11" s="1"/>
      <c r="D11" s="1"/>
      <c r="E11" s="1"/>
      <c r="F11" s="1"/>
      <c r="G11" s="8545"/>
      <c r="H11" s="8546"/>
      <c r="I11" s="8546"/>
      <c r="J11" s="854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334</v>
      </c>
      <c r="AB11" s="9" t="s">
        <v>346</v>
      </c>
      <c r="AC11" s="65" t="s">
        <v>207</v>
      </c>
    </row>
    <row r="12" spans="1:33" ht="23.25" customHeight="1" x14ac:dyDescent="0.2">
      <c r="A12" s="16" t="s">
        <v>206</v>
      </c>
      <c r="B12" s="15"/>
      <c r="C12" s="1"/>
      <c r="D12" s="1"/>
      <c r="E12" s="1"/>
      <c r="F12" s="1"/>
      <c r="G12" s="8545"/>
      <c r="H12" s="8546"/>
      <c r="I12" s="8546"/>
      <c r="J12" s="854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335</v>
      </c>
      <c r="AB12" s="9" t="s">
        <v>347</v>
      </c>
      <c r="AC12" s="65" t="s">
        <v>356</v>
      </c>
    </row>
    <row r="13" spans="1:33" ht="23.25" customHeight="1" x14ac:dyDescent="0.2">
      <c r="A13" s="3"/>
      <c r="B13" s="14"/>
      <c r="C13" s="1"/>
      <c r="D13" s="1"/>
      <c r="E13" s="1"/>
      <c r="F13" s="1"/>
      <c r="G13" s="8545"/>
      <c r="H13" s="8546"/>
      <c r="I13" s="8546"/>
      <c r="J13" s="8547"/>
      <c r="L13" s="13" t="s">
        <v>45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336</v>
      </c>
      <c r="AB13" s="9" t="s">
        <v>348</v>
      </c>
      <c r="AC13" s="65" t="s">
        <v>2529</v>
      </c>
    </row>
    <row r="14" spans="1:33" ht="23.25" customHeight="1" x14ac:dyDescent="0.2">
      <c r="A14" s="6"/>
      <c r="B14" s="1"/>
      <c r="C14" s="1"/>
      <c r="D14" s="1"/>
      <c r="E14" s="1"/>
      <c r="F14" s="1"/>
      <c r="G14" s="8548"/>
      <c r="H14" s="8549"/>
      <c r="I14" s="8549"/>
      <c r="J14" s="855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337</v>
      </c>
      <c r="AB14" s="9" t="s">
        <v>3956</v>
      </c>
      <c r="AC14" s="66"/>
    </row>
    <row r="15" spans="1:33" ht="21" customHeight="1" x14ac:dyDescent="0.2">
      <c r="A15" s="8540" t="s">
        <v>205</v>
      </c>
      <c r="B15" s="854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338</v>
      </c>
      <c r="AB15" s="9" t="s">
        <v>349</v>
      </c>
      <c r="AC15" s="66"/>
    </row>
    <row r="16" spans="1:33" ht="21.75" customHeight="1" x14ac:dyDescent="0.2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339</v>
      </c>
      <c r="AB16" s="9" t="s">
        <v>350</v>
      </c>
      <c r="AC16" s="66"/>
    </row>
    <row r="17" spans="1:29" ht="21" customHeight="1" x14ac:dyDescent="0.2">
      <c r="A17" s="6"/>
      <c r="B17" s="8533" t="s">
        <v>204</v>
      </c>
      <c r="C17" s="1"/>
      <c r="D17" s="1"/>
      <c r="E17" s="1"/>
      <c r="F17" s="1"/>
      <c r="G17" s="8551" t="s">
        <v>327</v>
      </c>
      <c r="H17" s="8552"/>
      <c r="I17" s="8552"/>
      <c r="J17" s="855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340</v>
      </c>
      <c r="AB17" s="9" t="s">
        <v>3567</v>
      </c>
      <c r="AC17" s="66"/>
    </row>
    <row r="18" spans="1:29" ht="21" customHeight="1" x14ac:dyDescent="0.2">
      <c r="A18" s="6"/>
      <c r="B18" s="8534"/>
      <c r="C18" s="1"/>
      <c r="D18" s="1"/>
      <c r="E18" s="1"/>
      <c r="F18" s="1"/>
      <c r="G18" s="60"/>
      <c r="H18" s="61"/>
      <c r="I18" s="64" t="s">
        <v>398</v>
      </c>
      <c r="J18" s="6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341</v>
      </c>
      <c r="AB18" s="9" t="s">
        <v>351</v>
      </c>
      <c r="AC18" s="66"/>
    </row>
    <row r="19" spans="1:29" ht="21" customHeight="1" x14ac:dyDescent="0.2">
      <c r="A19" s="6"/>
      <c r="B19" s="8535"/>
      <c r="C19" s="1"/>
      <c r="D19" s="1"/>
      <c r="E19" s="1"/>
      <c r="F19" s="1"/>
      <c r="G19" s="57"/>
      <c r="H19" s="58"/>
      <c r="I19" s="58"/>
      <c r="J19" s="5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342</v>
      </c>
      <c r="AB19" s="9" t="s">
        <v>3568</v>
      </c>
      <c r="AC19" s="66"/>
    </row>
    <row r="20" spans="1:29" ht="21" customHeight="1" x14ac:dyDescent="0.2">
      <c r="A20" s="6"/>
      <c r="B20" s="1"/>
      <c r="C20" s="1"/>
      <c r="D20" s="1"/>
      <c r="E20" s="1"/>
      <c r="F20" s="1"/>
      <c r="G20" s="60"/>
      <c r="H20" s="61"/>
      <c r="I20" s="61"/>
      <c r="J20" s="6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343</v>
      </c>
      <c r="AB20" s="9" t="s">
        <v>352</v>
      </c>
      <c r="AC20" s="66"/>
    </row>
    <row r="21" spans="1:29" ht="21" customHeight="1" x14ac:dyDescent="0.2">
      <c r="A21" s="6"/>
      <c r="B21" s="1"/>
      <c r="C21" s="1"/>
      <c r="D21" s="1"/>
      <c r="E21" s="1"/>
      <c r="F21" s="1"/>
      <c r="G21" s="63"/>
      <c r="H21" s="63"/>
      <c r="I21" s="63"/>
      <c r="J21" s="6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344</v>
      </c>
      <c r="AB21" s="9" t="s">
        <v>3569</v>
      </c>
      <c r="AC21" s="66"/>
    </row>
    <row r="22" spans="1:29" ht="21" customHeight="1" x14ac:dyDescent="0.2">
      <c r="A22" s="6"/>
      <c r="B22" s="1"/>
      <c r="C22" s="1"/>
      <c r="D22" s="1"/>
      <c r="E22" s="1"/>
      <c r="F22" s="1"/>
      <c r="G22" s="63"/>
      <c r="H22" s="63"/>
      <c r="I22" s="63"/>
      <c r="J22" s="6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345</v>
      </c>
      <c r="AB22" s="9" t="s">
        <v>353</v>
      </c>
      <c r="AC22" s="66"/>
    </row>
    <row r="23" spans="1:29" ht="17.25" customHeight="1" x14ac:dyDescent="0.2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3570</v>
      </c>
      <c r="AC23" s="66"/>
    </row>
    <row r="24" spans="1:29" ht="18.75" customHeight="1" x14ac:dyDescent="0.2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354</v>
      </c>
      <c r="AC24" s="66"/>
    </row>
    <row r="25" spans="1:29" ht="18" customHeight="1" x14ac:dyDescent="0.2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3571</v>
      </c>
      <c r="AC25" s="66"/>
    </row>
    <row r="26" spans="1:29" ht="19.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355</v>
      </c>
      <c r="AC26" s="66"/>
    </row>
    <row r="27" spans="1:29" ht="19.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3957</v>
      </c>
      <c r="AC27" s="66"/>
    </row>
    <row r="28" spans="1:29" ht="18.75" customHeight="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3958</v>
      </c>
      <c r="AC28" s="66"/>
    </row>
    <row r="29" spans="1:29" ht="18.75" customHeight="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 s="12"/>
      <c r="AB29" s="9" t="s">
        <v>3959</v>
      </c>
      <c r="AC29" s="66"/>
    </row>
    <row r="30" spans="1:29" ht="18.75" customHeight="1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3960</v>
      </c>
      <c r="AC30" s="67"/>
    </row>
    <row r="31" spans="1:29" ht="17.25" customHeight="1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3961</v>
      </c>
      <c r="AC31" s="67"/>
    </row>
    <row r="32" spans="1:29" ht="17.25" customHeight="1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3962</v>
      </c>
      <c r="AC32" s="67"/>
    </row>
    <row r="33" spans="1:29" ht="17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0"/>
      <c r="S33" s="10"/>
      <c r="T33" s="10"/>
      <c r="U33" s="10"/>
      <c r="V33" s="10"/>
      <c r="W33" s="10"/>
      <c r="X33" s="10"/>
      <c r="Y33" s="10"/>
      <c r="Z33" s="10"/>
      <c r="AA33"/>
      <c r="AB33" s="9" t="s">
        <v>3972</v>
      </c>
      <c r="AC33" s="67"/>
    </row>
    <row r="34" spans="1:29" ht="17.25" customHeight="1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0"/>
      <c r="S34" s="10"/>
      <c r="T34" s="10"/>
      <c r="U34" s="10"/>
      <c r="V34" s="10"/>
      <c r="W34" s="10"/>
      <c r="X34" s="10"/>
      <c r="Y34" s="10"/>
      <c r="Z34" s="10"/>
      <c r="AA34"/>
      <c r="AB34" s="9" t="s">
        <v>3963</v>
      </c>
      <c r="AC34" s="67"/>
    </row>
    <row r="35" spans="1:29" ht="17.25" customHeight="1" x14ac:dyDescent="0.2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3964</v>
      </c>
      <c r="AC35" s="65"/>
    </row>
    <row r="36" spans="1:29" ht="17.25" customHeight="1" x14ac:dyDescent="0.2">
      <c r="A36" s="6"/>
      <c r="B36" s="1"/>
      <c r="C36" s="1"/>
      <c r="D36" s="1"/>
      <c r="E36" s="1"/>
      <c r="F36" s="1"/>
      <c r="G36" s="1"/>
      <c r="H36" s="1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B36" s="9" t="s">
        <v>3965</v>
      </c>
      <c r="AC36" s="65"/>
    </row>
    <row r="37" spans="1:29" ht="17.25" customHeight="1" x14ac:dyDescent="0.2">
      <c r="A37" s="6"/>
      <c r="B37" s="1"/>
      <c r="C37" s="1"/>
      <c r="D37" s="1"/>
      <c r="E37" s="1"/>
      <c r="F37" s="1"/>
      <c r="G37" s="1"/>
      <c r="H37" s="1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B37" s="9" t="s">
        <v>3966</v>
      </c>
      <c r="AC37" s="65"/>
    </row>
    <row r="38" spans="1:29" ht="17.25" customHeight="1" x14ac:dyDescent="0.2">
      <c r="A38" s="6"/>
      <c r="B38" s="1"/>
      <c r="C38" s="1"/>
      <c r="D38" s="1"/>
      <c r="E38" s="1"/>
      <c r="F38" s="1"/>
      <c r="G38" s="1"/>
      <c r="H38" s="1"/>
      <c r="AB38" s="9" t="s">
        <v>3967</v>
      </c>
      <c r="AC38" s="65"/>
    </row>
    <row r="39" spans="1:29" ht="17.25" customHeight="1" x14ac:dyDescent="0.2">
      <c r="A39" s="6"/>
      <c r="B39" s="1"/>
      <c r="C39" s="1"/>
      <c r="D39" s="1"/>
      <c r="E39" s="1"/>
      <c r="F39" s="1"/>
      <c r="G39" s="1"/>
      <c r="H39" s="1"/>
      <c r="AB39" s="9" t="s">
        <v>3968</v>
      </c>
    </row>
    <row r="40" spans="1:29" ht="17.25" customHeight="1" x14ac:dyDescent="0.2">
      <c r="A40" s="6"/>
      <c r="C40" s="1"/>
      <c r="D40" s="1"/>
      <c r="E40" s="1"/>
      <c r="F40" s="1"/>
      <c r="G40" s="1"/>
      <c r="H40" s="1"/>
      <c r="AB40" s="9" t="s">
        <v>936</v>
      </c>
    </row>
    <row r="41" spans="1:29" x14ac:dyDescent="0.2">
      <c r="A41" s="6"/>
      <c r="C41" s="1"/>
      <c r="D41" s="1"/>
      <c r="E41" s="1"/>
      <c r="F41" s="1"/>
      <c r="G41" s="1"/>
      <c r="H41" s="1"/>
      <c r="AB41" s="9"/>
    </row>
    <row r="42" spans="1:29" x14ac:dyDescent="0.2">
      <c r="A42" s="6"/>
      <c r="C42" s="1"/>
      <c r="D42" s="1"/>
      <c r="E42" s="1"/>
      <c r="F42" s="1"/>
      <c r="G42" s="1"/>
      <c r="H42" s="1"/>
    </row>
    <row r="43" spans="1:29" x14ac:dyDescent="0.2">
      <c r="A43" s="6"/>
      <c r="C43" s="1"/>
      <c r="D43" s="1"/>
      <c r="E43" s="1"/>
      <c r="F43" s="1"/>
      <c r="G43" s="1"/>
      <c r="H43" s="1"/>
    </row>
    <row r="44" spans="1:29" x14ac:dyDescent="0.2">
      <c r="A44" s="6"/>
      <c r="C44" s="1"/>
      <c r="D44" s="1"/>
      <c r="E44" s="1"/>
      <c r="F44" s="1"/>
      <c r="G44" s="1"/>
      <c r="H44" s="1"/>
    </row>
    <row r="45" spans="1:29" x14ac:dyDescent="0.2">
      <c r="A45" s="6"/>
      <c r="C45" s="1"/>
      <c r="D45" s="1"/>
      <c r="E45" s="1"/>
      <c r="F45" s="1"/>
      <c r="G45" s="1"/>
      <c r="H45" s="1"/>
    </row>
    <row r="46" spans="1:29" x14ac:dyDescent="0.2">
      <c r="A46" s="6"/>
      <c r="C46" s="1"/>
      <c r="D46" s="1"/>
      <c r="E46" s="1"/>
      <c r="F46" s="1"/>
      <c r="G46" s="1"/>
      <c r="H46" s="1"/>
    </row>
    <row r="47" spans="1:29" x14ac:dyDescent="0.2">
      <c r="A47" s="6"/>
      <c r="C47" s="1"/>
      <c r="D47" s="1"/>
      <c r="E47" s="1"/>
      <c r="F47" s="1"/>
      <c r="G47" s="1"/>
      <c r="H47" s="1"/>
    </row>
    <row r="48" spans="1:29" x14ac:dyDescent="0.2">
      <c r="A48" s="6"/>
      <c r="C48" s="1"/>
      <c r="D48" s="1"/>
      <c r="E48" s="1"/>
      <c r="F48" s="1"/>
      <c r="G48" s="1"/>
      <c r="H48" s="1"/>
    </row>
    <row r="49" spans="1:8" x14ac:dyDescent="0.2">
      <c r="A49" s="6"/>
      <c r="C49" s="1"/>
      <c r="D49" s="1"/>
      <c r="E49" s="1"/>
      <c r="F49" s="1"/>
      <c r="G49" s="1"/>
      <c r="H49" s="1"/>
    </row>
    <row r="50" spans="1:8" x14ac:dyDescent="0.2">
      <c r="A50" s="6"/>
      <c r="C50" s="1"/>
      <c r="D50" s="1"/>
      <c r="E50" s="1"/>
      <c r="F50" s="1"/>
      <c r="G50" s="1"/>
      <c r="H50" s="1"/>
    </row>
    <row r="51" spans="1:8" x14ac:dyDescent="0.2">
      <c r="C51" s="1"/>
      <c r="D51" s="1"/>
      <c r="E51" s="1"/>
      <c r="F51" s="1"/>
      <c r="G51" s="1"/>
      <c r="H51" s="1"/>
    </row>
    <row r="52" spans="1:8" x14ac:dyDescent="0.2">
      <c r="C52" s="1"/>
      <c r="D52" s="1"/>
      <c r="E52" s="1"/>
      <c r="F52" s="1"/>
      <c r="G52" s="1"/>
      <c r="H52" s="1"/>
    </row>
    <row r="53" spans="1:8" x14ac:dyDescent="0.2">
      <c r="C53" s="1"/>
      <c r="D53" s="1"/>
      <c r="E53" s="1"/>
      <c r="F53" s="1"/>
      <c r="G53" s="1"/>
      <c r="H53" s="1"/>
    </row>
    <row r="54" spans="1:8" x14ac:dyDescent="0.2">
      <c r="C54" s="1"/>
      <c r="D54" s="1"/>
      <c r="E54" s="1"/>
      <c r="F54" s="1"/>
      <c r="G54" s="1"/>
      <c r="H54" s="1"/>
    </row>
    <row r="55" spans="1:8" x14ac:dyDescent="0.2">
      <c r="C55" s="1"/>
      <c r="D55" s="1"/>
      <c r="E55" s="1"/>
      <c r="F55" s="1"/>
      <c r="G55" s="1"/>
      <c r="H55" s="1"/>
    </row>
    <row r="56" spans="1:8" x14ac:dyDescent="0.2">
      <c r="C56" s="1"/>
      <c r="D56" s="1"/>
      <c r="E56" s="1"/>
      <c r="F56" s="1"/>
      <c r="G56" s="1"/>
      <c r="H56" s="1"/>
    </row>
    <row r="57" spans="1:8" x14ac:dyDescent="0.2">
      <c r="C57" s="1"/>
      <c r="D57" s="1"/>
      <c r="E57" s="1"/>
      <c r="F57" s="1"/>
      <c r="G57" s="1"/>
      <c r="H57" s="1"/>
    </row>
    <row r="58" spans="1:8" x14ac:dyDescent="0.2">
      <c r="C58" s="1"/>
      <c r="D58" s="1"/>
      <c r="E58" s="1"/>
      <c r="F58" s="1"/>
      <c r="G58" s="1"/>
      <c r="H58" s="1"/>
    </row>
    <row r="59" spans="1:8" x14ac:dyDescent="0.2">
      <c r="C59" s="1"/>
      <c r="D59" s="1"/>
      <c r="E59" s="1"/>
      <c r="F59" s="1"/>
      <c r="G59" s="1"/>
      <c r="H59" s="1"/>
    </row>
    <row r="60" spans="1:8" x14ac:dyDescent="0.2">
      <c r="C60" s="1"/>
      <c r="D60" s="1"/>
      <c r="E60" s="1"/>
      <c r="F60" s="1"/>
      <c r="G60" s="1"/>
      <c r="H60" s="1"/>
    </row>
    <row r="61" spans="1:8" x14ac:dyDescent="0.2">
      <c r="C61" s="1"/>
      <c r="D61" s="1"/>
      <c r="E61" s="1"/>
      <c r="F61" s="1"/>
      <c r="G61" s="1"/>
      <c r="H61" s="1"/>
    </row>
    <row r="62" spans="1:8" x14ac:dyDescent="0.2">
      <c r="C62" s="1"/>
      <c r="D62" s="1"/>
      <c r="E62" s="1"/>
      <c r="F62" s="1"/>
      <c r="G62" s="1"/>
      <c r="H62" s="1"/>
    </row>
    <row r="63" spans="1:8" x14ac:dyDescent="0.2">
      <c r="C63" s="1"/>
      <c r="D63" s="1"/>
      <c r="E63" s="1"/>
      <c r="F63" s="1"/>
      <c r="G63" s="1"/>
      <c r="H63" s="1"/>
    </row>
    <row r="64" spans="1:8" x14ac:dyDescent="0.2">
      <c r="C64" s="1"/>
      <c r="D64" s="1"/>
      <c r="E64" s="1"/>
      <c r="F64" s="1"/>
      <c r="G64" s="1"/>
      <c r="H64" s="1"/>
    </row>
    <row r="65" spans="3:8" x14ac:dyDescent="0.2">
      <c r="C65" s="1"/>
      <c r="D65" s="1"/>
      <c r="E65" s="1"/>
      <c r="F65" s="1"/>
      <c r="G65" s="1"/>
      <c r="H65" s="1"/>
    </row>
    <row r="66" spans="3:8" x14ac:dyDescent="0.2">
      <c r="C66" s="1"/>
      <c r="D66" s="1"/>
      <c r="E66" s="1"/>
      <c r="F66" s="1"/>
      <c r="G66" s="1"/>
      <c r="H66" s="1"/>
    </row>
    <row r="67" spans="3:8" x14ac:dyDescent="0.2">
      <c r="C67" s="1"/>
      <c r="D67" s="1"/>
      <c r="E67" s="1"/>
      <c r="F67" s="1"/>
      <c r="G67" s="1"/>
      <c r="H67" s="1"/>
    </row>
    <row r="68" spans="3:8" x14ac:dyDescent="0.2">
      <c r="C68" s="1"/>
      <c r="D68" s="1"/>
      <c r="E68" s="1"/>
      <c r="F68" s="1"/>
      <c r="G68" s="1"/>
      <c r="H68" s="1"/>
    </row>
    <row r="69" spans="3:8" x14ac:dyDescent="0.2">
      <c r="C69" s="1"/>
      <c r="D69" s="1"/>
      <c r="E69" s="1"/>
      <c r="F69" s="1"/>
      <c r="G69" s="1"/>
      <c r="H69" s="1"/>
    </row>
    <row r="70" spans="3:8" x14ac:dyDescent="0.2">
      <c r="C70" s="1"/>
      <c r="D70" s="1"/>
      <c r="E70" s="1"/>
      <c r="F70" s="1"/>
      <c r="G70" s="1"/>
      <c r="H70" s="1"/>
    </row>
    <row r="71" spans="3:8" x14ac:dyDescent="0.2">
      <c r="C71" s="1"/>
      <c r="D71" s="1"/>
      <c r="E71" s="1"/>
      <c r="F71" s="1"/>
      <c r="G71" s="1"/>
      <c r="H71" s="1"/>
    </row>
    <row r="72" spans="3:8" x14ac:dyDescent="0.2">
      <c r="C72" s="1"/>
      <c r="D72" s="1"/>
      <c r="E72" s="1"/>
      <c r="F72" s="1"/>
      <c r="G72" s="1"/>
      <c r="H72" s="1"/>
    </row>
    <row r="73" spans="3:8" x14ac:dyDescent="0.2">
      <c r="C73" s="1"/>
      <c r="D73" s="1"/>
      <c r="E73" s="1"/>
      <c r="F73" s="1"/>
      <c r="G73" s="1"/>
      <c r="H73" s="1"/>
    </row>
    <row r="74" spans="3:8" x14ac:dyDescent="0.2">
      <c r="C74" s="1"/>
      <c r="D74" s="1"/>
      <c r="E74" s="1"/>
      <c r="F74" s="1"/>
      <c r="G74" s="1"/>
      <c r="H74" s="1"/>
    </row>
    <row r="75" spans="3:8" x14ac:dyDescent="0.2">
      <c r="C75" s="1"/>
      <c r="D75" s="1"/>
      <c r="E75" s="1"/>
      <c r="F75" s="1"/>
      <c r="G75" s="1"/>
      <c r="H75" s="1"/>
    </row>
    <row r="76" spans="3:8" x14ac:dyDescent="0.2">
      <c r="C76" s="1"/>
      <c r="D76" s="1"/>
      <c r="E76" s="1"/>
      <c r="F76" s="1"/>
      <c r="G76" s="1"/>
      <c r="H76" s="1"/>
    </row>
    <row r="77" spans="3:8" x14ac:dyDescent="0.2">
      <c r="C77" s="1"/>
      <c r="D77" s="1"/>
      <c r="E77" s="1"/>
      <c r="F77" s="1"/>
      <c r="G77" s="1"/>
      <c r="H77" s="1"/>
    </row>
    <row r="78" spans="3:8" x14ac:dyDescent="0.2">
      <c r="C78" s="1"/>
      <c r="D78" s="1"/>
      <c r="E78" s="1"/>
      <c r="F78" s="1"/>
      <c r="G78" s="1"/>
      <c r="H78" s="1"/>
    </row>
    <row r="79" spans="3:8" x14ac:dyDescent="0.2">
      <c r="C79" s="1"/>
      <c r="D79" s="1"/>
      <c r="E79" s="1"/>
      <c r="F79" s="1"/>
      <c r="G79" s="1"/>
      <c r="H79" s="1"/>
    </row>
    <row r="80" spans="3:8" x14ac:dyDescent="0.2">
      <c r="C80" s="1"/>
      <c r="D80" s="1"/>
      <c r="E80" s="1"/>
      <c r="F80" s="1"/>
      <c r="G80" s="1"/>
      <c r="H80" s="1"/>
    </row>
    <row r="81" spans="3:8" x14ac:dyDescent="0.2">
      <c r="C81" s="1"/>
      <c r="D81" s="1"/>
      <c r="E81" s="1"/>
      <c r="F81" s="1"/>
      <c r="G81" s="1"/>
      <c r="H81" s="1"/>
    </row>
    <row r="82" spans="3:8" x14ac:dyDescent="0.2">
      <c r="C82" s="1"/>
      <c r="D82" s="1"/>
      <c r="E82" s="1"/>
      <c r="F82" s="1"/>
      <c r="G82" s="1"/>
      <c r="H82" s="1"/>
    </row>
    <row r="83" spans="3:8" x14ac:dyDescent="0.2">
      <c r="C83" s="1"/>
      <c r="D83" s="1"/>
      <c r="E83" s="1"/>
      <c r="F83" s="1"/>
      <c r="G83" s="1"/>
      <c r="H83" s="1"/>
    </row>
    <row r="84" spans="3:8" x14ac:dyDescent="0.2">
      <c r="C84" s="1"/>
      <c r="D84" s="1"/>
      <c r="E84" s="1"/>
      <c r="F84" s="1"/>
      <c r="G84" s="1"/>
      <c r="H84" s="1"/>
    </row>
    <row r="85" spans="3:8" x14ac:dyDescent="0.2">
      <c r="C85" s="1"/>
      <c r="D85" s="1"/>
      <c r="E85" s="1"/>
      <c r="F85" s="1"/>
      <c r="G85" s="1"/>
      <c r="H85" s="1"/>
    </row>
    <row r="86" spans="3:8" x14ac:dyDescent="0.2">
      <c r="C86" s="1"/>
      <c r="D86" s="1"/>
      <c r="E86" s="1"/>
      <c r="F86" s="1"/>
      <c r="G86" s="1"/>
      <c r="H86" s="1"/>
    </row>
    <row r="87" spans="3:8" x14ac:dyDescent="0.2">
      <c r="C87" s="1"/>
      <c r="D87" s="1"/>
      <c r="E87" s="1"/>
      <c r="F87" s="1"/>
      <c r="G87" s="1"/>
      <c r="H87" s="1"/>
    </row>
    <row r="88" spans="3:8" x14ac:dyDescent="0.2">
      <c r="C88" s="1"/>
      <c r="D88" s="1"/>
      <c r="E88" s="1"/>
      <c r="F88" s="1"/>
      <c r="G88" s="1"/>
      <c r="H88" s="1"/>
    </row>
    <row r="89" spans="3:8" x14ac:dyDescent="0.2">
      <c r="C89" s="1"/>
      <c r="D89" s="1"/>
      <c r="E89" s="1"/>
      <c r="F89" s="1"/>
      <c r="G89" s="1"/>
      <c r="H89" s="1"/>
    </row>
    <row r="90" spans="3:8" x14ac:dyDescent="0.2">
      <c r="C90" s="1"/>
      <c r="D90" s="1"/>
      <c r="E90" s="1"/>
      <c r="F90" s="1"/>
      <c r="G90" s="1"/>
      <c r="H90" s="1"/>
    </row>
    <row r="91" spans="3:8" x14ac:dyDescent="0.2">
      <c r="C91" s="1"/>
      <c r="D91" s="1"/>
      <c r="E91" s="1"/>
      <c r="F91" s="1"/>
      <c r="G91" s="1"/>
      <c r="H91" s="1"/>
    </row>
    <row r="92" spans="3:8" x14ac:dyDescent="0.2">
      <c r="C92" s="1"/>
      <c r="D92" s="1"/>
      <c r="E92" s="1"/>
      <c r="F92" s="1"/>
      <c r="G92" s="1"/>
      <c r="H92" s="1"/>
    </row>
    <row r="93" spans="3:8" x14ac:dyDescent="0.2">
      <c r="C93" s="1"/>
      <c r="D93" s="1"/>
      <c r="E93" s="1"/>
      <c r="F93" s="1"/>
      <c r="G93" s="1"/>
      <c r="H93" s="1"/>
    </row>
    <row r="94" spans="3:8" x14ac:dyDescent="0.2">
      <c r="C94" s="1"/>
      <c r="D94" s="1"/>
      <c r="E94" s="1"/>
      <c r="F94" s="1"/>
      <c r="G94" s="1"/>
      <c r="H94" s="1"/>
    </row>
    <row r="95" spans="3:8" x14ac:dyDescent="0.2">
      <c r="C95" s="1"/>
      <c r="D95" s="1"/>
      <c r="E95" s="1"/>
      <c r="F95" s="1"/>
      <c r="G95" s="1"/>
      <c r="H95" s="1"/>
    </row>
    <row r="96" spans="3:8" x14ac:dyDescent="0.2">
      <c r="C96" s="1"/>
      <c r="D96" s="1"/>
      <c r="E96" s="1"/>
      <c r="F96" s="1"/>
      <c r="G96" s="1"/>
      <c r="H96" s="1"/>
    </row>
    <row r="97" spans="3:8" x14ac:dyDescent="0.2">
      <c r="C97" s="1"/>
      <c r="D97" s="1"/>
      <c r="E97" s="1"/>
      <c r="F97" s="1"/>
      <c r="G97" s="1"/>
      <c r="H97" s="1"/>
    </row>
    <row r="98" spans="3:8" x14ac:dyDescent="0.2">
      <c r="C98" s="1"/>
      <c r="D98" s="1"/>
      <c r="E98" s="1"/>
      <c r="F98" s="1"/>
      <c r="G98" s="1"/>
      <c r="H98" s="1"/>
    </row>
    <row r="99" spans="3:8" x14ac:dyDescent="0.2">
      <c r="C99" s="1"/>
      <c r="D99" s="1"/>
      <c r="E99" s="1"/>
      <c r="F99" s="1"/>
      <c r="G99" s="1"/>
      <c r="H99" s="1"/>
    </row>
    <row r="100" spans="3:8" x14ac:dyDescent="0.2">
      <c r="C100" s="1"/>
      <c r="D100" s="1"/>
      <c r="E100" s="1"/>
      <c r="F100" s="1"/>
      <c r="G100" s="1"/>
      <c r="H100" s="1"/>
    </row>
    <row r="101" spans="3:8" x14ac:dyDescent="0.2">
      <c r="C101" s="1"/>
      <c r="D101" s="1"/>
      <c r="E101" s="1"/>
      <c r="F101" s="1"/>
      <c r="G101" s="1"/>
      <c r="H101" s="1"/>
    </row>
    <row r="102" spans="3:8" x14ac:dyDescent="0.2">
      <c r="C102" s="1"/>
      <c r="D102" s="1"/>
      <c r="E102" s="1"/>
      <c r="F102" s="1"/>
      <c r="G102" s="1"/>
      <c r="H102" s="1"/>
    </row>
    <row r="103" spans="3:8" x14ac:dyDescent="0.2">
      <c r="C103" s="1"/>
      <c r="D103" s="1"/>
      <c r="E103" s="1"/>
      <c r="F103" s="1"/>
      <c r="G103" s="1"/>
      <c r="H103" s="1"/>
    </row>
    <row r="104" spans="3:8" x14ac:dyDescent="0.2">
      <c r="C104" s="1"/>
      <c r="D104" s="1"/>
      <c r="E104" s="1"/>
      <c r="F104" s="1"/>
      <c r="G104" s="1"/>
      <c r="H104" s="1"/>
    </row>
    <row r="105" spans="3:8" x14ac:dyDescent="0.2">
      <c r="C105" s="1"/>
      <c r="D105" s="1"/>
      <c r="E105" s="1"/>
      <c r="F105" s="1"/>
      <c r="G105" s="1"/>
      <c r="H105" s="1"/>
    </row>
    <row r="106" spans="3:8" x14ac:dyDescent="0.2">
      <c r="C106" s="1"/>
      <c r="D106" s="1"/>
      <c r="E106" s="1"/>
      <c r="F106" s="1"/>
      <c r="G106" s="1"/>
      <c r="H106" s="1"/>
    </row>
    <row r="107" spans="3:8" x14ac:dyDescent="0.2">
      <c r="C107" s="1"/>
      <c r="D107" s="1"/>
      <c r="E107" s="1"/>
      <c r="F107" s="1"/>
      <c r="G107" s="1"/>
      <c r="H107" s="1"/>
    </row>
    <row r="108" spans="3:8" x14ac:dyDescent="0.2">
      <c r="C108" s="1"/>
      <c r="D108" s="1"/>
      <c r="E108" s="1"/>
      <c r="F108" s="1"/>
      <c r="G108" s="1"/>
      <c r="H108" s="1"/>
    </row>
    <row r="109" spans="3:8" x14ac:dyDescent="0.2">
      <c r="C109" s="1"/>
      <c r="D109" s="1"/>
      <c r="E109" s="1"/>
      <c r="F109" s="1"/>
      <c r="G109" s="1"/>
      <c r="H109" s="1"/>
    </row>
    <row r="110" spans="3:8" x14ac:dyDescent="0.2">
      <c r="C110" s="1"/>
      <c r="D110" s="1"/>
      <c r="E110" s="1"/>
      <c r="F110" s="1"/>
      <c r="G110" s="1"/>
      <c r="H110" s="1"/>
    </row>
    <row r="111" spans="3:8" x14ac:dyDescent="0.2">
      <c r="C111" s="1"/>
      <c r="D111" s="1"/>
      <c r="E111" s="1"/>
      <c r="F111" s="1"/>
      <c r="G111" s="1"/>
      <c r="H111" s="1"/>
    </row>
    <row r="112" spans="3:8" x14ac:dyDescent="0.2">
      <c r="C112" s="1"/>
      <c r="D112" s="1"/>
      <c r="E112" s="1"/>
      <c r="F112" s="1"/>
      <c r="G112" s="1"/>
      <c r="H112" s="1"/>
    </row>
    <row r="113" spans="3:8" x14ac:dyDescent="0.2">
      <c r="C113" s="1"/>
      <c r="D113" s="1"/>
      <c r="E113" s="1"/>
      <c r="F113" s="1"/>
      <c r="G113" s="1"/>
      <c r="H113" s="1"/>
    </row>
    <row r="114" spans="3:8" x14ac:dyDescent="0.2">
      <c r="C114" s="1"/>
      <c r="D114" s="1"/>
      <c r="E114" s="1"/>
      <c r="F114" s="1"/>
      <c r="G114" s="1"/>
      <c r="H114" s="1"/>
    </row>
    <row r="115" spans="3:8" x14ac:dyDescent="0.2">
      <c r="C115" s="1"/>
      <c r="D115" s="1"/>
      <c r="E115" s="1"/>
      <c r="F115" s="1"/>
      <c r="G115" s="1"/>
      <c r="H115" s="1"/>
    </row>
    <row r="116" spans="3:8" x14ac:dyDescent="0.2">
      <c r="C116" s="1"/>
      <c r="D116" s="1"/>
      <c r="E116" s="1"/>
      <c r="F116" s="1"/>
      <c r="G116" s="1"/>
      <c r="H116" s="1"/>
    </row>
    <row r="117" spans="3:8" x14ac:dyDescent="0.2">
      <c r="C117" s="1"/>
      <c r="D117" s="1"/>
      <c r="E117" s="1"/>
      <c r="F117" s="1"/>
      <c r="G117" s="1"/>
      <c r="H117" s="1"/>
    </row>
    <row r="118" spans="3:8" x14ac:dyDescent="0.2">
      <c r="C118" s="1"/>
      <c r="D118" s="1"/>
      <c r="E118" s="1"/>
      <c r="F118" s="1"/>
      <c r="G118" s="1"/>
      <c r="H118" s="1"/>
    </row>
    <row r="119" spans="3:8" x14ac:dyDescent="0.2">
      <c r="C119" s="1"/>
      <c r="D119" s="1"/>
      <c r="E119" s="1"/>
      <c r="F119" s="1"/>
      <c r="G119" s="1"/>
      <c r="H119" s="1"/>
    </row>
    <row r="120" spans="3:8" x14ac:dyDescent="0.2">
      <c r="C120" s="1"/>
      <c r="D120" s="1"/>
      <c r="E120" s="1"/>
      <c r="F120" s="1"/>
      <c r="G120" s="1"/>
      <c r="H120" s="1"/>
    </row>
    <row r="121" spans="3:8" x14ac:dyDescent="0.2">
      <c r="C121" s="1"/>
      <c r="D121" s="1"/>
      <c r="E121" s="1"/>
      <c r="F121" s="1"/>
      <c r="G121" s="1"/>
      <c r="H121" s="1"/>
    </row>
    <row r="122" spans="3:8" x14ac:dyDescent="0.2">
      <c r="C122" s="1"/>
      <c r="D122" s="1"/>
      <c r="E122" s="1"/>
      <c r="F122" s="1"/>
      <c r="G122" s="1"/>
      <c r="H122" s="1"/>
    </row>
    <row r="123" spans="3:8" x14ac:dyDescent="0.2">
      <c r="C123" s="1"/>
      <c r="D123" s="1"/>
      <c r="E123" s="1"/>
      <c r="F123" s="1"/>
      <c r="G123" s="1"/>
      <c r="H123" s="1"/>
    </row>
    <row r="124" spans="3:8" x14ac:dyDescent="0.2">
      <c r="C124" s="1"/>
      <c r="D124" s="1"/>
      <c r="E124" s="1"/>
      <c r="F124" s="1"/>
      <c r="G124" s="1"/>
      <c r="H124" s="1"/>
    </row>
    <row r="125" spans="3:8" x14ac:dyDescent="0.2">
      <c r="C125" s="1"/>
      <c r="D125" s="1"/>
      <c r="E125" s="1"/>
      <c r="F125" s="1"/>
      <c r="G125" s="1"/>
      <c r="H125" s="1"/>
    </row>
    <row r="126" spans="3:8" x14ac:dyDescent="0.2">
      <c r="C126" s="1"/>
      <c r="D126" s="1"/>
      <c r="E126" s="1"/>
      <c r="F126" s="1"/>
      <c r="G126" s="1"/>
      <c r="H126" s="1"/>
    </row>
    <row r="127" spans="3:8" x14ac:dyDescent="0.2">
      <c r="C127" s="1"/>
      <c r="D127" s="1"/>
      <c r="E127" s="1"/>
      <c r="F127" s="1"/>
      <c r="G127" s="1"/>
      <c r="H127" s="1"/>
    </row>
    <row r="128" spans="3:8" x14ac:dyDescent="0.2">
      <c r="C128" s="1"/>
      <c r="D128" s="1"/>
      <c r="E128" s="1"/>
      <c r="F128" s="1"/>
      <c r="G128" s="1"/>
      <c r="H128" s="1"/>
    </row>
    <row r="129" spans="3:8" x14ac:dyDescent="0.2">
      <c r="C129" s="1"/>
      <c r="D129" s="1"/>
      <c r="E129" s="1"/>
      <c r="F129" s="1"/>
      <c r="G129" s="1"/>
      <c r="H129" s="1"/>
    </row>
    <row r="130" spans="3:8" x14ac:dyDescent="0.2">
      <c r="C130" s="1"/>
      <c r="D130" s="1"/>
      <c r="E130" s="1"/>
      <c r="F130" s="1"/>
      <c r="G130" s="1"/>
      <c r="H130" s="1"/>
    </row>
    <row r="131" spans="3:8" x14ac:dyDescent="0.2">
      <c r="C131" s="1"/>
      <c r="D131" s="1"/>
      <c r="E131" s="1"/>
      <c r="F131" s="1"/>
      <c r="G131" s="1"/>
      <c r="H131" s="1"/>
    </row>
    <row r="132" spans="3:8" x14ac:dyDescent="0.2">
      <c r="C132" s="1"/>
      <c r="D132" s="1"/>
      <c r="E132" s="1"/>
      <c r="F132" s="1"/>
      <c r="G132" s="1"/>
      <c r="H132" s="1"/>
    </row>
    <row r="133" spans="3:8" x14ac:dyDescent="0.2">
      <c r="C133" s="1"/>
      <c r="D133" s="1"/>
      <c r="E133" s="1"/>
      <c r="F133" s="1"/>
      <c r="G133" s="1"/>
      <c r="H133" s="1"/>
    </row>
    <row r="134" spans="3:8" x14ac:dyDescent="0.2">
      <c r="C134" s="1"/>
      <c r="D134" s="1"/>
      <c r="E134" s="1"/>
      <c r="F134" s="1"/>
      <c r="G134" s="1"/>
      <c r="H134" s="1"/>
    </row>
    <row r="135" spans="3:8" x14ac:dyDescent="0.2">
      <c r="C135" s="1"/>
      <c r="D135" s="1"/>
      <c r="E135" s="1"/>
      <c r="F135" s="1"/>
      <c r="G135" s="1"/>
      <c r="H135" s="1"/>
    </row>
    <row r="136" spans="3:8" x14ac:dyDescent="0.2">
      <c r="C136" s="1"/>
      <c r="D136" s="1"/>
      <c r="E136" s="1"/>
      <c r="F136" s="1"/>
      <c r="G136" s="1"/>
      <c r="H136" s="1"/>
    </row>
    <row r="137" spans="3:8" x14ac:dyDescent="0.2">
      <c r="C137" s="1"/>
      <c r="D137" s="1"/>
      <c r="E137" s="1"/>
      <c r="F137" s="1"/>
      <c r="G137" s="1"/>
      <c r="H137" s="1"/>
    </row>
    <row r="138" spans="3:8" x14ac:dyDescent="0.2">
      <c r="C138" s="1"/>
      <c r="D138" s="1"/>
      <c r="E138" s="1"/>
      <c r="F138" s="1"/>
      <c r="G138" s="1"/>
      <c r="H138" s="1"/>
    </row>
    <row r="139" spans="3:8" x14ac:dyDescent="0.2">
      <c r="C139" s="1"/>
      <c r="D139" s="1"/>
      <c r="E139" s="1"/>
      <c r="F139" s="1"/>
      <c r="G139" s="1"/>
      <c r="H139" s="1"/>
    </row>
    <row r="140" spans="3:8" x14ac:dyDescent="0.2">
      <c r="C140" s="1"/>
      <c r="D140" s="1"/>
      <c r="E140" s="1"/>
      <c r="F140" s="1"/>
      <c r="G140" s="1"/>
      <c r="H140" s="1"/>
    </row>
    <row r="141" spans="3:8" x14ac:dyDescent="0.2">
      <c r="C141" s="1"/>
      <c r="D141" s="1"/>
      <c r="E141" s="1"/>
      <c r="F141" s="1"/>
      <c r="G141" s="1"/>
      <c r="H141" s="1"/>
    </row>
    <row r="142" spans="3:8" x14ac:dyDescent="0.2">
      <c r="C142" s="1"/>
      <c r="D142" s="1"/>
      <c r="E142" s="1"/>
      <c r="F142" s="1"/>
      <c r="G142" s="1"/>
      <c r="H142" s="1"/>
    </row>
    <row r="143" spans="3:8" x14ac:dyDescent="0.2">
      <c r="C143" s="1"/>
      <c r="D143" s="1"/>
      <c r="E143" s="1"/>
      <c r="F143" s="1"/>
      <c r="G143" s="1"/>
      <c r="H143" s="1"/>
    </row>
    <row r="144" spans="3:8" x14ac:dyDescent="0.2">
      <c r="C144" s="1"/>
      <c r="D144" s="1"/>
      <c r="E144" s="1"/>
      <c r="F144" s="1"/>
      <c r="G144" s="1"/>
      <c r="H144" s="1"/>
    </row>
    <row r="145" spans="3:8" x14ac:dyDescent="0.2">
      <c r="C145" s="1"/>
      <c r="D145" s="1"/>
      <c r="E145" s="1"/>
      <c r="F145" s="1"/>
      <c r="G145" s="1"/>
      <c r="H145" s="1"/>
    </row>
    <row r="146" spans="3:8" x14ac:dyDescent="0.2">
      <c r="C146" s="1"/>
      <c r="D146" s="1"/>
      <c r="E146" s="1"/>
      <c r="F146" s="1"/>
      <c r="G146" s="1"/>
      <c r="H146" s="1"/>
    </row>
    <row r="147" spans="3:8" x14ac:dyDescent="0.2">
      <c r="C147" s="1"/>
      <c r="D147" s="1"/>
      <c r="E147" s="1"/>
      <c r="F147" s="1"/>
      <c r="G147" s="1"/>
      <c r="H147" s="1"/>
    </row>
    <row r="148" spans="3:8" x14ac:dyDescent="0.2">
      <c r="C148" s="1"/>
      <c r="D148" s="1"/>
      <c r="E148" s="1"/>
      <c r="F148" s="1"/>
      <c r="G148" s="1"/>
      <c r="H148" s="1"/>
    </row>
    <row r="149" spans="3:8" x14ac:dyDescent="0.2">
      <c r="C149" s="1"/>
      <c r="D149" s="1"/>
      <c r="E149" s="1"/>
      <c r="F149" s="1"/>
      <c r="G149" s="1"/>
      <c r="H149" s="1"/>
    </row>
    <row r="150" spans="3:8" x14ac:dyDescent="0.2">
      <c r="C150" s="1"/>
      <c r="D150" s="1"/>
      <c r="E150" s="1"/>
      <c r="F150" s="1"/>
      <c r="G150" s="1"/>
      <c r="H150" s="1"/>
    </row>
    <row r="151" spans="3:8" x14ac:dyDescent="0.2">
      <c r="C151" s="1"/>
      <c r="D151" s="1"/>
      <c r="E151" s="1"/>
      <c r="F151" s="1"/>
      <c r="G151" s="1"/>
      <c r="H151" s="1"/>
    </row>
    <row r="152" spans="3:8" x14ac:dyDescent="0.2">
      <c r="C152" s="1"/>
      <c r="D152" s="1"/>
      <c r="E152" s="1"/>
      <c r="F152" s="1"/>
      <c r="G152" s="1"/>
      <c r="H152" s="1"/>
    </row>
    <row r="153" spans="3:8" x14ac:dyDescent="0.2">
      <c r="C153" s="1"/>
      <c r="D153" s="1"/>
      <c r="E153" s="1"/>
      <c r="F153" s="1"/>
      <c r="G153" s="1"/>
      <c r="H153" s="1"/>
    </row>
    <row r="154" spans="3:8" x14ac:dyDescent="0.2">
      <c r="C154" s="1"/>
      <c r="D154" s="1"/>
      <c r="E154" s="1"/>
      <c r="F154" s="1"/>
      <c r="G154" s="1"/>
      <c r="H154" s="1"/>
    </row>
    <row r="155" spans="3:8" x14ac:dyDescent="0.2">
      <c r="C155" s="1"/>
      <c r="D155" s="1"/>
      <c r="E155" s="1"/>
      <c r="F155" s="1"/>
      <c r="G155" s="1"/>
      <c r="H155" s="1"/>
    </row>
    <row r="156" spans="3:8" x14ac:dyDescent="0.2">
      <c r="C156" s="1"/>
      <c r="D156" s="1"/>
      <c r="E156" s="1"/>
      <c r="F156" s="1"/>
      <c r="G156" s="1"/>
      <c r="H156" s="1"/>
    </row>
    <row r="157" spans="3:8" x14ac:dyDescent="0.2">
      <c r="C157" s="1"/>
      <c r="D157" s="1"/>
      <c r="E157" s="1"/>
      <c r="F157" s="1"/>
      <c r="G157" s="1"/>
      <c r="H157" s="1"/>
    </row>
    <row r="158" spans="3:8" x14ac:dyDescent="0.2">
      <c r="C158" s="1"/>
      <c r="D158" s="1"/>
      <c r="E158" s="1"/>
      <c r="F158" s="1"/>
      <c r="G158" s="1"/>
      <c r="H158" s="1"/>
    </row>
    <row r="159" spans="3:8" x14ac:dyDescent="0.2">
      <c r="C159" s="1"/>
      <c r="D159" s="1"/>
      <c r="E159" s="1"/>
      <c r="F159" s="1"/>
      <c r="G159" s="1"/>
      <c r="H159" s="1"/>
    </row>
    <row r="160" spans="3:8" x14ac:dyDescent="0.2">
      <c r="C160" s="1"/>
      <c r="D160" s="1"/>
      <c r="E160" s="1"/>
      <c r="F160" s="1"/>
      <c r="G160" s="1"/>
      <c r="H160" s="1"/>
    </row>
    <row r="161" spans="3:8" x14ac:dyDescent="0.2">
      <c r="C161" s="1"/>
      <c r="D161" s="1"/>
      <c r="E161" s="1"/>
      <c r="F161" s="1"/>
      <c r="G161" s="1"/>
      <c r="H161" s="1"/>
    </row>
    <row r="162" spans="3:8" x14ac:dyDescent="0.2">
      <c r="C162" s="1"/>
      <c r="D162" s="1"/>
      <c r="E162" s="1"/>
      <c r="F162" s="1"/>
      <c r="G162" s="1"/>
      <c r="H162" s="1"/>
    </row>
    <row r="163" spans="3:8" x14ac:dyDescent="0.2">
      <c r="C163" s="1"/>
      <c r="D163" s="1"/>
      <c r="E163" s="1"/>
      <c r="F163" s="1"/>
      <c r="G163" s="1"/>
      <c r="H163" s="1"/>
    </row>
    <row r="164" spans="3:8" x14ac:dyDescent="0.2">
      <c r="C164" s="1"/>
      <c r="D164" s="1"/>
      <c r="E164" s="1"/>
      <c r="F164" s="1"/>
      <c r="G164" s="1"/>
      <c r="H164" s="1"/>
    </row>
    <row r="165" spans="3:8" x14ac:dyDescent="0.2">
      <c r="C165" s="1"/>
      <c r="D165" s="1"/>
      <c r="E165" s="1"/>
      <c r="F165" s="1"/>
      <c r="G165" s="1"/>
      <c r="H165" s="1"/>
    </row>
    <row r="166" spans="3:8" x14ac:dyDescent="0.2">
      <c r="C166" s="1"/>
      <c r="D166" s="1"/>
      <c r="E166" s="1"/>
      <c r="F166" s="1"/>
      <c r="G166" s="1"/>
      <c r="H166" s="1"/>
    </row>
    <row r="167" spans="3:8" x14ac:dyDescent="0.2">
      <c r="C167" s="1"/>
      <c r="D167" s="1"/>
      <c r="E167" s="1"/>
      <c r="F167" s="1"/>
      <c r="G167" s="1"/>
      <c r="H167" s="1"/>
    </row>
  </sheetData>
  <dataConsolidate link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whole" allowBlank="1" showInputMessage="1" showErrorMessage="1" errorTitle="Número Incorrecto" error="Sólo se permite ingresar un dígito entre 0 y 9." sqref="D6" xr:uid="{00000000-0002-0000-0000-000002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4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5000000}">
      <formula1>0</formula1>
      <formula2>1</formula2>
    </dataValidation>
    <dataValidation type="list" allowBlank="1" showInputMessage="1" showErrorMessage="1" sqref="B4" xr:uid="{00000000-0002-0000-0000-000006000000}">
      <formula1>$AB$11:$AB$40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121920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A194"/>
  <sheetViews>
    <sheetView showGridLines="0" zoomScaleNormal="100" workbookViewId="0"/>
  </sheetViews>
  <sheetFormatPr baseColWidth="10" defaultColWidth="11.44140625" defaultRowHeight="13.8" x14ac:dyDescent="0.25"/>
  <cols>
    <col min="1" max="1" width="14.6640625" style="165" customWidth="1"/>
    <col min="2" max="2" width="50.6640625" style="165" customWidth="1"/>
    <col min="3" max="3" width="26" style="165" customWidth="1"/>
    <col min="4" max="4" width="12.44140625" style="165" customWidth="1"/>
    <col min="5" max="5" width="12.109375" style="165" customWidth="1"/>
    <col min="6" max="6" width="14.44140625" style="165" bestFit="1" customWidth="1"/>
    <col min="7" max="7" width="12.33203125" style="165" customWidth="1"/>
    <col min="8" max="8" width="11.44140625" style="165"/>
    <col min="9" max="9" width="11.5546875" style="165" customWidth="1"/>
    <col min="10" max="10" width="11.6640625" style="165" customWidth="1"/>
    <col min="11" max="11" width="11.33203125" style="165" customWidth="1"/>
    <col min="12" max="23" width="11.44140625" style="165"/>
    <col min="24" max="24" width="12.33203125" style="165" customWidth="1"/>
    <col min="25" max="37" width="11.44140625" style="165"/>
    <col min="38" max="38" width="13.44140625" style="165" customWidth="1"/>
    <col min="39" max="39" width="11.44140625" style="165" customWidth="1"/>
    <col min="40" max="40" width="12.44140625" style="165" customWidth="1"/>
    <col min="41" max="42" width="11.44140625" style="165"/>
    <col min="43" max="43" width="10.6640625" style="165" customWidth="1"/>
    <col min="44" max="47" width="11.44140625" style="165"/>
    <col min="48" max="48" width="9.44140625" style="165" customWidth="1"/>
    <col min="49" max="53" width="11.44140625" style="165"/>
    <col min="54" max="77" width="11.44140625" style="290"/>
    <col min="78" max="79" width="11.44140625" style="290" customWidth="1"/>
    <col min="80" max="105" width="11.44140625" style="1429" hidden="1" customWidth="1"/>
    <col min="106" max="131" width="11.44140625" style="3206" hidden="1" customWidth="1"/>
    <col min="132" max="16384" width="11.44140625" style="165"/>
  </cols>
  <sheetData>
    <row r="1" spans="1:121" ht="16.350000000000001" customHeight="1" x14ac:dyDescent="0.25">
      <c r="B1" s="150" t="s">
        <v>207</v>
      </c>
      <c r="C1" s="1430"/>
    </row>
    <row r="2" spans="1:121" ht="16.350000000000001" customHeight="1" x14ac:dyDescent="0.25">
      <c r="B2" s="150" t="str">
        <f>CONCATENATE("COMUNA: ",NOMBRE!B2," - ","( ",NOMBRE!C2,NOMBRE!D2,NOMBRE!E2,NOMBRE!F2,NOMBRE!G2," )")</f>
        <v>COMUNA:  - (  )</v>
      </c>
    </row>
    <row r="3" spans="1:121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</row>
    <row r="4" spans="1:121" ht="16.350000000000001" customHeight="1" x14ac:dyDescent="0.25">
      <c r="B4" s="150" t="str">
        <f>CONCATENATE("MES: ",NOMBRE!B6," - ","( ",NOMBRE!C6,NOMBRE!D6," )")</f>
        <v>MES:  - (  )</v>
      </c>
    </row>
    <row r="5" spans="1:121" ht="16.350000000000001" customHeight="1" x14ac:dyDescent="0.25">
      <c r="B5" s="150" t="str">
        <f>CONCATENATE("AÑO: ",NOMBRE!B7)</f>
        <v>AÑO: 2023</v>
      </c>
    </row>
    <row r="6" spans="1:121" ht="16.2" x14ac:dyDescent="0.25">
      <c r="B6" s="8629" t="s">
        <v>706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8629"/>
      <c r="P6" s="8629"/>
      <c r="Q6" s="8629"/>
      <c r="R6" s="594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94"/>
      <c r="AH6" s="594"/>
      <c r="AI6" s="594"/>
      <c r="AJ6" s="594"/>
      <c r="AK6" s="594"/>
      <c r="AL6" s="594"/>
      <c r="AM6" s="71"/>
      <c r="AN6" s="71"/>
      <c r="AO6" s="71"/>
      <c r="AP6" s="71"/>
      <c r="AQ6" s="71"/>
      <c r="AR6" s="71"/>
      <c r="AS6" s="71"/>
      <c r="AT6" s="71"/>
    </row>
    <row r="7" spans="1:121" ht="16.2" x14ac:dyDescent="0.25">
      <c r="B7" s="8629"/>
      <c r="C7" s="8629"/>
      <c r="D7" s="8629"/>
      <c r="E7" s="8629"/>
      <c r="F7" s="8629"/>
      <c r="G7" s="8629"/>
      <c r="H7" s="8629"/>
      <c r="I7" s="8629"/>
      <c r="J7" s="8629"/>
      <c r="K7" s="8629"/>
      <c r="L7" s="8629"/>
      <c r="M7" s="8629"/>
      <c r="N7" s="594"/>
      <c r="O7" s="594"/>
      <c r="P7" s="594"/>
      <c r="Q7" s="594"/>
      <c r="R7" s="594"/>
      <c r="S7" s="594"/>
      <c r="T7" s="594"/>
      <c r="U7" s="594"/>
      <c r="V7" s="594"/>
      <c r="W7" s="594"/>
      <c r="X7" s="594"/>
      <c r="Y7" s="594"/>
      <c r="Z7" s="594"/>
      <c r="AA7" s="594"/>
      <c r="AB7" s="594"/>
      <c r="AC7" s="594"/>
      <c r="AD7" s="594"/>
      <c r="AE7" s="594"/>
      <c r="AF7" s="594"/>
      <c r="AG7" s="594"/>
      <c r="AH7" s="594"/>
      <c r="AI7" s="594"/>
      <c r="AJ7" s="594"/>
      <c r="AK7" s="594"/>
      <c r="AL7" s="594"/>
      <c r="AM7" s="71"/>
      <c r="AN7" s="71"/>
      <c r="AO7" s="71"/>
      <c r="AP7" s="71"/>
      <c r="AQ7" s="71"/>
      <c r="AR7" s="71"/>
      <c r="AS7" s="71"/>
      <c r="AT7" s="71"/>
      <c r="AU7" s="140"/>
      <c r="AV7" s="140"/>
      <c r="AW7" s="140"/>
      <c r="AX7" s="140"/>
      <c r="AY7" s="140"/>
      <c r="AZ7" s="140"/>
      <c r="BA7" s="140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</row>
    <row r="8" spans="1:121" ht="16.2" x14ac:dyDescent="0.3">
      <c r="B8" s="499"/>
      <c r="C8" s="499"/>
      <c r="D8" s="499"/>
      <c r="E8" s="499"/>
      <c r="F8" s="499"/>
      <c r="G8" s="499"/>
      <c r="H8" s="499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</row>
    <row r="9" spans="1:121" ht="31.35" customHeight="1" x14ac:dyDescent="0.3">
      <c r="B9" s="72" t="s">
        <v>705</v>
      </c>
      <c r="C9" s="531"/>
      <c r="D9" s="531"/>
      <c r="E9" s="532"/>
      <c r="F9" s="531"/>
      <c r="G9" s="531"/>
      <c r="H9" s="531"/>
      <c r="I9" s="531"/>
      <c r="J9" s="531"/>
      <c r="K9" s="531"/>
      <c r="L9" s="531"/>
      <c r="M9" s="531"/>
      <c r="N9" s="531"/>
      <c r="O9" s="531"/>
      <c r="P9" s="531"/>
      <c r="Q9" s="531"/>
      <c r="R9" s="531"/>
      <c r="S9" s="531"/>
      <c r="T9" s="531"/>
      <c r="U9" s="531"/>
      <c r="V9" s="531"/>
      <c r="W9" s="499"/>
      <c r="X9" s="499"/>
      <c r="Y9" s="499"/>
      <c r="Z9" s="140"/>
    </row>
    <row r="10" spans="1:121" ht="19.5" customHeight="1" x14ac:dyDescent="0.25">
      <c r="B10" s="8616" t="s">
        <v>652</v>
      </c>
      <c r="C10" s="8616" t="s">
        <v>0</v>
      </c>
      <c r="D10" s="8583" t="s">
        <v>1</v>
      </c>
      <c r="E10" s="8630" t="s">
        <v>2</v>
      </c>
      <c r="F10" s="8631"/>
      <c r="G10" s="8631"/>
      <c r="H10" s="8631"/>
      <c r="I10" s="8631"/>
      <c r="J10" s="8631"/>
      <c r="K10" s="8631"/>
      <c r="L10" s="8631"/>
      <c r="M10" s="8631"/>
      <c r="N10" s="8631"/>
      <c r="O10" s="8631"/>
      <c r="P10" s="8631"/>
      <c r="Q10" s="8631"/>
      <c r="R10" s="8631"/>
      <c r="S10" s="8631"/>
      <c r="T10" s="8631"/>
      <c r="U10" s="8632"/>
      <c r="V10" s="8586" t="s">
        <v>22</v>
      </c>
      <c r="W10" s="8587"/>
      <c r="X10" s="8557" t="s">
        <v>704</v>
      </c>
      <c r="Y10" s="8583" t="s">
        <v>703</v>
      </c>
      <c r="Z10" s="8557" t="s">
        <v>3697</v>
      </c>
      <c r="AA10" s="8557" t="s">
        <v>2956</v>
      </c>
      <c r="AB10" s="8557" t="s">
        <v>2615</v>
      </c>
      <c r="AC10" s="8557" t="s">
        <v>362</v>
      </c>
      <c r="AD10" s="8554" t="s">
        <v>361</v>
      </c>
    </row>
    <row r="11" spans="1:121" ht="48" customHeight="1" x14ac:dyDescent="0.25">
      <c r="B11" s="8617"/>
      <c r="C11" s="8617"/>
      <c r="D11" s="8584"/>
      <c r="E11" s="3040" t="s">
        <v>2955</v>
      </c>
      <c r="F11" s="3147" t="s">
        <v>3460</v>
      </c>
      <c r="G11" s="3147" t="s">
        <v>3461</v>
      </c>
      <c r="H11" s="3148" t="s">
        <v>33</v>
      </c>
      <c r="I11" s="3149" t="s">
        <v>81</v>
      </c>
      <c r="J11" s="3149" t="s">
        <v>82</v>
      </c>
      <c r="K11" s="3149" t="s">
        <v>83</v>
      </c>
      <c r="L11" s="3149" t="s">
        <v>400</v>
      </c>
      <c r="M11" s="3149" t="s">
        <v>124</v>
      </c>
      <c r="N11" s="3149" t="s">
        <v>125</v>
      </c>
      <c r="O11" s="3149" t="s">
        <v>126</v>
      </c>
      <c r="P11" s="3149" t="s">
        <v>127</v>
      </c>
      <c r="Q11" s="3149" t="s">
        <v>128</v>
      </c>
      <c r="R11" s="3149" t="s">
        <v>129</v>
      </c>
      <c r="S11" s="3149" t="s">
        <v>130</v>
      </c>
      <c r="T11" s="3149" t="s">
        <v>131</v>
      </c>
      <c r="U11" s="3150" t="s">
        <v>1405</v>
      </c>
      <c r="V11" s="2423" t="s">
        <v>701</v>
      </c>
      <c r="W11" s="2410" t="s">
        <v>700</v>
      </c>
      <c r="X11" s="8576"/>
      <c r="Y11" s="8584"/>
      <c r="Z11" s="8576"/>
      <c r="AA11" s="8576"/>
      <c r="AB11" s="8576"/>
      <c r="AC11" s="8576"/>
      <c r="AD11" s="8585"/>
      <c r="AE11" s="290"/>
      <c r="AF11" s="290"/>
      <c r="AG11" s="290"/>
      <c r="AH11" s="290"/>
      <c r="AI11" s="290"/>
      <c r="AJ11" s="290"/>
      <c r="AK11" s="290"/>
      <c r="AL11" s="290"/>
      <c r="AM11" s="290"/>
      <c r="AN11" s="290"/>
      <c r="AO11" s="290"/>
      <c r="AP11" s="290"/>
      <c r="AQ11" s="290"/>
      <c r="AR11" s="290"/>
      <c r="AS11" s="290"/>
      <c r="AT11" s="290"/>
      <c r="AU11" s="290"/>
    </row>
    <row r="12" spans="1:121" ht="16.350000000000001" customHeight="1" x14ac:dyDescent="0.25">
      <c r="A12" s="7257" t="s">
        <v>3999</v>
      </c>
      <c r="B12" s="8583" t="s">
        <v>699</v>
      </c>
      <c r="C12" s="466" t="s">
        <v>2590</v>
      </c>
      <c r="D12" s="6933" t="s">
        <v>5369</v>
      </c>
      <c r="E12" s="1677" t="s">
        <v>5370</v>
      </c>
      <c r="F12" s="1731" t="s">
        <v>5371</v>
      </c>
      <c r="G12" s="78" t="s">
        <v>5372</v>
      </c>
      <c r="H12" s="78" t="s">
        <v>5373</v>
      </c>
      <c r="I12" s="78" t="s">
        <v>5374</v>
      </c>
      <c r="J12" s="78" t="s">
        <v>5375</v>
      </c>
      <c r="K12" s="78" t="s">
        <v>5376</v>
      </c>
      <c r="L12" s="78" t="s">
        <v>5377</v>
      </c>
      <c r="M12" s="78" t="s">
        <v>5378</v>
      </c>
      <c r="N12" s="78" t="s">
        <v>5379</v>
      </c>
      <c r="O12" s="78" t="s">
        <v>5380</v>
      </c>
      <c r="P12" s="78" t="s">
        <v>5381</v>
      </c>
      <c r="Q12" s="79" t="s">
        <v>5382</v>
      </c>
      <c r="R12" s="79" t="s">
        <v>5383</v>
      </c>
      <c r="S12" s="79" t="s">
        <v>5384</v>
      </c>
      <c r="T12" s="79" t="s">
        <v>5385</v>
      </c>
      <c r="U12" s="513" t="s">
        <v>5386</v>
      </c>
      <c r="V12" s="2421" t="s">
        <v>5387</v>
      </c>
      <c r="W12" s="2409" t="s">
        <v>5388</v>
      </c>
      <c r="X12" s="2426" t="s">
        <v>5389</v>
      </c>
      <c r="Y12" s="530" t="s">
        <v>5390</v>
      </c>
      <c r="Z12" s="2422" t="s">
        <v>5391</v>
      </c>
      <c r="AA12" s="2422" t="s">
        <v>5392</v>
      </c>
      <c r="AB12" s="2422" t="s">
        <v>5393</v>
      </c>
      <c r="AC12" s="2422" t="s">
        <v>5394</v>
      </c>
      <c r="AD12" s="1882" t="s">
        <v>5395</v>
      </c>
      <c r="AE12" s="1471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290"/>
      <c r="AQ12" s="290"/>
      <c r="AR12" s="290"/>
      <c r="AS12" s="290"/>
      <c r="AT12" s="290"/>
      <c r="AU12" s="290"/>
      <c r="CA12" s="1438" t="s">
        <v>5423</v>
      </c>
      <c r="CB12" s="1518"/>
      <c r="CC12" s="1518"/>
      <c r="DA12" s="1429">
        <v>1</v>
      </c>
      <c r="DB12" s="3206">
        <v>0</v>
      </c>
      <c r="DE12" s="3206">
        <v>0</v>
      </c>
      <c r="DF12" s="3206">
        <v>0</v>
      </c>
      <c r="DG12" s="3206">
        <v>0</v>
      </c>
      <c r="DH12" s="3206">
        <v>0</v>
      </c>
      <c r="DI12" s="3206">
        <v>0</v>
      </c>
      <c r="DJ12" s="3206">
        <v>0</v>
      </c>
      <c r="DK12" s="3206">
        <v>0</v>
      </c>
      <c r="DL12" s="3206">
        <v>0</v>
      </c>
      <c r="DM12" s="3206">
        <v>0</v>
      </c>
      <c r="DN12" s="3206">
        <v>0</v>
      </c>
      <c r="DO12" s="3206">
        <v>0</v>
      </c>
      <c r="DP12" s="3206">
        <v>0</v>
      </c>
      <c r="DQ12" s="3206">
        <v>0</v>
      </c>
    </row>
    <row r="13" spans="1:121" ht="16.350000000000001" customHeight="1" x14ac:dyDescent="0.25">
      <c r="A13" s="7258" t="s">
        <v>4000</v>
      </c>
      <c r="B13" s="8617"/>
      <c r="C13" s="81" t="s">
        <v>2591</v>
      </c>
      <c r="D13" s="6934" t="s">
        <v>5369</v>
      </c>
      <c r="E13" s="1679" t="s">
        <v>5370</v>
      </c>
      <c r="F13" s="1732" t="s">
        <v>5371</v>
      </c>
      <c r="G13" s="83" t="s">
        <v>5372</v>
      </c>
      <c r="H13" s="83" t="s">
        <v>5373</v>
      </c>
      <c r="I13" s="83" t="s">
        <v>5374</v>
      </c>
      <c r="J13" s="83" t="s">
        <v>5375</v>
      </c>
      <c r="K13" s="83" t="s">
        <v>5376</v>
      </c>
      <c r="L13" s="83" t="s">
        <v>5377</v>
      </c>
      <c r="M13" s="83" t="s">
        <v>5378</v>
      </c>
      <c r="N13" s="83" t="s">
        <v>5379</v>
      </c>
      <c r="O13" s="83" t="s">
        <v>5380</v>
      </c>
      <c r="P13" s="83" t="s">
        <v>5381</v>
      </c>
      <c r="Q13" s="1686" t="s">
        <v>5382</v>
      </c>
      <c r="R13" s="1686" t="s">
        <v>5383</v>
      </c>
      <c r="S13" s="1686" t="s">
        <v>5384</v>
      </c>
      <c r="T13" s="1686" t="s">
        <v>5385</v>
      </c>
      <c r="U13" s="1744" t="s">
        <v>5386</v>
      </c>
      <c r="V13" s="2418" t="s">
        <v>5387</v>
      </c>
      <c r="W13" s="2063" t="s">
        <v>5388</v>
      </c>
      <c r="X13" s="2412" t="s">
        <v>5389</v>
      </c>
      <c r="Y13" s="497" t="s">
        <v>5390</v>
      </c>
      <c r="Z13" s="2041" t="s">
        <v>5391</v>
      </c>
      <c r="AA13" s="2041" t="s">
        <v>5392</v>
      </c>
      <c r="AB13" s="2041" t="s">
        <v>5393</v>
      </c>
      <c r="AC13" s="2041" t="s">
        <v>5394</v>
      </c>
      <c r="AD13" s="2419" t="s">
        <v>5395</v>
      </c>
      <c r="AE13" s="1471"/>
      <c r="AF13" s="806"/>
      <c r="AG13" s="806"/>
      <c r="AH13" s="806"/>
      <c r="AI13" s="806"/>
      <c r="AJ13" s="806"/>
      <c r="AK13" s="806"/>
      <c r="AL13" s="806"/>
      <c r="AM13" s="806"/>
      <c r="AN13" s="806"/>
      <c r="AO13" s="806"/>
      <c r="AP13" s="290"/>
      <c r="AQ13" s="290"/>
      <c r="AR13" s="290"/>
      <c r="AS13" s="290"/>
      <c r="AT13" s="290"/>
      <c r="AU13" s="290"/>
      <c r="CA13" s="1438"/>
      <c r="CC13" s="1518"/>
      <c r="DB13" s="3206">
        <v>0</v>
      </c>
      <c r="DF13" s="3206">
        <v>0</v>
      </c>
      <c r="DG13" s="3206">
        <v>0</v>
      </c>
      <c r="DH13" s="3206">
        <v>0</v>
      </c>
      <c r="DI13" s="3206">
        <v>0</v>
      </c>
      <c r="DJ13" s="3206">
        <v>0</v>
      </c>
      <c r="DK13" s="3206">
        <v>0</v>
      </c>
      <c r="DL13" s="3206">
        <v>0</v>
      </c>
      <c r="DM13" s="3206">
        <v>0</v>
      </c>
      <c r="DN13" s="3206">
        <v>0</v>
      </c>
      <c r="DO13" s="3206">
        <v>0</v>
      </c>
      <c r="DP13" s="3206">
        <v>0</v>
      </c>
      <c r="DQ13" s="3206">
        <v>0</v>
      </c>
    </row>
    <row r="14" spans="1:121" ht="16.350000000000001" customHeight="1" x14ac:dyDescent="0.25">
      <c r="A14" s="7258" t="s">
        <v>4001</v>
      </c>
      <c r="B14" s="8583" t="s">
        <v>698</v>
      </c>
      <c r="C14" s="466" t="s">
        <v>2590</v>
      </c>
      <c r="D14" s="88" t="s">
        <v>5369</v>
      </c>
      <c r="E14" s="1674" t="s">
        <v>5370</v>
      </c>
      <c r="F14" s="1733" t="s">
        <v>5371</v>
      </c>
      <c r="G14" s="78" t="s">
        <v>5372</v>
      </c>
      <c r="H14" s="78" t="s">
        <v>5373</v>
      </c>
      <c r="I14" s="78" t="s">
        <v>5374</v>
      </c>
      <c r="J14" s="78" t="s">
        <v>5375</v>
      </c>
      <c r="K14" s="78" t="s">
        <v>5376</v>
      </c>
      <c r="L14" s="78" t="s">
        <v>5377</v>
      </c>
      <c r="M14" s="78" t="s">
        <v>5378</v>
      </c>
      <c r="N14" s="78" t="s">
        <v>5379</v>
      </c>
      <c r="O14" s="89" t="s">
        <v>5380</v>
      </c>
      <c r="P14" s="89" t="s">
        <v>5381</v>
      </c>
      <c r="Q14" s="1783" t="s">
        <v>5382</v>
      </c>
      <c r="R14" s="1783" t="s">
        <v>5383</v>
      </c>
      <c r="S14" s="1783" t="s">
        <v>5384</v>
      </c>
      <c r="T14" s="1783" t="s">
        <v>5385</v>
      </c>
      <c r="U14" s="1681" t="s">
        <v>5386</v>
      </c>
      <c r="V14" s="2416" t="s">
        <v>5387</v>
      </c>
      <c r="W14" s="2413" t="s">
        <v>5388</v>
      </c>
      <c r="X14" s="2422" t="s">
        <v>5389</v>
      </c>
      <c r="Y14" s="523" t="s">
        <v>5390</v>
      </c>
      <c r="Z14" s="1810" t="s">
        <v>5391</v>
      </c>
      <c r="AA14" s="1150" t="s">
        <v>5392</v>
      </c>
      <c r="AB14" s="1150" t="s">
        <v>5393</v>
      </c>
      <c r="AC14" s="1150" t="s">
        <v>5394</v>
      </c>
      <c r="AD14" s="202" t="s">
        <v>5395</v>
      </c>
      <c r="AE14" s="1471"/>
      <c r="AF14" s="806"/>
      <c r="AG14" s="806"/>
      <c r="AH14" s="806"/>
      <c r="AI14" s="806"/>
      <c r="AJ14" s="806"/>
      <c r="AK14" s="806"/>
      <c r="AL14" s="806"/>
      <c r="AM14" s="806"/>
      <c r="AN14" s="806"/>
      <c r="AO14" s="806"/>
      <c r="AP14" s="290"/>
      <c r="AQ14" s="290"/>
      <c r="AR14" s="290"/>
      <c r="AS14" s="290"/>
      <c r="AT14" s="290"/>
      <c r="AU14" s="290"/>
      <c r="CA14" s="1438"/>
      <c r="CC14" s="1518"/>
      <c r="CE14" s="1518"/>
      <c r="DB14" s="3206">
        <v>0</v>
      </c>
      <c r="DC14" s="3206">
        <v>0</v>
      </c>
      <c r="DF14" s="3206">
        <v>0</v>
      </c>
      <c r="DG14" s="3206">
        <v>0</v>
      </c>
      <c r="DH14" s="3206">
        <v>0</v>
      </c>
      <c r="DI14" s="3206">
        <v>0</v>
      </c>
      <c r="DJ14" s="3206">
        <v>0</v>
      </c>
      <c r="DK14" s="3206">
        <v>0</v>
      </c>
      <c r="DL14" s="3206">
        <v>0</v>
      </c>
      <c r="DM14" s="3206">
        <v>0</v>
      </c>
      <c r="DN14" s="3206">
        <v>0</v>
      </c>
      <c r="DO14" s="3206">
        <v>0</v>
      </c>
      <c r="DP14" s="3206">
        <v>0</v>
      </c>
      <c r="DQ14" s="3206">
        <v>0</v>
      </c>
    </row>
    <row r="15" spans="1:121" ht="16.350000000000001" customHeight="1" x14ac:dyDescent="0.25">
      <c r="A15" s="7258" t="s">
        <v>4002</v>
      </c>
      <c r="B15" s="8555"/>
      <c r="C15" s="92" t="s">
        <v>2591</v>
      </c>
      <c r="D15" s="529" t="s">
        <v>5369</v>
      </c>
      <c r="E15" s="1692" t="s">
        <v>5370</v>
      </c>
      <c r="F15" s="1734" t="s">
        <v>5371</v>
      </c>
      <c r="G15" s="94" t="s">
        <v>5372</v>
      </c>
      <c r="H15" s="94" t="s">
        <v>5373</v>
      </c>
      <c r="I15" s="94" t="s">
        <v>5374</v>
      </c>
      <c r="J15" s="94" t="s">
        <v>5375</v>
      </c>
      <c r="K15" s="94" t="s">
        <v>5376</v>
      </c>
      <c r="L15" s="94" t="s">
        <v>5377</v>
      </c>
      <c r="M15" s="94" t="s">
        <v>5378</v>
      </c>
      <c r="N15" s="94" t="s">
        <v>5379</v>
      </c>
      <c r="O15" s="485" t="s">
        <v>5380</v>
      </c>
      <c r="P15" s="485" t="s">
        <v>5381</v>
      </c>
      <c r="Q15" s="1686" t="s">
        <v>5382</v>
      </c>
      <c r="R15" s="1686" t="s">
        <v>5383</v>
      </c>
      <c r="S15" s="1686" t="s">
        <v>5384</v>
      </c>
      <c r="T15" s="1686" t="s">
        <v>5385</v>
      </c>
      <c r="U15" s="1619" t="s">
        <v>5386</v>
      </c>
      <c r="V15" s="1671" t="s">
        <v>5387</v>
      </c>
      <c r="W15" s="2063" t="s">
        <v>5388</v>
      </c>
      <c r="X15" s="2041" t="s">
        <v>5389</v>
      </c>
      <c r="Y15" s="497" t="s">
        <v>5390</v>
      </c>
      <c r="Z15" s="3208" t="s">
        <v>5391</v>
      </c>
      <c r="AA15" s="2041" t="s">
        <v>5392</v>
      </c>
      <c r="AB15" s="2041" t="s">
        <v>5393</v>
      </c>
      <c r="AC15" s="2041" t="s">
        <v>5394</v>
      </c>
      <c r="AD15" s="2419" t="s">
        <v>5395</v>
      </c>
      <c r="AE15" s="1471"/>
      <c r="AF15" s="806"/>
      <c r="AG15" s="806"/>
      <c r="AH15" s="806"/>
      <c r="AI15" s="806"/>
      <c r="AJ15" s="806"/>
      <c r="AK15" s="806"/>
      <c r="AL15" s="806"/>
      <c r="AM15" s="806"/>
      <c r="AN15" s="806"/>
      <c r="AO15" s="806"/>
      <c r="AP15" s="290"/>
      <c r="AQ15" s="1569"/>
      <c r="AR15" s="290"/>
      <c r="AS15" s="290"/>
      <c r="AT15" s="290"/>
      <c r="AU15" s="290"/>
      <c r="CA15" s="1438"/>
      <c r="CC15" s="1518"/>
      <c r="CE15" s="1518"/>
      <c r="DB15" s="3206">
        <v>0</v>
      </c>
      <c r="DC15" s="3206">
        <v>0</v>
      </c>
      <c r="DF15" s="3206">
        <v>0</v>
      </c>
      <c r="DG15" s="3206">
        <v>0</v>
      </c>
      <c r="DH15" s="3206">
        <v>0</v>
      </c>
      <c r="DI15" s="3206">
        <v>0</v>
      </c>
      <c r="DJ15" s="3206">
        <v>0</v>
      </c>
      <c r="DK15" s="3206">
        <v>0</v>
      </c>
      <c r="DL15" s="3206">
        <v>0</v>
      </c>
      <c r="DM15" s="3206">
        <v>0</v>
      </c>
      <c r="DN15" s="3206">
        <v>0</v>
      </c>
      <c r="DO15" s="3206">
        <v>0</v>
      </c>
      <c r="DP15" s="3206">
        <v>0</v>
      </c>
      <c r="DQ15" s="3206">
        <v>0</v>
      </c>
    </row>
    <row r="16" spans="1:121" ht="16.350000000000001" customHeight="1" x14ac:dyDescent="0.25">
      <c r="A16" s="7258" t="s">
        <v>4003</v>
      </c>
      <c r="B16" s="8583" t="s">
        <v>2206</v>
      </c>
      <c r="C16" s="466" t="s">
        <v>2590</v>
      </c>
      <c r="D16" s="470" t="s">
        <v>5369</v>
      </c>
      <c r="E16" s="1677" t="s">
        <v>5370</v>
      </c>
      <c r="F16" s="1731" t="s">
        <v>5371</v>
      </c>
      <c r="G16" s="89" t="s">
        <v>5372</v>
      </c>
      <c r="H16" s="89" t="s">
        <v>5373</v>
      </c>
      <c r="I16" s="89" t="s">
        <v>5374</v>
      </c>
      <c r="J16" s="89" t="s">
        <v>5375</v>
      </c>
      <c r="K16" s="89" t="s">
        <v>5376</v>
      </c>
      <c r="L16" s="89" t="s">
        <v>5377</v>
      </c>
      <c r="M16" s="89" t="s">
        <v>5378</v>
      </c>
      <c r="N16" s="89" t="s">
        <v>5379</v>
      </c>
      <c r="O16" s="89" t="s">
        <v>5380</v>
      </c>
      <c r="P16" s="89" t="s">
        <v>5381</v>
      </c>
      <c r="Q16" s="1783" t="s">
        <v>5382</v>
      </c>
      <c r="R16" s="1783" t="s">
        <v>5383</v>
      </c>
      <c r="S16" s="1783" t="s">
        <v>5384</v>
      </c>
      <c r="T16" s="1783" t="s">
        <v>5385</v>
      </c>
      <c r="U16" s="1784" t="s">
        <v>5386</v>
      </c>
      <c r="V16" s="2424" t="s">
        <v>5387</v>
      </c>
      <c r="W16" s="2413" t="s">
        <v>5388</v>
      </c>
      <c r="X16" s="2427" t="s">
        <v>5389</v>
      </c>
      <c r="Y16" s="523" t="s">
        <v>5390</v>
      </c>
      <c r="Z16" s="1810" t="s">
        <v>5391</v>
      </c>
      <c r="AA16" s="1150" t="s">
        <v>5392</v>
      </c>
      <c r="AB16" s="1150" t="s">
        <v>5393</v>
      </c>
      <c r="AC16" s="1150" t="s">
        <v>5394</v>
      </c>
      <c r="AD16" s="202" t="s">
        <v>5395</v>
      </c>
      <c r="AE16" s="1471"/>
      <c r="AF16" s="806"/>
      <c r="AG16" s="806"/>
      <c r="AH16" s="806"/>
      <c r="AI16" s="806"/>
      <c r="AJ16" s="806"/>
      <c r="AK16" s="806"/>
      <c r="AL16" s="806"/>
      <c r="AM16" s="806"/>
      <c r="AN16" s="806"/>
      <c r="AO16" s="806"/>
      <c r="AP16" s="290"/>
      <c r="AQ16" s="290"/>
      <c r="AR16" s="290"/>
      <c r="AS16" s="290"/>
      <c r="AT16" s="290"/>
      <c r="AU16" s="290"/>
      <c r="CA16" s="1438"/>
      <c r="CC16" s="1518"/>
      <c r="DB16" s="3206">
        <v>0</v>
      </c>
      <c r="DF16" s="3206">
        <v>0</v>
      </c>
      <c r="DG16" s="3206">
        <v>0</v>
      </c>
      <c r="DH16" s="3206">
        <v>0</v>
      </c>
      <c r="DI16" s="3206">
        <v>0</v>
      </c>
      <c r="DJ16" s="3206">
        <v>0</v>
      </c>
      <c r="DK16" s="3206">
        <v>0</v>
      </c>
      <c r="DL16" s="3206">
        <v>0</v>
      </c>
      <c r="DM16" s="3206">
        <v>0</v>
      </c>
      <c r="DN16" s="3206">
        <v>0</v>
      </c>
      <c r="DO16" s="3206">
        <v>0</v>
      </c>
      <c r="DP16" s="3206">
        <v>0</v>
      </c>
      <c r="DQ16" s="3206">
        <v>0</v>
      </c>
    </row>
    <row r="17" spans="1:121" ht="16.350000000000001" customHeight="1" x14ac:dyDescent="0.25">
      <c r="A17" s="7258" t="s">
        <v>4004</v>
      </c>
      <c r="B17" s="8584"/>
      <c r="C17" s="81" t="s">
        <v>2591</v>
      </c>
      <c r="D17" s="471" t="s">
        <v>5369</v>
      </c>
      <c r="E17" s="1679" t="s">
        <v>5370</v>
      </c>
      <c r="F17" s="1732" t="s">
        <v>5371</v>
      </c>
      <c r="G17" s="485" t="s">
        <v>5372</v>
      </c>
      <c r="H17" s="485" t="s">
        <v>5373</v>
      </c>
      <c r="I17" s="485" t="s">
        <v>5374</v>
      </c>
      <c r="J17" s="485" t="s">
        <v>5375</v>
      </c>
      <c r="K17" s="485" t="s">
        <v>5376</v>
      </c>
      <c r="L17" s="485" t="s">
        <v>5377</v>
      </c>
      <c r="M17" s="485" t="s">
        <v>5378</v>
      </c>
      <c r="N17" s="485" t="s">
        <v>5379</v>
      </c>
      <c r="O17" s="83" t="s">
        <v>5380</v>
      </c>
      <c r="P17" s="83" t="s">
        <v>5381</v>
      </c>
      <c r="Q17" s="1686" t="s">
        <v>5382</v>
      </c>
      <c r="R17" s="1686" t="s">
        <v>5383</v>
      </c>
      <c r="S17" s="1686" t="s">
        <v>5384</v>
      </c>
      <c r="T17" s="1686" t="s">
        <v>5385</v>
      </c>
      <c r="U17" s="1744" t="s">
        <v>5386</v>
      </c>
      <c r="V17" s="2417" t="s">
        <v>5387</v>
      </c>
      <c r="W17" s="2063" t="s">
        <v>5388</v>
      </c>
      <c r="X17" s="2412" t="s">
        <v>5389</v>
      </c>
      <c r="Y17" s="497" t="s">
        <v>5390</v>
      </c>
      <c r="Z17" s="3208" t="s">
        <v>5391</v>
      </c>
      <c r="AA17" s="2041" t="s">
        <v>5392</v>
      </c>
      <c r="AB17" s="2041" t="s">
        <v>5393</v>
      </c>
      <c r="AC17" s="2041" t="s">
        <v>5394</v>
      </c>
      <c r="AD17" s="2419" t="s">
        <v>5395</v>
      </c>
      <c r="AE17" s="1471"/>
      <c r="AF17" s="806"/>
      <c r="AG17" s="806"/>
      <c r="AH17" s="806"/>
      <c r="AI17" s="806"/>
      <c r="AJ17" s="806"/>
      <c r="AK17" s="806"/>
      <c r="AL17" s="806"/>
      <c r="AM17" s="806"/>
      <c r="AN17" s="806"/>
      <c r="AO17" s="806"/>
      <c r="AP17" s="290"/>
      <c r="AQ17" s="290"/>
      <c r="AR17" s="290"/>
      <c r="AS17" s="290"/>
      <c r="AT17" s="290"/>
      <c r="AU17" s="290"/>
      <c r="CA17" s="1438"/>
      <c r="CC17" s="1518"/>
      <c r="DB17" s="3206">
        <v>0</v>
      </c>
      <c r="DF17" s="3206">
        <v>0</v>
      </c>
      <c r="DG17" s="3206">
        <v>0</v>
      </c>
      <c r="DH17" s="3206">
        <v>0</v>
      </c>
      <c r="DI17" s="3206">
        <v>0</v>
      </c>
      <c r="DJ17" s="3206">
        <v>0</v>
      </c>
      <c r="DK17" s="3206">
        <v>0</v>
      </c>
      <c r="DL17" s="3206">
        <v>0</v>
      </c>
      <c r="DM17" s="3206">
        <v>0</v>
      </c>
      <c r="DN17" s="3206">
        <v>0</v>
      </c>
      <c r="DO17" s="3206">
        <v>0</v>
      </c>
      <c r="DP17" s="3206">
        <v>0</v>
      </c>
      <c r="DQ17" s="3206">
        <v>0</v>
      </c>
    </row>
    <row r="18" spans="1:121" ht="16.350000000000001" customHeight="1" x14ac:dyDescent="0.25">
      <c r="A18" s="7258" t="s">
        <v>4005</v>
      </c>
      <c r="B18" s="8583" t="s">
        <v>2207</v>
      </c>
      <c r="C18" s="466" t="s">
        <v>2590</v>
      </c>
      <c r="D18" s="470" t="s">
        <v>5369</v>
      </c>
      <c r="E18" s="1677" t="s">
        <v>5370</v>
      </c>
      <c r="F18" s="1731" t="s">
        <v>5371</v>
      </c>
      <c r="G18" s="89" t="s">
        <v>5372</v>
      </c>
      <c r="H18" s="89" t="s">
        <v>5373</v>
      </c>
      <c r="I18" s="89" t="s">
        <v>5374</v>
      </c>
      <c r="J18" s="89" t="s">
        <v>5375</v>
      </c>
      <c r="K18" s="89" t="s">
        <v>5376</v>
      </c>
      <c r="L18" s="89" t="s">
        <v>5377</v>
      </c>
      <c r="M18" s="89" t="s">
        <v>5378</v>
      </c>
      <c r="N18" s="89" t="s">
        <v>5379</v>
      </c>
      <c r="O18" s="89" t="s">
        <v>5380</v>
      </c>
      <c r="P18" s="89" t="s">
        <v>5381</v>
      </c>
      <c r="Q18" s="1680" t="s">
        <v>5382</v>
      </c>
      <c r="R18" s="1680" t="s">
        <v>5383</v>
      </c>
      <c r="S18" s="1680" t="s">
        <v>5384</v>
      </c>
      <c r="T18" s="1680" t="s">
        <v>5385</v>
      </c>
      <c r="U18" s="1784" t="s">
        <v>5386</v>
      </c>
      <c r="V18" s="1671" t="s">
        <v>5387</v>
      </c>
      <c r="W18" s="716" t="s">
        <v>5388</v>
      </c>
      <c r="X18" s="1672" t="s">
        <v>5389</v>
      </c>
      <c r="Y18" s="572" t="s">
        <v>5390</v>
      </c>
      <c r="Z18" s="1810" t="s">
        <v>5391</v>
      </c>
      <c r="AA18" s="1150" t="s">
        <v>5392</v>
      </c>
      <c r="AB18" s="1150" t="s">
        <v>5393</v>
      </c>
      <c r="AC18" s="1150" t="s">
        <v>5394</v>
      </c>
      <c r="AD18" s="202" t="s">
        <v>5395</v>
      </c>
      <c r="AE18" s="1471"/>
      <c r="AF18" s="806"/>
      <c r="AG18" s="806"/>
      <c r="AH18" s="806"/>
      <c r="AI18" s="806"/>
      <c r="AJ18" s="806"/>
      <c r="AK18" s="806"/>
      <c r="AL18" s="806"/>
      <c r="AM18" s="806"/>
      <c r="AN18" s="806"/>
      <c r="AO18" s="806"/>
      <c r="AP18" s="290"/>
      <c r="AQ18" s="290"/>
      <c r="AR18" s="290"/>
      <c r="AS18" s="290"/>
      <c r="AT18" s="290"/>
      <c r="AU18" s="290"/>
      <c r="CA18" s="1438"/>
      <c r="CC18" s="1518"/>
      <c r="DB18" s="3206">
        <v>0</v>
      </c>
      <c r="DF18" s="3206">
        <v>0</v>
      </c>
      <c r="DG18" s="3206">
        <v>0</v>
      </c>
      <c r="DH18" s="3206">
        <v>0</v>
      </c>
      <c r="DI18" s="3206">
        <v>0</v>
      </c>
      <c r="DJ18" s="3206">
        <v>0</v>
      </c>
      <c r="DK18" s="3206">
        <v>0</v>
      </c>
      <c r="DL18" s="3206">
        <v>0</v>
      </c>
      <c r="DM18" s="3206">
        <v>0</v>
      </c>
      <c r="DN18" s="3206">
        <v>0</v>
      </c>
      <c r="DO18" s="3206">
        <v>0</v>
      </c>
      <c r="DP18" s="3206">
        <v>0</v>
      </c>
      <c r="DQ18" s="3206">
        <v>0</v>
      </c>
    </row>
    <row r="19" spans="1:121" ht="16.350000000000001" customHeight="1" x14ac:dyDescent="0.25">
      <c r="A19" s="7258" t="s">
        <v>4006</v>
      </c>
      <c r="B19" s="8584"/>
      <c r="C19" s="81" t="s">
        <v>2591</v>
      </c>
      <c r="D19" s="471" t="s">
        <v>5369</v>
      </c>
      <c r="E19" s="1679" t="s">
        <v>5370</v>
      </c>
      <c r="F19" s="1732" t="s">
        <v>5371</v>
      </c>
      <c r="G19" s="485" t="s">
        <v>5372</v>
      </c>
      <c r="H19" s="485" t="s">
        <v>5373</v>
      </c>
      <c r="I19" s="485" t="s">
        <v>5374</v>
      </c>
      <c r="J19" s="485" t="s">
        <v>5375</v>
      </c>
      <c r="K19" s="485" t="s">
        <v>5376</v>
      </c>
      <c r="L19" s="485" t="s">
        <v>5377</v>
      </c>
      <c r="M19" s="485" t="s">
        <v>5378</v>
      </c>
      <c r="N19" s="485" t="s">
        <v>5379</v>
      </c>
      <c r="O19" s="83" t="s">
        <v>5380</v>
      </c>
      <c r="P19" s="83" t="s">
        <v>5381</v>
      </c>
      <c r="Q19" s="1686" t="s">
        <v>5382</v>
      </c>
      <c r="R19" s="1686" t="s">
        <v>5383</v>
      </c>
      <c r="S19" s="1686" t="s">
        <v>5384</v>
      </c>
      <c r="T19" s="1686" t="s">
        <v>5385</v>
      </c>
      <c r="U19" s="1744" t="s">
        <v>5386</v>
      </c>
      <c r="V19" s="2417" t="s">
        <v>5387</v>
      </c>
      <c r="W19" s="2425" t="s">
        <v>5388</v>
      </c>
      <c r="X19" s="2414" t="s">
        <v>5389</v>
      </c>
      <c r="Y19" s="1737" t="s">
        <v>5390</v>
      </c>
      <c r="Z19" s="3208" t="s">
        <v>5391</v>
      </c>
      <c r="AA19" s="2041" t="s">
        <v>5392</v>
      </c>
      <c r="AB19" s="2041" t="s">
        <v>5393</v>
      </c>
      <c r="AC19" s="2041" t="s">
        <v>5394</v>
      </c>
      <c r="AD19" s="2419" t="s">
        <v>5395</v>
      </c>
      <c r="AE19" s="1471"/>
      <c r="AF19" s="806"/>
      <c r="AG19" s="806"/>
      <c r="AH19" s="806"/>
      <c r="AI19" s="806"/>
      <c r="AJ19" s="806"/>
      <c r="AK19" s="806"/>
      <c r="AL19" s="806"/>
      <c r="AM19" s="806"/>
      <c r="AN19" s="806"/>
      <c r="AO19" s="806"/>
      <c r="AP19" s="290"/>
      <c r="AQ19" s="290"/>
      <c r="AR19" s="290"/>
      <c r="AS19" s="290"/>
      <c r="AT19" s="290"/>
      <c r="AU19" s="290"/>
      <c r="CA19" s="1438"/>
      <c r="CC19" s="1518"/>
      <c r="DB19" s="3206">
        <v>0</v>
      </c>
      <c r="DF19" s="3206">
        <v>0</v>
      </c>
      <c r="DG19" s="3206">
        <v>0</v>
      </c>
      <c r="DH19" s="3206">
        <v>0</v>
      </c>
      <c r="DI19" s="3206">
        <v>0</v>
      </c>
      <c r="DJ19" s="3206">
        <v>0</v>
      </c>
      <c r="DK19" s="3206">
        <v>0</v>
      </c>
      <c r="DL19" s="3206">
        <v>0</v>
      </c>
      <c r="DM19" s="3206">
        <v>0</v>
      </c>
      <c r="DN19" s="3206">
        <v>0</v>
      </c>
      <c r="DO19" s="3206">
        <v>0</v>
      </c>
      <c r="DP19" s="3206">
        <v>0</v>
      </c>
      <c r="DQ19" s="3206">
        <v>0</v>
      </c>
    </row>
    <row r="20" spans="1:121" ht="16.350000000000001" customHeight="1" x14ac:dyDescent="0.25">
      <c r="A20" s="7258" t="s">
        <v>4007</v>
      </c>
      <c r="B20" s="8555" t="s">
        <v>697</v>
      </c>
      <c r="C20" s="466" t="s">
        <v>2590</v>
      </c>
      <c r="D20" s="1673" t="s">
        <v>5369</v>
      </c>
      <c r="E20" s="1674" t="s">
        <v>5370</v>
      </c>
      <c r="F20" s="1733" t="s">
        <v>5371</v>
      </c>
      <c r="G20" s="1669" t="s">
        <v>5372</v>
      </c>
      <c r="H20" s="1669" t="s">
        <v>5373</v>
      </c>
      <c r="I20" s="1669" t="s">
        <v>5374</v>
      </c>
      <c r="J20" s="1669" t="s">
        <v>5375</v>
      </c>
      <c r="K20" s="1669" t="s">
        <v>5376</v>
      </c>
      <c r="L20" s="1669" t="s">
        <v>5377</v>
      </c>
      <c r="M20" s="1669" t="s">
        <v>5378</v>
      </c>
      <c r="N20" s="1669" t="s">
        <v>5379</v>
      </c>
      <c r="O20" s="1669" t="s">
        <v>5380</v>
      </c>
      <c r="P20" s="1669" t="s">
        <v>5381</v>
      </c>
      <c r="Q20" s="1680" t="s">
        <v>5382</v>
      </c>
      <c r="R20" s="1680" t="s">
        <v>5383</v>
      </c>
      <c r="S20" s="1680" t="s">
        <v>5384</v>
      </c>
      <c r="T20" s="1680" t="s">
        <v>5385</v>
      </c>
      <c r="U20" s="1681" t="s">
        <v>5386</v>
      </c>
      <c r="V20" s="2416" t="s">
        <v>5387</v>
      </c>
      <c r="W20" s="2413" t="s">
        <v>5388</v>
      </c>
      <c r="X20" s="91" t="s">
        <v>5389</v>
      </c>
      <c r="Y20" s="91" t="s">
        <v>5390</v>
      </c>
      <c r="Z20" s="1810" t="s">
        <v>5391</v>
      </c>
      <c r="AA20" s="1150" t="s">
        <v>5392</v>
      </c>
      <c r="AB20" s="1150" t="s">
        <v>5393</v>
      </c>
      <c r="AC20" s="1150" t="s">
        <v>5394</v>
      </c>
      <c r="AD20" s="202" t="s">
        <v>5395</v>
      </c>
      <c r="AE20" s="1471"/>
      <c r="AF20" s="806"/>
      <c r="AG20" s="806"/>
      <c r="AH20" s="806"/>
      <c r="AI20" s="806"/>
      <c r="AJ20" s="806"/>
      <c r="AK20" s="806"/>
      <c r="AL20" s="806"/>
      <c r="AM20" s="806"/>
      <c r="AN20" s="806"/>
      <c r="AO20" s="806"/>
      <c r="AP20" s="290"/>
      <c r="AQ20" s="290"/>
      <c r="AR20" s="290"/>
      <c r="AS20" s="290"/>
      <c r="AT20" s="290"/>
      <c r="AU20" s="290"/>
      <c r="CA20" s="1438"/>
      <c r="CC20" s="1518"/>
      <c r="CE20" s="1429" t="str">
        <f>IF(AND(D20&lt;&gt;0,'A05'!D81=""),"* No olvide registrar ingresos a control de salud de los respectivos RN, en REM A05-sección E. ","")</f>
        <v xml:space="preserve">* No olvide registrar ingresos a control de salud de los respectivos RN, en REM A05-sección E. </v>
      </c>
      <c r="CF20" s="1518"/>
      <c r="DB20" s="3206">
        <v>0</v>
      </c>
      <c r="DC20" s="3206">
        <v>0</v>
      </c>
      <c r="DD20" s="3206">
        <v>0</v>
      </c>
      <c r="DF20" s="3206">
        <v>0</v>
      </c>
      <c r="DG20" s="3206">
        <v>0</v>
      </c>
      <c r="DH20" s="3206">
        <v>0</v>
      </c>
      <c r="DI20" s="3206">
        <v>0</v>
      </c>
      <c r="DJ20" s="3206">
        <v>0</v>
      </c>
      <c r="DK20" s="3206">
        <v>0</v>
      </c>
      <c r="DL20" s="3206">
        <v>0</v>
      </c>
      <c r="DM20" s="3206">
        <v>0</v>
      </c>
      <c r="DN20" s="3206">
        <v>0</v>
      </c>
      <c r="DO20" s="3206">
        <v>0</v>
      </c>
      <c r="DP20" s="3206">
        <v>0</v>
      </c>
      <c r="DQ20" s="3206">
        <v>0</v>
      </c>
    </row>
    <row r="21" spans="1:121" ht="16.350000000000001" customHeight="1" x14ac:dyDescent="0.25">
      <c r="A21" s="7258" t="s">
        <v>4008</v>
      </c>
      <c r="B21" s="8555"/>
      <c r="C21" s="81" t="s">
        <v>2591</v>
      </c>
      <c r="D21" s="529" t="s">
        <v>5369</v>
      </c>
      <c r="E21" s="1692" t="s">
        <v>5370</v>
      </c>
      <c r="F21" s="1734" t="s">
        <v>5371</v>
      </c>
      <c r="G21" s="94" t="s">
        <v>5372</v>
      </c>
      <c r="H21" s="94" t="s">
        <v>5373</v>
      </c>
      <c r="I21" s="94" t="s">
        <v>5374</v>
      </c>
      <c r="J21" s="94" t="s">
        <v>5375</v>
      </c>
      <c r="K21" s="94" t="s">
        <v>5376</v>
      </c>
      <c r="L21" s="94" t="s">
        <v>5377</v>
      </c>
      <c r="M21" s="94" t="s">
        <v>5378</v>
      </c>
      <c r="N21" s="94" t="s">
        <v>5379</v>
      </c>
      <c r="O21" s="83" t="s">
        <v>5380</v>
      </c>
      <c r="P21" s="485" t="s">
        <v>5381</v>
      </c>
      <c r="Q21" s="1686" t="s">
        <v>5382</v>
      </c>
      <c r="R21" s="1686" t="s">
        <v>5383</v>
      </c>
      <c r="S21" s="1686" t="s">
        <v>5384</v>
      </c>
      <c r="T21" s="1686" t="s">
        <v>5385</v>
      </c>
      <c r="U21" s="1619" t="s">
        <v>5386</v>
      </c>
      <c r="V21" s="1671" t="s">
        <v>5387</v>
      </c>
      <c r="W21" s="2063" t="s">
        <v>5388</v>
      </c>
      <c r="X21" s="97" t="s">
        <v>5389</v>
      </c>
      <c r="Y21" s="97" t="s">
        <v>5390</v>
      </c>
      <c r="Z21" s="3208" t="s">
        <v>5391</v>
      </c>
      <c r="AA21" s="2041" t="s">
        <v>5392</v>
      </c>
      <c r="AB21" s="2041" t="s">
        <v>5393</v>
      </c>
      <c r="AC21" s="2041" t="s">
        <v>5394</v>
      </c>
      <c r="AD21" s="2419" t="s">
        <v>5395</v>
      </c>
      <c r="AE21" s="1471"/>
      <c r="AF21" s="806"/>
      <c r="AG21" s="806"/>
      <c r="AH21" s="806"/>
      <c r="AI21" s="806"/>
      <c r="AJ21" s="806"/>
      <c r="AK21" s="806"/>
      <c r="AL21" s="806"/>
      <c r="AM21" s="806"/>
      <c r="AN21" s="806"/>
      <c r="AO21" s="806"/>
      <c r="AP21" s="290"/>
      <c r="AQ21" s="290"/>
      <c r="AR21" s="290"/>
      <c r="AS21" s="290"/>
      <c r="AT21" s="290"/>
      <c r="AU21" s="290"/>
      <c r="CA21" s="1438"/>
      <c r="CC21" s="1518"/>
      <c r="CE21" s="1429" t="str">
        <f>IF(AND(D21&lt;&gt;0,'A05'!D81=""),"* No olvide registrar ingresos a control de salud de los respectivos RN, en REM A05-sección E. ","")</f>
        <v xml:space="preserve">* No olvide registrar ingresos a control de salud de los respectivos RN, en REM A05-sección E. </v>
      </c>
      <c r="DB21" s="3206">
        <v>0</v>
      </c>
      <c r="DC21" s="3206">
        <v>0</v>
      </c>
      <c r="DD21" s="3206">
        <v>0</v>
      </c>
      <c r="DF21" s="3206">
        <v>0</v>
      </c>
      <c r="DG21" s="3206">
        <v>0</v>
      </c>
      <c r="DH21" s="3206">
        <v>0</v>
      </c>
      <c r="DI21" s="3206">
        <v>0</v>
      </c>
      <c r="DJ21" s="3206">
        <v>0</v>
      </c>
      <c r="DK21" s="3206">
        <v>0</v>
      </c>
      <c r="DL21" s="3206">
        <v>0</v>
      </c>
      <c r="DM21" s="3206">
        <v>0</v>
      </c>
      <c r="DN21" s="3206">
        <v>0</v>
      </c>
      <c r="DO21" s="3206">
        <v>0</v>
      </c>
      <c r="DP21" s="3206">
        <v>0</v>
      </c>
      <c r="DQ21" s="3206">
        <v>0</v>
      </c>
    </row>
    <row r="22" spans="1:121" ht="16.350000000000001" customHeight="1" x14ac:dyDescent="0.25">
      <c r="A22" s="7258" t="s">
        <v>4009</v>
      </c>
      <c r="B22" s="8583" t="s">
        <v>696</v>
      </c>
      <c r="C22" s="466" t="s">
        <v>2590</v>
      </c>
      <c r="D22" s="1676" t="s">
        <v>5369</v>
      </c>
      <c r="E22" s="1677" t="s">
        <v>5370</v>
      </c>
      <c r="F22" s="1731" t="s">
        <v>5371</v>
      </c>
      <c r="G22" s="1678" t="s">
        <v>5372</v>
      </c>
      <c r="H22" s="1678" t="s">
        <v>5373</v>
      </c>
      <c r="I22" s="1678" t="s">
        <v>5374</v>
      </c>
      <c r="J22" s="1678" t="s">
        <v>5375</v>
      </c>
      <c r="K22" s="1678" t="s">
        <v>5376</v>
      </c>
      <c r="L22" s="1678" t="s">
        <v>5377</v>
      </c>
      <c r="M22" s="1678" t="s">
        <v>5378</v>
      </c>
      <c r="N22" s="1678" t="s">
        <v>5379</v>
      </c>
      <c r="O22" s="1678" t="s">
        <v>5380</v>
      </c>
      <c r="P22" s="1678" t="s">
        <v>5381</v>
      </c>
      <c r="Q22" s="1783" t="s">
        <v>5382</v>
      </c>
      <c r="R22" s="1783" t="s">
        <v>5383</v>
      </c>
      <c r="S22" s="1783" t="s">
        <v>5384</v>
      </c>
      <c r="T22" s="1783" t="s">
        <v>5385</v>
      </c>
      <c r="U22" s="1784" t="s">
        <v>5386</v>
      </c>
      <c r="V22" s="2424" t="s">
        <v>5387</v>
      </c>
      <c r="W22" s="2413" t="s">
        <v>5388</v>
      </c>
      <c r="X22" s="528" t="s">
        <v>5389</v>
      </c>
      <c r="Y22" s="528" t="s">
        <v>5390</v>
      </c>
      <c r="Z22" s="1810" t="s">
        <v>5391</v>
      </c>
      <c r="AA22" s="1150" t="s">
        <v>5392</v>
      </c>
      <c r="AB22" s="1150" t="s">
        <v>5393</v>
      </c>
      <c r="AC22" s="1150" t="s">
        <v>5394</v>
      </c>
      <c r="AD22" s="202" t="s">
        <v>5395</v>
      </c>
      <c r="AE22" s="1471"/>
      <c r="AF22" s="806"/>
      <c r="AG22" s="806"/>
      <c r="AH22" s="806"/>
      <c r="AI22" s="806"/>
      <c r="AJ22" s="806"/>
      <c r="AK22" s="806"/>
      <c r="AL22" s="806"/>
      <c r="AM22" s="806"/>
      <c r="AN22" s="806"/>
      <c r="AO22" s="806"/>
      <c r="AP22" s="290"/>
      <c r="AQ22" s="290"/>
      <c r="AR22" s="290"/>
      <c r="AS22" s="290"/>
      <c r="AT22" s="290"/>
      <c r="AU22" s="290"/>
      <c r="CA22" s="1438"/>
      <c r="CC22" s="1518"/>
      <c r="CE22" s="1429" t="str">
        <f>IF(AND(D22&lt;&gt;0,'A05'!D81=""),"* No olvide registrar ingresos a control de salud de los respectivos RN, en REM A05-sección E. ","")</f>
        <v xml:space="preserve">* No olvide registrar ingresos a control de salud de los respectivos RN, en REM A05-sección E. </v>
      </c>
      <c r="CF22" s="1518"/>
      <c r="DB22" s="3206">
        <v>0</v>
      </c>
      <c r="DC22" s="3206">
        <v>0</v>
      </c>
      <c r="DD22" s="3206">
        <v>0</v>
      </c>
      <c r="DF22" s="3206">
        <v>0</v>
      </c>
      <c r="DG22" s="3206">
        <v>0</v>
      </c>
      <c r="DH22" s="3206">
        <v>0</v>
      </c>
      <c r="DI22" s="3206">
        <v>0</v>
      </c>
      <c r="DJ22" s="3206">
        <v>0</v>
      </c>
      <c r="DK22" s="3206">
        <v>0</v>
      </c>
      <c r="DL22" s="3206">
        <v>0</v>
      </c>
      <c r="DM22" s="3206">
        <v>0</v>
      </c>
      <c r="DN22" s="3206">
        <v>0</v>
      </c>
      <c r="DO22" s="3206">
        <v>0</v>
      </c>
      <c r="DP22" s="3206">
        <v>0</v>
      </c>
      <c r="DQ22" s="3206">
        <v>0</v>
      </c>
    </row>
    <row r="23" spans="1:121" ht="16.350000000000001" customHeight="1" x14ac:dyDescent="0.25">
      <c r="A23" s="7258" t="s">
        <v>4010</v>
      </c>
      <c r="B23" s="8584"/>
      <c r="C23" s="81" t="s">
        <v>2591</v>
      </c>
      <c r="D23" s="1675" t="s">
        <v>5369</v>
      </c>
      <c r="E23" s="1679" t="s">
        <v>5370</v>
      </c>
      <c r="F23" s="1732" t="s">
        <v>5371</v>
      </c>
      <c r="G23" s="758" t="s">
        <v>5372</v>
      </c>
      <c r="H23" s="758" t="s">
        <v>5373</v>
      </c>
      <c r="I23" s="758" t="s">
        <v>5374</v>
      </c>
      <c r="J23" s="758" t="s">
        <v>5375</v>
      </c>
      <c r="K23" s="758" t="s">
        <v>5376</v>
      </c>
      <c r="L23" s="758" t="s">
        <v>5377</v>
      </c>
      <c r="M23" s="758" t="s">
        <v>5378</v>
      </c>
      <c r="N23" s="758" t="s">
        <v>5379</v>
      </c>
      <c r="O23" s="758" t="s">
        <v>5380</v>
      </c>
      <c r="P23" s="758" t="s">
        <v>5381</v>
      </c>
      <c r="Q23" s="1686" t="s">
        <v>5382</v>
      </c>
      <c r="R23" s="1686" t="s">
        <v>5383</v>
      </c>
      <c r="S23" s="1686" t="s">
        <v>5384</v>
      </c>
      <c r="T23" s="1686" t="s">
        <v>5385</v>
      </c>
      <c r="U23" s="1744" t="s">
        <v>5386</v>
      </c>
      <c r="V23" s="2417" t="s">
        <v>5387</v>
      </c>
      <c r="W23" s="2063" t="s">
        <v>5388</v>
      </c>
      <c r="X23" s="86" t="s">
        <v>5389</v>
      </c>
      <c r="Y23" s="86" t="s">
        <v>5390</v>
      </c>
      <c r="Z23" s="3208" t="s">
        <v>5391</v>
      </c>
      <c r="AA23" s="2041" t="s">
        <v>5392</v>
      </c>
      <c r="AB23" s="2041" t="s">
        <v>5393</v>
      </c>
      <c r="AC23" s="2041" t="s">
        <v>5394</v>
      </c>
      <c r="AD23" s="2419" t="s">
        <v>5395</v>
      </c>
      <c r="AE23" s="1471"/>
      <c r="AF23" s="806"/>
      <c r="AG23" s="806"/>
      <c r="AH23" s="806"/>
      <c r="AI23" s="806"/>
      <c r="AJ23" s="806"/>
      <c r="AK23" s="806"/>
      <c r="AL23" s="806"/>
      <c r="AM23" s="806"/>
      <c r="AN23" s="806"/>
      <c r="AO23" s="806"/>
      <c r="AP23" s="290"/>
      <c r="AQ23" s="290"/>
      <c r="AR23" s="290"/>
      <c r="AS23" s="290"/>
      <c r="AT23" s="290"/>
      <c r="AU23" s="290"/>
      <c r="CA23" s="1438"/>
      <c r="CC23" s="1518"/>
      <c r="CE23" s="1429" t="str">
        <f>IF(AND(D23&lt;&gt;0,'A05'!D81=""),"* No olvide registrar ingresos a control de salud de los respectivos RN, en REM A05-sección E. ","")</f>
        <v xml:space="preserve">* No olvide registrar ingresos a control de salud de los respectivos RN, en REM A05-sección E. </v>
      </c>
      <c r="DB23" s="3206">
        <v>0</v>
      </c>
      <c r="DC23" s="3206">
        <v>0</v>
      </c>
      <c r="DD23" s="3206">
        <v>0</v>
      </c>
      <c r="DF23" s="3206">
        <v>0</v>
      </c>
      <c r="DG23" s="3206">
        <v>0</v>
      </c>
      <c r="DH23" s="3206">
        <v>0</v>
      </c>
      <c r="DI23" s="3206">
        <v>0</v>
      </c>
      <c r="DJ23" s="3206">
        <v>0</v>
      </c>
      <c r="DK23" s="3206">
        <v>0</v>
      </c>
      <c r="DL23" s="3206">
        <v>0</v>
      </c>
      <c r="DM23" s="3206">
        <v>0</v>
      </c>
      <c r="DN23" s="3206">
        <v>0</v>
      </c>
      <c r="DO23" s="3206">
        <v>0</v>
      </c>
      <c r="DP23" s="3206">
        <v>0</v>
      </c>
      <c r="DQ23" s="3206">
        <v>0</v>
      </c>
    </row>
    <row r="24" spans="1:121" ht="16.350000000000001" customHeight="1" x14ac:dyDescent="0.25">
      <c r="A24" s="7258" t="s">
        <v>4011</v>
      </c>
      <c r="B24" s="8626" t="s">
        <v>3572</v>
      </c>
      <c r="C24" s="3101" t="s">
        <v>19</v>
      </c>
      <c r="D24" s="3251" t="s">
        <v>5369</v>
      </c>
      <c r="E24" s="3244" t="s">
        <v>5370</v>
      </c>
      <c r="F24" s="3298" t="s">
        <v>5371</v>
      </c>
      <c r="G24" s="3299" t="s">
        <v>5372</v>
      </c>
      <c r="H24" s="3299" t="s">
        <v>5373</v>
      </c>
      <c r="I24" s="3299" t="s">
        <v>5374</v>
      </c>
      <c r="J24" s="3299" t="s">
        <v>5375</v>
      </c>
      <c r="K24" s="3299" t="s">
        <v>5376</v>
      </c>
      <c r="L24" s="3299" t="s">
        <v>5377</v>
      </c>
      <c r="M24" s="3299" t="s">
        <v>5378</v>
      </c>
      <c r="N24" s="3299" t="s">
        <v>5379</v>
      </c>
      <c r="O24" s="3299" t="s">
        <v>5380</v>
      </c>
      <c r="P24" s="3299" t="s">
        <v>5381</v>
      </c>
      <c r="Q24" s="1783" t="s">
        <v>5382</v>
      </c>
      <c r="R24" s="1783" t="s">
        <v>5383</v>
      </c>
      <c r="S24" s="1783" t="s">
        <v>5384</v>
      </c>
      <c r="T24" s="1783" t="s">
        <v>5385</v>
      </c>
      <c r="U24" s="1784" t="s">
        <v>5386</v>
      </c>
      <c r="V24" s="2421" t="s">
        <v>5387</v>
      </c>
      <c r="W24" s="2413" t="s">
        <v>5388</v>
      </c>
      <c r="X24" s="1150" t="s">
        <v>5389</v>
      </c>
      <c r="Y24" s="1150" t="s">
        <v>5390</v>
      </c>
      <c r="Z24" s="1150" t="s">
        <v>5391</v>
      </c>
      <c r="AA24" s="1150" t="s">
        <v>5392</v>
      </c>
      <c r="AB24" s="1150" t="s">
        <v>5393</v>
      </c>
      <c r="AC24" s="1150" t="s">
        <v>5394</v>
      </c>
      <c r="AD24" s="202" t="s">
        <v>5395</v>
      </c>
      <c r="AE24" s="1471"/>
      <c r="AF24" s="806"/>
      <c r="AG24" s="806"/>
      <c r="AH24" s="806"/>
      <c r="AI24" s="806"/>
      <c r="AJ24" s="806"/>
      <c r="AK24" s="806"/>
      <c r="AL24" s="806"/>
      <c r="AM24" s="806"/>
      <c r="AN24" s="806"/>
      <c r="AO24" s="806"/>
      <c r="AP24" s="290"/>
      <c r="AQ24" s="290"/>
      <c r="AR24" s="290"/>
      <c r="AS24" s="290"/>
      <c r="AT24" s="290"/>
      <c r="AU24" s="290"/>
      <c r="CA24" s="1438"/>
      <c r="CC24" s="1518"/>
      <c r="DB24" s="3206">
        <v>0</v>
      </c>
      <c r="DF24" s="3206">
        <v>0</v>
      </c>
      <c r="DG24" s="3206">
        <v>0</v>
      </c>
      <c r="DH24" s="3206">
        <v>0</v>
      </c>
      <c r="DI24" s="3206">
        <v>0</v>
      </c>
      <c r="DJ24" s="3206">
        <v>0</v>
      </c>
      <c r="DK24" s="3206">
        <v>0</v>
      </c>
      <c r="DL24" s="3206">
        <v>0</v>
      </c>
      <c r="DM24" s="3206">
        <v>0</v>
      </c>
      <c r="DN24" s="3206">
        <v>0</v>
      </c>
      <c r="DO24" s="3206">
        <v>0</v>
      </c>
      <c r="DP24" s="3206">
        <v>0</v>
      </c>
      <c r="DQ24" s="3206">
        <v>0</v>
      </c>
    </row>
    <row r="25" spans="1:121" ht="16.350000000000001" customHeight="1" x14ac:dyDescent="0.25">
      <c r="A25" s="7258" t="s">
        <v>4012</v>
      </c>
      <c r="B25" s="8626"/>
      <c r="C25" s="3300" t="s">
        <v>20</v>
      </c>
      <c r="D25" s="3251" t="s">
        <v>5369</v>
      </c>
      <c r="E25" s="3060" t="s">
        <v>5370</v>
      </c>
      <c r="F25" s="3201" t="s">
        <v>5371</v>
      </c>
      <c r="G25" s="3301" t="s">
        <v>5372</v>
      </c>
      <c r="H25" s="3301" t="s">
        <v>5373</v>
      </c>
      <c r="I25" s="3301" t="s">
        <v>5374</v>
      </c>
      <c r="J25" s="3301" t="s">
        <v>5375</v>
      </c>
      <c r="K25" s="3301" t="s">
        <v>5376</v>
      </c>
      <c r="L25" s="3301" t="s">
        <v>5377</v>
      </c>
      <c r="M25" s="3301" t="s">
        <v>5378</v>
      </c>
      <c r="N25" s="3301" t="s">
        <v>5379</v>
      </c>
      <c r="O25" s="3301" t="s">
        <v>5380</v>
      </c>
      <c r="P25" s="3301" t="s">
        <v>5381</v>
      </c>
      <c r="Q25" s="1686" t="s">
        <v>5382</v>
      </c>
      <c r="R25" s="1686" t="s">
        <v>5383</v>
      </c>
      <c r="S25" s="1686" t="s">
        <v>5384</v>
      </c>
      <c r="T25" s="1686" t="s">
        <v>5385</v>
      </c>
      <c r="U25" s="1744" t="s">
        <v>5386</v>
      </c>
      <c r="V25" s="2418" t="s">
        <v>5387</v>
      </c>
      <c r="W25" s="2063" t="s">
        <v>5388</v>
      </c>
      <c r="X25" s="2041" t="s">
        <v>5389</v>
      </c>
      <c r="Y25" s="2041" t="s">
        <v>5390</v>
      </c>
      <c r="Z25" s="2041" t="s">
        <v>5391</v>
      </c>
      <c r="AA25" s="2041" t="s">
        <v>5392</v>
      </c>
      <c r="AB25" s="2041" t="s">
        <v>5393</v>
      </c>
      <c r="AC25" s="2041" t="s">
        <v>5394</v>
      </c>
      <c r="AD25" s="2419" t="s">
        <v>5395</v>
      </c>
      <c r="AE25" s="1471"/>
      <c r="AF25" s="806"/>
      <c r="AG25" s="806"/>
      <c r="AH25" s="806"/>
      <c r="AI25" s="806"/>
      <c r="AJ25" s="806"/>
      <c r="AK25" s="806"/>
      <c r="AL25" s="806"/>
      <c r="AM25" s="806"/>
      <c r="AN25" s="806"/>
      <c r="AO25" s="806"/>
      <c r="AP25" s="290"/>
      <c r="AQ25" s="290"/>
      <c r="AR25" s="290"/>
      <c r="AS25" s="290"/>
      <c r="AT25" s="290"/>
      <c r="AU25" s="290"/>
      <c r="CA25" s="1438"/>
      <c r="CC25" s="1518"/>
      <c r="DB25" s="3206">
        <v>0</v>
      </c>
      <c r="DF25" s="3206">
        <v>0</v>
      </c>
      <c r="DG25" s="3206">
        <v>0</v>
      </c>
      <c r="DH25" s="3206">
        <v>0</v>
      </c>
      <c r="DI25" s="3206">
        <v>0</v>
      </c>
      <c r="DJ25" s="3206">
        <v>0</v>
      </c>
      <c r="DK25" s="3206">
        <v>0</v>
      </c>
      <c r="DL25" s="3206">
        <v>0</v>
      </c>
      <c r="DM25" s="3206">
        <v>0</v>
      </c>
      <c r="DN25" s="3206">
        <v>0</v>
      </c>
      <c r="DO25" s="3206">
        <v>0</v>
      </c>
      <c r="DP25" s="3206">
        <v>0</v>
      </c>
      <c r="DQ25" s="3206">
        <v>0</v>
      </c>
    </row>
    <row r="26" spans="1:121" ht="16.350000000000001" customHeight="1" x14ac:dyDescent="0.25">
      <c r="A26" s="7258" t="s">
        <v>4013</v>
      </c>
      <c r="B26" s="8627" t="s">
        <v>3573</v>
      </c>
      <c r="C26" s="3302" t="s">
        <v>19</v>
      </c>
      <c r="D26" s="3303" t="s">
        <v>5369</v>
      </c>
      <c r="E26" s="3139" t="s">
        <v>5370</v>
      </c>
      <c r="F26" s="3304" t="s">
        <v>5371</v>
      </c>
      <c r="G26" s="3305" t="s">
        <v>5372</v>
      </c>
      <c r="H26" s="3305" t="s">
        <v>5373</v>
      </c>
      <c r="I26" s="3305" t="s">
        <v>5374</v>
      </c>
      <c r="J26" s="3305" t="s">
        <v>5375</v>
      </c>
      <c r="K26" s="3305" t="s">
        <v>5376</v>
      </c>
      <c r="L26" s="3305" t="s">
        <v>5377</v>
      </c>
      <c r="M26" s="3305" t="s">
        <v>5378</v>
      </c>
      <c r="N26" s="3305" t="s">
        <v>5379</v>
      </c>
      <c r="O26" s="3305" t="s">
        <v>5380</v>
      </c>
      <c r="P26" s="3305" t="s">
        <v>5381</v>
      </c>
      <c r="Q26" s="1783" t="s">
        <v>5382</v>
      </c>
      <c r="R26" s="1783" t="s">
        <v>5383</v>
      </c>
      <c r="S26" s="1783" t="s">
        <v>5384</v>
      </c>
      <c r="T26" s="1783" t="s">
        <v>5385</v>
      </c>
      <c r="U26" s="1784" t="s">
        <v>5386</v>
      </c>
      <c r="V26" s="2421" t="s">
        <v>5387</v>
      </c>
      <c r="W26" s="2413" t="s">
        <v>5388</v>
      </c>
      <c r="X26" s="1150" t="s">
        <v>5389</v>
      </c>
      <c r="Y26" s="1150" t="s">
        <v>5390</v>
      </c>
      <c r="Z26" s="1150" t="s">
        <v>5391</v>
      </c>
      <c r="AA26" s="1150" t="s">
        <v>5392</v>
      </c>
      <c r="AB26" s="1150" t="s">
        <v>5393</v>
      </c>
      <c r="AC26" s="1150" t="s">
        <v>5394</v>
      </c>
      <c r="AD26" s="202" t="s">
        <v>5395</v>
      </c>
      <c r="AE26" s="1471"/>
      <c r="AF26" s="806"/>
      <c r="AG26" s="806"/>
      <c r="AH26" s="806"/>
      <c r="AI26" s="806"/>
      <c r="AJ26" s="806"/>
      <c r="AK26" s="806"/>
      <c r="AL26" s="806"/>
      <c r="AM26" s="806"/>
      <c r="AN26" s="806"/>
      <c r="AO26" s="806"/>
      <c r="AP26" s="290"/>
      <c r="AQ26" s="290"/>
      <c r="AR26" s="290"/>
      <c r="AS26" s="290"/>
      <c r="AT26" s="290"/>
      <c r="AU26" s="290"/>
      <c r="CA26" s="1438"/>
      <c r="CC26" s="1518"/>
      <c r="DB26" s="3206">
        <v>0</v>
      </c>
      <c r="DF26" s="3206">
        <v>0</v>
      </c>
      <c r="DG26" s="3206">
        <v>0</v>
      </c>
      <c r="DH26" s="3206">
        <v>0</v>
      </c>
      <c r="DI26" s="3206">
        <v>0</v>
      </c>
      <c r="DJ26" s="3206">
        <v>0</v>
      </c>
      <c r="DK26" s="3206">
        <v>0</v>
      </c>
      <c r="DL26" s="3206">
        <v>0</v>
      </c>
      <c r="DM26" s="3206">
        <v>0</v>
      </c>
      <c r="DN26" s="3206">
        <v>0</v>
      </c>
      <c r="DO26" s="3206">
        <v>0</v>
      </c>
      <c r="DP26" s="3206">
        <v>0</v>
      </c>
      <c r="DQ26" s="3206">
        <v>0</v>
      </c>
    </row>
    <row r="27" spans="1:121" ht="16.350000000000001" customHeight="1" x14ac:dyDescent="0.25">
      <c r="A27" s="7258" t="s">
        <v>4014</v>
      </c>
      <c r="B27" s="8628"/>
      <c r="C27" s="3233" t="s">
        <v>20</v>
      </c>
      <c r="D27" s="3307" t="s">
        <v>5369</v>
      </c>
      <c r="E27" s="3297" t="s">
        <v>5370</v>
      </c>
      <c r="F27" s="3201" t="s">
        <v>5371</v>
      </c>
      <c r="G27" s="3301" t="s">
        <v>5372</v>
      </c>
      <c r="H27" s="3301" t="s">
        <v>5373</v>
      </c>
      <c r="I27" s="3301" t="s">
        <v>5374</v>
      </c>
      <c r="J27" s="3301" t="s">
        <v>5375</v>
      </c>
      <c r="K27" s="3301" t="s">
        <v>5376</v>
      </c>
      <c r="L27" s="3301" t="s">
        <v>5377</v>
      </c>
      <c r="M27" s="3301" t="s">
        <v>5378</v>
      </c>
      <c r="N27" s="3301" t="s">
        <v>5379</v>
      </c>
      <c r="O27" s="3301" t="s">
        <v>5380</v>
      </c>
      <c r="P27" s="3301" t="s">
        <v>5381</v>
      </c>
      <c r="Q27" s="1686" t="s">
        <v>5382</v>
      </c>
      <c r="R27" s="1686" t="s">
        <v>5383</v>
      </c>
      <c r="S27" s="1686" t="s">
        <v>5384</v>
      </c>
      <c r="T27" s="1686" t="s">
        <v>5385</v>
      </c>
      <c r="U27" s="1744" t="s">
        <v>5386</v>
      </c>
      <c r="V27" s="2418" t="s">
        <v>5387</v>
      </c>
      <c r="W27" s="2063" t="s">
        <v>5388</v>
      </c>
      <c r="X27" s="2041" t="s">
        <v>5389</v>
      </c>
      <c r="Y27" s="2041" t="s">
        <v>5390</v>
      </c>
      <c r="Z27" s="2041" t="s">
        <v>5391</v>
      </c>
      <c r="AA27" s="2041" t="s">
        <v>5392</v>
      </c>
      <c r="AB27" s="2041" t="s">
        <v>5393</v>
      </c>
      <c r="AC27" s="2041" t="s">
        <v>5394</v>
      </c>
      <c r="AD27" s="2419" t="s">
        <v>5395</v>
      </c>
      <c r="AE27" s="1471"/>
      <c r="AF27" s="806"/>
      <c r="AG27" s="806"/>
      <c r="AH27" s="806"/>
      <c r="AI27" s="806"/>
      <c r="AJ27" s="806"/>
      <c r="AK27" s="806"/>
      <c r="AL27" s="806"/>
      <c r="AM27" s="806"/>
      <c r="AN27" s="806"/>
      <c r="AO27" s="806"/>
      <c r="AP27" s="290"/>
      <c r="AQ27" s="290"/>
      <c r="AR27" s="290"/>
      <c r="AS27" s="290"/>
      <c r="AT27" s="290"/>
      <c r="AU27" s="290"/>
      <c r="CA27" s="1438"/>
      <c r="CC27" s="1518"/>
      <c r="DB27" s="3206">
        <v>0</v>
      </c>
      <c r="DF27" s="3206">
        <v>0</v>
      </c>
      <c r="DG27" s="3206">
        <v>0</v>
      </c>
      <c r="DH27" s="3206">
        <v>0</v>
      </c>
      <c r="DI27" s="3206">
        <v>0</v>
      </c>
      <c r="DJ27" s="3206">
        <v>0</v>
      </c>
      <c r="DK27" s="3206">
        <v>0</v>
      </c>
      <c r="DL27" s="3206">
        <v>0</v>
      </c>
      <c r="DM27" s="3206">
        <v>0</v>
      </c>
      <c r="DN27" s="3206">
        <v>0</v>
      </c>
      <c r="DO27" s="3206">
        <v>0</v>
      </c>
      <c r="DP27" s="3206">
        <v>0</v>
      </c>
      <c r="DQ27" s="3206">
        <v>0</v>
      </c>
    </row>
    <row r="28" spans="1:121" ht="16.350000000000001" customHeight="1" x14ac:dyDescent="0.25">
      <c r="A28" s="7258" t="s">
        <v>4015</v>
      </c>
      <c r="B28" s="8619" t="s">
        <v>695</v>
      </c>
      <c r="C28" s="466" t="s">
        <v>2590</v>
      </c>
      <c r="D28" s="3050" t="s">
        <v>5369</v>
      </c>
      <c r="E28" s="1677" t="s">
        <v>5370</v>
      </c>
      <c r="F28" s="1731" t="s">
        <v>5371</v>
      </c>
      <c r="G28" s="89" t="s">
        <v>5372</v>
      </c>
      <c r="H28" s="89" t="s">
        <v>5373</v>
      </c>
      <c r="I28" s="89" t="s">
        <v>5374</v>
      </c>
      <c r="J28" s="89" t="s">
        <v>5375</v>
      </c>
      <c r="K28" s="89" t="s">
        <v>5376</v>
      </c>
      <c r="L28" s="89" t="s">
        <v>5377</v>
      </c>
      <c r="M28" s="89" t="s">
        <v>5378</v>
      </c>
      <c r="N28" s="89" t="s">
        <v>5379</v>
      </c>
      <c r="O28" s="89" t="s">
        <v>5380</v>
      </c>
      <c r="P28" s="89" t="s">
        <v>5381</v>
      </c>
      <c r="Q28" s="89" t="s">
        <v>5382</v>
      </c>
      <c r="R28" s="89" t="s">
        <v>5383</v>
      </c>
      <c r="S28" s="89" t="s">
        <v>5384</v>
      </c>
      <c r="T28" s="89" t="s">
        <v>5385</v>
      </c>
      <c r="U28" s="89" t="s">
        <v>5386</v>
      </c>
      <c r="V28" s="2416" t="s">
        <v>5387</v>
      </c>
      <c r="W28" s="2413" t="s">
        <v>5388</v>
      </c>
      <c r="X28" s="2427" t="s">
        <v>5389</v>
      </c>
      <c r="Y28" s="1738" t="s">
        <v>5390</v>
      </c>
      <c r="Z28" s="1150" t="s">
        <v>5391</v>
      </c>
      <c r="AA28" s="1150" t="s">
        <v>5392</v>
      </c>
      <c r="AB28" s="1150" t="s">
        <v>5393</v>
      </c>
      <c r="AC28" s="1150" t="s">
        <v>5394</v>
      </c>
      <c r="AD28" s="1150" t="s">
        <v>5395</v>
      </c>
      <c r="AE28" s="1471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290"/>
      <c r="AQ28" s="290"/>
      <c r="AR28" s="290"/>
      <c r="AS28" s="290"/>
      <c r="AT28" s="290"/>
      <c r="AU28" s="290"/>
      <c r="CA28" s="1438"/>
      <c r="CC28" s="1518"/>
      <c r="DB28" s="3206">
        <v>0</v>
      </c>
      <c r="DF28" s="3206">
        <v>0</v>
      </c>
      <c r="DG28" s="3206">
        <v>0</v>
      </c>
      <c r="DH28" s="3206">
        <v>0</v>
      </c>
      <c r="DI28" s="3206">
        <v>0</v>
      </c>
      <c r="DJ28" s="3206">
        <v>0</v>
      </c>
      <c r="DK28" s="3206">
        <v>0</v>
      </c>
      <c r="DL28" s="3206">
        <v>0</v>
      </c>
      <c r="DM28" s="3206">
        <v>0</v>
      </c>
      <c r="DN28" s="3206">
        <v>0</v>
      </c>
      <c r="DO28" s="3206">
        <v>0</v>
      </c>
      <c r="DP28" s="3206">
        <v>0</v>
      </c>
      <c r="DQ28" s="3206">
        <v>0</v>
      </c>
    </row>
    <row r="29" spans="1:121" ht="16.350000000000001" customHeight="1" x14ac:dyDescent="0.25">
      <c r="A29" s="7258" t="s">
        <v>4016</v>
      </c>
      <c r="B29" s="8619"/>
      <c r="C29" s="81" t="s">
        <v>2591</v>
      </c>
      <c r="D29" s="92" t="s">
        <v>5369</v>
      </c>
      <c r="E29" s="1679" t="s">
        <v>5370</v>
      </c>
      <c r="F29" s="1732" t="s">
        <v>5371</v>
      </c>
      <c r="G29" s="94" t="s">
        <v>5372</v>
      </c>
      <c r="H29" s="94" t="s">
        <v>5373</v>
      </c>
      <c r="I29" s="94" t="s">
        <v>5374</v>
      </c>
      <c r="J29" s="94" t="s">
        <v>5375</v>
      </c>
      <c r="K29" s="94" t="s">
        <v>5376</v>
      </c>
      <c r="L29" s="94" t="s">
        <v>5377</v>
      </c>
      <c r="M29" s="94" t="s">
        <v>5378</v>
      </c>
      <c r="N29" s="94" t="s">
        <v>5379</v>
      </c>
      <c r="O29" s="83" t="s">
        <v>5380</v>
      </c>
      <c r="P29" s="485" t="s">
        <v>5381</v>
      </c>
      <c r="Q29" s="485" t="s">
        <v>5382</v>
      </c>
      <c r="R29" s="94" t="s">
        <v>5383</v>
      </c>
      <c r="S29" s="94" t="s">
        <v>5384</v>
      </c>
      <c r="T29" s="94" t="s">
        <v>5385</v>
      </c>
      <c r="U29" s="94" t="s">
        <v>5386</v>
      </c>
      <c r="V29" s="1671" t="s">
        <v>5387</v>
      </c>
      <c r="W29" s="2063" t="s">
        <v>5388</v>
      </c>
      <c r="X29" s="2412" t="s">
        <v>5389</v>
      </c>
      <c r="Y29" s="497" t="s">
        <v>5390</v>
      </c>
      <c r="Z29" s="2041" t="s">
        <v>5391</v>
      </c>
      <c r="AA29" s="2041" t="s">
        <v>5392</v>
      </c>
      <c r="AB29" s="2041" t="s">
        <v>5393</v>
      </c>
      <c r="AC29" s="2041" t="s">
        <v>5394</v>
      </c>
      <c r="AD29" s="2041" t="s">
        <v>5395</v>
      </c>
      <c r="AE29" s="1471"/>
      <c r="AF29" s="806"/>
      <c r="AG29" s="806"/>
      <c r="AH29" s="806"/>
      <c r="AI29" s="806"/>
      <c r="AJ29" s="806"/>
      <c r="AK29" s="806"/>
      <c r="AL29" s="806"/>
      <c r="AM29" s="806"/>
      <c r="AN29" s="806"/>
      <c r="AO29" s="806"/>
      <c r="AP29" s="290"/>
      <c r="AQ29" s="290"/>
      <c r="AR29" s="290"/>
      <c r="AS29" s="290"/>
      <c r="AT29" s="290"/>
      <c r="AU29" s="290"/>
      <c r="CA29" s="1438"/>
      <c r="CC29" s="1518"/>
      <c r="DB29" s="3206">
        <v>0</v>
      </c>
      <c r="DF29" s="3206">
        <v>0</v>
      </c>
      <c r="DG29" s="3206">
        <v>0</v>
      </c>
      <c r="DH29" s="3206">
        <v>0</v>
      </c>
      <c r="DI29" s="3206">
        <v>0</v>
      </c>
      <c r="DJ29" s="3206">
        <v>0</v>
      </c>
      <c r="DK29" s="3206">
        <v>0</v>
      </c>
      <c r="DL29" s="3206">
        <v>0</v>
      </c>
      <c r="DM29" s="3206">
        <v>0</v>
      </c>
      <c r="DN29" s="3206">
        <v>0</v>
      </c>
      <c r="DO29" s="3206">
        <v>0</v>
      </c>
      <c r="DP29" s="3206">
        <v>0</v>
      </c>
      <c r="DQ29" s="3206">
        <v>0</v>
      </c>
    </row>
    <row r="30" spans="1:121" ht="16.350000000000001" customHeight="1" x14ac:dyDescent="0.25">
      <c r="A30" s="7258" t="s">
        <v>4017</v>
      </c>
      <c r="B30" s="8583" t="s">
        <v>694</v>
      </c>
      <c r="C30" s="466" t="s">
        <v>2590</v>
      </c>
      <c r="D30" s="467" t="s">
        <v>5369</v>
      </c>
      <c r="E30" s="1677" t="s">
        <v>5370</v>
      </c>
      <c r="F30" s="1731" t="s">
        <v>5371</v>
      </c>
      <c r="G30" s="79" t="s">
        <v>5372</v>
      </c>
      <c r="H30" s="79" t="s">
        <v>5373</v>
      </c>
      <c r="I30" s="79" t="s">
        <v>5374</v>
      </c>
      <c r="J30" s="79" t="s">
        <v>5375</v>
      </c>
      <c r="K30" s="79" t="s">
        <v>5376</v>
      </c>
      <c r="L30" s="79" t="s">
        <v>5377</v>
      </c>
      <c r="M30" s="79" t="s">
        <v>5378</v>
      </c>
      <c r="N30" s="89" t="s">
        <v>5379</v>
      </c>
      <c r="O30" s="89" t="s">
        <v>5380</v>
      </c>
      <c r="P30" s="89" t="s">
        <v>5381</v>
      </c>
      <c r="Q30" s="89" t="s">
        <v>5382</v>
      </c>
      <c r="R30" s="79" t="s">
        <v>5383</v>
      </c>
      <c r="S30" s="79" t="s">
        <v>5384</v>
      </c>
      <c r="T30" s="79" t="s">
        <v>5385</v>
      </c>
      <c r="U30" s="513" t="s">
        <v>5386</v>
      </c>
      <c r="V30" s="2424" t="s">
        <v>5387</v>
      </c>
      <c r="W30" s="2413" t="s">
        <v>5388</v>
      </c>
      <c r="X30" s="2427" t="s">
        <v>5389</v>
      </c>
      <c r="Y30" s="523" t="s">
        <v>5390</v>
      </c>
      <c r="Z30" s="1810" t="s">
        <v>5391</v>
      </c>
      <c r="AA30" s="1810" t="s">
        <v>5392</v>
      </c>
      <c r="AB30" s="1810" t="s">
        <v>5393</v>
      </c>
      <c r="AC30" s="1150" t="s">
        <v>5394</v>
      </c>
      <c r="AD30" s="202" t="s">
        <v>5395</v>
      </c>
      <c r="AE30" s="1471"/>
      <c r="AF30" s="806"/>
      <c r="AG30" s="806"/>
      <c r="AH30" s="806"/>
      <c r="AI30" s="806"/>
      <c r="AJ30" s="806"/>
      <c r="AK30" s="806"/>
      <c r="AL30" s="806"/>
      <c r="AM30" s="806"/>
      <c r="AN30" s="806"/>
      <c r="AO30" s="806"/>
      <c r="AP30" s="290"/>
      <c r="AQ30" s="290"/>
      <c r="AR30" s="290"/>
      <c r="AS30" s="290"/>
      <c r="AT30" s="290"/>
      <c r="AU30" s="290"/>
      <c r="CA30" s="1438"/>
      <c r="CC30" s="1518"/>
      <c r="DB30" s="3206">
        <v>0</v>
      </c>
      <c r="DF30" s="3206">
        <v>0</v>
      </c>
      <c r="DG30" s="3206">
        <v>0</v>
      </c>
      <c r="DH30" s="3206">
        <v>0</v>
      </c>
      <c r="DI30" s="3206">
        <v>0</v>
      </c>
      <c r="DJ30" s="3206">
        <v>0</v>
      </c>
      <c r="DK30" s="3206">
        <v>0</v>
      </c>
      <c r="DL30" s="3206">
        <v>0</v>
      </c>
      <c r="DM30" s="3206">
        <v>0</v>
      </c>
      <c r="DN30" s="3206">
        <v>0</v>
      </c>
      <c r="DO30" s="3206">
        <v>0</v>
      </c>
      <c r="DP30" s="3206">
        <v>0</v>
      </c>
      <c r="DQ30" s="3206">
        <v>0</v>
      </c>
    </row>
    <row r="31" spans="1:121" ht="16.350000000000001" customHeight="1" x14ac:dyDescent="0.25">
      <c r="A31" s="7258" t="s">
        <v>4018</v>
      </c>
      <c r="B31" s="8584"/>
      <c r="C31" s="81" t="s">
        <v>2591</v>
      </c>
      <c r="D31" s="524" t="s">
        <v>5369</v>
      </c>
      <c r="E31" s="1679" t="s">
        <v>5370</v>
      </c>
      <c r="F31" s="1732" t="s">
        <v>5371</v>
      </c>
      <c r="G31" s="515" t="s">
        <v>5372</v>
      </c>
      <c r="H31" s="515" t="s">
        <v>5373</v>
      </c>
      <c r="I31" s="515" t="s">
        <v>5374</v>
      </c>
      <c r="J31" s="515" t="s">
        <v>5375</v>
      </c>
      <c r="K31" s="515" t="s">
        <v>5376</v>
      </c>
      <c r="L31" s="515" t="s">
        <v>5377</v>
      </c>
      <c r="M31" s="515" t="s">
        <v>5378</v>
      </c>
      <c r="N31" s="83" t="s">
        <v>5379</v>
      </c>
      <c r="O31" s="83" t="s">
        <v>5380</v>
      </c>
      <c r="P31" s="485" t="s">
        <v>5381</v>
      </c>
      <c r="Q31" s="485" t="s">
        <v>5382</v>
      </c>
      <c r="R31" s="515" t="s">
        <v>5383</v>
      </c>
      <c r="S31" s="515" t="s">
        <v>5384</v>
      </c>
      <c r="T31" s="515" t="s">
        <v>5385</v>
      </c>
      <c r="U31" s="309" t="s">
        <v>5386</v>
      </c>
      <c r="V31" s="2420" t="s">
        <v>5387</v>
      </c>
      <c r="W31" s="2063" t="s">
        <v>5388</v>
      </c>
      <c r="X31" s="2412" t="s">
        <v>5389</v>
      </c>
      <c r="Y31" s="497" t="s">
        <v>5390</v>
      </c>
      <c r="Z31" s="3208" t="s">
        <v>5391</v>
      </c>
      <c r="AA31" s="3208" t="s">
        <v>5392</v>
      </c>
      <c r="AB31" s="3208" t="s">
        <v>5393</v>
      </c>
      <c r="AC31" s="2041" t="s">
        <v>5394</v>
      </c>
      <c r="AD31" s="2419" t="s">
        <v>5395</v>
      </c>
      <c r="AE31" s="1471"/>
      <c r="AF31" s="806"/>
      <c r="AG31" s="806"/>
      <c r="AH31" s="806"/>
      <c r="AI31" s="806"/>
      <c r="AJ31" s="806"/>
      <c r="AK31" s="806"/>
      <c r="AL31" s="806"/>
      <c r="AM31" s="806"/>
      <c r="AN31" s="806"/>
      <c r="AO31" s="806"/>
      <c r="AP31" s="290"/>
      <c r="AQ31" s="290"/>
      <c r="AR31" s="290"/>
      <c r="AS31" s="290"/>
      <c r="AT31" s="290"/>
      <c r="AU31" s="290"/>
      <c r="CA31" s="1438"/>
      <c r="CC31" s="1518"/>
      <c r="DB31" s="3206">
        <v>0</v>
      </c>
      <c r="DF31" s="3206">
        <v>0</v>
      </c>
      <c r="DG31" s="3206">
        <v>0</v>
      </c>
      <c r="DH31" s="3206">
        <v>0</v>
      </c>
      <c r="DI31" s="3206">
        <v>0</v>
      </c>
      <c r="DJ31" s="3206">
        <v>0</v>
      </c>
      <c r="DK31" s="3206">
        <v>0</v>
      </c>
      <c r="DL31" s="3206">
        <v>0</v>
      </c>
      <c r="DM31" s="3206">
        <v>0</v>
      </c>
      <c r="DN31" s="3206">
        <v>0</v>
      </c>
      <c r="DO31" s="3206">
        <v>0</v>
      </c>
      <c r="DP31" s="3206">
        <v>0</v>
      </c>
      <c r="DQ31" s="3206">
        <v>0</v>
      </c>
    </row>
    <row r="32" spans="1:121" ht="16.350000000000001" customHeight="1" x14ac:dyDescent="0.25">
      <c r="A32" s="7258" t="s">
        <v>4019</v>
      </c>
      <c r="B32" s="8555" t="s">
        <v>693</v>
      </c>
      <c r="C32" s="466" t="s">
        <v>2590</v>
      </c>
      <c r="D32" s="466" t="s">
        <v>5369</v>
      </c>
      <c r="E32" s="1677" t="s">
        <v>5370</v>
      </c>
      <c r="F32" s="1731" t="s">
        <v>5371</v>
      </c>
      <c r="G32" s="78" t="s">
        <v>5372</v>
      </c>
      <c r="H32" s="78" t="s">
        <v>5373</v>
      </c>
      <c r="I32" s="78" t="s">
        <v>5374</v>
      </c>
      <c r="J32" s="78" t="s">
        <v>5375</v>
      </c>
      <c r="K32" s="78" t="s">
        <v>5376</v>
      </c>
      <c r="L32" s="78" t="s">
        <v>5377</v>
      </c>
      <c r="M32" s="78" t="s">
        <v>5378</v>
      </c>
      <c r="N32" s="89" t="s">
        <v>5379</v>
      </c>
      <c r="O32" s="89" t="s">
        <v>5380</v>
      </c>
      <c r="P32" s="89" t="s">
        <v>5381</v>
      </c>
      <c r="Q32" s="89" t="s">
        <v>5382</v>
      </c>
      <c r="R32" s="78" t="s">
        <v>5383</v>
      </c>
      <c r="S32" s="78" t="s">
        <v>5384</v>
      </c>
      <c r="T32" s="78" t="s">
        <v>5385</v>
      </c>
      <c r="U32" s="99" t="s">
        <v>5386</v>
      </c>
      <c r="V32" s="2415" t="s">
        <v>5387</v>
      </c>
      <c r="W32" s="2413" t="s">
        <v>5388</v>
      </c>
      <c r="X32" s="2427" t="s">
        <v>5389</v>
      </c>
      <c r="Y32" s="523" t="s">
        <v>5390</v>
      </c>
      <c r="Z32" s="1150" t="s">
        <v>5391</v>
      </c>
      <c r="AA32" s="1150" t="s">
        <v>5392</v>
      </c>
      <c r="AB32" s="1150" t="s">
        <v>5393</v>
      </c>
      <c r="AC32" s="1150" t="s">
        <v>5394</v>
      </c>
      <c r="AD32" s="202" t="s">
        <v>5395</v>
      </c>
      <c r="AE32" s="1471"/>
      <c r="AF32" s="806"/>
      <c r="AG32" s="806"/>
      <c r="AH32" s="806"/>
      <c r="AI32" s="806"/>
      <c r="AJ32" s="806"/>
      <c r="AK32" s="806"/>
      <c r="AL32" s="806"/>
      <c r="AM32" s="806"/>
      <c r="AN32" s="806"/>
      <c r="AO32" s="806"/>
      <c r="AP32" s="290"/>
      <c r="AQ32" s="290"/>
      <c r="AR32" s="290"/>
      <c r="AS32" s="290"/>
      <c r="AT32" s="290"/>
      <c r="AU32" s="290"/>
      <c r="CA32" s="1438"/>
      <c r="CC32" s="1518"/>
      <c r="DB32" s="3206">
        <v>0</v>
      </c>
      <c r="DF32" s="3206">
        <v>0</v>
      </c>
      <c r="DG32" s="3206">
        <v>0</v>
      </c>
      <c r="DH32" s="3206">
        <v>0</v>
      </c>
      <c r="DI32" s="3206">
        <v>0</v>
      </c>
      <c r="DJ32" s="3206">
        <v>0</v>
      </c>
      <c r="DK32" s="3206">
        <v>0</v>
      </c>
      <c r="DL32" s="3206">
        <v>0</v>
      </c>
      <c r="DM32" s="3206">
        <v>0</v>
      </c>
      <c r="DN32" s="3206">
        <v>0</v>
      </c>
      <c r="DO32" s="3206">
        <v>0</v>
      </c>
      <c r="DP32" s="3206">
        <v>0</v>
      </c>
      <c r="DQ32" s="3206">
        <v>0</v>
      </c>
    </row>
    <row r="33" spans="1:131" ht="16.350000000000001" customHeight="1" x14ac:dyDescent="0.25">
      <c r="A33" s="7258" t="s">
        <v>4020</v>
      </c>
      <c r="B33" s="8584"/>
      <c r="C33" s="81" t="s">
        <v>2591</v>
      </c>
      <c r="D33" s="81" t="s">
        <v>5369</v>
      </c>
      <c r="E33" s="1679" t="s">
        <v>5370</v>
      </c>
      <c r="F33" s="1732" t="s">
        <v>5371</v>
      </c>
      <c r="G33" s="83" t="s">
        <v>5372</v>
      </c>
      <c r="H33" s="83" t="s">
        <v>5373</v>
      </c>
      <c r="I33" s="83" t="s">
        <v>5374</v>
      </c>
      <c r="J33" s="83" t="s">
        <v>5375</v>
      </c>
      <c r="K33" s="83" t="s">
        <v>5376</v>
      </c>
      <c r="L33" s="83" t="s">
        <v>5377</v>
      </c>
      <c r="M33" s="83" t="s">
        <v>5378</v>
      </c>
      <c r="N33" s="83" t="s">
        <v>5379</v>
      </c>
      <c r="O33" s="485" t="s">
        <v>5380</v>
      </c>
      <c r="P33" s="485" t="s">
        <v>5381</v>
      </c>
      <c r="Q33" s="485" t="s">
        <v>5382</v>
      </c>
      <c r="R33" s="83" t="s">
        <v>5383</v>
      </c>
      <c r="S33" s="83" t="s">
        <v>5384</v>
      </c>
      <c r="T33" s="83" t="s">
        <v>5385</v>
      </c>
      <c r="U33" s="101" t="s">
        <v>5386</v>
      </c>
      <c r="V33" s="2418" t="s">
        <v>5387</v>
      </c>
      <c r="W33" s="2063" t="s">
        <v>5388</v>
      </c>
      <c r="X33" s="2412" t="s">
        <v>5389</v>
      </c>
      <c r="Y33" s="497" t="s">
        <v>5390</v>
      </c>
      <c r="Z33" s="2041" t="s">
        <v>5391</v>
      </c>
      <c r="AA33" s="2041" t="s">
        <v>5392</v>
      </c>
      <c r="AB33" s="2041" t="s">
        <v>5393</v>
      </c>
      <c r="AC33" s="2041" t="s">
        <v>5394</v>
      </c>
      <c r="AD33" s="2419" t="s">
        <v>5395</v>
      </c>
      <c r="AE33" s="1471"/>
      <c r="AF33" s="806"/>
      <c r="AG33" s="806"/>
      <c r="AH33" s="806"/>
      <c r="AI33" s="806"/>
      <c r="AJ33" s="806"/>
      <c r="AK33" s="806"/>
      <c r="AL33" s="806"/>
      <c r="AM33" s="806"/>
      <c r="AN33" s="806"/>
      <c r="AO33" s="806"/>
      <c r="AP33" s="290"/>
      <c r="AQ33" s="290"/>
      <c r="AR33" s="290"/>
      <c r="AS33" s="290"/>
      <c r="AT33" s="290"/>
      <c r="AU33" s="290"/>
      <c r="CA33" s="1438"/>
      <c r="CC33" s="1518"/>
      <c r="DB33" s="3206">
        <v>0</v>
      </c>
      <c r="DF33" s="3206">
        <v>0</v>
      </c>
      <c r="DG33" s="3206">
        <v>0</v>
      </c>
      <c r="DH33" s="3206">
        <v>0</v>
      </c>
      <c r="DI33" s="3206">
        <v>0</v>
      </c>
      <c r="DJ33" s="3206">
        <v>0</v>
      </c>
      <c r="DK33" s="3206">
        <v>0</v>
      </c>
      <c r="DL33" s="3206">
        <v>0</v>
      </c>
      <c r="DM33" s="3206">
        <v>0</v>
      </c>
      <c r="DN33" s="3206">
        <v>0</v>
      </c>
      <c r="DO33" s="3206">
        <v>0</v>
      </c>
      <c r="DP33" s="3206">
        <v>0</v>
      </c>
      <c r="DQ33" s="3206">
        <v>0</v>
      </c>
    </row>
    <row r="34" spans="1:131" s="519" customFormat="1" ht="31.35" customHeight="1" x14ac:dyDescent="0.3">
      <c r="B34" s="72" t="s">
        <v>692</v>
      </c>
      <c r="C34" s="499"/>
      <c r="D34" s="499"/>
      <c r="E34" s="499"/>
      <c r="F34" s="499"/>
      <c r="G34" s="499"/>
      <c r="H34" s="499"/>
      <c r="I34" s="499"/>
      <c r="J34" s="499"/>
      <c r="K34" s="499"/>
      <c r="L34" s="499"/>
      <c r="M34" s="499"/>
      <c r="N34" s="499"/>
      <c r="O34" s="499"/>
      <c r="P34" s="499"/>
      <c r="Q34" s="499"/>
      <c r="R34" s="499"/>
      <c r="S34" s="499"/>
      <c r="T34" s="499"/>
      <c r="U34" s="499"/>
      <c r="V34" s="499"/>
      <c r="W34" s="499"/>
      <c r="X34" s="499"/>
      <c r="Y34" s="499"/>
      <c r="Z34" s="499"/>
      <c r="AA34" s="499"/>
      <c r="AB34" s="499"/>
      <c r="CB34" s="522"/>
      <c r="CC34" s="522"/>
      <c r="CD34" s="522"/>
      <c r="CE34" s="522"/>
      <c r="CF34" s="522"/>
      <c r="CG34" s="522"/>
      <c r="CH34" s="522"/>
      <c r="CI34" s="522"/>
      <c r="CJ34" s="522"/>
      <c r="CK34" s="522"/>
      <c r="CL34" s="522"/>
      <c r="CM34" s="522"/>
      <c r="CN34" s="522"/>
      <c r="CO34" s="522"/>
      <c r="CP34" s="522"/>
      <c r="CQ34" s="522"/>
      <c r="CR34" s="522"/>
      <c r="CS34" s="522"/>
      <c r="CT34" s="522"/>
      <c r="CU34" s="522"/>
      <c r="CV34" s="522"/>
      <c r="CW34" s="522"/>
      <c r="CX34" s="522"/>
      <c r="CY34" s="522"/>
      <c r="CZ34" s="522"/>
      <c r="DA34" s="522"/>
      <c r="DB34" s="6953"/>
      <c r="DC34" s="6953"/>
      <c r="DD34" s="6953"/>
      <c r="DE34" s="6953"/>
      <c r="DF34" s="6953"/>
      <c r="DG34" s="6953"/>
      <c r="DH34" s="6953"/>
      <c r="DI34" s="6953"/>
      <c r="DJ34" s="6953"/>
      <c r="DK34" s="6953"/>
      <c r="DL34" s="6953"/>
      <c r="DM34" s="6953"/>
      <c r="DN34" s="6953"/>
      <c r="DO34" s="6953"/>
      <c r="DP34" s="6953"/>
      <c r="DQ34" s="6953"/>
      <c r="DR34" s="6953"/>
      <c r="DS34" s="6953"/>
      <c r="DT34" s="6953"/>
      <c r="DU34" s="6953"/>
      <c r="DV34" s="6953"/>
      <c r="DW34" s="6953"/>
      <c r="DX34" s="6953"/>
      <c r="DY34" s="6953"/>
      <c r="DZ34" s="6953"/>
      <c r="EA34" s="6953"/>
    </row>
    <row r="35" spans="1:131" s="103" customFormat="1" ht="30" customHeight="1" x14ac:dyDescent="0.2">
      <c r="B35" s="8616" t="s">
        <v>652</v>
      </c>
      <c r="C35" s="8616" t="s">
        <v>0</v>
      </c>
      <c r="D35" s="8633" t="s">
        <v>24</v>
      </c>
      <c r="E35" s="8634"/>
      <c r="F35" s="8635"/>
      <c r="G35" s="8562" t="s">
        <v>25</v>
      </c>
      <c r="H35" s="8563"/>
      <c r="I35" s="8563"/>
      <c r="J35" s="8563"/>
      <c r="K35" s="8563"/>
      <c r="L35" s="8563"/>
      <c r="M35" s="8563"/>
      <c r="N35" s="8563"/>
      <c r="O35" s="8563"/>
      <c r="P35" s="8563"/>
      <c r="Q35" s="8563"/>
      <c r="R35" s="8563"/>
      <c r="S35" s="8563"/>
      <c r="T35" s="8563"/>
      <c r="U35" s="8563"/>
      <c r="V35" s="8563"/>
      <c r="W35" s="8563"/>
      <c r="X35" s="8563"/>
      <c r="Y35" s="8563"/>
      <c r="Z35" s="8563"/>
      <c r="AA35" s="8563"/>
      <c r="AB35" s="8563"/>
      <c r="AC35" s="8563"/>
      <c r="AD35" s="8563"/>
      <c r="AE35" s="8563"/>
      <c r="AF35" s="8563"/>
      <c r="AG35" s="8563"/>
      <c r="AH35" s="8563"/>
      <c r="AI35" s="8564"/>
      <c r="AJ35" s="8572" t="s">
        <v>2795</v>
      </c>
      <c r="AK35" s="8573"/>
      <c r="AL35" s="8565" t="s">
        <v>2957</v>
      </c>
      <c r="AM35" s="8565" t="s">
        <v>2615</v>
      </c>
      <c r="AN35" s="8574" t="s">
        <v>362</v>
      </c>
      <c r="AO35" s="8574" t="s">
        <v>361</v>
      </c>
      <c r="CB35" s="514"/>
      <c r="CC35" s="514"/>
      <c r="CD35" s="514"/>
      <c r="CE35" s="514"/>
      <c r="CF35" s="514"/>
      <c r="CG35" s="514"/>
      <c r="CH35" s="514"/>
      <c r="CI35" s="514"/>
      <c r="CJ35" s="514"/>
      <c r="CK35" s="514"/>
      <c r="CL35" s="514"/>
      <c r="CM35" s="514"/>
      <c r="CN35" s="514"/>
      <c r="CO35" s="514"/>
      <c r="CP35" s="514"/>
      <c r="CQ35" s="514"/>
      <c r="CR35" s="514"/>
      <c r="CS35" s="514"/>
      <c r="CT35" s="514"/>
      <c r="CU35" s="514"/>
      <c r="CV35" s="514"/>
      <c r="CW35" s="514"/>
      <c r="CX35" s="514"/>
      <c r="CY35" s="514"/>
      <c r="CZ35" s="514"/>
      <c r="DA35" s="514"/>
      <c r="DB35" s="6954"/>
      <c r="DC35" s="6954"/>
      <c r="DD35" s="6954"/>
      <c r="DE35" s="6954"/>
      <c r="DF35" s="6954"/>
      <c r="DG35" s="6954"/>
      <c r="DH35" s="6954"/>
      <c r="DI35" s="6954"/>
      <c r="DJ35" s="6954"/>
      <c r="DK35" s="6954"/>
      <c r="DL35" s="6954"/>
      <c r="DM35" s="6954"/>
      <c r="DN35" s="6954"/>
      <c r="DO35" s="6954"/>
      <c r="DP35" s="6954"/>
      <c r="DQ35" s="6954"/>
      <c r="DR35" s="6954"/>
      <c r="DS35" s="6954"/>
      <c r="DT35" s="6954"/>
      <c r="DU35" s="6954"/>
      <c r="DV35" s="6954"/>
      <c r="DW35" s="6954"/>
      <c r="DX35" s="6954"/>
      <c r="DY35" s="6954"/>
      <c r="DZ35" s="6954"/>
      <c r="EA35" s="6954"/>
    </row>
    <row r="36" spans="1:131" s="103" customFormat="1" ht="42.6" customHeight="1" x14ac:dyDescent="0.3">
      <c r="B36" s="8617"/>
      <c r="C36" s="8617"/>
      <c r="D36" s="2077" t="s">
        <v>42</v>
      </c>
      <c r="E36" s="464" t="s">
        <v>17</v>
      </c>
      <c r="F36" s="2076" t="s">
        <v>18</v>
      </c>
      <c r="G36" s="2143" t="s">
        <v>691</v>
      </c>
      <c r="H36" s="1795" t="s">
        <v>690</v>
      </c>
      <c r="I36" s="1795" t="s">
        <v>689</v>
      </c>
      <c r="J36" s="1795" t="s">
        <v>688</v>
      </c>
      <c r="K36" s="1796" t="s">
        <v>687</v>
      </c>
      <c r="L36" s="1795" t="s">
        <v>686</v>
      </c>
      <c r="M36" s="1795" t="s">
        <v>685</v>
      </c>
      <c r="N36" s="1795" t="s">
        <v>684</v>
      </c>
      <c r="O36" s="1795" t="s">
        <v>683</v>
      </c>
      <c r="P36" s="1795" t="s">
        <v>682</v>
      </c>
      <c r="Q36" s="1795" t="s">
        <v>681</v>
      </c>
      <c r="R36" s="1795" t="s">
        <v>680</v>
      </c>
      <c r="S36" s="1795" t="s">
        <v>679</v>
      </c>
      <c r="T36" s="1795" t="s">
        <v>678</v>
      </c>
      <c r="U36" s="1797" t="s">
        <v>677</v>
      </c>
      <c r="V36" s="1797" t="s">
        <v>71</v>
      </c>
      <c r="W36" s="1797" t="s">
        <v>4</v>
      </c>
      <c r="X36" s="1797" t="s">
        <v>5</v>
      </c>
      <c r="Y36" s="1797" t="s">
        <v>6</v>
      </c>
      <c r="Z36" s="1797" t="s">
        <v>7</v>
      </c>
      <c r="AA36" s="1797" t="s">
        <v>8</v>
      </c>
      <c r="AB36" s="1797" t="s">
        <v>9</v>
      </c>
      <c r="AC36" s="1797" t="s">
        <v>10</v>
      </c>
      <c r="AD36" s="1797" t="s">
        <v>11</v>
      </c>
      <c r="AE36" s="1797" t="s">
        <v>12</v>
      </c>
      <c r="AF36" s="1797" t="s">
        <v>13</v>
      </c>
      <c r="AG36" s="1797" t="s">
        <v>14</v>
      </c>
      <c r="AH36" s="1797" t="s">
        <v>15</v>
      </c>
      <c r="AI36" s="1798" t="s">
        <v>16</v>
      </c>
      <c r="AJ36" s="521" t="s">
        <v>676</v>
      </c>
      <c r="AK36" s="520" t="s">
        <v>675</v>
      </c>
      <c r="AL36" s="8566"/>
      <c r="AM36" s="8566"/>
      <c r="AN36" s="8566"/>
      <c r="AO36" s="8566"/>
      <c r="AP36" s="519"/>
      <c r="AQ36" s="519"/>
      <c r="CB36" s="514"/>
      <c r="CC36" s="514"/>
      <c r="CD36" s="514"/>
      <c r="CE36" s="514"/>
      <c r="CF36" s="514"/>
      <c r="CG36" s="514"/>
      <c r="CH36" s="514"/>
      <c r="CI36" s="514"/>
      <c r="CJ36" s="514"/>
      <c r="CK36" s="514"/>
      <c r="CL36" s="514"/>
      <c r="CM36" s="514"/>
      <c r="CN36" s="514"/>
      <c r="CO36" s="514"/>
      <c r="CP36" s="514"/>
      <c r="CQ36" s="514"/>
      <c r="CR36" s="514"/>
      <c r="CS36" s="514"/>
      <c r="CT36" s="514"/>
      <c r="CU36" s="514"/>
      <c r="CV36" s="514"/>
      <c r="CW36" s="514"/>
      <c r="CX36" s="514"/>
      <c r="CY36" s="514"/>
      <c r="CZ36" s="514"/>
      <c r="DA36" s="514"/>
      <c r="DB36" s="6954"/>
      <c r="DC36" s="6954"/>
      <c r="DD36" s="6954"/>
      <c r="DE36" s="6954"/>
      <c r="DF36" s="6954"/>
      <c r="DG36" s="6954"/>
      <c r="DH36" s="6954"/>
      <c r="DI36" s="6954"/>
      <c r="DJ36" s="6954"/>
      <c r="DK36" s="6954"/>
      <c r="DL36" s="6954"/>
      <c r="DM36" s="6954"/>
      <c r="DN36" s="6954"/>
      <c r="DO36" s="6954"/>
      <c r="DP36" s="6954"/>
      <c r="DQ36" s="6954"/>
      <c r="DR36" s="6954"/>
      <c r="DS36" s="6954"/>
      <c r="DT36" s="6954"/>
      <c r="DU36" s="6954"/>
      <c r="DV36" s="6954"/>
      <c r="DW36" s="6954"/>
      <c r="DX36" s="6954"/>
      <c r="DY36" s="6954"/>
      <c r="DZ36" s="6954"/>
      <c r="EA36" s="6954"/>
    </row>
    <row r="37" spans="1:131" s="103" customFormat="1" ht="14.4" customHeight="1" x14ac:dyDescent="0.2">
      <c r="A37" s="7258" t="s">
        <v>4021</v>
      </c>
      <c r="B37" s="8583" t="s">
        <v>674</v>
      </c>
      <c r="C37" s="466" t="s">
        <v>2590</v>
      </c>
      <c r="D37" s="466" t="s">
        <v>5369</v>
      </c>
      <c r="E37" s="518" t="s">
        <v>5370</v>
      </c>
      <c r="F37" s="517" t="s">
        <v>5371</v>
      </c>
      <c r="G37" s="1786" t="s">
        <v>5372</v>
      </c>
      <c r="H37" s="1799" t="s">
        <v>5373</v>
      </c>
      <c r="I37" s="1799" t="s">
        <v>5374</v>
      </c>
      <c r="J37" s="1799" t="s">
        <v>5375</v>
      </c>
      <c r="K37" s="1800" t="s">
        <v>5376</v>
      </c>
      <c r="L37" s="1800" t="s">
        <v>5377</v>
      </c>
      <c r="M37" s="1799" t="s">
        <v>5378</v>
      </c>
      <c r="N37" s="1799" t="s">
        <v>5379</v>
      </c>
      <c r="O37" s="1801" t="s">
        <v>5380</v>
      </c>
      <c r="P37" s="1801" t="s">
        <v>5381</v>
      </c>
      <c r="Q37" s="1785" t="s">
        <v>5382</v>
      </c>
      <c r="R37" s="1799" t="s">
        <v>5383</v>
      </c>
      <c r="S37" s="1799" t="s">
        <v>5384</v>
      </c>
      <c r="T37" s="1799" t="s">
        <v>5385</v>
      </c>
      <c r="U37" s="1800" t="s">
        <v>5386</v>
      </c>
      <c r="V37" s="1800" t="s">
        <v>5387</v>
      </c>
      <c r="W37" s="1799" t="s">
        <v>5388</v>
      </c>
      <c r="X37" s="1799" t="s">
        <v>5389</v>
      </c>
      <c r="Y37" s="1800" t="s">
        <v>5390</v>
      </c>
      <c r="Z37" s="1800" t="s">
        <v>5391</v>
      </c>
      <c r="AA37" s="1785" t="s">
        <v>5392</v>
      </c>
      <c r="AB37" s="1799" t="s">
        <v>5393</v>
      </c>
      <c r="AC37" s="1799" t="s">
        <v>5394</v>
      </c>
      <c r="AD37" s="1799" t="s">
        <v>5395</v>
      </c>
      <c r="AE37" s="1799" t="s">
        <v>5396</v>
      </c>
      <c r="AF37" s="1799" t="s">
        <v>5397</v>
      </c>
      <c r="AG37" s="1799" t="s">
        <v>5398</v>
      </c>
      <c r="AH37" s="1799" t="s">
        <v>5399</v>
      </c>
      <c r="AI37" s="8007" t="s">
        <v>5400</v>
      </c>
      <c r="AJ37" s="3134" t="s">
        <v>5401</v>
      </c>
      <c r="AK37" s="7019" t="s">
        <v>5402</v>
      </c>
      <c r="AL37" s="7741" t="s">
        <v>5403</v>
      </c>
      <c r="AM37" s="7741" t="s">
        <v>5404</v>
      </c>
      <c r="AN37" s="7741" t="s">
        <v>5405</v>
      </c>
      <c r="AO37" s="7741" t="s">
        <v>5406</v>
      </c>
      <c r="AP37" s="1471"/>
      <c r="AQ37" s="806"/>
      <c r="AR37" s="806"/>
      <c r="AS37" s="806"/>
      <c r="AT37" s="806"/>
      <c r="AU37" s="806"/>
      <c r="AV37" s="806"/>
      <c r="AW37" s="806"/>
      <c r="AX37" s="806"/>
      <c r="AY37" s="806"/>
      <c r="AZ37" s="806"/>
      <c r="CA37" s="103" t="s">
        <v>5427</v>
      </c>
      <c r="CB37" s="514" t="s">
        <v>5428</v>
      </c>
      <c r="CC37" s="514" t="s">
        <v>5424</v>
      </c>
      <c r="CD37" s="514"/>
      <c r="CE37" s="514"/>
      <c r="CF37" s="514"/>
      <c r="CG37" s="514"/>
      <c r="CH37" s="514"/>
      <c r="CI37" s="514"/>
      <c r="CJ37" s="514"/>
      <c r="CK37" s="514"/>
      <c r="CL37" s="514"/>
      <c r="CM37" s="514"/>
      <c r="CN37" s="514"/>
      <c r="CO37" s="514"/>
      <c r="CP37" s="514"/>
      <c r="CQ37" s="514"/>
      <c r="CR37" s="514"/>
      <c r="CS37" s="514"/>
      <c r="CT37" s="514"/>
      <c r="CU37" s="514"/>
      <c r="CV37" s="514"/>
      <c r="CW37" s="514"/>
      <c r="CX37" s="514"/>
      <c r="CY37" s="514"/>
      <c r="CZ37" s="514"/>
      <c r="DA37" s="514">
        <v>1</v>
      </c>
      <c r="DB37" s="6954">
        <v>1</v>
      </c>
      <c r="DC37" s="6954">
        <v>1</v>
      </c>
      <c r="DD37" s="6954">
        <v>0</v>
      </c>
      <c r="DE37" s="6954"/>
      <c r="DF37" s="6954"/>
      <c r="DG37" s="6954"/>
      <c r="DH37" s="6954"/>
      <c r="DI37" s="6954"/>
      <c r="DJ37" s="6954"/>
      <c r="DK37" s="6954"/>
      <c r="DL37" s="6954"/>
      <c r="DM37" s="6954"/>
      <c r="DN37" s="6954"/>
      <c r="DO37" s="6954"/>
      <c r="DP37" s="6954"/>
      <c r="DQ37" s="6954"/>
      <c r="DR37" s="6954"/>
      <c r="DS37" s="6954"/>
      <c r="DT37" s="6954"/>
      <c r="DU37" s="6954"/>
      <c r="DV37" s="6954"/>
      <c r="DW37" s="6954"/>
      <c r="DX37" s="6954"/>
      <c r="DY37" s="6954"/>
      <c r="DZ37" s="6954"/>
      <c r="EA37" s="6954"/>
    </row>
    <row r="38" spans="1:131" s="103" customFormat="1" ht="14.4" customHeight="1" x14ac:dyDescent="0.2">
      <c r="A38" s="7258" t="s">
        <v>4022</v>
      </c>
      <c r="B38" s="8555"/>
      <c r="C38" s="109" t="s">
        <v>2592</v>
      </c>
      <c r="D38" s="109" t="s">
        <v>5369</v>
      </c>
      <c r="E38" s="518" t="s">
        <v>5370</v>
      </c>
      <c r="F38" s="517" t="s">
        <v>5371</v>
      </c>
      <c r="G38" s="1661" t="s">
        <v>5372</v>
      </c>
      <c r="H38" s="1741" t="s">
        <v>5373</v>
      </c>
      <c r="I38" s="1741" t="s">
        <v>5374</v>
      </c>
      <c r="J38" s="1662" t="s">
        <v>5375</v>
      </c>
      <c r="K38" s="1741" t="s">
        <v>5376</v>
      </c>
      <c r="L38" s="1741" t="s">
        <v>5377</v>
      </c>
      <c r="M38" s="1662" t="s">
        <v>5378</v>
      </c>
      <c r="N38" s="1741" t="s">
        <v>5379</v>
      </c>
      <c r="O38" s="1741" t="s">
        <v>5380</v>
      </c>
      <c r="P38" s="1662" t="s">
        <v>5381</v>
      </c>
      <c r="Q38" s="1741" t="s">
        <v>5382</v>
      </c>
      <c r="R38" s="1741" t="s">
        <v>5383</v>
      </c>
      <c r="S38" s="1662" t="s">
        <v>5384</v>
      </c>
      <c r="T38" s="1741" t="s">
        <v>5385</v>
      </c>
      <c r="U38" s="1741" t="s">
        <v>5386</v>
      </c>
      <c r="V38" s="1662" t="s">
        <v>5387</v>
      </c>
      <c r="W38" s="1741" t="s">
        <v>5388</v>
      </c>
      <c r="X38" s="1741" t="s">
        <v>5389</v>
      </c>
      <c r="Y38" s="1662" t="s">
        <v>5390</v>
      </c>
      <c r="Z38" s="1741" t="s">
        <v>5391</v>
      </c>
      <c r="AA38" s="1741" t="s">
        <v>5392</v>
      </c>
      <c r="AB38" s="1662" t="s">
        <v>5393</v>
      </c>
      <c r="AC38" s="1741" t="s">
        <v>5394</v>
      </c>
      <c r="AD38" s="1741" t="s">
        <v>5395</v>
      </c>
      <c r="AE38" s="1741" t="s">
        <v>5396</v>
      </c>
      <c r="AF38" s="1741" t="s">
        <v>5397</v>
      </c>
      <c r="AG38" s="1741" t="s">
        <v>5398</v>
      </c>
      <c r="AH38" s="1741" t="s">
        <v>5399</v>
      </c>
      <c r="AI38" s="8008" t="s">
        <v>5400</v>
      </c>
      <c r="AJ38" s="8005" t="s">
        <v>5401</v>
      </c>
      <c r="AK38" s="8010" t="s">
        <v>5402</v>
      </c>
      <c r="AL38" s="8011" t="s">
        <v>5403</v>
      </c>
      <c r="AM38" s="8011" t="s">
        <v>5404</v>
      </c>
      <c r="AN38" s="8011" t="s">
        <v>5405</v>
      </c>
      <c r="AO38" s="8011" t="s">
        <v>5406</v>
      </c>
      <c r="AP38" s="1471"/>
      <c r="AQ38" s="806"/>
      <c r="AR38" s="806"/>
      <c r="AS38" s="806"/>
      <c r="AT38" s="806"/>
      <c r="AU38" s="806"/>
      <c r="AV38" s="806"/>
      <c r="AW38" s="806"/>
      <c r="AX38" s="806"/>
      <c r="AY38" s="806"/>
      <c r="AZ38" s="806"/>
      <c r="CB38" s="514"/>
      <c r="CC38" s="514"/>
      <c r="CD38" s="514"/>
      <c r="CE38" s="514"/>
      <c r="CF38" s="514"/>
      <c r="CG38" s="514"/>
      <c r="CH38" s="514"/>
      <c r="CI38" s="514"/>
      <c r="CJ38" s="514"/>
      <c r="CK38" s="514"/>
      <c r="CL38" s="514"/>
      <c r="CM38" s="514"/>
      <c r="CN38" s="514"/>
      <c r="CO38" s="514"/>
      <c r="CP38" s="514"/>
      <c r="CQ38" s="514"/>
      <c r="CR38" s="514"/>
      <c r="CS38" s="514"/>
      <c r="CT38" s="514"/>
      <c r="CU38" s="514"/>
      <c r="CV38" s="514"/>
      <c r="CW38" s="514"/>
      <c r="CX38" s="514"/>
      <c r="CY38" s="514"/>
      <c r="CZ38" s="514"/>
      <c r="DA38" s="514"/>
      <c r="DB38" s="6954">
        <v>0</v>
      </c>
      <c r="DC38" s="6954">
        <v>0</v>
      </c>
      <c r="DD38" s="6954">
        <v>0</v>
      </c>
      <c r="DE38" s="6954"/>
      <c r="DF38" s="6954"/>
      <c r="DG38" s="6954"/>
      <c r="DH38" s="6954"/>
      <c r="DI38" s="6954"/>
      <c r="DJ38" s="6954"/>
      <c r="DK38" s="6954"/>
      <c r="DL38" s="6954"/>
      <c r="DM38" s="6954"/>
      <c r="DN38" s="6954"/>
      <c r="DO38" s="6954"/>
      <c r="DP38" s="6954"/>
      <c r="DQ38" s="6954"/>
      <c r="DR38" s="6954"/>
      <c r="DS38" s="6954"/>
      <c r="DT38" s="6954"/>
      <c r="DU38" s="6954"/>
      <c r="DV38" s="6954"/>
      <c r="DW38" s="6954"/>
      <c r="DX38" s="6954"/>
      <c r="DY38" s="6954"/>
      <c r="DZ38" s="6954"/>
      <c r="EA38" s="6954"/>
    </row>
    <row r="39" spans="1:131" s="103" customFormat="1" ht="14.4" customHeight="1" x14ac:dyDescent="0.2">
      <c r="A39" s="7258" t="s">
        <v>4023</v>
      </c>
      <c r="B39" s="8555"/>
      <c r="C39" s="92" t="s">
        <v>2591</v>
      </c>
      <c r="D39" s="92" t="s">
        <v>5369</v>
      </c>
      <c r="E39" s="518" t="s">
        <v>5370</v>
      </c>
      <c r="F39" s="517" t="s">
        <v>5371</v>
      </c>
      <c r="G39" s="1661" t="s">
        <v>5372</v>
      </c>
      <c r="H39" s="1685" t="s">
        <v>5373</v>
      </c>
      <c r="I39" s="1685" t="s">
        <v>5374</v>
      </c>
      <c r="J39" s="1685" t="s">
        <v>5375</v>
      </c>
      <c r="K39" s="1685" t="s">
        <v>5376</v>
      </c>
      <c r="L39" s="1685" t="s">
        <v>5377</v>
      </c>
      <c r="M39" s="1685" t="s">
        <v>5378</v>
      </c>
      <c r="N39" s="1685" t="s">
        <v>5379</v>
      </c>
      <c r="O39" s="1685" t="s">
        <v>5380</v>
      </c>
      <c r="P39" s="1685" t="s">
        <v>5381</v>
      </c>
      <c r="Q39" s="1685" t="s">
        <v>5382</v>
      </c>
      <c r="R39" s="1685" t="s">
        <v>5383</v>
      </c>
      <c r="S39" s="1685" t="s">
        <v>5384</v>
      </c>
      <c r="T39" s="1685" t="s">
        <v>5385</v>
      </c>
      <c r="U39" s="1662" t="s">
        <v>5386</v>
      </c>
      <c r="V39" s="1662" t="s">
        <v>5387</v>
      </c>
      <c r="W39" s="1662" t="s">
        <v>5388</v>
      </c>
      <c r="X39" s="1662" t="s">
        <v>5389</v>
      </c>
      <c r="Y39" s="1662" t="s">
        <v>5390</v>
      </c>
      <c r="Z39" s="1662" t="s">
        <v>5391</v>
      </c>
      <c r="AA39" s="1662" t="s">
        <v>5392</v>
      </c>
      <c r="AB39" s="1662" t="s">
        <v>5393</v>
      </c>
      <c r="AC39" s="1662" t="s">
        <v>5394</v>
      </c>
      <c r="AD39" s="1662" t="s">
        <v>5395</v>
      </c>
      <c r="AE39" s="1662" t="s">
        <v>5396</v>
      </c>
      <c r="AF39" s="1662" t="s">
        <v>5397</v>
      </c>
      <c r="AG39" s="1662" t="s">
        <v>5398</v>
      </c>
      <c r="AH39" s="1662" t="s">
        <v>5399</v>
      </c>
      <c r="AI39" s="4542" t="s">
        <v>5400</v>
      </c>
      <c r="AJ39" s="2852" t="s">
        <v>5401</v>
      </c>
      <c r="AK39" s="8012" t="s">
        <v>5402</v>
      </c>
      <c r="AL39" s="8011" t="s">
        <v>5403</v>
      </c>
      <c r="AM39" s="8011" t="s">
        <v>5404</v>
      </c>
      <c r="AN39" s="8011" t="s">
        <v>5405</v>
      </c>
      <c r="AO39" s="8011" t="s">
        <v>5406</v>
      </c>
      <c r="AP39" s="1471"/>
      <c r="AQ39" s="806"/>
      <c r="AR39" s="806"/>
      <c r="AS39" s="806"/>
      <c r="AT39" s="806"/>
      <c r="AU39" s="806"/>
      <c r="AV39" s="806"/>
      <c r="AW39" s="806"/>
      <c r="AX39" s="806"/>
      <c r="AY39" s="806"/>
      <c r="AZ39" s="806"/>
      <c r="CA39" s="103" t="s">
        <v>5427</v>
      </c>
      <c r="CB39" s="514" t="s">
        <v>5428</v>
      </c>
      <c r="CC39" s="514" t="s">
        <v>5424</v>
      </c>
      <c r="CD39" s="514"/>
      <c r="CE39" s="514"/>
      <c r="CF39" s="514"/>
      <c r="CG39" s="514"/>
      <c r="CH39" s="514"/>
      <c r="CI39" s="514"/>
      <c r="CJ39" s="514"/>
      <c r="CK39" s="514"/>
      <c r="CL39" s="514"/>
      <c r="CM39" s="514"/>
      <c r="CN39" s="514"/>
      <c r="CO39" s="514"/>
      <c r="CP39" s="514"/>
      <c r="CQ39" s="514"/>
      <c r="CR39" s="514"/>
      <c r="CS39" s="514"/>
      <c r="CT39" s="514"/>
      <c r="CU39" s="514"/>
      <c r="CV39" s="514"/>
      <c r="CW39" s="514"/>
      <c r="CX39" s="514"/>
      <c r="CY39" s="514"/>
      <c r="CZ39" s="514"/>
      <c r="DA39" s="514">
        <v>1</v>
      </c>
      <c r="DB39" s="6954">
        <v>1</v>
      </c>
      <c r="DC39" s="6954">
        <v>1</v>
      </c>
      <c r="DD39" s="6954">
        <v>0</v>
      </c>
      <c r="DE39" s="6954"/>
      <c r="DF39" s="6954"/>
      <c r="DG39" s="6954"/>
      <c r="DH39" s="6954"/>
      <c r="DI39" s="6954"/>
      <c r="DJ39" s="6954"/>
      <c r="DK39" s="6954"/>
      <c r="DL39" s="6954"/>
      <c r="DM39" s="6954"/>
      <c r="DN39" s="6954"/>
      <c r="DO39" s="6954"/>
      <c r="DP39" s="6954"/>
      <c r="DQ39" s="6954"/>
      <c r="DR39" s="6954"/>
      <c r="DS39" s="6954"/>
      <c r="DT39" s="6954"/>
      <c r="DU39" s="6954"/>
      <c r="DV39" s="6954"/>
      <c r="DW39" s="6954"/>
      <c r="DX39" s="6954"/>
      <c r="DY39" s="6954"/>
      <c r="DZ39" s="6954"/>
      <c r="EA39" s="6954"/>
    </row>
    <row r="40" spans="1:131" s="103" customFormat="1" ht="14.4" customHeight="1" x14ac:dyDescent="0.2">
      <c r="A40" s="7258" t="s">
        <v>4024</v>
      </c>
      <c r="B40" s="8584"/>
      <c r="C40" s="2466" t="s">
        <v>3424</v>
      </c>
      <c r="D40" s="81" t="s">
        <v>5369</v>
      </c>
      <c r="E40" s="3668" t="s">
        <v>5370</v>
      </c>
      <c r="F40" s="3669" t="s">
        <v>5371</v>
      </c>
      <c r="G40" s="1736" t="s">
        <v>5372</v>
      </c>
      <c r="H40" s="1739" t="s">
        <v>5373</v>
      </c>
      <c r="I40" s="1739" t="s">
        <v>5374</v>
      </c>
      <c r="J40" s="1739" t="s">
        <v>5375</v>
      </c>
      <c r="K40" s="1739" t="s">
        <v>5376</v>
      </c>
      <c r="L40" s="804" t="s">
        <v>5377</v>
      </c>
      <c r="M40" s="804" t="s">
        <v>5378</v>
      </c>
      <c r="N40" s="804" t="s">
        <v>5379</v>
      </c>
      <c r="O40" s="6935" t="s">
        <v>5380</v>
      </c>
      <c r="P40" s="2991" t="s">
        <v>5381</v>
      </c>
      <c r="Q40" s="6935" t="s">
        <v>5382</v>
      </c>
      <c r="R40" s="6935" t="s">
        <v>5383</v>
      </c>
      <c r="S40" s="2991" t="s">
        <v>5384</v>
      </c>
      <c r="T40" s="6935" t="s">
        <v>5385</v>
      </c>
      <c r="U40" s="804" t="s">
        <v>5386</v>
      </c>
      <c r="V40" s="804" t="s">
        <v>5387</v>
      </c>
      <c r="W40" s="804" t="s">
        <v>5388</v>
      </c>
      <c r="X40" s="804" t="s">
        <v>5389</v>
      </c>
      <c r="Y40" s="804" t="s">
        <v>5390</v>
      </c>
      <c r="Z40" s="804" t="s">
        <v>5391</v>
      </c>
      <c r="AA40" s="804" t="s">
        <v>5392</v>
      </c>
      <c r="AB40" s="804" t="s">
        <v>5393</v>
      </c>
      <c r="AC40" s="804" t="s">
        <v>5394</v>
      </c>
      <c r="AD40" s="804" t="s">
        <v>5395</v>
      </c>
      <c r="AE40" s="804" t="s">
        <v>5396</v>
      </c>
      <c r="AF40" s="804" t="s">
        <v>5397</v>
      </c>
      <c r="AG40" s="804" t="s">
        <v>5398</v>
      </c>
      <c r="AH40" s="1740" t="s">
        <v>5399</v>
      </c>
      <c r="AI40" s="8009" t="s">
        <v>5400</v>
      </c>
      <c r="AJ40" s="8006" t="s">
        <v>5401</v>
      </c>
      <c r="AK40" s="8013" t="s">
        <v>5402</v>
      </c>
      <c r="AL40" s="8014" t="s">
        <v>5403</v>
      </c>
      <c r="AM40" s="8014" t="s">
        <v>5404</v>
      </c>
      <c r="AN40" s="8014" t="s">
        <v>5405</v>
      </c>
      <c r="AO40" s="8014" t="s">
        <v>5406</v>
      </c>
      <c r="AP40" s="1471"/>
      <c r="AQ40" s="806"/>
      <c r="AR40" s="806"/>
      <c r="AS40" s="806"/>
      <c r="AT40" s="806"/>
      <c r="AU40" s="806"/>
      <c r="AV40" s="806"/>
      <c r="AW40" s="806"/>
      <c r="AX40" s="806"/>
      <c r="AY40" s="806"/>
      <c r="AZ40" s="806"/>
      <c r="CB40" s="514"/>
      <c r="CC40" s="514" t="s">
        <v>5424</v>
      </c>
      <c r="CD40" s="514" t="s">
        <v>5425</v>
      </c>
      <c r="CE40" s="514"/>
      <c r="CF40" s="514" t="s">
        <v>5426</v>
      </c>
      <c r="CG40" s="514"/>
      <c r="CH40" s="514" t="s">
        <v>5417</v>
      </c>
      <c r="CI40" s="514"/>
      <c r="CJ40" s="514" t="s">
        <v>5418</v>
      </c>
      <c r="CK40" s="514"/>
      <c r="CL40" s="514"/>
      <c r="CM40" s="514"/>
      <c r="CN40" s="514"/>
      <c r="CO40" s="514"/>
      <c r="CP40" s="514"/>
      <c r="CQ40" s="514"/>
      <c r="CR40" s="514"/>
      <c r="CS40" s="514"/>
      <c r="CT40" s="514"/>
      <c r="CU40" s="514"/>
      <c r="CV40" s="514"/>
      <c r="CW40" s="514"/>
      <c r="CX40" s="514"/>
      <c r="CY40" s="514"/>
      <c r="CZ40" s="514"/>
      <c r="DA40" s="514"/>
      <c r="DB40" s="6954"/>
      <c r="DC40" s="6954">
        <v>1</v>
      </c>
      <c r="DD40" s="6954">
        <v>0</v>
      </c>
      <c r="DE40" s="6954"/>
      <c r="DF40" s="6954"/>
      <c r="DG40" s="6954"/>
      <c r="DH40" s="6954"/>
      <c r="DI40" s="6954"/>
      <c r="DJ40" s="6954"/>
      <c r="DK40" s="6954"/>
      <c r="DL40" s="6954"/>
      <c r="DM40" s="6954"/>
      <c r="DN40" s="6954"/>
      <c r="DO40" s="6954"/>
      <c r="DP40" s="6954"/>
      <c r="DQ40" s="6954"/>
      <c r="DR40" s="6954"/>
      <c r="DS40" s="6954"/>
      <c r="DT40" s="6954"/>
      <c r="DU40" s="6954"/>
      <c r="DV40" s="6954"/>
      <c r="DW40" s="6954"/>
      <c r="DX40" s="6954"/>
      <c r="DY40" s="6954"/>
      <c r="DZ40" s="6954"/>
      <c r="EA40" s="6954"/>
    </row>
    <row r="41" spans="1:131" s="290" customFormat="1" ht="31.35" customHeight="1" x14ac:dyDescent="0.25">
      <c r="B41" s="2162" t="s">
        <v>673</v>
      </c>
      <c r="C41" s="365"/>
      <c r="D41" s="365"/>
      <c r="E41" s="365"/>
      <c r="F41" s="199"/>
      <c r="G41" s="1543"/>
      <c r="H41" s="1500"/>
      <c r="I41" s="1431"/>
      <c r="J41" s="1570"/>
      <c r="K41" s="1570"/>
      <c r="L41" s="1570"/>
      <c r="M41" s="1570"/>
      <c r="N41" s="1500"/>
      <c r="O41" s="199"/>
      <c r="P41" s="1570"/>
      <c r="Q41" s="1570"/>
      <c r="R41" s="1570"/>
      <c r="S41" s="1570"/>
      <c r="T41" s="1570"/>
      <c r="U41" s="1500"/>
      <c r="V41" s="1500"/>
      <c r="W41" s="199"/>
      <c r="X41" s="1570"/>
      <c r="Y41" s="1500"/>
      <c r="Z41" s="1500"/>
      <c r="AA41" s="1500"/>
      <c r="AB41" s="199"/>
      <c r="AC41" s="484"/>
      <c r="AD41" s="1500"/>
      <c r="AE41" s="1500"/>
      <c r="AF41" s="199"/>
      <c r="AG41" s="1500"/>
      <c r="AH41" s="199"/>
      <c r="AI41" s="1570"/>
      <c r="AJ41" s="1570"/>
      <c r="AK41" s="1570"/>
      <c r="AL41" s="1570"/>
      <c r="AM41" s="1570"/>
      <c r="AN41" s="1571"/>
      <c r="AO41" s="2383"/>
      <c r="AP41" s="103"/>
      <c r="AQ41" s="103"/>
      <c r="AR41" s="103"/>
      <c r="AS41" s="103"/>
      <c r="AT41" s="103"/>
      <c r="CB41" s="1429"/>
      <c r="CC41" s="1429"/>
      <c r="CD41" s="1429"/>
      <c r="CE41" s="1429"/>
      <c r="CF41" s="1429"/>
      <c r="CG41" s="1429"/>
      <c r="CH41" s="1429"/>
      <c r="CI41" s="1429"/>
      <c r="CJ41" s="1429"/>
      <c r="CK41" s="1429"/>
      <c r="CL41" s="1429"/>
      <c r="CM41" s="1429"/>
      <c r="CN41" s="1429"/>
      <c r="CO41" s="1429"/>
      <c r="CP41" s="1429"/>
      <c r="CQ41" s="1429"/>
      <c r="CR41" s="1429"/>
      <c r="CS41" s="1429"/>
      <c r="CT41" s="1429"/>
      <c r="CU41" s="1429"/>
      <c r="CV41" s="1429"/>
      <c r="CW41" s="1429"/>
      <c r="CX41" s="1429"/>
      <c r="CY41" s="1429"/>
      <c r="CZ41" s="1429"/>
      <c r="DA41" s="1429"/>
      <c r="DB41" s="3206"/>
      <c r="DC41" s="3206"/>
      <c r="DD41" s="3206"/>
      <c r="DE41" s="3206"/>
      <c r="DF41" s="3206"/>
      <c r="DG41" s="3206"/>
      <c r="DH41" s="3206"/>
      <c r="DI41" s="3206"/>
      <c r="DJ41" s="3206"/>
      <c r="DK41" s="3206"/>
      <c r="DL41" s="3206"/>
      <c r="DM41" s="3206"/>
      <c r="DN41" s="3206"/>
      <c r="DO41" s="3206"/>
      <c r="DP41" s="3206"/>
      <c r="DQ41" s="3206"/>
      <c r="DR41" s="3206"/>
      <c r="DS41" s="3206"/>
      <c r="DT41" s="3206"/>
      <c r="DU41" s="3206"/>
      <c r="DV41" s="3206"/>
      <c r="DW41" s="3206"/>
      <c r="DX41" s="3206"/>
      <c r="DY41" s="3206"/>
      <c r="DZ41" s="3206"/>
      <c r="EA41" s="3206"/>
    </row>
    <row r="42" spans="1:131" s="290" customFormat="1" ht="14.4" customHeight="1" x14ac:dyDescent="0.25">
      <c r="B42" s="8616" t="s">
        <v>652</v>
      </c>
      <c r="C42" s="8616" t="s">
        <v>0</v>
      </c>
      <c r="D42" s="8612" t="s">
        <v>24</v>
      </c>
      <c r="E42" s="8597"/>
      <c r="F42" s="8613"/>
      <c r="G42" s="8577" t="s">
        <v>25</v>
      </c>
      <c r="H42" s="8578"/>
      <c r="I42" s="8578"/>
      <c r="J42" s="8578"/>
      <c r="K42" s="8578"/>
      <c r="L42" s="8578"/>
      <c r="M42" s="8578"/>
      <c r="N42" s="8578"/>
      <c r="O42" s="8578"/>
      <c r="P42" s="8578"/>
      <c r="Q42" s="8578"/>
      <c r="R42" s="8578"/>
      <c r="S42" s="8578"/>
      <c r="T42" s="8578"/>
      <c r="U42" s="8578"/>
      <c r="V42" s="8578"/>
      <c r="W42" s="8578"/>
      <c r="X42" s="8578"/>
      <c r="Y42" s="8578"/>
      <c r="Z42" s="8578"/>
      <c r="AA42" s="8578"/>
      <c r="AB42" s="8578"/>
      <c r="AC42" s="8578"/>
      <c r="AD42" s="8578"/>
      <c r="AE42" s="8578"/>
      <c r="AF42" s="8578"/>
      <c r="AG42" s="8578"/>
      <c r="AH42" s="8578"/>
      <c r="AI42" s="8578"/>
      <c r="AJ42" s="8578"/>
      <c r="AK42" s="8578"/>
      <c r="AL42" s="8578"/>
      <c r="AM42" s="8578"/>
      <c r="AN42" s="8579"/>
      <c r="AO42" s="8559" t="s">
        <v>362</v>
      </c>
      <c r="AP42" s="8554" t="s">
        <v>361</v>
      </c>
      <c r="AQ42" s="103"/>
      <c r="CA42" s="1438"/>
      <c r="CB42" s="1429"/>
      <c r="CC42" s="1429"/>
      <c r="CD42" s="1429"/>
      <c r="CE42" s="1429"/>
      <c r="CF42" s="1429"/>
      <c r="CG42" s="1429"/>
      <c r="CH42" s="1429"/>
      <c r="CI42" s="1429"/>
      <c r="CJ42" s="1429"/>
      <c r="CK42" s="1429"/>
      <c r="CL42" s="1429"/>
      <c r="CM42" s="1429"/>
      <c r="CN42" s="1429"/>
      <c r="CO42" s="1429"/>
      <c r="CP42" s="1429"/>
      <c r="CQ42" s="1429"/>
      <c r="CR42" s="1429"/>
      <c r="CS42" s="1429"/>
      <c r="CT42" s="1429"/>
      <c r="CU42" s="1429"/>
      <c r="CV42" s="1429"/>
      <c r="CW42" s="1429"/>
      <c r="CX42" s="1429"/>
      <c r="CY42" s="1429"/>
      <c r="CZ42" s="1429"/>
      <c r="DA42" s="1429"/>
      <c r="DB42" s="3206"/>
      <c r="DC42" s="3206"/>
      <c r="DD42" s="3206"/>
      <c r="DE42" s="3206"/>
      <c r="DF42" s="3206"/>
      <c r="DG42" s="3206"/>
      <c r="DH42" s="3206"/>
      <c r="DI42" s="3206"/>
      <c r="DJ42" s="3206"/>
      <c r="DK42" s="3206"/>
      <c r="DL42" s="3206"/>
      <c r="DM42" s="3206"/>
      <c r="DN42" s="3206"/>
      <c r="DO42" s="3206"/>
      <c r="DP42" s="3206"/>
      <c r="DQ42" s="3206"/>
      <c r="DR42" s="3206"/>
      <c r="DS42" s="3206"/>
      <c r="DT42" s="3206"/>
      <c r="DU42" s="3206"/>
      <c r="DV42" s="3206"/>
      <c r="DW42" s="3206"/>
      <c r="DX42" s="3206"/>
      <c r="DY42" s="3206"/>
      <c r="DZ42" s="3206"/>
      <c r="EA42" s="3206"/>
    </row>
    <row r="43" spans="1:131" s="290" customFormat="1" ht="16.350000000000001" customHeight="1" x14ac:dyDescent="0.25">
      <c r="B43" s="8619"/>
      <c r="C43" s="8619"/>
      <c r="D43" s="8621"/>
      <c r="E43" s="8560"/>
      <c r="F43" s="8622"/>
      <c r="G43" s="8570" t="s">
        <v>3459</v>
      </c>
      <c r="H43" s="8571"/>
      <c r="I43" s="8570" t="s">
        <v>3460</v>
      </c>
      <c r="J43" s="8571"/>
      <c r="K43" s="8570" t="s">
        <v>3461</v>
      </c>
      <c r="L43" s="8571"/>
      <c r="M43" s="8570" t="s">
        <v>33</v>
      </c>
      <c r="N43" s="8571"/>
      <c r="O43" s="8567" t="s">
        <v>81</v>
      </c>
      <c r="P43" s="8569"/>
      <c r="Q43" s="8567" t="s">
        <v>82</v>
      </c>
      <c r="R43" s="8569"/>
      <c r="S43" s="8567" t="s">
        <v>83</v>
      </c>
      <c r="T43" s="8569"/>
      <c r="U43" s="8567" t="s">
        <v>400</v>
      </c>
      <c r="V43" s="8569"/>
      <c r="W43" s="8567" t="s">
        <v>124</v>
      </c>
      <c r="X43" s="8569"/>
      <c r="Y43" s="8567" t="s">
        <v>125</v>
      </c>
      <c r="Z43" s="8569"/>
      <c r="AA43" s="8567" t="s">
        <v>126</v>
      </c>
      <c r="AB43" s="8569"/>
      <c r="AC43" s="8567" t="s">
        <v>127</v>
      </c>
      <c r="AD43" s="8569"/>
      <c r="AE43" s="8567" t="s">
        <v>128</v>
      </c>
      <c r="AF43" s="8569"/>
      <c r="AG43" s="8567" t="s">
        <v>129</v>
      </c>
      <c r="AH43" s="8569"/>
      <c r="AI43" s="8567" t="s">
        <v>130</v>
      </c>
      <c r="AJ43" s="8569"/>
      <c r="AK43" s="8567" t="s">
        <v>131</v>
      </c>
      <c r="AL43" s="8569"/>
      <c r="AM43" s="8567" t="s">
        <v>1405</v>
      </c>
      <c r="AN43" s="8568"/>
      <c r="AO43" s="8560"/>
      <c r="AP43" s="8555"/>
      <c r="AQ43" s="103"/>
      <c r="AR43" s="103"/>
      <c r="CA43" s="1438"/>
      <c r="CB43" s="1429"/>
      <c r="CC43" s="1429"/>
      <c r="CD43" s="1429"/>
      <c r="CE43" s="1429"/>
      <c r="CF43" s="1429"/>
      <c r="CG43" s="1429"/>
      <c r="CH43" s="1429"/>
      <c r="CI43" s="1429"/>
      <c r="CJ43" s="1429"/>
      <c r="CK43" s="1429"/>
      <c r="CL43" s="1429"/>
      <c r="CM43" s="1429"/>
      <c r="CN43" s="1429"/>
      <c r="CO43" s="1429"/>
      <c r="CP43" s="1429"/>
      <c r="CQ43" s="1429"/>
      <c r="CR43" s="1429"/>
      <c r="CS43" s="1429"/>
      <c r="CT43" s="1429"/>
      <c r="CU43" s="1429"/>
      <c r="CV43" s="1429"/>
      <c r="CW43" s="1429"/>
      <c r="CX43" s="1429"/>
      <c r="CY43" s="1429"/>
      <c r="CZ43" s="1429"/>
      <c r="DA43" s="1429"/>
      <c r="DB43" s="3206"/>
      <c r="DC43" s="3206"/>
      <c r="DD43" s="3206"/>
      <c r="DE43" s="3206"/>
      <c r="DF43" s="3206"/>
      <c r="DG43" s="3206"/>
      <c r="DH43" s="3206"/>
      <c r="DI43" s="3206"/>
      <c r="DJ43" s="3206"/>
      <c r="DK43" s="3206"/>
      <c r="DL43" s="3206"/>
      <c r="DM43" s="3206"/>
      <c r="DN43" s="3206"/>
      <c r="DO43" s="3206"/>
      <c r="DP43" s="3206"/>
      <c r="DQ43" s="3206"/>
      <c r="DR43" s="3206"/>
      <c r="DS43" s="3206"/>
      <c r="DT43" s="3206"/>
      <c r="DU43" s="3206"/>
      <c r="DV43" s="3206"/>
      <c r="DW43" s="3206"/>
      <c r="DX43" s="3206"/>
      <c r="DY43" s="3206"/>
      <c r="DZ43" s="3206"/>
      <c r="EA43" s="3206"/>
    </row>
    <row r="44" spans="1:131" s="290" customFormat="1" ht="16.350000000000001" customHeight="1" x14ac:dyDescent="0.25">
      <c r="B44" s="8617"/>
      <c r="C44" s="8617"/>
      <c r="D44" s="464" t="s">
        <v>42</v>
      </c>
      <c r="E44" s="2084" t="s">
        <v>17</v>
      </c>
      <c r="F44" s="2076" t="s">
        <v>18</v>
      </c>
      <c r="G44" s="2488" t="s">
        <v>17</v>
      </c>
      <c r="H44" s="2473" t="s">
        <v>18</v>
      </c>
      <c r="I44" s="2488" t="s">
        <v>17</v>
      </c>
      <c r="J44" s="2473" t="s">
        <v>18</v>
      </c>
      <c r="K44" s="2488" t="s">
        <v>17</v>
      </c>
      <c r="L44" s="2473" t="s">
        <v>18</v>
      </c>
      <c r="M44" s="2488" t="s">
        <v>17</v>
      </c>
      <c r="N44" s="2473" t="s">
        <v>18</v>
      </c>
      <c r="O44" s="2488" t="s">
        <v>17</v>
      </c>
      <c r="P44" s="2473" t="s">
        <v>18</v>
      </c>
      <c r="Q44" s="2488" t="s">
        <v>17</v>
      </c>
      <c r="R44" s="2473" t="s">
        <v>18</v>
      </c>
      <c r="S44" s="2488" t="s">
        <v>17</v>
      </c>
      <c r="T44" s="2473" t="s">
        <v>18</v>
      </c>
      <c r="U44" s="2488" t="s">
        <v>17</v>
      </c>
      <c r="V44" s="2473" t="s">
        <v>18</v>
      </c>
      <c r="W44" s="2488" t="s">
        <v>17</v>
      </c>
      <c r="X44" s="2473" t="s">
        <v>18</v>
      </c>
      <c r="Y44" s="2488" t="s">
        <v>17</v>
      </c>
      <c r="Z44" s="2473" t="s">
        <v>18</v>
      </c>
      <c r="AA44" s="2488" t="s">
        <v>17</v>
      </c>
      <c r="AB44" s="2473" t="s">
        <v>18</v>
      </c>
      <c r="AC44" s="2488" t="s">
        <v>17</v>
      </c>
      <c r="AD44" s="2473" t="s">
        <v>18</v>
      </c>
      <c r="AE44" s="2488" t="s">
        <v>17</v>
      </c>
      <c r="AF44" s="2473" t="s">
        <v>18</v>
      </c>
      <c r="AG44" s="2488" t="s">
        <v>17</v>
      </c>
      <c r="AH44" s="2473" t="s">
        <v>18</v>
      </c>
      <c r="AI44" s="2488" t="s">
        <v>17</v>
      </c>
      <c r="AJ44" s="2473" t="s">
        <v>18</v>
      </c>
      <c r="AK44" s="2488" t="s">
        <v>17</v>
      </c>
      <c r="AL44" s="2473" t="s">
        <v>18</v>
      </c>
      <c r="AM44" s="2488" t="s">
        <v>17</v>
      </c>
      <c r="AN44" s="2486" t="s">
        <v>18</v>
      </c>
      <c r="AO44" s="8561"/>
      <c r="AP44" s="8556"/>
      <c r="AQ44" s="103"/>
      <c r="CA44" s="1438"/>
      <c r="CB44" s="1429"/>
      <c r="CC44" s="1429"/>
      <c r="CD44" s="1429"/>
      <c r="CE44" s="1429"/>
      <c r="CF44" s="1429"/>
      <c r="CG44" s="1429"/>
      <c r="CH44" s="1429"/>
      <c r="CI44" s="1429"/>
      <c r="CJ44" s="1429"/>
      <c r="CK44" s="1429"/>
      <c r="CL44" s="1429"/>
      <c r="CM44" s="1429"/>
      <c r="CN44" s="1429"/>
      <c r="CO44" s="1429"/>
      <c r="CP44" s="1429"/>
      <c r="CQ44" s="1429"/>
      <c r="CR44" s="1429"/>
      <c r="CS44" s="1429"/>
      <c r="CT44" s="1429"/>
      <c r="CU44" s="1429"/>
      <c r="CV44" s="1429"/>
      <c r="CW44" s="1429"/>
      <c r="CX44" s="1429"/>
      <c r="CY44" s="1429"/>
      <c r="CZ44" s="1429"/>
      <c r="DA44" s="1429"/>
      <c r="DB44" s="3206"/>
      <c r="DC44" s="3206"/>
      <c r="DD44" s="3206"/>
      <c r="DE44" s="3206"/>
      <c r="DF44" s="3206"/>
      <c r="DG44" s="3206"/>
      <c r="DH44" s="3206"/>
      <c r="DI44" s="3206"/>
      <c r="DJ44" s="3206"/>
      <c r="DK44" s="3206"/>
      <c r="DL44" s="3206"/>
      <c r="DM44" s="3206"/>
      <c r="DN44" s="3206"/>
      <c r="DO44" s="3206"/>
      <c r="DP44" s="3206"/>
      <c r="DQ44" s="3206"/>
      <c r="DR44" s="3206"/>
      <c r="DS44" s="3206"/>
      <c r="DT44" s="3206"/>
      <c r="DU44" s="3206"/>
      <c r="DV44" s="3206"/>
      <c r="DW44" s="3206"/>
      <c r="DX44" s="3206"/>
      <c r="DY44" s="3206"/>
      <c r="DZ44" s="3206"/>
      <c r="EA44" s="3206"/>
    </row>
    <row r="45" spans="1:131" ht="16.350000000000001" customHeight="1" x14ac:dyDescent="0.25">
      <c r="A45" s="7258" t="s">
        <v>4025</v>
      </c>
      <c r="B45" s="8583" t="s">
        <v>672</v>
      </c>
      <c r="C45" s="466" t="s">
        <v>2590</v>
      </c>
      <c r="D45" s="512" t="s">
        <v>5369</v>
      </c>
      <c r="E45" s="512" t="s">
        <v>5370</v>
      </c>
      <c r="F45" s="512" t="s">
        <v>5371</v>
      </c>
      <c r="G45" s="2428" t="s">
        <v>5372</v>
      </c>
      <c r="H45" s="2431" t="s">
        <v>5373</v>
      </c>
      <c r="I45" s="2428" t="s">
        <v>5374</v>
      </c>
      <c r="J45" s="2431" t="s">
        <v>5375</v>
      </c>
      <c r="K45" s="2428" t="s">
        <v>5376</v>
      </c>
      <c r="L45" s="2431" t="s">
        <v>5377</v>
      </c>
      <c r="M45" s="2430" t="s">
        <v>5378</v>
      </c>
      <c r="N45" s="2435" t="s">
        <v>5379</v>
      </c>
      <c r="O45" s="2430" t="s">
        <v>5380</v>
      </c>
      <c r="P45" s="2435" t="s">
        <v>5381</v>
      </c>
      <c r="Q45" s="2430" t="s">
        <v>5382</v>
      </c>
      <c r="R45" s="2435" t="s">
        <v>5383</v>
      </c>
      <c r="S45" s="2430" t="s">
        <v>5384</v>
      </c>
      <c r="T45" s="2435" t="s">
        <v>5385</v>
      </c>
      <c r="U45" s="2430" t="s">
        <v>5386</v>
      </c>
      <c r="V45" s="2435" t="s">
        <v>5387</v>
      </c>
      <c r="W45" s="2430" t="s">
        <v>5388</v>
      </c>
      <c r="X45" s="2435" t="s">
        <v>5389</v>
      </c>
      <c r="Y45" s="2430" t="s">
        <v>5390</v>
      </c>
      <c r="Z45" s="2435" t="s">
        <v>5391</v>
      </c>
      <c r="AA45" s="2430" t="s">
        <v>5392</v>
      </c>
      <c r="AB45" s="2435" t="s">
        <v>5393</v>
      </c>
      <c r="AC45" s="2430" t="s">
        <v>5394</v>
      </c>
      <c r="AD45" s="2435" t="s">
        <v>5395</v>
      </c>
      <c r="AE45" s="2430" t="s">
        <v>5396</v>
      </c>
      <c r="AF45" s="2435" t="s">
        <v>5397</v>
      </c>
      <c r="AG45" s="2430" t="s">
        <v>5398</v>
      </c>
      <c r="AH45" s="2435" t="s">
        <v>5399</v>
      </c>
      <c r="AI45" s="2430" t="s">
        <v>5400</v>
      </c>
      <c r="AJ45" s="2435" t="s">
        <v>5401</v>
      </c>
      <c r="AK45" s="2430" t="s">
        <v>5402</v>
      </c>
      <c r="AL45" s="2435" t="s">
        <v>5403</v>
      </c>
      <c r="AM45" s="2430" t="s">
        <v>5404</v>
      </c>
      <c r="AN45" s="2411" t="s">
        <v>5405</v>
      </c>
      <c r="AO45" s="2478" t="s">
        <v>5406</v>
      </c>
      <c r="AP45" s="2458" t="s">
        <v>5407</v>
      </c>
      <c r="AQ45" s="1471"/>
      <c r="AR45" s="806"/>
      <c r="AS45" s="806"/>
      <c r="AT45" s="806"/>
      <c r="AU45" s="806"/>
      <c r="AV45" s="806"/>
      <c r="AW45" s="806"/>
      <c r="AX45" s="806"/>
      <c r="AY45" s="806"/>
      <c r="AZ45" s="806"/>
      <c r="BA45" s="806"/>
      <c r="CA45" s="1438"/>
      <c r="DB45" s="3206">
        <v>0</v>
      </c>
      <c r="DC45" s="3206">
        <v>0</v>
      </c>
      <c r="DD45" s="3206">
        <v>0</v>
      </c>
      <c r="DE45" s="3206">
        <v>0</v>
      </c>
    </row>
    <row r="46" spans="1:131" ht="16.350000000000001" customHeight="1" x14ac:dyDescent="0.25">
      <c r="A46" s="7258" t="s">
        <v>4026</v>
      </c>
      <c r="B46" s="8555"/>
      <c r="C46" s="2098" t="s">
        <v>2592</v>
      </c>
      <c r="D46" s="508" t="s">
        <v>5369</v>
      </c>
      <c r="E46" s="508" t="s">
        <v>5370</v>
      </c>
      <c r="F46" s="508" t="s">
        <v>5371</v>
      </c>
      <c r="G46" s="2408" t="s">
        <v>5372</v>
      </c>
      <c r="H46" s="2436" t="s">
        <v>5373</v>
      </c>
      <c r="I46" s="2432" t="s">
        <v>5374</v>
      </c>
      <c r="J46" s="2436" t="s">
        <v>5375</v>
      </c>
      <c r="K46" s="2432" t="s">
        <v>5376</v>
      </c>
      <c r="L46" s="2436" t="s">
        <v>5377</v>
      </c>
      <c r="M46" s="2492" t="s">
        <v>5378</v>
      </c>
      <c r="N46" s="2495" t="s">
        <v>5379</v>
      </c>
      <c r="O46" s="2492" t="s">
        <v>5380</v>
      </c>
      <c r="P46" s="2495" t="s">
        <v>5381</v>
      </c>
      <c r="Q46" s="2492" t="s">
        <v>5382</v>
      </c>
      <c r="R46" s="2495" t="s">
        <v>5383</v>
      </c>
      <c r="S46" s="2492" t="s">
        <v>5384</v>
      </c>
      <c r="T46" s="2495" t="s">
        <v>5385</v>
      </c>
      <c r="U46" s="2492" t="s">
        <v>5386</v>
      </c>
      <c r="V46" s="2495" t="s">
        <v>5387</v>
      </c>
      <c r="W46" s="2492" t="s">
        <v>5388</v>
      </c>
      <c r="X46" s="2495" t="s">
        <v>5389</v>
      </c>
      <c r="Y46" s="2492" t="s">
        <v>5390</v>
      </c>
      <c r="Z46" s="2495" t="s">
        <v>5391</v>
      </c>
      <c r="AA46" s="2492" t="s">
        <v>5392</v>
      </c>
      <c r="AB46" s="2495" t="s">
        <v>5393</v>
      </c>
      <c r="AC46" s="2492" t="s">
        <v>5394</v>
      </c>
      <c r="AD46" s="2495" t="s">
        <v>5395</v>
      </c>
      <c r="AE46" s="2492" t="s">
        <v>5396</v>
      </c>
      <c r="AF46" s="2495" t="s">
        <v>5397</v>
      </c>
      <c r="AG46" s="2492" t="s">
        <v>5398</v>
      </c>
      <c r="AH46" s="2495" t="s">
        <v>5399</v>
      </c>
      <c r="AI46" s="2492" t="s">
        <v>5400</v>
      </c>
      <c r="AJ46" s="2495" t="s">
        <v>5401</v>
      </c>
      <c r="AK46" s="2492" t="s">
        <v>5402</v>
      </c>
      <c r="AL46" s="2495" t="s">
        <v>5403</v>
      </c>
      <c r="AM46" s="2492" t="s">
        <v>5404</v>
      </c>
      <c r="AN46" s="2501" t="s">
        <v>5405</v>
      </c>
      <c r="AO46" s="2499" t="s">
        <v>5406</v>
      </c>
      <c r="AP46" s="2499" t="s">
        <v>5407</v>
      </c>
      <c r="AQ46" s="1471"/>
      <c r="AR46" s="806"/>
      <c r="AS46" s="806"/>
      <c r="AT46" s="806"/>
      <c r="AU46" s="806"/>
      <c r="AV46" s="806"/>
      <c r="AW46" s="806"/>
      <c r="AX46" s="806"/>
      <c r="AY46" s="806"/>
      <c r="AZ46" s="806"/>
      <c r="BA46" s="806"/>
      <c r="CA46" s="1438"/>
      <c r="CB46" s="1518"/>
      <c r="DC46" s="3206">
        <v>0</v>
      </c>
      <c r="DE46" s="3206">
        <v>0</v>
      </c>
    </row>
    <row r="47" spans="1:131" ht="16.350000000000001" customHeight="1" x14ac:dyDescent="0.25">
      <c r="A47" s="7258" t="s">
        <v>4027</v>
      </c>
      <c r="B47" s="8555"/>
      <c r="C47" s="109" t="s">
        <v>26</v>
      </c>
      <c r="D47" s="508" t="s">
        <v>5369</v>
      </c>
      <c r="E47" s="508" t="s">
        <v>5370</v>
      </c>
      <c r="F47" s="508" t="s">
        <v>5371</v>
      </c>
      <c r="G47" s="2455" t="s">
        <v>5372</v>
      </c>
      <c r="H47" s="2453" t="s">
        <v>5373</v>
      </c>
      <c r="I47" s="2457" t="s">
        <v>5374</v>
      </c>
      <c r="J47" s="2453" t="s">
        <v>5375</v>
      </c>
      <c r="K47" s="2457" t="s">
        <v>5376</v>
      </c>
      <c r="L47" s="2453" t="s">
        <v>5377</v>
      </c>
      <c r="M47" s="2492" t="s">
        <v>5378</v>
      </c>
      <c r="N47" s="2495" t="s">
        <v>5379</v>
      </c>
      <c r="O47" s="2492" t="s">
        <v>5380</v>
      </c>
      <c r="P47" s="2495" t="s">
        <v>5381</v>
      </c>
      <c r="Q47" s="2492" t="s">
        <v>5382</v>
      </c>
      <c r="R47" s="2495" t="s">
        <v>5383</v>
      </c>
      <c r="S47" s="2492" t="s">
        <v>5384</v>
      </c>
      <c r="T47" s="2495" t="s">
        <v>5385</v>
      </c>
      <c r="U47" s="2492" t="s">
        <v>5386</v>
      </c>
      <c r="V47" s="2495" t="s">
        <v>5387</v>
      </c>
      <c r="W47" s="2492" t="s">
        <v>5388</v>
      </c>
      <c r="X47" s="2495" t="s">
        <v>5389</v>
      </c>
      <c r="Y47" s="2492" t="s">
        <v>5390</v>
      </c>
      <c r="Z47" s="2495" t="s">
        <v>5391</v>
      </c>
      <c r="AA47" s="2492" t="s">
        <v>5392</v>
      </c>
      <c r="AB47" s="2495" t="s">
        <v>5393</v>
      </c>
      <c r="AC47" s="2492" t="s">
        <v>5394</v>
      </c>
      <c r="AD47" s="2495" t="s">
        <v>5395</v>
      </c>
      <c r="AE47" s="2492" t="s">
        <v>5396</v>
      </c>
      <c r="AF47" s="2495" t="s">
        <v>5397</v>
      </c>
      <c r="AG47" s="2492" t="s">
        <v>5398</v>
      </c>
      <c r="AH47" s="2495" t="s">
        <v>5399</v>
      </c>
      <c r="AI47" s="2492" t="s">
        <v>5400</v>
      </c>
      <c r="AJ47" s="2495" t="s">
        <v>5401</v>
      </c>
      <c r="AK47" s="2492" t="s">
        <v>5402</v>
      </c>
      <c r="AL47" s="2495" t="s">
        <v>5403</v>
      </c>
      <c r="AM47" s="2492" t="s">
        <v>5404</v>
      </c>
      <c r="AN47" s="2501" t="s">
        <v>5405</v>
      </c>
      <c r="AO47" s="2499" t="s">
        <v>5406</v>
      </c>
      <c r="AP47" s="2499" t="s">
        <v>5407</v>
      </c>
      <c r="AQ47" s="1471"/>
      <c r="AR47" s="806"/>
      <c r="AS47" s="806"/>
      <c r="AT47" s="806"/>
      <c r="AU47" s="806"/>
      <c r="AV47" s="806"/>
      <c r="AW47" s="806"/>
      <c r="AX47" s="806"/>
      <c r="AY47" s="806"/>
      <c r="AZ47" s="806"/>
      <c r="BA47" s="806"/>
      <c r="CA47" s="1438"/>
      <c r="CB47" s="1518"/>
      <c r="DC47" s="3206">
        <v>0</v>
      </c>
      <c r="DE47" s="3206">
        <v>0</v>
      </c>
    </row>
    <row r="48" spans="1:131" ht="16.350000000000001" customHeight="1" x14ac:dyDescent="0.25">
      <c r="A48" s="7258" t="s">
        <v>4028</v>
      </c>
      <c r="B48" s="8584"/>
      <c r="C48" s="2466" t="s">
        <v>3424</v>
      </c>
      <c r="D48" s="504" t="s">
        <v>5369</v>
      </c>
      <c r="E48" s="504" t="s">
        <v>5370</v>
      </c>
      <c r="F48" s="504" t="s">
        <v>5371</v>
      </c>
      <c r="G48" s="2455" t="s">
        <v>5372</v>
      </c>
      <c r="H48" s="1249" t="s">
        <v>5373</v>
      </c>
      <c r="I48" s="2455" t="s">
        <v>5374</v>
      </c>
      <c r="J48" s="1249" t="s">
        <v>5375</v>
      </c>
      <c r="K48" s="2455" t="s">
        <v>5376</v>
      </c>
      <c r="L48" s="1249" t="s">
        <v>5377</v>
      </c>
      <c r="M48" s="2465" t="s">
        <v>5378</v>
      </c>
      <c r="N48" s="2496" t="s">
        <v>5379</v>
      </c>
      <c r="O48" s="2465" t="s">
        <v>5380</v>
      </c>
      <c r="P48" s="2496" t="s">
        <v>5381</v>
      </c>
      <c r="Q48" s="2465" t="s">
        <v>5382</v>
      </c>
      <c r="R48" s="2496" t="s">
        <v>5383</v>
      </c>
      <c r="S48" s="2465" t="s">
        <v>5384</v>
      </c>
      <c r="T48" s="2496" t="s">
        <v>5385</v>
      </c>
      <c r="U48" s="2465" t="s">
        <v>5386</v>
      </c>
      <c r="V48" s="2496" t="s">
        <v>5387</v>
      </c>
      <c r="W48" s="2465" t="s">
        <v>5388</v>
      </c>
      <c r="X48" s="2496" t="s">
        <v>5389</v>
      </c>
      <c r="Y48" s="2465" t="s">
        <v>5390</v>
      </c>
      <c r="Z48" s="2496" t="s">
        <v>5391</v>
      </c>
      <c r="AA48" s="2465" t="s">
        <v>5392</v>
      </c>
      <c r="AB48" s="2496" t="s">
        <v>5393</v>
      </c>
      <c r="AC48" s="2465" t="s">
        <v>5394</v>
      </c>
      <c r="AD48" s="2496" t="s">
        <v>5395</v>
      </c>
      <c r="AE48" s="2465" t="s">
        <v>5396</v>
      </c>
      <c r="AF48" s="2496" t="s">
        <v>5397</v>
      </c>
      <c r="AG48" s="2465" t="s">
        <v>5398</v>
      </c>
      <c r="AH48" s="2496" t="s">
        <v>5399</v>
      </c>
      <c r="AI48" s="2465" t="s">
        <v>5400</v>
      </c>
      <c r="AJ48" s="2496" t="s">
        <v>5401</v>
      </c>
      <c r="AK48" s="2465" t="s">
        <v>5402</v>
      </c>
      <c r="AL48" s="2496" t="s">
        <v>5403</v>
      </c>
      <c r="AM48" s="2465" t="s">
        <v>5404</v>
      </c>
      <c r="AN48" s="2502" t="s">
        <v>5405</v>
      </c>
      <c r="AO48" s="2479" t="s">
        <v>5406</v>
      </c>
      <c r="AP48" s="2479" t="s">
        <v>5407</v>
      </c>
      <c r="AQ48" s="1471"/>
      <c r="AR48" s="806"/>
      <c r="AS48" s="806"/>
      <c r="AT48" s="806"/>
      <c r="AU48" s="806"/>
      <c r="AV48" s="806"/>
      <c r="AW48" s="806"/>
      <c r="AX48" s="806"/>
      <c r="AY48" s="806"/>
      <c r="AZ48" s="806"/>
      <c r="BA48" s="806"/>
      <c r="CA48" s="1438"/>
      <c r="CB48" s="1518"/>
      <c r="DC48" s="3206">
        <v>0</v>
      </c>
      <c r="DE48" s="3206">
        <v>0</v>
      </c>
    </row>
    <row r="49" spans="1:109" ht="15.75" customHeight="1" x14ac:dyDescent="0.25">
      <c r="A49" s="7258" t="s">
        <v>4029</v>
      </c>
      <c r="B49" s="8555" t="s">
        <v>671</v>
      </c>
      <c r="C49" s="466" t="s">
        <v>2590</v>
      </c>
      <c r="D49" s="512" t="s">
        <v>5369</v>
      </c>
      <c r="E49" s="511" t="s">
        <v>5370</v>
      </c>
      <c r="F49" s="510" t="s">
        <v>5371</v>
      </c>
      <c r="G49" s="2428" t="s">
        <v>5372</v>
      </c>
      <c r="H49" s="2489" t="s">
        <v>5373</v>
      </c>
      <c r="I49" s="2428" t="s">
        <v>5374</v>
      </c>
      <c r="J49" s="2489" t="s">
        <v>5375</v>
      </c>
      <c r="K49" s="2428" t="s">
        <v>5376</v>
      </c>
      <c r="L49" s="2431" t="s">
        <v>5377</v>
      </c>
      <c r="M49" s="2428" t="s">
        <v>5378</v>
      </c>
      <c r="N49" s="2431" t="s">
        <v>5379</v>
      </c>
      <c r="O49" s="2428" t="s">
        <v>5380</v>
      </c>
      <c r="P49" s="2431" t="s">
        <v>5381</v>
      </c>
      <c r="Q49" s="2428" t="s">
        <v>5382</v>
      </c>
      <c r="R49" s="2431" t="s">
        <v>5383</v>
      </c>
      <c r="S49" s="2428" t="s">
        <v>5384</v>
      </c>
      <c r="T49" s="2431" t="s">
        <v>5385</v>
      </c>
      <c r="U49" s="2428" t="s">
        <v>5386</v>
      </c>
      <c r="V49" s="2431" t="s">
        <v>5387</v>
      </c>
      <c r="W49" s="2428" t="s">
        <v>5388</v>
      </c>
      <c r="X49" s="2431" t="s">
        <v>5389</v>
      </c>
      <c r="Y49" s="2428" t="s">
        <v>5390</v>
      </c>
      <c r="Z49" s="2431" t="s">
        <v>5391</v>
      </c>
      <c r="AA49" s="2428" t="s">
        <v>5392</v>
      </c>
      <c r="AB49" s="2431" t="s">
        <v>5393</v>
      </c>
      <c r="AC49" s="2428" t="s">
        <v>5394</v>
      </c>
      <c r="AD49" s="2431" t="s">
        <v>5395</v>
      </c>
      <c r="AE49" s="2428" t="s">
        <v>5396</v>
      </c>
      <c r="AF49" s="2431" t="s">
        <v>5397</v>
      </c>
      <c r="AG49" s="2430" t="s">
        <v>5398</v>
      </c>
      <c r="AH49" s="2435" t="s">
        <v>5399</v>
      </c>
      <c r="AI49" s="2430" t="s">
        <v>5400</v>
      </c>
      <c r="AJ49" s="2435" t="s">
        <v>5401</v>
      </c>
      <c r="AK49" s="2430" t="s">
        <v>5402</v>
      </c>
      <c r="AL49" s="2435" t="s">
        <v>5403</v>
      </c>
      <c r="AM49" s="2430" t="s">
        <v>5404</v>
      </c>
      <c r="AN49" s="2411" t="s">
        <v>5405</v>
      </c>
      <c r="AO49" s="2478" t="s">
        <v>5406</v>
      </c>
      <c r="AP49" s="2458" t="s">
        <v>5407</v>
      </c>
      <c r="AQ49" s="1471"/>
      <c r="AR49" s="806"/>
      <c r="AS49" s="806"/>
      <c r="AT49" s="806"/>
      <c r="AU49" s="806"/>
      <c r="AV49" s="806"/>
      <c r="AW49" s="806"/>
      <c r="AX49" s="806"/>
      <c r="AY49" s="806"/>
      <c r="AZ49" s="806"/>
      <c r="BA49" s="806"/>
      <c r="CA49" s="1438"/>
      <c r="CB49" s="1518"/>
      <c r="DC49" s="3206">
        <v>0</v>
      </c>
      <c r="DE49" s="3206">
        <v>0</v>
      </c>
    </row>
    <row r="50" spans="1:109" ht="15.75" customHeight="1" x14ac:dyDescent="0.25">
      <c r="A50" s="7258" t="s">
        <v>4030</v>
      </c>
      <c r="B50" s="8620"/>
      <c r="C50" s="2915" t="s">
        <v>2592</v>
      </c>
      <c r="D50" s="2630" t="s">
        <v>5369</v>
      </c>
      <c r="E50" s="2631" t="s">
        <v>5370</v>
      </c>
      <c r="F50" s="2914" t="s">
        <v>5371</v>
      </c>
      <c r="G50" s="1671" t="s">
        <v>5372</v>
      </c>
      <c r="H50" s="1672" t="s">
        <v>5373</v>
      </c>
      <c r="I50" s="1671" t="s">
        <v>5374</v>
      </c>
      <c r="J50" s="1672" t="s">
        <v>5375</v>
      </c>
      <c r="K50" s="1671" t="s">
        <v>5376</v>
      </c>
      <c r="L50" s="2911" t="s">
        <v>5377</v>
      </c>
      <c r="M50" s="1671" t="s">
        <v>5378</v>
      </c>
      <c r="N50" s="2911" t="s">
        <v>5379</v>
      </c>
      <c r="O50" s="1671" t="s">
        <v>5380</v>
      </c>
      <c r="P50" s="2911" t="s">
        <v>5381</v>
      </c>
      <c r="Q50" s="1671" t="s">
        <v>5382</v>
      </c>
      <c r="R50" s="2911" t="s">
        <v>5383</v>
      </c>
      <c r="S50" s="1671" t="s">
        <v>5384</v>
      </c>
      <c r="T50" s="2911" t="s">
        <v>5385</v>
      </c>
      <c r="U50" s="1671" t="s">
        <v>5386</v>
      </c>
      <c r="V50" s="2911" t="s">
        <v>5387</v>
      </c>
      <c r="W50" s="1671" t="s">
        <v>5388</v>
      </c>
      <c r="X50" s="2911" t="s">
        <v>5389</v>
      </c>
      <c r="Y50" s="1671" t="s">
        <v>5390</v>
      </c>
      <c r="Z50" s="2911" t="s">
        <v>5391</v>
      </c>
      <c r="AA50" s="1671" t="s">
        <v>5392</v>
      </c>
      <c r="AB50" s="2911" t="s">
        <v>5393</v>
      </c>
      <c r="AC50" s="1671" t="s">
        <v>5394</v>
      </c>
      <c r="AD50" s="2911" t="s">
        <v>5395</v>
      </c>
      <c r="AE50" s="1671" t="s">
        <v>5396</v>
      </c>
      <c r="AF50" s="2911" t="s">
        <v>5397</v>
      </c>
      <c r="AG50" s="828" t="s">
        <v>5398</v>
      </c>
      <c r="AH50" s="2441" t="s">
        <v>5399</v>
      </c>
      <c r="AI50" s="828" t="s">
        <v>5400</v>
      </c>
      <c r="AJ50" s="2441" t="s">
        <v>5401</v>
      </c>
      <c r="AK50" s="828" t="s">
        <v>5402</v>
      </c>
      <c r="AL50" s="2441" t="s">
        <v>5403</v>
      </c>
      <c r="AM50" s="828" t="s">
        <v>5404</v>
      </c>
      <c r="AN50" s="2832" t="s">
        <v>5405</v>
      </c>
      <c r="AO50" s="1150" t="s">
        <v>5406</v>
      </c>
      <c r="AP50" s="1150" t="s">
        <v>5407</v>
      </c>
      <c r="AQ50" s="1471"/>
      <c r="AR50" s="806"/>
      <c r="AS50" s="806"/>
      <c r="AT50" s="806"/>
      <c r="AU50" s="806"/>
      <c r="AV50" s="806"/>
      <c r="AW50" s="806"/>
      <c r="AX50" s="806"/>
      <c r="AY50" s="806"/>
      <c r="AZ50" s="806"/>
      <c r="BA50" s="806"/>
      <c r="CA50" s="1438"/>
      <c r="CB50" s="1518"/>
      <c r="DC50" s="3206">
        <v>0</v>
      </c>
      <c r="DE50" s="3206">
        <v>0</v>
      </c>
    </row>
    <row r="51" spans="1:109" ht="24.6" customHeight="1" x14ac:dyDescent="0.25">
      <c r="A51" s="7259" t="s">
        <v>4031</v>
      </c>
      <c r="B51" s="8584"/>
      <c r="C51" s="7260" t="s">
        <v>2616</v>
      </c>
      <c r="D51" s="504" t="s">
        <v>5369</v>
      </c>
      <c r="E51" s="503" t="s">
        <v>5370</v>
      </c>
      <c r="F51" s="502" t="s">
        <v>5371</v>
      </c>
      <c r="G51" s="2467" t="s">
        <v>5372</v>
      </c>
      <c r="H51" s="2481" t="s">
        <v>5373</v>
      </c>
      <c r="I51" s="2467" t="s">
        <v>5374</v>
      </c>
      <c r="J51" s="2481" t="s">
        <v>5375</v>
      </c>
      <c r="K51" s="2467" t="s">
        <v>5376</v>
      </c>
      <c r="L51" s="2433" t="s">
        <v>5377</v>
      </c>
      <c r="M51" s="2467" t="s">
        <v>5378</v>
      </c>
      <c r="N51" s="2433" t="s">
        <v>5379</v>
      </c>
      <c r="O51" s="2467" t="s">
        <v>5380</v>
      </c>
      <c r="P51" s="2433" t="s">
        <v>5381</v>
      </c>
      <c r="Q51" s="2467" t="s">
        <v>5382</v>
      </c>
      <c r="R51" s="2433" t="s">
        <v>5383</v>
      </c>
      <c r="S51" s="2467" t="s">
        <v>5384</v>
      </c>
      <c r="T51" s="2433" t="s">
        <v>5385</v>
      </c>
      <c r="U51" s="2467" t="s">
        <v>5386</v>
      </c>
      <c r="V51" s="2433" t="s">
        <v>5387</v>
      </c>
      <c r="W51" s="2467" t="s">
        <v>5388</v>
      </c>
      <c r="X51" s="2433" t="s">
        <v>5389</v>
      </c>
      <c r="Y51" s="2467" t="s">
        <v>5390</v>
      </c>
      <c r="Z51" s="2433" t="s">
        <v>5391</v>
      </c>
      <c r="AA51" s="2467" t="s">
        <v>5392</v>
      </c>
      <c r="AB51" s="2433" t="s">
        <v>5393</v>
      </c>
      <c r="AC51" s="2467" t="s">
        <v>5394</v>
      </c>
      <c r="AD51" s="2433" t="s">
        <v>5395</v>
      </c>
      <c r="AE51" s="2467" t="s">
        <v>5396</v>
      </c>
      <c r="AF51" s="2433" t="s">
        <v>5397</v>
      </c>
      <c r="AG51" s="2465" t="s">
        <v>5398</v>
      </c>
      <c r="AH51" s="2496" t="s">
        <v>5399</v>
      </c>
      <c r="AI51" s="2465" t="s">
        <v>5400</v>
      </c>
      <c r="AJ51" s="2496" t="s">
        <v>5401</v>
      </c>
      <c r="AK51" s="2465" t="s">
        <v>5402</v>
      </c>
      <c r="AL51" s="2496" t="s">
        <v>5403</v>
      </c>
      <c r="AM51" s="2465" t="s">
        <v>5404</v>
      </c>
      <c r="AN51" s="2502" t="s">
        <v>5405</v>
      </c>
      <c r="AO51" s="2479" t="s">
        <v>5406</v>
      </c>
      <c r="AP51" s="2479" t="s">
        <v>5407</v>
      </c>
      <c r="AQ51" s="1471"/>
      <c r="AR51" s="806"/>
      <c r="AS51" s="806"/>
      <c r="AT51" s="806"/>
      <c r="AU51" s="806"/>
      <c r="AV51" s="806"/>
      <c r="AW51" s="806"/>
      <c r="AX51" s="806"/>
      <c r="AY51" s="806"/>
      <c r="AZ51" s="806"/>
      <c r="BA51" s="806"/>
      <c r="CA51" s="1438"/>
      <c r="CB51" s="1518"/>
      <c r="DC51" s="3206">
        <v>0</v>
      </c>
      <c r="DE51" s="3206">
        <v>0</v>
      </c>
    </row>
    <row r="52" spans="1:109" ht="16.350000000000001" customHeight="1" x14ac:dyDescent="0.25">
      <c r="A52" s="7258" t="s">
        <v>4032</v>
      </c>
      <c r="B52" s="8583" t="s">
        <v>670</v>
      </c>
      <c r="C52" s="466" t="s">
        <v>2590</v>
      </c>
      <c r="D52" s="512" t="s">
        <v>5369</v>
      </c>
      <c r="E52" s="511" t="s">
        <v>5370</v>
      </c>
      <c r="F52" s="510" t="s">
        <v>5371</v>
      </c>
      <c r="G52" s="2428" t="s">
        <v>5372</v>
      </c>
      <c r="H52" s="2489" t="s">
        <v>5373</v>
      </c>
      <c r="I52" s="2428" t="s">
        <v>5374</v>
      </c>
      <c r="J52" s="2489" t="s">
        <v>5375</v>
      </c>
      <c r="K52" s="2428" t="s">
        <v>5376</v>
      </c>
      <c r="L52" s="2431" t="s">
        <v>5377</v>
      </c>
      <c r="M52" s="2428" t="s">
        <v>5378</v>
      </c>
      <c r="N52" s="2431" t="s">
        <v>5379</v>
      </c>
      <c r="O52" s="2428" t="s">
        <v>5380</v>
      </c>
      <c r="P52" s="2431" t="s">
        <v>5381</v>
      </c>
      <c r="Q52" s="2428" t="s">
        <v>5382</v>
      </c>
      <c r="R52" s="2431" t="s">
        <v>5383</v>
      </c>
      <c r="S52" s="2428" t="s">
        <v>5384</v>
      </c>
      <c r="T52" s="2431" t="s">
        <v>5385</v>
      </c>
      <c r="U52" s="2428" t="s">
        <v>5386</v>
      </c>
      <c r="V52" s="2431" t="s">
        <v>5387</v>
      </c>
      <c r="W52" s="2428" t="s">
        <v>5388</v>
      </c>
      <c r="X52" s="2431" t="s">
        <v>5389</v>
      </c>
      <c r="Y52" s="2428" t="s">
        <v>5390</v>
      </c>
      <c r="Z52" s="2431" t="s">
        <v>5391</v>
      </c>
      <c r="AA52" s="2428" t="s">
        <v>5392</v>
      </c>
      <c r="AB52" s="2431" t="s">
        <v>5393</v>
      </c>
      <c r="AC52" s="2428" t="s">
        <v>5394</v>
      </c>
      <c r="AD52" s="2431" t="s">
        <v>5395</v>
      </c>
      <c r="AE52" s="2428" t="s">
        <v>5396</v>
      </c>
      <c r="AF52" s="2431" t="s">
        <v>5397</v>
      </c>
      <c r="AG52" s="2430" t="s">
        <v>5398</v>
      </c>
      <c r="AH52" s="2435" t="s">
        <v>5399</v>
      </c>
      <c r="AI52" s="2430" t="s">
        <v>5400</v>
      </c>
      <c r="AJ52" s="2435" t="s">
        <v>5401</v>
      </c>
      <c r="AK52" s="2430" t="s">
        <v>5402</v>
      </c>
      <c r="AL52" s="2435" t="s">
        <v>5403</v>
      </c>
      <c r="AM52" s="2430" t="s">
        <v>5404</v>
      </c>
      <c r="AN52" s="2411" t="s">
        <v>5405</v>
      </c>
      <c r="AO52" s="2478" t="s">
        <v>5406</v>
      </c>
      <c r="AP52" s="2458" t="s">
        <v>5407</v>
      </c>
      <c r="AQ52" s="1471"/>
      <c r="AR52" s="806"/>
      <c r="AS52" s="806"/>
      <c r="AT52" s="806"/>
      <c r="AU52" s="806"/>
      <c r="AV52" s="806"/>
      <c r="AW52" s="806"/>
      <c r="AX52" s="806"/>
      <c r="AY52" s="806"/>
      <c r="AZ52" s="806"/>
      <c r="BA52" s="806"/>
      <c r="CA52" s="1438"/>
      <c r="CB52" s="1518"/>
      <c r="DC52" s="3206">
        <v>0</v>
      </c>
      <c r="DE52" s="3206">
        <v>0</v>
      </c>
    </row>
    <row r="53" spans="1:109" ht="16.350000000000001" customHeight="1" x14ac:dyDescent="0.25">
      <c r="A53" s="7258" t="s">
        <v>4033</v>
      </c>
      <c r="B53" s="8620"/>
      <c r="C53" s="2915" t="s">
        <v>2592</v>
      </c>
      <c r="D53" s="2630" t="s">
        <v>5369</v>
      </c>
      <c r="E53" s="2631" t="s">
        <v>5370</v>
      </c>
      <c r="F53" s="2914" t="s">
        <v>5371</v>
      </c>
      <c r="G53" s="1671" t="s">
        <v>5372</v>
      </c>
      <c r="H53" s="1672" t="s">
        <v>5373</v>
      </c>
      <c r="I53" s="1671" t="s">
        <v>5374</v>
      </c>
      <c r="J53" s="1672" t="s">
        <v>5375</v>
      </c>
      <c r="K53" s="1671" t="s">
        <v>5376</v>
      </c>
      <c r="L53" s="2911" t="s">
        <v>5377</v>
      </c>
      <c r="M53" s="1671" t="s">
        <v>5378</v>
      </c>
      <c r="N53" s="2911" t="s">
        <v>5379</v>
      </c>
      <c r="O53" s="1671" t="s">
        <v>5380</v>
      </c>
      <c r="P53" s="2911" t="s">
        <v>5381</v>
      </c>
      <c r="Q53" s="1671" t="s">
        <v>5382</v>
      </c>
      <c r="R53" s="2911" t="s">
        <v>5383</v>
      </c>
      <c r="S53" s="1671" t="s">
        <v>5384</v>
      </c>
      <c r="T53" s="2911" t="s">
        <v>5385</v>
      </c>
      <c r="U53" s="1671" t="s">
        <v>5386</v>
      </c>
      <c r="V53" s="2911" t="s">
        <v>5387</v>
      </c>
      <c r="W53" s="1671" t="s">
        <v>5388</v>
      </c>
      <c r="X53" s="2911" t="s">
        <v>5389</v>
      </c>
      <c r="Y53" s="1671" t="s">
        <v>5390</v>
      </c>
      <c r="Z53" s="2911" t="s">
        <v>5391</v>
      </c>
      <c r="AA53" s="1671" t="s">
        <v>5392</v>
      </c>
      <c r="AB53" s="2911" t="s">
        <v>5393</v>
      </c>
      <c r="AC53" s="1671" t="s">
        <v>5394</v>
      </c>
      <c r="AD53" s="2911" t="s">
        <v>5395</v>
      </c>
      <c r="AE53" s="1671" t="s">
        <v>5396</v>
      </c>
      <c r="AF53" s="2911" t="s">
        <v>5397</v>
      </c>
      <c r="AG53" s="828" t="s">
        <v>5398</v>
      </c>
      <c r="AH53" s="2441" t="s">
        <v>5399</v>
      </c>
      <c r="AI53" s="828" t="s">
        <v>5400</v>
      </c>
      <c r="AJ53" s="2441" t="s">
        <v>5401</v>
      </c>
      <c r="AK53" s="828" t="s">
        <v>5402</v>
      </c>
      <c r="AL53" s="2441" t="s">
        <v>5403</v>
      </c>
      <c r="AM53" s="828" t="s">
        <v>5404</v>
      </c>
      <c r="AN53" s="2832" t="s">
        <v>5405</v>
      </c>
      <c r="AO53" s="1150" t="s">
        <v>5406</v>
      </c>
      <c r="AP53" s="1150" t="s">
        <v>5407</v>
      </c>
      <c r="AQ53" s="1471"/>
      <c r="AR53" s="806"/>
      <c r="AS53" s="806"/>
      <c r="AT53" s="806"/>
      <c r="AU53" s="806"/>
      <c r="AV53" s="806"/>
      <c r="AW53" s="806"/>
      <c r="AX53" s="806"/>
      <c r="AY53" s="806"/>
      <c r="AZ53" s="806"/>
      <c r="BA53" s="806"/>
      <c r="CA53" s="1438"/>
      <c r="CB53" s="1518"/>
      <c r="DC53" s="3206">
        <v>0</v>
      </c>
      <c r="DE53" s="3206">
        <v>0</v>
      </c>
    </row>
    <row r="54" spans="1:109" ht="24.75" customHeight="1" x14ac:dyDescent="0.25">
      <c r="A54" s="7259" t="s">
        <v>4034</v>
      </c>
      <c r="B54" s="8584"/>
      <c r="C54" s="7260" t="s">
        <v>2616</v>
      </c>
      <c r="D54" s="504" t="s">
        <v>5369</v>
      </c>
      <c r="E54" s="503" t="s">
        <v>5370</v>
      </c>
      <c r="F54" s="502" t="s">
        <v>5371</v>
      </c>
      <c r="G54" s="2467" t="s">
        <v>5372</v>
      </c>
      <c r="H54" s="2481" t="s">
        <v>5373</v>
      </c>
      <c r="I54" s="2467" t="s">
        <v>5374</v>
      </c>
      <c r="J54" s="2481" t="s">
        <v>5375</v>
      </c>
      <c r="K54" s="2467" t="s">
        <v>5376</v>
      </c>
      <c r="L54" s="2433" t="s">
        <v>5377</v>
      </c>
      <c r="M54" s="2467" t="s">
        <v>5378</v>
      </c>
      <c r="N54" s="2433" t="s">
        <v>5379</v>
      </c>
      <c r="O54" s="2467" t="s">
        <v>5380</v>
      </c>
      <c r="P54" s="2433" t="s">
        <v>5381</v>
      </c>
      <c r="Q54" s="2467" t="s">
        <v>5382</v>
      </c>
      <c r="R54" s="2433" t="s">
        <v>5383</v>
      </c>
      <c r="S54" s="2467" t="s">
        <v>5384</v>
      </c>
      <c r="T54" s="2433" t="s">
        <v>5385</v>
      </c>
      <c r="U54" s="2467" t="s">
        <v>5386</v>
      </c>
      <c r="V54" s="2433" t="s">
        <v>5387</v>
      </c>
      <c r="W54" s="2467" t="s">
        <v>5388</v>
      </c>
      <c r="X54" s="2433" t="s">
        <v>5389</v>
      </c>
      <c r="Y54" s="2467" t="s">
        <v>5390</v>
      </c>
      <c r="Z54" s="2433" t="s">
        <v>5391</v>
      </c>
      <c r="AA54" s="2467" t="s">
        <v>5392</v>
      </c>
      <c r="AB54" s="2433" t="s">
        <v>5393</v>
      </c>
      <c r="AC54" s="2467" t="s">
        <v>5394</v>
      </c>
      <c r="AD54" s="2433" t="s">
        <v>5395</v>
      </c>
      <c r="AE54" s="2467" t="s">
        <v>5396</v>
      </c>
      <c r="AF54" s="2433" t="s">
        <v>5397</v>
      </c>
      <c r="AG54" s="2465" t="s">
        <v>5398</v>
      </c>
      <c r="AH54" s="2496" t="s">
        <v>5399</v>
      </c>
      <c r="AI54" s="2465" t="s">
        <v>5400</v>
      </c>
      <c r="AJ54" s="2496" t="s">
        <v>5401</v>
      </c>
      <c r="AK54" s="2465" t="s">
        <v>5402</v>
      </c>
      <c r="AL54" s="2496" t="s">
        <v>5403</v>
      </c>
      <c r="AM54" s="2465" t="s">
        <v>5404</v>
      </c>
      <c r="AN54" s="2502" t="s">
        <v>5405</v>
      </c>
      <c r="AO54" s="2479" t="s">
        <v>5406</v>
      </c>
      <c r="AP54" s="2479" t="s">
        <v>5407</v>
      </c>
      <c r="AQ54" s="1471"/>
      <c r="AR54" s="806"/>
      <c r="AS54" s="806"/>
      <c r="AT54" s="806"/>
      <c r="AU54" s="806"/>
      <c r="AV54" s="806"/>
      <c r="AW54" s="806"/>
      <c r="AX54" s="806"/>
      <c r="AY54" s="806"/>
      <c r="AZ54" s="806"/>
      <c r="BA54" s="806"/>
      <c r="CA54" s="1438"/>
      <c r="CB54" s="1518"/>
      <c r="DC54" s="3206">
        <v>0</v>
      </c>
      <c r="DE54" s="3206">
        <v>0</v>
      </c>
    </row>
    <row r="55" spans="1:109" ht="16.350000000000001" customHeight="1" x14ac:dyDescent="0.25">
      <c r="A55" s="7258" t="s">
        <v>4035</v>
      </c>
      <c r="B55" s="8583" t="s">
        <v>669</v>
      </c>
      <c r="C55" s="466" t="s">
        <v>2590</v>
      </c>
      <c r="D55" s="512" t="s">
        <v>5369</v>
      </c>
      <c r="E55" s="511" t="s">
        <v>5370</v>
      </c>
      <c r="F55" s="510" t="s">
        <v>5371</v>
      </c>
      <c r="G55" s="2430" t="s">
        <v>5372</v>
      </c>
      <c r="H55" s="2435" t="s">
        <v>5373</v>
      </c>
      <c r="I55" s="2430" t="s">
        <v>5374</v>
      </c>
      <c r="J55" s="2435" t="s">
        <v>5375</v>
      </c>
      <c r="K55" s="2430" t="s">
        <v>5376</v>
      </c>
      <c r="L55" s="2435" t="s">
        <v>5377</v>
      </c>
      <c r="M55" s="2430" t="s">
        <v>5378</v>
      </c>
      <c r="N55" s="2435" t="s">
        <v>5379</v>
      </c>
      <c r="O55" s="2430" t="s">
        <v>5380</v>
      </c>
      <c r="P55" s="2435" t="s">
        <v>5381</v>
      </c>
      <c r="Q55" s="2430" t="s">
        <v>5382</v>
      </c>
      <c r="R55" s="2435" t="s">
        <v>5383</v>
      </c>
      <c r="S55" s="2430" t="s">
        <v>5384</v>
      </c>
      <c r="T55" s="2435" t="s">
        <v>5385</v>
      </c>
      <c r="U55" s="2430" t="s">
        <v>5386</v>
      </c>
      <c r="V55" s="2435" t="s">
        <v>5387</v>
      </c>
      <c r="W55" s="2430" t="s">
        <v>5388</v>
      </c>
      <c r="X55" s="2435" t="s">
        <v>5389</v>
      </c>
      <c r="Y55" s="2430" t="s">
        <v>5390</v>
      </c>
      <c r="Z55" s="2435" t="s">
        <v>5391</v>
      </c>
      <c r="AA55" s="2430" t="s">
        <v>5392</v>
      </c>
      <c r="AB55" s="2435" t="s">
        <v>5393</v>
      </c>
      <c r="AC55" s="2430" t="s">
        <v>5394</v>
      </c>
      <c r="AD55" s="2435" t="s">
        <v>5395</v>
      </c>
      <c r="AE55" s="2430" t="s">
        <v>5396</v>
      </c>
      <c r="AF55" s="2435" t="s">
        <v>5397</v>
      </c>
      <c r="AG55" s="2430" t="s">
        <v>5398</v>
      </c>
      <c r="AH55" s="2435" t="s">
        <v>5399</v>
      </c>
      <c r="AI55" s="2430" t="s">
        <v>5400</v>
      </c>
      <c r="AJ55" s="2435" t="s">
        <v>5401</v>
      </c>
      <c r="AK55" s="2430" t="s">
        <v>5402</v>
      </c>
      <c r="AL55" s="2435" t="s">
        <v>5403</v>
      </c>
      <c r="AM55" s="2430" t="s">
        <v>5404</v>
      </c>
      <c r="AN55" s="2411" t="s">
        <v>5405</v>
      </c>
      <c r="AO55" s="2478" t="s">
        <v>5406</v>
      </c>
      <c r="AP55" s="2458" t="s">
        <v>5407</v>
      </c>
      <c r="AQ55" s="1471"/>
      <c r="AR55" s="806"/>
      <c r="AS55" s="806"/>
      <c r="AT55" s="806"/>
      <c r="AU55" s="806"/>
      <c r="AV55" s="806"/>
      <c r="AW55" s="806"/>
      <c r="AX55" s="806"/>
      <c r="AY55" s="806"/>
      <c r="AZ55" s="806"/>
      <c r="BA55" s="806"/>
      <c r="CA55" s="3207"/>
      <c r="CB55" s="1518"/>
      <c r="DC55" s="3206">
        <v>0</v>
      </c>
      <c r="DE55" s="3206">
        <v>0</v>
      </c>
    </row>
    <row r="56" spans="1:109" ht="16.350000000000001" customHeight="1" x14ac:dyDescent="0.25">
      <c r="A56" s="7258" t="s">
        <v>4036</v>
      </c>
      <c r="B56" s="8555"/>
      <c r="C56" s="109" t="s">
        <v>2592</v>
      </c>
      <c r="D56" s="508" t="s">
        <v>5369</v>
      </c>
      <c r="E56" s="507" t="s">
        <v>5370</v>
      </c>
      <c r="F56" s="506" t="s">
        <v>5371</v>
      </c>
      <c r="G56" s="2492" t="s">
        <v>5372</v>
      </c>
      <c r="H56" s="2495" t="s">
        <v>5373</v>
      </c>
      <c r="I56" s="2492" t="s">
        <v>5374</v>
      </c>
      <c r="J56" s="2495" t="s">
        <v>5375</v>
      </c>
      <c r="K56" s="2492" t="s">
        <v>5376</v>
      </c>
      <c r="L56" s="2495" t="s">
        <v>5377</v>
      </c>
      <c r="M56" s="2492" t="s">
        <v>5378</v>
      </c>
      <c r="N56" s="2495" t="s">
        <v>5379</v>
      </c>
      <c r="O56" s="2492" t="s">
        <v>5380</v>
      </c>
      <c r="P56" s="2495" t="s">
        <v>5381</v>
      </c>
      <c r="Q56" s="2492" t="s">
        <v>5382</v>
      </c>
      <c r="R56" s="2495" t="s">
        <v>5383</v>
      </c>
      <c r="S56" s="2492" t="s">
        <v>5384</v>
      </c>
      <c r="T56" s="2495" t="s">
        <v>5385</v>
      </c>
      <c r="U56" s="2492" t="s">
        <v>5386</v>
      </c>
      <c r="V56" s="2495" t="s">
        <v>5387</v>
      </c>
      <c r="W56" s="2492" t="s">
        <v>5388</v>
      </c>
      <c r="X56" s="2495" t="s">
        <v>5389</v>
      </c>
      <c r="Y56" s="2492" t="s">
        <v>5390</v>
      </c>
      <c r="Z56" s="2495" t="s">
        <v>5391</v>
      </c>
      <c r="AA56" s="2492" t="s">
        <v>5392</v>
      </c>
      <c r="AB56" s="2495" t="s">
        <v>5393</v>
      </c>
      <c r="AC56" s="2492" t="s">
        <v>5394</v>
      </c>
      <c r="AD56" s="2495" t="s">
        <v>5395</v>
      </c>
      <c r="AE56" s="2492" t="s">
        <v>5396</v>
      </c>
      <c r="AF56" s="2495" t="s">
        <v>5397</v>
      </c>
      <c r="AG56" s="2492" t="s">
        <v>5398</v>
      </c>
      <c r="AH56" s="2495" t="s">
        <v>5399</v>
      </c>
      <c r="AI56" s="2492" t="s">
        <v>5400</v>
      </c>
      <c r="AJ56" s="2495" t="s">
        <v>5401</v>
      </c>
      <c r="AK56" s="2492" t="s">
        <v>5402</v>
      </c>
      <c r="AL56" s="2495" t="s">
        <v>5403</v>
      </c>
      <c r="AM56" s="2492" t="s">
        <v>5404</v>
      </c>
      <c r="AN56" s="2501" t="s">
        <v>5405</v>
      </c>
      <c r="AO56" s="2499" t="s">
        <v>5406</v>
      </c>
      <c r="AP56" s="2499" t="s">
        <v>5407</v>
      </c>
      <c r="AQ56" s="1471"/>
      <c r="AR56" s="806"/>
      <c r="AS56" s="806"/>
      <c r="AT56" s="806"/>
      <c r="AU56" s="806"/>
      <c r="AV56" s="806"/>
      <c r="AW56" s="806"/>
      <c r="AX56" s="806"/>
      <c r="AY56" s="806"/>
      <c r="AZ56" s="806"/>
      <c r="BA56" s="806"/>
      <c r="CA56" s="3207"/>
      <c r="DC56" s="3206">
        <v>0</v>
      </c>
      <c r="DE56" s="3206">
        <v>0</v>
      </c>
    </row>
    <row r="57" spans="1:109" ht="16.350000000000001" customHeight="1" x14ac:dyDescent="0.25">
      <c r="A57" s="7258" t="s">
        <v>4037</v>
      </c>
      <c r="B57" s="8584"/>
      <c r="C57" s="81" t="s">
        <v>2591</v>
      </c>
      <c r="D57" s="504" t="s">
        <v>5369</v>
      </c>
      <c r="E57" s="503" t="s">
        <v>5370</v>
      </c>
      <c r="F57" s="502" t="s">
        <v>5371</v>
      </c>
      <c r="G57" s="2465" t="s">
        <v>5372</v>
      </c>
      <c r="H57" s="2496" t="s">
        <v>5373</v>
      </c>
      <c r="I57" s="2465" t="s">
        <v>5374</v>
      </c>
      <c r="J57" s="2496" t="s">
        <v>5375</v>
      </c>
      <c r="K57" s="2465" t="s">
        <v>5376</v>
      </c>
      <c r="L57" s="2496" t="s">
        <v>5377</v>
      </c>
      <c r="M57" s="2465" t="s">
        <v>5378</v>
      </c>
      <c r="N57" s="2496" t="s">
        <v>5379</v>
      </c>
      <c r="O57" s="2465" t="s">
        <v>5380</v>
      </c>
      <c r="P57" s="2496" t="s">
        <v>5381</v>
      </c>
      <c r="Q57" s="2465" t="s">
        <v>5382</v>
      </c>
      <c r="R57" s="2496" t="s">
        <v>5383</v>
      </c>
      <c r="S57" s="2465" t="s">
        <v>5384</v>
      </c>
      <c r="T57" s="2496" t="s">
        <v>5385</v>
      </c>
      <c r="U57" s="2465" t="s">
        <v>5386</v>
      </c>
      <c r="V57" s="2496" t="s">
        <v>5387</v>
      </c>
      <c r="W57" s="2465" t="s">
        <v>5388</v>
      </c>
      <c r="X57" s="2496" t="s">
        <v>5389</v>
      </c>
      <c r="Y57" s="2465" t="s">
        <v>5390</v>
      </c>
      <c r="Z57" s="2496" t="s">
        <v>5391</v>
      </c>
      <c r="AA57" s="2465" t="s">
        <v>5392</v>
      </c>
      <c r="AB57" s="2496" t="s">
        <v>5393</v>
      </c>
      <c r="AC57" s="2465" t="s">
        <v>5394</v>
      </c>
      <c r="AD57" s="2496" t="s">
        <v>5395</v>
      </c>
      <c r="AE57" s="2465" t="s">
        <v>5396</v>
      </c>
      <c r="AF57" s="2496" t="s">
        <v>5397</v>
      </c>
      <c r="AG57" s="2465" t="s">
        <v>5398</v>
      </c>
      <c r="AH57" s="2496" t="s">
        <v>5399</v>
      </c>
      <c r="AI57" s="2465" t="s">
        <v>5400</v>
      </c>
      <c r="AJ57" s="2496" t="s">
        <v>5401</v>
      </c>
      <c r="AK57" s="2465" t="s">
        <v>5402</v>
      </c>
      <c r="AL57" s="2496" t="s">
        <v>5403</v>
      </c>
      <c r="AM57" s="2465" t="s">
        <v>5404</v>
      </c>
      <c r="AN57" s="2502" t="s">
        <v>5405</v>
      </c>
      <c r="AO57" s="2479" t="s">
        <v>5406</v>
      </c>
      <c r="AP57" s="2479" t="s">
        <v>5407</v>
      </c>
      <c r="AQ57" s="1471"/>
      <c r="AR57" s="806"/>
      <c r="AS57" s="806"/>
      <c r="AT57" s="806"/>
      <c r="AU57" s="806"/>
      <c r="AV57" s="806"/>
      <c r="AW57" s="806"/>
      <c r="AX57" s="806"/>
      <c r="AY57" s="806"/>
      <c r="AZ57" s="806"/>
      <c r="BA57" s="806"/>
      <c r="CA57" s="1438"/>
      <c r="DC57" s="3206">
        <v>0</v>
      </c>
      <c r="DE57" s="3206">
        <v>0</v>
      </c>
    </row>
    <row r="58" spans="1:109" ht="16.350000000000001" customHeight="1" x14ac:dyDescent="0.25">
      <c r="A58" s="7258" t="s">
        <v>4038</v>
      </c>
      <c r="B58" s="8554" t="s">
        <v>668</v>
      </c>
      <c r="C58" s="466" t="s">
        <v>2590</v>
      </c>
      <c r="D58" s="512" t="s">
        <v>5369</v>
      </c>
      <c r="E58" s="511" t="s">
        <v>5370</v>
      </c>
      <c r="F58" s="510" t="s">
        <v>5371</v>
      </c>
      <c r="G58" s="2430" t="s">
        <v>5372</v>
      </c>
      <c r="H58" s="2435" t="s">
        <v>5373</v>
      </c>
      <c r="I58" s="2430" t="s">
        <v>5374</v>
      </c>
      <c r="J58" s="2435" t="s">
        <v>5375</v>
      </c>
      <c r="K58" s="2430" t="s">
        <v>5376</v>
      </c>
      <c r="L58" s="2435" t="s">
        <v>5377</v>
      </c>
      <c r="M58" s="2430" t="s">
        <v>5378</v>
      </c>
      <c r="N58" s="2435" t="s">
        <v>5379</v>
      </c>
      <c r="O58" s="2430" t="s">
        <v>5380</v>
      </c>
      <c r="P58" s="2435" t="s">
        <v>5381</v>
      </c>
      <c r="Q58" s="2430" t="s">
        <v>5382</v>
      </c>
      <c r="R58" s="2435" t="s">
        <v>5383</v>
      </c>
      <c r="S58" s="2430" t="s">
        <v>5384</v>
      </c>
      <c r="T58" s="2435" t="s">
        <v>5385</v>
      </c>
      <c r="U58" s="2430" t="s">
        <v>5386</v>
      </c>
      <c r="V58" s="2435" t="s">
        <v>5387</v>
      </c>
      <c r="W58" s="2430" t="s">
        <v>5388</v>
      </c>
      <c r="X58" s="2435" t="s">
        <v>5389</v>
      </c>
      <c r="Y58" s="2430" t="s">
        <v>5390</v>
      </c>
      <c r="Z58" s="2435" t="s">
        <v>5391</v>
      </c>
      <c r="AA58" s="2430" t="s">
        <v>5392</v>
      </c>
      <c r="AB58" s="2435" t="s">
        <v>5393</v>
      </c>
      <c r="AC58" s="2430" t="s">
        <v>5394</v>
      </c>
      <c r="AD58" s="2435" t="s">
        <v>5395</v>
      </c>
      <c r="AE58" s="2430" t="s">
        <v>5396</v>
      </c>
      <c r="AF58" s="2435" t="s">
        <v>5397</v>
      </c>
      <c r="AG58" s="2430" t="s">
        <v>5398</v>
      </c>
      <c r="AH58" s="2435" t="s">
        <v>5399</v>
      </c>
      <c r="AI58" s="2430" t="s">
        <v>5400</v>
      </c>
      <c r="AJ58" s="2435" t="s">
        <v>5401</v>
      </c>
      <c r="AK58" s="2430" t="s">
        <v>5402</v>
      </c>
      <c r="AL58" s="2435" t="s">
        <v>5403</v>
      </c>
      <c r="AM58" s="2430" t="s">
        <v>5404</v>
      </c>
      <c r="AN58" s="2411" t="s">
        <v>5405</v>
      </c>
      <c r="AO58" s="2478" t="s">
        <v>5406</v>
      </c>
      <c r="AP58" s="2458" t="s">
        <v>5407</v>
      </c>
      <c r="AQ58" s="1471"/>
      <c r="AR58" s="806"/>
      <c r="AS58" s="806"/>
      <c r="AT58" s="806"/>
      <c r="AU58" s="806"/>
      <c r="AV58" s="806"/>
      <c r="AW58" s="806"/>
      <c r="AX58" s="806"/>
      <c r="AY58" s="806"/>
      <c r="AZ58" s="806"/>
      <c r="BA58" s="806"/>
      <c r="CA58" s="1438"/>
      <c r="DC58" s="3206">
        <v>0</v>
      </c>
      <c r="DE58" s="3206">
        <v>0</v>
      </c>
    </row>
    <row r="59" spans="1:109" ht="16.350000000000001" customHeight="1" x14ac:dyDescent="0.25">
      <c r="A59" s="7258" t="s">
        <v>4039</v>
      </c>
      <c r="B59" s="8608"/>
      <c r="C59" s="109" t="s">
        <v>2592</v>
      </c>
      <c r="D59" s="508" t="s">
        <v>5369</v>
      </c>
      <c r="E59" s="507" t="s">
        <v>5370</v>
      </c>
      <c r="F59" s="506" t="s">
        <v>5371</v>
      </c>
      <c r="G59" s="2492" t="s">
        <v>5372</v>
      </c>
      <c r="H59" s="2495" t="s">
        <v>5373</v>
      </c>
      <c r="I59" s="2492" t="s">
        <v>5374</v>
      </c>
      <c r="J59" s="2495" t="s">
        <v>5375</v>
      </c>
      <c r="K59" s="2492" t="s">
        <v>5376</v>
      </c>
      <c r="L59" s="2495" t="s">
        <v>5377</v>
      </c>
      <c r="M59" s="2492" t="s">
        <v>5378</v>
      </c>
      <c r="N59" s="2495" t="s">
        <v>5379</v>
      </c>
      <c r="O59" s="2492" t="s">
        <v>5380</v>
      </c>
      <c r="P59" s="2495" t="s">
        <v>5381</v>
      </c>
      <c r="Q59" s="2492" t="s">
        <v>5382</v>
      </c>
      <c r="R59" s="2495" t="s">
        <v>5383</v>
      </c>
      <c r="S59" s="2492" t="s">
        <v>5384</v>
      </c>
      <c r="T59" s="2495" t="s">
        <v>5385</v>
      </c>
      <c r="U59" s="2492" t="s">
        <v>5386</v>
      </c>
      <c r="V59" s="2495" t="s">
        <v>5387</v>
      </c>
      <c r="W59" s="2492" t="s">
        <v>5388</v>
      </c>
      <c r="X59" s="2495" t="s">
        <v>5389</v>
      </c>
      <c r="Y59" s="2492" t="s">
        <v>5390</v>
      </c>
      <c r="Z59" s="2495" t="s">
        <v>5391</v>
      </c>
      <c r="AA59" s="2492" t="s">
        <v>5392</v>
      </c>
      <c r="AB59" s="2495" t="s">
        <v>5393</v>
      </c>
      <c r="AC59" s="2492" t="s">
        <v>5394</v>
      </c>
      <c r="AD59" s="2495" t="s">
        <v>5395</v>
      </c>
      <c r="AE59" s="2492" t="s">
        <v>5396</v>
      </c>
      <c r="AF59" s="2495" t="s">
        <v>5397</v>
      </c>
      <c r="AG59" s="2492" t="s">
        <v>5398</v>
      </c>
      <c r="AH59" s="2495" t="s">
        <v>5399</v>
      </c>
      <c r="AI59" s="2492" t="s">
        <v>5400</v>
      </c>
      <c r="AJ59" s="2495" t="s">
        <v>5401</v>
      </c>
      <c r="AK59" s="2492" t="s">
        <v>5402</v>
      </c>
      <c r="AL59" s="2495" t="s">
        <v>5403</v>
      </c>
      <c r="AM59" s="2492" t="s">
        <v>5404</v>
      </c>
      <c r="AN59" s="2501" t="s">
        <v>5405</v>
      </c>
      <c r="AO59" s="2499" t="s">
        <v>5406</v>
      </c>
      <c r="AP59" s="2499" t="s">
        <v>5407</v>
      </c>
      <c r="AQ59" s="1471"/>
      <c r="AR59" s="806"/>
      <c r="AS59" s="806"/>
      <c r="AT59" s="806"/>
      <c r="AU59" s="806"/>
      <c r="AV59" s="806"/>
      <c r="AW59" s="806"/>
      <c r="AX59" s="806"/>
      <c r="AY59" s="806"/>
      <c r="AZ59" s="806"/>
      <c r="BA59" s="806"/>
      <c r="CA59" s="1438"/>
    </row>
    <row r="60" spans="1:109" ht="16.350000000000001" customHeight="1" x14ac:dyDescent="0.25">
      <c r="A60" s="7258" t="s">
        <v>4040</v>
      </c>
      <c r="B60" s="8608"/>
      <c r="C60" s="92" t="s">
        <v>2591</v>
      </c>
      <c r="D60" s="508" t="s">
        <v>5369</v>
      </c>
      <c r="E60" s="507" t="s">
        <v>5370</v>
      </c>
      <c r="F60" s="506" t="s">
        <v>5371</v>
      </c>
      <c r="G60" s="2492" t="s">
        <v>5372</v>
      </c>
      <c r="H60" s="2495" t="s">
        <v>5373</v>
      </c>
      <c r="I60" s="2492" t="s">
        <v>5374</v>
      </c>
      <c r="J60" s="2495" t="s">
        <v>5375</v>
      </c>
      <c r="K60" s="2492" t="s">
        <v>5376</v>
      </c>
      <c r="L60" s="2495" t="s">
        <v>5377</v>
      </c>
      <c r="M60" s="2492" t="s">
        <v>5378</v>
      </c>
      <c r="N60" s="2495" t="s">
        <v>5379</v>
      </c>
      <c r="O60" s="2492" t="s">
        <v>5380</v>
      </c>
      <c r="P60" s="2495" t="s">
        <v>5381</v>
      </c>
      <c r="Q60" s="2492" t="s">
        <v>5382</v>
      </c>
      <c r="R60" s="2495" t="s">
        <v>5383</v>
      </c>
      <c r="S60" s="2492" t="s">
        <v>5384</v>
      </c>
      <c r="T60" s="2495" t="s">
        <v>5385</v>
      </c>
      <c r="U60" s="2492" t="s">
        <v>5386</v>
      </c>
      <c r="V60" s="2495" t="s">
        <v>5387</v>
      </c>
      <c r="W60" s="2492" t="s">
        <v>5388</v>
      </c>
      <c r="X60" s="2495" t="s">
        <v>5389</v>
      </c>
      <c r="Y60" s="2492" t="s">
        <v>5390</v>
      </c>
      <c r="Z60" s="2495" t="s">
        <v>5391</v>
      </c>
      <c r="AA60" s="2492" t="s">
        <v>5392</v>
      </c>
      <c r="AB60" s="2495" t="s">
        <v>5393</v>
      </c>
      <c r="AC60" s="2492" t="s">
        <v>5394</v>
      </c>
      <c r="AD60" s="2495" t="s">
        <v>5395</v>
      </c>
      <c r="AE60" s="2492" t="s">
        <v>5396</v>
      </c>
      <c r="AF60" s="2495" t="s">
        <v>5397</v>
      </c>
      <c r="AG60" s="2492" t="s">
        <v>5398</v>
      </c>
      <c r="AH60" s="2495" t="s">
        <v>5399</v>
      </c>
      <c r="AI60" s="2492" t="s">
        <v>5400</v>
      </c>
      <c r="AJ60" s="2495" t="s">
        <v>5401</v>
      </c>
      <c r="AK60" s="2492" t="s">
        <v>5402</v>
      </c>
      <c r="AL60" s="2495" t="s">
        <v>5403</v>
      </c>
      <c r="AM60" s="2492" t="s">
        <v>5404</v>
      </c>
      <c r="AN60" s="2501" t="s">
        <v>5405</v>
      </c>
      <c r="AO60" s="2499" t="s">
        <v>5406</v>
      </c>
      <c r="AP60" s="2499" t="s">
        <v>5407</v>
      </c>
      <c r="AQ60" s="1471"/>
      <c r="AR60" s="806"/>
      <c r="AS60" s="806"/>
      <c r="AT60" s="806"/>
      <c r="AU60" s="806"/>
      <c r="AV60" s="806"/>
      <c r="AW60" s="806"/>
      <c r="AX60" s="806"/>
      <c r="AY60" s="806"/>
      <c r="AZ60" s="806"/>
      <c r="BA60" s="806"/>
      <c r="CA60" s="1438"/>
    </row>
    <row r="61" spans="1:109" ht="16.350000000000001" customHeight="1" x14ac:dyDescent="0.25">
      <c r="A61" s="7258" t="s">
        <v>4041</v>
      </c>
      <c r="B61" s="8608"/>
      <c r="C61" s="109" t="s">
        <v>26</v>
      </c>
      <c r="D61" s="508" t="s">
        <v>5369</v>
      </c>
      <c r="E61" s="507" t="s">
        <v>5370</v>
      </c>
      <c r="F61" s="506" t="s">
        <v>5371</v>
      </c>
      <c r="G61" s="2492" t="s">
        <v>5372</v>
      </c>
      <c r="H61" s="2495" t="s">
        <v>5373</v>
      </c>
      <c r="I61" s="2492" t="s">
        <v>5374</v>
      </c>
      <c r="J61" s="2495" t="s">
        <v>5375</v>
      </c>
      <c r="K61" s="2492" t="s">
        <v>5376</v>
      </c>
      <c r="L61" s="2495" t="s">
        <v>5377</v>
      </c>
      <c r="M61" s="2492" t="s">
        <v>5378</v>
      </c>
      <c r="N61" s="2495" t="s">
        <v>5379</v>
      </c>
      <c r="O61" s="2492" t="s">
        <v>5380</v>
      </c>
      <c r="P61" s="2495" t="s">
        <v>5381</v>
      </c>
      <c r="Q61" s="2492" t="s">
        <v>5382</v>
      </c>
      <c r="R61" s="2495" t="s">
        <v>5383</v>
      </c>
      <c r="S61" s="2492" t="s">
        <v>5384</v>
      </c>
      <c r="T61" s="2495" t="s">
        <v>5385</v>
      </c>
      <c r="U61" s="2492" t="s">
        <v>5386</v>
      </c>
      <c r="V61" s="2495" t="s">
        <v>5387</v>
      </c>
      <c r="W61" s="2492" t="s">
        <v>5388</v>
      </c>
      <c r="X61" s="2495" t="s">
        <v>5389</v>
      </c>
      <c r="Y61" s="2492" t="s">
        <v>5390</v>
      </c>
      <c r="Z61" s="2495" t="s">
        <v>5391</v>
      </c>
      <c r="AA61" s="2492" t="s">
        <v>5392</v>
      </c>
      <c r="AB61" s="2495" t="s">
        <v>5393</v>
      </c>
      <c r="AC61" s="2492" t="s">
        <v>5394</v>
      </c>
      <c r="AD61" s="2495" t="s">
        <v>5395</v>
      </c>
      <c r="AE61" s="2492" t="s">
        <v>5396</v>
      </c>
      <c r="AF61" s="2495" t="s">
        <v>5397</v>
      </c>
      <c r="AG61" s="2492" t="s">
        <v>5398</v>
      </c>
      <c r="AH61" s="2495" t="s">
        <v>5399</v>
      </c>
      <c r="AI61" s="2492" t="s">
        <v>5400</v>
      </c>
      <c r="AJ61" s="2495" t="s">
        <v>5401</v>
      </c>
      <c r="AK61" s="2492" t="s">
        <v>5402</v>
      </c>
      <c r="AL61" s="2495" t="s">
        <v>5403</v>
      </c>
      <c r="AM61" s="2492" t="s">
        <v>5404</v>
      </c>
      <c r="AN61" s="2501" t="s">
        <v>5405</v>
      </c>
      <c r="AO61" s="2499" t="s">
        <v>5406</v>
      </c>
      <c r="AP61" s="2499" t="s">
        <v>5407</v>
      </c>
      <c r="AQ61" s="1471"/>
      <c r="AR61" s="806"/>
      <c r="AS61" s="806"/>
      <c r="AT61" s="806"/>
      <c r="AU61" s="806"/>
      <c r="AV61" s="806"/>
      <c r="AW61" s="806"/>
      <c r="AX61" s="806"/>
      <c r="AY61" s="806"/>
      <c r="AZ61" s="806"/>
      <c r="BA61" s="806"/>
      <c r="CA61" s="1438"/>
    </row>
    <row r="62" spans="1:109" ht="16.350000000000001" customHeight="1" x14ac:dyDescent="0.25">
      <c r="A62" s="7258" t="s">
        <v>4042</v>
      </c>
      <c r="B62" s="8608"/>
      <c r="C62" s="2734" t="s">
        <v>2794</v>
      </c>
      <c r="D62" s="2632" t="s">
        <v>5369</v>
      </c>
      <c r="E62" s="2633" t="s">
        <v>5370</v>
      </c>
      <c r="F62" s="2634" t="s">
        <v>5371</v>
      </c>
      <c r="G62" s="2492" t="s">
        <v>5372</v>
      </c>
      <c r="H62" s="2495" t="s">
        <v>5373</v>
      </c>
      <c r="I62" s="2492" t="s">
        <v>5374</v>
      </c>
      <c r="J62" s="2495" t="s">
        <v>5375</v>
      </c>
      <c r="K62" s="2492" t="s">
        <v>5376</v>
      </c>
      <c r="L62" s="2495" t="s">
        <v>5377</v>
      </c>
      <c r="M62" s="2492" t="s">
        <v>5378</v>
      </c>
      <c r="N62" s="2495" t="s">
        <v>5379</v>
      </c>
      <c r="O62" s="2492" t="s">
        <v>5380</v>
      </c>
      <c r="P62" s="2495" t="s">
        <v>5381</v>
      </c>
      <c r="Q62" s="2492" t="s">
        <v>5382</v>
      </c>
      <c r="R62" s="2495" t="s">
        <v>5383</v>
      </c>
      <c r="S62" s="2492" t="s">
        <v>5384</v>
      </c>
      <c r="T62" s="2495" t="s">
        <v>5385</v>
      </c>
      <c r="U62" s="2492" t="s">
        <v>5386</v>
      </c>
      <c r="V62" s="2495" t="s">
        <v>5387</v>
      </c>
      <c r="W62" s="2492" t="s">
        <v>5388</v>
      </c>
      <c r="X62" s="2495" t="s">
        <v>5389</v>
      </c>
      <c r="Y62" s="2492" t="s">
        <v>5390</v>
      </c>
      <c r="Z62" s="2495" t="s">
        <v>5391</v>
      </c>
      <c r="AA62" s="2492" t="s">
        <v>5392</v>
      </c>
      <c r="AB62" s="2495" t="s">
        <v>5393</v>
      </c>
      <c r="AC62" s="2492" t="s">
        <v>5394</v>
      </c>
      <c r="AD62" s="2495" t="s">
        <v>5395</v>
      </c>
      <c r="AE62" s="2492" t="s">
        <v>5396</v>
      </c>
      <c r="AF62" s="2495" t="s">
        <v>5397</v>
      </c>
      <c r="AG62" s="2492" t="s">
        <v>5398</v>
      </c>
      <c r="AH62" s="2495" t="s">
        <v>5399</v>
      </c>
      <c r="AI62" s="2492" t="s">
        <v>5400</v>
      </c>
      <c r="AJ62" s="2495" t="s">
        <v>5401</v>
      </c>
      <c r="AK62" s="2492" t="s">
        <v>5402</v>
      </c>
      <c r="AL62" s="2495" t="s">
        <v>5403</v>
      </c>
      <c r="AM62" s="2492" t="s">
        <v>5404</v>
      </c>
      <c r="AN62" s="2501" t="s">
        <v>5405</v>
      </c>
      <c r="AO62" s="2499" t="s">
        <v>5406</v>
      </c>
      <c r="AP62" s="2499" t="s">
        <v>5407</v>
      </c>
      <c r="AQ62" s="1471"/>
      <c r="AR62" s="806"/>
      <c r="AS62" s="806"/>
      <c r="AT62" s="806"/>
      <c r="AU62" s="806"/>
      <c r="AV62" s="806"/>
      <c r="AW62" s="806"/>
      <c r="AX62" s="806"/>
      <c r="AY62" s="806"/>
      <c r="AZ62" s="806"/>
      <c r="BA62" s="806"/>
      <c r="CA62" s="1438"/>
    </row>
    <row r="63" spans="1:109" ht="22.95" customHeight="1" x14ac:dyDescent="0.25">
      <c r="A63" s="7259" t="s">
        <v>4043</v>
      </c>
      <c r="B63" s="8609"/>
      <c r="C63" s="7261" t="s">
        <v>2616</v>
      </c>
      <c r="D63" s="2630" t="s">
        <v>5369</v>
      </c>
      <c r="E63" s="2631" t="s">
        <v>5370</v>
      </c>
      <c r="F63" s="2635" t="s">
        <v>5371</v>
      </c>
      <c r="G63" s="2465" t="s">
        <v>5372</v>
      </c>
      <c r="H63" s="2496" t="s">
        <v>5373</v>
      </c>
      <c r="I63" s="2465" t="s">
        <v>5374</v>
      </c>
      <c r="J63" s="2496" t="s">
        <v>5375</v>
      </c>
      <c r="K63" s="2465" t="s">
        <v>5376</v>
      </c>
      <c r="L63" s="2496" t="s">
        <v>5377</v>
      </c>
      <c r="M63" s="2465" t="s">
        <v>5378</v>
      </c>
      <c r="N63" s="2496" t="s">
        <v>5379</v>
      </c>
      <c r="O63" s="2465" t="s">
        <v>5380</v>
      </c>
      <c r="P63" s="2479" t="s">
        <v>5381</v>
      </c>
      <c r="Q63" s="2465" t="s">
        <v>5382</v>
      </c>
      <c r="R63" s="2479" t="s">
        <v>5383</v>
      </c>
      <c r="S63" s="2465" t="s">
        <v>5384</v>
      </c>
      <c r="T63" s="2496" t="s">
        <v>5385</v>
      </c>
      <c r="U63" s="2465" t="s">
        <v>5386</v>
      </c>
      <c r="V63" s="2496" t="s">
        <v>5387</v>
      </c>
      <c r="W63" s="2465" t="s">
        <v>5388</v>
      </c>
      <c r="X63" s="2496" t="s">
        <v>5389</v>
      </c>
      <c r="Y63" s="2465" t="s">
        <v>5390</v>
      </c>
      <c r="Z63" s="2496" t="s">
        <v>5391</v>
      </c>
      <c r="AA63" s="2465" t="s">
        <v>5392</v>
      </c>
      <c r="AB63" s="2496" t="s">
        <v>5393</v>
      </c>
      <c r="AC63" s="2465" t="s">
        <v>5394</v>
      </c>
      <c r="AD63" s="2496" t="s">
        <v>5395</v>
      </c>
      <c r="AE63" s="2465" t="s">
        <v>5396</v>
      </c>
      <c r="AF63" s="2496" t="s">
        <v>5397</v>
      </c>
      <c r="AG63" s="2465" t="s">
        <v>5398</v>
      </c>
      <c r="AH63" s="2496" t="s">
        <v>5399</v>
      </c>
      <c r="AI63" s="2465" t="s">
        <v>5400</v>
      </c>
      <c r="AJ63" s="2496" t="s">
        <v>5401</v>
      </c>
      <c r="AK63" s="2465" t="s">
        <v>5402</v>
      </c>
      <c r="AL63" s="2496" t="s">
        <v>5403</v>
      </c>
      <c r="AM63" s="2468" t="s">
        <v>5404</v>
      </c>
      <c r="AN63" s="2502" t="s">
        <v>5405</v>
      </c>
      <c r="AO63" s="2479" t="s">
        <v>5406</v>
      </c>
      <c r="AP63" s="2479" t="s">
        <v>5407</v>
      </c>
      <c r="AQ63" s="1471"/>
      <c r="AR63" s="806"/>
      <c r="AS63" s="806"/>
      <c r="AT63" s="806"/>
      <c r="AU63" s="806"/>
      <c r="AV63" s="806"/>
      <c r="AW63" s="806"/>
      <c r="AX63" s="806"/>
      <c r="AY63" s="806"/>
      <c r="AZ63" s="806"/>
      <c r="BA63" s="806"/>
      <c r="CA63" s="1438"/>
    </row>
    <row r="64" spans="1:109" ht="16.350000000000001" customHeight="1" x14ac:dyDescent="0.25">
      <c r="A64" s="7258" t="s">
        <v>4044</v>
      </c>
      <c r="B64" s="8618" t="s">
        <v>667</v>
      </c>
      <c r="C64" s="3662" t="s">
        <v>2590</v>
      </c>
      <c r="D64" s="2636" t="s">
        <v>5369</v>
      </c>
      <c r="E64" s="2637" t="s">
        <v>5370</v>
      </c>
      <c r="F64" s="2638" t="s">
        <v>5371</v>
      </c>
      <c r="G64" s="2588" t="s">
        <v>5372</v>
      </c>
      <c r="H64" s="2575" t="s">
        <v>5373</v>
      </c>
      <c r="I64" s="2588" t="s">
        <v>5374</v>
      </c>
      <c r="J64" s="2575" t="s">
        <v>5375</v>
      </c>
      <c r="K64" s="2588" t="s">
        <v>5376</v>
      </c>
      <c r="L64" s="2575" t="s">
        <v>5377</v>
      </c>
      <c r="M64" s="2588" t="s">
        <v>5378</v>
      </c>
      <c r="N64" s="2575" t="s">
        <v>5379</v>
      </c>
      <c r="O64" s="2639" t="s">
        <v>5380</v>
      </c>
      <c r="P64" s="2640" t="s">
        <v>5381</v>
      </c>
      <c r="Q64" s="2639" t="s">
        <v>5382</v>
      </c>
      <c r="R64" s="2640" t="s">
        <v>5383</v>
      </c>
      <c r="S64" s="2639" t="s">
        <v>5384</v>
      </c>
      <c r="T64" s="2641" t="s">
        <v>5385</v>
      </c>
      <c r="U64" s="2639" t="s">
        <v>5386</v>
      </c>
      <c r="V64" s="2641" t="s">
        <v>5387</v>
      </c>
      <c r="W64" s="2639" t="s">
        <v>5388</v>
      </c>
      <c r="X64" s="2641" t="s">
        <v>5389</v>
      </c>
      <c r="Y64" s="2639" t="s">
        <v>5390</v>
      </c>
      <c r="Z64" s="2641" t="s">
        <v>5391</v>
      </c>
      <c r="AA64" s="2639" t="s">
        <v>5392</v>
      </c>
      <c r="AB64" s="2641" t="s">
        <v>5393</v>
      </c>
      <c r="AC64" s="2639" t="s">
        <v>5394</v>
      </c>
      <c r="AD64" s="2641" t="s">
        <v>5395</v>
      </c>
      <c r="AE64" s="2639" t="s">
        <v>5396</v>
      </c>
      <c r="AF64" s="2641" t="s">
        <v>5397</v>
      </c>
      <c r="AG64" s="2639" t="s">
        <v>5398</v>
      </c>
      <c r="AH64" s="2641" t="s">
        <v>5399</v>
      </c>
      <c r="AI64" s="2639" t="s">
        <v>5400</v>
      </c>
      <c r="AJ64" s="2641" t="s">
        <v>5401</v>
      </c>
      <c r="AK64" s="2639" t="s">
        <v>5402</v>
      </c>
      <c r="AL64" s="2641" t="s">
        <v>5403</v>
      </c>
      <c r="AM64" s="2642" t="s">
        <v>5404</v>
      </c>
      <c r="AN64" s="2643" t="s">
        <v>5405</v>
      </c>
      <c r="AO64" s="2587" t="s">
        <v>5406</v>
      </c>
      <c r="AP64" s="2587" t="s">
        <v>5407</v>
      </c>
      <c r="AQ64" s="1471"/>
      <c r="AR64" s="806"/>
      <c r="AS64" s="806"/>
      <c r="AT64" s="806"/>
      <c r="AU64" s="806"/>
      <c r="AV64" s="806"/>
      <c r="AW64" s="806"/>
      <c r="AX64" s="806"/>
      <c r="AY64" s="806"/>
      <c r="AZ64" s="806"/>
      <c r="BA64" s="806"/>
      <c r="CA64" s="1438"/>
      <c r="DC64" s="3206">
        <v>0</v>
      </c>
      <c r="DE64" s="3206">
        <v>0</v>
      </c>
    </row>
    <row r="65" spans="1:116" ht="16.350000000000001" customHeight="1" x14ac:dyDescent="0.25">
      <c r="A65" s="7258" t="s">
        <v>4045</v>
      </c>
      <c r="B65" s="8608"/>
      <c r="C65" s="2506" t="s">
        <v>2592</v>
      </c>
      <c r="D65" s="2644" t="s">
        <v>5369</v>
      </c>
      <c r="E65" s="2645" t="s">
        <v>5370</v>
      </c>
      <c r="F65" s="2646" t="s">
        <v>5371</v>
      </c>
      <c r="G65" s="2492" t="s">
        <v>5372</v>
      </c>
      <c r="H65" s="2495" t="s">
        <v>5373</v>
      </c>
      <c r="I65" s="2492" t="s">
        <v>5374</v>
      </c>
      <c r="J65" s="2495" t="s">
        <v>5375</v>
      </c>
      <c r="K65" s="2492" t="s">
        <v>5376</v>
      </c>
      <c r="L65" s="2495" t="s">
        <v>5377</v>
      </c>
      <c r="M65" s="2492" t="s">
        <v>5378</v>
      </c>
      <c r="N65" s="2495" t="s">
        <v>5379</v>
      </c>
      <c r="O65" s="2408" t="s">
        <v>5380</v>
      </c>
      <c r="P65" s="2429" t="s">
        <v>5381</v>
      </c>
      <c r="Q65" s="2408" t="s">
        <v>5382</v>
      </c>
      <c r="R65" s="2429" t="s">
        <v>5383</v>
      </c>
      <c r="S65" s="2408" t="s">
        <v>5384</v>
      </c>
      <c r="T65" s="2436" t="s">
        <v>5385</v>
      </c>
      <c r="U65" s="2408" t="s">
        <v>5386</v>
      </c>
      <c r="V65" s="2436" t="s">
        <v>5387</v>
      </c>
      <c r="W65" s="2408" t="s">
        <v>5388</v>
      </c>
      <c r="X65" s="2436" t="s">
        <v>5389</v>
      </c>
      <c r="Y65" s="2408" t="s">
        <v>5390</v>
      </c>
      <c r="Z65" s="2436" t="s">
        <v>5391</v>
      </c>
      <c r="AA65" s="2408" t="s">
        <v>5392</v>
      </c>
      <c r="AB65" s="2436" t="s">
        <v>5393</v>
      </c>
      <c r="AC65" s="2408" t="s">
        <v>5394</v>
      </c>
      <c r="AD65" s="2436" t="s">
        <v>5395</v>
      </c>
      <c r="AE65" s="2408" t="s">
        <v>5396</v>
      </c>
      <c r="AF65" s="2436" t="s">
        <v>5397</v>
      </c>
      <c r="AG65" s="2408" t="s">
        <v>5398</v>
      </c>
      <c r="AH65" s="2436" t="s">
        <v>5399</v>
      </c>
      <c r="AI65" s="2408" t="s">
        <v>5400</v>
      </c>
      <c r="AJ65" s="2436" t="s">
        <v>5401</v>
      </c>
      <c r="AK65" s="2408" t="s">
        <v>5402</v>
      </c>
      <c r="AL65" s="2436" t="s">
        <v>5403</v>
      </c>
      <c r="AM65" s="2434" t="s">
        <v>5404</v>
      </c>
      <c r="AN65" s="2437" t="s">
        <v>5405</v>
      </c>
      <c r="AO65" s="2499" t="s">
        <v>5406</v>
      </c>
      <c r="AP65" s="2499" t="s">
        <v>5407</v>
      </c>
      <c r="AQ65" s="1471"/>
      <c r="AR65" s="806"/>
      <c r="AS65" s="806"/>
      <c r="AT65" s="806"/>
      <c r="AU65" s="806"/>
      <c r="AV65" s="806"/>
      <c r="AW65" s="806"/>
      <c r="AX65" s="806"/>
      <c r="AY65" s="806"/>
      <c r="AZ65" s="806"/>
      <c r="BA65" s="806"/>
      <c r="CA65" s="1438"/>
    </row>
    <row r="66" spans="1:116" ht="16.350000000000001" customHeight="1" x14ac:dyDescent="0.25">
      <c r="A66" s="7258" t="s">
        <v>4046</v>
      </c>
      <c r="B66" s="8608"/>
      <c r="C66" s="2507" t="s">
        <v>2591</v>
      </c>
      <c r="D66" s="2644" t="s">
        <v>5369</v>
      </c>
      <c r="E66" s="2645" t="s">
        <v>5370</v>
      </c>
      <c r="F66" s="2646" t="s">
        <v>5371</v>
      </c>
      <c r="G66" s="2492" t="s">
        <v>5372</v>
      </c>
      <c r="H66" s="2495" t="s">
        <v>5373</v>
      </c>
      <c r="I66" s="2492" t="s">
        <v>5374</v>
      </c>
      <c r="J66" s="2495" t="s">
        <v>5375</v>
      </c>
      <c r="K66" s="2492" t="s">
        <v>5376</v>
      </c>
      <c r="L66" s="2495" t="s">
        <v>5377</v>
      </c>
      <c r="M66" s="2492" t="s">
        <v>5378</v>
      </c>
      <c r="N66" s="2495" t="s">
        <v>5379</v>
      </c>
      <c r="O66" s="2408" t="s">
        <v>5380</v>
      </c>
      <c r="P66" s="2429" t="s">
        <v>5381</v>
      </c>
      <c r="Q66" s="2408" t="s">
        <v>5382</v>
      </c>
      <c r="R66" s="2429" t="s">
        <v>5383</v>
      </c>
      <c r="S66" s="2408" t="s">
        <v>5384</v>
      </c>
      <c r="T66" s="2436" t="s">
        <v>5385</v>
      </c>
      <c r="U66" s="2408" t="s">
        <v>5386</v>
      </c>
      <c r="V66" s="2436" t="s">
        <v>5387</v>
      </c>
      <c r="W66" s="2408" t="s">
        <v>5388</v>
      </c>
      <c r="X66" s="2436" t="s">
        <v>5389</v>
      </c>
      <c r="Y66" s="2408" t="s">
        <v>5390</v>
      </c>
      <c r="Z66" s="2436" t="s">
        <v>5391</v>
      </c>
      <c r="AA66" s="2408" t="s">
        <v>5392</v>
      </c>
      <c r="AB66" s="2436" t="s">
        <v>5393</v>
      </c>
      <c r="AC66" s="2408" t="s">
        <v>5394</v>
      </c>
      <c r="AD66" s="2436" t="s">
        <v>5395</v>
      </c>
      <c r="AE66" s="2408" t="s">
        <v>5396</v>
      </c>
      <c r="AF66" s="2436" t="s">
        <v>5397</v>
      </c>
      <c r="AG66" s="2408" t="s">
        <v>5398</v>
      </c>
      <c r="AH66" s="2436" t="s">
        <v>5399</v>
      </c>
      <c r="AI66" s="2408" t="s">
        <v>5400</v>
      </c>
      <c r="AJ66" s="2436" t="s">
        <v>5401</v>
      </c>
      <c r="AK66" s="2408" t="s">
        <v>5402</v>
      </c>
      <c r="AL66" s="2436" t="s">
        <v>5403</v>
      </c>
      <c r="AM66" s="2434" t="s">
        <v>5404</v>
      </c>
      <c r="AN66" s="2437" t="s">
        <v>5405</v>
      </c>
      <c r="AO66" s="2499" t="s">
        <v>5406</v>
      </c>
      <c r="AP66" s="2499" t="s">
        <v>5407</v>
      </c>
      <c r="AQ66" s="1471"/>
      <c r="AR66" s="806"/>
      <c r="AS66" s="806"/>
      <c r="AT66" s="806"/>
      <c r="AU66" s="806"/>
      <c r="AV66" s="806"/>
      <c r="AW66" s="806"/>
      <c r="AX66" s="806"/>
      <c r="AY66" s="806"/>
      <c r="AZ66" s="806"/>
      <c r="BA66" s="806"/>
      <c r="CA66" s="1438"/>
    </row>
    <row r="67" spans="1:116" ht="16.350000000000001" customHeight="1" x14ac:dyDescent="0.25">
      <c r="A67" s="7258" t="s">
        <v>4047</v>
      </c>
      <c r="B67" s="8609"/>
      <c r="C67" s="2466" t="s">
        <v>26</v>
      </c>
      <c r="D67" s="2647" t="s">
        <v>5369</v>
      </c>
      <c r="E67" s="2648" t="s">
        <v>5370</v>
      </c>
      <c r="F67" s="2649" t="s">
        <v>5371</v>
      </c>
      <c r="G67" s="2465" t="s">
        <v>5372</v>
      </c>
      <c r="H67" s="2496" t="s">
        <v>5373</v>
      </c>
      <c r="I67" s="2465" t="s">
        <v>5374</v>
      </c>
      <c r="J67" s="2496" t="s">
        <v>5375</v>
      </c>
      <c r="K67" s="2465" t="s">
        <v>5376</v>
      </c>
      <c r="L67" s="2496" t="s">
        <v>5377</v>
      </c>
      <c r="M67" s="2465" t="s">
        <v>5378</v>
      </c>
      <c r="N67" s="2496" t="s">
        <v>5379</v>
      </c>
      <c r="O67" s="2467" t="s">
        <v>5380</v>
      </c>
      <c r="P67" s="2481" t="s">
        <v>5381</v>
      </c>
      <c r="Q67" s="2467" t="s">
        <v>5382</v>
      </c>
      <c r="R67" s="2481" t="s">
        <v>5383</v>
      </c>
      <c r="S67" s="2467" t="s">
        <v>5384</v>
      </c>
      <c r="T67" s="2433" t="s">
        <v>5385</v>
      </c>
      <c r="U67" s="2467" t="s">
        <v>5386</v>
      </c>
      <c r="V67" s="2433" t="s">
        <v>5387</v>
      </c>
      <c r="W67" s="2467" t="s">
        <v>5388</v>
      </c>
      <c r="X67" s="2433" t="s">
        <v>5389</v>
      </c>
      <c r="Y67" s="2467" t="s">
        <v>5390</v>
      </c>
      <c r="Z67" s="2433" t="s">
        <v>5391</v>
      </c>
      <c r="AA67" s="2467" t="s">
        <v>5392</v>
      </c>
      <c r="AB67" s="2433" t="s">
        <v>5393</v>
      </c>
      <c r="AC67" s="2467" t="s">
        <v>5394</v>
      </c>
      <c r="AD67" s="2433" t="s">
        <v>5395</v>
      </c>
      <c r="AE67" s="2467" t="s">
        <v>5396</v>
      </c>
      <c r="AF67" s="2433" t="s">
        <v>5397</v>
      </c>
      <c r="AG67" s="2467" t="s">
        <v>5398</v>
      </c>
      <c r="AH67" s="2433" t="s">
        <v>5399</v>
      </c>
      <c r="AI67" s="2467" t="s">
        <v>5400</v>
      </c>
      <c r="AJ67" s="2433" t="s">
        <v>5401</v>
      </c>
      <c r="AK67" s="2467" t="s">
        <v>5402</v>
      </c>
      <c r="AL67" s="2433" t="s">
        <v>5403</v>
      </c>
      <c r="AM67" s="2650" t="s">
        <v>5404</v>
      </c>
      <c r="AN67" s="2651" t="s">
        <v>5405</v>
      </c>
      <c r="AO67" s="2479" t="s">
        <v>5406</v>
      </c>
      <c r="AP67" s="2479" t="s">
        <v>5407</v>
      </c>
      <c r="AQ67" s="1471"/>
      <c r="AR67" s="806"/>
      <c r="AS67" s="806"/>
      <c r="AT67" s="806"/>
      <c r="AU67" s="806"/>
      <c r="AV67" s="806"/>
      <c r="AW67" s="806"/>
      <c r="AX67" s="806"/>
      <c r="AY67" s="806"/>
      <c r="AZ67" s="806"/>
      <c r="BA67" s="806"/>
      <c r="CA67" s="1438"/>
    </row>
    <row r="68" spans="1:116" ht="31.35" customHeight="1" x14ac:dyDescent="0.25">
      <c r="B68" s="2162" t="s">
        <v>666</v>
      </c>
      <c r="C68" s="2162"/>
      <c r="D68" s="290"/>
      <c r="E68" s="133"/>
      <c r="F68" s="290"/>
      <c r="G68" s="290"/>
      <c r="H68" s="290"/>
      <c r="I68" s="103"/>
      <c r="J68" s="103"/>
      <c r="K68" s="103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103"/>
      <c r="AQ68" s="103"/>
      <c r="AR68" s="103"/>
      <c r="AS68" s="103"/>
      <c r="AT68" s="103"/>
      <c r="AU68" s="290"/>
      <c r="AV68" s="290"/>
      <c r="AW68" s="290"/>
      <c r="AX68" s="290"/>
      <c r="AY68" s="290"/>
      <c r="AZ68" s="290"/>
      <c r="BA68" s="290"/>
    </row>
    <row r="69" spans="1:116" ht="16.350000000000001" customHeight="1" x14ac:dyDescent="0.25">
      <c r="B69" s="8612" t="s">
        <v>665</v>
      </c>
      <c r="C69" s="8613"/>
      <c r="D69" s="8623" t="s">
        <v>664</v>
      </c>
      <c r="E69" s="8624"/>
      <c r="F69" s="8624"/>
      <c r="G69" s="8624"/>
      <c r="H69" s="8625"/>
      <c r="I69" s="8623" t="s">
        <v>663</v>
      </c>
      <c r="J69" s="8624"/>
      <c r="K69" s="8624"/>
      <c r="L69" s="8624"/>
      <c r="M69" s="8625"/>
      <c r="N69" s="8557" t="s">
        <v>2956</v>
      </c>
      <c r="O69" s="8554" t="s">
        <v>2615</v>
      </c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103"/>
      <c r="AS69" s="103"/>
      <c r="AT69" s="103"/>
      <c r="AU69" s="103"/>
      <c r="AV69" s="103"/>
      <c r="AW69" s="290"/>
      <c r="AX69" s="290"/>
      <c r="AY69" s="290"/>
      <c r="AZ69" s="290"/>
      <c r="BA69" s="290"/>
    </row>
    <row r="70" spans="1:116" ht="30.6" customHeight="1" x14ac:dyDescent="0.25">
      <c r="B70" s="8614"/>
      <c r="C70" s="8615"/>
      <c r="D70" s="2447" t="s">
        <v>42</v>
      </c>
      <c r="E70" s="2475" t="s">
        <v>17</v>
      </c>
      <c r="F70" s="2486" t="s">
        <v>18</v>
      </c>
      <c r="G70" s="2124" t="s">
        <v>362</v>
      </c>
      <c r="H70" s="2124" t="s">
        <v>361</v>
      </c>
      <c r="I70" s="4514" t="s">
        <v>42</v>
      </c>
      <c r="J70" s="2488" t="s">
        <v>17</v>
      </c>
      <c r="K70" s="2500" t="s">
        <v>18</v>
      </c>
      <c r="L70" s="6740" t="s">
        <v>362</v>
      </c>
      <c r="M70" s="6741" t="s">
        <v>361</v>
      </c>
      <c r="N70" s="8558"/>
      <c r="O70" s="8556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71"/>
      <c r="AR70" s="103"/>
      <c r="AS70" s="103"/>
      <c r="AT70" s="103"/>
      <c r="AU70" s="103"/>
      <c r="AV70" s="103"/>
      <c r="AW70" s="290"/>
      <c r="AX70" s="290"/>
      <c r="AY70" s="290"/>
      <c r="AZ70" s="290"/>
      <c r="BA70" s="290"/>
    </row>
    <row r="71" spans="1:116" ht="16.350000000000001" customHeight="1" x14ac:dyDescent="0.25">
      <c r="A71" s="7258" t="s">
        <v>4048</v>
      </c>
      <c r="B71" s="8611" t="s">
        <v>662</v>
      </c>
      <c r="C71" s="8611"/>
      <c r="D71" s="2505" t="s">
        <v>5369</v>
      </c>
      <c r="E71" s="2491" t="s">
        <v>5370</v>
      </c>
      <c r="F71" s="2509" t="s">
        <v>5371</v>
      </c>
      <c r="G71" s="2499" t="s">
        <v>5372</v>
      </c>
      <c r="H71" s="2491" t="s">
        <v>5373</v>
      </c>
      <c r="I71" s="2505" t="s">
        <v>5374</v>
      </c>
      <c r="J71" s="2491" t="s">
        <v>5375</v>
      </c>
      <c r="K71" s="2501" t="s">
        <v>5376</v>
      </c>
      <c r="L71" s="2422" t="s">
        <v>5377</v>
      </c>
      <c r="M71" s="6739" t="s">
        <v>5378</v>
      </c>
      <c r="N71" s="2499" t="s">
        <v>5379</v>
      </c>
      <c r="O71" s="2497" t="s">
        <v>5380</v>
      </c>
      <c r="P71" s="555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71"/>
      <c r="AR71" s="103"/>
      <c r="AS71" s="103"/>
      <c r="AT71" s="103"/>
      <c r="AU71" s="103"/>
      <c r="AV71" s="103"/>
      <c r="AW71" s="290"/>
      <c r="AX71" s="290"/>
      <c r="AY71" s="290"/>
      <c r="AZ71" s="290"/>
      <c r="BA71" s="290"/>
      <c r="CB71" s="1429" t="s">
        <v>5419</v>
      </c>
      <c r="CD71" s="1429" t="s">
        <v>5429</v>
      </c>
      <c r="CF71" s="1429" t="s">
        <v>5430</v>
      </c>
      <c r="CH71" s="1429" t="s">
        <v>5431</v>
      </c>
      <c r="CJ71" s="1429" t="s">
        <v>5432</v>
      </c>
      <c r="CL71" s="1429" t="s">
        <v>5433</v>
      </c>
      <c r="DB71" s="3206">
        <v>1</v>
      </c>
      <c r="DD71" s="3206">
        <v>1</v>
      </c>
      <c r="DF71" s="3206">
        <v>1</v>
      </c>
      <c r="DH71" s="3206">
        <v>1</v>
      </c>
      <c r="DJ71" s="3206">
        <v>1</v>
      </c>
      <c r="DL71" s="3206">
        <v>1</v>
      </c>
    </row>
    <row r="72" spans="1:116" ht="16.350000000000001" customHeight="1" x14ac:dyDescent="0.25">
      <c r="A72" s="7258" t="s">
        <v>4049</v>
      </c>
      <c r="B72" s="8610" t="s">
        <v>661</v>
      </c>
      <c r="C72" s="8610"/>
      <c r="D72" s="2506" t="s">
        <v>5369</v>
      </c>
      <c r="E72" s="2491" t="s">
        <v>5370</v>
      </c>
      <c r="F72" s="2509" t="s">
        <v>5371</v>
      </c>
      <c r="G72" s="2499" t="s">
        <v>5372</v>
      </c>
      <c r="H72" s="2491" t="s">
        <v>5373</v>
      </c>
      <c r="I72" s="2506" t="s">
        <v>5374</v>
      </c>
      <c r="J72" s="2491" t="s">
        <v>5375</v>
      </c>
      <c r="K72" s="2501" t="s">
        <v>5376</v>
      </c>
      <c r="L72" s="2499" t="s">
        <v>5377</v>
      </c>
      <c r="M72" s="2996" t="s">
        <v>5378</v>
      </c>
      <c r="N72" s="2499" t="s">
        <v>5379</v>
      </c>
      <c r="O72" s="2497" t="s">
        <v>5380</v>
      </c>
      <c r="P72" s="555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71"/>
      <c r="AR72" s="103"/>
      <c r="AS72" s="103"/>
      <c r="AT72" s="103"/>
      <c r="AU72" s="103"/>
      <c r="AV72" s="103"/>
      <c r="AW72" s="290"/>
      <c r="AX72" s="290"/>
      <c r="AY72" s="290"/>
      <c r="AZ72" s="290"/>
      <c r="BA72" s="290"/>
    </row>
    <row r="73" spans="1:116" ht="16.350000000000001" customHeight="1" x14ac:dyDescent="0.25">
      <c r="A73" s="7258" t="s">
        <v>4050</v>
      </c>
      <c r="B73" s="8610" t="s">
        <v>660</v>
      </c>
      <c r="C73" s="8610"/>
      <c r="D73" s="2506" t="s">
        <v>5369</v>
      </c>
      <c r="E73" s="2491" t="s">
        <v>5370</v>
      </c>
      <c r="F73" s="2509" t="s">
        <v>5371</v>
      </c>
      <c r="G73" s="2499" t="s">
        <v>5372</v>
      </c>
      <c r="H73" s="2491" t="s">
        <v>5373</v>
      </c>
      <c r="I73" s="2506" t="s">
        <v>5374</v>
      </c>
      <c r="J73" s="2491" t="s">
        <v>5375</v>
      </c>
      <c r="K73" s="2501" t="s">
        <v>5376</v>
      </c>
      <c r="L73" s="2499" t="s">
        <v>5377</v>
      </c>
      <c r="M73" s="2996" t="s">
        <v>5378</v>
      </c>
      <c r="N73" s="2499" t="s">
        <v>5379</v>
      </c>
      <c r="O73" s="2497" t="s">
        <v>5380</v>
      </c>
      <c r="P73" s="555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103"/>
      <c r="AS73" s="103"/>
      <c r="AT73" s="103"/>
      <c r="AU73" s="103"/>
      <c r="AV73" s="103"/>
      <c r="AW73" s="290"/>
      <c r="AX73" s="290"/>
      <c r="AY73" s="290"/>
      <c r="AZ73" s="290"/>
      <c r="BA73" s="290"/>
    </row>
    <row r="74" spans="1:116" ht="16.350000000000001" customHeight="1" x14ac:dyDescent="0.25">
      <c r="A74" s="7258" t="s">
        <v>4051</v>
      </c>
      <c r="B74" s="8588" t="s">
        <v>659</v>
      </c>
      <c r="C74" s="8588"/>
      <c r="D74" s="2507" t="s">
        <v>5369</v>
      </c>
      <c r="E74" s="2491" t="s">
        <v>5370</v>
      </c>
      <c r="F74" s="2509" t="s">
        <v>5371</v>
      </c>
      <c r="G74" s="2499" t="s">
        <v>5372</v>
      </c>
      <c r="H74" s="2491" t="s">
        <v>5373</v>
      </c>
      <c r="I74" s="2466" t="s">
        <v>5374</v>
      </c>
      <c r="J74" s="2491" t="s">
        <v>5375</v>
      </c>
      <c r="K74" s="2501" t="s">
        <v>5376</v>
      </c>
      <c r="L74" s="2499" t="s">
        <v>5377</v>
      </c>
      <c r="M74" s="2996" t="s">
        <v>5378</v>
      </c>
      <c r="N74" s="2499" t="s">
        <v>5379</v>
      </c>
      <c r="O74" s="2497" t="s">
        <v>5380</v>
      </c>
      <c r="P74" s="555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103"/>
      <c r="AS74" s="103"/>
      <c r="AT74" s="103"/>
      <c r="AU74" s="103"/>
      <c r="AV74" s="103"/>
      <c r="AW74" s="290"/>
      <c r="AX74" s="290"/>
      <c r="AY74" s="290"/>
      <c r="AZ74" s="290"/>
      <c r="BA74" s="290"/>
    </row>
    <row r="75" spans="1:116" ht="16.350000000000001" customHeight="1" x14ac:dyDescent="0.25">
      <c r="A75" s="71"/>
      <c r="B75" s="8589" t="s">
        <v>24</v>
      </c>
      <c r="C75" s="8589"/>
      <c r="D75" s="2508">
        <f t="shared" ref="D75:M75" si="0">SUM(D71:D74)</f>
        <v>0</v>
      </c>
      <c r="E75" s="2476">
        <f t="shared" si="0"/>
        <v>0</v>
      </c>
      <c r="F75" s="2510">
        <f t="shared" si="0"/>
        <v>0</v>
      </c>
      <c r="G75" s="2504">
        <f t="shared" si="0"/>
        <v>0</v>
      </c>
      <c r="H75" s="2504">
        <f>SUM(H71:H74)</f>
        <v>0</v>
      </c>
      <c r="I75" s="2508">
        <f t="shared" si="0"/>
        <v>0</v>
      </c>
      <c r="J75" s="2476">
        <f t="shared" si="0"/>
        <v>0</v>
      </c>
      <c r="K75" s="2511">
        <f t="shared" si="0"/>
        <v>0</v>
      </c>
      <c r="L75" s="2504">
        <f t="shared" si="0"/>
        <v>0</v>
      </c>
      <c r="M75" s="3100">
        <f t="shared" si="0"/>
        <v>0</v>
      </c>
      <c r="N75" s="2504">
        <f>SUM(N71:N74)</f>
        <v>0</v>
      </c>
      <c r="O75" s="2508">
        <f>SUM(O71:O74)</f>
        <v>0</v>
      </c>
      <c r="P75" s="71"/>
      <c r="Q75" s="71"/>
      <c r="R75" s="71"/>
      <c r="S75" s="71"/>
      <c r="T75" s="71"/>
      <c r="U75" s="71"/>
      <c r="V75" s="71"/>
      <c r="W75" s="71"/>
      <c r="X75" s="140"/>
      <c r="Y75" s="140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71"/>
      <c r="AR75" s="103"/>
      <c r="AS75" s="103"/>
      <c r="AT75" s="103"/>
      <c r="AU75" s="103"/>
      <c r="AV75" s="103"/>
      <c r="AW75" s="290"/>
      <c r="AX75" s="290"/>
      <c r="AY75" s="290"/>
      <c r="AZ75" s="290"/>
      <c r="BA75" s="290"/>
    </row>
    <row r="76" spans="1:116" ht="16.350000000000001" customHeight="1" x14ac:dyDescent="0.25">
      <c r="A76" s="71"/>
      <c r="B76" s="3003" t="s">
        <v>3158</v>
      </c>
      <c r="C76" s="3102"/>
      <c r="D76" s="3103"/>
      <c r="E76" s="310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71"/>
      <c r="Q76" s="71"/>
      <c r="R76" s="71"/>
      <c r="S76" s="71"/>
      <c r="T76" s="71"/>
      <c r="U76" s="71"/>
      <c r="V76" s="71"/>
      <c r="W76" s="71"/>
      <c r="X76" s="140"/>
      <c r="Y76" s="140"/>
      <c r="Z76" s="71"/>
      <c r="AA76" s="71"/>
      <c r="AB76" s="71"/>
      <c r="AC76" s="71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71"/>
      <c r="AR76" s="103"/>
      <c r="AS76" s="103"/>
      <c r="AT76" s="103"/>
      <c r="AU76" s="103"/>
      <c r="AV76" s="103"/>
      <c r="AW76" s="290"/>
      <c r="AX76" s="290"/>
      <c r="AY76" s="290"/>
      <c r="AZ76" s="290"/>
      <c r="BA76" s="290"/>
    </row>
    <row r="77" spans="1:116" ht="24" customHeight="1" x14ac:dyDescent="0.3">
      <c r="A77" s="71"/>
      <c r="B77" s="365" t="s">
        <v>3156</v>
      </c>
      <c r="C77" s="365"/>
      <c r="D77" s="365"/>
      <c r="E77" s="365"/>
      <c r="F77" s="499"/>
      <c r="G77" s="499"/>
      <c r="H77" s="499"/>
      <c r="I77" s="499"/>
      <c r="J77" s="499"/>
      <c r="K77" s="499"/>
      <c r="L77" s="499"/>
      <c r="M77" s="499"/>
      <c r="N77" s="499"/>
      <c r="O77" s="499"/>
      <c r="P77" s="499"/>
      <c r="Q77" s="499"/>
      <c r="R77" s="499"/>
      <c r="S77" s="499"/>
      <c r="T77" s="499"/>
      <c r="U77" s="499"/>
      <c r="V77" s="499"/>
      <c r="W77" s="499"/>
      <c r="X77" s="499"/>
      <c r="Y77" s="499"/>
      <c r="Z77" s="499"/>
      <c r="AA77" s="499"/>
      <c r="AB77" s="499"/>
      <c r="AC77" s="499"/>
      <c r="AD77" s="499"/>
      <c r="AE77" s="499"/>
      <c r="AF77" s="499"/>
      <c r="AG77" s="499"/>
      <c r="AH77" s="499"/>
      <c r="AI77" s="499"/>
      <c r="AJ77" s="499"/>
      <c r="AK77" s="499"/>
      <c r="AL77" s="499"/>
      <c r="AM77" s="71"/>
      <c r="AN77" s="71"/>
      <c r="AO77" s="71"/>
      <c r="AP77" s="71"/>
      <c r="AQ77" s="71"/>
      <c r="AR77" s="71"/>
      <c r="AS77" s="71"/>
      <c r="AT77" s="71"/>
    </row>
    <row r="78" spans="1:116" ht="26.4" customHeight="1" x14ac:dyDescent="0.25">
      <c r="A78" s="71"/>
      <c r="B78" s="8597" t="s">
        <v>658</v>
      </c>
      <c r="C78" s="8583" t="s">
        <v>24</v>
      </c>
      <c r="D78" s="8577" t="s">
        <v>22</v>
      </c>
      <c r="E78" s="8579"/>
      <c r="F78" s="8599" t="s">
        <v>362</v>
      </c>
      <c r="G78" s="8557" t="s">
        <v>361</v>
      </c>
      <c r="H78" s="8557" t="s">
        <v>2956</v>
      </c>
      <c r="I78" s="8557" t="s">
        <v>2615</v>
      </c>
      <c r="J78" s="71"/>
      <c r="K78" s="71"/>
      <c r="L78" s="71"/>
      <c r="M78" s="71"/>
      <c r="N78" s="71"/>
      <c r="O78" s="71"/>
      <c r="P78" s="71"/>
      <c r="Q78" s="71"/>
      <c r="R78" s="71"/>
      <c r="S78" s="140"/>
      <c r="T78" s="140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71"/>
      <c r="AR78" s="71"/>
      <c r="AS78" s="71"/>
      <c r="CA78" s="1438"/>
    </row>
    <row r="79" spans="1:116" ht="34.950000000000003" customHeight="1" x14ac:dyDescent="0.25">
      <c r="A79" s="71"/>
      <c r="B79" s="8598"/>
      <c r="C79" s="8584"/>
      <c r="D79" s="2488" t="s">
        <v>17</v>
      </c>
      <c r="E79" s="2500" t="s">
        <v>18</v>
      </c>
      <c r="F79" s="8600"/>
      <c r="G79" s="8558"/>
      <c r="H79" s="8558"/>
      <c r="I79" s="8558"/>
      <c r="J79" s="71"/>
      <c r="K79" s="71"/>
      <c r="L79" s="71"/>
      <c r="M79" s="71"/>
      <c r="N79" s="71"/>
      <c r="O79" s="71"/>
      <c r="P79" s="71"/>
      <c r="Q79" s="71"/>
      <c r="R79" s="71"/>
      <c r="S79" s="140"/>
      <c r="T79" s="140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71"/>
      <c r="AS79" s="71"/>
      <c r="CA79" s="1438"/>
    </row>
    <row r="80" spans="1:116" ht="16.350000000000001" customHeight="1" x14ac:dyDescent="0.25">
      <c r="A80" s="7258" t="s">
        <v>4052</v>
      </c>
      <c r="B80" s="466" t="s">
        <v>657</v>
      </c>
      <c r="C80" s="141" t="s">
        <v>5369</v>
      </c>
      <c r="D80" s="2492" t="s">
        <v>5370</v>
      </c>
      <c r="E80" s="2501" t="s">
        <v>5371</v>
      </c>
      <c r="F80" s="2512" t="s">
        <v>5372</v>
      </c>
      <c r="G80" s="2499" t="s">
        <v>5373</v>
      </c>
      <c r="H80" s="2499" t="s">
        <v>5374</v>
      </c>
      <c r="I80" s="2499" t="s">
        <v>5375</v>
      </c>
      <c r="J80" s="555"/>
      <c r="K80" s="71"/>
      <c r="L80" s="71"/>
      <c r="M80" s="71"/>
      <c r="N80" s="71"/>
      <c r="O80" s="71"/>
      <c r="P80" s="71"/>
      <c r="Q80" s="71"/>
      <c r="R80" s="71"/>
      <c r="S80" s="140"/>
      <c r="T80" s="140"/>
      <c r="U80" s="71"/>
      <c r="V80" s="71"/>
      <c r="W80" s="71"/>
      <c r="X80" s="71"/>
      <c r="Y80" s="71"/>
      <c r="Z80" s="71"/>
      <c r="AA80" s="71"/>
      <c r="AB80" s="71"/>
      <c r="AC80" s="71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71"/>
      <c r="AR80" s="71"/>
      <c r="AS80" s="71"/>
      <c r="CA80" s="1438"/>
    </row>
    <row r="81" spans="1:112" ht="16.350000000000001" customHeight="1" x14ac:dyDescent="0.25">
      <c r="A81" s="7258" t="s">
        <v>4053</v>
      </c>
      <c r="B81" s="109" t="s">
        <v>656</v>
      </c>
      <c r="C81" s="141" t="s">
        <v>5369</v>
      </c>
      <c r="D81" s="2492" t="s">
        <v>5370</v>
      </c>
      <c r="E81" s="2501" t="s">
        <v>5371</v>
      </c>
      <c r="F81" s="2512" t="s">
        <v>5372</v>
      </c>
      <c r="G81" s="2499" t="s">
        <v>5373</v>
      </c>
      <c r="H81" s="2499" t="s">
        <v>5374</v>
      </c>
      <c r="I81" s="2499" t="s">
        <v>5375</v>
      </c>
      <c r="J81" s="555"/>
      <c r="K81" s="71"/>
      <c r="L81" s="71"/>
      <c r="M81" s="71"/>
      <c r="N81" s="71"/>
      <c r="O81" s="71"/>
      <c r="P81" s="71"/>
      <c r="Q81" s="71"/>
      <c r="R81" s="71"/>
      <c r="S81" s="140"/>
      <c r="T81" s="140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71"/>
      <c r="AR81" s="71"/>
      <c r="AS81" s="71"/>
      <c r="CA81" s="1438"/>
    </row>
    <row r="82" spans="1:112" ht="16.350000000000001" customHeight="1" x14ac:dyDescent="0.25">
      <c r="A82" s="7258" t="s">
        <v>4054</v>
      </c>
      <c r="B82" s="109" t="s">
        <v>655</v>
      </c>
      <c r="C82" s="141" t="s">
        <v>5369</v>
      </c>
      <c r="D82" s="2492" t="s">
        <v>5370</v>
      </c>
      <c r="E82" s="2501" t="s">
        <v>5371</v>
      </c>
      <c r="F82" s="2512" t="s">
        <v>5372</v>
      </c>
      <c r="G82" s="2499" t="s">
        <v>5373</v>
      </c>
      <c r="H82" s="2499" t="s">
        <v>5374</v>
      </c>
      <c r="I82" s="2499" t="s">
        <v>5375</v>
      </c>
      <c r="J82" s="555"/>
      <c r="K82" s="71"/>
      <c r="L82" s="71"/>
      <c r="M82" s="71"/>
      <c r="N82" s="71"/>
      <c r="O82" s="71"/>
      <c r="P82" s="71"/>
      <c r="Q82" s="71"/>
      <c r="R82" s="71"/>
      <c r="S82" s="140"/>
      <c r="T82" s="140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CA82" s="1438"/>
    </row>
    <row r="83" spans="1:112" ht="16.350000000000001" customHeight="1" x14ac:dyDescent="0.25">
      <c r="A83" s="7258" t="s">
        <v>4055</v>
      </c>
      <c r="B83" s="109" t="s">
        <v>654</v>
      </c>
      <c r="C83" s="141" t="s">
        <v>5369</v>
      </c>
      <c r="D83" s="2492" t="s">
        <v>5370</v>
      </c>
      <c r="E83" s="2501" t="s">
        <v>5371</v>
      </c>
      <c r="F83" s="2512" t="s">
        <v>5372</v>
      </c>
      <c r="G83" s="2499" t="s">
        <v>5373</v>
      </c>
      <c r="H83" s="2499" t="s">
        <v>5374</v>
      </c>
      <c r="I83" s="2499" t="s">
        <v>5375</v>
      </c>
      <c r="J83" s="555"/>
      <c r="K83" s="71"/>
      <c r="L83" s="71"/>
      <c r="M83" s="71"/>
      <c r="N83" s="71"/>
      <c r="O83" s="71"/>
      <c r="P83" s="71"/>
      <c r="Q83" s="71"/>
      <c r="R83" s="71"/>
      <c r="S83" s="140"/>
      <c r="T83" s="140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CA83" s="1438"/>
    </row>
    <row r="84" spans="1:112" ht="16.350000000000001" customHeight="1" x14ac:dyDescent="0.25">
      <c r="A84" s="7258" t="s">
        <v>4056</v>
      </c>
      <c r="B84" s="81" t="s">
        <v>653</v>
      </c>
      <c r="C84" s="142" t="s">
        <v>5369</v>
      </c>
      <c r="D84" s="2465" t="s">
        <v>5370</v>
      </c>
      <c r="E84" s="2502" t="s">
        <v>5371</v>
      </c>
      <c r="F84" s="2490" t="s">
        <v>5372</v>
      </c>
      <c r="G84" s="2479" t="s">
        <v>5373</v>
      </c>
      <c r="H84" s="2479" t="s">
        <v>5374</v>
      </c>
      <c r="I84" s="2479" t="s">
        <v>5375</v>
      </c>
      <c r="J84" s="555"/>
      <c r="K84" s="71"/>
      <c r="L84" s="71"/>
      <c r="M84" s="71"/>
      <c r="N84" s="71"/>
      <c r="O84" s="71"/>
      <c r="P84" s="71"/>
      <c r="Q84" s="71"/>
      <c r="R84" s="71"/>
      <c r="S84" s="140"/>
      <c r="T84" s="140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CA84" s="1438"/>
    </row>
    <row r="85" spans="1:112" ht="23.4" customHeight="1" x14ac:dyDescent="0.25">
      <c r="A85" s="71"/>
      <c r="B85" s="3321" t="s">
        <v>3155</v>
      </c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140"/>
      <c r="V85" s="140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</row>
    <row r="86" spans="1:112" ht="23.4" customHeight="1" x14ac:dyDescent="0.25">
      <c r="A86" s="71"/>
      <c r="B86" s="8597" t="s">
        <v>658</v>
      </c>
      <c r="C86" s="8604" t="s">
        <v>3157</v>
      </c>
      <c r="D86" s="8606" t="s">
        <v>39</v>
      </c>
      <c r="E86" s="8577" t="s">
        <v>22</v>
      </c>
      <c r="F86" s="8579"/>
      <c r="G86" s="8599" t="s">
        <v>362</v>
      </c>
      <c r="H86" s="8557" t="s">
        <v>361</v>
      </c>
      <c r="I86" s="8557" t="s">
        <v>2956</v>
      </c>
      <c r="J86" s="8557" t="s">
        <v>2615</v>
      </c>
      <c r="K86" s="71"/>
      <c r="L86" s="71"/>
      <c r="M86" s="71"/>
      <c r="N86" s="71"/>
      <c r="O86" s="71"/>
      <c r="P86" s="71"/>
      <c r="Q86" s="71"/>
      <c r="R86" s="71"/>
      <c r="S86" s="71"/>
      <c r="T86" s="140"/>
      <c r="U86" s="140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</row>
    <row r="87" spans="1:112" ht="29.25" customHeight="1" x14ac:dyDescent="0.25">
      <c r="A87" s="71"/>
      <c r="B87" s="8598"/>
      <c r="C87" s="8605"/>
      <c r="D87" s="8607"/>
      <c r="E87" s="2488" t="s">
        <v>17</v>
      </c>
      <c r="F87" s="2500" t="s">
        <v>18</v>
      </c>
      <c r="G87" s="8600"/>
      <c r="H87" s="8558"/>
      <c r="I87" s="8558"/>
      <c r="J87" s="8558"/>
      <c r="K87" s="71"/>
      <c r="L87" s="71"/>
      <c r="M87" s="71"/>
      <c r="N87" s="71"/>
      <c r="O87" s="71"/>
      <c r="P87" s="71"/>
      <c r="Q87" s="71"/>
      <c r="R87" s="71"/>
      <c r="S87" s="71"/>
      <c r="T87" s="140"/>
      <c r="U87" s="140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</row>
    <row r="88" spans="1:112" ht="16.350000000000001" customHeight="1" x14ac:dyDescent="0.25">
      <c r="A88" s="7258" t="s">
        <v>4063</v>
      </c>
      <c r="B88" s="3101" t="s">
        <v>657</v>
      </c>
      <c r="C88" s="3039" t="s">
        <v>5369</v>
      </c>
      <c r="D88" s="3104" t="s">
        <v>5370</v>
      </c>
      <c r="E88" s="2985" t="s">
        <v>5371</v>
      </c>
      <c r="F88" s="2451" t="s">
        <v>5372</v>
      </c>
      <c r="G88" s="2449" t="s">
        <v>5373</v>
      </c>
      <c r="H88" s="2814" t="s">
        <v>5374</v>
      </c>
      <c r="I88" s="2814" t="s">
        <v>5375</v>
      </c>
      <c r="J88" s="2814" t="s">
        <v>5376</v>
      </c>
      <c r="K88" s="555"/>
      <c r="L88" s="71"/>
      <c r="M88" s="71"/>
      <c r="N88" s="71"/>
      <c r="O88" s="71"/>
      <c r="P88" s="71"/>
      <c r="Q88" s="71"/>
      <c r="R88" s="71"/>
      <c r="S88" s="71"/>
      <c r="T88" s="140"/>
      <c r="U88" s="140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CB88" s="1429" t="s">
        <v>5419</v>
      </c>
      <c r="CD88" s="1429" t="s">
        <v>5420</v>
      </c>
      <c r="CF88" s="1429" t="s">
        <v>5421</v>
      </c>
      <c r="CH88" s="1429" t="s">
        <v>5422</v>
      </c>
      <c r="DB88" s="3206">
        <v>1</v>
      </c>
      <c r="DD88" s="3206">
        <v>1</v>
      </c>
      <c r="DF88" s="3206">
        <v>1</v>
      </c>
      <c r="DH88" s="3206">
        <v>1</v>
      </c>
    </row>
    <row r="89" spans="1:112" ht="16.350000000000001" customHeight="1" x14ac:dyDescent="0.25">
      <c r="A89" s="7258" t="s">
        <v>4064</v>
      </c>
      <c r="B89" s="109" t="s">
        <v>656</v>
      </c>
      <c r="C89" s="2996" t="s">
        <v>5369</v>
      </c>
      <c r="D89" s="3105" t="s">
        <v>5370</v>
      </c>
      <c r="E89" s="2492" t="s">
        <v>5371</v>
      </c>
      <c r="F89" s="2501" t="s">
        <v>5372</v>
      </c>
      <c r="G89" s="2512" t="s">
        <v>5373</v>
      </c>
      <c r="H89" s="2499" t="s">
        <v>5374</v>
      </c>
      <c r="I89" s="2499" t="s">
        <v>5375</v>
      </c>
      <c r="J89" s="2499" t="s">
        <v>5376</v>
      </c>
      <c r="K89" s="555"/>
      <c r="L89" s="71"/>
      <c r="M89" s="71"/>
      <c r="N89" s="71"/>
      <c r="O89" s="71"/>
      <c r="P89" s="71"/>
      <c r="Q89" s="71"/>
      <c r="R89" s="71"/>
      <c r="S89" s="71"/>
      <c r="T89" s="140"/>
      <c r="U89" s="140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</row>
    <row r="90" spans="1:112" ht="16.350000000000001" customHeight="1" x14ac:dyDescent="0.25">
      <c r="A90" s="7258" t="s">
        <v>4065</v>
      </c>
      <c r="B90" s="109" t="s">
        <v>655</v>
      </c>
      <c r="C90" s="2996" t="s">
        <v>5369</v>
      </c>
      <c r="D90" s="3105" t="s">
        <v>5370</v>
      </c>
      <c r="E90" s="2492" t="s">
        <v>5371</v>
      </c>
      <c r="F90" s="2501" t="s">
        <v>5372</v>
      </c>
      <c r="G90" s="2512" t="s">
        <v>5373</v>
      </c>
      <c r="H90" s="2499" t="s">
        <v>5374</v>
      </c>
      <c r="I90" s="2499" t="s">
        <v>5375</v>
      </c>
      <c r="J90" s="2499" t="s">
        <v>5376</v>
      </c>
      <c r="K90" s="555"/>
      <c r="L90" s="71"/>
      <c r="M90" s="71"/>
      <c r="N90" s="71"/>
      <c r="O90" s="71"/>
      <c r="P90" s="71"/>
      <c r="Q90" s="71"/>
      <c r="R90" s="71"/>
      <c r="S90" s="71"/>
      <c r="T90" s="140"/>
      <c r="U90" s="140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</row>
    <row r="91" spans="1:112" ht="16.350000000000001" customHeight="1" x14ac:dyDescent="0.25">
      <c r="A91" s="7258" t="s">
        <v>4066</v>
      </c>
      <c r="B91" s="109" t="s">
        <v>654</v>
      </c>
      <c r="C91" s="2996" t="s">
        <v>5369</v>
      </c>
      <c r="D91" s="3105" t="s">
        <v>5370</v>
      </c>
      <c r="E91" s="2492" t="s">
        <v>5371</v>
      </c>
      <c r="F91" s="2501" t="s">
        <v>5372</v>
      </c>
      <c r="G91" s="2512" t="s">
        <v>5373</v>
      </c>
      <c r="H91" s="2499" t="s">
        <v>5374</v>
      </c>
      <c r="I91" s="2499" t="s">
        <v>5375</v>
      </c>
      <c r="J91" s="2499" t="s">
        <v>5376</v>
      </c>
      <c r="K91" s="555"/>
      <c r="L91" s="71"/>
      <c r="M91" s="71"/>
      <c r="N91" s="71"/>
      <c r="O91" s="71"/>
      <c r="P91" s="71"/>
      <c r="Q91" s="71"/>
      <c r="R91" s="71"/>
      <c r="S91" s="71"/>
      <c r="T91" s="140"/>
      <c r="U91" s="140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</row>
    <row r="92" spans="1:112" ht="16.350000000000001" customHeight="1" x14ac:dyDescent="0.25">
      <c r="A92" s="7258" t="s">
        <v>4067</v>
      </c>
      <c r="B92" s="81" t="s">
        <v>653</v>
      </c>
      <c r="C92" s="2815" t="s">
        <v>5369</v>
      </c>
      <c r="D92" s="3106" t="s">
        <v>5370</v>
      </c>
      <c r="E92" s="2465" t="s">
        <v>5371</v>
      </c>
      <c r="F92" s="2502" t="s">
        <v>5372</v>
      </c>
      <c r="G92" s="2490" t="s">
        <v>5373</v>
      </c>
      <c r="H92" s="2479" t="s">
        <v>5374</v>
      </c>
      <c r="I92" s="2479" t="s">
        <v>5375</v>
      </c>
      <c r="J92" s="2479" t="s">
        <v>5376</v>
      </c>
      <c r="K92" s="555"/>
      <c r="L92" s="71"/>
      <c r="M92" s="71"/>
      <c r="N92" s="71"/>
      <c r="O92" s="71"/>
      <c r="P92" s="71"/>
      <c r="Q92" s="71"/>
      <c r="R92" s="71"/>
      <c r="S92" s="71"/>
      <c r="T92" s="140"/>
      <c r="U92" s="140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</row>
    <row r="93" spans="1:112" ht="24.75" customHeight="1" x14ac:dyDescent="0.25">
      <c r="B93" s="365" t="s">
        <v>2070</v>
      </c>
      <c r="C93" s="2389"/>
      <c r="D93" s="2389"/>
      <c r="E93" s="2390"/>
      <c r="F93" s="2389"/>
      <c r="G93" s="2389"/>
      <c r="H93" s="2389"/>
      <c r="I93" s="2389"/>
      <c r="J93" s="2389"/>
      <c r="K93" s="2389"/>
      <c r="L93" s="2389"/>
      <c r="M93" s="2389"/>
      <c r="N93" s="2389"/>
      <c r="O93" s="2389"/>
      <c r="P93" s="2389"/>
      <c r="Q93" s="2389"/>
      <c r="R93" s="2389"/>
      <c r="S93" s="2389"/>
      <c r="T93" s="2389"/>
      <c r="U93" s="2389"/>
      <c r="V93" s="2389"/>
      <c r="W93" s="2389"/>
      <c r="X93" s="2389"/>
      <c r="Y93" s="2391"/>
      <c r="Z93" s="2391"/>
      <c r="AA93" s="2389"/>
      <c r="AB93" s="2389"/>
      <c r="AC93" s="2389"/>
      <c r="AD93" s="2389"/>
      <c r="AE93" s="2389"/>
      <c r="AF93" s="2389"/>
      <c r="AG93" s="2389"/>
      <c r="AH93" s="71"/>
      <c r="AI93" s="71"/>
      <c r="AJ93" s="71"/>
      <c r="AK93" s="71"/>
    </row>
    <row r="94" spans="1:112" ht="15" customHeight="1" x14ac:dyDescent="0.25">
      <c r="B94" s="8590" t="s">
        <v>652</v>
      </c>
      <c r="C94" s="8593" t="s">
        <v>24</v>
      </c>
      <c r="D94" s="8594"/>
      <c r="E94" s="8595"/>
      <c r="F94" s="8601" t="s">
        <v>25</v>
      </c>
      <c r="G94" s="8602"/>
      <c r="H94" s="8602"/>
      <c r="I94" s="8602"/>
      <c r="J94" s="8602"/>
      <c r="K94" s="8602"/>
      <c r="L94" s="8602"/>
      <c r="M94" s="8602"/>
      <c r="N94" s="8602"/>
      <c r="O94" s="8602"/>
      <c r="P94" s="8602"/>
      <c r="Q94" s="8602"/>
      <c r="R94" s="8602"/>
      <c r="S94" s="8602"/>
      <c r="T94" s="8602"/>
      <c r="U94" s="8602"/>
      <c r="V94" s="8602"/>
      <c r="W94" s="8602"/>
      <c r="X94" s="8602"/>
      <c r="Y94" s="8602"/>
      <c r="Z94" s="8602"/>
      <c r="AA94" s="8602"/>
      <c r="AB94" s="8602"/>
      <c r="AC94" s="8602"/>
      <c r="AD94" s="8602"/>
      <c r="AE94" s="8602"/>
      <c r="AF94" s="8602"/>
      <c r="AG94" s="8603"/>
      <c r="AH94" s="8580" t="s">
        <v>361</v>
      </c>
      <c r="AI94" s="8580" t="s">
        <v>362</v>
      </c>
      <c r="BZ94" s="1438"/>
      <c r="CA94" s="1438"/>
    </row>
    <row r="95" spans="1:112" x14ac:dyDescent="0.25">
      <c r="B95" s="8591"/>
      <c r="C95" s="8596"/>
      <c r="D95" s="8560"/>
      <c r="E95" s="8581"/>
      <c r="F95" s="8570" t="s">
        <v>80</v>
      </c>
      <c r="G95" s="8571"/>
      <c r="H95" s="8575" t="s">
        <v>81</v>
      </c>
      <c r="I95" s="8569"/>
      <c r="J95" s="8575" t="s">
        <v>82</v>
      </c>
      <c r="K95" s="8569"/>
      <c r="L95" s="8567" t="s">
        <v>83</v>
      </c>
      <c r="M95" s="8569"/>
      <c r="N95" s="8575" t="s">
        <v>400</v>
      </c>
      <c r="O95" s="8569"/>
      <c r="P95" s="8575" t="s">
        <v>124</v>
      </c>
      <c r="Q95" s="8569"/>
      <c r="R95" s="8575" t="s">
        <v>125</v>
      </c>
      <c r="S95" s="8569"/>
      <c r="T95" s="8575" t="s">
        <v>126</v>
      </c>
      <c r="U95" s="8569"/>
      <c r="V95" s="8575" t="s">
        <v>127</v>
      </c>
      <c r="W95" s="8569"/>
      <c r="X95" s="8575" t="s">
        <v>128</v>
      </c>
      <c r="Y95" s="8569"/>
      <c r="Z95" s="8567" t="s">
        <v>129</v>
      </c>
      <c r="AA95" s="8569"/>
      <c r="AB95" s="8567" t="s">
        <v>130</v>
      </c>
      <c r="AC95" s="8569"/>
      <c r="AD95" s="8567" t="s">
        <v>131</v>
      </c>
      <c r="AE95" s="8569"/>
      <c r="AF95" s="8567" t="s">
        <v>1405</v>
      </c>
      <c r="AG95" s="8568"/>
      <c r="AH95" s="8581"/>
      <c r="AI95" s="8581"/>
      <c r="BZ95" s="1438"/>
      <c r="CA95" s="1438"/>
    </row>
    <row r="96" spans="1:112" x14ac:dyDescent="0.25">
      <c r="B96" s="8592"/>
      <c r="C96" s="1287" t="s">
        <v>42</v>
      </c>
      <c r="D96" s="3320" t="s">
        <v>17</v>
      </c>
      <c r="E96" s="1329" t="s">
        <v>18</v>
      </c>
      <c r="F96" s="1683" t="s">
        <v>17</v>
      </c>
      <c r="G96" s="2073" t="s">
        <v>18</v>
      </c>
      <c r="H96" s="3261" t="s">
        <v>17</v>
      </c>
      <c r="I96" s="2073" t="s">
        <v>18</v>
      </c>
      <c r="J96" s="3261" t="s">
        <v>17</v>
      </c>
      <c r="K96" s="2073" t="s">
        <v>18</v>
      </c>
      <c r="L96" s="1683" t="s">
        <v>17</v>
      </c>
      <c r="M96" s="2073" t="s">
        <v>18</v>
      </c>
      <c r="N96" s="3261" t="s">
        <v>17</v>
      </c>
      <c r="O96" s="2073" t="s">
        <v>18</v>
      </c>
      <c r="P96" s="3261" t="s">
        <v>17</v>
      </c>
      <c r="Q96" s="2073" t="s">
        <v>18</v>
      </c>
      <c r="R96" s="3261" t="s">
        <v>17</v>
      </c>
      <c r="S96" s="2073" t="s">
        <v>18</v>
      </c>
      <c r="T96" s="3261" t="s">
        <v>17</v>
      </c>
      <c r="U96" s="2073" t="s">
        <v>18</v>
      </c>
      <c r="V96" s="3261" t="s">
        <v>17</v>
      </c>
      <c r="W96" s="2073" t="s">
        <v>18</v>
      </c>
      <c r="X96" s="3261" t="s">
        <v>17</v>
      </c>
      <c r="Y96" s="2073" t="s">
        <v>18</v>
      </c>
      <c r="Z96" s="1683" t="s">
        <v>17</v>
      </c>
      <c r="AA96" s="2073" t="s">
        <v>18</v>
      </c>
      <c r="AB96" s="1683" t="s">
        <v>17</v>
      </c>
      <c r="AC96" s="2073" t="s">
        <v>18</v>
      </c>
      <c r="AD96" s="1683" t="s">
        <v>17</v>
      </c>
      <c r="AE96" s="2073" t="s">
        <v>18</v>
      </c>
      <c r="AF96" s="1683" t="s">
        <v>17</v>
      </c>
      <c r="AG96" s="3258" t="s">
        <v>18</v>
      </c>
      <c r="AH96" s="8582"/>
      <c r="AI96" s="8582"/>
      <c r="BZ96" s="1438"/>
      <c r="CA96" s="1438"/>
    </row>
    <row r="97" spans="1:131" ht="14.25" customHeight="1" x14ac:dyDescent="0.25">
      <c r="A97" s="7258" t="s">
        <v>4057</v>
      </c>
      <c r="B97" s="3225" t="s">
        <v>2064</v>
      </c>
      <c r="C97" s="3308" t="s">
        <v>5369</v>
      </c>
      <c r="D97" s="3309" t="s">
        <v>5370</v>
      </c>
      <c r="E97" s="3310" t="s">
        <v>5371</v>
      </c>
      <c r="F97" s="2822" t="s">
        <v>5372</v>
      </c>
      <c r="G97" s="2824" t="s">
        <v>5373</v>
      </c>
      <c r="H97" s="3054" t="s">
        <v>5374</v>
      </c>
      <c r="I97" s="2824" t="s">
        <v>5375</v>
      </c>
      <c r="J97" s="3311" t="s">
        <v>5376</v>
      </c>
      <c r="K97" s="3312" t="s">
        <v>5377</v>
      </c>
      <c r="L97" s="3313" t="s">
        <v>5378</v>
      </c>
      <c r="M97" s="3312" t="s">
        <v>5379</v>
      </c>
      <c r="N97" s="3311" t="s">
        <v>5380</v>
      </c>
      <c r="O97" s="3312" t="s">
        <v>5381</v>
      </c>
      <c r="P97" s="3311" t="s">
        <v>5382</v>
      </c>
      <c r="Q97" s="3312" t="s">
        <v>5383</v>
      </c>
      <c r="R97" s="3311" t="s">
        <v>5384</v>
      </c>
      <c r="S97" s="3312" t="s">
        <v>5385</v>
      </c>
      <c r="T97" s="3311" t="s">
        <v>5386</v>
      </c>
      <c r="U97" s="3312" t="s">
        <v>5387</v>
      </c>
      <c r="V97" s="3311" t="s">
        <v>5388</v>
      </c>
      <c r="W97" s="3312" t="s">
        <v>5389</v>
      </c>
      <c r="X97" s="3311" t="s">
        <v>5390</v>
      </c>
      <c r="Y97" s="3312" t="s">
        <v>5391</v>
      </c>
      <c r="Z97" s="3311" t="s">
        <v>5392</v>
      </c>
      <c r="AA97" s="3312" t="s">
        <v>5393</v>
      </c>
      <c r="AB97" s="3311" t="s">
        <v>5394</v>
      </c>
      <c r="AC97" s="3312" t="s">
        <v>5395</v>
      </c>
      <c r="AD97" s="3311" t="s">
        <v>5396</v>
      </c>
      <c r="AE97" s="3312" t="s">
        <v>5397</v>
      </c>
      <c r="AF97" s="3311" t="s">
        <v>5398</v>
      </c>
      <c r="AG97" s="8003" t="s">
        <v>5399</v>
      </c>
      <c r="AH97" s="3311" t="s">
        <v>5400</v>
      </c>
      <c r="AI97" s="3312" t="s">
        <v>5401</v>
      </c>
      <c r="AJ97" s="1444"/>
      <c r="BZ97" s="1438"/>
      <c r="CA97" s="1438"/>
      <c r="DA97" s="1429">
        <v>1</v>
      </c>
      <c r="DB97" s="3206">
        <v>1</v>
      </c>
    </row>
    <row r="98" spans="1:131" ht="14.25" customHeight="1" x14ac:dyDescent="0.25">
      <c r="A98" s="7258" t="s">
        <v>4058</v>
      </c>
      <c r="B98" s="3225" t="s">
        <v>2065</v>
      </c>
      <c r="C98" s="3308" t="s">
        <v>5369</v>
      </c>
      <c r="D98" s="3309" t="s">
        <v>5370</v>
      </c>
      <c r="E98" s="3310" t="s">
        <v>5371</v>
      </c>
      <c r="F98" s="2822" t="s">
        <v>5372</v>
      </c>
      <c r="G98" s="2824" t="s">
        <v>5373</v>
      </c>
      <c r="H98" s="3054" t="s">
        <v>5374</v>
      </c>
      <c r="I98" s="2824" t="s">
        <v>5375</v>
      </c>
      <c r="J98" s="3311" t="s">
        <v>5376</v>
      </c>
      <c r="K98" s="3312" t="s">
        <v>5377</v>
      </c>
      <c r="L98" s="3313" t="s">
        <v>5378</v>
      </c>
      <c r="M98" s="3312" t="s">
        <v>5379</v>
      </c>
      <c r="N98" s="3311" t="s">
        <v>5380</v>
      </c>
      <c r="O98" s="3312" t="s">
        <v>5381</v>
      </c>
      <c r="P98" s="3311" t="s">
        <v>5382</v>
      </c>
      <c r="Q98" s="3312" t="s">
        <v>5383</v>
      </c>
      <c r="R98" s="3311" t="s">
        <v>5384</v>
      </c>
      <c r="S98" s="3312" t="s">
        <v>5385</v>
      </c>
      <c r="T98" s="3311" t="s">
        <v>5386</v>
      </c>
      <c r="U98" s="3312" t="s">
        <v>5387</v>
      </c>
      <c r="V98" s="3311" t="s">
        <v>5388</v>
      </c>
      <c r="W98" s="3312" t="s">
        <v>5389</v>
      </c>
      <c r="X98" s="3311" t="s">
        <v>5390</v>
      </c>
      <c r="Y98" s="3312" t="s">
        <v>5391</v>
      </c>
      <c r="Z98" s="3311" t="s">
        <v>5392</v>
      </c>
      <c r="AA98" s="3312" t="s">
        <v>5393</v>
      </c>
      <c r="AB98" s="3311" t="s">
        <v>5394</v>
      </c>
      <c r="AC98" s="3312" t="s">
        <v>5395</v>
      </c>
      <c r="AD98" s="3311" t="s">
        <v>5396</v>
      </c>
      <c r="AE98" s="3312" t="s">
        <v>5397</v>
      </c>
      <c r="AF98" s="3311" t="s">
        <v>5398</v>
      </c>
      <c r="AG98" s="8004" t="s">
        <v>5399</v>
      </c>
      <c r="AH98" s="3311" t="s">
        <v>5400</v>
      </c>
      <c r="AI98" s="3312" t="s">
        <v>5401</v>
      </c>
      <c r="AJ98" s="1444"/>
      <c r="BZ98" s="1438"/>
      <c r="CA98" s="1438"/>
      <c r="DB98" s="3206">
        <v>0</v>
      </c>
      <c r="DC98" s="3206">
        <v>0</v>
      </c>
    </row>
    <row r="99" spans="1:131" ht="14.25" customHeight="1" x14ac:dyDescent="0.25">
      <c r="A99" s="7258" t="s">
        <v>4059</v>
      </c>
      <c r="B99" s="3314" t="s">
        <v>2066</v>
      </c>
      <c r="C99" s="6736" t="s">
        <v>5369</v>
      </c>
      <c r="D99" s="6737" t="s">
        <v>5370</v>
      </c>
      <c r="E99" s="3665" t="s">
        <v>5371</v>
      </c>
      <c r="F99" s="3060" t="s">
        <v>5372</v>
      </c>
      <c r="G99" s="3044" t="s">
        <v>5373</v>
      </c>
      <c r="H99" s="3315" t="s">
        <v>5374</v>
      </c>
      <c r="I99" s="3044" t="s">
        <v>5375</v>
      </c>
      <c r="J99" s="3316" t="s">
        <v>5376</v>
      </c>
      <c r="K99" s="3317" t="s">
        <v>5377</v>
      </c>
      <c r="L99" s="3318" t="s">
        <v>5378</v>
      </c>
      <c r="M99" s="3317" t="s">
        <v>5379</v>
      </c>
      <c r="N99" s="3316" t="s">
        <v>5380</v>
      </c>
      <c r="O99" s="3317" t="s">
        <v>5381</v>
      </c>
      <c r="P99" s="3316" t="s">
        <v>5382</v>
      </c>
      <c r="Q99" s="3317" t="s">
        <v>5383</v>
      </c>
      <c r="R99" s="3316" t="s">
        <v>5384</v>
      </c>
      <c r="S99" s="3317" t="s">
        <v>5385</v>
      </c>
      <c r="T99" s="3316" t="s">
        <v>5386</v>
      </c>
      <c r="U99" s="3317" t="s">
        <v>5387</v>
      </c>
      <c r="V99" s="3316" t="s">
        <v>5388</v>
      </c>
      <c r="W99" s="3317" t="s">
        <v>5389</v>
      </c>
      <c r="X99" s="3316" t="s">
        <v>5390</v>
      </c>
      <c r="Y99" s="3317" t="s">
        <v>5391</v>
      </c>
      <c r="Z99" s="3316" t="s">
        <v>5392</v>
      </c>
      <c r="AA99" s="3317" t="s">
        <v>5393</v>
      </c>
      <c r="AB99" s="3316" t="s">
        <v>5394</v>
      </c>
      <c r="AC99" s="3317" t="s">
        <v>5395</v>
      </c>
      <c r="AD99" s="3316" t="s">
        <v>5396</v>
      </c>
      <c r="AE99" s="3317" t="s">
        <v>5397</v>
      </c>
      <c r="AF99" s="3316" t="s">
        <v>5398</v>
      </c>
      <c r="AG99" s="3319" t="s">
        <v>5399</v>
      </c>
      <c r="AH99" s="3316" t="s">
        <v>5400</v>
      </c>
      <c r="AI99" s="3317" t="s">
        <v>5401</v>
      </c>
      <c r="AJ99" s="1444"/>
      <c r="BZ99" s="1438"/>
      <c r="CA99" s="1438"/>
      <c r="DB99" s="3206">
        <v>0</v>
      </c>
      <c r="DC99" s="3206">
        <v>0</v>
      </c>
    </row>
    <row r="100" spans="1:131" ht="14.25" customHeight="1" x14ac:dyDescent="0.25">
      <c r="A100" s="7258" t="s">
        <v>4060</v>
      </c>
      <c r="B100" s="3225" t="s">
        <v>2110</v>
      </c>
      <c r="C100" s="6738" t="s">
        <v>5369</v>
      </c>
      <c r="D100" s="3666" t="s">
        <v>5370</v>
      </c>
      <c r="E100" s="3667" t="s">
        <v>5371</v>
      </c>
      <c r="F100" s="2822" t="s">
        <v>5372</v>
      </c>
      <c r="G100" s="2824" t="s">
        <v>5373</v>
      </c>
      <c r="H100" s="3054" t="s">
        <v>5374</v>
      </c>
      <c r="I100" s="2824" t="s">
        <v>5375</v>
      </c>
      <c r="J100" s="3311" t="s">
        <v>5376</v>
      </c>
      <c r="K100" s="3312" t="s">
        <v>5377</v>
      </c>
      <c r="L100" s="3313" t="s">
        <v>5378</v>
      </c>
      <c r="M100" s="3312" t="s">
        <v>5379</v>
      </c>
      <c r="N100" s="3311" t="s">
        <v>5380</v>
      </c>
      <c r="O100" s="3312" t="s">
        <v>5381</v>
      </c>
      <c r="P100" s="3311" t="s">
        <v>5382</v>
      </c>
      <c r="Q100" s="3312" t="s">
        <v>5383</v>
      </c>
      <c r="R100" s="3311" t="s">
        <v>5384</v>
      </c>
      <c r="S100" s="3312" t="s">
        <v>5385</v>
      </c>
      <c r="T100" s="3311" t="s">
        <v>5386</v>
      </c>
      <c r="U100" s="3312" t="s">
        <v>5387</v>
      </c>
      <c r="V100" s="3311" t="s">
        <v>5388</v>
      </c>
      <c r="W100" s="3312" t="s">
        <v>5389</v>
      </c>
      <c r="X100" s="3311" t="s">
        <v>5390</v>
      </c>
      <c r="Y100" s="3312" t="s">
        <v>5391</v>
      </c>
      <c r="Z100" s="3311" t="s">
        <v>5392</v>
      </c>
      <c r="AA100" s="3312" t="s">
        <v>5393</v>
      </c>
      <c r="AB100" s="3311" t="s">
        <v>5394</v>
      </c>
      <c r="AC100" s="3312" t="s">
        <v>5395</v>
      </c>
      <c r="AD100" s="3311" t="s">
        <v>5396</v>
      </c>
      <c r="AE100" s="3312" t="s">
        <v>5397</v>
      </c>
      <c r="AF100" s="3311" t="s">
        <v>5398</v>
      </c>
      <c r="AG100" s="8004" t="s">
        <v>5399</v>
      </c>
      <c r="AH100" s="3311" t="s">
        <v>5400</v>
      </c>
      <c r="AI100" s="3312" t="s">
        <v>5401</v>
      </c>
      <c r="AJ100" s="1444"/>
      <c r="BA100" s="290"/>
      <c r="DA100" s="3206"/>
      <c r="DB100" s="3206">
        <v>0</v>
      </c>
      <c r="DC100" s="3206">
        <v>0</v>
      </c>
      <c r="EA100" s="1430"/>
    </row>
    <row r="101" spans="1:131" ht="14.25" customHeight="1" x14ac:dyDescent="0.25">
      <c r="A101" s="7258" t="s">
        <v>4061</v>
      </c>
      <c r="B101" s="3225" t="s">
        <v>3746</v>
      </c>
      <c r="C101" s="3308" t="s">
        <v>5369</v>
      </c>
      <c r="D101" s="3309" t="s">
        <v>5370</v>
      </c>
      <c r="E101" s="3310" t="s">
        <v>5371</v>
      </c>
      <c r="F101" s="2822" t="s">
        <v>5372</v>
      </c>
      <c r="G101" s="2824" t="s">
        <v>5373</v>
      </c>
      <c r="H101" s="3054" t="s">
        <v>5374</v>
      </c>
      <c r="I101" s="2824" t="s">
        <v>5375</v>
      </c>
      <c r="J101" s="3311" t="s">
        <v>5376</v>
      </c>
      <c r="K101" s="3312" t="s">
        <v>5377</v>
      </c>
      <c r="L101" s="3313" t="s">
        <v>5378</v>
      </c>
      <c r="M101" s="3312" t="s">
        <v>5379</v>
      </c>
      <c r="N101" s="3311" t="s">
        <v>5380</v>
      </c>
      <c r="O101" s="3312" t="s">
        <v>5381</v>
      </c>
      <c r="P101" s="3311" t="s">
        <v>5382</v>
      </c>
      <c r="Q101" s="3312" t="s">
        <v>5383</v>
      </c>
      <c r="R101" s="3311" t="s">
        <v>5384</v>
      </c>
      <c r="S101" s="3312" t="s">
        <v>5385</v>
      </c>
      <c r="T101" s="3311" t="s">
        <v>5386</v>
      </c>
      <c r="U101" s="3312" t="s">
        <v>5387</v>
      </c>
      <c r="V101" s="3311" t="s">
        <v>5388</v>
      </c>
      <c r="W101" s="3312" t="s">
        <v>5389</v>
      </c>
      <c r="X101" s="3311" t="s">
        <v>5390</v>
      </c>
      <c r="Y101" s="3312" t="s">
        <v>5391</v>
      </c>
      <c r="Z101" s="3311" t="s">
        <v>5392</v>
      </c>
      <c r="AA101" s="3312" t="s">
        <v>5393</v>
      </c>
      <c r="AB101" s="3311" t="s">
        <v>5394</v>
      </c>
      <c r="AC101" s="3312" t="s">
        <v>5395</v>
      </c>
      <c r="AD101" s="3311" t="s">
        <v>5396</v>
      </c>
      <c r="AE101" s="3312" t="s">
        <v>5397</v>
      </c>
      <c r="AF101" s="3311" t="s">
        <v>5398</v>
      </c>
      <c r="AG101" s="8004" t="s">
        <v>5399</v>
      </c>
      <c r="AH101" s="3311" t="s">
        <v>5400</v>
      </c>
      <c r="AI101" s="3312" t="s">
        <v>5401</v>
      </c>
      <c r="AJ101" s="1444"/>
      <c r="BA101" s="290"/>
      <c r="DA101" s="3206"/>
      <c r="DB101" s="3206">
        <v>0</v>
      </c>
      <c r="DC101" s="3206">
        <v>0</v>
      </c>
      <c r="EA101" s="1430"/>
    </row>
    <row r="102" spans="1:131" ht="14.25" customHeight="1" x14ac:dyDescent="0.25">
      <c r="A102" s="7258" t="s">
        <v>4062</v>
      </c>
      <c r="B102" s="3314" t="s">
        <v>2067</v>
      </c>
      <c r="C102" s="6736" t="s">
        <v>5369</v>
      </c>
      <c r="D102" s="6737" t="s">
        <v>5370</v>
      </c>
      <c r="E102" s="3665" t="s">
        <v>5371</v>
      </c>
      <c r="F102" s="3060" t="s">
        <v>5372</v>
      </c>
      <c r="G102" s="3044" t="s">
        <v>5373</v>
      </c>
      <c r="H102" s="3315" t="s">
        <v>5374</v>
      </c>
      <c r="I102" s="3044" t="s">
        <v>5375</v>
      </c>
      <c r="J102" s="3316" t="s">
        <v>5376</v>
      </c>
      <c r="K102" s="3317" t="s">
        <v>5377</v>
      </c>
      <c r="L102" s="3318" t="s">
        <v>5378</v>
      </c>
      <c r="M102" s="3317" t="s">
        <v>5379</v>
      </c>
      <c r="N102" s="3316" t="s">
        <v>5380</v>
      </c>
      <c r="O102" s="3317" t="s">
        <v>5381</v>
      </c>
      <c r="P102" s="3316" t="s">
        <v>5382</v>
      </c>
      <c r="Q102" s="3317" t="s">
        <v>5383</v>
      </c>
      <c r="R102" s="3316" t="s">
        <v>5384</v>
      </c>
      <c r="S102" s="3317" t="s">
        <v>5385</v>
      </c>
      <c r="T102" s="3316" t="s">
        <v>5386</v>
      </c>
      <c r="U102" s="3317" t="s">
        <v>5387</v>
      </c>
      <c r="V102" s="3316" t="s">
        <v>5388</v>
      </c>
      <c r="W102" s="3317" t="s">
        <v>5389</v>
      </c>
      <c r="X102" s="3316" t="s">
        <v>5390</v>
      </c>
      <c r="Y102" s="3317" t="s">
        <v>5391</v>
      </c>
      <c r="Z102" s="3316" t="s">
        <v>5392</v>
      </c>
      <c r="AA102" s="3317" t="s">
        <v>5393</v>
      </c>
      <c r="AB102" s="3316" t="s">
        <v>5394</v>
      </c>
      <c r="AC102" s="3317" t="s">
        <v>5395</v>
      </c>
      <c r="AD102" s="3316" t="s">
        <v>5396</v>
      </c>
      <c r="AE102" s="3317" t="s">
        <v>5397</v>
      </c>
      <c r="AF102" s="3316" t="s">
        <v>5398</v>
      </c>
      <c r="AG102" s="3319" t="s">
        <v>5399</v>
      </c>
      <c r="AH102" s="3316" t="s">
        <v>5400</v>
      </c>
      <c r="AI102" s="3317" t="s">
        <v>5401</v>
      </c>
      <c r="AJ102" s="1444"/>
      <c r="BA102" s="290"/>
      <c r="DA102" s="3206"/>
      <c r="DB102" s="3206">
        <v>0</v>
      </c>
      <c r="DC102" s="3206">
        <v>0</v>
      </c>
      <c r="EA102" s="1430"/>
    </row>
    <row r="105" spans="1:131" x14ac:dyDescent="0.25">
      <c r="A105" s="165" t="s">
        <v>4068</v>
      </c>
    </row>
    <row r="106" spans="1:131" x14ac:dyDescent="0.25">
      <c r="A106" s="7259" t="s">
        <v>4031</v>
      </c>
    </row>
    <row r="107" spans="1:131" x14ac:dyDescent="0.25">
      <c r="A107" s="7259" t="s">
        <v>4034</v>
      </c>
    </row>
    <row r="108" spans="1:131" x14ac:dyDescent="0.25">
      <c r="A108" s="7259" t="s">
        <v>4043</v>
      </c>
    </row>
    <row r="109" spans="1:131" x14ac:dyDescent="0.25">
      <c r="A109" s="165" t="s">
        <v>4069</v>
      </c>
    </row>
    <row r="110" spans="1:131" x14ac:dyDescent="0.25">
      <c r="A110" s="7262" t="s">
        <v>4070</v>
      </c>
    </row>
    <row r="191" ht="14.25" customHeight="1" x14ac:dyDescent="0.25"/>
    <row r="192" ht="17.25" customHeight="1" x14ac:dyDescent="0.25"/>
    <row r="193" spans="2:131" s="1418" customFormat="1" ht="19.5" hidden="1" customHeight="1" x14ac:dyDescent="0.25">
      <c r="B193" s="1418">
        <f>SUM(D12:D33,V32:W33,Y20:Y23,X14:X15,D37:D40,E37:F40,D45:F67,D71:D75,I71:I75,C80:C84,D88:D92,C97:C99)</f>
        <v>0</v>
      </c>
      <c r="C193" s="1418">
        <f>SUM(DB1:EA99)</f>
        <v>16</v>
      </c>
      <c r="BB193" s="290"/>
      <c r="BC193" s="290"/>
      <c r="BD193" s="290"/>
      <c r="BE193" s="290"/>
      <c r="BF193" s="290"/>
      <c r="BG193" s="290"/>
      <c r="BH193" s="290"/>
      <c r="BI193" s="290"/>
      <c r="BJ193" s="290"/>
      <c r="BK193" s="290"/>
      <c r="BL193" s="290"/>
      <c r="BM193" s="290"/>
      <c r="BN193" s="290"/>
      <c r="BO193" s="290"/>
      <c r="BP193" s="290"/>
      <c r="BQ193" s="290"/>
      <c r="BR193" s="290"/>
      <c r="BS193" s="290"/>
      <c r="BT193" s="290"/>
      <c r="BU193" s="290"/>
      <c r="BV193" s="290"/>
      <c r="BW193" s="290"/>
      <c r="BX193" s="290"/>
      <c r="BY193" s="290"/>
      <c r="BZ193" s="290"/>
      <c r="CA193" s="290"/>
      <c r="CB193" s="1429"/>
      <c r="CC193" s="1429"/>
      <c r="CD193" s="1429"/>
      <c r="CE193" s="1429"/>
      <c r="CF193" s="1429"/>
      <c r="CG193" s="1429"/>
      <c r="CH193" s="1429"/>
      <c r="CI193" s="1429"/>
      <c r="CJ193" s="1429"/>
      <c r="CK193" s="1429"/>
      <c r="CL193" s="1429"/>
      <c r="CM193" s="1429"/>
      <c r="CN193" s="1429"/>
      <c r="CO193" s="1429"/>
      <c r="CP193" s="1429"/>
      <c r="CQ193" s="1429"/>
      <c r="CR193" s="1429"/>
      <c r="CS193" s="1429"/>
      <c r="CT193" s="1429"/>
      <c r="CU193" s="1429"/>
      <c r="CV193" s="1429"/>
      <c r="CW193" s="1429"/>
      <c r="CX193" s="1429"/>
      <c r="CY193" s="1429"/>
      <c r="CZ193" s="1429"/>
      <c r="DA193" s="1429"/>
      <c r="DB193" s="3206"/>
      <c r="DC193" s="3206"/>
      <c r="DD193" s="3206"/>
      <c r="DE193" s="3206"/>
      <c r="DF193" s="3206"/>
      <c r="DG193" s="3206"/>
      <c r="DH193" s="3206"/>
      <c r="DI193" s="3206"/>
      <c r="DJ193" s="3206"/>
      <c r="DK193" s="3206"/>
      <c r="DL193" s="3206"/>
      <c r="DM193" s="3206"/>
      <c r="DN193" s="3206"/>
      <c r="DO193" s="3206"/>
      <c r="DP193" s="3206"/>
      <c r="DQ193" s="3206"/>
      <c r="DR193" s="3206"/>
      <c r="DS193" s="3206"/>
      <c r="DT193" s="3206"/>
      <c r="DU193" s="3206"/>
      <c r="DV193" s="3206"/>
      <c r="DW193" s="3206"/>
      <c r="DX193" s="3206"/>
      <c r="DY193" s="3206"/>
      <c r="DZ193" s="3206"/>
      <c r="EA193" s="3206"/>
    </row>
    <row r="194" spans="2:131" ht="19.5" customHeight="1" x14ac:dyDescent="0.25"/>
  </sheetData>
  <mergeCells count="108">
    <mergeCell ref="B6:Q6"/>
    <mergeCell ref="B7:M7"/>
    <mergeCell ref="B37:B40"/>
    <mergeCell ref="O43:P43"/>
    <mergeCell ref="Q43:R43"/>
    <mergeCell ref="E10:U10"/>
    <mergeCell ref="G43:H43"/>
    <mergeCell ref="B18:B19"/>
    <mergeCell ref="B22:B23"/>
    <mergeCell ref="B28:B29"/>
    <mergeCell ref="B32:B33"/>
    <mergeCell ref="B35:B36"/>
    <mergeCell ref="B30:B31"/>
    <mergeCell ref="D35:F35"/>
    <mergeCell ref="C35:C36"/>
    <mergeCell ref="B20:B21"/>
    <mergeCell ref="B12:B13"/>
    <mergeCell ref="B14:B15"/>
    <mergeCell ref="B16:B17"/>
    <mergeCell ref="D10:D11"/>
    <mergeCell ref="B10:B11"/>
    <mergeCell ref="B58:B63"/>
    <mergeCell ref="B55:B57"/>
    <mergeCell ref="B73:C73"/>
    <mergeCell ref="B71:C71"/>
    <mergeCell ref="B69:C70"/>
    <mergeCell ref="N69:N70"/>
    <mergeCell ref="O69:O70"/>
    <mergeCell ref="C10:C11"/>
    <mergeCell ref="B72:C72"/>
    <mergeCell ref="B64:B67"/>
    <mergeCell ref="B42:B44"/>
    <mergeCell ref="C42:C44"/>
    <mergeCell ref="B45:B48"/>
    <mergeCell ref="B49:B51"/>
    <mergeCell ref="B52:B54"/>
    <mergeCell ref="D42:F43"/>
    <mergeCell ref="D69:H69"/>
    <mergeCell ref="I69:M69"/>
    <mergeCell ref="B24:B25"/>
    <mergeCell ref="B26:B27"/>
    <mergeCell ref="B74:C74"/>
    <mergeCell ref="J95:K95"/>
    <mergeCell ref="B75:C75"/>
    <mergeCell ref="B94:B96"/>
    <mergeCell ref="C94:E95"/>
    <mergeCell ref="B78:B79"/>
    <mergeCell ref="C78:C79"/>
    <mergeCell ref="F78:F79"/>
    <mergeCell ref="G78:G79"/>
    <mergeCell ref="D78:E78"/>
    <mergeCell ref="J86:J87"/>
    <mergeCell ref="F94:AG94"/>
    <mergeCell ref="B86:B87"/>
    <mergeCell ref="C86:C87"/>
    <mergeCell ref="D86:D87"/>
    <mergeCell ref="E86:F86"/>
    <mergeCell ref="G86:G87"/>
    <mergeCell ref="H86:H87"/>
    <mergeCell ref="I86:I87"/>
    <mergeCell ref="F95:G95"/>
    <mergeCell ref="H95:I95"/>
    <mergeCell ref="L95:M95"/>
    <mergeCell ref="N95:O95"/>
    <mergeCell ref="P95:Q95"/>
    <mergeCell ref="R95:S95"/>
    <mergeCell ref="AA43:AB43"/>
    <mergeCell ref="AC43:AD43"/>
    <mergeCell ref="S43:T43"/>
    <mergeCell ref="U43:V43"/>
    <mergeCell ref="AB10:AB11"/>
    <mergeCell ref="G42:AN42"/>
    <mergeCell ref="AI94:AI96"/>
    <mergeCell ref="Y10:Y11"/>
    <mergeCell ref="AD95:AE95"/>
    <mergeCell ref="AF95:AG95"/>
    <mergeCell ref="T95:U95"/>
    <mergeCell ref="V95:W95"/>
    <mergeCell ref="X95:Y95"/>
    <mergeCell ref="Z95:AA95"/>
    <mergeCell ref="AB95:AC95"/>
    <mergeCell ref="AH94:AH96"/>
    <mergeCell ref="AC10:AC11"/>
    <mergeCell ref="AD10:AD11"/>
    <mergeCell ref="X10:X11"/>
    <mergeCell ref="V10:W10"/>
    <mergeCell ref="Z10:Z11"/>
    <mergeCell ref="AA10:AA11"/>
    <mergeCell ref="AP42:AP44"/>
    <mergeCell ref="H78:H79"/>
    <mergeCell ref="AO42:AO44"/>
    <mergeCell ref="G35:AI35"/>
    <mergeCell ref="AM35:AM36"/>
    <mergeCell ref="AM43:AN43"/>
    <mergeCell ref="AI43:AJ43"/>
    <mergeCell ref="AK43:AL43"/>
    <mergeCell ref="M43:N43"/>
    <mergeCell ref="I43:J43"/>
    <mergeCell ref="K43:L43"/>
    <mergeCell ref="AJ35:AK35"/>
    <mergeCell ref="AN35:AN36"/>
    <mergeCell ref="AO35:AO36"/>
    <mergeCell ref="AL35:AL36"/>
    <mergeCell ref="I78:I79"/>
    <mergeCell ref="W43:X43"/>
    <mergeCell ref="Y43:Z43"/>
    <mergeCell ref="AG43:AH43"/>
    <mergeCell ref="AE43:AF43"/>
  </mergeCells>
  <phoneticPr fontId="44" type="noConversion"/>
  <dataValidations count="2">
    <dataValidation type="whole" operator="greaterThanOrEqual" allowBlank="1" showInputMessage="1" showErrorMessage="1" errorTitle="Error" error="Favor ingresar sólo números." sqref="C88:C92 J71:O74 G45:AN67 E71:H74 F85:K85 F97:AI102 E88:J92 D80:I84 E12:Y23 E28:Y33 E24:AD27 E37:AI40 AJ39:AM40 AJ37:AO38" xr:uid="{00000000-0002-0000-0100-000000000000}">
      <formula1>0</formula1>
    </dataValidation>
    <dataValidation operator="greaterThanOrEqual" allowBlank="1" showInputMessage="1" showErrorMessage="1" errorTitle="Error" error="Favor ingresar sólo números." sqref="A12:A33 A37:A40 A45:A50 A52:A53 A55:A62 A64:A67 A71:A74 A97:A102 A80:A84 A88:A92 A110" xr:uid="{6E5BE932-5437-45C7-9EC2-2B580FE18D23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EA196"/>
  <sheetViews>
    <sheetView zoomScaleNormal="100" workbookViewId="0"/>
  </sheetViews>
  <sheetFormatPr baseColWidth="10" defaultColWidth="11.44140625" defaultRowHeight="13.8" x14ac:dyDescent="0.25"/>
  <cols>
    <col min="1" max="1" width="14.109375" style="165" customWidth="1"/>
    <col min="2" max="2" width="44.109375" style="165" customWidth="1"/>
    <col min="3" max="3" width="13.44140625" style="165" customWidth="1"/>
    <col min="4" max="77" width="11.44140625" style="165"/>
    <col min="78" max="78" width="11.44140625" style="165" customWidth="1"/>
    <col min="79" max="79" width="12" style="165" customWidth="1"/>
    <col min="80" max="91" width="12" style="1429" hidden="1" customWidth="1"/>
    <col min="92" max="105" width="11.44140625" style="1429" hidden="1" customWidth="1"/>
    <col min="106" max="131" width="11.44140625" style="3206" hidden="1" customWidth="1"/>
    <col min="132" max="16384" width="11.44140625" style="165"/>
  </cols>
  <sheetData>
    <row r="1" spans="1:54" ht="16.2" customHeight="1" x14ac:dyDescent="0.25">
      <c r="B1" s="150" t="s">
        <v>207</v>
      </c>
    </row>
    <row r="2" spans="1:54" ht="16.2" customHeight="1" x14ac:dyDescent="0.25">
      <c r="B2" s="150" t="str">
        <f>CONCATENATE("COMUNA: ",NOMBRE!B2," - ","( ",NOMBRE!C2,NOMBRE!D2,NOMBRE!E2,NOMBRE!F2,NOMBRE!G2," )")</f>
        <v>COMUNA:  - (  )</v>
      </c>
    </row>
    <row r="3" spans="1:54" ht="16.2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</row>
    <row r="4" spans="1:54" ht="16.2" customHeight="1" x14ac:dyDescent="0.25">
      <c r="B4" s="150" t="str">
        <f>CONCATENATE("MES: ",NOMBRE!B6," - ","( ",NOMBRE!C6,NOMBRE!D6," )")</f>
        <v>MES:  - (  )</v>
      </c>
    </row>
    <row r="5" spans="1:54" ht="16.2" customHeight="1" x14ac:dyDescent="0.25">
      <c r="B5" s="150" t="str">
        <f>CONCATENATE("AÑO: ",NOMBRE!B7)</f>
        <v>AÑO: 2023</v>
      </c>
    </row>
    <row r="6" spans="1:54" ht="19.8" x14ac:dyDescent="0.3">
      <c r="B6" s="8629" t="s">
        <v>1770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8629"/>
      <c r="P6" s="8629"/>
      <c r="Q6" s="8629"/>
      <c r="R6" s="8629"/>
      <c r="S6" s="8629"/>
      <c r="T6" s="8629"/>
      <c r="U6" s="8629"/>
      <c r="V6" s="8629"/>
      <c r="W6" s="8629"/>
      <c r="X6" s="8629"/>
      <c r="Y6" s="8629"/>
      <c r="Z6" s="8629"/>
      <c r="AA6" s="8629"/>
      <c r="AB6" s="8629"/>
      <c r="AC6" s="8629"/>
      <c r="AD6" s="8629"/>
      <c r="AE6" s="8629"/>
      <c r="AF6" s="1105"/>
      <c r="AG6" s="140"/>
    </row>
    <row r="7" spans="1:54" ht="19.8" x14ac:dyDescent="0.3">
      <c r="B7" s="1096"/>
      <c r="C7" s="1096"/>
      <c r="D7" s="1096"/>
      <c r="E7" s="1096"/>
      <c r="F7" s="1096"/>
      <c r="G7" s="1096"/>
      <c r="H7" s="1096"/>
      <c r="I7" s="1096"/>
      <c r="J7" s="1096"/>
      <c r="K7" s="1096"/>
      <c r="L7" s="1096"/>
      <c r="M7" s="1096"/>
      <c r="N7" s="1096"/>
      <c r="O7" s="1096"/>
      <c r="P7" s="1096"/>
      <c r="Q7" s="1096"/>
      <c r="R7" s="1096"/>
      <c r="S7" s="1096"/>
      <c r="T7" s="1096"/>
      <c r="U7" s="1096"/>
      <c r="V7" s="1096"/>
      <c r="W7" s="1096"/>
      <c r="X7" s="1096"/>
      <c r="Y7" s="1096"/>
      <c r="Z7" s="1096"/>
      <c r="AA7" s="1096"/>
      <c r="AB7" s="1096"/>
      <c r="AC7" s="1096"/>
      <c r="AD7" s="1096"/>
      <c r="AE7" s="1096"/>
      <c r="AF7" s="1105"/>
      <c r="AG7" s="140"/>
    </row>
    <row r="8" spans="1:54" ht="31.2" customHeight="1" x14ac:dyDescent="0.3">
      <c r="B8" s="72" t="s">
        <v>1771</v>
      </c>
      <c r="C8" s="531"/>
      <c r="D8" s="531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499"/>
      <c r="S8" s="499"/>
      <c r="T8" s="499"/>
      <c r="U8" s="499"/>
      <c r="V8" s="499"/>
      <c r="W8" s="499"/>
      <c r="X8" s="499"/>
      <c r="Y8" s="499"/>
      <c r="Z8" s="499"/>
      <c r="AA8" s="499"/>
      <c r="AB8" s="499"/>
      <c r="AC8" s="499"/>
      <c r="AD8" s="499"/>
      <c r="AE8" s="499"/>
      <c r="AF8" s="499"/>
      <c r="AG8" s="140"/>
    </row>
    <row r="9" spans="1:54" ht="16.2" customHeight="1" x14ac:dyDescent="0.25">
      <c r="B9" s="8638" t="s">
        <v>0</v>
      </c>
      <c r="C9" s="8640" t="s">
        <v>24</v>
      </c>
      <c r="D9" s="8641"/>
      <c r="E9" s="8642"/>
      <c r="F9" s="8599" t="s">
        <v>362</v>
      </c>
      <c r="G9" s="8557" t="s">
        <v>361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</row>
    <row r="10" spans="1:54" ht="16.2" customHeight="1" x14ac:dyDescent="0.25">
      <c r="B10" s="8639"/>
      <c r="C10" s="2570" t="s">
        <v>42</v>
      </c>
      <c r="D10" s="2571" t="s">
        <v>17</v>
      </c>
      <c r="E10" s="3267" t="s">
        <v>18</v>
      </c>
      <c r="F10" s="8651"/>
      <c r="G10" s="8558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</row>
    <row r="11" spans="1:54" ht="16.2" customHeight="1" x14ac:dyDescent="0.25">
      <c r="A11" s="7267"/>
      <c r="B11" s="1331" t="s">
        <v>39</v>
      </c>
      <c r="C11" s="2572">
        <f>SUM(C12:C17)</f>
        <v>0</v>
      </c>
      <c r="D11" s="2573">
        <f>SUM(D12:D17)</f>
        <v>0</v>
      </c>
      <c r="E11" s="2574">
        <f>SUM(E12:E17)</f>
        <v>0</v>
      </c>
      <c r="F11" s="2652">
        <f>SUM(F12:F17)</f>
        <v>0</v>
      </c>
      <c r="G11" s="2504">
        <f>SUM(G12:G17)</f>
        <v>0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71"/>
      <c r="Z11" s="71"/>
      <c r="AA11" s="71"/>
      <c r="AB11" s="71"/>
      <c r="AC11" s="71"/>
      <c r="AD11" s="71"/>
      <c r="AE11" s="140"/>
    </row>
    <row r="12" spans="1:54" ht="16.2" customHeight="1" x14ac:dyDescent="0.25">
      <c r="A12" s="7316" t="s">
        <v>5035</v>
      </c>
      <c r="B12" s="1111" t="s">
        <v>2590</v>
      </c>
      <c r="C12" s="2506" t="s">
        <v>5369</v>
      </c>
      <c r="D12" s="2462" t="s">
        <v>5370</v>
      </c>
      <c r="E12" s="2413" t="s">
        <v>5371</v>
      </c>
      <c r="F12" s="2449" t="s">
        <v>5372</v>
      </c>
      <c r="G12" s="143" t="s">
        <v>5373</v>
      </c>
      <c r="H12" s="6939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</row>
    <row r="13" spans="1:54" ht="16.2" customHeight="1" x14ac:dyDescent="0.25">
      <c r="A13" s="7316" t="s">
        <v>5036</v>
      </c>
      <c r="B13" s="1113" t="s">
        <v>2592</v>
      </c>
      <c r="C13" s="2506" t="s">
        <v>5369</v>
      </c>
      <c r="D13" s="2492" t="s">
        <v>5370</v>
      </c>
      <c r="E13" s="2509" t="s">
        <v>5371</v>
      </c>
      <c r="F13" s="2512" t="s">
        <v>5372</v>
      </c>
      <c r="G13" s="1115" t="s">
        <v>5373</v>
      </c>
      <c r="H13" s="6939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H13" s="290"/>
      <c r="AI13" s="290"/>
      <c r="AJ13" s="290"/>
      <c r="AK13" s="290"/>
      <c r="AL13" s="290"/>
      <c r="AM13" s="290"/>
      <c r="AN13" s="290"/>
      <c r="AO13" s="290"/>
      <c r="AP13" s="290"/>
      <c r="AQ13" s="290"/>
      <c r="AR13" s="290"/>
      <c r="AS13" s="290"/>
      <c r="AT13" s="290"/>
      <c r="AU13" s="290"/>
      <c r="AV13" s="290"/>
      <c r="AW13" s="290"/>
      <c r="AX13" s="290"/>
      <c r="AY13" s="290"/>
      <c r="AZ13" s="290"/>
      <c r="BA13" s="290"/>
      <c r="BB13" s="290"/>
    </row>
    <row r="14" spans="1:54" ht="16.2" customHeight="1" x14ac:dyDescent="0.25">
      <c r="A14" s="7316" t="s">
        <v>5037</v>
      </c>
      <c r="B14" s="1113" t="s">
        <v>2591</v>
      </c>
      <c r="C14" s="2506" t="s">
        <v>5369</v>
      </c>
      <c r="D14" s="2462" t="s">
        <v>5370</v>
      </c>
      <c r="E14" s="2413" t="s">
        <v>5371</v>
      </c>
      <c r="F14" s="2449" t="s">
        <v>5372</v>
      </c>
      <c r="G14" s="143" t="s">
        <v>5373</v>
      </c>
      <c r="H14" s="6939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H14" s="290"/>
      <c r="AI14" s="290"/>
      <c r="AJ14" s="290"/>
      <c r="AK14" s="290"/>
      <c r="AL14" s="290"/>
      <c r="AM14" s="290"/>
      <c r="AN14" s="290"/>
      <c r="AO14" s="290"/>
      <c r="AP14" s="290"/>
      <c r="AQ14" s="290"/>
      <c r="AR14" s="290"/>
      <c r="AS14" s="290"/>
      <c r="AT14" s="290"/>
      <c r="AU14" s="290"/>
      <c r="AV14" s="290"/>
      <c r="AW14" s="290"/>
      <c r="AX14" s="290"/>
      <c r="AY14" s="290"/>
      <c r="AZ14" s="290"/>
      <c r="BA14" s="290"/>
      <c r="BB14" s="290"/>
    </row>
    <row r="15" spans="1:54" ht="16.2" customHeight="1" x14ac:dyDescent="0.25">
      <c r="A15" s="7316" t="s">
        <v>5038</v>
      </c>
      <c r="B15" s="1113" t="s">
        <v>1772</v>
      </c>
      <c r="C15" s="2506" t="s">
        <v>5369</v>
      </c>
      <c r="D15" s="2492" t="s">
        <v>5370</v>
      </c>
      <c r="E15" s="2509" t="s">
        <v>5371</v>
      </c>
      <c r="F15" s="2512" t="s">
        <v>5372</v>
      </c>
      <c r="G15" s="1115" t="s">
        <v>5373</v>
      </c>
      <c r="H15" s="6939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H15" s="290"/>
      <c r="AI15" s="290"/>
      <c r="AJ15" s="290"/>
      <c r="AK15" s="290"/>
      <c r="AL15" s="290"/>
      <c r="AM15" s="290"/>
      <c r="AN15" s="290"/>
      <c r="AO15" s="290"/>
      <c r="AP15" s="290"/>
      <c r="AQ15" s="290"/>
      <c r="AR15" s="290"/>
      <c r="AS15" s="290"/>
      <c r="AT15" s="290"/>
      <c r="AU15" s="290"/>
      <c r="AV15" s="290"/>
      <c r="AW15" s="290"/>
      <c r="AX15" s="290"/>
      <c r="AY15" s="290"/>
      <c r="AZ15" s="290"/>
      <c r="BA15" s="290"/>
      <c r="BB15" s="290"/>
    </row>
    <row r="16" spans="1:54" ht="16.2" customHeight="1" x14ac:dyDescent="0.25">
      <c r="A16" s="7316" t="s">
        <v>5039</v>
      </c>
      <c r="B16" s="3769" t="s">
        <v>3713</v>
      </c>
      <c r="C16" s="2506" t="s">
        <v>5369</v>
      </c>
      <c r="D16" s="2462" t="s">
        <v>5370</v>
      </c>
      <c r="E16" s="2413" t="s">
        <v>5371</v>
      </c>
      <c r="F16" s="2449" t="s">
        <v>5372</v>
      </c>
      <c r="G16" s="143" t="s">
        <v>5373</v>
      </c>
      <c r="H16" s="6939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H16" s="290"/>
      <c r="AI16" s="290"/>
      <c r="AJ16" s="290"/>
      <c r="AK16" s="290"/>
      <c r="AL16" s="290"/>
      <c r="AM16" s="290"/>
      <c r="AN16" s="290"/>
      <c r="AO16" s="290"/>
      <c r="AP16" s="290"/>
      <c r="AQ16" s="290"/>
      <c r="AR16" s="290"/>
      <c r="AS16" s="290"/>
      <c r="AT16" s="290"/>
      <c r="AU16" s="290"/>
      <c r="AV16" s="290"/>
      <c r="AW16" s="290"/>
      <c r="AX16" s="290"/>
      <c r="AY16" s="290"/>
      <c r="AZ16" s="290"/>
      <c r="BA16" s="290"/>
      <c r="BB16" s="290"/>
    </row>
    <row r="17" spans="1:106" ht="16.2" customHeight="1" x14ac:dyDescent="0.25">
      <c r="A17" s="7316" t="s">
        <v>5040</v>
      </c>
      <c r="B17" s="3770" t="s">
        <v>2794</v>
      </c>
      <c r="C17" s="2466" t="s">
        <v>5369</v>
      </c>
      <c r="D17" s="2465" t="s">
        <v>5370</v>
      </c>
      <c r="E17" s="2484" t="s">
        <v>5371</v>
      </c>
      <c r="F17" s="2490" t="s">
        <v>5372</v>
      </c>
      <c r="G17" s="127" t="s">
        <v>5373</v>
      </c>
      <c r="H17" s="6939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H17" s="290"/>
      <c r="AI17" s="290"/>
      <c r="AJ17" s="290"/>
      <c r="AK17" s="290"/>
      <c r="AL17" s="290"/>
      <c r="AM17" s="290"/>
      <c r="AN17" s="290"/>
      <c r="AO17" s="290"/>
      <c r="AP17" s="290"/>
      <c r="AQ17" s="290"/>
      <c r="AR17" s="290"/>
      <c r="AS17" s="290"/>
      <c r="AT17" s="290"/>
      <c r="AU17" s="290"/>
      <c r="AV17" s="290"/>
      <c r="AW17" s="290"/>
      <c r="AX17" s="290"/>
      <c r="AY17" s="290"/>
      <c r="AZ17" s="290"/>
      <c r="BA17" s="290"/>
      <c r="BB17" s="290"/>
    </row>
    <row r="18" spans="1:106" ht="31.2" customHeight="1" x14ac:dyDescent="0.3">
      <c r="B18" s="72" t="s">
        <v>1773</v>
      </c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31"/>
      <c r="R18" s="499"/>
      <c r="S18" s="499"/>
      <c r="T18" s="499"/>
      <c r="U18" s="499"/>
      <c r="V18" s="499"/>
      <c r="W18" s="499"/>
      <c r="X18" s="499"/>
      <c r="Y18" s="499"/>
      <c r="Z18" s="499"/>
      <c r="AA18" s="499"/>
      <c r="AB18" s="499"/>
      <c r="AC18" s="499"/>
      <c r="AD18" s="499"/>
      <c r="AE18" s="499"/>
      <c r="AF18" s="499"/>
      <c r="AG18" s="140"/>
      <c r="AH18" s="290"/>
      <c r="AI18" s="290"/>
      <c r="AJ18" s="290"/>
      <c r="AK18" s="290"/>
      <c r="AL18" s="290"/>
      <c r="AM18" s="290"/>
      <c r="AN18" s="290"/>
      <c r="AO18" s="290"/>
      <c r="AP18" s="290"/>
      <c r="AQ18" s="290"/>
      <c r="AR18" s="290"/>
      <c r="AS18" s="290"/>
      <c r="AT18" s="290"/>
      <c r="AU18" s="290"/>
      <c r="AV18" s="290"/>
      <c r="AW18" s="290"/>
      <c r="AX18" s="290"/>
      <c r="AY18" s="290"/>
      <c r="AZ18" s="290"/>
      <c r="BA18" s="290"/>
      <c r="BB18" s="290"/>
    </row>
    <row r="19" spans="1:106" ht="16.2" customHeight="1" x14ac:dyDescent="0.25">
      <c r="B19" s="8643" t="s">
        <v>1454</v>
      </c>
      <c r="C19" s="8645" t="s">
        <v>24</v>
      </c>
      <c r="D19" s="8646"/>
      <c r="E19" s="8647"/>
      <c r="F19" s="8648" t="s">
        <v>33</v>
      </c>
      <c r="G19" s="8649"/>
      <c r="H19" s="8648" t="s">
        <v>40</v>
      </c>
      <c r="I19" s="8650"/>
      <c r="J19" s="8648" t="s">
        <v>115</v>
      </c>
      <c r="K19" s="8650"/>
      <c r="L19" s="8648" t="s">
        <v>116</v>
      </c>
      <c r="M19" s="8650"/>
      <c r="N19" s="8648" t="s">
        <v>117</v>
      </c>
      <c r="O19" s="8650"/>
      <c r="P19" s="8648" t="s">
        <v>118</v>
      </c>
      <c r="Q19" s="8650"/>
      <c r="R19" s="8648" t="s">
        <v>119</v>
      </c>
      <c r="S19" s="8650"/>
      <c r="T19" s="8648" t="s">
        <v>120</v>
      </c>
      <c r="U19" s="8650"/>
      <c r="V19" s="8648" t="s">
        <v>1414</v>
      </c>
      <c r="W19" s="8650"/>
      <c r="X19" s="8648" t="s">
        <v>1406</v>
      </c>
      <c r="Y19" s="8650"/>
      <c r="Z19" s="8648" t="s">
        <v>1397</v>
      </c>
      <c r="AA19" s="8650"/>
      <c r="AB19" s="8648" t="s">
        <v>1396</v>
      </c>
      <c r="AC19" s="8650"/>
      <c r="AD19" s="8648" t="s">
        <v>1395</v>
      </c>
      <c r="AE19" s="8650"/>
      <c r="AF19" s="8577" t="s">
        <v>1405</v>
      </c>
      <c r="AG19" s="8579"/>
      <c r="AH19" s="8557" t="s">
        <v>362</v>
      </c>
      <c r="AI19" s="8557" t="s">
        <v>361</v>
      </c>
      <c r="AJ19" s="290"/>
      <c r="AK19" s="290"/>
      <c r="AL19" s="290"/>
      <c r="AM19" s="290"/>
      <c r="AN19" s="290"/>
      <c r="AO19" s="290"/>
      <c r="AP19" s="290"/>
      <c r="AQ19" s="290"/>
      <c r="AR19" s="290"/>
      <c r="AS19" s="290"/>
      <c r="AT19" s="290"/>
      <c r="AU19" s="290"/>
      <c r="AV19" s="290"/>
      <c r="AW19" s="290"/>
      <c r="AX19" s="290"/>
      <c r="AY19" s="290"/>
      <c r="AZ19" s="290"/>
      <c r="BA19" s="290"/>
      <c r="BB19" s="290"/>
    </row>
    <row r="20" spans="1:106" ht="16.2" customHeight="1" x14ac:dyDescent="0.25">
      <c r="B20" s="8644"/>
      <c r="C20" s="1106" t="s">
        <v>42</v>
      </c>
      <c r="D20" s="1107" t="s">
        <v>17</v>
      </c>
      <c r="E20" s="1324" t="s">
        <v>18</v>
      </c>
      <c r="F20" s="1107" t="s">
        <v>17</v>
      </c>
      <c r="G20" s="731" t="s">
        <v>18</v>
      </c>
      <c r="H20" s="1107" t="s">
        <v>17</v>
      </c>
      <c r="I20" s="731" t="s">
        <v>18</v>
      </c>
      <c r="J20" s="1107" t="s">
        <v>17</v>
      </c>
      <c r="K20" s="731" t="s">
        <v>18</v>
      </c>
      <c r="L20" s="1107" t="s">
        <v>17</v>
      </c>
      <c r="M20" s="731" t="s">
        <v>18</v>
      </c>
      <c r="N20" s="1107" t="s">
        <v>17</v>
      </c>
      <c r="O20" s="731" t="s">
        <v>18</v>
      </c>
      <c r="P20" s="1107" t="s">
        <v>17</v>
      </c>
      <c r="Q20" s="731" t="s">
        <v>18</v>
      </c>
      <c r="R20" s="1107" t="s">
        <v>17</v>
      </c>
      <c r="S20" s="731" t="s">
        <v>18</v>
      </c>
      <c r="T20" s="1107" t="s">
        <v>17</v>
      </c>
      <c r="U20" s="731" t="s">
        <v>18</v>
      </c>
      <c r="V20" s="1107" t="s">
        <v>17</v>
      </c>
      <c r="W20" s="731" t="s">
        <v>18</v>
      </c>
      <c r="X20" s="1107" t="s">
        <v>17</v>
      </c>
      <c r="Y20" s="731" t="s">
        <v>18</v>
      </c>
      <c r="Z20" s="1107" t="s">
        <v>17</v>
      </c>
      <c r="AA20" s="731" t="s">
        <v>18</v>
      </c>
      <c r="AB20" s="1107" t="s">
        <v>17</v>
      </c>
      <c r="AC20" s="731" t="s">
        <v>18</v>
      </c>
      <c r="AD20" s="1107" t="s">
        <v>17</v>
      </c>
      <c r="AE20" s="731" t="s">
        <v>18</v>
      </c>
      <c r="AF20" s="2483" t="s">
        <v>17</v>
      </c>
      <c r="AG20" s="2513" t="s">
        <v>18</v>
      </c>
      <c r="AH20" s="8558"/>
      <c r="AI20" s="8558"/>
      <c r="AJ20" s="290"/>
      <c r="AK20" s="290"/>
      <c r="AL20" s="290"/>
      <c r="AM20" s="290"/>
      <c r="AN20" s="290"/>
      <c r="AO20" s="290"/>
      <c r="AP20" s="290"/>
      <c r="AQ20" s="290"/>
      <c r="AR20" s="290"/>
      <c r="AS20" s="290"/>
      <c r="AT20" s="290"/>
      <c r="AU20" s="290"/>
      <c r="AV20" s="290"/>
      <c r="AW20" s="290"/>
      <c r="AX20" s="290"/>
      <c r="AY20" s="290"/>
      <c r="AZ20" s="290"/>
      <c r="BA20" s="290"/>
      <c r="BB20" s="290"/>
    </row>
    <row r="21" spans="1:106" ht="16.2" customHeight="1" x14ac:dyDescent="0.25">
      <c r="B21" s="1331" t="s">
        <v>24</v>
      </c>
      <c r="C21" s="1108">
        <f>SUM(C22:C25)</f>
        <v>0</v>
      </c>
      <c r="D21" s="1109">
        <f>SUM(D22:D25)</f>
        <v>0</v>
      </c>
      <c r="E21" s="1110">
        <f>SUM(E22:E25)</f>
        <v>0</v>
      </c>
      <c r="F21" s="1109">
        <f t="shared" ref="F21:AG21" si="0">SUM(F22:F25)</f>
        <v>0</v>
      </c>
      <c r="G21" s="1116">
        <f t="shared" si="0"/>
        <v>0</v>
      </c>
      <c r="H21" s="1109">
        <f t="shared" si="0"/>
        <v>0</v>
      </c>
      <c r="I21" s="1116">
        <f t="shared" si="0"/>
        <v>0</v>
      </c>
      <c r="J21" s="1109">
        <f t="shared" si="0"/>
        <v>0</v>
      </c>
      <c r="K21" s="1116">
        <f t="shared" si="0"/>
        <v>0</v>
      </c>
      <c r="L21" s="1109">
        <f t="shared" si="0"/>
        <v>0</v>
      </c>
      <c r="M21" s="1116">
        <f t="shared" si="0"/>
        <v>0</v>
      </c>
      <c r="N21" s="1109">
        <f t="shared" si="0"/>
        <v>0</v>
      </c>
      <c r="O21" s="1116">
        <f t="shared" si="0"/>
        <v>0</v>
      </c>
      <c r="P21" s="1109">
        <f t="shared" si="0"/>
        <v>0</v>
      </c>
      <c r="Q21" s="1116">
        <f t="shared" si="0"/>
        <v>0</v>
      </c>
      <c r="R21" s="1109">
        <f t="shared" si="0"/>
        <v>0</v>
      </c>
      <c r="S21" s="1116">
        <f t="shared" si="0"/>
        <v>0</v>
      </c>
      <c r="T21" s="1109">
        <f t="shared" si="0"/>
        <v>0</v>
      </c>
      <c r="U21" s="1116">
        <f t="shared" si="0"/>
        <v>0</v>
      </c>
      <c r="V21" s="1109">
        <f t="shared" si="0"/>
        <v>0</v>
      </c>
      <c r="W21" s="1116">
        <f t="shared" si="0"/>
        <v>0</v>
      </c>
      <c r="X21" s="1109">
        <f t="shared" si="0"/>
        <v>0</v>
      </c>
      <c r="Y21" s="1116">
        <f t="shared" si="0"/>
        <v>0</v>
      </c>
      <c r="Z21" s="1109">
        <f t="shared" si="0"/>
        <v>0</v>
      </c>
      <c r="AA21" s="1116">
        <f t="shared" si="0"/>
        <v>0</v>
      </c>
      <c r="AB21" s="1109">
        <f t="shared" si="0"/>
        <v>0</v>
      </c>
      <c r="AC21" s="1116">
        <f t="shared" si="0"/>
        <v>0</v>
      </c>
      <c r="AD21" s="1109">
        <f t="shared" si="0"/>
        <v>0</v>
      </c>
      <c r="AE21" s="1116">
        <f t="shared" si="0"/>
        <v>0</v>
      </c>
      <c r="AF21" s="2498">
        <f t="shared" si="0"/>
        <v>0</v>
      </c>
      <c r="AG21" s="2511">
        <f t="shared" si="0"/>
        <v>0</v>
      </c>
      <c r="AH21" s="2504">
        <f>SUM(AH22:AH25)</f>
        <v>0</v>
      </c>
      <c r="AI21" s="2504" t="s">
        <v>5034</v>
      </c>
      <c r="AJ21" s="1471"/>
      <c r="AK21" s="806"/>
      <c r="AL21" s="806"/>
      <c r="AM21" s="806"/>
      <c r="AN21" s="806"/>
      <c r="AO21" s="806"/>
      <c r="AP21" s="806"/>
      <c r="AQ21" s="806"/>
      <c r="AR21" s="806"/>
      <c r="AS21" s="806"/>
      <c r="AT21" s="806"/>
      <c r="AU21" s="290"/>
      <c r="AV21" s="290"/>
      <c r="AW21" s="290"/>
      <c r="AX21" s="290"/>
      <c r="AY21" s="290"/>
      <c r="AZ21" s="290"/>
      <c r="BA21" s="290"/>
      <c r="BB21" s="290"/>
      <c r="CA21" s="165" t="s">
        <v>5034</v>
      </c>
      <c r="DA21" s="1429">
        <v>1</v>
      </c>
      <c r="DB21" s="3206">
        <v>0</v>
      </c>
    </row>
    <row r="22" spans="1:106" ht="16.2" customHeight="1" x14ac:dyDescent="0.25">
      <c r="A22" s="7258" t="s">
        <v>5041</v>
      </c>
      <c r="B22" s="1111" t="s">
        <v>1453</v>
      </c>
      <c r="C22" s="1112" t="s">
        <v>5369</v>
      </c>
      <c r="D22" s="1335" t="s">
        <v>5370</v>
      </c>
      <c r="E22" s="1117" t="s">
        <v>5371</v>
      </c>
      <c r="F22" s="910" t="s">
        <v>5372</v>
      </c>
      <c r="G22" s="130" t="s">
        <v>5373</v>
      </c>
      <c r="H22" s="910" t="s">
        <v>5374</v>
      </c>
      <c r="I22" s="130" t="s">
        <v>5375</v>
      </c>
      <c r="J22" s="910" t="s">
        <v>5376</v>
      </c>
      <c r="K22" s="130" t="s">
        <v>5377</v>
      </c>
      <c r="L22" s="910" t="s">
        <v>5378</v>
      </c>
      <c r="M22" s="130" t="s">
        <v>5379</v>
      </c>
      <c r="N22" s="910" t="s">
        <v>5380</v>
      </c>
      <c r="O22" s="130" t="s">
        <v>5381</v>
      </c>
      <c r="P22" s="910" t="s">
        <v>5382</v>
      </c>
      <c r="Q22" s="130" t="s">
        <v>5383</v>
      </c>
      <c r="R22" s="910" t="s">
        <v>5384</v>
      </c>
      <c r="S22" s="130" t="s">
        <v>5385</v>
      </c>
      <c r="T22" s="910" t="s">
        <v>5386</v>
      </c>
      <c r="U22" s="130" t="s">
        <v>5387</v>
      </c>
      <c r="V22" s="910" t="s">
        <v>5388</v>
      </c>
      <c r="W22" s="130" t="s">
        <v>5389</v>
      </c>
      <c r="X22" s="910" t="s">
        <v>5390</v>
      </c>
      <c r="Y22" s="130" t="s">
        <v>5391</v>
      </c>
      <c r="Z22" s="910" t="s">
        <v>5392</v>
      </c>
      <c r="AA22" s="130" t="s">
        <v>5393</v>
      </c>
      <c r="AB22" s="910" t="s">
        <v>5394</v>
      </c>
      <c r="AC22" s="130" t="s">
        <v>5395</v>
      </c>
      <c r="AD22" s="910" t="s">
        <v>5396</v>
      </c>
      <c r="AE22" s="130" t="s">
        <v>5397</v>
      </c>
      <c r="AF22" s="2448" t="s">
        <v>5398</v>
      </c>
      <c r="AG22" s="2451" t="s">
        <v>5399</v>
      </c>
      <c r="AH22" s="2422" t="s">
        <v>5400</v>
      </c>
      <c r="AI22" s="2422"/>
      <c r="AJ22" s="1438"/>
      <c r="AK22" s="290"/>
      <c r="AL22" s="290"/>
      <c r="AM22" s="290"/>
      <c r="AN22" s="290"/>
      <c r="AO22" s="290"/>
      <c r="AP22" s="290"/>
      <c r="AQ22" s="290"/>
      <c r="AR22" s="290"/>
      <c r="AS22" s="290"/>
      <c r="AT22" s="290"/>
      <c r="AU22" s="290"/>
      <c r="AV22" s="290"/>
      <c r="AW22" s="290"/>
      <c r="AX22" s="290"/>
      <c r="AY22" s="290"/>
      <c r="AZ22" s="290"/>
      <c r="BA22" s="290"/>
      <c r="BB22" s="290"/>
    </row>
    <row r="23" spans="1:106" ht="16.2" customHeight="1" x14ac:dyDescent="0.25">
      <c r="A23" s="7258" t="s">
        <v>5042</v>
      </c>
      <c r="B23" s="1113" t="s">
        <v>1452</v>
      </c>
      <c r="C23" s="1112" t="s">
        <v>5369</v>
      </c>
      <c r="D23" s="1335" t="s">
        <v>5370</v>
      </c>
      <c r="E23" s="1117" t="s">
        <v>5371</v>
      </c>
      <c r="F23" s="1114" t="s">
        <v>5372</v>
      </c>
      <c r="G23" s="1118" t="s">
        <v>5373</v>
      </c>
      <c r="H23" s="1114" t="s">
        <v>5374</v>
      </c>
      <c r="I23" s="1118" t="s">
        <v>5375</v>
      </c>
      <c r="J23" s="1114" t="s">
        <v>5376</v>
      </c>
      <c r="K23" s="1118" t="s">
        <v>5377</v>
      </c>
      <c r="L23" s="1114" t="s">
        <v>5378</v>
      </c>
      <c r="M23" s="1118" t="s">
        <v>5379</v>
      </c>
      <c r="N23" s="1114" t="s">
        <v>5380</v>
      </c>
      <c r="O23" s="1118" t="s">
        <v>5381</v>
      </c>
      <c r="P23" s="1114" t="s">
        <v>5382</v>
      </c>
      <c r="Q23" s="1118" t="s">
        <v>5383</v>
      </c>
      <c r="R23" s="1114" t="s">
        <v>5384</v>
      </c>
      <c r="S23" s="1118" t="s">
        <v>5385</v>
      </c>
      <c r="T23" s="1114" t="s">
        <v>5386</v>
      </c>
      <c r="U23" s="1118" t="s">
        <v>5387</v>
      </c>
      <c r="V23" s="1114" t="s">
        <v>5388</v>
      </c>
      <c r="W23" s="1118" t="s">
        <v>5389</v>
      </c>
      <c r="X23" s="1114" t="s">
        <v>5390</v>
      </c>
      <c r="Y23" s="1118" t="s">
        <v>5391</v>
      </c>
      <c r="Z23" s="1114" t="s">
        <v>5392</v>
      </c>
      <c r="AA23" s="1118" t="s">
        <v>5393</v>
      </c>
      <c r="AB23" s="1114" t="s">
        <v>5394</v>
      </c>
      <c r="AC23" s="1118" t="s">
        <v>5395</v>
      </c>
      <c r="AD23" s="1114" t="s">
        <v>5396</v>
      </c>
      <c r="AE23" s="1118" t="s">
        <v>5397</v>
      </c>
      <c r="AF23" s="2492" t="s">
        <v>5398</v>
      </c>
      <c r="AG23" s="2501" t="s">
        <v>5399</v>
      </c>
      <c r="AH23" s="2499" t="s">
        <v>5400</v>
      </c>
      <c r="AI23" s="2499" t="s">
        <v>5401</v>
      </c>
      <c r="AJ23" s="1438"/>
      <c r="AK23" s="290"/>
      <c r="AL23" s="290"/>
      <c r="AM23" s="290"/>
      <c r="AN23" s="290"/>
      <c r="AO23" s="290"/>
      <c r="AP23" s="290"/>
      <c r="AQ23" s="290"/>
      <c r="AR23" s="290"/>
      <c r="AS23" s="290"/>
      <c r="AT23" s="290"/>
      <c r="AU23" s="290"/>
      <c r="AV23" s="290"/>
      <c r="AW23" s="290"/>
      <c r="AX23" s="290"/>
      <c r="AY23" s="290"/>
      <c r="AZ23" s="290"/>
      <c r="BA23" s="290"/>
      <c r="BB23" s="290"/>
    </row>
    <row r="24" spans="1:106" ht="16.2" customHeight="1" x14ac:dyDescent="0.25">
      <c r="A24" s="7258" t="s">
        <v>5043</v>
      </c>
      <c r="B24" s="1113" t="s">
        <v>1451</v>
      </c>
      <c r="C24" s="1112" t="s">
        <v>5369</v>
      </c>
      <c r="D24" s="1335" t="s">
        <v>5370</v>
      </c>
      <c r="E24" s="1117" t="s">
        <v>5371</v>
      </c>
      <c r="F24" s="910" t="s">
        <v>5372</v>
      </c>
      <c r="G24" s="130" t="s">
        <v>5373</v>
      </c>
      <c r="H24" s="910" t="s">
        <v>5374</v>
      </c>
      <c r="I24" s="130" t="s">
        <v>5375</v>
      </c>
      <c r="J24" s="910" t="s">
        <v>5376</v>
      </c>
      <c r="K24" s="130" t="s">
        <v>5377</v>
      </c>
      <c r="L24" s="910" t="s">
        <v>5378</v>
      </c>
      <c r="M24" s="130" t="s">
        <v>5379</v>
      </c>
      <c r="N24" s="910" t="s">
        <v>5380</v>
      </c>
      <c r="O24" s="130" t="s">
        <v>5381</v>
      </c>
      <c r="P24" s="910" t="s">
        <v>5382</v>
      </c>
      <c r="Q24" s="130" t="s">
        <v>5383</v>
      </c>
      <c r="R24" s="910" t="s">
        <v>5384</v>
      </c>
      <c r="S24" s="130" t="s">
        <v>5385</v>
      </c>
      <c r="T24" s="910" t="s">
        <v>5386</v>
      </c>
      <c r="U24" s="130" t="s">
        <v>5387</v>
      </c>
      <c r="V24" s="910" t="s">
        <v>5388</v>
      </c>
      <c r="W24" s="130" t="s">
        <v>5389</v>
      </c>
      <c r="X24" s="910" t="s">
        <v>5390</v>
      </c>
      <c r="Y24" s="130" t="s">
        <v>5391</v>
      </c>
      <c r="Z24" s="910" t="s">
        <v>5392</v>
      </c>
      <c r="AA24" s="130" t="s">
        <v>5393</v>
      </c>
      <c r="AB24" s="910" t="s">
        <v>5394</v>
      </c>
      <c r="AC24" s="130" t="s">
        <v>5395</v>
      </c>
      <c r="AD24" s="910" t="s">
        <v>5396</v>
      </c>
      <c r="AE24" s="130" t="s">
        <v>5397</v>
      </c>
      <c r="AF24" s="2448" t="s">
        <v>5398</v>
      </c>
      <c r="AG24" s="2451" t="s">
        <v>5399</v>
      </c>
      <c r="AH24" s="2422" t="s">
        <v>5400</v>
      </c>
      <c r="AI24" s="2422" t="s">
        <v>5401</v>
      </c>
      <c r="AJ24" s="1438"/>
      <c r="AK24" s="290"/>
      <c r="AL24" s="290"/>
      <c r="AM24" s="290"/>
      <c r="AN24" s="290"/>
      <c r="AO24" s="290"/>
      <c r="AP24" s="290"/>
      <c r="AQ24" s="290"/>
      <c r="AR24" s="290"/>
      <c r="AS24" s="290"/>
      <c r="AT24" s="290"/>
      <c r="AU24" s="290"/>
      <c r="AV24" s="290"/>
      <c r="AW24" s="290"/>
      <c r="AX24" s="290"/>
      <c r="AY24" s="290"/>
      <c r="AZ24" s="290"/>
      <c r="BA24" s="290"/>
      <c r="BB24" s="290"/>
    </row>
    <row r="25" spans="1:106" ht="16.2" customHeight="1" x14ac:dyDescent="0.25">
      <c r="A25" s="7258" t="s">
        <v>5044</v>
      </c>
      <c r="B25" s="146" t="s">
        <v>1450</v>
      </c>
      <c r="C25" s="81" t="s">
        <v>5369</v>
      </c>
      <c r="D25" s="1336" t="s">
        <v>5370</v>
      </c>
      <c r="E25" s="147" t="s">
        <v>5371</v>
      </c>
      <c r="F25" s="125" t="s">
        <v>5372</v>
      </c>
      <c r="G25" s="101" t="s">
        <v>5373</v>
      </c>
      <c r="H25" s="125" t="s">
        <v>5374</v>
      </c>
      <c r="I25" s="101" t="s">
        <v>5375</v>
      </c>
      <c r="J25" s="125" t="s">
        <v>5376</v>
      </c>
      <c r="K25" s="101" t="s">
        <v>5377</v>
      </c>
      <c r="L25" s="125" t="s">
        <v>5378</v>
      </c>
      <c r="M25" s="101" t="s">
        <v>5379</v>
      </c>
      <c r="N25" s="125" t="s">
        <v>5380</v>
      </c>
      <c r="O25" s="101" t="s">
        <v>5381</v>
      </c>
      <c r="P25" s="125" t="s">
        <v>5382</v>
      </c>
      <c r="Q25" s="101" t="s">
        <v>5383</v>
      </c>
      <c r="R25" s="125" t="s">
        <v>5384</v>
      </c>
      <c r="S25" s="101" t="s">
        <v>5385</v>
      </c>
      <c r="T25" s="125" t="s">
        <v>5386</v>
      </c>
      <c r="U25" s="101" t="s">
        <v>5387</v>
      </c>
      <c r="V25" s="125" t="s">
        <v>5388</v>
      </c>
      <c r="W25" s="101" t="s">
        <v>5389</v>
      </c>
      <c r="X25" s="125" t="s">
        <v>5390</v>
      </c>
      <c r="Y25" s="101" t="s">
        <v>5391</v>
      </c>
      <c r="Z25" s="125" t="s">
        <v>5392</v>
      </c>
      <c r="AA25" s="101" t="s">
        <v>5393</v>
      </c>
      <c r="AB25" s="125" t="s">
        <v>5394</v>
      </c>
      <c r="AC25" s="101" t="s">
        <v>5395</v>
      </c>
      <c r="AD25" s="125" t="s">
        <v>5396</v>
      </c>
      <c r="AE25" s="101" t="s">
        <v>5397</v>
      </c>
      <c r="AF25" s="2465" t="s">
        <v>5398</v>
      </c>
      <c r="AG25" s="2502" t="s">
        <v>5399</v>
      </c>
      <c r="AH25" s="2479" t="s">
        <v>5400</v>
      </c>
      <c r="AI25" s="2479" t="s">
        <v>5401</v>
      </c>
      <c r="AJ25" s="1438"/>
      <c r="AK25" s="290"/>
      <c r="AL25" s="290"/>
      <c r="AM25" s="290"/>
      <c r="AN25" s="290"/>
      <c r="AO25" s="290"/>
      <c r="AP25" s="290"/>
      <c r="AQ25" s="290"/>
      <c r="AR25" s="290"/>
      <c r="AS25" s="290"/>
      <c r="AT25" s="290"/>
      <c r="AU25" s="290"/>
      <c r="AV25" s="290"/>
      <c r="AW25" s="290"/>
      <c r="AX25" s="290"/>
      <c r="AY25" s="290"/>
      <c r="AZ25" s="290"/>
      <c r="BA25" s="290"/>
      <c r="BB25" s="290"/>
    </row>
    <row r="26" spans="1:106" ht="31.2" customHeight="1" x14ac:dyDescent="0.3">
      <c r="B26" s="72" t="s">
        <v>1774</v>
      </c>
      <c r="C26" s="499"/>
      <c r="D26" s="499"/>
      <c r="E26" s="499"/>
      <c r="F26" s="499"/>
      <c r="G26" s="499"/>
      <c r="H26" s="499"/>
      <c r="I26" s="499"/>
      <c r="J26" s="499"/>
      <c r="K26" s="499"/>
      <c r="L26" s="499"/>
      <c r="M26" s="499"/>
      <c r="N26" s="499"/>
      <c r="O26" s="499"/>
      <c r="P26" s="499"/>
      <c r="Q26" s="499"/>
      <c r="R26" s="499"/>
      <c r="S26" s="499"/>
      <c r="T26" s="499"/>
      <c r="U26" s="499"/>
      <c r="V26" s="499"/>
      <c r="W26" s="499"/>
      <c r="X26" s="499"/>
      <c r="Y26" s="499"/>
      <c r="Z26" s="499"/>
      <c r="AA26" s="499"/>
      <c r="AB26" s="499"/>
      <c r="AC26" s="499"/>
      <c r="AD26" s="499"/>
      <c r="AE26" s="499"/>
      <c r="AF26" s="499"/>
      <c r="AG26" s="499"/>
      <c r="AH26" s="288"/>
      <c r="AI26" s="290"/>
      <c r="AJ26" s="290"/>
      <c r="AK26" s="290"/>
      <c r="AL26" s="290"/>
      <c r="AM26" s="290"/>
      <c r="AN26" s="290"/>
      <c r="AO26" s="290"/>
      <c r="AP26" s="290"/>
      <c r="AQ26" s="290"/>
      <c r="AR26" s="290"/>
      <c r="AS26" s="290"/>
      <c r="AT26" s="290"/>
      <c r="AU26" s="290"/>
      <c r="AV26" s="290"/>
      <c r="AW26" s="290"/>
      <c r="AX26" s="290"/>
      <c r="AY26" s="290"/>
      <c r="AZ26" s="290"/>
      <c r="BA26" s="290"/>
      <c r="BB26" s="290"/>
    </row>
    <row r="27" spans="1:106" ht="16.2" customHeight="1" x14ac:dyDescent="0.25">
      <c r="B27" s="8638" t="s">
        <v>1775</v>
      </c>
      <c r="C27" s="8645" t="s">
        <v>24</v>
      </c>
      <c r="D27" s="8646"/>
      <c r="E27" s="8647"/>
      <c r="F27" s="8648" t="s">
        <v>33</v>
      </c>
      <c r="G27" s="8649"/>
      <c r="H27" s="8648" t="s">
        <v>40</v>
      </c>
      <c r="I27" s="8650"/>
      <c r="J27" s="8648" t="s">
        <v>115</v>
      </c>
      <c r="K27" s="8650"/>
      <c r="L27" s="8648" t="s">
        <v>116</v>
      </c>
      <c r="M27" s="8650"/>
      <c r="N27" s="8648" t="s">
        <v>117</v>
      </c>
      <c r="O27" s="8650"/>
      <c r="P27" s="8648" t="s">
        <v>118</v>
      </c>
      <c r="Q27" s="8650"/>
      <c r="R27" s="8648" t="s">
        <v>119</v>
      </c>
      <c r="S27" s="8650"/>
      <c r="T27" s="8648" t="s">
        <v>120</v>
      </c>
      <c r="U27" s="8650"/>
      <c r="V27" s="8648" t="s">
        <v>1414</v>
      </c>
      <c r="W27" s="8650"/>
      <c r="X27" s="8648" t="s">
        <v>1406</v>
      </c>
      <c r="Y27" s="8650"/>
      <c r="Z27" s="8648" t="s">
        <v>1397</v>
      </c>
      <c r="AA27" s="8650"/>
      <c r="AB27" s="8648" t="s">
        <v>1396</v>
      </c>
      <c r="AC27" s="8650"/>
      <c r="AD27" s="8648" t="s">
        <v>1395</v>
      </c>
      <c r="AE27" s="8650"/>
      <c r="AF27" s="8577" t="s">
        <v>1405</v>
      </c>
      <c r="AG27" s="8579"/>
      <c r="AH27" s="8557" t="s">
        <v>362</v>
      </c>
      <c r="AI27" s="8636" t="s">
        <v>361</v>
      </c>
      <c r="AJ27" s="290"/>
      <c r="AK27" s="290"/>
      <c r="AL27" s="290"/>
      <c r="AM27" s="290"/>
      <c r="AN27" s="290"/>
      <c r="AO27" s="290"/>
      <c r="AP27" s="290"/>
      <c r="AQ27" s="290"/>
      <c r="AR27" s="290"/>
      <c r="AS27" s="290"/>
      <c r="AT27" s="290"/>
      <c r="AU27" s="290"/>
      <c r="AV27" s="290"/>
      <c r="AW27" s="290"/>
      <c r="AX27" s="290"/>
      <c r="AY27" s="290"/>
      <c r="AZ27" s="290"/>
      <c r="BA27" s="290"/>
      <c r="BB27" s="290"/>
    </row>
    <row r="28" spans="1:106" ht="16.2" customHeight="1" x14ac:dyDescent="0.25">
      <c r="B28" s="8639"/>
      <c r="C28" s="1106" t="s">
        <v>42</v>
      </c>
      <c r="D28" s="1107" t="s">
        <v>17</v>
      </c>
      <c r="E28" s="1324" t="s">
        <v>18</v>
      </c>
      <c r="F28" s="1107" t="s">
        <v>17</v>
      </c>
      <c r="G28" s="731" t="s">
        <v>18</v>
      </c>
      <c r="H28" s="1107" t="s">
        <v>17</v>
      </c>
      <c r="I28" s="731" t="s">
        <v>18</v>
      </c>
      <c r="J28" s="1107" t="s">
        <v>17</v>
      </c>
      <c r="K28" s="731" t="s">
        <v>18</v>
      </c>
      <c r="L28" s="1107" t="s">
        <v>17</v>
      </c>
      <c r="M28" s="731" t="s">
        <v>18</v>
      </c>
      <c r="N28" s="1107" t="s">
        <v>17</v>
      </c>
      <c r="O28" s="731" t="s">
        <v>18</v>
      </c>
      <c r="P28" s="1107" t="s">
        <v>17</v>
      </c>
      <c r="Q28" s="731" t="s">
        <v>18</v>
      </c>
      <c r="R28" s="1107" t="s">
        <v>17</v>
      </c>
      <c r="S28" s="731" t="s">
        <v>18</v>
      </c>
      <c r="T28" s="1107" t="s">
        <v>17</v>
      </c>
      <c r="U28" s="731" t="s">
        <v>18</v>
      </c>
      <c r="V28" s="1107" t="s">
        <v>17</v>
      </c>
      <c r="W28" s="731" t="s">
        <v>18</v>
      </c>
      <c r="X28" s="1107" t="s">
        <v>17</v>
      </c>
      <c r="Y28" s="731" t="s">
        <v>18</v>
      </c>
      <c r="Z28" s="1107" t="s">
        <v>17</v>
      </c>
      <c r="AA28" s="731" t="s">
        <v>18</v>
      </c>
      <c r="AB28" s="1107" t="s">
        <v>17</v>
      </c>
      <c r="AC28" s="731" t="s">
        <v>18</v>
      </c>
      <c r="AD28" s="1107" t="s">
        <v>17</v>
      </c>
      <c r="AE28" s="731" t="s">
        <v>18</v>
      </c>
      <c r="AF28" s="2483" t="s">
        <v>17</v>
      </c>
      <c r="AG28" s="2513" t="s">
        <v>18</v>
      </c>
      <c r="AH28" s="8558"/>
      <c r="AI28" s="8637"/>
      <c r="AJ28" s="290"/>
      <c r="AK28" s="290"/>
      <c r="AL28" s="290"/>
      <c r="AM28" s="290"/>
      <c r="AN28" s="290"/>
      <c r="AO28" s="290"/>
      <c r="AP28" s="290"/>
      <c r="AQ28" s="290"/>
      <c r="AR28" s="290"/>
      <c r="AS28" s="290"/>
      <c r="AT28" s="290"/>
      <c r="AU28" s="290"/>
      <c r="AV28" s="290"/>
      <c r="AW28" s="290"/>
      <c r="AX28" s="290"/>
      <c r="AY28" s="290"/>
      <c r="AZ28" s="290"/>
      <c r="BA28" s="290"/>
      <c r="BB28" s="290"/>
    </row>
    <row r="29" spans="1:106" ht="14.25" customHeight="1" x14ac:dyDescent="0.25">
      <c r="A29" s="7258" t="s">
        <v>5045</v>
      </c>
      <c r="B29" s="708" t="s">
        <v>824</v>
      </c>
      <c r="C29" s="6936" t="s">
        <v>5369</v>
      </c>
      <c r="D29" s="6937" t="s">
        <v>5370</v>
      </c>
      <c r="E29" s="6938" t="s">
        <v>5371</v>
      </c>
      <c r="F29" s="695" t="s">
        <v>5372</v>
      </c>
      <c r="G29" s="702" t="s">
        <v>5373</v>
      </c>
      <c r="H29" s="695" t="s">
        <v>5374</v>
      </c>
      <c r="I29" s="702" t="s">
        <v>5375</v>
      </c>
      <c r="J29" s="695" t="s">
        <v>5376</v>
      </c>
      <c r="K29" s="702" t="s">
        <v>5377</v>
      </c>
      <c r="L29" s="695" t="s">
        <v>5378</v>
      </c>
      <c r="M29" s="702" t="s">
        <v>5379</v>
      </c>
      <c r="N29" s="695" t="s">
        <v>5380</v>
      </c>
      <c r="O29" s="702" t="s">
        <v>5381</v>
      </c>
      <c r="P29" s="695" t="s">
        <v>5382</v>
      </c>
      <c r="Q29" s="702" t="s">
        <v>5383</v>
      </c>
      <c r="R29" s="695" t="s">
        <v>5384</v>
      </c>
      <c r="S29" s="702" t="s">
        <v>5385</v>
      </c>
      <c r="T29" s="695" t="s">
        <v>5386</v>
      </c>
      <c r="U29" s="702" t="s">
        <v>5387</v>
      </c>
      <c r="V29" s="695" t="s">
        <v>5388</v>
      </c>
      <c r="W29" s="702" t="s">
        <v>5389</v>
      </c>
      <c r="X29" s="695" t="s">
        <v>5390</v>
      </c>
      <c r="Y29" s="702" t="s">
        <v>5391</v>
      </c>
      <c r="Z29" s="695" t="s">
        <v>5392</v>
      </c>
      <c r="AA29" s="702" t="s">
        <v>5393</v>
      </c>
      <c r="AB29" s="695" t="s">
        <v>5394</v>
      </c>
      <c r="AC29" s="702" t="s">
        <v>5395</v>
      </c>
      <c r="AD29" s="695" t="s">
        <v>5396</v>
      </c>
      <c r="AE29" s="702" t="s">
        <v>5397</v>
      </c>
      <c r="AF29" s="2430" t="s">
        <v>5398</v>
      </c>
      <c r="AG29" s="2411" t="s">
        <v>5399</v>
      </c>
      <c r="AH29" s="2478" t="s">
        <v>5400</v>
      </c>
      <c r="AI29" s="2478"/>
      <c r="AJ29" s="6939"/>
      <c r="AK29" s="806"/>
      <c r="AL29" s="806"/>
      <c r="AM29" s="806"/>
      <c r="AN29" s="806"/>
      <c r="AO29" s="806"/>
      <c r="AP29" s="806"/>
      <c r="AQ29" s="806"/>
      <c r="AR29" s="806"/>
      <c r="AS29" s="806"/>
      <c r="AT29" s="806"/>
      <c r="AU29" s="290"/>
      <c r="AV29" s="290"/>
      <c r="AW29" s="290"/>
      <c r="AX29" s="290"/>
      <c r="AY29" s="290"/>
      <c r="AZ29" s="290"/>
      <c r="BA29" s="290"/>
      <c r="BB29" s="290"/>
    </row>
    <row r="30" spans="1:106" ht="14.25" customHeight="1" x14ac:dyDescent="0.25">
      <c r="A30" s="7258" t="s">
        <v>5046</v>
      </c>
      <c r="B30" s="3245" t="s">
        <v>3574</v>
      </c>
      <c r="C30" s="3233" t="s">
        <v>5369</v>
      </c>
      <c r="D30" s="3162" t="s">
        <v>5370</v>
      </c>
      <c r="E30" s="6932" t="s">
        <v>5371</v>
      </c>
      <c r="F30" s="1119" t="s">
        <v>5372</v>
      </c>
      <c r="G30" s="1120" t="s">
        <v>5373</v>
      </c>
      <c r="H30" s="1119" t="s">
        <v>5374</v>
      </c>
      <c r="I30" s="1120" t="s">
        <v>5375</v>
      </c>
      <c r="J30" s="1119" t="s">
        <v>5376</v>
      </c>
      <c r="K30" s="1120" t="s">
        <v>5377</v>
      </c>
      <c r="L30" s="1119" t="s">
        <v>5378</v>
      </c>
      <c r="M30" s="1120" t="s">
        <v>5379</v>
      </c>
      <c r="N30" s="1119" t="s">
        <v>5380</v>
      </c>
      <c r="O30" s="1120" t="s">
        <v>5381</v>
      </c>
      <c r="P30" s="1119" t="s">
        <v>5382</v>
      </c>
      <c r="Q30" s="1120" t="s">
        <v>5383</v>
      </c>
      <c r="R30" s="1119" t="s">
        <v>5384</v>
      </c>
      <c r="S30" s="1120" t="s">
        <v>5385</v>
      </c>
      <c r="T30" s="1119" t="s">
        <v>5386</v>
      </c>
      <c r="U30" s="1120" t="s">
        <v>5387</v>
      </c>
      <c r="V30" s="1119" t="s">
        <v>5388</v>
      </c>
      <c r="W30" s="1120" t="s">
        <v>5389</v>
      </c>
      <c r="X30" s="1119" t="s">
        <v>5390</v>
      </c>
      <c r="Y30" s="1120" t="s">
        <v>5391</v>
      </c>
      <c r="Z30" s="1119" t="s">
        <v>5392</v>
      </c>
      <c r="AA30" s="1120" t="s">
        <v>5393</v>
      </c>
      <c r="AB30" s="1119" t="s">
        <v>5394</v>
      </c>
      <c r="AC30" s="1120" t="s">
        <v>5395</v>
      </c>
      <c r="AD30" s="1119" t="s">
        <v>5396</v>
      </c>
      <c r="AE30" s="1120" t="s">
        <v>5397</v>
      </c>
      <c r="AF30" s="2464" t="s">
        <v>5398</v>
      </c>
      <c r="AG30" s="1659" t="s">
        <v>5399</v>
      </c>
      <c r="AH30" s="2459" t="s">
        <v>5400</v>
      </c>
      <c r="AI30" s="3236" t="s">
        <v>5401</v>
      </c>
      <c r="AJ30" s="6939"/>
      <c r="AK30" s="806"/>
      <c r="AL30" s="806"/>
      <c r="AM30" s="806"/>
      <c r="AN30" s="806"/>
      <c r="AO30" s="806"/>
      <c r="AP30" s="806"/>
      <c r="AQ30" s="806"/>
      <c r="AR30" s="806"/>
      <c r="AS30" s="806"/>
      <c r="AT30" s="806"/>
      <c r="AU30" s="290"/>
      <c r="AV30" s="290"/>
      <c r="AW30" s="290"/>
      <c r="AX30" s="290"/>
      <c r="AY30" s="290"/>
      <c r="AZ30" s="290"/>
      <c r="BA30" s="290"/>
      <c r="BB30" s="290"/>
    </row>
    <row r="31" spans="1:106" ht="31.2" customHeight="1" x14ac:dyDescent="0.3">
      <c r="B31" s="72" t="s">
        <v>1776</v>
      </c>
      <c r="C31" s="531"/>
      <c r="D31" s="531"/>
      <c r="E31" s="531"/>
      <c r="F31" s="531"/>
      <c r="G31" s="531"/>
      <c r="H31" s="531"/>
      <c r="I31" s="531"/>
      <c r="J31" s="531"/>
      <c r="K31" s="531"/>
      <c r="L31" s="531"/>
      <c r="M31" s="531"/>
      <c r="N31" s="531"/>
      <c r="O31" s="531"/>
      <c r="P31" s="150"/>
      <c r="Q31" s="531"/>
      <c r="R31" s="499"/>
      <c r="S31" s="499"/>
      <c r="T31" s="499"/>
      <c r="U31" s="499"/>
      <c r="V31" s="499"/>
      <c r="W31" s="499"/>
      <c r="X31" s="499"/>
      <c r="Y31" s="499"/>
      <c r="Z31" s="499"/>
      <c r="AA31" s="499"/>
      <c r="AB31" s="499"/>
      <c r="AC31" s="499"/>
      <c r="AD31" s="499"/>
      <c r="AE31" s="499"/>
      <c r="AF31" s="499"/>
      <c r="AG31" s="140"/>
      <c r="AH31" s="288"/>
      <c r="AI31" s="290"/>
      <c r="AJ31" s="290"/>
      <c r="AK31" s="290"/>
      <c r="AL31" s="290"/>
      <c r="AM31" s="290"/>
      <c r="AN31" s="290"/>
      <c r="AO31" s="290"/>
      <c r="AP31" s="290"/>
      <c r="AQ31" s="290"/>
      <c r="AR31" s="290"/>
      <c r="AS31" s="290"/>
      <c r="AT31" s="290"/>
      <c r="AU31" s="290"/>
      <c r="AV31" s="290"/>
      <c r="AW31" s="290"/>
      <c r="AX31" s="290"/>
      <c r="AY31" s="290"/>
      <c r="AZ31" s="290"/>
      <c r="BA31" s="290"/>
      <c r="BB31" s="290"/>
    </row>
    <row r="32" spans="1:106" ht="16.2" customHeight="1" x14ac:dyDescent="0.25">
      <c r="B32" s="8638" t="s">
        <v>1775</v>
      </c>
      <c r="C32" s="8645" t="s">
        <v>24</v>
      </c>
      <c r="D32" s="8646"/>
      <c r="E32" s="8647"/>
      <c r="F32" s="8648" t="s">
        <v>33</v>
      </c>
      <c r="G32" s="8649"/>
      <c r="H32" s="8648" t="s">
        <v>40</v>
      </c>
      <c r="I32" s="8650"/>
      <c r="J32" s="8648" t="s">
        <v>115</v>
      </c>
      <c r="K32" s="8650"/>
      <c r="L32" s="8648" t="s">
        <v>116</v>
      </c>
      <c r="M32" s="8650"/>
      <c r="N32" s="8648" t="s">
        <v>117</v>
      </c>
      <c r="O32" s="8650"/>
      <c r="P32" s="8648" t="s">
        <v>118</v>
      </c>
      <c r="Q32" s="8650"/>
      <c r="R32" s="8648" t="s">
        <v>119</v>
      </c>
      <c r="S32" s="8650"/>
      <c r="T32" s="8648" t="s">
        <v>120</v>
      </c>
      <c r="U32" s="8650"/>
      <c r="V32" s="8648" t="s">
        <v>1414</v>
      </c>
      <c r="W32" s="8650"/>
      <c r="X32" s="8648" t="s">
        <v>1406</v>
      </c>
      <c r="Y32" s="8650"/>
      <c r="Z32" s="8648" t="s">
        <v>1397</v>
      </c>
      <c r="AA32" s="8650"/>
      <c r="AB32" s="8648" t="s">
        <v>1396</v>
      </c>
      <c r="AC32" s="8650"/>
      <c r="AD32" s="8648" t="s">
        <v>1395</v>
      </c>
      <c r="AE32" s="8650"/>
      <c r="AF32" s="8577" t="s">
        <v>1405</v>
      </c>
      <c r="AG32" s="8579"/>
      <c r="AH32" s="8557" t="s">
        <v>362</v>
      </c>
      <c r="AI32" s="8557" t="s">
        <v>361</v>
      </c>
      <c r="AJ32" s="290"/>
      <c r="AK32" s="290"/>
      <c r="AL32" s="290"/>
      <c r="AM32" s="290"/>
      <c r="AN32" s="290"/>
      <c r="AO32" s="290"/>
      <c r="AP32" s="290"/>
      <c r="AQ32" s="290"/>
      <c r="AR32" s="290"/>
      <c r="AS32" s="290"/>
      <c r="AT32" s="290"/>
      <c r="AU32" s="290"/>
      <c r="AV32" s="290"/>
      <c r="AW32" s="290"/>
      <c r="AX32" s="290"/>
      <c r="AY32" s="290"/>
      <c r="AZ32" s="290"/>
      <c r="BA32" s="290"/>
      <c r="BB32" s="290"/>
    </row>
    <row r="33" spans="1:54" ht="16.2" customHeight="1" x14ac:dyDescent="0.25">
      <c r="B33" s="8639"/>
      <c r="C33" s="1106" t="s">
        <v>42</v>
      </c>
      <c r="D33" s="1107" t="s">
        <v>17</v>
      </c>
      <c r="E33" s="1324" t="s">
        <v>18</v>
      </c>
      <c r="F33" s="1107" t="s">
        <v>17</v>
      </c>
      <c r="G33" s="731" t="s">
        <v>18</v>
      </c>
      <c r="H33" s="1107" t="s">
        <v>17</v>
      </c>
      <c r="I33" s="731" t="s">
        <v>18</v>
      </c>
      <c r="J33" s="1107" t="s">
        <v>17</v>
      </c>
      <c r="K33" s="731" t="s">
        <v>18</v>
      </c>
      <c r="L33" s="1107" t="s">
        <v>17</v>
      </c>
      <c r="M33" s="731" t="s">
        <v>18</v>
      </c>
      <c r="N33" s="1107" t="s">
        <v>17</v>
      </c>
      <c r="O33" s="731" t="s">
        <v>18</v>
      </c>
      <c r="P33" s="1107" t="s">
        <v>17</v>
      </c>
      <c r="Q33" s="731" t="s">
        <v>18</v>
      </c>
      <c r="R33" s="1107" t="s">
        <v>17</v>
      </c>
      <c r="S33" s="731" t="s">
        <v>18</v>
      </c>
      <c r="T33" s="1107" t="s">
        <v>17</v>
      </c>
      <c r="U33" s="731" t="s">
        <v>18</v>
      </c>
      <c r="V33" s="1107" t="s">
        <v>17</v>
      </c>
      <c r="W33" s="731" t="s">
        <v>18</v>
      </c>
      <c r="X33" s="1107" t="s">
        <v>17</v>
      </c>
      <c r="Y33" s="731" t="s">
        <v>18</v>
      </c>
      <c r="Z33" s="1107" t="s">
        <v>17</v>
      </c>
      <c r="AA33" s="731" t="s">
        <v>18</v>
      </c>
      <c r="AB33" s="1107" t="s">
        <v>17</v>
      </c>
      <c r="AC33" s="731" t="s">
        <v>18</v>
      </c>
      <c r="AD33" s="1107" t="s">
        <v>17</v>
      </c>
      <c r="AE33" s="731" t="s">
        <v>18</v>
      </c>
      <c r="AF33" s="2483" t="s">
        <v>17</v>
      </c>
      <c r="AG33" s="2513" t="s">
        <v>18</v>
      </c>
      <c r="AH33" s="8558"/>
      <c r="AI33" s="8558"/>
      <c r="AJ33" s="290"/>
      <c r="AK33" s="290"/>
      <c r="AL33" s="290"/>
      <c r="AM33" s="290"/>
      <c r="AN33" s="290"/>
      <c r="AO33" s="290"/>
      <c r="AP33" s="290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  <c r="BB33" s="290"/>
    </row>
    <row r="34" spans="1:54" ht="16.2" customHeight="1" x14ac:dyDescent="0.25">
      <c r="A34" s="7258" t="s">
        <v>5047</v>
      </c>
      <c r="B34" s="1102" t="s">
        <v>1777</v>
      </c>
      <c r="C34" s="1112" t="s">
        <v>5369</v>
      </c>
      <c r="D34" s="1335" t="s">
        <v>5370</v>
      </c>
      <c r="E34" s="1117" t="s">
        <v>5371</v>
      </c>
      <c r="F34" s="910" t="s">
        <v>5372</v>
      </c>
      <c r="G34" s="130" t="s">
        <v>5373</v>
      </c>
      <c r="H34" s="910" t="s">
        <v>5374</v>
      </c>
      <c r="I34" s="130" t="s">
        <v>5375</v>
      </c>
      <c r="J34" s="910" t="s">
        <v>5376</v>
      </c>
      <c r="K34" s="130" t="s">
        <v>5377</v>
      </c>
      <c r="L34" s="910" t="s">
        <v>5378</v>
      </c>
      <c r="M34" s="130" t="s">
        <v>5379</v>
      </c>
      <c r="N34" s="910" t="s">
        <v>5380</v>
      </c>
      <c r="O34" s="130" t="s">
        <v>5381</v>
      </c>
      <c r="P34" s="910" t="s">
        <v>5382</v>
      </c>
      <c r="Q34" s="130" t="s">
        <v>5383</v>
      </c>
      <c r="R34" s="910" t="s">
        <v>5384</v>
      </c>
      <c r="S34" s="130" t="s">
        <v>5385</v>
      </c>
      <c r="T34" s="910" t="s">
        <v>5386</v>
      </c>
      <c r="U34" s="130" t="s">
        <v>5387</v>
      </c>
      <c r="V34" s="910" t="s">
        <v>5388</v>
      </c>
      <c r="W34" s="130" t="s">
        <v>5389</v>
      </c>
      <c r="X34" s="910" t="s">
        <v>5390</v>
      </c>
      <c r="Y34" s="130" t="s">
        <v>5391</v>
      </c>
      <c r="Z34" s="910" t="s">
        <v>5392</v>
      </c>
      <c r="AA34" s="130" t="s">
        <v>5393</v>
      </c>
      <c r="AB34" s="910" t="s">
        <v>5394</v>
      </c>
      <c r="AC34" s="130" t="s">
        <v>5395</v>
      </c>
      <c r="AD34" s="910" t="s">
        <v>5396</v>
      </c>
      <c r="AE34" s="130" t="s">
        <v>5397</v>
      </c>
      <c r="AF34" s="2448" t="s">
        <v>5398</v>
      </c>
      <c r="AG34" s="2451" t="s">
        <v>5399</v>
      </c>
      <c r="AH34" s="2478" t="s">
        <v>5400</v>
      </c>
      <c r="AI34" s="2478" t="s">
        <v>5401</v>
      </c>
      <c r="AJ34" s="1438"/>
      <c r="AK34" s="290"/>
      <c r="AL34" s="290"/>
      <c r="AM34" s="290"/>
      <c r="AN34" s="290"/>
      <c r="AO34" s="290"/>
      <c r="AP34" s="290"/>
      <c r="AQ34" s="290"/>
      <c r="AR34" s="290"/>
      <c r="AS34" s="290"/>
      <c r="AT34" s="290"/>
      <c r="AU34" s="290"/>
      <c r="AV34" s="290"/>
      <c r="AW34" s="290"/>
      <c r="AX34" s="290"/>
      <c r="AY34" s="290"/>
      <c r="AZ34" s="290"/>
      <c r="BA34" s="290"/>
      <c r="BB34" s="290"/>
    </row>
    <row r="35" spans="1:54" ht="16.2" customHeight="1" x14ac:dyDescent="0.25">
      <c r="A35" s="7258" t="s">
        <v>5048</v>
      </c>
      <c r="B35" s="1121" t="s">
        <v>1778</v>
      </c>
      <c r="C35" s="81" t="s">
        <v>5369</v>
      </c>
      <c r="D35" s="1336" t="s">
        <v>5370</v>
      </c>
      <c r="E35" s="147" t="s">
        <v>5371</v>
      </c>
      <c r="F35" s="125" t="s">
        <v>5372</v>
      </c>
      <c r="G35" s="101" t="s">
        <v>5373</v>
      </c>
      <c r="H35" s="125" t="s">
        <v>5374</v>
      </c>
      <c r="I35" s="101" t="s">
        <v>5375</v>
      </c>
      <c r="J35" s="125" t="s">
        <v>5376</v>
      </c>
      <c r="K35" s="101" t="s">
        <v>5377</v>
      </c>
      <c r="L35" s="125" t="s">
        <v>5378</v>
      </c>
      <c r="M35" s="101" t="s">
        <v>5379</v>
      </c>
      <c r="N35" s="125" t="s">
        <v>5380</v>
      </c>
      <c r="O35" s="101" t="s">
        <v>5381</v>
      </c>
      <c r="P35" s="125" t="s">
        <v>5382</v>
      </c>
      <c r="Q35" s="101" t="s">
        <v>5383</v>
      </c>
      <c r="R35" s="125" t="s">
        <v>5384</v>
      </c>
      <c r="S35" s="101" t="s">
        <v>5385</v>
      </c>
      <c r="T35" s="125" t="s">
        <v>5386</v>
      </c>
      <c r="U35" s="101" t="s">
        <v>5387</v>
      </c>
      <c r="V35" s="125" t="s">
        <v>5388</v>
      </c>
      <c r="W35" s="101" t="s">
        <v>5389</v>
      </c>
      <c r="X35" s="125" t="s">
        <v>5390</v>
      </c>
      <c r="Y35" s="101" t="s">
        <v>5391</v>
      </c>
      <c r="Z35" s="125" t="s">
        <v>5392</v>
      </c>
      <c r="AA35" s="101" t="s">
        <v>5393</v>
      </c>
      <c r="AB35" s="125" t="s">
        <v>5394</v>
      </c>
      <c r="AC35" s="101" t="s">
        <v>5395</v>
      </c>
      <c r="AD35" s="125" t="s">
        <v>5396</v>
      </c>
      <c r="AE35" s="101" t="s">
        <v>5397</v>
      </c>
      <c r="AF35" s="2465" t="s">
        <v>5398</v>
      </c>
      <c r="AG35" s="2502" t="s">
        <v>5399</v>
      </c>
      <c r="AH35" s="2459" t="s">
        <v>5400</v>
      </c>
      <c r="AI35" s="2459" t="s">
        <v>5401</v>
      </c>
      <c r="AJ35" s="1438"/>
      <c r="AK35" s="290"/>
      <c r="AL35" s="290"/>
      <c r="AM35" s="290"/>
      <c r="AN35" s="290"/>
      <c r="AO35" s="290"/>
      <c r="AP35" s="290"/>
      <c r="AQ35" s="290"/>
      <c r="AR35" s="290"/>
      <c r="AS35" s="290"/>
      <c r="AT35" s="290"/>
      <c r="AU35" s="290"/>
      <c r="AV35" s="290"/>
      <c r="AW35" s="290"/>
      <c r="AX35" s="290"/>
      <c r="AY35" s="290"/>
      <c r="AZ35" s="290"/>
      <c r="BA35" s="290"/>
      <c r="BB35" s="290"/>
    </row>
    <row r="36" spans="1:54" x14ac:dyDescent="0.25">
      <c r="AH36" s="290"/>
      <c r="AI36" s="290"/>
      <c r="AJ36" s="290"/>
      <c r="AK36" s="290"/>
      <c r="AL36" s="290"/>
      <c r="AM36" s="290"/>
      <c r="AN36" s="290"/>
      <c r="AO36" s="290"/>
      <c r="AP36" s="290"/>
      <c r="AQ36" s="290"/>
      <c r="AR36" s="290"/>
      <c r="AS36" s="290"/>
      <c r="AT36" s="290"/>
      <c r="AU36" s="290"/>
      <c r="AV36" s="290"/>
      <c r="AW36" s="290"/>
      <c r="AX36" s="290"/>
      <c r="AY36" s="290"/>
      <c r="AZ36" s="290"/>
      <c r="BA36" s="290"/>
      <c r="BB36" s="290"/>
    </row>
    <row r="37" spans="1:54" x14ac:dyDescent="0.25">
      <c r="AH37" s="290"/>
      <c r="AI37" s="290"/>
      <c r="AJ37" s="290"/>
      <c r="AK37" s="290"/>
      <c r="AL37" s="290"/>
      <c r="AM37" s="290"/>
      <c r="AN37" s="290"/>
      <c r="AO37" s="290"/>
      <c r="AP37" s="290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</row>
    <row r="38" spans="1:54" x14ac:dyDescent="0.25">
      <c r="AH38" s="290"/>
      <c r="AI38" s="290"/>
      <c r="AJ38" s="290"/>
      <c r="AK38" s="290"/>
      <c r="AL38" s="290"/>
      <c r="AM38" s="290"/>
      <c r="AN38" s="290"/>
      <c r="AO38" s="290"/>
      <c r="AP38" s="290"/>
      <c r="AQ38" s="290"/>
      <c r="AR38" s="290"/>
      <c r="AS38" s="290"/>
      <c r="AT38" s="290"/>
      <c r="AU38" s="290"/>
      <c r="AV38" s="290"/>
      <c r="AW38" s="290"/>
      <c r="AX38" s="290"/>
      <c r="AY38" s="290"/>
      <c r="AZ38" s="290"/>
      <c r="BA38" s="290"/>
      <c r="BB38" s="290"/>
    </row>
    <row r="39" spans="1:54" x14ac:dyDescent="0.25">
      <c r="AH39" s="290"/>
      <c r="AI39" s="290"/>
      <c r="AJ39" s="290"/>
      <c r="AK39" s="290"/>
      <c r="AL39" s="290"/>
      <c r="AM39" s="290"/>
      <c r="AN39" s="290"/>
      <c r="AO39" s="290"/>
      <c r="AP39" s="290"/>
      <c r="AQ39" s="290"/>
      <c r="AR39" s="290"/>
      <c r="AS39" s="290"/>
      <c r="AT39" s="290"/>
      <c r="AU39" s="290"/>
      <c r="AV39" s="290"/>
      <c r="AW39" s="290"/>
      <c r="AX39" s="290"/>
      <c r="AY39" s="290"/>
      <c r="AZ39" s="290"/>
      <c r="BA39" s="290"/>
      <c r="BB39" s="290"/>
    </row>
    <row r="40" spans="1:54" x14ac:dyDescent="0.25">
      <c r="AH40" s="290"/>
      <c r="AI40" s="290"/>
      <c r="AJ40" s="290"/>
      <c r="AK40" s="290"/>
      <c r="AL40" s="290"/>
      <c r="AM40" s="290"/>
      <c r="AN40" s="290"/>
      <c r="AO40" s="290"/>
      <c r="AP40" s="290"/>
      <c r="AQ40" s="290"/>
      <c r="AR40" s="290"/>
      <c r="AS40" s="290"/>
      <c r="AT40" s="290"/>
      <c r="AU40" s="290"/>
      <c r="AV40" s="290"/>
      <c r="AW40" s="290"/>
      <c r="AX40" s="290"/>
      <c r="AY40" s="290"/>
      <c r="AZ40" s="290"/>
      <c r="BA40" s="290"/>
      <c r="BB40" s="290"/>
    </row>
    <row r="41" spans="1:54" x14ac:dyDescent="0.25">
      <c r="AH41" s="290"/>
      <c r="AI41" s="290"/>
      <c r="AJ41" s="290"/>
      <c r="AK41" s="290"/>
      <c r="AL41" s="290"/>
      <c r="AM41" s="290"/>
      <c r="AN41" s="290"/>
      <c r="AO41" s="290"/>
      <c r="AP41" s="290"/>
      <c r="AQ41" s="290"/>
      <c r="AR41" s="290"/>
      <c r="AS41" s="290"/>
      <c r="AT41" s="290"/>
      <c r="AU41" s="290"/>
      <c r="AV41" s="290"/>
      <c r="AW41" s="290"/>
      <c r="AX41" s="290"/>
      <c r="AY41" s="290"/>
      <c r="AZ41" s="290"/>
      <c r="BA41" s="290"/>
      <c r="BB41" s="290"/>
    </row>
    <row r="42" spans="1:54" x14ac:dyDescent="0.25">
      <c r="AH42" s="290"/>
      <c r="AI42" s="290"/>
      <c r="AJ42" s="290"/>
      <c r="AK42" s="290"/>
      <c r="AL42" s="290"/>
      <c r="AM42" s="290"/>
      <c r="AN42" s="290"/>
      <c r="AO42" s="290"/>
      <c r="AP42" s="290"/>
      <c r="AQ42" s="290"/>
      <c r="AR42" s="290"/>
      <c r="AS42" s="290"/>
      <c r="AT42" s="290"/>
      <c r="AU42" s="290"/>
      <c r="AV42" s="290"/>
      <c r="AW42" s="290"/>
      <c r="AX42" s="290"/>
      <c r="AY42" s="290"/>
      <c r="AZ42" s="290"/>
      <c r="BA42" s="290"/>
      <c r="BB42" s="290"/>
    </row>
    <row r="43" spans="1:54" x14ac:dyDescent="0.25">
      <c r="AH43" s="290"/>
      <c r="AI43" s="290"/>
      <c r="AJ43" s="290"/>
      <c r="AK43" s="290"/>
      <c r="AL43" s="290"/>
      <c r="AM43" s="290"/>
      <c r="AN43" s="290"/>
      <c r="AO43" s="290"/>
      <c r="AP43" s="290"/>
      <c r="AQ43" s="290"/>
      <c r="AR43" s="290"/>
      <c r="AS43" s="290"/>
      <c r="AT43" s="290"/>
      <c r="AU43" s="290"/>
      <c r="AV43" s="290"/>
      <c r="AW43" s="290"/>
      <c r="AX43" s="290"/>
      <c r="AY43" s="290"/>
      <c r="AZ43" s="290"/>
      <c r="BA43" s="290"/>
      <c r="BB43" s="290"/>
    </row>
    <row r="44" spans="1:54" x14ac:dyDescent="0.25">
      <c r="AH44" s="290"/>
      <c r="AI44" s="290"/>
      <c r="AJ44" s="290"/>
      <c r="AK44" s="290"/>
      <c r="AL44" s="290"/>
      <c r="AM44" s="290"/>
      <c r="AN44" s="290"/>
      <c r="AO44" s="290"/>
      <c r="AP44" s="290"/>
      <c r="AQ44" s="290"/>
      <c r="AR44" s="290"/>
      <c r="AS44" s="290"/>
      <c r="AT44" s="290"/>
      <c r="AU44" s="290"/>
      <c r="AV44" s="290"/>
      <c r="AW44" s="290"/>
      <c r="AX44" s="290"/>
      <c r="AY44" s="290"/>
      <c r="AZ44" s="290"/>
      <c r="BA44" s="290"/>
      <c r="BB44" s="290"/>
    </row>
    <row r="45" spans="1:54" x14ac:dyDescent="0.25">
      <c r="AH45" s="290"/>
      <c r="AI45" s="290"/>
      <c r="AJ45" s="290"/>
      <c r="AK45" s="290"/>
      <c r="AL45" s="290"/>
      <c r="AM45" s="290"/>
      <c r="AN45" s="290"/>
      <c r="AO45" s="290"/>
      <c r="AP45" s="290"/>
      <c r="AQ45" s="290"/>
      <c r="AR45" s="290"/>
      <c r="AS45" s="290"/>
      <c r="AT45" s="290"/>
      <c r="AU45" s="290"/>
      <c r="AV45" s="290"/>
      <c r="AW45" s="290"/>
      <c r="AX45" s="290"/>
      <c r="AY45" s="290"/>
      <c r="AZ45" s="290"/>
      <c r="BA45" s="290"/>
      <c r="BB45" s="290"/>
    </row>
    <row r="46" spans="1:54" x14ac:dyDescent="0.25">
      <c r="AH46" s="290"/>
      <c r="AI46" s="290"/>
      <c r="AJ46" s="290"/>
      <c r="AK46" s="290"/>
      <c r="AL46" s="290"/>
      <c r="AM46" s="290"/>
      <c r="AN46" s="290"/>
      <c r="AO46" s="290"/>
      <c r="AP46" s="290"/>
      <c r="AQ46" s="290"/>
      <c r="AR46" s="290"/>
      <c r="AS46" s="290"/>
      <c r="AT46" s="290"/>
      <c r="AU46" s="290"/>
      <c r="AV46" s="290"/>
      <c r="AW46" s="290"/>
      <c r="AX46" s="290"/>
      <c r="AY46" s="290"/>
      <c r="AZ46" s="290"/>
      <c r="BA46" s="290"/>
      <c r="BB46" s="290"/>
    </row>
    <row r="47" spans="1:54" x14ac:dyDescent="0.25">
      <c r="AH47" s="290"/>
      <c r="AI47" s="290"/>
      <c r="AJ47" s="290"/>
      <c r="AK47" s="290"/>
      <c r="AL47" s="290"/>
      <c r="AM47" s="290"/>
      <c r="AN47" s="290"/>
      <c r="AO47" s="290"/>
      <c r="AP47" s="290"/>
      <c r="AQ47" s="290"/>
      <c r="AR47" s="290"/>
      <c r="AS47" s="290"/>
      <c r="AT47" s="290"/>
      <c r="AU47" s="290"/>
      <c r="AV47" s="290"/>
      <c r="AW47" s="290"/>
      <c r="AX47" s="290"/>
      <c r="AY47" s="290"/>
      <c r="AZ47" s="290"/>
      <c r="BA47" s="290"/>
      <c r="BB47" s="290"/>
    </row>
    <row r="48" spans="1:54" x14ac:dyDescent="0.25">
      <c r="AH48" s="290"/>
      <c r="AI48" s="290"/>
      <c r="AJ48" s="290"/>
      <c r="AK48" s="290"/>
      <c r="AL48" s="290"/>
      <c r="AM48" s="290"/>
      <c r="AN48" s="290"/>
      <c r="AO48" s="290"/>
      <c r="AP48" s="290"/>
      <c r="AQ48" s="290"/>
      <c r="AR48" s="290"/>
      <c r="AS48" s="290"/>
      <c r="AT48" s="290"/>
      <c r="AU48" s="290"/>
      <c r="AV48" s="290"/>
      <c r="AW48" s="290"/>
      <c r="AX48" s="290"/>
      <c r="AY48" s="290"/>
      <c r="AZ48" s="290"/>
      <c r="BA48" s="290"/>
      <c r="BB48" s="290"/>
    </row>
    <row r="49" spans="34:54" x14ac:dyDescent="0.25">
      <c r="AH49" s="290"/>
      <c r="AI49" s="290"/>
      <c r="AJ49" s="290"/>
      <c r="AK49" s="290"/>
      <c r="AL49" s="290"/>
      <c r="AM49" s="290"/>
      <c r="AN49" s="290"/>
      <c r="AO49" s="290"/>
      <c r="AP49" s="290"/>
      <c r="AQ49" s="290"/>
      <c r="AR49" s="290"/>
      <c r="AS49" s="290"/>
      <c r="AT49" s="290"/>
      <c r="AU49" s="290"/>
      <c r="AV49" s="290"/>
      <c r="AW49" s="290"/>
      <c r="AX49" s="290"/>
      <c r="AY49" s="290"/>
      <c r="AZ49" s="290"/>
      <c r="BA49" s="290"/>
      <c r="BB49" s="290"/>
    </row>
    <row r="50" spans="34:54" x14ac:dyDescent="0.25">
      <c r="AH50" s="290"/>
      <c r="AI50" s="290"/>
      <c r="AJ50" s="290"/>
      <c r="AK50" s="290"/>
      <c r="AL50" s="290"/>
      <c r="AM50" s="290"/>
      <c r="AN50" s="290"/>
      <c r="AO50" s="290"/>
      <c r="AP50" s="290"/>
      <c r="AQ50" s="290"/>
      <c r="AR50" s="290"/>
      <c r="AS50" s="290"/>
      <c r="AT50" s="290"/>
      <c r="AU50" s="290"/>
      <c r="AV50" s="290"/>
      <c r="AW50" s="290"/>
      <c r="AX50" s="290"/>
      <c r="AY50" s="290"/>
      <c r="AZ50" s="290"/>
      <c r="BA50" s="290"/>
      <c r="BB50" s="290"/>
    </row>
    <row r="51" spans="34:54" x14ac:dyDescent="0.25">
      <c r="AH51" s="290"/>
      <c r="AI51" s="290"/>
      <c r="AJ51" s="290"/>
      <c r="AK51" s="290"/>
      <c r="AL51" s="290"/>
      <c r="AM51" s="290"/>
      <c r="AN51" s="290"/>
      <c r="AO51" s="290"/>
      <c r="AP51" s="290"/>
      <c r="AQ51" s="290"/>
      <c r="AR51" s="290"/>
      <c r="AS51" s="290"/>
      <c r="AT51" s="290"/>
      <c r="AU51" s="290"/>
      <c r="AV51" s="290"/>
      <c r="AW51" s="290"/>
      <c r="AX51" s="290"/>
      <c r="AY51" s="290"/>
      <c r="AZ51" s="290"/>
      <c r="BA51" s="290"/>
      <c r="BB51" s="290"/>
    </row>
    <row r="52" spans="34:54" x14ac:dyDescent="0.25">
      <c r="AH52" s="290"/>
      <c r="AI52" s="290"/>
      <c r="AJ52" s="290"/>
      <c r="AK52" s="290"/>
      <c r="AL52" s="290"/>
      <c r="AM52" s="290"/>
      <c r="AN52" s="290"/>
      <c r="AO52" s="290"/>
      <c r="AP52" s="290"/>
      <c r="AQ52" s="290"/>
      <c r="AR52" s="290"/>
      <c r="AS52" s="290"/>
      <c r="AT52" s="290"/>
      <c r="AU52" s="290"/>
      <c r="AV52" s="290"/>
      <c r="AW52" s="290"/>
      <c r="AX52" s="290"/>
      <c r="AY52" s="290"/>
      <c r="AZ52" s="290"/>
      <c r="BA52" s="290"/>
      <c r="BB52" s="290"/>
    </row>
    <row r="194" spans="2:131" ht="15.75" customHeight="1" x14ac:dyDescent="0.25"/>
    <row r="195" spans="2:131" s="1418" customFormat="1" ht="16.5" hidden="1" customHeight="1" x14ac:dyDescent="0.25">
      <c r="B195" s="1418">
        <f>SUM(C12:C17,C21:C25,C29:C30,C34:C35)</f>
        <v>0</v>
      </c>
      <c r="C195" s="1418">
        <f>SUM(DB7:EA52)</f>
        <v>0</v>
      </c>
      <c r="CB195" s="1429"/>
      <c r="CC195" s="1429"/>
      <c r="CD195" s="1429"/>
      <c r="CE195" s="1429"/>
      <c r="CF195" s="1429"/>
      <c r="CG195" s="1429"/>
      <c r="CH195" s="1429"/>
      <c r="CI195" s="1429"/>
      <c r="CJ195" s="1429"/>
      <c r="CK195" s="1429"/>
      <c r="CL195" s="1429"/>
      <c r="CM195" s="1429"/>
      <c r="CN195" s="1429"/>
      <c r="CO195" s="1429"/>
      <c r="CP195" s="1429"/>
      <c r="CQ195" s="1429"/>
      <c r="CR195" s="1429"/>
      <c r="CS195" s="1429"/>
      <c r="CT195" s="1429"/>
      <c r="CU195" s="1429"/>
      <c r="CV195" s="1429"/>
      <c r="CW195" s="1429"/>
      <c r="CX195" s="1429"/>
      <c r="CY195" s="1429"/>
      <c r="CZ195" s="1429"/>
      <c r="DA195" s="1429"/>
      <c r="DB195" s="3206"/>
      <c r="DC195" s="3206"/>
      <c r="DD195" s="3206"/>
      <c r="DE195" s="3206"/>
      <c r="DF195" s="3206"/>
      <c r="DG195" s="3206"/>
      <c r="DH195" s="3206"/>
      <c r="DI195" s="3206"/>
      <c r="DJ195" s="3206"/>
      <c r="DK195" s="3206"/>
      <c r="DL195" s="3206"/>
      <c r="DM195" s="3206"/>
      <c r="DN195" s="3206"/>
      <c r="DO195" s="3206"/>
      <c r="DP195" s="3206"/>
      <c r="DQ195" s="3206"/>
      <c r="DR195" s="3206"/>
      <c r="DS195" s="3206"/>
      <c r="DT195" s="3206"/>
      <c r="DU195" s="3206"/>
      <c r="DV195" s="3206"/>
      <c r="DW195" s="3206"/>
      <c r="DX195" s="3206"/>
      <c r="DY195" s="3206"/>
      <c r="DZ195" s="3206"/>
      <c r="EA195" s="3206"/>
    </row>
    <row r="196" spans="2:131" ht="16.5" customHeight="1" x14ac:dyDescent="0.25"/>
  </sheetData>
  <mergeCells count="59">
    <mergeCell ref="L32:M32"/>
    <mergeCell ref="N32:O32"/>
    <mergeCell ref="P27:Q27"/>
    <mergeCell ref="AF32:AG32"/>
    <mergeCell ref="P32:Q32"/>
    <mergeCell ref="R32:S32"/>
    <mergeCell ref="T32:U32"/>
    <mergeCell ref="V32:W32"/>
    <mergeCell ref="X32:Y32"/>
    <mergeCell ref="Z32:AA32"/>
    <mergeCell ref="V27:W27"/>
    <mergeCell ref="X27:Y27"/>
    <mergeCell ref="Z27:AA27"/>
    <mergeCell ref="AB32:AC32"/>
    <mergeCell ref="AD32:AE32"/>
    <mergeCell ref="L27:M27"/>
    <mergeCell ref="B32:B33"/>
    <mergeCell ref="C32:E32"/>
    <mergeCell ref="F32:G32"/>
    <mergeCell ref="H32:I32"/>
    <mergeCell ref="J32:K32"/>
    <mergeCell ref="Z19:AA19"/>
    <mergeCell ref="AB27:AC27"/>
    <mergeCell ref="AD27:AE27"/>
    <mergeCell ref="R27:S27"/>
    <mergeCell ref="T27:U27"/>
    <mergeCell ref="N27:O27"/>
    <mergeCell ref="P19:Q19"/>
    <mergeCell ref="R19:S19"/>
    <mergeCell ref="T19:U19"/>
    <mergeCell ref="B27:B28"/>
    <mergeCell ref="C27:E27"/>
    <mergeCell ref="F27:G27"/>
    <mergeCell ref="H27:I27"/>
    <mergeCell ref="J27:K27"/>
    <mergeCell ref="B6:AE6"/>
    <mergeCell ref="B9:B10"/>
    <mergeCell ref="C9:E9"/>
    <mergeCell ref="B19:B20"/>
    <mergeCell ref="C19:E19"/>
    <mergeCell ref="F19:G19"/>
    <mergeCell ref="H19:I19"/>
    <mergeCell ref="J19:K19"/>
    <mergeCell ref="L19:M19"/>
    <mergeCell ref="N19:O19"/>
    <mergeCell ref="AB19:AC19"/>
    <mergeCell ref="AD19:AE19"/>
    <mergeCell ref="F9:F10"/>
    <mergeCell ref="G9:G10"/>
    <mergeCell ref="V19:W19"/>
    <mergeCell ref="X19:Y19"/>
    <mergeCell ref="AF27:AG27"/>
    <mergeCell ref="AI27:AI28"/>
    <mergeCell ref="AH32:AH33"/>
    <mergeCell ref="AI32:AI33"/>
    <mergeCell ref="AH19:AH20"/>
    <mergeCell ref="AI19:AI20"/>
    <mergeCell ref="AH27:AH28"/>
    <mergeCell ref="AF19:AG19"/>
  </mergeCells>
  <dataValidations disablePrompts="1" count="1">
    <dataValidation type="whole" operator="notBetween" allowBlank="1" showInputMessage="1" showErrorMessage="1" error="Valor no Permitido" sqref="B30" xr:uid="{50783A29-AFB3-40FA-A664-CAA552F57B08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C387"/>
  <sheetViews>
    <sheetView showGridLines="0" zoomScaleNormal="100" workbookViewId="0"/>
  </sheetViews>
  <sheetFormatPr baseColWidth="10" defaultColWidth="11.44140625" defaultRowHeight="14.4" x14ac:dyDescent="0.3"/>
  <cols>
    <col min="1" max="1" width="16.6640625" style="827" customWidth="1"/>
    <col min="2" max="2" width="31.44140625" style="827" customWidth="1"/>
    <col min="3" max="3" width="40" style="827" customWidth="1"/>
    <col min="4" max="4" width="11.88671875" style="827" customWidth="1"/>
    <col min="5" max="7" width="10.88671875" style="827"/>
    <col min="8" max="8" width="12.33203125" style="827" customWidth="1"/>
    <col min="9" max="9" width="13.33203125" style="827" customWidth="1"/>
    <col min="10" max="13" width="11.44140625" style="827"/>
    <col min="14" max="14" width="11.44140625" style="827" customWidth="1"/>
    <col min="15" max="23" width="11.44140625" style="827"/>
    <col min="24" max="24" width="13.109375" style="827" customWidth="1"/>
    <col min="25" max="26" width="11.44140625" style="827"/>
    <col min="27" max="53" width="11.44140625" style="1191"/>
    <col min="54" max="72" width="11.44140625" style="1547" customWidth="1"/>
    <col min="73" max="79" width="16" style="1191" customWidth="1"/>
    <col min="80" max="103" width="16" style="1442" hidden="1" customWidth="1"/>
    <col min="104" max="105" width="11.44140625" style="1442" hidden="1" customWidth="1"/>
    <col min="106" max="125" width="11.44140625" style="3217" hidden="1" customWidth="1"/>
    <col min="126" max="126" width="15" style="3217" hidden="1" customWidth="1"/>
    <col min="127" max="127" width="10.33203125" style="3217" hidden="1" customWidth="1"/>
    <col min="128" max="128" width="13.33203125" style="3217" hidden="1" customWidth="1"/>
    <col min="129" max="129" width="14.88671875" style="3217" hidden="1" customWidth="1"/>
    <col min="130" max="130" width="9.5546875" style="3217" hidden="1" customWidth="1"/>
    <col min="131" max="131" width="8.6640625" style="3217" hidden="1" customWidth="1"/>
    <col min="132" max="132" width="11.44140625" style="827" customWidth="1"/>
    <col min="133" max="16384" width="11.44140625" style="827"/>
  </cols>
  <sheetData>
    <row r="1" spans="1:131" s="140" customFormat="1" ht="16.350000000000001" customHeight="1" x14ac:dyDescent="0.2">
      <c r="B1" s="150" t="s">
        <v>207</v>
      </c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574"/>
      <c r="BC1" s="574"/>
      <c r="BD1" s="574"/>
      <c r="BE1" s="574"/>
      <c r="BF1" s="574"/>
      <c r="BG1" s="574"/>
      <c r="BH1" s="574"/>
      <c r="BI1" s="574"/>
      <c r="BJ1" s="574"/>
      <c r="BK1" s="574"/>
      <c r="BL1" s="574"/>
      <c r="BM1" s="574"/>
      <c r="BN1" s="574"/>
      <c r="BO1" s="574"/>
      <c r="BP1" s="574"/>
      <c r="BQ1" s="574"/>
      <c r="BR1" s="574"/>
      <c r="BS1" s="574"/>
      <c r="BT1" s="574"/>
      <c r="BU1" s="288"/>
      <c r="BV1" s="288"/>
      <c r="BW1" s="288"/>
      <c r="BX1" s="288"/>
      <c r="BY1" s="288"/>
      <c r="BZ1" s="288"/>
      <c r="CA1" s="288"/>
      <c r="CB1" s="687"/>
      <c r="CC1" s="687"/>
      <c r="CD1" s="687"/>
      <c r="CE1" s="687"/>
      <c r="CF1" s="687"/>
      <c r="CG1" s="687"/>
      <c r="CH1" s="687"/>
      <c r="CI1" s="687"/>
      <c r="CJ1" s="687"/>
      <c r="CK1" s="687"/>
      <c r="CL1" s="687"/>
      <c r="CM1" s="687"/>
      <c r="CN1" s="687"/>
      <c r="CO1" s="687"/>
      <c r="CP1" s="687"/>
      <c r="CQ1" s="687"/>
      <c r="CR1" s="687"/>
      <c r="CS1" s="687"/>
      <c r="CT1" s="687"/>
      <c r="CU1" s="687"/>
      <c r="CV1" s="687"/>
      <c r="CW1" s="687"/>
      <c r="CX1" s="687"/>
      <c r="CY1" s="687"/>
      <c r="CZ1" s="687"/>
      <c r="DA1" s="687"/>
      <c r="DB1" s="3216"/>
      <c r="DC1" s="3216"/>
      <c r="DD1" s="3216"/>
      <c r="DE1" s="3216"/>
      <c r="DF1" s="3216"/>
      <c r="DG1" s="3216"/>
      <c r="DH1" s="3216"/>
      <c r="DI1" s="3216"/>
      <c r="DJ1" s="3216"/>
      <c r="DK1" s="3216"/>
      <c r="DL1" s="3216"/>
      <c r="DM1" s="3216"/>
      <c r="DN1" s="3216"/>
      <c r="DO1" s="3216"/>
      <c r="DP1" s="3216"/>
      <c r="DQ1" s="3216"/>
      <c r="DR1" s="3216"/>
      <c r="DS1" s="3216"/>
      <c r="DT1" s="3216"/>
      <c r="DU1" s="3216"/>
      <c r="DV1" s="3216"/>
      <c r="DW1" s="3216"/>
      <c r="DX1" s="3216"/>
      <c r="DY1" s="3216"/>
      <c r="DZ1" s="3216"/>
      <c r="EA1" s="3216"/>
    </row>
    <row r="2" spans="1:131" s="140" customFormat="1" ht="16.350000000000001" customHeight="1" x14ac:dyDescent="0.2">
      <c r="B2" s="150" t="str">
        <f>CONCATENATE("COMUNA: ",NOMBRE!B2," - ","( ",NOMBRE!C2,NOMBRE!D2,NOMBRE!E2,NOMBRE!F2,NOMBRE!G2," )")</f>
        <v>COMUNA:  - (  )</v>
      </c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574"/>
      <c r="BC2" s="574"/>
      <c r="BD2" s="574"/>
      <c r="BE2" s="574"/>
      <c r="BF2" s="574"/>
      <c r="BG2" s="574"/>
      <c r="BH2" s="574"/>
      <c r="BI2" s="574"/>
      <c r="BJ2" s="574"/>
      <c r="BK2" s="574"/>
      <c r="BL2" s="574"/>
      <c r="BM2" s="574"/>
      <c r="BN2" s="574"/>
      <c r="BO2" s="574"/>
      <c r="BP2" s="574"/>
      <c r="BQ2" s="574"/>
      <c r="BR2" s="574"/>
      <c r="BS2" s="574"/>
      <c r="BT2" s="574"/>
      <c r="BU2" s="288"/>
      <c r="BV2" s="288"/>
      <c r="BW2" s="288"/>
      <c r="BX2" s="288"/>
      <c r="BY2" s="288"/>
      <c r="BZ2" s="288"/>
      <c r="CA2" s="288"/>
      <c r="CB2" s="687"/>
      <c r="CC2" s="687"/>
      <c r="CD2" s="687"/>
      <c r="CE2" s="687"/>
      <c r="CF2" s="687"/>
      <c r="CG2" s="687"/>
      <c r="CH2" s="687"/>
      <c r="CI2" s="687"/>
      <c r="CJ2" s="687"/>
      <c r="CK2" s="687"/>
      <c r="CL2" s="687"/>
      <c r="CM2" s="687"/>
      <c r="CN2" s="687"/>
      <c r="CO2" s="687"/>
      <c r="CP2" s="687"/>
      <c r="CQ2" s="687"/>
      <c r="CR2" s="687"/>
      <c r="CS2" s="687"/>
      <c r="CT2" s="687"/>
      <c r="CU2" s="687"/>
      <c r="CV2" s="687"/>
      <c r="CW2" s="687"/>
      <c r="CX2" s="687"/>
      <c r="CY2" s="687"/>
      <c r="CZ2" s="687"/>
      <c r="DA2" s="687"/>
      <c r="DB2" s="3216"/>
      <c r="DC2" s="3216"/>
      <c r="DD2" s="3216"/>
      <c r="DE2" s="3216"/>
      <c r="DF2" s="3216"/>
      <c r="DG2" s="3216"/>
      <c r="DH2" s="3216"/>
      <c r="DI2" s="3216"/>
      <c r="DJ2" s="3216"/>
      <c r="DK2" s="3216"/>
      <c r="DL2" s="3216"/>
      <c r="DM2" s="3216"/>
      <c r="DN2" s="3216"/>
      <c r="DO2" s="3216"/>
      <c r="DP2" s="3216"/>
      <c r="DQ2" s="3216"/>
      <c r="DR2" s="3216"/>
      <c r="DS2" s="3216"/>
      <c r="DT2" s="3216"/>
      <c r="DU2" s="3216"/>
      <c r="DV2" s="3216"/>
      <c r="DW2" s="3216"/>
      <c r="DX2" s="3216"/>
      <c r="DY2" s="3216"/>
      <c r="DZ2" s="3216"/>
      <c r="EA2" s="3216"/>
    </row>
    <row r="3" spans="1:131" s="140" customFormat="1" ht="16.350000000000001" customHeight="1" x14ac:dyDescent="0.2">
      <c r="B3" s="150" t="str">
        <f>CONCATENATE("ESTABLECIMIENTO/ESTRATEGIA: ",NOMBRE!B3," - ","( ",NOMBRE!C3,NOMBRE!D3,NOMBRE!E3,NOMBRE!F3,NOMBRE!G3,NOMBRE!H3," )")</f>
        <v>ESTABLECIMIENTO/ESTRATEGIA:  - (  )</v>
      </c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574"/>
      <c r="BC3" s="574"/>
      <c r="BD3" s="574"/>
      <c r="BE3" s="574"/>
      <c r="BF3" s="574"/>
      <c r="BG3" s="574"/>
      <c r="BH3" s="574"/>
      <c r="BI3" s="574"/>
      <c r="BJ3" s="574"/>
      <c r="BK3" s="574"/>
      <c r="BL3" s="574"/>
      <c r="BM3" s="574"/>
      <c r="BN3" s="574"/>
      <c r="BO3" s="574"/>
      <c r="BP3" s="574"/>
      <c r="BQ3" s="574"/>
      <c r="BR3" s="574"/>
      <c r="BS3" s="574"/>
      <c r="BT3" s="574"/>
      <c r="BU3" s="288"/>
      <c r="BV3" s="288"/>
      <c r="BW3" s="288"/>
      <c r="BX3" s="288"/>
      <c r="BY3" s="288"/>
      <c r="BZ3" s="288"/>
      <c r="CA3" s="288"/>
      <c r="CB3" s="687"/>
      <c r="CC3" s="687"/>
      <c r="CD3" s="687"/>
      <c r="CE3" s="687"/>
      <c r="CF3" s="687"/>
      <c r="CG3" s="687"/>
      <c r="CH3" s="687"/>
      <c r="CI3" s="687"/>
      <c r="CJ3" s="687"/>
      <c r="CK3" s="687"/>
      <c r="CL3" s="687"/>
      <c r="CM3" s="687"/>
      <c r="CN3" s="687"/>
      <c r="CO3" s="687"/>
      <c r="CP3" s="687"/>
      <c r="CQ3" s="687"/>
      <c r="CR3" s="687"/>
      <c r="CS3" s="687"/>
      <c r="CT3" s="687"/>
      <c r="CU3" s="687"/>
      <c r="CV3" s="687"/>
      <c r="CW3" s="687"/>
      <c r="CX3" s="687"/>
      <c r="CY3" s="687"/>
      <c r="CZ3" s="687"/>
      <c r="DA3" s="687"/>
      <c r="DB3" s="3216"/>
      <c r="DC3" s="3216"/>
      <c r="DD3" s="3216"/>
      <c r="DE3" s="3216"/>
      <c r="DF3" s="3216"/>
      <c r="DG3" s="3216"/>
      <c r="DH3" s="3216"/>
      <c r="DI3" s="3216"/>
      <c r="DJ3" s="3216"/>
      <c r="DK3" s="3216"/>
      <c r="DL3" s="3216"/>
      <c r="DM3" s="3216"/>
      <c r="DN3" s="3216"/>
      <c r="DO3" s="3216"/>
      <c r="DP3" s="3216"/>
      <c r="DQ3" s="3216"/>
      <c r="DR3" s="3216"/>
      <c r="DS3" s="3216"/>
      <c r="DT3" s="3216"/>
      <c r="DU3" s="3216"/>
      <c r="DV3" s="3216"/>
      <c r="DW3" s="3216"/>
      <c r="DX3" s="3216"/>
      <c r="DY3" s="3216"/>
      <c r="DZ3" s="3216"/>
      <c r="EA3" s="3216"/>
    </row>
    <row r="4" spans="1:131" s="140" customFormat="1" ht="16.350000000000001" customHeight="1" x14ac:dyDescent="0.2">
      <c r="B4" s="150" t="str">
        <f>CONCATENATE("MES: ",NOMBRE!B6," - ","( ",NOMBRE!C6,NOMBRE!D6," )")</f>
        <v>MES:  - (  )</v>
      </c>
      <c r="AA4" s="288"/>
      <c r="AB4" s="288"/>
      <c r="AC4" s="288"/>
      <c r="AD4" s="288"/>
      <c r="AE4" s="288"/>
      <c r="AF4" s="288"/>
      <c r="AG4" s="288"/>
      <c r="AH4" s="288"/>
      <c r="AI4" s="288"/>
      <c r="AJ4" s="288"/>
      <c r="AK4" s="288"/>
      <c r="AL4" s="288"/>
      <c r="AM4" s="288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574"/>
      <c r="BC4" s="574"/>
      <c r="BD4" s="574"/>
      <c r="BE4" s="574"/>
      <c r="BF4" s="574"/>
      <c r="BG4" s="574"/>
      <c r="BH4" s="574"/>
      <c r="BI4" s="574"/>
      <c r="BJ4" s="574"/>
      <c r="BK4" s="574"/>
      <c r="BL4" s="574"/>
      <c r="BM4" s="574"/>
      <c r="BN4" s="574"/>
      <c r="BO4" s="574"/>
      <c r="BP4" s="574"/>
      <c r="BQ4" s="574"/>
      <c r="BR4" s="574"/>
      <c r="BS4" s="574"/>
      <c r="BT4" s="574"/>
      <c r="BU4" s="288"/>
      <c r="BV4" s="288"/>
      <c r="BW4" s="288"/>
      <c r="BX4" s="288"/>
      <c r="BY4" s="288"/>
      <c r="BZ4" s="288"/>
      <c r="CA4" s="288"/>
      <c r="CB4" s="687"/>
      <c r="CC4" s="687"/>
      <c r="CD4" s="687"/>
      <c r="CE4" s="687"/>
      <c r="CF4" s="687"/>
      <c r="CG4" s="687"/>
      <c r="CH4" s="687"/>
      <c r="CI4" s="687"/>
      <c r="CJ4" s="687"/>
      <c r="CK4" s="687"/>
      <c r="CL4" s="687"/>
      <c r="CM4" s="687"/>
      <c r="CN4" s="687"/>
      <c r="CO4" s="687"/>
      <c r="CP4" s="687"/>
      <c r="CQ4" s="687"/>
      <c r="CR4" s="687"/>
      <c r="CS4" s="687"/>
      <c r="CT4" s="687"/>
      <c r="CU4" s="687"/>
      <c r="CV4" s="687"/>
      <c r="CW4" s="687"/>
      <c r="CX4" s="687"/>
      <c r="CY4" s="687"/>
      <c r="CZ4" s="687"/>
      <c r="DA4" s="687"/>
      <c r="DB4" s="3216"/>
      <c r="DC4" s="3216"/>
      <c r="DD4" s="3216"/>
      <c r="DE4" s="3216"/>
      <c r="DF4" s="3216"/>
      <c r="DG4" s="3216"/>
      <c r="DH4" s="3216"/>
      <c r="DI4" s="3216"/>
      <c r="DJ4" s="3216"/>
      <c r="DK4" s="3216"/>
      <c r="DL4" s="3216"/>
      <c r="DM4" s="3216"/>
      <c r="DN4" s="3216"/>
      <c r="DO4" s="3216"/>
      <c r="DP4" s="3216"/>
      <c r="DQ4" s="3216"/>
      <c r="DR4" s="3216"/>
      <c r="DS4" s="3216"/>
      <c r="DT4" s="3216"/>
      <c r="DU4" s="3216"/>
      <c r="DV4" s="3216"/>
      <c r="DW4" s="3216"/>
      <c r="DX4" s="3216"/>
      <c r="DY4" s="3216"/>
      <c r="DZ4" s="3216"/>
      <c r="EA4" s="3216"/>
    </row>
    <row r="5" spans="1:131" s="140" customFormat="1" ht="16.350000000000001" customHeight="1" x14ac:dyDescent="0.2">
      <c r="B5" s="150" t="str">
        <f>CONCATENATE("AÑO: ",NOMBRE!B7)</f>
        <v>AÑO: 2023</v>
      </c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288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574"/>
      <c r="BC5" s="574"/>
      <c r="BD5" s="574"/>
      <c r="BE5" s="574"/>
      <c r="BF5" s="574"/>
      <c r="BG5" s="574"/>
      <c r="BH5" s="574"/>
      <c r="BI5" s="574"/>
      <c r="BJ5" s="574"/>
      <c r="BK5" s="574"/>
      <c r="BL5" s="574"/>
      <c r="BM5" s="574"/>
      <c r="BN5" s="574"/>
      <c r="BO5" s="574"/>
      <c r="BP5" s="574"/>
      <c r="BQ5" s="574"/>
      <c r="BR5" s="574"/>
      <c r="BS5" s="574"/>
      <c r="BT5" s="574"/>
      <c r="BU5" s="288"/>
      <c r="BV5" s="288"/>
      <c r="BW5" s="288"/>
      <c r="BX5" s="288"/>
      <c r="BY5" s="288"/>
      <c r="BZ5" s="288"/>
      <c r="CA5" s="288"/>
      <c r="CB5" s="687"/>
      <c r="CC5" s="687"/>
      <c r="CD5" s="687"/>
      <c r="CE5" s="687"/>
      <c r="CF5" s="687"/>
      <c r="CG5" s="687"/>
      <c r="CH5" s="687"/>
      <c r="CI5" s="687"/>
      <c r="CJ5" s="687"/>
      <c r="CK5" s="687"/>
      <c r="CL5" s="687"/>
      <c r="CM5" s="687"/>
      <c r="CN5" s="687"/>
      <c r="CO5" s="687"/>
      <c r="CP5" s="687"/>
      <c r="CQ5" s="687"/>
      <c r="CR5" s="687"/>
      <c r="CS5" s="687"/>
      <c r="CT5" s="687"/>
      <c r="CU5" s="687"/>
      <c r="CV5" s="687"/>
      <c r="CW5" s="687"/>
      <c r="CX5" s="687"/>
      <c r="CY5" s="687"/>
      <c r="CZ5" s="687"/>
      <c r="DA5" s="687"/>
      <c r="DB5" s="3216"/>
      <c r="DC5" s="3216"/>
      <c r="DD5" s="3216"/>
      <c r="DE5" s="3216"/>
      <c r="DF5" s="3216"/>
      <c r="DG5" s="3216"/>
      <c r="DH5" s="3216"/>
      <c r="DI5" s="3216"/>
      <c r="DJ5" s="3216"/>
      <c r="DK5" s="3216"/>
      <c r="DL5" s="3216"/>
      <c r="DM5" s="3216"/>
      <c r="DN5" s="3216"/>
      <c r="DO5" s="3216"/>
      <c r="DP5" s="3216"/>
      <c r="DQ5" s="3216"/>
      <c r="DR5" s="3216"/>
      <c r="DS5" s="3216"/>
      <c r="DT5" s="3216"/>
      <c r="DU5" s="3216"/>
      <c r="DV5" s="3216"/>
      <c r="DW5" s="3216"/>
      <c r="DX5" s="3216"/>
      <c r="DY5" s="3216"/>
      <c r="DZ5" s="3216"/>
      <c r="EA5" s="3216"/>
    </row>
    <row r="6" spans="1:131" ht="15.75" customHeight="1" x14ac:dyDescent="0.3">
      <c r="B6" s="8629" t="s">
        <v>1505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8629"/>
      <c r="P6" s="8629"/>
      <c r="Q6" s="8629"/>
      <c r="R6" s="8629"/>
      <c r="S6" s="8629"/>
      <c r="T6" s="8629"/>
      <c r="U6" s="8629"/>
      <c r="V6" s="8629"/>
      <c r="W6" s="8629"/>
      <c r="X6" s="8629"/>
      <c r="Y6" s="8629"/>
      <c r="Z6" s="8865"/>
      <c r="AA6" s="801"/>
      <c r="AB6" s="801"/>
    </row>
    <row r="7" spans="1:131" ht="31.35" customHeight="1" x14ac:dyDescent="0.3">
      <c r="B7" s="531" t="s">
        <v>1504</v>
      </c>
      <c r="C7" s="2157"/>
      <c r="D7" s="2157"/>
      <c r="E7" s="2157"/>
      <c r="F7" s="2157"/>
      <c r="G7" s="2157"/>
      <c r="H7" s="2157"/>
      <c r="I7" s="2157"/>
      <c r="J7" s="2157"/>
      <c r="K7" s="2157"/>
      <c r="L7" s="2157"/>
      <c r="M7" s="2157"/>
      <c r="N7" s="2157"/>
      <c r="O7" s="2157"/>
      <c r="P7" s="2157"/>
      <c r="Q7" s="944"/>
      <c r="R7" s="943"/>
      <c r="S7" s="801"/>
      <c r="T7" s="801"/>
      <c r="U7" s="801"/>
      <c r="V7" s="801"/>
      <c r="W7" s="801"/>
      <c r="X7" s="801"/>
      <c r="Y7" s="801"/>
      <c r="Z7" s="801"/>
      <c r="AA7" s="801"/>
      <c r="AB7" s="801"/>
      <c r="BB7" s="1191"/>
      <c r="BC7" s="1191"/>
      <c r="BD7" s="1191"/>
      <c r="BE7" s="1191"/>
      <c r="BF7" s="1191"/>
      <c r="BG7" s="1191"/>
      <c r="BH7" s="1191"/>
      <c r="BI7" s="1191"/>
      <c r="BJ7" s="1191"/>
      <c r="BK7" s="1191"/>
      <c r="BL7" s="1191"/>
      <c r="BM7" s="1191"/>
      <c r="BN7" s="1191"/>
      <c r="BO7" s="1191"/>
      <c r="BP7" s="1191"/>
      <c r="BQ7" s="1191"/>
      <c r="BR7" s="1191"/>
      <c r="BS7" s="1191"/>
      <c r="BT7" s="1191"/>
    </row>
    <row r="8" spans="1:131" ht="31.35" customHeight="1" x14ac:dyDescent="0.3">
      <c r="B8" s="942" t="s">
        <v>1503</v>
      </c>
      <c r="C8" s="941"/>
      <c r="D8" s="941"/>
      <c r="E8" s="941"/>
      <c r="F8" s="941"/>
      <c r="G8" s="72"/>
      <c r="H8" s="1548"/>
      <c r="I8" s="2514"/>
      <c r="J8" s="2515"/>
      <c r="K8" s="1548"/>
      <c r="L8" s="2516"/>
      <c r="M8" s="1548"/>
      <c r="N8" s="2514"/>
      <c r="O8" s="2515"/>
      <c r="P8" s="2515"/>
      <c r="Q8" s="1549"/>
      <c r="R8" s="1548"/>
      <c r="S8" s="2514"/>
      <c r="T8" s="2514"/>
      <c r="U8" s="2514"/>
      <c r="V8" s="2514"/>
      <c r="W8" s="2514"/>
      <c r="X8" s="2514"/>
      <c r="Y8" s="2514"/>
      <c r="Z8" s="2515"/>
      <c r="AA8" s="1550"/>
      <c r="BB8" s="1191"/>
      <c r="BC8" s="1191"/>
      <c r="BD8" s="1191"/>
      <c r="BE8" s="1191"/>
      <c r="BF8" s="1191"/>
      <c r="BG8" s="1191"/>
      <c r="BH8" s="1191"/>
      <c r="BI8" s="1191"/>
      <c r="BJ8" s="1191"/>
      <c r="BK8" s="1191"/>
      <c r="BL8" s="1191"/>
      <c r="BM8" s="1191"/>
      <c r="BN8" s="1191"/>
      <c r="BO8" s="1191"/>
      <c r="BP8" s="1191"/>
      <c r="BQ8" s="1191"/>
      <c r="BR8" s="1191"/>
      <c r="BS8" s="1191"/>
      <c r="BT8" s="1191"/>
    </row>
    <row r="9" spans="1:131" ht="16.350000000000001" customHeight="1" x14ac:dyDescent="0.3">
      <c r="B9" s="8893" t="s">
        <v>1502</v>
      </c>
      <c r="C9" s="8893"/>
      <c r="D9" s="8870" t="s">
        <v>807</v>
      </c>
      <c r="E9" s="8871"/>
      <c r="F9" s="8758"/>
      <c r="G9" s="8897" t="s">
        <v>21</v>
      </c>
      <c r="H9" s="8578"/>
      <c r="I9" s="8578"/>
      <c r="J9" s="8578"/>
      <c r="K9" s="8578"/>
      <c r="L9" s="8578"/>
      <c r="M9" s="8578"/>
      <c r="N9" s="8578"/>
      <c r="O9" s="8578"/>
      <c r="P9" s="8578"/>
      <c r="Q9" s="8578"/>
      <c r="R9" s="8578"/>
      <c r="S9" s="8578"/>
      <c r="T9" s="8578"/>
      <c r="U9" s="8578"/>
      <c r="V9" s="8578"/>
      <c r="W9" s="8578"/>
      <c r="X9" s="8578"/>
      <c r="Y9" s="8578"/>
      <c r="Z9" s="8757"/>
      <c r="AZ9" s="1547"/>
      <c r="BA9" s="1547"/>
    </row>
    <row r="10" spans="1:131" ht="16.350000000000001" customHeight="1" x14ac:dyDescent="0.3">
      <c r="B10" s="8893"/>
      <c r="C10" s="8893"/>
      <c r="D10" s="8872"/>
      <c r="E10" s="8896"/>
      <c r="F10" s="8582"/>
      <c r="G10" s="8756" t="s">
        <v>691</v>
      </c>
      <c r="H10" s="8757"/>
      <c r="I10" s="8756" t="s">
        <v>690</v>
      </c>
      <c r="J10" s="8757"/>
      <c r="K10" s="8756" t="s">
        <v>689</v>
      </c>
      <c r="L10" s="8757"/>
      <c r="M10" s="8756" t="s">
        <v>688</v>
      </c>
      <c r="N10" s="8757"/>
      <c r="O10" s="8756" t="s">
        <v>687</v>
      </c>
      <c r="P10" s="8757"/>
      <c r="Q10" s="8756" t="s">
        <v>686</v>
      </c>
      <c r="R10" s="8757"/>
      <c r="S10" s="8756" t="s">
        <v>685</v>
      </c>
      <c r="T10" s="8757"/>
      <c r="U10" s="8756" t="s">
        <v>844</v>
      </c>
      <c r="V10" s="8757"/>
      <c r="W10" s="8756" t="s">
        <v>843</v>
      </c>
      <c r="X10" s="8757"/>
      <c r="Y10" s="8756" t="s">
        <v>1501</v>
      </c>
      <c r="Z10" s="8757"/>
      <c r="AZ10" s="1547"/>
      <c r="BA10" s="1547"/>
    </row>
    <row r="11" spans="1:131" ht="16.350000000000001" customHeight="1" x14ac:dyDescent="0.3">
      <c r="B11" s="8893"/>
      <c r="C11" s="8893"/>
      <c r="D11" s="720" t="s">
        <v>42</v>
      </c>
      <c r="E11" s="884" t="s">
        <v>17</v>
      </c>
      <c r="F11" s="2094" t="s">
        <v>18</v>
      </c>
      <c r="G11" s="2593" t="s">
        <v>17</v>
      </c>
      <c r="H11" s="2485" t="s">
        <v>18</v>
      </c>
      <c r="I11" s="2593" t="s">
        <v>17</v>
      </c>
      <c r="J11" s="2485" t="s">
        <v>18</v>
      </c>
      <c r="K11" s="2593" t="s">
        <v>17</v>
      </c>
      <c r="L11" s="2485" t="s">
        <v>18</v>
      </c>
      <c r="M11" s="2593" t="s">
        <v>17</v>
      </c>
      <c r="N11" s="2485" t="s">
        <v>18</v>
      </c>
      <c r="O11" s="2593" t="s">
        <v>17</v>
      </c>
      <c r="P11" s="2485" t="s">
        <v>18</v>
      </c>
      <c r="Q11" s="2593" t="s">
        <v>17</v>
      </c>
      <c r="R11" s="2485" t="s">
        <v>18</v>
      </c>
      <c r="S11" s="2593" t="s">
        <v>17</v>
      </c>
      <c r="T11" s="2485" t="s">
        <v>18</v>
      </c>
      <c r="U11" s="2593" t="s">
        <v>17</v>
      </c>
      <c r="V11" s="2485" t="s">
        <v>18</v>
      </c>
      <c r="W11" s="2593" t="s">
        <v>17</v>
      </c>
      <c r="X11" s="2485" t="s">
        <v>18</v>
      </c>
      <c r="Y11" s="2593" t="s">
        <v>17</v>
      </c>
      <c r="Z11" s="2485" t="s">
        <v>18</v>
      </c>
      <c r="AZ11" s="1547"/>
      <c r="BA11" s="1547"/>
    </row>
    <row r="12" spans="1:131" ht="16.350000000000001" customHeight="1" x14ac:dyDescent="0.3">
      <c r="A12" s="7263" t="s">
        <v>4071</v>
      </c>
      <c r="B12" s="8893" t="s">
        <v>1500</v>
      </c>
      <c r="C12" s="8893"/>
      <c r="D12" s="722" t="s">
        <v>5369</v>
      </c>
      <c r="E12" s="939" t="s">
        <v>5370</v>
      </c>
      <c r="F12" s="721" t="s">
        <v>5371</v>
      </c>
      <c r="G12" s="2569" t="s">
        <v>5372</v>
      </c>
      <c r="H12" s="2474" t="s">
        <v>5373</v>
      </c>
      <c r="I12" s="2569" t="s">
        <v>5374</v>
      </c>
      <c r="J12" s="2474" t="s">
        <v>5375</v>
      </c>
      <c r="K12" s="2569" t="s">
        <v>5376</v>
      </c>
      <c r="L12" s="2474" t="s">
        <v>5377</v>
      </c>
      <c r="M12" s="2569" t="s">
        <v>5378</v>
      </c>
      <c r="N12" s="2474" t="s">
        <v>5379</v>
      </c>
      <c r="O12" s="2569" t="s">
        <v>5380</v>
      </c>
      <c r="P12" s="2474" t="s">
        <v>5381</v>
      </c>
      <c r="Q12" s="2569" t="s">
        <v>5382</v>
      </c>
      <c r="R12" s="2474" t="s">
        <v>5383</v>
      </c>
      <c r="S12" s="2569" t="s">
        <v>5384</v>
      </c>
      <c r="T12" s="2474" t="s">
        <v>5385</v>
      </c>
      <c r="U12" s="2569" t="s">
        <v>5386</v>
      </c>
      <c r="V12" s="2474" t="s">
        <v>5387</v>
      </c>
      <c r="W12" s="2569" t="s">
        <v>5388</v>
      </c>
      <c r="X12" s="2474" t="s">
        <v>5389</v>
      </c>
      <c r="Y12" s="2569" t="s">
        <v>5390</v>
      </c>
      <c r="Z12" s="2474" t="s">
        <v>5458</v>
      </c>
      <c r="AA12" s="6939"/>
      <c r="AB12" s="1551"/>
      <c r="AC12" s="1551"/>
      <c r="AD12" s="1551"/>
      <c r="AE12" s="1551"/>
      <c r="AF12" s="1551"/>
      <c r="AG12" s="1551"/>
      <c r="AH12" s="1551"/>
      <c r="AI12" s="1551"/>
      <c r="AJ12" s="1551"/>
      <c r="AZ12" s="1547"/>
      <c r="BA12" s="1547"/>
    </row>
    <row r="13" spans="1:131" ht="16.350000000000001" customHeight="1" x14ac:dyDescent="0.3">
      <c r="A13" s="7263" t="s">
        <v>4072</v>
      </c>
      <c r="B13" s="8894" t="s">
        <v>1417</v>
      </c>
      <c r="C13" s="1754" t="s">
        <v>1453</v>
      </c>
      <c r="D13" s="1755" t="s">
        <v>5369</v>
      </c>
      <c r="E13" s="1760" t="s">
        <v>5370</v>
      </c>
      <c r="F13" s="1756" t="s">
        <v>5371</v>
      </c>
      <c r="G13" s="2588" t="s">
        <v>5372</v>
      </c>
      <c r="H13" s="2587" t="s">
        <v>5373</v>
      </c>
      <c r="I13" s="2588" t="s">
        <v>5374</v>
      </c>
      <c r="J13" s="2587" t="s">
        <v>5375</v>
      </c>
      <c r="K13" s="2588" t="s">
        <v>5376</v>
      </c>
      <c r="L13" s="2587" t="s">
        <v>5377</v>
      </c>
      <c r="M13" s="2588" t="s">
        <v>5378</v>
      </c>
      <c r="N13" s="2587" t="s">
        <v>5379</v>
      </c>
      <c r="O13" s="2588" t="s">
        <v>5380</v>
      </c>
      <c r="P13" s="2587" t="s">
        <v>5381</v>
      </c>
      <c r="Q13" s="2588" t="s">
        <v>5382</v>
      </c>
      <c r="R13" s="2587" t="s">
        <v>5383</v>
      </c>
      <c r="S13" s="2588" t="s">
        <v>5384</v>
      </c>
      <c r="T13" s="2587" t="s">
        <v>5385</v>
      </c>
      <c r="U13" s="2588" t="s">
        <v>5386</v>
      </c>
      <c r="V13" s="2587" t="s">
        <v>5387</v>
      </c>
      <c r="W13" s="2588" t="s">
        <v>5388</v>
      </c>
      <c r="X13" s="2587" t="s">
        <v>5389</v>
      </c>
      <c r="Y13" s="2588" t="s">
        <v>5390</v>
      </c>
      <c r="Z13" s="2587" t="s">
        <v>5391</v>
      </c>
      <c r="AA13" s="6939"/>
      <c r="AZ13" s="1547"/>
      <c r="BA13" s="1547"/>
      <c r="CF13" s="1442" t="s">
        <v>5438</v>
      </c>
      <c r="CG13" s="1442" t="s">
        <v>5439</v>
      </c>
      <c r="CH13" s="1442" t="s">
        <v>5440</v>
      </c>
      <c r="CI13" s="1442" t="s">
        <v>5441</v>
      </c>
      <c r="CJ13" s="1442" t="s">
        <v>5442</v>
      </c>
      <c r="CK13" s="1442" t="s">
        <v>5443</v>
      </c>
      <c r="CL13" s="1442" t="s">
        <v>5444</v>
      </c>
      <c r="CM13" s="1442" t="s">
        <v>5445</v>
      </c>
      <c r="CN13" s="1442" t="s">
        <v>5446</v>
      </c>
      <c r="CO13" s="1442" t="s">
        <v>5447</v>
      </c>
      <c r="CP13" s="1442" t="s">
        <v>5448</v>
      </c>
      <c r="CQ13" s="1442" t="s">
        <v>5449</v>
      </c>
      <c r="CR13" s="1442" t="s">
        <v>5450</v>
      </c>
      <c r="CS13" s="1442" t="s">
        <v>5451</v>
      </c>
      <c r="CT13" s="1442" t="s">
        <v>5452</v>
      </c>
      <c r="CU13" s="1442" t="s">
        <v>5453</v>
      </c>
      <c r="CV13" s="1442" t="s">
        <v>5454</v>
      </c>
      <c r="CW13" s="1442" t="s">
        <v>5455</v>
      </c>
      <c r="CX13" s="1442" t="s">
        <v>5456</v>
      </c>
      <c r="CY13" s="1442" t="s">
        <v>5457</v>
      </c>
      <c r="DE13" s="3217">
        <v>0</v>
      </c>
      <c r="DF13" s="3217">
        <v>1</v>
      </c>
      <c r="DG13" s="3217">
        <v>1</v>
      </c>
      <c r="DH13" s="3217">
        <v>1</v>
      </c>
      <c r="DI13" s="3217">
        <v>1</v>
      </c>
      <c r="DJ13" s="3217">
        <v>1</v>
      </c>
      <c r="DK13" s="3217">
        <v>1</v>
      </c>
      <c r="DL13" s="3217">
        <v>1</v>
      </c>
      <c r="DM13" s="3217">
        <v>1</v>
      </c>
      <c r="DN13" s="3217">
        <v>1</v>
      </c>
      <c r="DO13" s="3217">
        <v>1</v>
      </c>
      <c r="DP13" s="3217">
        <v>1</v>
      </c>
      <c r="DQ13" s="3217">
        <v>1</v>
      </c>
      <c r="DR13" s="3217">
        <v>1</v>
      </c>
      <c r="DS13" s="3217">
        <v>1</v>
      </c>
      <c r="DT13" s="3217">
        <v>1</v>
      </c>
      <c r="DU13" s="3217">
        <v>1</v>
      </c>
      <c r="DV13" s="3217">
        <v>1</v>
      </c>
      <c r="DW13" s="3217">
        <v>1</v>
      </c>
      <c r="DX13" s="3217">
        <v>1</v>
      </c>
      <c r="DY13" s="3217">
        <v>1</v>
      </c>
      <c r="DZ13" s="3217">
        <v>0</v>
      </c>
    </row>
    <row r="14" spans="1:131" ht="16.350000000000001" customHeight="1" x14ac:dyDescent="0.3">
      <c r="A14" s="7263" t="s">
        <v>4073</v>
      </c>
      <c r="B14" s="8895"/>
      <c r="C14" s="2142" t="s">
        <v>1499</v>
      </c>
      <c r="D14" s="1757" t="s">
        <v>5369</v>
      </c>
      <c r="E14" s="1759" t="s">
        <v>5370</v>
      </c>
      <c r="F14" s="1758" t="s">
        <v>5371</v>
      </c>
      <c r="G14" s="2594" t="s">
        <v>5372</v>
      </c>
      <c r="H14" s="2595" t="s">
        <v>5373</v>
      </c>
      <c r="I14" s="2465" t="s">
        <v>5374</v>
      </c>
      <c r="J14" s="2479" t="s">
        <v>5375</v>
      </c>
      <c r="K14" s="2465" t="s">
        <v>5376</v>
      </c>
      <c r="L14" s="2479" t="s">
        <v>5377</v>
      </c>
      <c r="M14" s="2594" t="s">
        <v>5378</v>
      </c>
      <c r="N14" s="2595" t="s">
        <v>5379</v>
      </c>
      <c r="O14" s="2594" t="s">
        <v>5380</v>
      </c>
      <c r="P14" s="2595" t="s">
        <v>5381</v>
      </c>
      <c r="Q14" s="2594" t="s">
        <v>5382</v>
      </c>
      <c r="R14" s="2595" t="s">
        <v>5383</v>
      </c>
      <c r="S14" s="2594" t="s">
        <v>5384</v>
      </c>
      <c r="T14" s="2595" t="s">
        <v>5385</v>
      </c>
      <c r="U14" s="2594" t="s">
        <v>5386</v>
      </c>
      <c r="V14" s="2596" t="s">
        <v>5387</v>
      </c>
      <c r="W14" s="2594" t="s">
        <v>5388</v>
      </c>
      <c r="X14" s="2596" t="s">
        <v>5389</v>
      </c>
      <c r="Y14" s="2594" t="s">
        <v>5390</v>
      </c>
      <c r="Z14" s="2595" t="s">
        <v>5391</v>
      </c>
      <c r="AA14" s="6939"/>
      <c r="AZ14" s="1547"/>
      <c r="BA14" s="1547"/>
    </row>
    <row r="15" spans="1:131" ht="31.35" customHeight="1" x14ac:dyDescent="0.3">
      <c r="B15" s="916" t="s">
        <v>1498</v>
      </c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72"/>
      <c r="R15" s="2109"/>
      <c r="S15" s="902"/>
      <c r="T15" s="902"/>
      <c r="U15" s="902"/>
      <c r="V15" s="902"/>
      <c r="W15" s="902"/>
      <c r="X15" s="801"/>
      <c r="Y15" s="801"/>
      <c r="Z15" s="801"/>
      <c r="AA15" s="801"/>
      <c r="AB15" s="801"/>
      <c r="BB15" s="1191"/>
      <c r="BC15" s="1191"/>
      <c r="BD15" s="1191"/>
      <c r="BE15" s="1191"/>
      <c r="BF15" s="1191"/>
      <c r="BG15" s="1191"/>
      <c r="BH15" s="1191"/>
      <c r="BI15" s="1191"/>
      <c r="BJ15" s="1191"/>
      <c r="BK15" s="1191"/>
      <c r="BL15" s="1191"/>
      <c r="BM15" s="1191"/>
      <c r="BN15" s="1191"/>
      <c r="BO15" s="1191"/>
      <c r="BP15" s="1191"/>
      <c r="BQ15" s="1191"/>
      <c r="BR15" s="1191"/>
      <c r="BS15" s="1191"/>
      <c r="BT15" s="1191"/>
    </row>
    <row r="16" spans="1:131" ht="16.350000000000001" customHeight="1" x14ac:dyDescent="0.3">
      <c r="B16" s="8858" t="s">
        <v>41</v>
      </c>
      <c r="C16" s="8858" t="s">
        <v>1407</v>
      </c>
      <c r="D16" s="8870" t="s">
        <v>848</v>
      </c>
      <c r="E16" s="8871"/>
      <c r="F16" s="8758"/>
      <c r="G16" s="8901" t="s">
        <v>2</v>
      </c>
      <c r="H16" s="8902"/>
      <c r="I16" s="8902"/>
      <c r="J16" s="8902"/>
      <c r="K16" s="8902"/>
      <c r="L16" s="8902"/>
      <c r="M16" s="8902"/>
      <c r="N16" s="8902"/>
      <c r="O16" s="8902"/>
      <c r="P16" s="8902"/>
      <c r="Q16" s="8902"/>
      <c r="R16" s="8903"/>
      <c r="S16" s="8758" t="s">
        <v>362</v>
      </c>
      <c r="T16" s="8758" t="s">
        <v>361</v>
      </c>
      <c r="U16" s="801"/>
      <c r="V16" s="801"/>
      <c r="W16" s="801"/>
      <c r="X16" s="801"/>
      <c r="Y16" s="801"/>
      <c r="Z16" s="801"/>
      <c r="AA16" s="801"/>
      <c r="AB16" s="801"/>
    </row>
    <row r="17" spans="1:115" ht="16.350000000000001" customHeight="1" x14ac:dyDescent="0.3">
      <c r="B17" s="8705"/>
      <c r="C17" s="8705"/>
      <c r="D17" s="8872"/>
      <c r="E17" s="8873"/>
      <c r="F17" s="8759"/>
      <c r="G17" s="8882" t="s">
        <v>845</v>
      </c>
      <c r="H17" s="8883"/>
      <c r="I17" s="8882" t="s">
        <v>1377</v>
      </c>
      <c r="J17" s="8883"/>
      <c r="K17" s="8882" t="s">
        <v>843</v>
      </c>
      <c r="L17" s="8883"/>
      <c r="M17" s="8882" t="s">
        <v>842</v>
      </c>
      <c r="N17" s="8883"/>
      <c r="O17" s="8882" t="s">
        <v>841</v>
      </c>
      <c r="P17" s="8883"/>
      <c r="Q17" s="8882" t="s">
        <v>840</v>
      </c>
      <c r="R17" s="8904"/>
      <c r="S17" s="8622"/>
      <c r="T17" s="8622"/>
      <c r="U17" s="801"/>
      <c r="V17" s="801"/>
      <c r="W17" s="801"/>
      <c r="X17" s="801"/>
      <c r="Y17" s="801"/>
      <c r="Z17" s="801"/>
      <c r="AA17" s="801"/>
      <c r="AB17" s="801"/>
    </row>
    <row r="18" spans="1:115" ht="16.350000000000001" customHeight="1" x14ac:dyDescent="0.3">
      <c r="B18" s="8859"/>
      <c r="C18" s="8859"/>
      <c r="D18" s="885" t="s">
        <v>42</v>
      </c>
      <c r="E18" s="914" t="s">
        <v>17</v>
      </c>
      <c r="F18" s="2094" t="s">
        <v>18</v>
      </c>
      <c r="G18" s="1683" t="s">
        <v>17</v>
      </c>
      <c r="H18" s="2094" t="s">
        <v>18</v>
      </c>
      <c r="I18" s="1683" t="s">
        <v>17</v>
      </c>
      <c r="J18" s="2094" t="s">
        <v>18</v>
      </c>
      <c r="K18" s="1683" t="s">
        <v>17</v>
      </c>
      <c r="L18" s="2094" t="s">
        <v>18</v>
      </c>
      <c r="M18" s="1683" t="s">
        <v>17</v>
      </c>
      <c r="N18" s="2094" t="s">
        <v>18</v>
      </c>
      <c r="O18" s="1683" t="s">
        <v>17</v>
      </c>
      <c r="P18" s="2094" t="s">
        <v>18</v>
      </c>
      <c r="Q18" s="1683" t="s">
        <v>17</v>
      </c>
      <c r="R18" s="2108" t="s">
        <v>18</v>
      </c>
      <c r="S18" s="8759"/>
      <c r="T18" s="8759"/>
      <c r="U18" s="801"/>
      <c r="V18" s="801"/>
      <c r="W18" s="288"/>
      <c r="X18" s="288"/>
      <c r="Y18" s="288"/>
      <c r="Z18" s="288"/>
      <c r="AA18" s="288"/>
      <c r="AB18" s="801"/>
    </row>
    <row r="19" spans="1:115" ht="16.350000000000001" customHeight="1" x14ac:dyDescent="0.3">
      <c r="A19" s="7258" t="s">
        <v>4074</v>
      </c>
      <c r="B19" s="8882" t="s">
        <v>1497</v>
      </c>
      <c r="C19" s="8883"/>
      <c r="D19" s="930" t="s">
        <v>5369</v>
      </c>
      <c r="E19" s="929" t="s">
        <v>5370</v>
      </c>
      <c r="F19" s="723" t="s">
        <v>5371</v>
      </c>
      <c r="G19" s="711" t="s">
        <v>5372</v>
      </c>
      <c r="H19" s="709" t="s">
        <v>5373</v>
      </c>
      <c r="I19" s="711" t="s">
        <v>5374</v>
      </c>
      <c r="J19" s="709" t="s">
        <v>5375</v>
      </c>
      <c r="K19" s="709" t="s">
        <v>5376</v>
      </c>
      <c r="L19" s="709" t="s">
        <v>5377</v>
      </c>
      <c r="M19" s="709" t="s">
        <v>5378</v>
      </c>
      <c r="N19" s="709" t="s">
        <v>5379</v>
      </c>
      <c r="O19" s="709" t="s">
        <v>5380</v>
      </c>
      <c r="P19" s="709" t="s">
        <v>5381</v>
      </c>
      <c r="Q19" s="709" t="s">
        <v>5382</v>
      </c>
      <c r="R19" s="709" t="s">
        <v>5383</v>
      </c>
      <c r="S19" s="710" t="s">
        <v>5384</v>
      </c>
      <c r="T19" s="710" t="s">
        <v>5385</v>
      </c>
      <c r="U19" s="6939"/>
      <c r="V19" s="1551"/>
      <c r="W19" s="1551"/>
      <c r="X19" s="1551"/>
      <c r="Y19" s="1551"/>
      <c r="Z19" s="1551"/>
      <c r="AA19" s="1551"/>
      <c r="AB19" s="1551"/>
      <c r="AC19" s="1551"/>
      <c r="AD19" s="1551"/>
      <c r="CH19" s="1442" t="s">
        <v>3950</v>
      </c>
      <c r="CJ19" s="1442" t="s">
        <v>3951</v>
      </c>
      <c r="CL19" s="1442">
        <v>0</v>
      </c>
      <c r="CM19" s="1442">
        <v>0</v>
      </c>
      <c r="CN19" s="1442">
        <v>0</v>
      </c>
      <c r="CO19" s="1442">
        <v>0</v>
      </c>
      <c r="DB19" s="3217">
        <v>0</v>
      </c>
      <c r="DC19" s="3217">
        <v>0</v>
      </c>
      <c r="DD19" s="3217">
        <v>0</v>
      </c>
      <c r="DE19" s="3217">
        <v>0</v>
      </c>
      <c r="DF19" s="3217">
        <v>0</v>
      </c>
      <c r="DG19" s="3217">
        <v>0</v>
      </c>
      <c r="DI19" s="3217">
        <v>0</v>
      </c>
      <c r="DK19" s="3217">
        <v>0</v>
      </c>
    </row>
    <row r="20" spans="1:115" ht="16.350000000000001" customHeight="1" x14ac:dyDescent="0.3">
      <c r="A20" s="7258" t="s">
        <v>4075</v>
      </c>
      <c r="B20" s="8858" t="s">
        <v>1496</v>
      </c>
      <c r="C20" s="1102" t="s">
        <v>1453</v>
      </c>
      <c r="D20" s="938" t="s">
        <v>5369</v>
      </c>
      <c r="E20" s="690" t="s">
        <v>5370</v>
      </c>
      <c r="F20" s="553" t="s">
        <v>5371</v>
      </c>
      <c r="G20" s="910" t="s">
        <v>5372</v>
      </c>
      <c r="H20" s="130" t="s">
        <v>5373</v>
      </c>
      <c r="I20" s="910" t="s">
        <v>5374</v>
      </c>
      <c r="J20" s="130" t="s">
        <v>5375</v>
      </c>
      <c r="K20" s="910" t="s">
        <v>5376</v>
      </c>
      <c r="L20" s="130" t="s">
        <v>5377</v>
      </c>
      <c r="M20" s="910" t="s">
        <v>5378</v>
      </c>
      <c r="N20" s="130" t="s">
        <v>5379</v>
      </c>
      <c r="O20" s="917" t="s">
        <v>5380</v>
      </c>
      <c r="P20" s="130" t="s">
        <v>5381</v>
      </c>
      <c r="Q20" s="917" t="s">
        <v>5382</v>
      </c>
      <c r="R20" s="196" t="s">
        <v>5383</v>
      </c>
      <c r="S20" s="918" t="s">
        <v>5384</v>
      </c>
      <c r="T20" s="918" t="s">
        <v>5385</v>
      </c>
      <c r="U20" s="6939"/>
      <c r="V20" s="801"/>
      <c r="W20" s="288"/>
      <c r="X20" s="288"/>
      <c r="Y20" s="288"/>
      <c r="Z20" s="288"/>
      <c r="AA20" s="288"/>
      <c r="AB20" s="801"/>
    </row>
    <row r="21" spans="1:115" ht="16.350000000000001" customHeight="1" x14ac:dyDescent="0.3">
      <c r="A21" s="7258" t="s">
        <v>4076</v>
      </c>
      <c r="B21" s="8705"/>
      <c r="C21" s="2100" t="s">
        <v>834</v>
      </c>
      <c r="D21" s="906" t="s">
        <v>5369</v>
      </c>
      <c r="E21" s="269" t="s">
        <v>5370</v>
      </c>
      <c r="F21" s="919" t="s">
        <v>5371</v>
      </c>
      <c r="G21" s="110" t="s">
        <v>5372</v>
      </c>
      <c r="H21" s="122" t="s">
        <v>5373</v>
      </c>
      <c r="I21" s="910" t="s">
        <v>5374</v>
      </c>
      <c r="J21" s="130" t="s">
        <v>5375</v>
      </c>
      <c r="K21" s="110" t="s">
        <v>5376</v>
      </c>
      <c r="L21" s="122" t="s">
        <v>5377</v>
      </c>
      <c r="M21" s="110" t="s">
        <v>5378</v>
      </c>
      <c r="N21" s="122" t="s">
        <v>5379</v>
      </c>
      <c r="O21" s="157" t="s">
        <v>5380</v>
      </c>
      <c r="P21" s="122" t="s">
        <v>5381</v>
      </c>
      <c r="Q21" s="157" t="s">
        <v>5382</v>
      </c>
      <c r="R21" s="197" t="s">
        <v>5383</v>
      </c>
      <c r="S21" s="144" t="s">
        <v>5384</v>
      </c>
      <c r="T21" s="144" t="s">
        <v>5385</v>
      </c>
      <c r="U21" s="6939"/>
      <c r="V21" s="801"/>
      <c r="W21" s="288"/>
      <c r="X21" s="288"/>
      <c r="Y21" s="288"/>
      <c r="Z21" s="288"/>
      <c r="AA21" s="288"/>
      <c r="AB21" s="801"/>
    </row>
    <row r="22" spans="1:115" ht="16.350000000000001" customHeight="1" x14ac:dyDescent="0.3">
      <c r="A22" s="7258" t="s">
        <v>4077</v>
      </c>
      <c r="B22" s="8705"/>
      <c r="C22" s="2071" t="s">
        <v>651</v>
      </c>
      <c r="D22" s="251" t="s">
        <v>5369</v>
      </c>
      <c r="E22" s="619" t="s">
        <v>5370</v>
      </c>
      <c r="F22" s="158" t="s">
        <v>5371</v>
      </c>
      <c r="G22" s="110" t="s">
        <v>5372</v>
      </c>
      <c r="H22" s="122" t="s">
        <v>5373</v>
      </c>
      <c r="I22" s="910" t="s">
        <v>5374</v>
      </c>
      <c r="J22" s="130" t="s">
        <v>5375</v>
      </c>
      <c r="K22" s="110" t="s">
        <v>5376</v>
      </c>
      <c r="L22" s="122" t="s">
        <v>5377</v>
      </c>
      <c r="M22" s="110" t="s">
        <v>5378</v>
      </c>
      <c r="N22" s="122" t="s">
        <v>5379</v>
      </c>
      <c r="O22" s="157" t="s">
        <v>5380</v>
      </c>
      <c r="P22" s="122" t="s">
        <v>5381</v>
      </c>
      <c r="Q22" s="157" t="s">
        <v>5382</v>
      </c>
      <c r="R22" s="197" t="s">
        <v>5383</v>
      </c>
      <c r="S22" s="144" t="s">
        <v>5384</v>
      </c>
      <c r="T22" s="144" t="s">
        <v>5385</v>
      </c>
      <c r="U22" s="6939"/>
      <c r="V22" s="801"/>
      <c r="W22" s="288"/>
      <c r="X22" s="288"/>
      <c r="Y22" s="288"/>
      <c r="Z22" s="288"/>
      <c r="AA22" s="288"/>
      <c r="AB22" s="801"/>
    </row>
    <row r="23" spans="1:115" ht="16.350000000000001" customHeight="1" x14ac:dyDescent="0.3">
      <c r="A23" s="7258" t="s">
        <v>4078</v>
      </c>
      <c r="B23" s="8859"/>
      <c r="C23" s="1328" t="s">
        <v>833</v>
      </c>
      <c r="D23" s="551" t="s">
        <v>5369</v>
      </c>
      <c r="E23" s="550" t="s">
        <v>5370</v>
      </c>
      <c r="F23" s="152" t="s">
        <v>5371</v>
      </c>
      <c r="G23" s="125" t="s">
        <v>5372</v>
      </c>
      <c r="H23" s="101" t="s">
        <v>5373</v>
      </c>
      <c r="I23" s="3158" t="s">
        <v>5374</v>
      </c>
      <c r="J23" s="3046" t="s">
        <v>5375</v>
      </c>
      <c r="K23" s="125" t="s">
        <v>5376</v>
      </c>
      <c r="L23" s="101" t="s">
        <v>5377</v>
      </c>
      <c r="M23" s="125" t="s">
        <v>5378</v>
      </c>
      <c r="N23" s="101" t="s">
        <v>5379</v>
      </c>
      <c r="O23" s="159" t="s">
        <v>5380</v>
      </c>
      <c r="P23" s="101" t="s">
        <v>5381</v>
      </c>
      <c r="Q23" s="159" t="s">
        <v>5382</v>
      </c>
      <c r="R23" s="198" t="s">
        <v>5383</v>
      </c>
      <c r="S23" s="127" t="s">
        <v>5384</v>
      </c>
      <c r="T23" s="127" t="s">
        <v>5385</v>
      </c>
      <c r="U23" s="6939"/>
      <c r="V23" s="801"/>
      <c r="W23" s="801"/>
      <c r="X23" s="801"/>
      <c r="Y23" s="288"/>
      <c r="Z23" s="288"/>
      <c r="AA23" s="288"/>
      <c r="AB23" s="288"/>
    </row>
    <row r="24" spans="1:115" ht="16.350000000000001" customHeight="1" x14ac:dyDescent="0.3">
      <c r="A24" s="7258" t="s">
        <v>4079</v>
      </c>
      <c r="B24" s="8858" t="s">
        <v>1495</v>
      </c>
      <c r="C24" s="1102" t="s">
        <v>1494</v>
      </c>
      <c r="D24" s="938" t="s">
        <v>5369</v>
      </c>
      <c r="E24" s="690" t="s">
        <v>5370</v>
      </c>
      <c r="F24" s="553" t="s">
        <v>5371</v>
      </c>
      <c r="G24" s="695" t="s">
        <v>5372</v>
      </c>
      <c r="H24" s="702" t="s">
        <v>5373</v>
      </c>
      <c r="I24" s="910" t="s">
        <v>5374</v>
      </c>
      <c r="J24" s="130" t="s">
        <v>5375</v>
      </c>
      <c r="K24" s="695" t="s">
        <v>5376</v>
      </c>
      <c r="L24" s="702" t="s">
        <v>5377</v>
      </c>
      <c r="M24" s="695" t="s">
        <v>5378</v>
      </c>
      <c r="N24" s="702" t="s">
        <v>5379</v>
      </c>
      <c r="O24" s="701" t="s">
        <v>5380</v>
      </c>
      <c r="P24" s="702" t="s">
        <v>5381</v>
      </c>
      <c r="Q24" s="701" t="s">
        <v>5382</v>
      </c>
      <c r="R24" s="700" t="s">
        <v>5383</v>
      </c>
      <c r="S24" s="545" t="s">
        <v>5384</v>
      </c>
      <c r="T24" s="545" t="s">
        <v>5385</v>
      </c>
      <c r="U24" s="6939"/>
      <c r="V24" s="801"/>
      <c r="W24" s="801"/>
      <c r="X24" s="801"/>
      <c r="Y24" s="288"/>
      <c r="Z24" s="288"/>
      <c r="AA24" s="288"/>
      <c r="AB24" s="288"/>
    </row>
    <row r="25" spans="1:115" ht="16.350000000000001" customHeight="1" x14ac:dyDescent="0.3">
      <c r="A25" s="7258" t="s">
        <v>4080</v>
      </c>
      <c r="B25" s="8705"/>
      <c r="C25" s="1553" t="s">
        <v>1493</v>
      </c>
      <c r="D25" s="906" t="s">
        <v>5369</v>
      </c>
      <c r="E25" s="269" t="s">
        <v>5370</v>
      </c>
      <c r="F25" s="919" t="s">
        <v>5371</v>
      </c>
      <c r="G25" s="910" t="s">
        <v>5372</v>
      </c>
      <c r="H25" s="130" t="s">
        <v>5373</v>
      </c>
      <c r="I25" s="910" t="s">
        <v>5374</v>
      </c>
      <c r="J25" s="130" t="s">
        <v>5375</v>
      </c>
      <c r="K25" s="910" t="s">
        <v>5376</v>
      </c>
      <c r="L25" s="130" t="s">
        <v>5377</v>
      </c>
      <c r="M25" s="910" t="s">
        <v>5378</v>
      </c>
      <c r="N25" s="130" t="s">
        <v>5379</v>
      </c>
      <c r="O25" s="917" t="s">
        <v>5380</v>
      </c>
      <c r="P25" s="130" t="s">
        <v>5381</v>
      </c>
      <c r="Q25" s="917" t="s">
        <v>5382</v>
      </c>
      <c r="R25" s="196" t="s">
        <v>5383</v>
      </c>
      <c r="S25" s="918" t="s">
        <v>5384</v>
      </c>
      <c r="T25" s="918" t="s">
        <v>5385</v>
      </c>
      <c r="U25" s="6939"/>
      <c r="V25" s="801"/>
      <c r="W25" s="801"/>
      <c r="X25" s="801"/>
      <c r="Y25" s="288"/>
      <c r="Z25" s="288"/>
      <c r="AA25" s="288"/>
      <c r="AB25" s="288"/>
    </row>
    <row r="26" spans="1:115" ht="16.350000000000001" customHeight="1" x14ac:dyDescent="0.3">
      <c r="A26" s="7258" t="s">
        <v>4081</v>
      </c>
      <c r="B26" s="8705"/>
      <c r="C26" s="1553" t="s">
        <v>1492</v>
      </c>
      <c r="D26" s="906" t="s">
        <v>5369</v>
      </c>
      <c r="E26" s="269" t="s">
        <v>5370</v>
      </c>
      <c r="F26" s="919" t="s">
        <v>5371</v>
      </c>
      <c r="G26" s="910" t="s">
        <v>5372</v>
      </c>
      <c r="H26" s="130" t="s">
        <v>5373</v>
      </c>
      <c r="I26" s="910" t="s">
        <v>5374</v>
      </c>
      <c r="J26" s="130" t="s">
        <v>5375</v>
      </c>
      <c r="K26" s="910" t="s">
        <v>5376</v>
      </c>
      <c r="L26" s="130" t="s">
        <v>5377</v>
      </c>
      <c r="M26" s="910" t="s">
        <v>5378</v>
      </c>
      <c r="N26" s="130" t="s">
        <v>5379</v>
      </c>
      <c r="O26" s="917" t="s">
        <v>5380</v>
      </c>
      <c r="P26" s="130" t="s">
        <v>5381</v>
      </c>
      <c r="Q26" s="917" t="s">
        <v>5382</v>
      </c>
      <c r="R26" s="196" t="s">
        <v>5383</v>
      </c>
      <c r="S26" s="918" t="s">
        <v>5384</v>
      </c>
      <c r="T26" s="918" t="s">
        <v>5385</v>
      </c>
      <c r="U26" s="6939"/>
      <c r="V26" s="1191"/>
      <c r="W26" s="801"/>
      <c r="X26" s="801"/>
      <c r="Y26" s="288"/>
      <c r="Z26" s="288"/>
      <c r="AA26" s="288"/>
      <c r="AB26" s="288"/>
    </row>
    <row r="27" spans="1:115" ht="27" customHeight="1" x14ac:dyDescent="0.3">
      <c r="A27" s="7258" t="s">
        <v>4082</v>
      </c>
      <c r="B27" s="8705"/>
      <c r="C27" s="1554" t="s">
        <v>1491</v>
      </c>
      <c r="D27" s="935" t="s">
        <v>5369</v>
      </c>
      <c r="E27" s="937" t="s">
        <v>5370</v>
      </c>
      <c r="F27" s="936" t="s">
        <v>5371</v>
      </c>
      <c r="G27" s="910" t="s">
        <v>5372</v>
      </c>
      <c r="H27" s="130" t="s">
        <v>5373</v>
      </c>
      <c r="I27" s="910" t="s">
        <v>5374</v>
      </c>
      <c r="J27" s="130" t="s">
        <v>5375</v>
      </c>
      <c r="K27" s="910" t="s">
        <v>5376</v>
      </c>
      <c r="L27" s="130" t="s">
        <v>5377</v>
      </c>
      <c r="M27" s="910" t="s">
        <v>5378</v>
      </c>
      <c r="N27" s="130" t="s">
        <v>5379</v>
      </c>
      <c r="O27" s="917" t="s">
        <v>5380</v>
      </c>
      <c r="P27" s="130" t="s">
        <v>5381</v>
      </c>
      <c r="Q27" s="917" t="s">
        <v>5382</v>
      </c>
      <c r="R27" s="196" t="s">
        <v>5383</v>
      </c>
      <c r="S27" s="918" t="s">
        <v>5384</v>
      </c>
      <c r="T27" s="918" t="s">
        <v>5385</v>
      </c>
      <c r="U27" s="6939"/>
      <c r="V27" s="1191"/>
      <c r="W27" s="801"/>
      <c r="X27" s="801"/>
      <c r="Y27" s="288"/>
      <c r="Z27" s="288"/>
      <c r="AA27" s="288"/>
      <c r="AB27" s="288"/>
    </row>
    <row r="28" spans="1:115" ht="24" customHeight="1" x14ac:dyDescent="0.3">
      <c r="A28" s="7258" t="s">
        <v>4083</v>
      </c>
      <c r="B28" s="8705"/>
      <c r="C28" s="1554" t="s">
        <v>1490</v>
      </c>
      <c r="D28" s="935" t="s">
        <v>5369</v>
      </c>
      <c r="E28" s="937" t="s">
        <v>5370</v>
      </c>
      <c r="F28" s="936" t="s">
        <v>5371</v>
      </c>
      <c r="G28" s="910" t="s">
        <v>5372</v>
      </c>
      <c r="H28" s="130" t="s">
        <v>5373</v>
      </c>
      <c r="I28" s="910" t="s">
        <v>5374</v>
      </c>
      <c r="J28" s="130" t="s">
        <v>5375</v>
      </c>
      <c r="K28" s="910" t="s">
        <v>5376</v>
      </c>
      <c r="L28" s="130" t="s">
        <v>5377</v>
      </c>
      <c r="M28" s="910" t="s">
        <v>5378</v>
      </c>
      <c r="N28" s="130" t="s">
        <v>5379</v>
      </c>
      <c r="O28" s="917" t="s">
        <v>5380</v>
      </c>
      <c r="P28" s="130" t="s">
        <v>5381</v>
      </c>
      <c r="Q28" s="917" t="s">
        <v>5382</v>
      </c>
      <c r="R28" s="196" t="s">
        <v>5383</v>
      </c>
      <c r="S28" s="918" t="s">
        <v>5384</v>
      </c>
      <c r="T28" s="918" t="s">
        <v>5385</v>
      </c>
      <c r="U28" s="6939"/>
      <c r="V28" s="1191"/>
      <c r="W28" s="801"/>
      <c r="X28" s="801"/>
      <c r="Y28" s="288"/>
      <c r="Z28" s="288"/>
      <c r="AA28" s="288"/>
      <c r="AB28" s="288"/>
    </row>
    <row r="29" spans="1:115" ht="16.350000000000001" customHeight="1" x14ac:dyDescent="0.3">
      <c r="A29" s="7258" t="s">
        <v>4084</v>
      </c>
      <c r="B29" s="8705"/>
      <c r="C29" s="1554" t="s">
        <v>1489</v>
      </c>
      <c r="D29" s="935" t="s">
        <v>5369</v>
      </c>
      <c r="E29" s="937" t="s">
        <v>5370</v>
      </c>
      <c r="F29" s="936" t="s">
        <v>5371</v>
      </c>
      <c r="G29" s="910" t="s">
        <v>5372</v>
      </c>
      <c r="H29" s="130" t="s">
        <v>5373</v>
      </c>
      <c r="I29" s="910" t="s">
        <v>5374</v>
      </c>
      <c r="J29" s="130" t="s">
        <v>5375</v>
      </c>
      <c r="K29" s="910" t="s">
        <v>5376</v>
      </c>
      <c r="L29" s="130" t="s">
        <v>5377</v>
      </c>
      <c r="M29" s="910" t="s">
        <v>5378</v>
      </c>
      <c r="N29" s="130" t="s">
        <v>5379</v>
      </c>
      <c r="O29" s="917" t="s">
        <v>5380</v>
      </c>
      <c r="P29" s="130" t="s">
        <v>5381</v>
      </c>
      <c r="Q29" s="917" t="s">
        <v>5382</v>
      </c>
      <c r="R29" s="196" t="s">
        <v>5383</v>
      </c>
      <c r="S29" s="918" t="s">
        <v>5384</v>
      </c>
      <c r="T29" s="918" t="s">
        <v>5385</v>
      </c>
      <c r="U29" s="6939"/>
      <c r="V29" s="1191"/>
      <c r="W29" s="801"/>
      <c r="X29" s="801"/>
      <c r="Y29" s="288"/>
      <c r="Z29" s="288"/>
      <c r="AA29" s="288"/>
      <c r="AB29" s="288"/>
    </row>
    <row r="30" spans="1:115" ht="30.75" customHeight="1" x14ac:dyDescent="0.3">
      <c r="A30" s="7258" t="s">
        <v>4085</v>
      </c>
      <c r="B30" s="8705"/>
      <c r="C30" s="1554" t="s">
        <v>2104</v>
      </c>
      <c r="D30" s="935" t="s">
        <v>5369</v>
      </c>
      <c r="E30" s="269" t="s">
        <v>5370</v>
      </c>
      <c r="F30" s="919" t="s">
        <v>5371</v>
      </c>
      <c r="G30" s="910" t="s">
        <v>5372</v>
      </c>
      <c r="H30" s="130" t="s">
        <v>5373</v>
      </c>
      <c r="I30" s="910" t="s">
        <v>5374</v>
      </c>
      <c r="J30" s="130" t="s">
        <v>5375</v>
      </c>
      <c r="K30" s="910" t="s">
        <v>5376</v>
      </c>
      <c r="L30" s="130" t="s">
        <v>5377</v>
      </c>
      <c r="M30" s="910" t="s">
        <v>5378</v>
      </c>
      <c r="N30" s="130" t="s">
        <v>5379</v>
      </c>
      <c r="O30" s="917" t="s">
        <v>5380</v>
      </c>
      <c r="P30" s="130" t="s">
        <v>5381</v>
      </c>
      <c r="Q30" s="917" t="s">
        <v>5382</v>
      </c>
      <c r="R30" s="196" t="s">
        <v>5383</v>
      </c>
      <c r="S30" s="918" t="s">
        <v>5384</v>
      </c>
      <c r="T30" s="918" t="s">
        <v>5385</v>
      </c>
      <c r="U30" s="6939"/>
      <c r="V30" s="1191"/>
      <c r="W30" s="801"/>
      <c r="X30" s="801"/>
      <c r="Y30" s="288"/>
      <c r="Z30" s="288"/>
      <c r="AA30" s="288"/>
      <c r="AB30" s="288"/>
    </row>
    <row r="31" spans="1:115" ht="16.350000000000001" customHeight="1" x14ac:dyDescent="0.3">
      <c r="A31" s="7258" t="s">
        <v>4086</v>
      </c>
      <c r="B31" s="8705"/>
      <c r="C31" s="1554" t="s">
        <v>2105</v>
      </c>
      <c r="D31" s="906" t="s">
        <v>5369</v>
      </c>
      <c r="E31" s="269" t="s">
        <v>5370</v>
      </c>
      <c r="F31" s="919" t="s">
        <v>5371</v>
      </c>
      <c r="G31" s="110" t="s">
        <v>5372</v>
      </c>
      <c r="H31" s="122" t="s">
        <v>5373</v>
      </c>
      <c r="I31" s="110" t="s">
        <v>5374</v>
      </c>
      <c r="J31" s="122" t="s">
        <v>5375</v>
      </c>
      <c r="K31" s="110" t="s">
        <v>5376</v>
      </c>
      <c r="L31" s="122" t="s">
        <v>5377</v>
      </c>
      <c r="M31" s="110" t="s">
        <v>5378</v>
      </c>
      <c r="N31" s="122" t="s">
        <v>5379</v>
      </c>
      <c r="O31" s="157" t="s">
        <v>5380</v>
      </c>
      <c r="P31" s="122" t="s">
        <v>5381</v>
      </c>
      <c r="Q31" s="157" t="s">
        <v>5382</v>
      </c>
      <c r="R31" s="197" t="s">
        <v>5383</v>
      </c>
      <c r="S31" s="144" t="s">
        <v>5384</v>
      </c>
      <c r="T31" s="144" t="s">
        <v>5385</v>
      </c>
      <c r="U31" s="6939"/>
      <c r="V31" s="1191"/>
      <c r="W31" s="801"/>
      <c r="X31" s="801"/>
      <c r="Y31" s="288"/>
      <c r="Z31" s="288"/>
      <c r="AA31" s="288"/>
      <c r="AB31" s="288"/>
    </row>
    <row r="32" spans="1:115" ht="16.350000000000001" customHeight="1" x14ac:dyDescent="0.3">
      <c r="A32" s="7258" t="s">
        <v>4087</v>
      </c>
      <c r="B32" s="8705"/>
      <c r="C32" s="4" t="s">
        <v>2202</v>
      </c>
      <c r="D32" s="1649" t="s">
        <v>5369</v>
      </c>
      <c r="E32" s="1650" t="s">
        <v>5370</v>
      </c>
      <c r="F32" s="1651" t="s">
        <v>5371</v>
      </c>
      <c r="G32" s="1627" t="s">
        <v>5372</v>
      </c>
      <c r="H32" s="1625" t="s">
        <v>5373</v>
      </c>
      <c r="I32" s="1627" t="s">
        <v>5374</v>
      </c>
      <c r="J32" s="1625" t="s">
        <v>5375</v>
      </c>
      <c r="K32" s="1627" t="s">
        <v>5376</v>
      </c>
      <c r="L32" s="1625" t="s">
        <v>5377</v>
      </c>
      <c r="M32" s="1627" t="s">
        <v>5378</v>
      </c>
      <c r="N32" s="1625" t="s">
        <v>5379</v>
      </c>
      <c r="O32" s="1648" t="s">
        <v>5380</v>
      </c>
      <c r="P32" s="1625" t="s">
        <v>5381</v>
      </c>
      <c r="Q32" s="1648" t="s">
        <v>5382</v>
      </c>
      <c r="R32" s="1628" t="s">
        <v>5383</v>
      </c>
      <c r="S32" s="164" t="s">
        <v>5384</v>
      </c>
      <c r="T32" s="164" t="s">
        <v>5385</v>
      </c>
      <c r="U32" s="6939"/>
      <c r="V32" s="1191"/>
      <c r="W32" s="801"/>
      <c r="X32" s="801"/>
      <c r="Y32" s="288"/>
      <c r="Z32" s="288"/>
      <c r="AA32" s="288"/>
      <c r="AB32" s="288"/>
    </row>
    <row r="33" spans="1:106" ht="16.350000000000001" customHeight="1" x14ac:dyDescent="0.3">
      <c r="A33" s="7258" t="s">
        <v>4088</v>
      </c>
      <c r="B33" s="8705"/>
      <c r="C33" s="2099" t="s">
        <v>2106</v>
      </c>
      <c r="D33" s="1649" t="s">
        <v>5369</v>
      </c>
      <c r="E33" s="1650" t="s">
        <v>5370</v>
      </c>
      <c r="F33" s="1651" t="s">
        <v>5371</v>
      </c>
      <c r="G33" s="1627" t="s">
        <v>5372</v>
      </c>
      <c r="H33" s="1625" t="s">
        <v>5373</v>
      </c>
      <c r="I33" s="1627" t="s">
        <v>5374</v>
      </c>
      <c r="J33" s="1625" t="s">
        <v>5375</v>
      </c>
      <c r="K33" s="1627" t="s">
        <v>5376</v>
      </c>
      <c r="L33" s="1625" t="s">
        <v>5377</v>
      </c>
      <c r="M33" s="1627" t="s">
        <v>5378</v>
      </c>
      <c r="N33" s="1625" t="s">
        <v>5379</v>
      </c>
      <c r="O33" s="1648" t="s">
        <v>5380</v>
      </c>
      <c r="P33" s="1625" t="s">
        <v>5381</v>
      </c>
      <c r="Q33" s="1648" t="s">
        <v>5382</v>
      </c>
      <c r="R33" s="1628" t="s">
        <v>5383</v>
      </c>
      <c r="S33" s="164" t="s">
        <v>5384</v>
      </c>
      <c r="T33" s="164" t="s">
        <v>5385</v>
      </c>
      <c r="U33" s="6939"/>
      <c r="V33" s="1191"/>
      <c r="W33" s="801"/>
      <c r="X33" s="801"/>
      <c r="Y33" s="288"/>
      <c r="Z33" s="288"/>
      <c r="AA33" s="288"/>
      <c r="AB33" s="288"/>
    </row>
    <row r="34" spans="1:106" ht="16.350000000000001" customHeight="1" x14ac:dyDescent="0.3">
      <c r="A34" s="7258" t="s">
        <v>4089</v>
      </c>
      <c r="B34" s="8705"/>
      <c r="C34" s="2175" t="s">
        <v>2203</v>
      </c>
      <c r="D34" s="908" t="s">
        <v>5369</v>
      </c>
      <c r="E34" s="911" t="s">
        <v>5370</v>
      </c>
      <c r="F34" s="1233" t="s">
        <v>5371</v>
      </c>
      <c r="G34" s="1627" t="s">
        <v>5372</v>
      </c>
      <c r="H34" s="1625" t="s">
        <v>5373</v>
      </c>
      <c r="I34" s="1627" t="s">
        <v>5374</v>
      </c>
      <c r="J34" s="1625" t="s">
        <v>5375</v>
      </c>
      <c r="K34" s="1627" t="s">
        <v>5376</v>
      </c>
      <c r="L34" s="1625" t="s">
        <v>5377</v>
      </c>
      <c r="M34" s="1627" t="s">
        <v>5378</v>
      </c>
      <c r="N34" s="1625" t="s">
        <v>5379</v>
      </c>
      <c r="O34" s="1648" t="s">
        <v>5380</v>
      </c>
      <c r="P34" s="1625" t="s">
        <v>5381</v>
      </c>
      <c r="Q34" s="1648" t="s">
        <v>5382</v>
      </c>
      <c r="R34" s="1628" t="s">
        <v>5383</v>
      </c>
      <c r="S34" s="164" t="s">
        <v>5384</v>
      </c>
      <c r="T34" s="164" t="s">
        <v>5385</v>
      </c>
      <c r="U34" s="6939"/>
      <c r="V34" s="1191"/>
      <c r="W34" s="801"/>
      <c r="X34" s="801"/>
      <c r="Y34" s="288"/>
      <c r="Z34" s="288"/>
      <c r="AA34" s="288"/>
      <c r="AB34" s="288"/>
    </row>
    <row r="35" spans="1:106" ht="16.350000000000001" customHeight="1" thickBot="1" x14ac:dyDescent="0.35">
      <c r="A35" s="7258" t="s">
        <v>4090</v>
      </c>
      <c r="B35" s="8705"/>
      <c r="C35" s="4" t="s">
        <v>2204</v>
      </c>
      <c r="D35" s="643" t="s">
        <v>5369</v>
      </c>
      <c r="E35" s="683" t="s">
        <v>5370</v>
      </c>
      <c r="F35" s="160" t="s">
        <v>5371</v>
      </c>
      <c r="G35" s="137" t="s">
        <v>5372</v>
      </c>
      <c r="H35" s="138" t="s">
        <v>5373</v>
      </c>
      <c r="I35" s="137" t="s">
        <v>5374</v>
      </c>
      <c r="J35" s="138" t="s">
        <v>5375</v>
      </c>
      <c r="K35" s="137" t="s">
        <v>5376</v>
      </c>
      <c r="L35" s="138" t="s">
        <v>5377</v>
      </c>
      <c r="M35" s="137" t="s">
        <v>5378</v>
      </c>
      <c r="N35" s="138" t="s">
        <v>5379</v>
      </c>
      <c r="O35" s="161" t="s">
        <v>5380</v>
      </c>
      <c r="P35" s="138" t="s">
        <v>5381</v>
      </c>
      <c r="Q35" s="161" t="s">
        <v>5382</v>
      </c>
      <c r="R35" s="260" t="s">
        <v>5383</v>
      </c>
      <c r="S35" s="164" t="s">
        <v>5384</v>
      </c>
      <c r="T35" s="164" t="s">
        <v>5385</v>
      </c>
      <c r="U35" s="6939"/>
      <c r="V35" s="1191"/>
      <c r="W35" s="801"/>
      <c r="X35" s="801"/>
      <c r="Y35" s="288"/>
      <c r="Z35" s="288"/>
      <c r="AA35" s="288"/>
      <c r="AB35" s="288"/>
    </row>
    <row r="36" spans="1:106" ht="16.350000000000001" customHeight="1" thickTop="1" x14ac:dyDescent="0.3">
      <c r="A36" s="7258" t="s">
        <v>4091</v>
      </c>
      <c r="B36" s="8825" t="s">
        <v>1488</v>
      </c>
      <c r="C36" s="846" t="s">
        <v>651</v>
      </c>
      <c r="D36" s="934" t="s">
        <v>5369</v>
      </c>
      <c r="E36" s="933" t="s">
        <v>5370</v>
      </c>
      <c r="F36" s="932" t="s">
        <v>5371</v>
      </c>
      <c r="G36" s="537" t="s">
        <v>5372</v>
      </c>
      <c r="H36" s="575" t="s">
        <v>5373</v>
      </c>
      <c r="I36" s="537" t="s">
        <v>5374</v>
      </c>
      <c r="J36" s="575" t="s">
        <v>5375</v>
      </c>
      <c r="K36" s="537" t="s">
        <v>5376</v>
      </c>
      <c r="L36" s="575" t="s">
        <v>5377</v>
      </c>
      <c r="M36" s="537" t="s">
        <v>5378</v>
      </c>
      <c r="N36" s="575" t="s">
        <v>5379</v>
      </c>
      <c r="O36" s="537" t="s">
        <v>5380</v>
      </c>
      <c r="P36" s="575" t="s">
        <v>5381</v>
      </c>
      <c r="Q36" s="576" t="s">
        <v>5382</v>
      </c>
      <c r="R36" s="931" t="s">
        <v>5383</v>
      </c>
      <c r="S36" s="535" t="s">
        <v>5384</v>
      </c>
      <c r="T36" s="535" t="s">
        <v>5385</v>
      </c>
      <c r="U36" s="6939"/>
      <c r="V36" s="801"/>
      <c r="W36" s="801"/>
      <c r="X36" s="801"/>
      <c r="Y36" s="288"/>
      <c r="Z36" s="288"/>
      <c r="AA36" s="288"/>
      <c r="AB36" s="288"/>
    </row>
    <row r="37" spans="1:106" ht="16.350000000000001" customHeight="1" x14ac:dyDescent="0.3">
      <c r="A37" s="7258" t="s">
        <v>4092</v>
      </c>
      <c r="B37" s="8596"/>
      <c r="C37" s="2078" t="s">
        <v>833</v>
      </c>
      <c r="D37" s="643" t="s">
        <v>5369</v>
      </c>
      <c r="E37" s="683" t="s">
        <v>5370</v>
      </c>
      <c r="F37" s="160" t="s">
        <v>5371</v>
      </c>
      <c r="G37" s="137" t="s">
        <v>5372</v>
      </c>
      <c r="H37" s="138" t="s">
        <v>5373</v>
      </c>
      <c r="I37" s="137" t="s">
        <v>5374</v>
      </c>
      <c r="J37" s="138" t="s">
        <v>5375</v>
      </c>
      <c r="K37" s="137" t="s">
        <v>5376</v>
      </c>
      <c r="L37" s="138" t="s">
        <v>5377</v>
      </c>
      <c r="M37" s="137" t="s">
        <v>5378</v>
      </c>
      <c r="N37" s="138" t="s">
        <v>5379</v>
      </c>
      <c r="O37" s="137" t="s">
        <v>5380</v>
      </c>
      <c r="P37" s="138" t="s">
        <v>5381</v>
      </c>
      <c r="Q37" s="161" t="s">
        <v>5382</v>
      </c>
      <c r="R37" s="260" t="s">
        <v>5383</v>
      </c>
      <c r="S37" s="164" t="s">
        <v>5384</v>
      </c>
      <c r="T37" s="164" t="s">
        <v>5385</v>
      </c>
      <c r="U37" s="6939"/>
      <c r="V37" s="801"/>
      <c r="W37" s="801"/>
      <c r="X37" s="801"/>
      <c r="Y37" s="288"/>
      <c r="Z37" s="288"/>
      <c r="AA37" s="288"/>
      <c r="AB37" s="288"/>
    </row>
    <row r="38" spans="1:106" ht="16.350000000000001" customHeight="1" x14ac:dyDescent="0.3">
      <c r="A38" s="7258" t="s">
        <v>4093</v>
      </c>
      <c r="B38" s="8858" t="s">
        <v>1487</v>
      </c>
      <c r="C38" s="1555" t="s">
        <v>834</v>
      </c>
      <c r="D38" s="930" t="s">
        <v>5369</v>
      </c>
      <c r="E38" s="929" t="s">
        <v>5370</v>
      </c>
      <c r="F38" s="553" t="s">
        <v>5371</v>
      </c>
      <c r="G38" s="695" t="s">
        <v>5372</v>
      </c>
      <c r="H38" s="702" t="s">
        <v>5373</v>
      </c>
      <c r="I38" s="695" t="s">
        <v>5374</v>
      </c>
      <c r="J38" s="702" t="s">
        <v>5375</v>
      </c>
      <c r="K38" s="695" t="s">
        <v>5376</v>
      </c>
      <c r="L38" s="702" t="s">
        <v>5377</v>
      </c>
      <c r="M38" s="695" t="s">
        <v>5378</v>
      </c>
      <c r="N38" s="702" t="s">
        <v>5379</v>
      </c>
      <c r="O38" s="695" t="s">
        <v>5380</v>
      </c>
      <c r="P38" s="702" t="s">
        <v>5381</v>
      </c>
      <c r="Q38" s="701" t="s">
        <v>5382</v>
      </c>
      <c r="R38" s="700" t="s">
        <v>5383</v>
      </c>
      <c r="S38" s="545" t="s">
        <v>5384</v>
      </c>
      <c r="T38" s="545" t="s">
        <v>5385</v>
      </c>
      <c r="U38" s="6939"/>
      <c r="V38" s="801"/>
      <c r="W38" s="801"/>
      <c r="X38" s="801"/>
      <c r="Y38" s="288"/>
      <c r="Z38" s="288"/>
      <c r="AA38" s="288"/>
      <c r="AB38" s="288"/>
    </row>
    <row r="39" spans="1:106" ht="16.350000000000001" customHeight="1" x14ac:dyDescent="0.3">
      <c r="A39" s="7258" t="s">
        <v>4094</v>
      </c>
      <c r="B39" s="8705"/>
      <c r="C39" s="2071" t="s">
        <v>651</v>
      </c>
      <c r="D39" s="251" t="s">
        <v>5369</v>
      </c>
      <c r="E39" s="619" t="s">
        <v>5370</v>
      </c>
      <c r="F39" s="158" t="s">
        <v>5371</v>
      </c>
      <c r="G39" s="110" t="s">
        <v>5372</v>
      </c>
      <c r="H39" s="122" t="s">
        <v>5373</v>
      </c>
      <c r="I39" s="110" t="s">
        <v>5374</v>
      </c>
      <c r="J39" s="122" t="s">
        <v>5375</v>
      </c>
      <c r="K39" s="110" t="s">
        <v>5376</v>
      </c>
      <c r="L39" s="122" t="s">
        <v>5377</v>
      </c>
      <c r="M39" s="110" t="s">
        <v>5378</v>
      </c>
      <c r="N39" s="122" t="s">
        <v>5379</v>
      </c>
      <c r="O39" s="110" t="s">
        <v>5380</v>
      </c>
      <c r="P39" s="122" t="s">
        <v>5381</v>
      </c>
      <c r="Q39" s="157" t="s">
        <v>5382</v>
      </c>
      <c r="R39" s="197" t="s">
        <v>5383</v>
      </c>
      <c r="S39" s="144" t="s">
        <v>5384</v>
      </c>
      <c r="T39" s="144" t="s">
        <v>5385</v>
      </c>
      <c r="U39" s="6939"/>
      <c r="V39" s="801"/>
      <c r="W39" s="801"/>
      <c r="X39" s="801"/>
      <c r="Y39" s="288"/>
      <c r="Z39" s="288"/>
      <c r="AA39" s="288"/>
      <c r="AB39" s="288"/>
    </row>
    <row r="40" spans="1:106" ht="16.350000000000001" customHeight="1" x14ac:dyDescent="0.3">
      <c r="A40" s="7258" t="s">
        <v>4095</v>
      </c>
      <c r="B40" s="8859"/>
      <c r="C40" s="1328" t="s">
        <v>833</v>
      </c>
      <c r="D40" s="551" t="s">
        <v>5369</v>
      </c>
      <c r="E40" s="550" t="s">
        <v>5370</v>
      </c>
      <c r="F40" s="152" t="s">
        <v>5371</v>
      </c>
      <c r="G40" s="125" t="s">
        <v>5372</v>
      </c>
      <c r="H40" s="101" t="s">
        <v>5373</v>
      </c>
      <c r="I40" s="125" t="s">
        <v>5374</v>
      </c>
      <c r="J40" s="101" t="s">
        <v>5375</v>
      </c>
      <c r="K40" s="125" t="s">
        <v>5376</v>
      </c>
      <c r="L40" s="101" t="s">
        <v>5377</v>
      </c>
      <c r="M40" s="125" t="s">
        <v>5378</v>
      </c>
      <c r="N40" s="101" t="s">
        <v>5379</v>
      </c>
      <c r="O40" s="125" t="s">
        <v>5380</v>
      </c>
      <c r="P40" s="101" t="s">
        <v>5381</v>
      </c>
      <c r="Q40" s="159" t="s">
        <v>5382</v>
      </c>
      <c r="R40" s="198" t="s">
        <v>5383</v>
      </c>
      <c r="S40" s="127" t="s">
        <v>5384</v>
      </c>
      <c r="T40" s="127" t="s">
        <v>5385</v>
      </c>
      <c r="U40" s="6939"/>
      <c r="V40" s="801"/>
      <c r="W40" s="801"/>
      <c r="X40" s="801"/>
      <c r="Y40" s="801"/>
      <c r="Z40" s="801"/>
      <c r="AA40" s="801"/>
      <c r="AB40" s="801"/>
    </row>
    <row r="41" spans="1:106" ht="31.35" customHeight="1" x14ac:dyDescent="0.3">
      <c r="B41" s="928" t="s">
        <v>1486</v>
      </c>
      <c r="C41" s="928"/>
      <c r="D41" s="928"/>
      <c r="E41" s="928"/>
      <c r="F41" s="928"/>
      <c r="G41" s="928"/>
      <c r="H41" s="928"/>
      <c r="I41" s="928"/>
      <c r="J41" s="928"/>
      <c r="K41" s="928"/>
      <c r="L41" s="928"/>
      <c r="M41" s="928"/>
      <c r="N41" s="928"/>
      <c r="O41" s="928"/>
      <c r="P41" s="928"/>
      <c r="Q41" s="928"/>
      <c r="R41" s="3004"/>
      <c r="S41" s="801"/>
      <c r="T41" s="801"/>
      <c r="U41" s="801"/>
      <c r="V41" s="801"/>
      <c r="W41" s="801"/>
      <c r="X41" s="801"/>
      <c r="Y41" s="801"/>
      <c r="Z41" s="801"/>
      <c r="AA41" s="801"/>
      <c r="AB41" s="801"/>
      <c r="BB41" s="1191"/>
      <c r="BC41" s="1191"/>
      <c r="BD41" s="1191"/>
      <c r="BE41" s="1191"/>
      <c r="BF41" s="1191"/>
      <c r="BG41" s="1191"/>
      <c r="BH41" s="1191"/>
      <c r="BI41" s="1191"/>
      <c r="BJ41" s="1191"/>
      <c r="BK41" s="1191"/>
      <c r="BL41" s="1191"/>
      <c r="BM41" s="1191"/>
      <c r="BN41" s="1191"/>
      <c r="BO41" s="1191"/>
      <c r="BP41" s="1191"/>
      <c r="BQ41" s="1191"/>
      <c r="BR41" s="1191"/>
      <c r="BS41" s="1191"/>
      <c r="BT41" s="1191"/>
    </row>
    <row r="42" spans="1:106" ht="16.350000000000001" customHeight="1" x14ac:dyDescent="0.3">
      <c r="B42" s="8704" t="s">
        <v>1485</v>
      </c>
      <c r="C42" s="8870" t="s">
        <v>848</v>
      </c>
      <c r="D42" s="8871"/>
      <c r="E42" s="8758"/>
      <c r="F42" s="8849" t="s">
        <v>2</v>
      </c>
      <c r="G42" s="8850"/>
      <c r="H42" s="8850"/>
      <c r="I42" s="8850"/>
      <c r="J42" s="8850"/>
      <c r="K42" s="8850"/>
      <c r="L42" s="8850"/>
      <c r="M42" s="8850"/>
      <c r="N42" s="8850"/>
      <c r="O42" s="8850"/>
      <c r="P42" s="8850"/>
      <c r="Q42" s="8851"/>
      <c r="R42" s="801"/>
      <c r="S42" s="801"/>
      <c r="T42" s="801"/>
      <c r="U42" s="801"/>
      <c r="V42" s="801"/>
      <c r="W42" s="801"/>
      <c r="X42" s="801"/>
      <c r="Y42" s="801"/>
      <c r="Z42" s="1191"/>
      <c r="AY42" s="1547"/>
      <c r="AZ42" s="1547"/>
      <c r="BA42" s="1547"/>
    </row>
    <row r="43" spans="1:106" ht="16.350000000000001" customHeight="1" x14ac:dyDescent="0.3">
      <c r="B43" s="8889"/>
      <c r="C43" s="8872"/>
      <c r="D43" s="8873"/>
      <c r="E43" s="8759"/>
      <c r="F43" s="8754" t="s">
        <v>845</v>
      </c>
      <c r="G43" s="8755"/>
      <c r="H43" s="8754" t="s">
        <v>1377</v>
      </c>
      <c r="I43" s="8755"/>
      <c r="J43" s="8754" t="s">
        <v>843</v>
      </c>
      <c r="K43" s="8755"/>
      <c r="L43" s="8754" t="s">
        <v>842</v>
      </c>
      <c r="M43" s="8755"/>
      <c r="N43" s="8754" t="s">
        <v>841</v>
      </c>
      <c r="O43" s="8755"/>
      <c r="P43" s="8754" t="s">
        <v>840</v>
      </c>
      <c r="Q43" s="8755"/>
      <c r="R43" s="801"/>
      <c r="S43" s="801"/>
      <c r="T43" s="801"/>
      <c r="U43" s="801"/>
      <c r="V43" s="801"/>
      <c r="W43" s="801"/>
      <c r="X43" s="801"/>
      <c r="Y43" s="801"/>
      <c r="Z43" s="1191"/>
      <c r="AY43" s="1547"/>
      <c r="AZ43" s="1547"/>
      <c r="BA43" s="1547"/>
    </row>
    <row r="44" spans="1:106" ht="16.350000000000001" customHeight="1" x14ac:dyDescent="0.3">
      <c r="B44" s="8890"/>
      <c r="C44" s="885" t="s">
        <v>42</v>
      </c>
      <c r="D44" s="914" t="s">
        <v>17</v>
      </c>
      <c r="E44" s="2102" t="s">
        <v>18</v>
      </c>
      <c r="F44" s="2597" t="s">
        <v>17</v>
      </c>
      <c r="G44" s="2124" t="s">
        <v>18</v>
      </c>
      <c r="H44" s="2597" t="s">
        <v>17</v>
      </c>
      <c r="I44" s="2124" t="s">
        <v>18</v>
      </c>
      <c r="J44" s="2597" t="s">
        <v>17</v>
      </c>
      <c r="K44" s="2124" t="s">
        <v>18</v>
      </c>
      <c r="L44" s="2597" t="s">
        <v>17</v>
      </c>
      <c r="M44" s="2124" t="s">
        <v>18</v>
      </c>
      <c r="N44" s="2597" t="s">
        <v>17</v>
      </c>
      <c r="O44" s="2124" t="s">
        <v>18</v>
      </c>
      <c r="P44" s="2597" t="s">
        <v>17</v>
      </c>
      <c r="Q44" s="2124" t="s">
        <v>18</v>
      </c>
      <c r="R44" s="801"/>
      <c r="S44" s="801"/>
      <c r="T44" s="801"/>
      <c r="U44" s="801"/>
      <c r="V44" s="801"/>
      <c r="W44" s="801"/>
      <c r="X44" s="801"/>
      <c r="Y44" s="801"/>
      <c r="Z44" s="1191"/>
      <c r="AY44" s="1547"/>
      <c r="AZ44" s="1547"/>
      <c r="BA44" s="1547"/>
    </row>
    <row r="45" spans="1:106" ht="16.350000000000001" customHeight="1" x14ac:dyDescent="0.3">
      <c r="A45" s="7258" t="s">
        <v>4096</v>
      </c>
      <c r="B45" s="2106" t="s">
        <v>834</v>
      </c>
      <c r="C45" s="927" t="s">
        <v>5369</v>
      </c>
      <c r="D45" s="926" t="s">
        <v>5370</v>
      </c>
      <c r="E45" s="549" t="s">
        <v>5371</v>
      </c>
      <c r="F45" s="2588" t="s">
        <v>5372</v>
      </c>
      <c r="G45" s="2587" t="s">
        <v>5373</v>
      </c>
      <c r="H45" s="2588" t="s">
        <v>5374</v>
      </c>
      <c r="I45" s="2587" t="s">
        <v>5375</v>
      </c>
      <c r="J45" s="2588" t="s">
        <v>5376</v>
      </c>
      <c r="K45" s="2061" t="s">
        <v>5377</v>
      </c>
      <c r="L45" s="2588" t="s">
        <v>5378</v>
      </c>
      <c r="M45" s="2061" t="s">
        <v>5379</v>
      </c>
      <c r="N45" s="2517" t="s">
        <v>5380</v>
      </c>
      <c r="O45" s="2061" t="s">
        <v>5381</v>
      </c>
      <c r="P45" s="2517" t="s">
        <v>5382</v>
      </c>
      <c r="Q45" s="2061" t="s">
        <v>5383</v>
      </c>
      <c r="R45" s="6939" t="str">
        <f>CB45</f>
        <v/>
      </c>
      <c r="S45" s="1551"/>
      <c r="T45" s="1551"/>
      <c r="U45" s="1551"/>
      <c r="V45" s="1551"/>
      <c r="W45" s="1551"/>
      <c r="X45" s="1551"/>
      <c r="Y45" s="1551"/>
      <c r="Z45" s="1551"/>
      <c r="AA45" s="1551"/>
      <c r="AY45" s="1547"/>
      <c r="AZ45" s="1547"/>
      <c r="BA45" s="1547"/>
      <c r="CB45" s="1442" t="str">
        <f>IF(C45&lt;'A05'!D90,"* Niños derivados deben ser mayores o iguales al ingreso de niños(as) Normal con Rezago a salas de estimulación REM A05 sección F. ","")</f>
        <v/>
      </c>
      <c r="DB45" s="3217">
        <f>IF(C45&lt;'A05'!D90,1,0)</f>
        <v>0</v>
      </c>
    </row>
    <row r="46" spans="1:106" ht="16.350000000000001" customHeight="1" x14ac:dyDescent="0.3">
      <c r="A46" s="7258" t="s">
        <v>4097</v>
      </c>
      <c r="B46" s="2107" t="s">
        <v>651</v>
      </c>
      <c r="C46" s="925" t="s">
        <v>5369</v>
      </c>
      <c r="D46" s="270" t="s">
        <v>5370</v>
      </c>
      <c r="E46" s="924" t="s">
        <v>5371</v>
      </c>
      <c r="F46" s="2492" t="s">
        <v>5372</v>
      </c>
      <c r="G46" s="2422" t="s">
        <v>5373</v>
      </c>
      <c r="H46" s="2462" t="s">
        <v>5374</v>
      </c>
      <c r="I46" s="2422" t="s">
        <v>5375</v>
      </c>
      <c r="J46" s="2462" t="s">
        <v>5376</v>
      </c>
      <c r="K46" s="2450" t="s">
        <v>5377</v>
      </c>
      <c r="L46" s="2462" t="s">
        <v>5378</v>
      </c>
      <c r="M46" s="2450" t="s">
        <v>5379</v>
      </c>
      <c r="N46" s="2440" t="s">
        <v>5380</v>
      </c>
      <c r="O46" s="2450" t="s">
        <v>5381</v>
      </c>
      <c r="P46" s="2440" t="s">
        <v>5382</v>
      </c>
      <c r="Q46" s="2450" t="s">
        <v>5383</v>
      </c>
      <c r="R46" s="6939"/>
      <c r="S46" s="1551"/>
      <c r="T46" s="1551"/>
      <c r="U46" s="1551"/>
      <c r="V46" s="1551"/>
      <c r="W46" s="1551"/>
      <c r="X46" s="1551"/>
      <c r="Y46" s="1551"/>
      <c r="Z46" s="1551"/>
      <c r="AA46" s="1551"/>
      <c r="AY46" s="1547"/>
      <c r="AZ46" s="1547"/>
      <c r="BA46" s="1547"/>
      <c r="CB46" s="1442" t="str">
        <f>IF(C46&lt;'A05'!D91,"* Niños derivados deben ser mayores o iguales al ingreso de niños(as) Normal con Rezago a salas de estimulación REM A05 sección F. ","")</f>
        <v/>
      </c>
      <c r="DB46" s="3217">
        <f>IF(C46&lt;'A05'!D91,1,0)</f>
        <v>0</v>
      </c>
    </row>
    <row r="47" spans="1:106" ht="16.350000000000001" customHeight="1" x14ac:dyDescent="0.3">
      <c r="A47" s="7258" t="s">
        <v>4098</v>
      </c>
      <c r="B47" s="2944" t="s">
        <v>833</v>
      </c>
      <c r="C47" s="865" t="s">
        <v>5369</v>
      </c>
      <c r="D47" s="923" t="s">
        <v>5370</v>
      </c>
      <c r="E47" s="147" t="s">
        <v>5371</v>
      </c>
      <c r="F47" s="2518" t="s">
        <v>5372</v>
      </c>
      <c r="G47" s="2519" t="s">
        <v>5373</v>
      </c>
      <c r="H47" s="2465" t="s">
        <v>5374</v>
      </c>
      <c r="I47" s="2479" t="s">
        <v>5375</v>
      </c>
      <c r="J47" s="2465" t="s">
        <v>5376</v>
      </c>
      <c r="K47" s="2496" t="s">
        <v>5377</v>
      </c>
      <c r="L47" s="2465" t="s">
        <v>5378</v>
      </c>
      <c r="M47" s="2496" t="s">
        <v>5379</v>
      </c>
      <c r="N47" s="2468" t="s">
        <v>5380</v>
      </c>
      <c r="O47" s="2496" t="s">
        <v>5381</v>
      </c>
      <c r="P47" s="2468" t="s">
        <v>5382</v>
      </c>
      <c r="Q47" s="2496" t="s">
        <v>5383</v>
      </c>
      <c r="R47" s="6939"/>
      <c r="S47" s="1551"/>
      <c r="T47" s="1551"/>
      <c r="U47" s="1551"/>
      <c r="V47" s="1551"/>
      <c r="W47" s="1551"/>
      <c r="X47" s="1551"/>
      <c r="Y47" s="1551"/>
      <c r="Z47" s="1551"/>
      <c r="AA47" s="1551"/>
      <c r="AY47" s="1547"/>
      <c r="AZ47" s="1547"/>
      <c r="BA47" s="1547"/>
      <c r="CB47" s="1442" t="str">
        <f>IF(C47&lt;'A05'!D92,"* Niños derivados deben ser mayores o iguales al ingreso de niños(as) Normal con Rezago a salas de estimulación REM A05 sección F. ","")</f>
        <v/>
      </c>
      <c r="DB47" s="3217">
        <f>IF(C47&lt;'A05'!D92,1,0)</f>
        <v>0</v>
      </c>
    </row>
    <row r="48" spans="1:106" ht="16.350000000000001" customHeight="1" x14ac:dyDescent="0.3">
      <c r="A48" s="7258" t="s">
        <v>4099</v>
      </c>
      <c r="B48" s="2962" t="s">
        <v>832</v>
      </c>
      <c r="C48" s="922" t="s">
        <v>5369</v>
      </c>
      <c r="D48" s="921" t="s">
        <v>5370</v>
      </c>
      <c r="E48" s="718" t="s">
        <v>5371</v>
      </c>
      <c r="F48" s="2598" t="s">
        <v>5372</v>
      </c>
      <c r="G48" s="2599" t="s">
        <v>5373</v>
      </c>
      <c r="H48" s="2598" t="s">
        <v>5374</v>
      </c>
      <c r="I48" s="2599" t="s">
        <v>5375</v>
      </c>
      <c r="J48" s="2598" t="s">
        <v>5376</v>
      </c>
      <c r="K48" s="2600" t="s">
        <v>5377</v>
      </c>
      <c r="L48" s="2598" t="s">
        <v>5378</v>
      </c>
      <c r="M48" s="2600" t="s">
        <v>5379</v>
      </c>
      <c r="N48" s="2601" t="s">
        <v>5380</v>
      </c>
      <c r="O48" s="2600" t="s">
        <v>5381</v>
      </c>
      <c r="P48" s="2601" t="s">
        <v>5382</v>
      </c>
      <c r="Q48" s="2600" t="s">
        <v>5383</v>
      </c>
      <c r="R48" s="6939"/>
      <c r="S48" s="1551"/>
      <c r="T48" s="1551"/>
      <c r="U48" s="1551"/>
      <c r="V48" s="1551"/>
      <c r="W48" s="1551"/>
      <c r="X48" s="1551"/>
      <c r="Y48" s="1551"/>
      <c r="Z48" s="1551"/>
      <c r="AA48" s="1551"/>
      <c r="AY48" s="1547"/>
      <c r="AZ48" s="1547"/>
      <c r="BA48" s="1547"/>
      <c r="CB48" s="1442" t="str">
        <f>IF(C48&lt;'A05'!D93,"* Niños derivados deben ser mayores o iguales al ingreso de niños(as) Normal con Rezago a salas de estimulación REM A05 sección F. ","")</f>
        <v/>
      </c>
      <c r="DB48" s="3217">
        <f>IF(C48&lt;'A05'!D93,1,0)</f>
        <v>0</v>
      </c>
    </row>
    <row r="49" spans="1:109" ht="31.35" customHeight="1" x14ac:dyDescent="0.3">
      <c r="B49" s="916" t="s">
        <v>1484</v>
      </c>
      <c r="C49" s="915"/>
      <c r="D49" s="915"/>
      <c r="E49" s="915"/>
      <c r="F49" s="915"/>
      <c r="G49" s="915"/>
      <c r="H49" s="915"/>
      <c r="I49" s="915"/>
      <c r="J49" s="3003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BB49" s="1191"/>
      <c r="BC49" s="1191"/>
      <c r="BD49" s="1191"/>
      <c r="BE49" s="1191"/>
      <c r="BF49" s="1191"/>
      <c r="BG49" s="1191"/>
      <c r="BH49" s="1191"/>
      <c r="BI49" s="1191"/>
      <c r="BJ49" s="1191"/>
      <c r="BK49" s="1191"/>
      <c r="BL49" s="1191"/>
      <c r="BM49" s="1191"/>
      <c r="BN49" s="1191"/>
      <c r="BO49" s="1191"/>
      <c r="BP49" s="1191"/>
      <c r="BQ49" s="1191"/>
      <c r="BR49" s="1191"/>
      <c r="BS49" s="1191"/>
      <c r="BT49" s="1191"/>
    </row>
    <row r="50" spans="1:109" ht="16.350000000000001" customHeight="1" x14ac:dyDescent="0.3">
      <c r="B50" s="8699" t="s">
        <v>1417</v>
      </c>
      <c r="C50" s="8870" t="s">
        <v>807</v>
      </c>
      <c r="D50" s="8871"/>
      <c r="E50" s="8758"/>
      <c r="F50" s="8898" t="s">
        <v>2</v>
      </c>
      <c r="G50" s="8898"/>
      <c r="H50" s="8898"/>
      <c r="I50" s="889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1191"/>
      <c r="AY50" s="1547"/>
      <c r="AZ50" s="1547"/>
      <c r="BA50" s="1547"/>
    </row>
    <row r="51" spans="1:109" ht="16.350000000000001" customHeight="1" x14ac:dyDescent="0.3">
      <c r="B51" s="8891"/>
      <c r="C51" s="8872"/>
      <c r="D51" s="8873"/>
      <c r="E51" s="8759"/>
      <c r="F51" s="8754" t="s">
        <v>690</v>
      </c>
      <c r="G51" s="8755"/>
      <c r="H51" s="8754" t="s">
        <v>689</v>
      </c>
      <c r="I51" s="8755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1191"/>
      <c r="AY51" s="1547"/>
      <c r="AZ51" s="1547"/>
      <c r="BA51" s="1547"/>
    </row>
    <row r="52" spans="1:109" ht="16.350000000000001" customHeight="1" x14ac:dyDescent="0.3">
      <c r="B52" s="8892"/>
      <c r="C52" s="885" t="s">
        <v>42</v>
      </c>
      <c r="D52" s="914" t="s">
        <v>17</v>
      </c>
      <c r="E52" s="2102" t="s">
        <v>18</v>
      </c>
      <c r="F52" s="2597" t="s">
        <v>17</v>
      </c>
      <c r="G52" s="2602" t="s">
        <v>18</v>
      </c>
      <c r="H52" s="2597" t="s">
        <v>17</v>
      </c>
      <c r="I52" s="2602" t="s">
        <v>18</v>
      </c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1191"/>
      <c r="AY52" s="1547"/>
      <c r="AZ52" s="1547"/>
      <c r="BA52" s="1547"/>
    </row>
    <row r="53" spans="1:109" ht="25.5" customHeight="1" x14ac:dyDescent="0.3">
      <c r="A53" s="7258" t="s">
        <v>4100</v>
      </c>
      <c r="B53" s="2962" t="s">
        <v>1483</v>
      </c>
      <c r="C53" s="913" t="s">
        <v>5369</v>
      </c>
      <c r="D53" s="912" t="s">
        <v>5370</v>
      </c>
      <c r="E53" s="723" t="s">
        <v>5371</v>
      </c>
      <c r="F53" s="2603" t="s">
        <v>5372</v>
      </c>
      <c r="G53" s="2604" t="s">
        <v>5373</v>
      </c>
      <c r="H53" s="2605" t="s">
        <v>5374</v>
      </c>
      <c r="I53" s="2606" t="s">
        <v>5375</v>
      </c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1191"/>
      <c r="AY53" s="1547"/>
      <c r="AZ53" s="1547"/>
      <c r="BA53" s="1547"/>
    </row>
    <row r="54" spans="1:109" ht="16.350000000000001" customHeight="1" x14ac:dyDescent="0.3">
      <c r="A54" s="7258" t="s">
        <v>4101</v>
      </c>
      <c r="B54" s="3002" t="s">
        <v>1453</v>
      </c>
      <c r="C54" s="920" t="s">
        <v>5369</v>
      </c>
      <c r="D54" s="271" t="s">
        <v>5370</v>
      </c>
      <c r="E54" s="919" t="s">
        <v>5371</v>
      </c>
      <c r="F54" s="2462" t="s">
        <v>5372</v>
      </c>
      <c r="G54" s="2422" t="s">
        <v>5373</v>
      </c>
      <c r="H54" s="2440" t="s">
        <v>5374</v>
      </c>
      <c r="I54" s="2450" t="s">
        <v>5375</v>
      </c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1191"/>
      <c r="AY54" s="1547"/>
      <c r="AZ54" s="1547"/>
      <c r="BA54" s="1547"/>
    </row>
    <row r="55" spans="1:109" ht="16.350000000000001" customHeight="1" x14ac:dyDescent="0.3">
      <c r="A55" s="7258" t="s">
        <v>4102</v>
      </c>
      <c r="B55" s="2107" t="s">
        <v>1482</v>
      </c>
      <c r="C55" s="251" t="s">
        <v>5369</v>
      </c>
      <c r="D55" s="619" t="s">
        <v>5370</v>
      </c>
      <c r="E55" s="158" t="s">
        <v>5371</v>
      </c>
      <c r="F55" s="2492" t="s">
        <v>5372</v>
      </c>
      <c r="G55" s="2499" t="s">
        <v>5373</v>
      </c>
      <c r="H55" s="2536" t="s">
        <v>5374</v>
      </c>
      <c r="I55" s="2495" t="s">
        <v>5375</v>
      </c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1191"/>
      <c r="AY55" s="1547"/>
      <c r="AZ55" s="1547"/>
      <c r="BA55" s="1547"/>
    </row>
    <row r="56" spans="1:109" ht="16.350000000000001" customHeight="1" x14ac:dyDescent="0.3">
      <c r="A56" s="7258" t="s">
        <v>4103</v>
      </c>
      <c r="B56" s="2944" t="s">
        <v>1481</v>
      </c>
      <c r="C56" s="551" t="s">
        <v>5369</v>
      </c>
      <c r="D56" s="550" t="s">
        <v>5370</v>
      </c>
      <c r="E56" s="152" t="s">
        <v>5371</v>
      </c>
      <c r="F56" s="2465" t="s">
        <v>5372</v>
      </c>
      <c r="G56" s="2479" t="s">
        <v>5373</v>
      </c>
      <c r="H56" s="2468" t="s">
        <v>5374</v>
      </c>
      <c r="I56" s="2496" t="s">
        <v>5375</v>
      </c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1191"/>
      <c r="AY56" s="1547"/>
      <c r="AZ56" s="1547"/>
      <c r="BA56" s="1547"/>
    </row>
    <row r="57" spans="1:109" ht="31.35" customHeight="1" x14ac:dyDescent="0.3">
      <c r="B57" s="916" t="s">
        <v>2633</v>
      </c>
      <c r="C57" s="915"/>
      <c r="D57" s="915"/>
      <c r="E57" s="915"/>
      <c r="F57" s="915"/>
      <c r="G57" s="915"/>
      <c r="H57" s="915"/>
      <c r="I57" s="915"/>
      <c r="J57" s="915"/>
      <c r="K57" s="72"/>
      <c r="L57" s="72"/>
      <c r="M57" s="165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BB57" s="1191"/>
      <c r="BC57" s="1191"/>
      <c r="BD57" s="1191"/>
      <c r="BE57" s="1191"/>
      <c r="BF57" s="1191"/>
      <c r="BG57" s="1191"/>
      <c r="BH57" s="1191"/>
      <c r="BI57" s="1191"/>
      <c r="BJ57" s="1191"/>
      <c r="BK57" s="1191"/>
      <c r="BL57" s="1191"/>
      <c r="BM57" s="1191"/>
      <c r="BN57" s="1191"/>
      <c r="BO57" s="1191"/>
      <c r="BP57" s="1191"/>
      <c r="BQ57" s="1191"/>
      <c r="BR57" s="1191"/>
      <c r="BS57" s="1191"/>
      <c r="BT57" s="1191"/>
    </row>
    <row r="58" spans="1:109" ht="16.350000000000001" customHeight="1" x14ac:dyDescent="0.3">
      <c r="B58" s="8907" t="s">
        <v>1278</v>
      </c>
      <c r="C58" s="8557"/>
      <c r="D58" s="8875" t="s">
        <v>24</v>
      </c>
      <c r="E58" s="8860" t="s">
        <v>1480</v>
      </c>
      <c r="F58" s="8861"/>
      <c r="G58" s="8861"/>
      <c r="H58" s="8861"/>
      <c r="I58" s="8861"/>
      <c r="J58" s="8862"/>
      <c r="K58" s="8905" t="s">
        <v>362</v>
      </c>
      <c r="L58" s="8906" t="s">
        <v>361</v>
      </c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1191"/>
      <c r="X58" s="1191"/>
      <c r="Y58" s="1191"/>
      <c r="Z58" s="1191"/>
      <c r="AV58" s="1547"/>
      <c r="AW58" s="1547"/>
      <c r="AX58" s="1547"/>
      <c r="AY58" s="1547"/>
      <c r="AZ58" s="1547"/>
      <c r="BA58" s="1547"/>
    </row>
    <row r="59" spans="1:109" ht="16.350000000000001" customHeight="1" x14ac:dyDescent="0.3">
      <c r="B59" s="8908"/>
      <c r="C59" s="8558"/>
      <c r="D59" s="8876"/>
      <c r="E59" s="2675" t="s">
        <v>2658</v>
      </c>
      <c r="F59" s="2675" t="s">
        <v>1479</v>
      </c>
      <c r="G59" s="3270" t="s">
        <v>1478</v>
      </c>
      <c r="H59" s="3271" t="s">
        <v>1477</v>
      </c>
      <c r="I59" s="3269" t="s">
        <v>1476</v>
      </c>
      <c r="J59" s="2672" t="s">
        <v>1475</v>
      </c>
      <c r="K59" s="8833"/>
      <c r="L59" s="8581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1191"/>
      <c r="X59" s="1191"/>
      <c r="Y59" s="1191"/>
      <c r="Z59" s="1191"/>
      <c r="AV59" s="1547"/>
      <c r="AW59" s="1547"/>
      <c r="AX59" s="1547"/>
      <c r="AY59" s="1547"/>
      <c r="AZ59" s="1547"/>
      <c r="BA59" s="1547"/>
      <c r="CB59" s="1442">
        <v>0</v>
      </c>
      <c r="CC59" s="1442">
        <v>0</v>
      </c>
      <c r="CD59" s="1442">
        <v>0</v>
      </c>
      <c r="CE59" s="1442">
        <v>0</v>
      </c>
      <c r="CF59" s="1442">
        <v>0</v>
      </c>
    </row>
    <row r="60" spans="1:109" ht="16.350000000000001" customHeight="1" x14ac:dyDescent="0.3">
      <c r="A60" s="7258" t="s">
        <v>4104</v>
      </c>
      <c r="B60" s="8912" t="s">
        <v>1277</v>
      </c>
      <c r="C60" s="8913"/>
      <c r="D60" s="2774" t="s">
        <v>5369</v>
      </c>
      <c r="E60" s="2775" t="s">
        <v>5370</v>
      </c>
      <c r="F60" s="2775" t="s">
        <v>5371</v>
      </c>
      <c r="G60" s="2776" t="s">
        <v>5372</v>
      </c>
      <c r="H60" s="2777" t="s">
        <v>5373</v>
      </c>
      <c r="I60" s="7082" t="s">
        <v>5374</v>
      </c>
      <c r="J60" s="7083" t="s">
        <v>5375</v>
      </c>
      <c r="K60" s="1707" t="s">
        <v>5376</v>
      </c>
      <c r="L60" s="1595" t="s">
        <v>5377</v>
      </c>
      <c r="M60" s="574"/>
      <c r="N60" s="1551"/>
      <c r="O60" s="1551"/>
      <c r="P60" s="1551"/>
      <c r="Q60" s="1551"/>
      <c r="R60" s="1551"/>
      <c r="S60" s="1551"/>
      <c r="T60" s="1551"/>
      <c r="U60" s="1551"/>
      <c r="V60" s="1551"/>
      <c r="W60" s="1556"/>
      <c r="X60" s="1191"/>
      <c r="Y60" s="1191"/>
      <c r="Z60" s="1191"/>
      <c r="AV60" s="1547"/>
      <c r="AW60" s="1547"/>
      <c r="AX60" s="1547"/>
      <c r="AY60" s="1547"/>
      <c r="AZ60" s="1547"/>
      <c r="BA60" s="1547"/>
      <c r="CF60" s="1442">
        <v>0</v>
      </c>
      <c r="CG60" s="1442">
        <v>0</v>
      </c>
      <c r="CH60" s="1442">
        <v>0</v>
      </c>
      <c r="DB60" s="3217">
        <v>0</v>
      </c>
      <c r="DC60" s="3217">
        <v>0</v>
      </c>
      <c r="DD60" s="3217">
        <v>0</v>
      </c>
      <c r="DE60" s="3217">
        <v>0</v>
      </c>
    </row>
    <row r="61" spans="1:109" ht="16.350000000000001" customHeight="1" x14ac:dyDescent="0.3">
      <c r="A61" s="7263" t="s">
        <v>4105</v>
      </c>
      <c r="B61" s="8914" t="s">
        <v>1474</v>
      </c>
      <c r="C61" s="8910"/>
      <c r="D61" s="906" t="s">
        <v>5369</v>
      </c>
      <c r="E61" s="2438" t="s">
        <v>5370</v>
      </c>
      <c r="F61" s="2438" t="s">
        <v>5371</v>
      </c>
      <c r="G61" s="918" t="s">
        <v>5372</v>
      </c>
      <c r="H61" s="2439" t="s">
        <v>5373</v>
      </c>
      <c r="I61" s="7084" t="s">
        <v>5374</v>
      </c>
      <c r="J61" s="7085" t="s">
        <v>5375</v>
      </c>
      <c r="K61" s="1665" t="s">
        <v>5376</v>
      </c>
      <c r="L61" s="1118" t="s">
        <v>5377</v>
      </c>
      <c r="M61" s="574"/>
      <c r="N61" s="288"/>
      <c r="O61" s="288"/>
      <c r="P61" s="288"/>
      <c r="Q61" s="288"/>
      <c r="R61" s="288"/>
      <c r="S61" s="288"/>
      <c r="T61" s="288"/>
      <c r="U61" s="288"/>
      <c r="V61" s="907"/>
      <c r="W61" s="1556"/>
      <c r="X61" s="1191"/>
      <c r="Y61" s="1191"/>
      <c r="Z61" s="1191"/>
      <c r="AV61" s="1547"/>
      <c r="AW61" s="1547"/>
      <c r="AX61" s="1547"/>
      <c r="AY61" s="1547"/>
      <c r="AZ61" s="1547"/>
      <c r="BA61" s="1547"/>
      <c r="DB61" s="3217">
        <v>0</v>
      </c>
      <c r="DC61" s="3217">
        <v>0</v>
      </c>
      <c r="DD61" s="3217">
        <v>0</v>
      </c>
      <c r="DE61" s="3217">
        <v>0</v>
      </c>
    </row>
    <row r="62" spans="1:109" ht="16.350000000000001" customHeight="1" x14ac:dyDescent="0.3">
      <c r="A62" s="7258" t="s">
        <v>4106</v>
      </c>
      <c r="B62" s="8909" t="s">
        <v>1473</v>
      </c>
      <c r="C62" s="8910"/>
      <c r="D62" s="1670" t="s">
        <v>5369</v>
      </c>
      <c r="E62" s="2497" t="s">
        <v>5370</v>
      </c>
      <c r="F62" s="2497" t="s">
        <v>5371</v>
      </c>
      <c r="G62" s="2499" t="s">
        <v>5372</v>
      </c>
      <c r="H62" s="2491" t="s">
        <v>5373</v>
      </c>
      <c r="I62" s="7088" t="s">
        <v>5374</v>
      </c>
      <c r="J62" s="7089" t="s">
        <v>5375</v>
      </c>
      <c r="K62" s="1665" t="s">
        <v>5376</v>
      </c>
      <c r="L62" s="1118" t="s">
        <v>5377</v>
      </c>
      <c r="M62" s="574"/>
      <c r="N62" s="288"/>
      <c r="O62" s="288"/>
      <c r="P62" s="288"/>
      <c r="Q62" s="288"/>
      <c r="R62" s="288"/>
      <c r="S62" s="288"/>
      <c r="T62" s="288"/>
      <c r="U62" s="288"/>
      <c r="V62" s="907"/>
      <c r="W62" s="1556"/>
      <c r="X62" s="1191"/>
      <c r="Y62" s="1191"/>
      <c r="Z62" s="1191"/>
      <c r="AV62" s="1547"/>
      <c r="AW62" s="1547"/>
      <c r="AX62" s="1547"/>
      <c r="AY62" s="1547"/>
      <c r="AZ62" s="1547"/>
      <c r="BA62" s="1547"/>
      <c r="DB62" s="3217">
        <v>0</v>
      </c>
      <c r="DC62" s="3217">
        <v>0</v>
      </c>
      <c r="DD62" s="3217">
        <v>0</v>
      </c>
      <c r="DE62" s="3217">
        <v>0</v>
      </c>
    </row>
    <row r="63" spans="1:109" ht="16.350000000000001" customHeight="1" x14ac:dyDescent="0.3">
      <c r="A63" s="7258" t="s">
        <v>4107</v>
      </c>
      <c r="B63" s="8909" t="s">
        <v>2655</v>
      </c>
      <c r="C63" s="8910"/>
      <c r="D63" s="1670" t="s">
        <v>5369</v>
      </c>
      <c r="E63" s="2676" t="s">
        <v>5370</v>
      </c>
      <c r="F63" s="7086" t="s">
        <v>5371</v>
      </c>
      <c r="G63" s="7087" t="s">
        <v>5372</v>
      </c>
      <c r="H63" s="2673" t="s">
        <v>5373</v>
      </c>
      <c r="I63" s="2492" t="s">
        <v>5374</v>
      </c>
      <c r="J63" s="2543" t="s">
        <v>5375</v>
      </c>
      <c r="K63" s="1665" t="s">
        <v>5376</v>
      </c>
      <c r="L63" s="1118" t="s">
        <v>5377</v>
      </c>
      <c r="M63" s="574"/>
      <c r="N63" s="901"/>
      <c r="O63" s="901"/>
      <c r="P63" s="801"/>
      <c r="Q63" s="801"/>
      <c r="R63" s="801"/>
      <c r="S63" s="801"/>
      <c r="T63" s="801"/>
      <c r="U63" s="801"/>
      <c r="V63" s="886"/>
      <c r="W63" s="1556"/>
      <c r="X63" s="1191"/>
      <c r="Y63" s="1191"/>
      <c r="Z63" s="1191"/>
      <c r="AV63" s="1547"/>
      <c r="AW63" s="1547"/>
      <c r="AX63" s="1547"/>
      <c r="AY63" s="1547"/>
      <c r="AZ63" s="1547"/>
      <c r="BA63" s="1547"/>
      <c r="DB63" s="3217">
        <v>0</v>
      </c>
      <c r="DC63" s="3217">
        <v>0</v>
      </c>
      <c r="DD63" s="3217">
        <v>0</v>
      </c>
      <c r="DE63" s="3217">
        <v>0</v>
      </c>
    </row>
    <row r="64" spans="1:109" ht="22.5" customHeight="1" x14ac:dyDescent="0.3">
      <c r="A64" s="7258" t="s">
        <v>4108</v>
      </c>
      <c r="B64" s="8909" t="s">
        <v>2656</v>
      </c>
      <c r="C64" s="8910"/>
      <c r="D64" s="7264" t="s">
        <v>5369</v>
      </c>
      <c r="E64" s="2438" t="s">
        <v>5370</v>
      </c>
      <c r="F64" s="4704" t="s">
        <v>5371</v>
      </c>
      <c r="G64" s="4704" t="s">
        <v>5372</v>
      </c>
      <c r="H64" s="2673" t="s">
        <v>5373</v>
      </c>
      <c r="I64" s="2492" t="s">
        <v>5374</v>
      </c>
      <c r="J64" s="2543" t="s">
        <v>5375</v>
      </c>
      <c r="K64" s="1665" t="s">
        <v>5376</v>
      </c>
      <c r="L64" s="1118" t="s">
        <v>5377</v>
      </c>
      <c r="M64" s="574"/>
      <c r="N64" s="901"/>
      <c r="O64" s="901"/>
      <c r="P64" s="801"/>
      <c r="Q64" s="801"/>
      <c r="R64" s="801"/>
      <c r="S64" s="801"/>
      <c r="T64" s="801"/>
      <c r="U64" s="801"/>
      <c r="V64" s="1607"/>
      <c r="W64" s="1191"/>
      <c r="X64" s="1191"/>
      <c r="Y64" s="1191"/>
      <c r="Z64" s="1191"/>
      <c r="AV64" s="1547"/>
      <c r="AW64" s="1547"/>
      <c r="AX64" s="1547"/>
      <c r="AY64" s="1547"/>
      <c r="AZ64" s="1547"/>
      <c r="BA64" s="1547"/>
      <c r="DA64" s="1442">
        <v>0</v>
      </c>
      <c r="DB64" s="3217">
        <v>0</v>
      </c>
      <c r="DC64" s="3217">
        <v>0</v>
      </c>
      <c r="DD64" s="3217">
        <v>0</v>
      </c>
      <c r="DE64" s="3217">
        <v>0</v>
      </c>
    </row>
    <row r="65" spans="1:131" ht="16.350000000000001" customHeight="1" x14ac:dyDescent="0.3">
      <c r="A65" s="7258" t="s">
        <v>4109</v>
      </c>
      <c r="B65" s="8915" t="s">
        <v>2657</v>
      </c>
      <c r="C65" s="8915"/>
      <c r="D65" s="7264" t="s">
        <v>5369</v>
      </c>
      <c r="E65" s="2497" t="s">
        <v>5370</v>
      </c>
      <c r="F65" s="7084" t="s">
        <v>5371</v>
      </c>
      <c r="G65" s="7084" t="s">
        <v>5372</v>
      </c>
      <c r="H65" s="2673" t="s">
        <v>5373</v>
      </c>
      <c r="I65" s="2492" t="s">
        <v>5374</v>
      </c>
      <c r="J65" s="2543" t="s">
        <v>5375</v>
      </c>
      <c r="K65" s="1665" t="s">
        <v>5376</v>
      </c>
      <c r="L65" s="1118" t="s">
        <v>5377</v>
      </c>
      <c r="M65" s="574"/>
      <c r="N65" s="901"/>
      <c r="O65" s="901"/>
      <c r="P65" s="801"/>
      <c r="Q65" s="801"/>
      <c r="R65" s="801"/>
      <c r="S65" s="801"/>
      <c r="T65" s="801"/>
      <c r="U65" s="801"/>
      <c r="V65" s="1620"/>
      <c r="W65" s="1191"/>
      <c r="X65" s="1191"/>
      <c r="Y65" s="1191"/>
      <c r="Z65" s="1191"/>
      <c r="AV65" s="1547"/>
      <c r="AW65" s="1547"/>
      <c r="AX65" s="1547"/>
      <c r="AY65" s="1547"/>
      <c r="AZ65" s="1547"/>
      <c r="BA65" s="1547"/>
      <c r="DA65" s="1442">
        <v>0</v>
      </c>
      <c r="DB65" s="3217">
        <v>0</v>
      </c>
      <c r="DC65" s="3217">
        <v>0</v>
      </c>
      <c r="DD65" s="3217">
        <v>0</v>
      </c>
      <c r="DE65" s="3217">
        <v>0</v>
      </c>
    </row>
    <row r="66" spans="1:131" ht="16.350000000000001" customHeight="1" x14ac:dyDescent="0.3">
      <c r="A66" s="7258" t="s">
        <v>4110</v>
      </c>
      <c r="B66" s="8863" t="s">
        <v>2659</v>
      </c>
      <c r="C66" s="8864"/>
      <c r="D66" s="7264" t="s">
        <v>5369</v>
      </c>
      <c r="E66" s="4504" t="s">
        <v>5370</v>
      </c>
      <c r="F66" s="7081" t="s">
        <v>5371</v>
      </c>
      <c r="G66" s="7081" t="s">
        <v>5372</v>
      </c>
      <c r="H66" s="2533" t="s">
        <v>5373</v>
      </c>
      <c r="I66" s="2464" t="s">
        <v>5374</v>
      </c>
      <c r="J66" s="2566" t="s">
        <v>5375</v>
      </c>
      <c r="K66" s="1666" t="s">
        <v>5376</v>
      </c>
      <c r="L66" s="1622" t="s">
        <v>5377</v>
      </c>
      <c r="M66" s="574"/>
      <c r="N66" s="901"/>
      <c r="O66" s="901"/>
      <c r="P66" s="801"/>
      <c r="Q66" s="801"/>
      <c r="R66" s="801"/>
      <c r="S66" s="801"/>
      <c r="T66" s="801"/>
      <c r="U66" s="801"/>
      <c r="V66" s="894"/>
      <c r="W66" s="1191"/>
      <c r="X66" s="1191"/>
      <c r="Y66" s="1191"/>
      <c r="Z66" s="1191"/>
      <c r="AV66" s="1547"/>
      <c r="AW66" s="1547"/>
      <c r="AX66" s="1547"/>
      <c r="AY66" s="1547"/>
      <c r="AZ66" s="1547"/>
      <c r="BA66" s="1547"/>
      <c r="DA66" s="1442">
        <v>0</v>
      </c>
      <c r="DB66" s="3217">
        <v>0</v>
      </c>
      <c r="DC66" s="3217">
        <v>0</v>
      </c>
      <c r="DD66" s="3217">
        <v>0</v>
      </c>
      <c r="DE66" s="3217">
        <v>0</v>
      </c>
      <c r="DF66" s="3217">
        <v>0</v>
      </c>
      <c r="DG66" s="3217">
        <v>0</v>
      </c>
      <c r="DH66" s="3217">
        <v>0</v>
      </c>
    </row>
    <row r="67" spans="1:131" ht="30" customHeight="1" x14ac:dyDescent="0.3">
      <c r="B67" s="916" t="s">
        <v>2934</v>
      </c>
      <c r="C67" s="915"/>
      <c r="D67" s="915"/>
      <c r="E67" s="915"/>
      <c r="F67" s="915"/>
      <c r="G67" s="915"/>
      <c r="H67" s="915"/>
      <c r="I67" s="915"/>
      <c r="J67" s="915"/>
      <c r="K67" s="72"/>
      <c r="L67" s="72"/>
      <c r="M67" s="574"/>
      <c r="N67" s="901"/>
      <c r="O67" s="901"/>
      <c r="P67" s="801"/>
      <c r="Q67" s="801"/>
      <c r="R67" s="801"/>
      <c r="S67" s="801"/>
      <c r="T67" s="801"/>
      <c r="U67" s="801"/>
      <c r="V67" s="2988"/>
      <c r="W67" s="1191"/>
      <c r="X67" s="1191"/>
      <c r="Y67" s="1191"/>
      <c r="Z67" s="1191"/>
      <c r="AV67" s="1547"/>
      <c r="AW67" s="1547"/>
      <c r="AX67" s="1547"/>
      <c r="AY67" s="1547"/>
      <c r="AZ67" s="1547"/>
      <c r="BA67" s="1547"/>
    </row>
    <row r="68" spans="1:131" ht="16.350000000000001" customHeight="1" x14ac:dyDescent="0.3">
      <c r="B68" s="8606" t="s">
        <v>1407</v>
      </c>
      <c r="C68" s="8682" t="s">
        <v>807</v>
      </c>
      <c r="D68" s="8559"/>
      <c r="E68" s="8606"/>
      <c r="F68" s="8923" t="s">
        <v>2</v>
      </c>
      <c r="G68" s="8923"/>
      <c r="H68" s="8923"/>
      <c r="I68" s="8924"/>
      <c r="J68" s="8703" t="s">
        <v>2932</v>
      </c>
      <c r="K68" s="8917"/>
      <c r="L68" s="8735" t="s">
        <v>2933</v>
      </c>
      <c r="M68" s="8917"/>
      <c r="N68" s="901"/>
      <c r="O68" s="801"/>
      <c r="P68" s="801"/>
      <c r="Q68" s="801"/>
      <c r="R68" s="801"/>
      <c r="S68" s="801"/>
      <c r="T68" s="801"/>
      <c r="U68" s="2988"/>
      <c r="V68" s="1191"/>
      <c r="W68" s="1191"/>
      <c r="X68" s="1191"/>
      <c r="Y68" s="1191"/>
      <c r="Z68" s="1191"/>
      <c r="AU68" s="1547"/>
      <c r="AV68" s="1547"/>
      <c r="AW68" s="1547"/>
      <c r="AX68" s="1547"/>
      <c r="AY68" s="1547"/>
      <c r="AZ68" s="1547"/>
      <c r="BA68" s="1547"/>
    </row>
    <row r="69" spans="1:131" ht="16.350000000000001" customHeight="1" x14ac:dyDescent="0.3">
      <c r="B69" s="8581"/>
      <c r="C69" s="8922"/>
      <c r="D69" s="8598"/>
      <c r="E69" s="8607"/>
      <c r="F69" s="8735" t="s">
        <v>2932</v>
      </c>
      <c r="G69" s="8917"/>
      <c r="H69" s="8703" t="s">
        <v>2933</v>
      </c>
      <c r="I69" s="8736"/>
      <c r="J69" s="8925" t="s">
        <v>362</v>
      </c>
      <c r="K69" s="8920" t="s">
        <v>361</v>
      </c>
      <c r="L69" s="8918" t="s">
        <v>362</v>
      </c>
      <c r="M69" s="8920" t="s">
        <v>361</v>
      </c>
      <c r="N69" s="901"/>
      <c r="O69" s="801"/>
      <c r="P69" s="801"/>
      <c r="Q69" s="801"/>
      <c r="R69" s="801"/>
      <c r="S69" s="801"/>
      <c r="T69" s="801"/>
      <c r="U69" s="2988"/>
      <c r="V69" s="1191"/>
      <c r="W69" s="1191"/>
      <c r="X69" s="1191"/>
      <c r="Y69" s="1191"/>
      <c r="Z69" s="1191"/>
      <c r="AU69" s="1547"/>
      <c r="AV69" s="1547"/>
      <c r="AW69" s="1547"/>
      <c r="AX69" s="1547"/>
      <c r="AY69" s="1547"/>
      <c r="AZ69" s="1547"/>
      <c r="BA69" s="1547"/>
    </row>
    <row r="70" spans="1:131" ht="16.350000000000001" customHeight="1" x14ac:dyDescent="0.3">
      <c r="B70" s="8607"/>
      <c r="C70" s="3262" t="s">
        <v>42</v>
      </c>
      <c r="D70" s="2993" t="s">
        <v>17</v>
      </c>
      <c r="E70" s="3260" t="s">
        <v>18</v>
      </c>
      <c r="F70" s="2999" t="s">
        <v>17</v>
      </c>
      <c r="G70" s="3049" t="s">
        <v>18</v>
      </c>
      <c r="H70" s="2999" t="s">
        <v>17</v>
      </c>
      <c r="I70" s="3038" t="s">
        <v>18</v>
      </c>
      <c r="J70" s="8926"/>
      <c r="K70" s="8921"/>
      <c r="L70" s="8919"/>
      <c r="M70" s="8921"/>
      <c r="N70" s="901"/>
      <c r="O70" s="801"/>
      <c r="P70" s="801"/>
      <c r="Q70" s="801"/>
      <c r="R70" s="801"/>
      <c r="S70" s="801"/>
      <c r="T70" s="801"/>
      <c r="U70" s="2988"/>
      <c r="V70" s="1191"/>
      <c r="W70" s="1191"/>
      <c r="X70" s="1191"/>
      <c r="Y70" s="1191"/>
      <c r="Z70" s="1191"/>
      <c r="AU70" s="1547"/>
      <c r="AV70" s="1547"/>
      <c r="AW70" s="1547"/>
      <c r="AX70" s="1547"/>
      <c r="AY70" s="1547"/>
      <c r="AZ70" s="1547"/>
      <c r="BA70" s="1547"/>
    </row>
    <row r="71" spans="1:131" ht="16.350000000000001" customHeight="1" x14ac:dyDescent="0.3">
      <c r="A71" s="7259" t="s">
        <v>4111</v>
      </c>
      <c r="B71" s="3234" t="s">
        <v>1453</v>
      </c>
      <c r="C71" s="7008" t="s">
        <v>5369</v>
      </c>
      <c r="D71" s="7009" t="s">
        <v>5370</v>
      </c>
      <c r="E71" s="7010" t="s">
        <v>5371</v>
      </c>
      <c r="F71" s="3036" t="s">
        <v>5372</v>
      </c>
      <c r="G71" s="2814" t="s">
        <v>5373</v>
      </c>
      <c r="H71" s="2985" t="s">
        <v>5374</v>
      </c>
      <c r="I71" s="2413" t="s">
        <v>5375</v>
      </c>
      <c r="J71" s="3032" t="s">
        <v>5376</v>
      </c>
      <c r="K71" s="2986" t="s">
        <v>5377</v>
      </c>
      <c r="L71" s="3032" t="s">
        <v>5378</v>
      </c>
      <c r="M71" s="2986" t="s">
        <v>5379</v>
      </c>
      <c r="N71" s="3212" t="s">
        <v>3982</v>
      </c>
      <c r="O71" s="801"/>
      <c r="P71" s="801"/>
      <c r="Q71" s="801"/>
      <c r="R71" s="801"/>
      <c r="S71" s="801"/>
      <c r="T71" s="801"/>
      <c r="U71" s="2988"/>
      <c r="V71" s="1191"/>
      <c r="W71" s="1191"/>
      <c r="X71" s="1191"/>
      <c r="Y71" s="1191"/>
      <c r="Z71" s="1191"/>
      <c r="AU71" s="1547"/>
      <c r="AV71" s="1547"/>
      <c r="AW71" s="1547"/>
      <c r="AX71" s="1547"/>
      <c r="AY71" s="1547"/>
      <c r="AZ71" s="1547"/>
      <c r="BA71" s="1547"/>
      <c r="DB71" s="3217">
        <v>0</v>
      </c>
      <c r="DC71" s="3217">
        <v>0</v>
      </c>
      <c r="DD71" s="3217">
        <v>0</v>
      </c>
      <c r="DE71" s="3217">
        <v>0</v>
      </c>
      <c r="DF71" s="3217">
        <v>0</v>
      </c>
      <c r="DG71" s="3217">
        <v>0</v>
      </c>
      <c r="DH71" s="3217">
        <v>0</v>
      </c>
      <c r="DI71" s="3217">
        <v>0</v>
      </c>
    </row>
    <row r="72" spans="1:131" ht="16.350000000000001" customHeight="1" x14ac:dyDescent="0.3">
      <c r="A72" s="7259" t="s">
        <v>4112</v>
      </c>
      <c r="B72" s="3381" t="s">
        <v>1482</v>
      </c>
      <c r="C72" s="7011" t="s">
        <v>5369</v>
      </c>
      <c r="D72" s="7012" t="s">
        <v>5370</v>
      </c>
      <c r="E72" s="7013" t="s">
        <v>5371</v>
      </c>
      <c r="F72" s="2822" t="s">
        <v>5372</v>
      </c>
      <c r="G72" s="2826" t="s">
        <v>5373</v>
      </c>
      <c r="H72" s="2822" t="s">
        <v>5374</v>
      </c>
      <c r="I72" s="2909" t="s">
        <v>5375</v>
      </c>
      <c r="J72" s="2852" t="s">
        <v>5376</v>
      </c>
      <c r="K72" s="1118" t="s">
        <v>5377</v>
      </c>
      <c r="L72" s="1665" t="s">
        <v>5378</v>
      </c>
      <c r="M72" s="1118" t="s">
        <v>5379</v>
      </c>
      <c r="N72" s="3212" t="s">
        <v>3982</v>
      </c>
      <c r="O72" s="801"/>
      <c r="P72" s="801"/>
      <c r="Q72" s="801"/>
      <c r="R72" s="801"/>
      <c r="S72" s="801"/>
      <c r="T72" s="801"/>
      <c r="U72" s="2988"/>
      <c r="V72" s="1191"/>
      <c r="W72" s="1191"/>
      <c r="X72" s="1191"/>
      <c r="Y72" s="1191"/>
      <c r="Z72" s="1191"/>
      <c r="AU72" s="1547"/>
      <c r="AV72" s="1547"/>
      <c r="AW72" s="1547"/>
      <c r="AX72" s="1547"/>
      <c r="AY72" s="1547"/>
      <c r="AZ72" s="1547"/>
      <c r="BA72" s="1547"/>
      <c r="CF72" s="1442" t="s">
        <v>3980</v>
      </c>
      <c r="CG72" s="1442" t="s">
        <v>3981</v>
      </c>
      <c r="DB72" s="3217">
        <v>0</v>
      </c>
      <c r="DC72" s="3217">
        <v>0</v>
      </c>
      <c r="DD72" s="3217">
        <v>0</v>
      </c>
      <c r="DE72" s="3217">
        <v>0</v>
      </c>
      <c r="DF72" s="3217">
        <v>0</v>
      </c>
      <c r="DG72" s="3217">
        <v>0</v>
      </c>
      <c r="DH72" s="3217">
        <v>0</v>
      </c>
      <c r="DI72" s="3217">
        <v>0</v>
      </c>
    </row>
    <row r="73" spans="1:131" ht="16.350000000000001" customHeight="1" x14ac:dyDescent="0.3">
      <c r="A73" s="7259" t="s">
        <v>4113</v>
      </c>
      <c r="B73" s="3382" t="s">
        <v>2931</v>
      </c>
      <c r="C73" s="7014" t="s">
        <v>5369</v>
      </c>
      <c r="D73" s="7015" t="s">
        <v>5370</v>
      </c>
      <c r="E73" s="7016" t="s">
        <v>5371</v>
      </c>
      <c r="F73" s="2825" t="s">
        <v>5372</v>
      </c>
      <c r="G73" s="2479" t="s">
        <v>5373</v>
      </c>
      <c r="H73" s="2825" t="s">
        <v>5374</v>
      </c>
      <c r="I73" s="2484" t="s">
        <v>5375</v>
      </c>
      <c r="J73" s="2477" t="s">
        <v>5376</v>
      </c>
      <c r="K73" s="3046" t="s">
        <v>5377</v>
      </c>
      <c r="L73" s="3045" t="s">
        <v>5378</v>
      </c>
      <c r="M73" s="3046" t="s">
        <v>5379</v>
      </c>
      <c r="N73" s="3212" t="s">
        <v>3982</v>
      </c>
      <c r="O73" s="801"/>
      <c r="P73" s="801"/>
      <c r="Q73" s="801"/>
      <c r="R73" s="801"/>
      <c r="S73" s="801"/>
      <c r="T73" s="801"/>
      <c r="U73" s="2988"/>
      <c r="V73" s="1191"/>
      <c r="W73" s="1191"/>
      <c r="X73" s="1191"/>
      <c r="Y73" s="1191"/>
      <c r="Z73" s="1191"/>
      <c r="AU73" s="1547"/>
      <c r="AV73" s="1547"/>
      <c r="AW73" s="1547"/>
      <c r="AX73" s="1547"/>
      <c r="AY73" s="1547"/>
      <c r="AZ73" s="1547"/>
      <c r="BA73" s="1547"/>
      <c r="CF73" s="1442" t="s">
        <v>3980</v>
      </c>
      <c r="CG73" s="1442" t="s">
        <v>3981</v>
      </c>
      <c r="DB73" s="3217">
        <v>0</v>
      </c>
      <c r="DC73" s="3217">
        <v>0</v>
      </c>
      <c r="DD73" s="3217">
        <v>0</v>
      </c>
      <c r="DE73" s="3217">
        <v>0</v>
      </c>
      <c r="DF73" s="3217">
        <v>0</v>
      </c>
      <c r="DG73" s="3217">
        <v>0</v>
      </c>
      <c r="DH73" s="3217">
        <v>0</v>
      </c>
      <c r="DI73" s="3217">
        <v>0</v>
      </c>
    </row>
    <row r="74" spans="1:131" s="1191" customFormat="1" ht="31.35" customHeight="1" x14ac:dyDescent="0.3">
      <c r="B74" s="292" t="s">
        <v>1472</v>
      </c>
      <c r="C74" s="288"/>
      <c r="D74" s="288"/>
      <c r="E74" s="288"/>
      <c r="F74" s="288"/>
      <c r="G74" s="288"/>
      <c r="H74" s="288"/>
      <c r="I74" s="801"/>
      <c r="J74" s="801"/>
      <c r="K74" s="801"/>
      <c r="L74" s="801"/>
      <c r="M74" s="801"/>
      <c r="N74" s="801"/>
      <c r="O74" s="801"/>
      <c r="P74" s="801"/>
      <c r="Q74" s="801"/>
      <c r="R74" s="801"/>
      <c r="S74" s="801"/>
      <c r="T74" s="801"/>
      <c r="U74" s="801"/>
      <c r="V74" s="903"/>
      <c r="W74" s="903"/>
      <c r="X74" s="903"/>
      <c r="Y74" s="903"/>
      <c r="Z74" s="903"/>
      <c r="AA74" s="886"/>
      <c r="AB74" s="886"/>
      <c r="CB74" s="1442"/>
      <c r="CC74" s="1442"/>
      <c r="CD74" s="1442"/>
      <c r="CE74" s="1442"/>
      <c r="CF74" s="1442"/>
      <c r="CG74" s="1442"/>
      <c r="CH74" s="1442"/>
      <c r="CI74" s="1442"/>
      <c r="CJ74" s="1442"/>
      <c r="CK74" s="1442"/>
      <c r="CL74" s="1442"/>
      <c r="CM74" s="1442"/>
      <c r="CN74" s="1442"/>
      <c r="CO74" s="1442"/>
      <c r="CP74" s="1442"/>
      <c r="CQ74" s="1442"/>
      <c r="CR74" s="1442"/>
      <c r="CS74" s="1442"/>
      <c r="CT74" s="1442"/>
      <c r="CU74" s="1442"/>
      <c r="CV74" s="1442"/>
      <c r="CW74" s="1442"/>
      <c r="CX74" s="1442"/>
      <c r="CY74" s="1442"/>
      <c r="CZ74" s="1442"/>
      <c r="DA74" s="1442"/>
      <c r="DB74" s="3217"/>
      <c r="DC74" s="3217"/>
      <c r="DD74" s="3217"/>
      <c r="DE74" s="3217"/>
      <c r="DF74" s="3217"/>
      <c r="DG74" s="3217"/>
      <c r="DH74" s="3217"/>
      <c r="DI74" s="3217"/>
      <c r="DJ74" s="3217"/>
      <c r="DK74" s="3217"/>
      <c r="DL74" s="3217"/>
      <c r="DM74" s="3217"/>
      <c r="DN74" s="3217"/>
      <c r="DO74" s="3217"/>
      <c r="DP74" s="3217"/>
      <c r="DQ74" s="3217"/>
      <c r="DR74" s="3217"/>
      <c r="DS74" s="3217"/>
      <c r="DT74" s="3217"/>
      <c r="DU74" s="3217"/>
      <c r="DV74" s="3217"/>
      <c r="DW74" s="3217"/>
      <c r="DX74" s="3217"/>
      <c r="DY74" s="3217"/>
      <c r="DZ74" s="3217"/>
      <c r="EA74" s="3217"/>
    </row>
    <row r="75" spans="1:131" s="1191" customFormat="1" ht="31.35" customHeight="1" x14ac:dyDescent="0.3">
      <c r="B75" s="292" t="s">
        <v>1471</v>
      </c>
      <c r="C75" s="292"/>
      <c r="D75" s="292"/>
      <c r="E75" s="292"/>
      <c r="F75" s="292"/>
      <c r="G75" s="292"/>
      <c r="H75" s="292"/>
      <c r="I75" s="292"/>
      <c r="J75" s="292"/>
      <c r="K75" s="519"/>
      <c r="L75" s="902"/>
      <c r="M75" s="902"/>
      <c r="N75" s="902"/>
      <c r="O75" s="901"/>
      <c r="P75" s="901"/>
      <c r="Q75" s="901"/>
      <c r="R75" s="901"/>
      <c r="S75" s="901"/>
      <c r="T75" s="901"/>
      <c r="U75" s="901"/>
      <c r="V75" s="886"/>
      <c r="W75" s="886"/>
      <c r="X75" s="886"/>
      <c r="Y75" s="886"/>
      <c r="Z75" s="886"/>
      <c r="AA75" s="886"/>
      <c r="AB75" s="886"/>
      <c r="CB75" s="1442"/>
      <c r="CC75" s="1442"/>
      <c r="CD75" s="1442"/>
      <c r="CE75" s="1442"/>
      <c r="CF75" s="1442"/>
      <c r="CG75" s="1442"/>
      <c r="CH75" s="1442"/>
      <c r="CI75" s="1442"/>
      <c r="CJ75" s="1442"/>
      <c r="CK75" s="1442"/>
      <c r="CL75" s="1442"/>
      <c r="CM75" s="1442"/>
      <c r="CN75" s="1442"/>
      <c r="CO75" s="1442"/>
      <c r="CP75" s="1442"/>
      <c r="CQ75" s="1442"/>
      <c r="CR75" s="1442"/>
      <c r="CS75" s="1442"/>
      <c r="CT75" s="1442"/>
      <c r="CU75" s="1442"/>
      <c r="CV75" s="1442"/>
      <c r="CW75" s="1442"/>
      <c r="CX75" s="1442"/>
      <c r="CY75" s="1442"/>
      <c r="CZ75" s="1442"/>
      <c r="DA75" s="1442"/>
      <c r="DB75" s="3217"/>
      <c r="DC75" s="3217"/>
      <c r="DD75" s="3217"/>
      <c r="DE75" s="3217"/>
      <c r="DF75" s="3217"/>
      <c r="DG75" s="3217"/>
      <c r="DH75" s="3217"/>
      <c r="DI75" s="3217"/>
      <c r="DJ75" s="3217"/>
      <c r="DK75" s="3217"/>
      <c r="DL75" s="3217"/>
      <c r="DM75" s="3217"/>
      <c r="DN75" s="3217"/>
      <c r="DO75" s="3217"/>
      <c r="DP75" s="3217"/>
      <c r="DQ75" s="3217"/>
      <c r="DR75" s="3217"/>
      <c r="DS75" s="3217"/>
      <c r="DT75" s="3217"/>
      <c r="DU75" s="3217"/>
      <c r="DV75" s="3217"/>
      <c r="DW75" s="3217"/>
      <c r="DX75" s="3217"/>
      <c r="DY75" s="3217"/>
      <c r="DZ75" s="3217"/>
      <c r="EA75" s="3217"/>
    </row>
    <row r="76" spans="1:131" ht="16.350000000000001" customHeight="1" x14ac:dyDescent="0.3">
      <c r="B76" s="8704" t="s">
        <v>1470</v>
      </c>
      <c r="C76" s="8858" t="s">
        <v>24</v>
      </c>
      <c r="D76" s="900"/>
      <c r="E76" s="288"/>
      <c r="F76" s="288"/>
      <c r="G76" s="288"/>
      <c r="H76" s="288"/>
      <c r="I76" s="288"/>
      <c r="J76" s="288"/>
      <c r="K76" s="169"/>
      <c r="L76" s="169"/>
      <c r="M76" s="169"/>
      <c r="N76" s="801"/>
      <c r="O76" s="801"/>
      <c r="P76" s="801"/>
      <c r="Q76" s="801"/>
      <c r="R76" s="886"/>
      <c r="S76" s="886"/>
      <c r="T76" s="886"/>
      <c r="U76" s="886"/>
      <c r="V76" s="886"/>
      <c r="W76" s="886"/>
      <c r="X76" s="886"/>
      <c r="Y76" s="886"/>
      <c r="Z76" s="886"/>
      <c r="AA76" s="886"/>
      <c r="BA76" s="1547"/>
    </row>
    <row r="77" spans="1:131" ht="16.350000000000001" customHeight="1" x14ac:dyDescent="0.3">
      <c r="B77" s="8890"/>
      <c r="C77" s="8859"/>
      <c r="D77" s="288"/>
      <c r="E77" s="288"/>
      <c r="F77" s="288"/>
      <c r="G77" s="288"/>
      <c r="H77" s="288"/>
      <c r="I77" s="288"/>
      <c r="J77" s="288"/>
      <c r="K77" s="169"/>
      <c r="L77" s="169"/>
      <c r="M77" s="169"/>
      <c r="N77" s="801"/>
      <c r="O77" s="801"/>
      <c r="P77" s="801"/>
      <c r="Q77" s="801"/>
      <c r="R77" s="886"/>
      <c r="S77" s="886"/>
      <c r="T77" s="886"/>
      <c r="U77" s="886"/>
      <c r="V77" s="886"/>
      <c r="W77" s="886"/>
      <c r="X77" s="886"/>
      <c r="Y77" s="886"/>
      <c r="Z77" s="886"/>
      <c r="AA77" s="886"/>
      <c r="BA77" s="1547"/>
    </row>
    <row r="78" spans="1:131" ht="16.350000000000001" customHeight="1" x14ac:dyDescent="0.3">
      <c r="B78" s="899" t="s">
        <v>24</v>
      </c>
      <c r="C78" s="899">
        <f>SUM(C79:C82)</f>
        <v>0</v>
      </c>
      <c r="D78" s="150"/>
      <c r="E78" s="288"/>
      <c r="F78" s="288"/>
      <c r="G78" s="288"/>
      <c r="H78" s="288"/>
      <c r="I78" s="288"/>
      <c r="J78" s="288"/>
      <c r="K78" s="169"/>
      <c r="L78" s="169"/>
      <c r="M78" s="169"/>
      <c r="N78" s="801"/>
      <c r="O78" s="801"/>
      <c r="P78" s="801"/>
      <c r="Q78" s="801"/>
      <c r="R78" s="886"/>
      <c r="S78" s="886"/>
      <c r="T78" s="879"/>
      <c r="U78" s="879"/>
      <c r="V78" s="879"/>
      <c r="W78" s="879"/>
      <c r="X78" s="879"/>
      <c r="Y78" s="879"/>
      <c r="Z78" s="886"/>
      <c r="AA78" s="886"/>
      <c r="BA78" s="1547"/>
    </row>
    <row r="79" spans="1:131" ht="16.350000000000001" customHeight="1" x14ac:dyDescent="0.3">
      <c r="A79" s="7258" t="s">
        <v>4114</v>
      </c>
      <c r="B79" s="87" t="s">
        <v>1469</v>
      </c>
      <c r="C79" s="91" t="s">
        <v>5369</v>
      </c>
      <c r="D79" s="150"/>
      <c r="E79" s="288"/>
      <c r="F79" s="288"/>
      <c r="G79" s="288"/>
      <c r="H79" s="288"/>
      <c r="I79" s="288"/>
      <c r="J79" s="288"/>
      <c r="K79" s="169"/>
      <c r="L79" s="169"/>
      <c r="M79" s="169"/>
      <c r="N79" s="801"/>
      <c r="O79" s="801"/>
      <c r="P79" s="801"/>
      <c r="Q79" s="801"/>
      <c r="R79" s="886"/>
      <c r="S79" s="886"/>
      <c r="T79" s="879"/>
      <c r="U79" s="879"/>
      <c r="V79" s="879"/>
      <c r="W79" s="879"/>
      <c r="X79" s="879"/>
      <c r="Y79" s="879"/>
      <c r="Z79" s="886"/>
      <c r="AA79" s="886"/>
      <c r="BA79" s="1547"/>
    </row>
    <row r="80" spans="1:131" ht="16.350000000000001" customHeight="1" x14ac:dyDescent="0.3">
      <c r="A80" s="7258" t="s">
        <v>4115</v>
      </c>
      <c r="B80" s="109" t="s">
        <v>1451</v>
      </c>
      <c r="C80" s="123" t="s">
        <v>5369</v>
      </c>
      <c r="D80" s="150"/>
      <c r="E80" s="288"/>
      <c r="F80" s="288"/>
      <c r="G80" s="288"/>
      <c r="H80" s="288"/>
      <c r="I80" s="288"/>
      <c r="J80" s="288"/>
      <c r="K80" s="169"/>
      <c r="L80" s="169"/>
      <c r="M80" s="169"/>
      <c r="N80" s="801"/>
      <c r="O80" s="801"/>
      <c r="P80" s="801"/>
      <c r="Q80" s="801"/>
      <c r="R80" s="886"/>
      <c r="S80" s="886"/>
      <c r="T80" s="879"/>
      <c r="U80" s="879"/>
      <c r="V80" s="879"/>
      <c r="W80" s="879"/>
      <c r="X80" s="879"/>
      <c r="Y80" s="879"/>
      <c r="Z80" s="886"/>
      <c r="AA80" s="886"/>
      <c r="BA80" s="1547"/>
    </row>
    <row r="81" spans="1:107" ht="16.350000000000001" customHeight="1" x14ac:dyDescent="0.3">
      <c r="A81" s="7258" t="s">
        <v>4116</v>
      </c>
      <c r="B81" s="109" t="s">
        <v>1453</v>
      </c>
      <c r="C81" s="123" t="s">
        <v>5369</v>
      </c>
      <c r="D81" s="150"/>
      <c r="E81" s="288"/>
      <c r="F81" s="288"/>
      <c r="G81" s="288"/>
      <c r="H81" s="288"/>
      <c r="I81" s="288"/>
      <c r="J81" s="288"/>
      <c r="K81" s="169"/>
      <c r="L81" s="169"/>
      <c r="M81" s="169"/>
      <c r="N81" s="801"/>
      <c r="O81" s="801"/>
      <c r="P81" s="801"/>
      <c r="Q81" s="801"/>
      <c r="R81" s="886"/>
      <c r="S81" s="886"/>
      <c r="T81" s="879"/>
      <c r="U81" s="879"/>
      <c r="V81" s="879"/>
      <c r="W81" s="879"/>
      <c r="X81" s="879"/>
      <c r="Y81" s="879"/>
      <c r="Z81" s="886"/>
      <c r="AA81" s="886"/>
      <c r="BA81" s="1547"/>
    </row>
    <row r="82" spans="1:107" ht="16.350000000000001" customHeight="1" x14ac:dyDescent="0.3">
      <c r="A82" s="7258" t="s">
        <v>4117</v>
      </c>
      <c r="B82" s="81" t="s">
        <v>1452</v>
      </c>
      <c r="C82" s="86" t="s">
        <v>5369</v>
      </c>
      <c r="D82" s="150"/>
      <c r="E82" s="288"/>
      <c r="F82" s="288"/>
      <c r="G82" s="288"/>
      <c r="H82" s="288"/>
      <c r="I82" s="288"/>
      <c r="J82" s="288"/>
      <c r="K82" s="169"/>
      <c r="L82" s="169"/>
      <c r="M82" s="169"/>
      <c r="N82" s="801"/>
      <c r="O82" s="801"/>
      <c r="P82" s="801"/>
      <c r="Q82" s="801"/>
      <c r="R82" s="886"/>
      <c r="S82" s="886"/>
      <c r="T82" s="879"/>
      <c r="U82" s="879"/>
      <c r="V82" s="879"/>
      <c r="W82" s="879"/>
      <c r="X82" s="879"/>
      <c r="Y82" s="879"/>
      <c r="Z82" s="886"/>
      <c r="AA82" s="886"/>
      <c r="BA82" s="1547"/>
    </row>
    <row r="83" spans="1:107" ht="31.35" customHeight="1" x14ac:dyDescent="0.3">
      <c r="B83" s="72" t="s">
        <v>1468</v>
      </c>
      <c r="C83" s="72"/>
      <c r="D83" s="72"/>
      <c r="E83" s="72"/>
      <c r="F83" s="72"/>
      <c r="G83" s="292"/>
      <c r="H83" s="292"/>
      <c r="I83" s="292"/>
      <c r="J83" s="292"/>
      <c r="K83" s="288"/>
      <c r="L83" s="889"/>
      <c r="M83" s="889"/>
      <c r="N83" s="889"/>
      <c r="O83" s="801"/>
      <c r="P83" s="801"/>
      <c r="Q83" s="801"/>
      <c r="R83" s="801"/>
      <c r="S83" s="886"/>
      <c r="T83" s="886"/>
      <c r="U83" s="886"/>
      <c r="V83" s="879"/>
      <c r="W83" s="879"/>
      <c r="X83" s="879"/>
      <c r="Y83" s="879"/>
      <c r="Z83" s="879"/>
      <c r="AA83" s="886"/>
      <c r="AB83" s="886"/>
      <c r="BB83" s="1191"/>
      <c r="BC83" s="1191"/>
      <c r="BD83" s="1191"/>
      <c r="BE83" s="1191"/>
      <c r="BF83" s="1191"/>
      <c r="BG83" s="1191"/>
      <c r="BH83" s="1191"/>
      <c r="BI83" s="1191"/>
      <c r="BJ83" s="1191"/>
      <c r="BK83" s="1191"/>
      <c r="BL83" s="1191"/>
      <c r="BM83" s="1191"/>
      <c r="BN83" s="1191"/>
      <c r="BO83" s="1191"/>
      <c r="BP83" s="1191"/>
      <c r="BQ83" s="1191"/>
      <c r="BR83" s="1191"/>
      <c r="BS83" s="1191"/>
      <c r="BT83" s="1191"/>
    </row>
    <row r="84" spans="1:107" ht="58.5" customHeight="1" x14ac:dyDescent="0.3">
      <c r="B84" s="2960" t="s">
        <v>47</v>
      </c>
      <c r="C84" s="2103" t="s">
        <v>2937</v>
      </c>
      <c r="D84" s="2103" t="s">
        <v>1374</v>
      </c>
      <c r="E84" s="2103" t="s">
        <v>2936</v>
      </c>
      <c r="F84" s="2103" t="s">
        <v>2935</v>
      </c>
      <c r="G84" s="288"/>
      <c r="H84" s="288"/>
      <c r="I84" s="288"/>
      <c r="J84" s="288"/>
      <c r="K84" s="889"/>
      <c r="L84" s="889"/>
      <c r="M84" s="889"/>
      <c r="N84" s="801"/>
      <c r="O84" s="801"/>
      <c r="P84" s="801"/>
      <c r="Q84" s="801"/>
      <c r="R84" s="886"/>
      <c r="S84" s="886"/>
      <c r="T84" s="886"/>
      <c r="U84" s="879"/>
      <c r="V84" s="879"/>
      <c r="W84" s="879"/>
      <c r="X84" s="879"/>
      <c r="Y84" s="879"/>
      <c r="Z84" s="886"/>
      <c r="AA84" s="886"/>
      <c r="BA84" s="1547"/>
      <c r="CG84" s="1442">
        <v>0</v>
      </c>
    </row>
    <row r="85" spans="1:107" ht="21.75" customHeight="1" x14ac:dyDescent="0.3">
      <c r="A85" s="7258" t="s">
        <v>4118</v>
      </c>
      <c r="B85" s="2963" t="s">
        <v>1467</v>
      </c>
      <c r="C85" s="1653" t="s">
        <v>5369</v>
      </c>
      <c r="D85" s="1653" t="s">
        <v>5370</v>
      </c>
      <c r="E85" s="1653" t="s">
        <v>5371</v>
      </c>
      <c r="F85" s="1653" t="s">
        <v>5372</v>
      </c>
      <c r="G85" s="288" t="str">
        <f>CA85&amp;CB85&amp;CC85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H85" s="288"/>
      <c r="I85" s="288"/>
      <c r="J85" s="288"/>
      <c r="K85" s="889"/>
      <c r="L85" s="889"/>
      <c r="M85" s="889"/>
      <c r="N85" s="801"/>
      <c r="O85" s="801"/>
      <c r="P85" s="801"/>
      <c r="Q85" s="801"/>
      <c r="R85" s="1608"/>
      <c r="S85" s="1608"/>
      <c r="T85" s="1608"/>
      <c r="U85" s="1609"/>
      <c r="V85" s="1609"/>
      <c r="W85" s="1609"/>
      <c r="X85" s="1609"/>
      <c r="Y85" s="1609"/>
      <c r="Z85" s="1608"/>
      <c r="AA85" s="1608"/>
      <c r="BA85" s="1547"/>
      <c r="BU85" s="1191" t="str">
        <f t="shared" ref="BU85:BW86" si="0">IF(CA85=1,"* Las Aplicaciones de EPSA con resultado de Riesgo NO DEBE ser MAYOR que el Total de las aplicaciones. ","")</f>
        <v/>
      </c>
      <c r="BV85" s="1191" t="str">
        <f t="shared" si="0"/>
        <v/>
      </c>
      <c r="BW85" s="1191" t="str">
        <f t="shared" si="0"/>
        <v/>
      </c>
      <c r="BX85" s="1191" t="str">
        <f t="shared" ref="BX85:BZ86" si="1">IF(CD85=1,"* Las Aplicaciones de EPSA con resultado de Riesgo NO DEBE ser MAYOR que el Total de las aplicaciones. ","")</f>
        <v/>
      </c>
      <c r="BY85" s="1191" t="str">
        <f t="shared" si="1"/>
        <v/>
      </c>
      <c r="BZ85" s="1191" t="str">
        <f t="shared" si="1"/>
        <v/>
      </c>
      <c r="CA85" s="1191" t="str">
        <f>IF(CG85=1,"*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B85" s="1442" t="str">
        <f>IF(CH85=1,"*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C85" s="1442" t="str">
        <f>IF(CI85=1,"*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G85" s="1442">
        <f>IF(C85&lt;D85,1,0)</f>
        <v>1</v>
      </c>
      <c r="CH85" s="1442">
        <f>IF(D85&lt;E85,1,0)</f>
        <v>1</v>
      </c>
      <c r="CI85" s="1442">
        <f>IF(F85&gt;C85,1,0)</f>
        <v>1</v>
      </c>
    </row>
    <row r="86" spans="1:107" ht="22.5" customHeight="1" x14ac:dyDescent="0.3">
      <c r="A86" s="7258" t="s">
        <v>4119</v>
      </c>
      <c r="B86" s="2961" t="s">
        <v>2155</v>
      </c>
      <c r="C86" s="1652" t="s">
        <v>5369</v>
      </c>
      <c r="D86" s="1652" t="s">
        <v>5370</v>
      </c>
      <c r="E86" s="1652" t="s">
        <v>5371</v>
      </c>
      <c r="F86" s="1652" t="s">
        <v>5372</v>
      </c>
      <c r="G86" s="288" t="str">
        <f>CA86&amp;CB86&amp;CC86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H86" s="1551"/>
      <c r="I86" s="1551"/>
      <c r="J86" s="1551"/>
      <c r="K86" s="1551"/>
      <c r="L86" s="1551"/>
      <c r="M86" s="1551"/>
      <c r="N86" s="1551"/>
      <c r="O86" s="1551"/>
      <c r="P86" s="1551"/>
      <c r="Q86" s="1551"/>
      <c r="R86" s="886"/>
      <c r="S86" s="886"/>
      <c r="T86" s="886"/>
      <c r="U86" s="886"/>
      <c r="V86" s="886"/>
      <c r="W86" s="886"/>
      <c r="X86" s="886"/>
      <c r="Y86" s="886"/>
      <c r="Z86" s="886"/>
      <c r="AA86" s="886"/>
      <c r="BA86" s="1547"/>
      <c r="BU86" s="1191" t="str">
        <f t="shared" si="0"/>
        <v/>
      </c>
      <c r="BV86" s="1191" t="str">
        <f t="shared" si="0"/>
        <v/>
      </c>
      <c r="BW86" s="1191" t="str">
        <f t="shared" si="0"/>
        <v/>
      </c>
      <c r="BX86" s="1191" t="str">
        <f t="shared" si="1"/>
        <v/>
      </c>
      <c r="BY86" s="1191" t="str">
        <f t="shared" si="1"/>
        <v/>
      </c>
      <c r="BZ86" s="1191" t="str">
        <f t="shared" si="1"/>
        <v/>
      </c>
      <c r="CA86" s="1191" t="str">
        <f>IF(CG86=1,"*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B86" s="1442" t="str">
        <f>IF(CH86=1,"*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C86" s="1442" t="str">
        <f>IF(CI86=1,"*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G86" s="1442">
        <f>IF(C86&lt;D86,1,0)</f>
        <v>1</v>
      </c>
      <c r="CH86" s="1442">
        <f>IF(D86&lt;E86,1,0)</f>
        <v>1</v>
      </c>
      <c r="CI86" s="1442">
        <f>IF(F86&gt;C86,1,0)</f>
        <v>1</v>
      </c>
    </row>
    <row r="87" spans="1:107" ht="31.35" customHeight="1" x14ac:dyDescent="0.3">
      <c r="B87" s="72" t="s">
        <v>1466</v>
      </c>
      <c r="C87" s="72"/>
      <c r="D87" s="72"/>
      <c r="E87" s="72"/>
      <c r="F87" s="72"/>
      <c r="G87" s="292"/>
      <c r="H87" s="292"/>
      <c r="I87" s="292"/>
      <c r="J87" s="895"/>
      <c r="K87" s="887"/>
      <c r="L87" s="895"/>
      <c r="M87" s="886"/>
      <c r="N87" s="886"/>
      <c r="O87" s="886"/>
      <c r="P87" s="886"/>
      <c r="Q87" s="880"/>
      <c r="R87" s="887"/>
      <c r="S87" s="886"/>
      <c r="T87" s="886"/>
      <c r="U87" s="886"/>
      <c r="V87" s="886"/>
      <c r="W87" s="886"/>
      <c r="X87" s="886"/>
      <c r="Y87" s="886"/>
      <c r="Z87" s="886"/>
      <c r="AA87" s="886"/>
      <c r="AB87" s="886"/>
      <c r="BB87" s="1191"/>
      <c r="BC87" s="1191"/>
      <c r="BD87" s="1191"/>
      <c r="BE87" s="1191"/>
      <c r="BF87" s="1191"/>
      <c r="BG87" s="1191"/>
      <c r="BH87" s="1191"/>
      <c r="BI87" s="1191"/>
      <c r="BJ87" s="1191"/>
      <c r="BK87" s="1191"/>
      <c r="BL87" s="1191"/>
      <c r="BM87" s="1191"/>
      <c r="BN87" s="1191"/>
      <c r="BO87" s="1191"/>
      <c r="BP87" s="1191"/>
      <c r="BQ87" s="1191"/>
      <c r="BR87" s="1191"/>
      <c r="BS87" s="1191"/>
      <c r="BT87" s="1191"/>
      <c r="CH87" s="1442">
        <v>0</v>
      </c>
    </row>
    <row r="88" spans="1:107" ht="66.75" customHeight="1" x14ac:dyDescent="0.3">
      <c r="B88" s="8870" t="s">
        <v>31</v>
      </c>
      <c r="C88" s="8758"/>
      <c r="D88" s="2101" t="s">
        <v>1465</v>
      </c>
      <c r="E88" s="897" t="s">
        <v>1464</v>
      </c>
      <c r="F88" s="897" t="s">
        <v>1463</v>
      </c>
      <c r="G88" s="897" t="s">
        <v>1462</v>
      </c>
      <c r="H88" s="805"/>
      <c r="I88" s="805"/>
      <c r="J88" s="896"/>
      <c r="K88" s="896"/>
      <c r="L88" s="895"/>
      <c r="M88" s="886"/>
      <c r="N88" s="886"/>
      <c r="O88" s="886"/>
      <c r="P88" s="886"/>
      <c r="Q88" s="886"/>
      <c r="R88" s="886"/>
      <c r="S88" s="894"/>
      <c r="T88" s="801"/>
      <c r="U88" s="801"/>
      <c r="V88" s="801"/>
      <c r="W88" s="801"/>
      <c r="X88" s="801"/>
      <c r="Y88" s="801"/>
      <c r="Z88" s="801"/>
      <c r="AA88" s="801"/>
      <c r="AB88" s="801"/>
      <c r="CH88" s="1442">
        <v>0</v>
      </c>
    </row>
    <row r="89" spans="1:107" ht="25.35" customHeight="1" x14ac:dyDescent="0.3">
      <c r="A89" s="7263" t="s">
        <v>4120</v>
      </c>
      <c r="B89" s="8758" t="s">
        <v>1461</v>
      </c>
      <c r="C89" s="2106" t="s">
        <v>1460</v>
      </c>
      <c r="D89" s="694" t="s">
        <v>5369</v>
      </c>
      <c r="E89" s="893" t="s">
        <v>5370</v>
      </c>
      <c r="F89" s="694" t="s">
        <v>5371</v>
      </c>
      <c r="G89" s="694" t="s">
        <v>5372</v>
      </c>
      <c r="H89" s="1470"/>
      <c r="I89" s="1551"/>
      <c r="J89" s="1551"/>
      <c r="K89" s="1551"/>
      <c r="L89" s="1551"/>
      <c r="M89" s="1551"/>
      <c r="N89" s="1551"/>
      <c r="O89" s="1551"/>
      <c r="P89" s="1551"/>
      <c r="Q89" s="1551"/>
      <c r="R89" s="1551"/>
      <c r="S89" s="892"/>
      <c r="T89" s="801"/>
      <c r="U89" s="801"/>
      <c r="V89" s="801"/>
      <c r="W89" s="801"/>
      <c r="X89" s="801"/>
      <c r="Y89" s="801"/>
      <c r="Z89" s="801"/>
      <c r="AA89" s="801"/>
      <c r="AB89" s="801"/>
      <c r="CH89" s="1442">
        <v>0</v>
      </c>
      <c r="DC89" s="3217">
        <v>0</v>
      </c>
    </row>
    <row r="90" spans="1:107" ht="39.75" customHeight="1" thickBot="1" x14ac:dyDescent="0.35">
      <c r="A90" s="7263" t="s">
        <v>4121</v>
      </c>
      <c r="B90" s="8622"/>
      <c r="C90" s="891" t="s">
        <v>1459</v>
      </c>
      <c r="D90" s="97" t="s">
        <v>5369</v>
      </c>
      <c r="E90" s="767" t="s">
        <v>5370</v>
      </c>
      <c r="F90" s="97" t="s">
        <v>5371</v>
      </c>
      <c r="G90" s="1972" t="s">
        <v>5372</v>
      </c>
      <c r="H90" s="1470"/>
      <c r="I90" s="1551"/>
      <c r="J90" s="1551"/>
      <c r="K90" s="1551"/>
      <c r="L90" s="1551"/>
      <c r="M90" s="1551"/>
      <c r="N90" s="1551"/>
      <c r="O90" s="1551"/>
      <c r="P90" s="1551"/>
      <c r="Q90" s="1551"/>
      <c r="R90" s="1551"/>
      <c r="S90" s="886"/>
      <c r="T90" s="801"/>
      <c r="U90" s="801"/>
      <c r="V90" s="801"/>
      <c r="W90" s="801"/>
      <c r="X90" s="801"/>
      <c r="Y90" s="801"/>
      <c r="Z90" s="801"/>
      <c r="AA90" s="801"/>
      <c r="AB90" s="801"/>
      <c r="CH90" s="1442">
        <v>0</v>
      </c>
      <c r="DC90" s="3217">
        <v>0</v>
      </c>
    </row>
    <row r="91" spans="1:107" ht="21.75" customHeight="1" thickTop="1" x14ac:dyDescent="0.3">
      <c r="A91" s="7258" t="s">
        <v>4122</v>
      </c>
      <c r="B91" s="8911" t="s">
        <v>1458</v>
      </c>
      <c r="C91" s="890" t="s">
        <v>1457</v>
      </c>
      <c r="D91" s="536" t="s">
        <v>5369</v>
      </c>
      <c r="E91" s="536" t="s">
        <v>5370</v>
      </c>
      <c r="F91" s="812" t="s">
        <v>5371</v>
      </c>
      <c r="G91" s="1882" t="s">
        <v>5372</v>
      </c>
      <c r="H91" s="1470"/>
      <c r="I91" s="1551"/>
      <c r="J91" s="1551"/>
      <c r="K91" s="1551"/>
      <c r="L91" s="1551"/>
      <c r="M91" s="1551"/>
      <c r="N91" s="1551"/>
      <c r="O91" s="1551"/>
      <c r="P91" s="1551"/>
      <c r="Q91" s="1551"/>
      <c r="R91" s="1551"/>
      <c r="S91" s="886"/>
      <c r="T91" s="801"/>
      <c r="U91" s="801"/>
      <c r="V91" s="801"/>
      <c r="W91" s="801"/>
      <c r="X91" s="801"/>
      <c r="Y91" s="801"/>
      <c r="Z91" s="801"/>
      <c r="AA91" s="801"/>
      <c r="AB91" s="801"/>
      <c r="CH91" s="1442">
        <v>0</v>
      </c>
      <c r="DB91" s="3217">
        <v>0</v>
      </c>
    </row>
    <row r="92" spans="1:107" ht="18" customHeight="1" x14ac:dyDescent="0.3">
      <c r="A92" s="7258" t="s">
        <v>4123</v>
      </c>
      <c r="B92" s="8822"/>
      <c r="C92" s="318" t="s">
        <v>1456</v>
      </c>
      <c r="D92" s="86" t="s">
        <v>5369</v>
      </c>
      <c r="E92" s="86" t="s">
        <v>5370</v>
      </c>
      <c r="F92" s="128" t="s">
        <v>5371</v>
      </c>
      <c r="G92" s="86" t="s">
        <v>5372</v>
      </c>
      <c r="H92" s="1470"/>
      <c r="I92" s="1551"/>
      <c r="J92" s="1551"/>
      <c r="K92" s="1551"/>
      <c r="L92" s="1551"/>
      <c r="M92" s="1551"/>
      <c r="N92" s="1551"/>
      <c r="O92" s="1551"/>
      <c r="P92" s="1551"/>
      <c r="Q92" s="1551"/>
      <c r="R92" s="1551"/>
      <c r="S92" s="886"/>
      <c r="T92" s="801"/>
      <c r="U92" s="801"/>
      <c r="V92" s="801"/>
      <c r="W92" s="801"/>
      <c r="X92" s="801"/>
      <c r="Y92" s="801"/>
      <c r="Z92" s="801"/>
      <c r="AA92" s="801"/>
      <c r="AB92" s="801"/>
      <c r="CH92" s="1442">
        <v>0</v>
      </c>
      <c r="DB92" s="3217">
        <v>0</v>
      </c>
    </row>
    <row r="93" spans="1:107" ht="31.35" customHeight="1" x14ac:dyDescent="0.3">
      <c r="B93" s="72" t="s">
        <v>1455</v>
      </c>
      <c r="C93" s="2141"/>
      <c r="D93" s="153"/>
      <c r="E93" s="153"/>
      <c r="F93" s="153"/>
      <c r="G93" s="801"/>
      <c r="H93" s="288"/>
      <c r="I93" s="889"/>
      <c r="J93" s="801"/>
      <c r="K93" s="888"/>
      <c r="L93" s="887"/>
      <c r="M93" s="878"/>
      <c r="N93" s="878"/>
      <c r="O93" s="886"/>
      <c r="P93" s="886"/>
      <c r="Q93" s="886"/>
      <c r="R93" s="886"/>
      <c r="S93" s="886"/>
      <c r="T93" s="801"/>
      <c r="U93" s="801"/>
      <c r="V93" s="801"/>
      <c r="W93" s="801"/>
      <c r="X93" s="801"/>
      <c r="Y93" s="801"/>
      <c r="Z93" s="801"/>
      <c r="AA93" s="801"/>
      <c r="AB93" s="801"/>
      <c r="BB93" s="1191"/>
      <c r="BC93" s="1191"/>
      <c r="BD93" s="1191"/>
      <c r="BE93" s="1191"/>
      <c r="BF93" s="1191"/>
      <c r="BG93" s="1191"/>
      <c r="BH93" s="1191"/>
      <c r="BI93" s="1191"/>
      <c r="BJ93" s="1191"/>
      <c r="BK93" s="1191"/>
      <c r="BL93" s="1191"/>
      <c r="BM93" s="1191"/>
      <c r="BN93" s="1191"/>
      <c r="BO93" s="1191"/>
      <c r="BP93" s="1191"/>
      <c r="BQ93" s="1191"/>
      <c r="BR93" s="1191"/>
      <c r="BS93" s="1191"/>
      <c r="BT93" s="1191"/>
    </row>
    <row r="94" spans="1:107" ht="16.350000000000001" customHeight="1" x14ac:dyDescent="0.3">
      <c r="B94" s="8871" t="s">
        <v>1454</v>
      </c>
      <c r="C94" s="8758"/>
      <c r="D94" s="8882" t="s">
        <v>24</v>
      </c>
      <c r="E94" s="8916"/>
      <c r="F94" s="8883"/>
      <c r="G94" s="8882" t="s">
        <v>3536</v>
      </c>
      <c r="H94" s="8883"/>
      <c r="I94" s="8754" t="s">
        <v>3537</v>
      </c>
      <c r="J94" s="8755"/>
      <c r="K94" s="2607"/>
      <c r="L94" s="879"/>
      <c r="M94" s="878"/>
      <c r="N94" s="878"/>
      <c r="O94" s="879"/>
      <c r="P94" s="879"/>
      <c r="Q94" s="886"/>
      <c r="R94" s="801"/>
      <c r="S94" s="801"/>
      <c r="T94" s="801"/>
      <c r="U94" s="801"/>
      <c r="V94" s="801"/>
      <c r="W94" s="801"/>
      <c r="X94" s="801"/>
      <c r="Y94" s="801"/>
      <c r="Z94" s="801"/>
      <c r="AZ94" s="1547"/>
      <c r="BA94" s="1547"/>
    </row>
    <row r="95" spans="1:107" ht="16.350000000000001" customHeight="1" x14ac:dyDescent="0.3">
      <c r="B95" s="8598"/>
      <c r="C95" s="8715"/>
      <c r="D95" s="885" t="s">
        <v>42</v>
      </c>
      <c r="E95" s="884" t="s">
        <v>17</v>
      </c>
      <c r="F95" s="2094" t="s">
        <v>18</v>
      </c>
      <c r="G95" s="720" t="s">
        <v>17</v>
      </c>
      <c r="H95" s="2094" t="s">
        <v>18</v>
      </c>
      <c r="I95" s="2597" t="s">
        <v>17</v>
      </c>
      <c r="J95" s="2609" t="s">
        <v>18</v>
      </c>
      <c r="K95" s="2607"/>
      <c r="L95" s="879"/>
      <c r="M95" s="879"/>
      <c r="N95" s="878"/>
      <c r="O95" s="878"/>
      <c r="P95" s="879"/>
      <c r="Q95" s="879"/>
      <c r="R95" s="801"/>
      <c r="S95" s="801"/>
      <c r="T95" s="801"/>
      <c r="U95" s="801"/>
      <c r="V95" s="801"/>
      <c r="W95" s="801"/>
      <c r="X95" s="801"/>
      <c r="Y95" s="801"/>
      <c r="Z95" s="801"/>
      <c r="AZ95" s="1547"/>
      <c r="BA95" s="1547"/>
    </row>
    <row r="96" spans="1:107" ht="16.350000000000001" customHeight="1" x14ac:dyDescent="0.3">
      <c r="B96" s="8882" t="s">
        <v>24</v>
      </c>
      <c r="C96" s="8883"/>
      <c r="D96" s="883">
        <f>SUM(D97:D101)</f>
        <v>0</v>
      </c>
      <c r="E96" s="882">
        <f t="shared" ref="E96:J96" si="2">SUM(E97:E101)</f>
        <v>0</v>
      </c>
      <c r="F96" s="718">
        <f t="shared" si="2"/>
        <v>0</v>
      </c>
      <c r="G96" s="881">
        <f>SUM(G97:G101)</f>
        <v>0</v>
      </c>
      <c r="H96" s="717">
        <f t="shared" si="2"/>
        <v>0</v>
      </c>
      <c r="I96" s="2605">
        <f t="shared" si="2"/>
        <v>0</v>
      </c>
      <c r="J96" s="2606">
        <f t="shared" si="2"/>
        <v>0</v>
      </c>
      <c r="K96" s="2608"/>
      <c r="L96" s="879"/>
      <c r="M96" s="879"/>
      <c r="N96" s="878"/>
      <c r="O96" s="878"/>
      <c r="P96" s="877"/>
      <c r="Q96" s="877"/>
      <c r="R96" s="801"/>
      <c r="S96" s="801"/>
      <c r="T96" s="801"/>
      <c r="U96" s="801"/>
      <c r="V96" s="801"/>
      <c r="W96" s="801"/>
      <c r="X96" s="801"/>
      <c r="Y96" s="801"/>
      <c r="Z96" s="801"/>
      <c r="AZ96" s="1547"/>
      <c r="BA96" s="1547"/>
    </row>
    <row r="97" spans="1:131" ht="16.350000000000001" customHeight="1" x14ac:dyDescent="0.3">
      <c r="A97" s="7263" t="s">
        <v>4124</v>
      </c>
      <c r="B97" s="8880" t="s">
        <v>1453</v>
      </c>
      <c r="C97" s="8881"/>
      <c r="D97" s="830" t="s">
        <v>5369</v>
      </c>
      <c r="E97" s="876" t="s">
        <v>5370</v>
      </c>
      <c r="F97" s="829" t="s">
        <v>5371</v>
      </c>
      <c r="G97" s="726" t="s">
        <v>5372</v>
      </c>
      <c r="H97" s="819" t="s">
        <v>5373</v>
      </c>
      <c r="I97" s="2588" t="s">
        <v>5374</v>
      </c>
      <c r="J97" s="2061" t="s">
        <v>5375</v>
      </c>
      <c r="K97" s="3214"/>
      <c r="L97" s="874"/>
      <c r="M97" s="874"/>
      <c r="N97" s="873"/>
      <c r="O97" s="873"/>
      <c r="P97" s="872"/>
      <c r="Q97" s="872"/>
      <c r="R97" s="801"/>
      <c r="S97" s="801"/>
      <c r="T97" s="801"/>
      <c r="U97" s="801"/>
      <c r="V97" s="801"/>
      <c r="W97" s="801"/>
      <c r="X97" s="801"/>
      <c r="Y97" s="801"/>
      <c r="Z97" s="801"/>
      <c r="AZ97" s="1547"/>
      <c r="BA97" s="1547"/>
    </row>
    <row r="98" spans="1:131" ht="16.350000000000001" customHeight="1" x14ac:dyDescent="0.3">
      <c r="A98" s="7263" t="s">
        <v>4125</v>
      </c>
      <c r="B98" s="8835" t="s">
        <v>1452</v>
      </c>
      <c r="C98" s="8719"/>
      <c r="D98" s="2171" t="s">
        <v>5369</v>
      </c>
      <c r="E98" s="816" t="s">
        <v>5370</v>
      </c>
      <c r="F98" s="163" t="s">
        <v>5371</v>
      </c>
      <c r="G98" s="129" t="s">
        <v>5372</v>
      </c>
      <c r="H98" s="143" t="s">
        <v>5373</v>
      </c>
      <c r="I98" s="2462" t="s">
        <v>5374</v>
      </c>
      <c r="J98" s="2450" t="s">
        <v>5375</v>
      </c>
      <c r="K98" s="3214"/>
      <c r="L98" s="874"/>
      <c r="M98" s="874"/>
      <c r="N98" s="873"/>
      <c r="O98" s="873"/>
      <c r="P98" s="872"/>
      <c r="Q98" s="872"/>
      <c r="R98" s="801"/>
      <c r="S98" s="801"/>
      <c r="T98" s="801"/>
      <c r="U98" s="801"/>
      <c r="V98" s="801"/>
      <c r="W98" s="801"/>
      <c r="X98" s="801"/>
      <c r="Y98" s="801"/>
      <c r="Z98" s="801"/>
      <c r="AZ98" s="1547"/>
      <c r="BA98" s="1547"/>
    </row>
    <row r="99" spans="1:131" ht="16.350000000000001" customHeight="1" x14ac:dyDescent="0.3">
      <c r="A99" s="7263" t="s">
        <v>4126</v>
      </c>
      <c r="B99" s="8835" t="s">
        <v>1451</v>
      </c>
      <c r="C99" s="8719"/>
      <c r="D99" s="2171" t="s">
        <v>5369</v>
      </c>
      <c r="E99" s="816" t="s">
        <v>5370</v>
      </c>
      <c r="F99" s="163" t="s">
        <v>5371</v>
      </c>
      <c r="G99" s="110" t="s">
        <v>5372</v>
      </c>
      <c r="H99" s="144" t="s">
        <v>5373</v>
      </c>
      <c r="I99" s="2492" t="s">
        <v>5374</v>
      </c>
      <c r="J99" s="2495" t="s">
        <v>5375</v>
      </c>
      <c r="K99" s="3214"/>
      <c r="L99" s="874"/>
      <c r="M99" s="874"/>
      <c r="N99" s="873"/>
      <c r="O99" s="873"/>
      <c r="P99" s="872"/>
      <c r="Q99" s="872"/>
      <c r="R99" s="801"/>
      <c r="S99" s="801"/>
      <c r="T99" s="801"/>
      <c r="U99" s="801"/>
      <c r="V99" s="801"/>
      <c r="W99" s="801"/>
      <c r="X99" s="801"/>
      <c r="Y99" s="801"/>
      <c r="Z99" s="801"/>
      <c r="AZ99" s="1547"/>
      <c r="BA99" s="1547"/>
    </row>
    <row r="100" spans="1:131" ht="16.350000000000001" customHeight="1" x14ac:dyDescent="0.3">
      <c r="A100" s="7263" t="s">
        <v>4127</v>
      </c>
      <c r="B100" s="8847" t="s">
        <v>1450</v>
      </c>
      <c r="C100" s="8848"/>
      <c r="D100" s="584" t="s">
        <v>5369</v>
      </c>
      <c r="E100" s="875" t="s">
        <v>5370</v>
      </c>
      <c r="F100" s="172" t="s">
        <v>5371</v>
      </c>
      <c r="G100" s="137" t="s">
        <v>5372</v>
      </c>
      <c r="H100" s="164" t="s">
        <v>5373</v>
      </c>
      <c r="I100" s="2518" t="s">
        <v>5374</v>
      </c>
      <c r="J100" s="2537" t="s">
        <v>5375</v>
      </c>
      <c r="K100" s="3214"/>
      <c r="L100" s="874"/>
      <c r="M100" s="874"/>
      <c r="N100" s="873"/>
      <c r="O100" s="873"/>
      <c r="P100" s="872"/>
      <c r="Q100" s="872"/>
      <c r="R100" s="801"/>
      <c r="S100" s="801"/>
      <c r="T100" s="801"/>
      <c r="U100" s="801"/>
      <c r="V100" s="801"/>
      <c r="W100" s="801"/>
      <c r="X100" s="801"/>
      <c r="Y100" s="801"/>
      <c r="Z100" s="801"/>
      <c r="AZ100" s="1547"/>
      <c r="BA100" s="1547"/>
    </row>
    <row r="101" spans="1:131" ht="16.350000000000001" customHeight="1" x14ac:dyDescent="0.3">
      <c r="A101" s="7263" t="s">
        <v>4128</v>
      </c>
      <c r="B101" s="8836" t="s">
        <v>1449</v>
      </c>
      <c r="C101" s="8837"/>
      <c r="D101" s="1336" t="s">
        <v>5369</v>
      </c>
      <c r="E101" s="826" t="s">
        <v>5370</v>
      </c>
      <c r="F101" s="147" t="s">
        <v>5371</v>
      </c>
      <c r="G101" s="125" t="s">
        <v>5372</v>
      </c>
      <c r="H101" s="127" t="s">
        <v>5373</v>
      </c>
      <c r="I101" s="2465" t="s">
        <v>5374</v>
      </c>
      <c r="J101" s="2496" t="s">
        <v>5375</v>
      </c>
      <c r="K101" s="3214"/>
      <c r="L101" s="874"/>
      <c r="M101" s="874"/>
      <c r="N101" s="873"/>
      <c r="O101" s="873"/>
      <c r="P101" s="872"/>
      <c r="Q101" s="872"/>
      <c r="R101" s="801"/>
      <c r="S101" s="801"/>
      <c r="T101" s="801"/>
      <c r="U101" s="801"/>
      <c r="V101" s="801"/>
      <c r="W101" s="801"/>
      <c r="X101" s="801"/>
      <c r="Y101" s="801"/>
      <c r="Z101" s="801"/>
      <c r="AZ101" s="1547"/>
      <c r="BA101" s="1547"/>
    </row>
    <row r="102" spans="1:131" s="1560" customFormat="1" ht="31.35" customHeight="1" x14ac:dyDescent="0.3">
      <c r="B102" s="8760" t="s">
        <v>1448</v>
      </c>
      <c r="C102" s="8760"/>
      <c r="D102" s="8760"/>
      <c r="E102" s="8760"/>
      <c r="F102" s="8760"/>
      <c r="G102" s="8760"/>
      <c r="H102" s="8760"/>
      <c r="I102" s="8760"/>
      <c r="J102" s="8760"/>
      <c r="K102" s="8760"/>
      <c r="L102" s="8760"/>
      <c r="M102" s="8760"/>
      <c r="N102" s="8760"/>
      <c r="O102" s="8760"/>
      <c r="P102" s="8760"/>
      <c r="Q102" s="8760"/>
      <c r="R102" s="1557"/>
      <c r="S102" s="801"/>
      <c r="T102" s="801"/>
      <c r="U102" s="801"/>
      <c r="V102" s="801"/>
      <c r="W102" s="801"/>
      <c r="X102" s="801"/>
      <c r="Y102" s="801"/>
      <c r="Z102" s="801"/>
      <c r="AA102" s="801"/>
      <c r="AB102" s="801"/>
      <c r="AC102" s="1558"/>
      <c r="AD102" s="1558"/>
      <c r="AE102" s="1558"/>
      <c r="AF102" s="1558"/>
      <c r="AG102" s="1558"/>
      <c r="AH102" s="1558"/>
      <c r="AI102" s="1558"/>
      <c r="AJ102" s="1558"/>
      <c r="AK102" s="1558"/>
      <c r="AL102" s="1558"/>
      <c r="AM102" s="1558"/>
      <c r="AN102" s="1558"/>
      <c r="AO102" s="1558"/>
      <c r="AP102" s="1558"/>
      <c r="AQ102" s="1558"/>
      <c r="AR102" s="1558"/>
      <c r="AS102" s="1558"/>
      <c r="AT102" s="1558"/>
      <c r="AU102" s="1558"/>
      <c r="AV102" s="1558"/>
      <c r="AW102" s="1558"/>
      <c r="AX102" s="1558"/>
      <c r="AY102" s="1558"/>
      <c r="AZ102" s="1558"/>
      <c r="BA102" s="1558"/>
      <c r="BB102" s="1558"/>
      <c r="BC102" s="1558"/>
      <c r="BD102" s="1558"/>
      <c r="BE102" s="1558"/>
      <c r="BF102" s="1558"/>
      <c r="BG102" s="1558"/>
      <c r="BH102" s="1558"/>
      <c r="BI102" s="1558"/>
      <c r="BJ102" s="1558"/>
      <c r="BK102" s="1558"/>
      <c r="BL102" s="1558"/>
      <c r="BM102" s="1558"/>
      <c r="BN102" s="1558"/>
      <c r="BO102" s="1558"/>
      <c r="BP102" s="1558"/>
      <c r="BQ102" s="1558"/>
      <c r="BR102" s="1558"/>
      <c r="BS102" s="1558"/>
      <c r="BT102" s="1558"/>
      <c r="BU102" s="1558"/>
      <c r="BV102" s="1558"/>
      <c r="BW102" s="1558"/>
      <c r="BX102" s="1558"/>
      <c r="BY102" s="1558"/>
      <c r="BZ102" s="1558"/>
      <c r="CA102" s="1558"/>
      <c r="CB102" s="1559"/>
      <c r="CC102" s="1559"/>
      <c r="CD102" s="1559"/>
      <c r="CE102" s="1559"/>
      <c r="CF102" s="1559"/>
      <c r="CG102" s="1559"/>
      <c r="CH102" s="1559"/>
      <c r="CI102" s="1559"/>
      <c r="CJ102" s="1559"/>
      <c r="CK102" s="1559"/>
      <c r="CL102" s="1559"/>
      <c r="CM102" s="1559"/>
      <c r="CN102" s="1559"/>
      <c r="CO102" s="1559"/>
      <c r="CP102" s="1559"/>
      <c r="CQ102" s="1559"/>
      <c r="CR102" s="1559"/>
      <c r="CS102" s="1559"/>
      <c r="CT102" s="1559"/>
      <c r="CU102" s="1559"/>
      <c r="CV102" s="1559"/>
      <c r="CW102" s="1559"/>
      <c r="CX102" s="1559"/>
      <c r="CY102" s="1559"/>
      <c r="CZ102" s="1559"/>
      <c r="DA102" s="1559"/>
      <c r="DB102" s="6955"/>
      <c r="DC102" s="6955"/>
      <c r="DD102" s="6955"/>
      <c r="DE102" s="6955"/>
      <c r="DF102" s="6955"/>
      <c r="DG102" s="6955"/>
      <c r="DH102" s="6955"/>
      <c r="DI102" s="6955"/>
      <c r="DJ102" s="6955"/>
      <c r="DK102" s="6955"/>
      <c r="DL102" s="6955"/>
      <c r="DM102" s="6955"/>
      <c r="DN102" s="6955"/>
      <c r="DO102" s="6955"/>
      <c r="DP102" s="6955"/>
      <c r="DQ102" s="6955"/>
      <c r="DR102" s="6955"/>
      <c r="DS102" s="6955"/>
      <c r="DT102" s="6955"/>
      <c r="DU102" s="6955"/>
      <c r="DV102" s="6955"/>
      <c r="DW102" s="6955"/>
      <c r="DX102" s="6955"/>
      <c r="DY102" s="6955"/>
      <c r="DZ102" s="6955"/>
      <c r="EA102" s="6955"/>
    </row>
    <row r="103" spans="1:131" s="1560" customFormat="1" ht="31.35" customHeight="1" x14ac:dyDescent="0.3">
      <c r="B103" s="8884" t="s">
        <v>1447</v>
      </c>
      <c r="C103" s="8884"/>
      <c r="D103" s="8884"/>
      <c r="E103" s="8884"/>
      <c r="F103" s="8884"/>
      <c r="G103" s="8885"/>
      <c r="H103" s="8885"/>
      <c r="I103" s="8885"/>
      <c r="J103" s="8885"/>
      <c r="K103" s="8885"/>
      <c r="L103" s="8885"/>
      <c r="M103" s="8885"/>
      <c r="N103" s="8885"/>
      <c r="O103" s="8885"/>
      <c r="P103" s="8885"/>
      <c r="Q103" s="8885"/>
      <c r="R103" s="8885"/>
      <c r="S103" s="801"/>
      <c r="T103" s="801"/>
      <c r="U103" s="801"/>
      <c r="V103" s="801"/>
      <c r="W103" s="801"/>
      <c r="X103" s="801"/>
      <c r="Y103" s="801"/>
      <c r="Z103" s="801"/>
      <c r="AA103" s="801"/>
      <c r="AB103" s="801"/>
      <c r="AC103" s="1558"/>
      <c r="AD103" s="1558"/>
      <c r="AE103" s="1558"/>
      <c r="AF103" s="1558"/>
      <c r="AG103" s="1558"/>
      <c r="AH103" s="1558"/>
      <c r="AI103" s="1558"/>
      <c r="AJ103" s="1558"/>
      <c r="AK103" s="1558"/>
      <c r="AL103" s="1558"/>
      <c r="AM103" s="1558"/>
      <c r="AN103" s="1558"/>
      <c r="AO103" s="1558"/>
      <c r="AP103" s="1558"/>
      <c r="AQ103" s="1558"/>
      <c r="AR103" s="1558"/>
      <c r="AS103" s="1558"/>
      <c r="AT103" s="1558"/>
      <c r="AU103" s="1558"/>
      <c r="AV103" s="1558"/>
      <c r="AW103" s="1558"/>
      <c r="AX103" s="1558"/>
      <c r="AY103" s="1558"/>
      <c r="AZ103" s="1558"/>
      <c r="BA103" s="1558"/>
      <c r="BB103" s="1558"/>
      <c r="BC103" s="1558"/>
      <c r="BD103" s="1558"/>
      <c r="BE103" s="1558"/>
      <c r="BF103" s="1558"/>
      <c r="BG103" s="1558"/>
      <c r="BH103" s="1558"/>
      <c r="BI103" s="1558"/>
      <c r="BJ103" s="1558"/>
      <c r="BK103" s="1558"/>
      <c r="BL103" s="1558"/>
      <c r="BM103" s="1558"/>
      <c r="BN103" s="1558"/>
      <c r="BO103" s="1558"/>
      <c r="BP103" s="1558"/>
      <c r="BQ103" s="1558"/>
      <c r="BR103" s="1558"/>
      <c r="BS103" s="1558"/>
      <c r="BT103" s="1558"/>
      <c r="BU103" s="1558"/>
      <c r="BV103" s="1558"/>
      <c r="BW103" s="1558"/>
      <c r="BX103" s="1558"/>
      <c r="BY103" s="1558"/>
      <c r="BZ103" s="1558"/>
      <c r="CA103" s="1558"/>
      <c r="CB103" s="1559"/>
      <c r="CC103" s="1559"/>
      <c r="CD103" s="1559"/>
      <c r="CE103" s="1559"/>
      <c r="CF103" s="1559"/>
      <c r="CG103" s="1559"/>
      <c r="CH103" s="1559"/>
      <c r="CI103" s="1559"/>
      <c r="CJ103" s="1559"/>
      <c r="CK103" s="1559"/>
      <c r="CL103" s="1559"/>
      <c r="CM103" s="1559"/>
      <c r="CN103" s="1559"/>
      <c r="CO103" s="1559"/>
      <c r="CP103" s="1559"/>
      <c r="CQ103" s="1559"/>
      <c r="CR103" s="1559"/>
      <c r="CS103" s="1559"/>
      <c r="CT103" s="1559"/>
      <c r="CU103" s="1559"/>
      <c r="CV103" s="1559"/>
      <c r="CW103" s="1559"/>
      <c r="CX103" s="1559"/>
      <c r="CY103" s="1559"/>
      <c r="CZ103" s="1559"/>
      <c r="DA103" s="1559"/>
      <c r="DB103" s="6955"/>
      <c r="DC103" s="6955"/>
      <c r="DD103" s="6955"/>
      <c r="DE103" s="6955"/>
      <c r="DF103" s="6955"/>
      <c r="DG103" s="6955"/>
      <c r="DH103" s="6955"/>
      <c r="DI103" s="6955"/>
      <c r="DJ103" s="6955"/>
      <c r="DK103" s="6955"/>
      <c r="DL103" s="6955"/>
      <c r="DM103" s="6955"/>
      <c r="DN103" s="6955"/>
      <c r="DO103" s="6955"/>
      <c r="DP103" s="6955"/>
      <c r="DQ103" s="6955"/>
      <c r="DR103" s="6955"/>
      <c r="DS103" s="6955"/>
      <c r="DT103" s="6955"/>
      <c r="DU103" s="6955"/>
      <c r="DV103" s="6955"/>
      <c r="DW103" s="6955"/>
      <c r="DX103" s="6955"/>
      <c r="DY103" s="6955"/>
      <c r="DZ103" s="6955"/>
      <c r="EA103" s="6955"/>
    </row>
    <row r="104" spans="1:131" s="1548" customFormat="1" ht="31.35" customHeight="1" x14ac:dyDescent="0.3">
      <c r="B104" s="8886" t="s">
        <v>30</v>
      </c>
      <c r="C104" s="8867"/>
      <c r="D104" s="8713" t="s">
        <v>1261</v>
      </c>
      <c r="E104" s="8597"/>
      <c r="F104" s="8613"/>
      <c r="G104" s="8849" t="s">
        <v>2</v>
      </c>
      <c r="H104" s="8850"/>
      <c r="I104" s="8850"/>
      <c r="J104" s="8850"/>
      <c r="K104" s="8850"/>
      <c r="L104" s="8850"/>
      <c r="M104" s="8850"/>
      <c r="N104" s="8850"/>
      <c r="O104" s="8850"/>
      <c r="P104" s="8850"/>
      <c r="Q104" s="8850"/>
      <c r="R104" s="8850"/>
      <c r="S104" s="8850"/>
      <c r="T104" s="8850"/>
      <c r="U104" s="8850"/>
      <c r="V104" s="8851"/>
      <c r="W104" s="2141"/>
      <c r="X104" s="2141"/>
      <c r="Y104" s="2141"/>
      <c r="Z104" s="2141"/>
      <c r="BU104" s="1191"/>
      <c r="BV104" s="1191"/>
      <c r="BW104" s="1191"/>
      <c r="BX104" s="1191"/>
      <c r="BY104" s="1191"/>
      <c r="BZ104" s="1191"/>
      <c r="CA104" s="1191"/>
      <c r="CB104" s="1442"/>
      <c r="CC104" s="1442"/>
      <c r="CD104" s="1442"/>
      <c r="CE104" s="1442"/>
      <c r="CF104" s="1442"/>
      <c r="CG104" s="1442"/>
      <c r="CH104" s="1442"/>
      <c r="CI104" s="1442"/>
      <c r="CJ104" s="1442"/>
      <c r="CK104" s="1442"/>
      <c r="CL104" s="1442"/>
      <c r="CM104" s="1442"/>
      <c r="CN104" s="1442"/>
      <c r="CO104" s="1442"/>
      <c r="CP104" s="1442"/>
      <c r="CQ104" s="1442"/>
      <c r="CR104" s="1442"/>
      <c r="CS104" s="1442"/>
      <c r="CT104" s="1442"/>
      <c r="CU104" s="1442"/>
      <c r="CV104" s="1442"/>
      <c r="CW104" s="1442"/>
      <c r="CX104" s="1442"/>
      <c r="CY104" s="1442"/>
      <c r="CZ104" s="1442"/>
      <c r="DA104" s="1442"/>
      <c r="DB104" s="3217"/>
      <c r="DC104" s="3217"/>
      <c r="DD104" s="3217"/>
      <c r="DE104" s="3217"/>
      <c r="DF104" s="3217"/>
      <c r="DG104" s="3217"/>
      <c r="DH104" s="3217"/>
      <c r="DI104" s="3217"/>
      <c r="DJ104" s="3217"/>
      <c r="DK104" s="3217"/>
      <c r="DL104" s="3217"/>
      <c r="DM104" s="3217"/>
      <c r="DN104" s="3217"/>
      <c r="DO104" s="3217"/>
      <c r="DP104" s="3217"/>
      <c r="DQ104" s="3217"/>
      <c r="DR104" s="3217"/>
      <c r="DS104" s="3217"/>
      <c r="DT104" s="3217"/>
      <c r="DU104" s="3217"/>
      <c r="DV104" s="3217"/>
      <c r="DW104" s="3217"/>
      <c r="DX104" s="3217"/>
      <c r="DY104" s="3217"/>
      <c r="DZ104" s="3217"/>
      <c r="EA104" s="3217"/>
    </row>
    <row r="105" spans="1:131" s="1548" customFormat="1" ht="16.350000000000001" customHeight="1" x14ac:dyDescent="0.3">
      <c r="B105" s="8887"/>
      <c r="C105" s="8868"/>
      <c r="D105" s="8714"/>
      <c r="E105" s="8598"/>
      <c r="F105" s="8715"/>
      <c r="G105" s="8754" t="s">
        <v>48</v>
      </c>
      <c r="H105" s="8877"/>
      <c r="I105" s="8754" t="s">
        <v>49</v>
      </c>
      <c r="J105" s="8755"/>
      <c r="K105" s="8754" t="s">
        <v>50</v>
      </c>
      <c r="L105" s="8755"/>
      <c r="M105" s="8754" t="s">
        <v>51</v>
      </c>
      <c r="N105" s="8755"/>
      <c r="O105" s="8754" t="s">
        <v>52</v>
      </c>
      <c r="P105" s="8755"/>
      <c r="Q105" s="8754" t="s">
        <v>2198</v>
      </c>
      <c r="R105" s="8755"/>
      <c r="S105" s="8754" t="s">
        <v>2199</v>
      </c>
      <c r="T105" s="8755"/>
      <c r="U105" s="8754" t="s">
        <v>1405</v>
      </c>
      <c r="V105" s="8755"/>
      <c r="W105" s="2141"/>
      <c r="X105" s="2141"/>
      <c r="Y105" s="2141"/>
      <c r="Z105" s="2141"/>
      <c r="AZ105" s="1561"/>
      <c r="BA105" s="1561"/>
      <c r="BB105" s="1561"/>
      <c r="BC105" s="1561"/>
      <c r="BD105" s="1561"/>
      <c r="BE105" s="1561"/>
      <c r="BF105" s="1561"/>
      <c r="BG105" s="1561"/>
      <c r="BH105" s="1561"/>
      <c r="BI105" s="1561"/>
      <c r="BJ105" s="1561"/>
      <c r="BK105" s="1561"/>
      <c r="BL105" s="1561"/>
      <c r="BM105" s="1561"/>
      <c r="BN105" s="1561"/>
      <c r="BO105" s="1561"/>
      <c r="BP105" s="1561"/>
      <c r="BQ105" s="1561"/>
      <c r="BR105" s="1561"/>
      <c r="BS105" s="1561"/>
      <c r="BT105" s="1561"/>
      <c r="BU105" s="1191"/>
      <c r="BV105" s="1191"/>
      <c r="BW105" s="1191"/>
      <c r="BX105" s="1191"/>
      <c r="BY105" s="1191"/>
      <c r="BZ105" s="1191"/>
      <c r="CA105" s="1191"/>
      <c r="CB105" s="1442"/>
      <c r="CC105" s="1442"/>
      <c r="CD105" s="1442"/>
      <c r="CE105" s="1442"/>
      <c r="CF105" s="1442"/>
      <c r="CG105" s="1442"/>
      <c r="CH105" s="1442"/>
      <c r="CI105" s="1442"/>
      <c r="CJ105" s="1442"/>
      <c r="CK105" s="1442"/>
      <c r="CL105" s="1442"/>
      <c r="CM105" s="1442"/>
      <c r="CN105" s="1442"/>
      <c r="CO105" s="1442"/>
      <c r="CP105" s="1442"/>
      <c r="CQ105" s="1442"/>
      <c r="CR105" s="1442"/>
      <c r="CS105" s="1442"/>
      <c r="CT105" s="1442"/>
      <c r="CU105" s="1442"/>
      <c r="CV105" s="1442"/>
      <c r="CW105" s="1442"/>
      <c r="CX105" s="1442"/>
      <c r="CY105" s="1442"/>
      <c r="CZ105" s="1442"/>
      <c r="DA105" s="1442"/>
      <c r="DB105" s="3217"/>
      <c r="DC105" s="3217"/>
      <c r="DD105" s="3217"/>
      <c r="DE105" s="3217"/>
      <c r="DF105" s="3217"/>
      <c r="DG105" s="3217"/>
      <c r="DH105" s="3217"/>
      <c r="DI105" s="3217"/>
      <c r="DJ105" s="3217"/>
      <c r="DK105" s="3217"/>
      <c r="DL105" s="3217"/>
      <c r="DM105" s="3217"/>
      <c r="DN105" s="3217"/>
      <c r="DO105" s="3217"/>
      <c r="DP105" s="3217"/>
      <c r="DQ105" s="3217"/>
      <c r="DR105" s="3217"/>
      <c r="DS105" s="3217"/>
      <c r="DT105" s="3217"/>
      <c r="DU105" s="3217"/>
      <c r="DV105" s="3217"/>
      <c r="DW105" s="3217"/>
      <c r="DX105" s="3217"/>
      <c r="DY105" s="3217"/>
      <c r="DZ105" s="3217"/>
      <c r="EA105" s="3217"/>
    </row>
    <row r="106" spans="1:131" s="1548" customFormat="1" ht="16.350000000000001" customHeight="1" x14ac:dyDescent="0.3">
      <c r="B106" s="8888"/>
      <c r="C106" s="8869"/>
      <c r="D106" s="831" t="s">
        <v>42</v>
      </c>
      <c r="E106" s="854" t="s">
        <v>17</v>
      </c>
      <c r="F106" s="2086" t="s">
        <v>18</v>
      </c>
      <c r="G106" s="2597" t="s">
        <v>17</v>
      </c>
      <c r="H106" s="2132" t="s">
        <v>18</v>
      </c>
      <c r="I106" s="2597" t="s">
        <v>17</v>
      </c>
      <c r="J106" s="2124" t="s">
        <v>18</v>
      </c>
      <c r="K106" s="2597" t="s">
        <v>17</v>
      </c>
      <c r="L106" s="2124" t="s">
        <v>18</v>
      </c>
      <c r="M106" s="2597" t="s">
        <v>17</v>
      </c>
      <c r="N106" s="2124" t="s">
        <v>18</v>
      </c>
      <c r="O106" s="2597" t="s">
        <v>17</v>
      </c>
      <c r="P106" s="2124" t="s">
        <v>18</v>
      </c>
      <c r="Q106" s="2597" t="s">
        <v>17</v>
      </c>
      <c r="R106" s="2124" t="s">
        <v>18</v>
      </c>
      <c r="S106" s="2597" t="s">
        <v>17</v>
      </c>
      <c r="T106" s="2124" t="s">
        <v>18</v>
      </c>
      <c r="U106" s="2597" t="s">
        <v>17</v>
      </c>
      <c r="V106" s="2124" t="s">
        <v>18</v>
      </c>
      <c r="W106" s="2141"/>
      <c r="X106" s="2141"/>
      <c r="Y106" s="2141"/>
      <c r="Z106" s="2141"/>
      <c r="AZ106" s="1561"/>
      <c r="BA106" s="1561"/>
      <c r="BB106" s="1561"/>
      <c r="BC106" s="1561"/>
      <c r="BD106" s="1561"/>
      <c r="BE106" s="1561"/>
      <c r="BF106" s="1561"/>
      <c r="BG106" s="1561"/>
      <c r="BH106" s="1561"/>
      <c r="BI106" s="1561"/>
      <c r="BJ106" s="1561"/>
      <c r="BK106" s="1561"/>
      <c r="BL106" s="1561"/>
      <c r="BM106" s="1561"/>
      <c r="BN106" s="1561"/>
      <c r="BO106" s="1561"/>
      <c r="BP106" s="1561"/>
      <c r="BQ106" s="1561"/>
      <c r="BR106" s="1561"/>
      <c r="BS106" s="1561"/>
      <c r="BT106" s="1561"/>
      <c r="BU106" s="1191"/>
      <c r="BV106" s="1191"/>
      <c r="BW106" s="1191"/>
      <c r="BX106" s="1191"/>
      <c r="BY106" s="1191"/>
      <c r="BZ106" s="1191"/>
      <c r="CA106" s="1191"/>
      <c r="CB106" s="1442"/>
      <c r="CC106" s="1442"/>
      <c r="CD106" s="1442"/>
      <c r="CE106" s="1442"/>
      <c r="CF106" s="1442"/>
      <c r="CG106" s="1442"/>
      <c r="CH106" s="1442"/>
      <c r="CI106" s="1442"/>
      <c r="CJ106" s="1442"/>
      <c r="CK106" s="1442"/>
      <c r="CL106" s="1442"/>
      <c r="CM106" s="1442"/>
      <c r="CN106" s="1442"/>
      <c r="CO106" s="1442"/>
      <c r="CP106" s="1442"/>
      <c r="CQ106" s="1442"/>
      <c r="CR106" s="1442"/>
      <c r="CS106" s="1442"/>
      <c r="CT106" s="1442"/>
      <c r="CU106" s="1442"/>
      <c r="CV106" s="1442"/>
      <c r="CW106" s="1442"/>
      <c r="CX106" s="1442"/>
      <c r="CY106" s="1442"/>
      <c r="CZ106" s="1442"/>
      <c r="DA106" s="1442"/>
      <c r="DB106" s="3217"/>
      <c r="DC106" s="3217"/>
      <c r="DD106" s="3217"/>
      <c r="DE106" s="3217"/>
      <c r="DF106" s="3217"/>
      <c r="DG106" s="3217"/>
      <c r="DH106" s="3217"/>
      <c r="DI106" s="3217"/>
      <c r="DJ106" s="3217"/>
      <c r="DK106" s="3217"/>
      <c r="DL106" s="3217"/>
      <c r="DM106" s="3217"/>
      <c r="DN106" s="3217"/>
      <c r="DO106" s="3217"/>
      <c r="DP106" s="3217"/>
      <c r="DQ106" s="3217"/>
      <c r="DR106" s="3217"/>
      <c r="DS106" s="3217"/>
      <c r="DT106" s="3217"/>
      <c r="DU106" s="3217"/>
      <c r="DV106" s="3217"/>
      <c r="DW106" s="3217"/>
      <c r="DX106" s="3217"/>
      <c r="DY106" s="3217"/>
      <c r="DZ106" s="3217"/>
      <c r="EA106" s="3217"/>
    </row>
    <row r="107" spans="1:131" s="1548" customFormat="1" ht="16.350000000000001" customHeight="1" x14ac:dyDescent="0.3">
      <c r="A107" s="7258" t="s">
        <v>4129</v>
      </c>
      <c r="B107" s="8857" t="s">
        <v>1446</v>
      </c>
      <c r="C107" s="8857"/>
      <c r="D107" s="871" t="s">
        <v>5369</v>
      </c>
      <c r="E107" s="699" t="s">
        <v>5370</v>
      </c>
      <c r="F107" s="866" t="s">
        <v>5371</v>
      </c>
      <c r="G107" s="2610" t="s">
        <v>5372</v>
      </c>
      <c r="H107" s="2544" t="s">
        <v>5373</v>
      </c>
      <c r="I107" s="2588" t="s">
        <v>5374</v>
      </c>
      <c r="J107" s="2061" t="s">
        <v>5375</v>
      </c>
      <c r="K107" s="2588" t="s">
        <v>5376</v>
      </c>
      <c r="L107" s="2061" t="s">
        <v>5377</v>
      </c>
      <c r="M107" s="2588" t="s">
        <v>5378</v>
      </c>
      <c r="N107" s="2061" t="s">
        <v>5379</v>
      </c>
      <c r="O107" s="2588" t="s">
        <v>5380</v>
      </c>
      <c r="P107" s="2061" t="s">
        <v>5381</v>
      </c>
      <c r="Q107" s="2517" t="s">
        <v>5382</v>
      </c>
      <c r="R107" s="2061" t="s">
        <v>5383</v>
      </c>
      <c r="S107" s="2517" t="s">
        <v>5384</v>
      </c>
      <c r="T107" s="2061" t="s">
        <v>5385</v>
      </c>
      <c r="U107" s="2517" t="s">
        <v>5386</v>
      </c>
      <c r="V107" s="2061" t="s">
        <v>5387</v>
      </c>
      <c r="W107" s="3213"/>
      <c r="X107" s="2141"/>
      <c r="Y107" s="2141"/>
      <c r="Z107" s="2141"/>
      <c r="AZ107" s="1561"/>
      <c r="BA107" s="1561"/>
      <c r="BB107" s="1561"/>
      <c r="BC107" s="1561"/>
      <c r="BD107" s="1561"/>
      <c r="BE107" s="1561"/>
      <c r="BF107" s="1561"/>
      <c r="BG107" s="1561"/>
      <c r="BH107" s="1561"/>
      <c r="BI107" s="1561"/>
      <c r="BJ107" s="1561"/>
      <c r="BK107" s="1561"/>
      <c r="BL107" s="1561"/>
      <c r="BM107" s="1561"/>
      <c r="BN107" s="1561"/>
      <c r="BO107" s="1561"/>
      <c r="BP107" s="1561"/>
      <c r="BQ107" s="1561"/>
      <c r="BR107" s="1561"/>
      <c r="BS107" s="1561"/>
      <c r="BT107" s="1561"/>
      <c r="BU107" s="1191"/>
      <c r="BV107" s="1191"/>
      <c r="BW107" s="1191"/>
      <c r="BX107" s="1191"/>
      <c r="BY107" s="1191"/>
      <c r="BZ107" s="1191"/>
      <c r="CA107" s="1191"/>
      <c r="CB107" s="1442"/>
      <c r="CC107" s="1442"/>
      <c r="CD107" s="1442"/>
      <c r="CE107" s="1442"/>
      <c r="CF107" s="1442"/>
      <c r="CG107" s="1442"/>
      <c r="CH107" s="1442"/>
      <c r="CI107" s="1442"/>
      <c r="CJ107" s="1442"/>
      <c r="CK107" s="1442"/>
      <c r="CL107" s="1442"/>
      <c r="CM107" s="1442"/>
      <c r="CN107" s="1442"/>
      <c r="CO107" s="1442"/>
      <c r="CP107" s="1442"/>
      <c r="CQ107" s="1442"/>
      <c r="CR107" s="1442"/>
      <c r="CS107" s="1442"/>
      <c r="CT107" s="1442"/>
      <c r="CU107" s="1442"/>
      <c r="CV107" s="1442"/>
      <c r="CW107" s="1442"/>
      <c r="CX107" s="1442"/>
      <c r="CY107" s="1442"/>
      <c r="CZ107" s="1442"/>
      <c r="DA107" s="1442"/>
      <c r="DB107" s="3217"/>
      <c r="DC107" s="3217"/>
      <c r="DD107" s="3217"/>
      <c r="DE107" s="3217"/>
      <c r="DF107" s="3217"/>
      <c r="DG107" s="3217"/>
      <c r="DH107" s="3217"/>
      <c r="DI107" s="3217"/>
      <c r="DJ107" s="3217"/>
      <c r="DK107" s="3217"/>
      <c r="DL107" s="3217"/>
      <c r="DM107" s="3217"/>
      <c r="DN107" s="3217"/>
      <c r="DO107" s="3217"/>
      <c r="DP107" s="3217"/>
      <c r="DQ107" s="3217"/>
      <c r="DR107" s="3217"/>
      <c r="DS107" s="3217"/>
      <c r="DT107" s="3217"/>
      <c r="DU107" s="3217"/>
      <c r="DV107" s="3217"/>
      <c r="DW107" s="3217"/>
      <c r="DX107" s="3217"/>
      <c r="DY107" s="3217"/>
      <c r="DZ107" s="3217"/>
      <c r="EA107" s="3217"/>
    </row>
    <row r="108" spans="1:131" s="1548" customFormat="1" ht="16.350000000000001" customHeight="1" x14ac:dyDescent="0.3">
      <c r="A108" s="7258" t="s">
        <v>4130</v>
      </c>
      <c r="B108" s="8866" t="s">
        <v>1445</v>
      </c>
      <c r="C108" s="8866"/>
      <c r="D108" s="275" t="s">
        <v>5369</v>
      </c>
      <c r="E108" s="276" t="s">
        <v>5370</v>
      </c>
      <c r="F108" s="158" t="s">
        <v>5371</v>
      </c>
      <c r="G108" s="2545" t="s">
        <v>5372</v>
      </c>
      <c r="H108" s="2546" t="s">
        <v>5373</v>
      </c>
      <c r="I108" s="2545" t="s">
        <v>5374</v>
      </c>
      <c r="J108" s="2547" t="s">
        <v>5375</v>
      </c>
      <c r="K108" s="2492" t="s">
        <v>5376</v>
      </c>
      <c r="L108" s="2495" t="s">
        <v>5377</v>
      </c>
      <c r="M108" s="2492" t="s">
        <v>5378</v>
      </c>
      <c r="N108" s="2495" t="s">
        <v>5379</v>
      </c>
      <c r="O108" s="2492" t="s">
        <v>5380</v>
      </c>
      <c r="P108" s="2495" t="s">
        <v>5381</v>
      </c>
      <c r="Q108" s="2536" t="s">
        <v>5382</v>
      </c>
      <c r="R108" s="2495" t="s">
        <v>5383</v>
      </c>
      <c r="S108" s="2536" t="s">
        <v>5384</v>
      </c>
      <c r="T108" s="2495" t="s">
        <v>5385</v>
      </c>
      <c r="U108" s="2536" t="s">
        <v>5386</v>
      </c>
      <c r="V108" s="2495" t="s">
        <v>5387</v>
      </c>
      <c r="W108" s="3213"/>
      <c r="X108" s="2141"/>
      <c r="Y108" s="2141"/>
      <c r="Z108" s="2141"/>
      <c r="AZ108" s="1561"/>
      <c r="BA108" s="1561"/>
      <c r="BB108" s="1561"/>
      <c r="BC108" s="1561"/>
      <c r="BD108" s="1561"/>
      <c r="BE108" s="1561"/>
      <c r="BF108" s="1561"/>
      <c r="BG108" s="1561"/>
      <c r="BH108" s="1561"/>
      <c r="BI108" s="1561"/>
      <c r="BJ108" s="1561"/>
      <c r="BK108" s="1561"/>
      <c r="BL108" s="1561"/>
      <c r="BM108" s="1561"/>
      <c r="BN108" s="1561"/>
      <c r="BO108" s="1561"/>
      <c r="BP108" s="1561"/>
      <c r="BQ108" s="1561"/>
      <c r="BR108" s="1561"/>
      <c r="BS108" s="1561"/>
      <c r="BT108" s="1561"/>
      <c r="BU108" s="1191"/>
      <c r="BV108" s="1191"/>
      <c r="BW108" s="1191"/>
      <c r="BX108" s="1191"/>
      <c r="BY108" s="1191"/>
      <c r="BZ108" s="1191"/>
      <c r="CA108" s="1191"/>
      <c r="CB108" s="1442"/>
      <c r="CC108" s="1442"/>
      <c r="CD108" s="1442"/>
      <c r="CE108" s="1442"/>
      <c r="CF108" s="1442"/>
      <c r="CG108" s="1442"/>
      <c r="CH108" s="1442"/>
      <c r="CI108" s="1442"/>
      <c r="CJ108" s="1442"/>
      <c r="CK108" s="1442"/>
      <c r="CL108" s="1442"/>
      <c r="CM108" s="1442"/>
      <c r="CN108" s="1442"/>
      <c r="CO108" s="1442"/>
      <c r="CP108" s="1442"/>
      <c r="CQ108" s="1442"/>
      <c r="CR108" s="1442"/>
      <c r="CS108" s="1442"/>
      <c r="CT108" s="1442"/>
      <c r="CU108" s="1442"/>
      <c r="CV108" s="1442"/>
      <c r="CW108" s="1442"/>
      <c r="CX108" s="1442"/>
      <c r="CY108" s="1442"/>
      <c r="CZ108" s="1442"/>
      <c r="DA108" s="1442"/>
      <c r="DB108" s="3217"/>
      <c r="DC108" s="3217"/>
      <c r="DD108" s="3217"/>
      <c r="DE108" s="3217"/>
      <c r="DF108" s="3217"/>
      <c r="DG108" s="3217"/>
      <c r="DH108" s="3217"/>
      <c r="DI108" s="3217"/>
      <c r="DJ108" s="3217"/>
      <c r="DK108" s="3217"/>
      <c r="DL108" s="3217"/>
      <c r="DM108" s="3217"/>
      <c r="DN108" s="3217"/>
      <c r="DO108" s="3217"/>
      <c r="DP108" s="3217"/>
      <c r="DQ108" s="3217"/>
      <c r="DR108" s="3217"/>
      <c r="DS108" s="3217"/>
      <c r="DT108" s="3217"/>
      <c r="DU108" s="3217"/>
      <c r="DV108" s="3217"/>
      <c r="DW108" s="3217"/>
      <c r="DX108" s="3217"/>
      <c r="DY108" s="3217"/>
      <c r="DZ108" s="3217"/>
      <c r="EA108" s="3217"/>
    </row>
    <row r="109" spans="1:131" s="1548" customFormat="1" ht="16.350000000000001" customHeight="1" x14ac:dyDescent="0.3">
      <c r="A109" s="7265" t="s">
        <v>4131</v>
      </c>
      <c r="B109" s="8866" t="s">
        <v>1444</v>
      </c>
      <c r="C109" s="8866"/>
      <c r="D109" s="275" t="s">
        <v>5369</v>
      </c>
      <c r="E109" s="276" t="s">
        <v>5370</v>
      </c>
      <c r="F109" s="158" t="s">
        <v>5371</v>
      </c>
      <c r="G109" s="2548" t="s">
        <v>5372</v>
      </c>
      <c r="H109" s="766" t="s">
        <v>5373</v>
      </c>
      <c r="I109" s="2548" t="s">
        <v>5374</v>
      </c>
      <c r="J109" s="2549" t="s">
        <v>5375</v>
      </c>
      <c r="K109" s="2518" t="s">
        <v>5376</v>
      </c>
      <c r="L109" s="2537" t="s">
        <v>5377</v>
      </c>
      <c r="M109" s="2518" t="s">
        <v>5378</v>
      </c>
      <c r="N109" s="2537" t="s">
        <v>5379</v>
      </c>
      <c r="O109" s="2518" t="s">
        <v>5380</v>
      </c>
      <c r="P109" s="2537" t="s">
        <v>5381</v>
      </c>
      <c r="Q109" s="2538" t="s">
        <v>5382</v>
      </c>
      <c r="R109" s="2537" t="s">
        <v>5383</v>
      </c>
      <c r="S109" s="2538" t="s">
        <v>5384</v>
      </c>
      <c r="T109" s="2537" t="s">
        <v>5385</v>
      </c>
      <c r="U109" s="2538" t="s">
        <v>5386</v>
      </c>
      <c r="V109" s="2537" t="s">
        <v>5387</v>
      </c>
      <c r="W109" s="3213"/>
      <c r="X109" s="2141"/>
      <c r="Y109" s="2141"/>
      <c r="Z109" s="2141"/>
      <c r="AZ109" s="1561"/>
      <c r="BA109" s="1561"/>
      <c r="BB109" s="1561"/>
      <c r="BC109" s="1561"/>
      <c r="BD109" s="1561"/>
      <c r="BE109" s="1561"/>
      <c r="BF109" s="1561"/>
      <c r="BG109" s="1561"/>
      <c r="BH109" s="1561"/>
      <c r="BI109" s="1561"/>
      <c r="BJ109" s="1561"/>
      <c r="BK109" s="1561"/>
      <c r="BL109" s="1561"/>
      <c r="BM109" s="1561"/>
      <c r="BN109" s="1561"/>
      <c r="BO109" s="1561"/>
      <c r="BP109" s="1561"/>
      <c r="BQ109" s="1561"/>
      <c r="BR109" s="1561"/>
      <c r="BS109" s="1561"/>
      <c r="BT109" s="1561"/>
      <c r="BU109" s="1191"/>
      <c r="BV109" s="1191"/>
      <c r="BW109" s="1191"/>
      <c r="BX109" s="1191"/>
      <c r="BY109" s="1191"/>
      <c r="BZ109" s="1191"/>
      <c r="CA109" s="1191"/>
      <c r="CB109" s="1442"/>
      <c r="CC109" s="1442"/>
      <c r="CD109" s="1442"/>
      <c r="CE109" s="1442"/>
      <c r="CF109" s="1442"/>
      <c r="CG109" s="1442"/>
      <c r="CH109" s="1442"/>
      <c r="CI109" s="1442"/>
      <c r="CJ109" s="1442"/>
      <c r="CK109" s="1442"/>
      <c r="CL109" s="1442"/>
      <c r="CM109" s="1442"/>
      <c r="CN109" s="1442"/>
      <c r="CO109" s="1442"/>
      <c r="CP109" s="1442"/>
      <c r="CQ109" s="1442"/>
      <c r="CR109" s="1442"/>
      <c r="CS109" s="1442"/>
      <c r="CT109" s="1442"/>
      <c r="CU109" s="1442"/>
      <c r="CV109" s="1442"/>
      <c r="CW109" s="1442"/>
      <c r="CX109" s="1442"/>
      <c r="CY109" s="1442"/>
      <c r="CZ109" s="1442"/>
      <c r="DA109" s="1442"/>
      <c r="DB109" s="3217"/>
      <c r="DC109" s="3217"/>
      <c r="DD109" s="3217"/>
      <c r="DE109" s="3217"/>
      <c r="DF109" s="3217"/>
      <c r="DG109" s="3217"/>
      <c r="DH109" s="3217"/>
      <c r="DI109" s="3217"/>
      <c r="DJ109" s="3217"/>
      <c r="DK109" s="3217"/>
      <c r="DL109" s="3217"/>
      <c r="DM109" s="3217"/>
      <c r="DN109" s="3217"/>
      <c r="DO109" s="3217"/>
      <c r="DP109" s="3217"/>
      <c r="DQ109" s="3217"/>
      <c r="DR109" s="3217"/>
      <c r="DS109" s="3217"/>
      <c r="DT109" s="3217"/>
      <c r="DU109" s="3217"/>
      <c r="DV109" s="3217"/>
      <c r="DW109" s="3217"/>
      <c r="DX109" s="3217"/>
      <c r="DY109" s="3217"/>
      <c r="DZ109" s="3217"/>
      <c r="EA109" s="3217"/>
    </row>
    <row r="110" spans="1:131" s="1548" customFormat="1" ht="16.350000000000001" customHeight="1" x14ac:dyDescent="0.3">
      <c r="A110" s="7258" t="s">
        <v>4132</v>
      </c>
      <c r="B110" s="8838" t="s">
        <v>1443</v>
      </c>
      <c r="C110" s="8839"/>
      <c r="D110" s="275" t="s">
        <v>5369</v>
      </c>
      <c r="E110" s="276" t="s">
        <v>5370</v>
      </c>
      <c r="F110" s="158" t="s">
        <v>5371</v>
      </c>
      <c r="G110" s="2548" t="s">
        <v>5372</v>
      </c>
      <c r="H110" s="766" t="s">
        <v>5373</v>
      </c>
      <c r="I110" s="2548" t="s">
        <v>5374</v>
      </c>
      <c r="J110" s="2549" t="s">
        <v>5375</v>
      </c>
      <c r="K110" s="2518" t="s">
        <v>5376</v>
      </c>
      <c r="L110" s="2537" t="s">
        <v>5377</v>
      </c>
      <c r="M110" s="2518" t="s">
        <v>5378</v>
      </c>
      <c r="N110" s="2537" t="s">
        <v>5379</v>
      </c>
      <c r="O110" s="2518" t="s">
        <v>5380</v>
      </c>
      <c r="P110" s="2537" t="s">
        <v>5381</v>
      </c>
      <c r="Q110" s="2538" t="s">
        <v>5382</v>
      </c>
      <c r="R110" s="2537" t="s">
        <v>5383</v>
      </c>
      <c r="S110" s="2538" t="s">
        <v>5384</v>
      </c>
      <c r="T110" s="2537" t="s">
        <v>5385</v>
      </c>
      <c r="U110" s="2538" t="s">
        <v>5386</v>
      </c>
      <c r="V110" s="2537" t="s">
        <v>5387</v>
      </c>
      <c r="W110" s="3213"/>
      <c r="X110" s="2141"/>
      <c r="Y110" s="2141"/>
      <c r="Z110" s="2141"/>
      <c r="AZ110" s="1561"/>
      <c r="BA110" s="1561"/>
      <c r="BB110" s="1561"/>
      <c r="BC110" s="1561"/>
      <c r="BD110" s="1561"/>
      <c r="BE110" s="1561"/>
      <c r="BF110" s="1561"/>
      <c r="BG110" s="1561"/>
      <c r="BH110" s="1561"/>
      <c r="BI110" s="1561"/>
      <c r="BJ110" s="1561"/>
      <c r="BK110" s="1561"/>
      <c r="BL110" s="1561"/>
      <c r="BM110" s="1561"/>
      <c r="BN110" s="1561"/>
      <c r="BO110" s="1561"/>
      <c r="BP110" s="1561"/>
      <c r="BQ110" s="1561"/>
      <c r="BR110" s="1561"/>
      <c r="BS110" s="1561"/>
      <c r="BT110" s="1561"/>
      <c r="BU110" s="1191"/>
      <c r="BV110" s="1191"/>
      <c r="BW110" s="1191"/>
      <c r="BX110" s="1191"/>
      <c r="BY110" s="1191"/>
      <c r="BZ110" s="1191"/>
      <c r="CA110" s="1191"/>
      <c r="CB110" s="1442"/>
      <c r="CC110" s="1442"/>
      <c r="CD110" s="1442"/>
      <c r="CE110" s="1442"/>
      <c r="CF110" s="1442"/>
      <c r="CG110" s="1442"/>
      <c r="CH110" s="1442"/>
      <c r="CI110" s="1442"/>
      <c r="CJ110" s="1442"/>
      <c r="CK110" s="1442"/>
      <c r="CL110" s="1442"/>
      <c r="CM110" s="1442"/>
      <c r="CN110" s="1442"/>
      <c r="CO110" s="1442"/>
      <c r="CP110" s="1442"/>
      <c r="CQ110" s="1442"/>
      <c r="CR110" s="1442"/>
      <c r="CS110" s="1442"/>
      <c r="CT110" s="1442"/>
      <c r="CU110" s="1442"/>
      <c r="CV110" s="1442"/>
      <c r="CW110" s="1442"/>
      <c r="CX110" s="1442"/>
      <c r="CY110" s="1442"/>
      <c r="CZ110" s="1442"/>
      <c r="DA110" s="1442"/>
      <c r="DB110" s="3217"/>
      <c r="DC110" s="3217"/>
      <c r="DD110" s="3217"/>
      <c r="DE110" s="3217"/>
      <c r="DF110" s="3217"/>
      <c r="DG110" s="3217"/>
      <c r="DH110" s="3217"/>
      <c r="DI110" s="3217"/>
      <c r="DJ110" s="3217"/>
      <c r="DK110" s="3217"/>
      <c r="DL110" s="3217"/>
      <c r="DM110" s="3217"/>
      <c r="DN110" s="3217"/>
      <c r="DO110" s="3217"/>
      <c r="DP110" s="3217"/>
      <c r="DQ110" s="3217"/>
      <c r="DR110" s="3217"/>
      <c r="DS110" s="3217"/>
      <c r="DT110" s="3217"/>
      <c r="DU110" s="3217"/>
      <c r="DV110" s="3217"/>
      <c r="DW110" s="3217"/>
      <c r="DX110" s="3217"/>
      <c r="DY110" s="3217"/>
      <c r="DZ110" s="3217"/>
      <c r="EA110" s="3217"/>
    </row>
    <row r="111" spans="1:131" s="1548" customFormat="1" ht="20.25" customHeight="1" x14ac:dyDescent="0.3">
      <c r="A111" s="7258" t="s">
        <v>4133</v>
      </c>
      <c r="B111" s="8838" t="s">
        <v>1442</v>
      </c>
      <c r="C111" s="8839"/>
      <c r="D111" s="275" t="s">
        <v>5369</v>
      </c>
      <c r="E111" s="276" t="s">
        <v>5370</v>
      </c>
      <c r="F111" s="158" t="s">
        <v>5371</v>
      </c>
      <c r="G111" s="2518" t="s">
        <v>5372</v>
      </c>
      <c r="H111" s="557" t="s">
        <v>5373</v>
      </c>
      <c r="I111" s="2518" t="s">
        <v>5374</v>
      </c>
      <c r="J111" s="2519" t="s">
        <v>5375</v>
      </c>
      <c r="K111" s="2545" t="s">
        <v>5376</v>
      </c>
      <c r="L111" s="2547" t="s">
        <v>5377</v>
      </c>
      <c r="M111" s="2545" t="s">
        <v>5378</v>
      </c>
      <c r="N111" s="2547" t="s">
        <v>5379</v>
      </c>
      <c r="O111" s="2545" t="s">
        <v>5380</v>
      </c>
      <c r="P111" s="2547" t="s">
        <v>5381</v>
      </c>
      <c r="Q111" s="2550" t="s">
        <v>5382</v>
      </c>
      <c r="R111" s="2547" t="s">
        <v>5383</v>
      </c>
      <c r="S111" s="2550" t="s">
        <v>5384</v>
      </c>
      <c r="T111" s="2547" t="s">
        <v>5385</v>
      </c>
      <c r="U111" s="2550" t="s">
        <v>5386</v>
      </c>
      <c r="V111" s="2547" t="s">
        <v>5387</v>
      </c>
      <c r="W111" s="3213"/>
      <c r="X111" s="2141"/>
      <c r="Y111" s="2141"/>
      <c r="Z111" s="2141"/>
      <c r="AZ111" s="1561"/>
      <c r="BA111" s="1561"/>
      <c r="BB111" s="1561"/>
      <c r="BC111" s="1561"/>
      <c r="BD111" s="1561"/>
      <c r="BE111" s="1561"/>
      <c r="BF111" s="1561"/>
      <c r="BG111" s="1561"/>
      <c r="BH111" s="1561"/>
      <c r="BI111" s="1561"/>
      <c r="BJ111" s="1561"/>
      <c r="BK111" s="1561"/>
      <c r="BL111" s="1561"/>
      <c r="BM111" s="1561"/>
      <c r="BN111" s="1561"/>
      <c r="BO111" s="1561"/>
      <c r="BP111" s="1561"/>
      <c r="BQ111" s="1561"/>
      <c r="BR111" s="1561"/>
      <c r="BS111" s="1561"/>
      <c r="BT111" s="1561"/>
      <c r="BU111" s="1191"/>
      <c r="BV111" s="1191"/>
      <c r="BW111" s="1191"/>
      <c r="BX111" s="1191"/>
      <c r="BY111" s="1191"/>
      <c r="BZ111" s="1191"/>
      <c r="CA111" s="1191"/>
      <c r="CB111" s="1442"/>
      <c r="CC111" s="1442"/>
      <c r="CD111" s="1442"/>
      <c r="CE111" s="1442"/>
      <c r="CF111" s="1442"/>
      <c r="CG111" s="1442"/>
      <c r="CH111" s="1442"/>
      <c r="CI111" s="1442"/>
      <c r="CJ111" s="1442"/>
      <c r="CK111" s="1442"/>
      <c r="CL111" s="1442"/>
      <c r="CM111" s="1442"/>
      <c r="CN111" s="1442"/>
      <c r="CO111" s="1442"/>
      <c r="CP111" s="1442"/>
      <c r="CQ111" s="1442"/>
      <c r="CR111" s="1442"/>
      <c r="CS111" s="1442"/>
      <c r="CT111" s="1442"/>
      <c r="CU111" s="1442"/>
      <c r="CV111" s="1442"/>
      <c r="CW111" s="1442"/>
      <c r="CX111" s="1442"/>
      <c r="CY111" s="1442"/>
      <c r="CZ111" s="1442"/>
      <c r="DA111" s="1442"/>
      <c r="DB111" s="3217"/>
      <c r="DC111" s="3217"/>
      <c r="DD111" s="3217"/>
      <c r="DE111" s="3217"/>
      <c r="DF111" s="3217"/>
      <c r="DG111" s="3217"/>
      <c r="DH111" s="3217"/>
      <c r="DI111" s="3217"/>
      <c r="DJ111" s="3217"/>
      <c r="DK111" s="3217"/>
      <c r="DL111" s="3217"/>
      <c r="DM111" s="3217"/>
      <c r="DN111" s="3217"/>
      <c r="DO111" s="3217"/>
      <c r="DP111" s="3217"/>
      <c r="DQ111" s="3217"/>
      <c r="DR111" s="3217"/>
      <c r="DS111" s="3217"/>
      <c r="DT111" s="3217"/>
      <c r="DU111" s="3217"/>
      <c r="DV111" s="3217"/>
      <c r="DW111" s="3217"/>
      <c r="DX111" s="3217"/>
      <c r="DY111" s="3217"/>
      <c r="DZ111" s="3217"/>
      <c r="EA111" s="3217"/>
    </row>
    <row r="112" spans="1:131" s="1548" customFormat="1" ht="16.350000000000001" customHeight="1" x14ac:dyDescent="0.3">
      <c r="A112" s="7258" t="s">
        <v>4134</v>
      </c>
      <c r="B112" s="8838" t="s">
        <v>1441</v>
      </c>
      <c r="C112" s="8839"/>
      <c r="D112" s="870" t="s">
        <v>5369</v>
      </c>
      <c r="E112" s="276" t="s">
        <v>5370</v>
      </c>
      <c r="F112" s="158" t="s">
        <v>5371</v>
      </c>
      <c r="G112" s="2518" t="s">
        <v>5372</v>
      </c>
      <c r="H112" s="557" t="s">
        <v>5373</v>
      </c>
      <c r="I112" s="2518" t="s">
        <v>5374</v>
      </c>
      <c r="J112" s="2519" t="s">
        <v>5375</v>
      </c>
      <c r="K112" s="869" t="s">
        <v>5376</v>
      </c>
      <c r="L112" s="1810" t="s">
        <v>5377</v>
      </c>
      <c r="M112" s="869" t="s">
        <v>5378</v>
      </c>
      <c r="N112" s="1810" t="s">
        <v>5379</v>
      </c>
      <c r="O112" s="869" t="s">
        <v>5380</v>
      </c>
      <c r="P112" s="1810" t="s">
        <v>5381</v>
      </c>
      <c r="Q112" s="2551" t="s">
        <v>5382</v>
      </c>
      <c r="R112" s="1810" t="s">
        <v>5383</v>
      </c>
      <c r="S112" s="2551" t="s">
        <v>5384</v>
      </c>
      <c r="T112" s="1810" t="s">
        <v>5385</v>
      </c>
      <c r="U112" s="2551" t="s">
        <v>5386</v>
      </c>
      <c r="V112" s="1810" t="s">
        <v>5387</v>
      </c>
      <c r="W112" s="3213"/>
      <c r="X112" s="2141"/>
      <c r="Y112" s="2141"/>
      <c r="Z112" s="2141"/>
      <c r="AZ112" s="1561"/>
      <c r="BA112" s="1561"/>
      <c r="BB112" s="1561"/>
      <c r="BC112" s="1561"/>
      <c r="BD112" s="1561"/>
      <c r="BE112" s="1561"/>
      <c r="BF112" s="1561"/>
      <c r="BG112" s="1561"/>
      <c r="BH112" s="1561"/>
      <c r="BI112" s="1561"/>
      <c r="BJ112" s="1561"/>
      <c r="BK112" s="1561"/>
      <c r="BL112" s="1561"/>
      <c r="BM112" s="1561"/>
      <c r="BN112" s="1561"/>
      <c r="BO112" s="1561"/>
      <c r="BP112" s="1561"/>
      <c r="BQ112" s="1561"/>
      <c r="BR112" s="1561"/>
      <c r="BS112" s="1561"/>
      <c r="BT112" s="1561"/>
      <c r="BU112" s="1191"/>
      <c r="BV112" s="1191"/>
      <c r="BW112" s="1191"/>
      <c r="BX112" s="1191"/>
      <c r="BY112" s="1191"/>
      <c r="BZ112" s="1191"/>
      <c r="CA112" s="1191"/>
      <c r="CB112" s="1442"/>
      <c r="CC112" s="1442"/>
      <c r="CD112" s="1442"/>
      <c r="CE112" s="1442"/>
      <c r="CF112" s="1442"/>
      <c r="CG112" s="1442"/>
      <c r="CH112" s="1442"/>
      <c r="CI112" s="1442"/>
      <c r="CJ112" s="1442"/>
      <c r="CK112" s="1442"/>
      <c r="CL112" s="1442"/>
      <c r="CM112" s="1442"/>
      <c r="CN112" s="1442"/>
      <c r="CO112" s="1442"/>
      <c r="CP112" s="1442"/>
      <c r="CQ112" s="1442"/>
      <c r="CR112" s="1442"/>
      <c r="CS112" s="1442"/>
      <c r="CT112" s="1442"/>
      <c r="CU112" s="1442"/>
      <c r="CV112" s="1442"/>
      <c r="CW112" s="1442"/>
      <c r="CX112" s="1442"/>
      <c r="CY112" s="1442"/>
      <c r="CZ112" s="1442"/>
      <c r="DA112" s="1442"/>
      <c r="DB112" s="3217"/>
      <c r="DC112" s="3217"/>
      <c r="DD112" s="3217"/>
      <c r="DE112" s="3217"/>
      <c r="DF112" s="3217"/>
      <c r="DG112" s="3217"/>
      <c r="DH112" s="3217"/>
      <c r="DI112" s="3217"/>
      <c r="DJ112" s="3217"/>
      <c r="DK112" s="3217"/>
      <c r="DL112" s="3217"/>
      <c r="DM112" s="3217"/>
      <c r="DN112" s="3217"/>
      <c r="DO112" s="3217"/>
      <c r="DP112" s="3217"/>
      <c r="DQ112" s="3217"/>
      <c r="DR112" s="3217"/>
      <c r="DS112" s="3217"/>
      <c r="DT112" s="3217"/>
      <c r="DU112" s="3217"/>
      <c r="DV112" s="3217"/>
      <c r="DW112" s="3217"/>
      <c r="DX112" s="3217"/>
      <c r="DY112" s="3217"/>
      <c r="DZ112" s="3217"/>
      <c r="EA112" s="3217"/>
    </row>
    <row r="113" spans="1:131" s="1548" customFormat="1" ht="16.350000000000001" customHeight="1" x14ac:dyDescent="0.3">
      <c r="A113" s="7258" t="s">
        <v>4135</v>
      </c>
      <c r="B113" s="8821" t="s">
        <v>1440</v>
      </c>
      <c r="C113" s="868" t="s">
        <v>1381</v>
      </c>
      <c r="D113" s="867" t="s">
        <v>5369</v>
      </c>
      <c r="E113" s="554" t="s">
        <v>5370</v>
      </c>
      <c r="F113" s="866" t="s">
        <v>5371</v>
      </c>
      <c r="G113" s="2588" t="s">
        <v>5372</v>
      </c>
      <c r="H113" s="2535" t="s">
        <v>5373</v>
      </c>
      <c r="I113" s="2588" t="s">
        <v>5374</v>
      </c>
      <c r="J113" s="2587" t="s">
        <v>5375</v>
      </c>
      <c r="K113" s="2588" t="s">
        <v>5376</v>
      </c>
      <c r="L113" s="2061" t="s">
        <v>5377</v>
      </c>
      <c r="M113" s="2588" t="s">
        <v>5378</v>
      </c>
      <c r="N113" s="2061" t="s">
        <v>5379</v>
      </c>
      <c r="O113" s="2588" t="s">
        <v>5380</v>
      </c>
      <c r="P113" s="2587" t="s">
        <v>5381</v>
      </c>
      <c r="Q113" s="2588" t="s">
        <v>5382</v>
      </c>
      <c r="R113" s="2587" t="s">
        <v>5383</v>
      </c>
      <c r="S113" s="2588" t="s">
        <v>5384</v>
      </c>
      <c r="T113" s="2587" t="s">
        <v>5385</v>
      </c>
      <c r="U113" s="2588" t="s">
        <v>5386</v>
      </c>
      <c r="V113" s="2587" t="s">
        <v>5387</v>
      </c>
      <c r="W113" s="3213"/>
      <c r="X113" s="2141"/>
      <c r="Y113" s="2141"/>
      <c r="Z113" s="2141"/>
      <c r="AZ113" s="1561"/>
      <c r="BA113" s="1561"/>
      <c r="BB113" s="1561"/>
      <c r="BC113" s="1561"/>
      <c r="BD113" s="1561"/>
      <c r="BE113" s="1561"/>
      <c r="BF113" s="1561"/>
      <c r="BG113" s="1561"/>
      <c r="BH113" s="1561"/>
      <c r="BI113" s="1561"/>
      <c r="BJ113" s="1561"/>
      <c r="BK113" s="1561"/>
      <c r="BL113" s="1561"/>
      <c r="BM113" s="1561"/>
      <c r="BN113" s="1561"/>
      <c r="BO113" s="1561"/>
      <c r="BP113" s="1561"/>
      <c r="BQ113" s="1561"/>
      <c r="BR113" s="1561"/>
      <c r="BS113" s="1561"/>
      <c r="BT113" s="1561"/>
      <c r="BU113" s="1191"/>
      <c r="BV113" s="1191"/>
      <c r="BW113" s="1191"/>
      <c r="BX113" s="1191"/>
      <c r="BY113" s="1191"/>
      <c r="BZ113" s="1191"/>
      <c r="CA113" s="1191"/>
      <c r="CB113" s="1442"/>
      <c r="CC113" s="1442"/>
      <c r="CD113" s="1442"/>
      <c r="CE113" s="1442"/>
      <c r="CF113" s="1442"/>
      <c r="CG113" s="1442"/>
      <c r="CH113" s="1442"/>
      <c r="CI113" s="1442"/>
      <c r="CJ113" s="1442"/>
      <c r="CK113" s="1442"/>
      <c r="CL113" s="1442"/>
      <c r="CM113" s="1442"/>
      <c r="CN113" s="1442"/>
      <c r="CO113" s="1442"/>
      <c r="CP113" s="1442"/>
      <c r="CQ113" s="1442"/>
      <c r="CR113" s="1442"/>
      <c r="CS113" s="1442"/>
      <c r="CT113" s="1442"/>
      <c r="CU113" s="1442"/>
      <c r="CV113" s="1442"/>
      <c r="CW113" s="1442"/>
      <c r="CX113" s="1442"/>
      <c r="CY113" s="1442"/>
      <c r="CZ113" s="1442"/>
      <c r="DA113" s="1442"/>
      <c r="DB113" s="3217"/>
      <c r="DC113" s="3217"/>
      <c r="DD113" s="3217"/>
      <c r="DE113" s="3217"/>
      <c r="DF113" s="3217"/>
      <c r="DG113" s="3217"/>
      <c r="DH113" s="3217"/>
      <c r="DI113" s="3217"/>
      <c r="DJ113" s="3217"/>
      <c r="DK113" s="3217"/>
      <c r="DL113" s="3217"/>
      <c r="DM113" s="3217"/>
      <c r="DN113" s="3217"/>
      <c r="DO113" s="3217"/>
      <c r="DP113" s="3217"/>
      <c r="DQ113" s="3217"/>
      <c r="DR113" s="3217"/>
      <c r="DS113" s="3217"/>
      <c r="DT113" s="3217"/>
      <c r="DU113" s="3217"/>
      <c r="DV113" s="3217"/>
      <c r="DW113" s="3217"/>
      <c r="DX113" s="3217"/>
      <c r="DY113" s="3217"/>
      <c r="DZ113" s="3217"/>
      <c r="EA113" s="3217"/>
    </row>
    <row r="114" spans="1:131" s="1548" customFormat="1" ht="20.25" customHeight="1" x14ac:dyDescent="0.3">
      <c r="A114" s="7258" t="s">
        <v>4136</v>
      </c>
      <c r="B114" s="8555"/>
      <c r="C114" s="475" t="s">
        <v>1439</v>
      </c>
      <c r="D114" s="643" t="s">
        <v>5369</v>
      </c>
      <c r="E114" s="683" t="s">
        <v>5370</v>
      </c>
      <c r="F114" s="670" t="s">
        <v>5371</v>
      </c>
      <c r="G114" s="2518" t="s">
        <v>5372</v>
      </c>
      <c r="H114" s="557" t="s">
        <v>5373</v>
      </c>
      <c r="I114" s="2518" t="s">
        <v>5374</v>
      </c>
      <c r="J114" s="2519" t="s">
        <v>5375</v>
      </c>
      <c r="K114" s="2518" t="s">
        <v>5376</v>
      </c>
      <c r="L114" s="2537" t="s">
        <v>5377</v>
      </c>
      <c r="M114" s="2518" t="s">
        <v>5378</v>
      </c>
      <c r="N114" s="2537" t="s">
        <v>5379</v>
      </c>
      <c r="O114" s="2518" t="s">
        <v>5380</v>
      </c>
      <c r="P114" s="2519" t="s">
        <v>5381</v>
      </c>
      <c r="Q114" s="2518" t="s">
        <v>5382</v>
      </c>
      <c r="R114" s="2519" t="s">
        <v>5383</v>
      </c>
      <c r="S114" s="2518" t="s">
        <v>5384</v>
      </c>
      <c r="T114" s="2519" t="s">
        <v>5385</v>
      </c>
      <c r="U114" s="2518" t="s">
        <v>5386</v>
      </c>
      <c r="V114" s="2519" t="s">
        <v>5387</v>
      </c>
      <c r="W114" s="3213"/>
      <c r="X114" s="2141"/>
      <c r="Y114" s="2141"/>
      <c r="Z114" s="2141"/>
      <c r="AZ114" s="1561"/>
      <c r="BA114" s="1561"/>
      <c r="BB114" s="1561"/>
      <c r="BC114" s="1561"/>
      <c r="BD114" s="1561"/>
      <c r="BE114" s="1561"/>
      <c r="BF114" s="1561"/>
      <c r="BG114" s="1561"/>
      <c r="BH114" s="1561"/>
      <c r="BI114" s="1561"/>
      <c r="BJ114" s="1561"/>
      <c r="BK114" s="1561"/>
      <c r="BL114" s="1561"/>
      <c r="BM114" s="1561"/>
      <c r="BN114" s="1561"/>
      <c r="BO114" s="1561"/>
      <c r="BP114" s="1561"/>
      <c r="BQ114" s="1561"/>
      <c r="BR114" s="1561"/>
      <c r="BS114" s="1561"/>
      <c r="BT114" s="1561"/>
      <c r="BU114" s="1191"/>
      <c r="BV114" s="1191"/>
      <c r="BW114" s="1191"/>
      <c r="BX114" s="1191"/>
      <c r="BY114" s="1191"/>
      <c r="BZ114" s="1191"/>
      <c r="CA114" s="1191"/>
      <c r="CB114" s="1442"/>
      <c r="CC114" s="1442"/>
      <c r="CD114" s="1442"/>
      <c r="CE114" s="1442"/>
      <c r="CF114" s="1442"/>
      <c r="CG114" s="1442"/>
      <c r="CH114" s="1442"/>
      <c r="CI114" s="1442"/>
      <c r="CJ114" s="1442"/>
      <c r="CK114" s="1442"/>
      <c r="CL114" s="1442"/>
      <c r="CM114" s="1442"/>
      <c r="CN114" s="1442"/>
      <c r="CO114" s="1442"/>
      <c r="CP114" s="1442"/>
      <c r="CQ114" s="1442"/>
      <c r="CR114" s="1442"/>
      <c r="CS114" s="1442"/>
      <c r="CT114" s="1442"/>
      <c r="CU114" s="1442"/>
      <c r="CV114" s="1442"/>
      <c r="CW114" s="1442"/>
      <c r="CX114" s="1442"/>
      <c r="CY114" s="1442"/>
      <c r="CZ114" s="1442"/>
      <c r="DA114" s="1442"/>
      <c r="DB114" s="3217"/>
      <c r="DC114" s="3217"/>
      <c r="DD114" s="3217"/>
      <c r="DE114" s="3217"/>
      <c r="DF114" s="3217"/>
      <c r="DG114" s="3217"/>
      <c r="DH114" s="3217"/>
      <c r="DI114" s="3217"/>
      <c r="DJ114" s="3217"/>
      <c r="DK114" s="3217"/>
      <c r="DL114" s="3217"/>
      <c r="DM114" s="3217"/>
      <c r="DN114" s="3217"/>
      <c r="DO114" s="3217"/>
      <c r="DP114" s="3217"/>
      <c r="DQ114" s="3217"/>
      <c r="DR114" s="3217"/>
      <c r="DS114" s="3217"/>
      <c r="DT114" s="3217"/>
      <c r="DU114" s="3217"/>
      <c r="DV114" s="3217"/>
      <c r="DW114" s="3217"/>
      <c r="DX114" s="3217"/>
      <c r="DY114" s="3217"/>
      <c r="DZ114" s="3217"/>
      <c r="EA114" s="3217"/>
    </row>
    <row r="115" spans="1:131" s="1548" customFormat="1" ht="30.75" customHeight="1" x14ac:dyDescent="0.3">
      <c r="A115" s="7258" t="s">
        <v>4137</v>
      </c>
      <c r="B115" s="8822"/>
      <c r="C115" s="865" t="s">
        <v>1438</v>
      </c>
      <c r="D115" s="551" t="s">
        <v>5369</v>
      </c>
      <c r="E115" s="550" t="s">
        <v>5370</v>
      </c>
      <c r="F115" s="635" t="s">
        <v>5371</v>
      </c>
      <c r="G115" s="2465" t="s">
        <v>5372</v>
      </c>
      <c r="H115" s="2480" t="s">
        <v>5373</v>
      </c>
      <c r="I115" s="2465" t="s">
        <v>5374</v>
      </c>
      <c r="J115" s="2479" t="s">
        <v>5375</v>
      </c>
      <c r="K115" s="2465" t="s">
        <v>5376</v>
      </c>
      <c r="L115" s="2496" t="s">
        <v>5377</v>
      </c>
      <c r="M115" s="2465" t="s">
        <v>5378</v>
      </c>
      <c r="N115" s="2496" t="s">
        <v>5379</v>
      </c>
      <c r="O115" s="2465" t="s">
        <v>5380</v>
      </c>
      <c r="P115" s="2479" t="s">
        <v>5381</v>
      </c>
      <c r="Q115" s="2465" t="s">
        <v>5382</v>
      </c>
      <c r="R115" s="2479" t="s">
        <v>5383</v>
      </c>
      <c r="S115" s="2465" t="s">
        <v>5384</v>
      </c>
      <c r="T115" s="2479" t="s">
        <v>5385</v>
      </c>
      <c r="U115" s="2465" t="s">
        <v>5386</v>
      </c>
      <c r="V115" s="2479" t="s">
        <v>5387</v>
      </c>
      <c r="W115" s="3213"/>
      <c r="X115" s="2141"/>
      <c r="Y115" s="2141"/>
      <c r="Z115" s="2141"/>
      <c r="AZ115" s="1561"/>
      <c r="BA115" s="1561"/>
      <c r="BB115" s="1561"/>
      <c r="BC115" s="1561"/>
      <c r="BD115" s="1561"/>
      <c r="BE115" s="1561"/>
      <c r="BF115" s="1561"/>
      <c r="BG115" s="1561"/>
      <c r="BH115" s="1561"/>
      <c r="BI115" s="1561"/>
      <c r="BJ115" s="1561"/>
      <c r="BK115" s="1561"/>
      <c r="BL115" s="1561"/>
      <c r="BM115" s="1561"/>
      <c r="BN115" s="1561"/>
      <c r="BO115" s="1561"/>
      <c r="BP115" s="1561"/>
      <c r="BQ115" s="1561"/>
      <c r="BR115" s="1561"/>
      <c r="BS115" s="1561"/>
      <c r="BT115" s="1561"/>
      <c r="BU115" s="1191"/>
      <c r="BV115" s="1191"/>
      <c r="BW115" s="1191"/>
      <c r="BX115" s="1191"/>
      <c r="BY115" s="1191"/>
      <c r="BZ115" s="1191"/>
      <c r="CA115" s="1191"/>
      <c r="CB115" s="1442"/>
      <c r="CC115" s="1442"/>
      <c r="CD115" s="1442"/>
      <c r="CE115" s="1442"/>
      <c r="CF115" s="1442"/>
      <c r="CG115" s="1442"/>
      <c r="CH115" s="1442"/>
      <c r="CI115" s="1442"/>
      <c r="CJ115" s="1442"/>
      <c r="CK115" s="1442"/>
      <c r="CL115" s="1442"/>
      <c r="CM115" s="1442"/>
      <c r="CN115" s="1442"/>
      <c r="CO115" s="1442"/>
      <c r="CP115" s="1442"/>
      <c r="CQ115" s="1442"/>
      <c r="CR115" s="1442"/>
      <c r="CS115" s="1442"/>
      <c r="CT115" s="1442"/>
      <c r="CU115" s="1442"/>
      <c r="CV115" s="1442"/>
      <c r="CW115" s="1442"/>
      <c r="CX115" s="1442"/>
      <c r="CY115" s="1442"/>
      <c r="CZ115" s="1442"/>
      <c r="DA115" s="1442"/>
      <c r="DB115" s="3217"/>
      <c r="DC115" s="3217"/>
      <c r="DD115" s="3217"/>
      <c r="DE115" s="3217"/>
      <c r="DF115" s="3217"/>
      <c r="DG115" s="3217"/>
      <c r="DH115" s="3217"/>
      <c r="DI115" s="3217"/>
      <c r="DJ115" s="3217"/>
      <c r="DK115" s="3217"/>
      <c r="DL115" s="3217"/>
      <c r="DM115" s="3217"/>
      <c r="DN115" s="3217"/>
      <c r="DO115" s="3217"/>
      <c r="DP115" s="3217"/>
      <c r="DQ115" s="3217"/>
      <c r="DR115" s="3217"/>
      <c r="DS115" s="3217"/>
      <c r="DT115" s="3217"/>
      <c r="DU115" s="3217"/>
      <c r="DV115" s="3217"/>
      <c r="DW115" s="3217"/>
      <c r="DX115" s="3217"/>
      <c r="DY115" s="3217"/>
      <c r="DZ115" s="3217"/>
      <c r="EA115" s="3217"/>
    </row>
    <row r="116" spans="1:131" ht="31.35" customHeight="1" x14ac:dyDescent="0.3">
      <c r="B116" s="864" t="s">
        <v>1437</v>
      </c>
      <c r="C116" s="864"/>
      <c r="D116" s="864"/>
      <c r="E116" s="864"/>
      <c r="F116" s="864"/>
      <c r="G116" s="859"/>
      <c r="H116" s="859"/>
      <c r="I116" s="859"/>
      <c r="J116" s="863"/>
      <c r="K116" s="862"/>
      <c r="L116" s="862"/>
      <c r="M116" s="861"/>
      <c r="N116" s="860"/>
      <c r="O116" s="856"/>
      <c r="P116" s="859"/>
      <c r="Q116" s="856"/>
      <c r="R116" s="858"/>
      <c r="S116" s="857"/>
      <c r="T116" s="857"/>
      <c r="U116" s="856"/>
      <c r="V116" s="856"/>
      <c r="W116" s="856"/>
      <c r="X116" s="693"/>
      <c r="Y116" s="856"/>
      <c r="Z116" s="693"/>
      <c r="AA116" s="855"/>
      <c r="AB116" s="692"/>
      <c r="BB116" s="1191"/>
      <c r="BC116" s="1191"/>
      <c r="BD116" s="1191"/>
      <c r="BE116" s="1191"/>
      <c r="BF116" s="1191"/>
      <c r="BG116" s="1191"/>
      <c r="BH116" s="1191"/>
      <c r="BI116" s="1191"/>
      <c r="BJ116" s="1191"/>
      <c r="BK116" s="1191"/>
      <c r="BL116" s="1191"/>
      <c r="BM116" s="1191"/>
      <c r="BN116" s="1191"/>
      <c r="BO116" s="1191"/>
      <c r="BP116" s="1191"/>
      <c r="BQ116" s="1191"/>
      <c r="BR116" s="1191"/>
      <c r="BS116" s="1191"/>
      <c r="BT116" s="1191"/>
    </row>
    <row r="117" spans="1:131" ht="16.350000000000001" customHeight="1" x14ac:dyDescent="0.3">
      <c r="B117" s="8555" t="s">
        <v>41</v>
      </c>
      <c r="C117" s="8555" t="s">
        <v>1407</v>
      </c>
      <c r="D117" s="8621" t="s">
        <v>848</v>
      </c>
      <c r="E117" s="8560"/>
      <c r="F117" s="8622"/>
      <c r="G117" s="8849" t="s">
        <v>2</v>
      </c>
      <c r="H117" s="8850"/>
      <c r="I117" s="8850"/>
      <c r="J117" s="8850"/>
      <c r="K117" s="8850"/>
      <c r="L117" s="8850"/>
      <c r="M117" s="8850"/>
      <c r="N117" s="8850"/>
      <c r="O117" s="8850"/>
      <c r="P117" s="8850"/>
      <c r="Q117" s="8850"/>
      <c r="R117" s="8850"/>
      <c r="S117" s="8850"/>
      <c r="T117" s="8850"/>
      <c r="U117" s="8874"/>
      <c r="V117" s="8874"/>
      <c r="W117" s="8850"/>
      <c r="X117" s="8850"/>
      <c r="Y117" s="8850"/>
      <c r="Z117" s="8850"/>
      <c r="AA117" s="8850"/>
      <c r="AB117" s="8851"/>
      <c r="AZ117" s="1547"/>
      <c r="BA117" s="1547"/>
    </row>
    <row r="118" spans="1:131" ht="16.350000000000001" customHeight="1" x14ac:dyDescent="0.3">
      <c r="B118" s="8555"/>
      <c r="C118" s="8555"/>
      <c r="D118" s="8714"/>
      <c r="E118" s="8598"/>
      <c r="F118" s="8715"/>
      <c r="G118" s="8754" t="s">
        <v>1436</v>
      </c>
      <c r="H118" s="8755"/>
      <c r="I118" s="8754" t="s">
        <v>1376</v>
      </c>
      <c r="J118" s="8755"/>
      <c r="K118" s="8754" t="s">
        <v>1435</v>
      </c>
      <c r="L118" s="8755"/>
      <c r="M118" s="8877" t="s">
        <v>54</v>
      </c>
      <c r="N118" s="8755"/>
      <c r="O118" s="8754" t="s">
        <v>32</v>
      </c>
      <c r="P118" s="8755"/>
      <c r="Q118" s="8754" t="s">
        <v>33</v>
      </c>
      <c r="R118" s="8755"/>
      <c r="S118" s="8754" t="s">
        <v>40</v>
      </c>
      <c r="T118" s="8755"/>
      <c r="U118" s="8754" t="s">
        <v>1434</v>
      </c>
      <c r="V118" s="8755"/>
      <c r="W118" s="8754" t="s">
        <v>1397</v>
      </c>
      <c r="X118" s="8755"/>
      <c r="Y118" s="8754" t="s">
        <v>1433</v>
      </c>
      <c r="Z118" s="8755"/>
      <c r="AA118" s="8878" t="s">
        <v>1405</v>
      </c>
      <c r="AB118" s="8879"/>
      <c r="AZ118" s="1547"/>
      <c r="BA118" s="1547"/>
    </row>
    <row r="119" spans="1:131" ht="16.350000000000001" customHeight="1" x14ac:dyDescent="0.3">
      <c r="B119" s="8822"/>
      <c r="C119" s="8822"/>
      <c r="D119" s="852" t="s">
        <v>42</v>
      </c>
      <c r="E119" s="854" t="s">
        <v>17</v>
      </c>
      <c r="F119" s="853" t="s">
        <v>18</v>
      </c>
      <c r="G119" s="2597" t="s">
        <v>17</v>
      </c>
      <c r="H119" s="2611" t="s">
        <v>18</v>
      </c>
      <c r="I119" s="2597" t="s">
        <v>17</v>
      </c>
      <c r="J119" s="2611" t="s">
        <v>18</v>
      </c>
      <c r="K119" s="2597" t="s">
        <v>17</v>
      </c>
      <c r="L119" s="2611" t="s">
        <v>18</v>
      </c>
      <c r="M119" s="2612" t="s">
        <v>17</v>
      </c>
      <c r="N119" s="2611" t="s">
        <v>18</v>
      </c>
      <c r="O119" s="2597" t="s">
        <v>17</v>
      </c>
      <c r="P119" s="2611" t="s">
        <v>18</v>
      </c>
      <c r="Q119" s="2597" t="s">
        <v>17</v>
      </c>
      <c r="R119" s="2611" t="s">
        <v>18</v>
      </c>
      <c r="S119" s="2597" t="s">
        <v>17</v>
      </c>
      <c r="T119" s="2613" t="s">
        <v>18</v>
      </c>
      <c r="U119" s="2597" t="s">
        <v>17</v>
      </c>
      <c r="V119" s="2611" t="s">
        <v>18</v>
      </c>
      <c r="W119" s="2597" t="s">
        <v>17</v>
      </c>
      <c r="X119" s="2611" t="s">
        <v>18</v>
      </c>
      <c r="Y119" s="2597" t="s">
        <v>17</v>
      </c>
      <c r="Z119" s="2611" t="s">
        <v>18</v>
      </c>
      <c r="AA119" s="2614" t="s">
        <v>17</v>
      </c>
      <c r="AB119" s="2615" t="s">
        <v>18</v>
      </c>
      <c r="AZ119" s="1547"/>
      <c r="BA119" s="1547"/>
    </row>
    <row r="120" spans="1:131" ht="16.350000000000001" customHeight="1" x14ac:dyDescent="0.3">
      <c r="A120" s="7258" t="s">
        <v>4138</v>
      </c>
      <c r="B120" s="8817" t="s">
        <v>1432</v>
      </c>
      <c r="C120" s="1330" t="s">
        <v>1424</v>
      </c>
      <c r="D120" s="830" t="s">
        <v>5369</v>
      </c>
      <c r="E120" s="1333" t="s">
        <v>5370</v>
      </c>
      <c r="F120" s="1334" t="s">
        <v>5371</v>
      </c>
      <c r="G120" s="2588" t="s">
        <v>5372</v>
      </c>
      <c r="H120" s="2587" t="s">
        <v>5373</v>
      </c>
      <c r="I120" s="2588" t="s">
        <v>5374</v>
      </c>
      <c r="J120" s="2061" t="s">
        <v>5375</v>
      </c>
      <c r="K120" s="2588" t="s">
        <v>5376</v>
      </c>
      <c r="L120" s="2061" t="s">
        <v>5377</v>
      </c>
      <c r="M120" s="2534" t="s">
        <v>5378</v>
      </c>
      <c r="N120" s="2061" t="s">
        <v>5379</v>
      </c>
      <c r="O120" s="2588" t="s">
        <v>5380</v>
      </c>
      <c r="P120" s="2061" t="s">
        <v>5381</v>
      </c>
      <c r="Q120" s="2588" t="s">
        <v>5382</v>
      </c>
      <c r="R120" s="2061" t="s">
        <v>5383</v>
      </c>
      <c r="S120" s="2588" t="s">
        <v>5384</v>
      </c>
      <c r="T120" s="2061" t="s">
        <v>5385</v>
      </c>
      <c r="U120" s="2588" t="s">
        <v>5386</v>
      </c>
      <c r="V120" s="2061" t="s">
        <v>5387</v>
      </c>
      <c r="W120" s="2588" t="s">
        <v>5388</v>
      </c>
      <c r="X120" s="2061" t="s">
        <v>5389</v>
      </c>
      <c r="Y120" s="2588" t="s">
        <v>5390</v>
      </c>
      <c r="Z120" s="2061" t="s">
        <v>5391</v>
      </c>
      <c r="AA120" s="2588" t="s">
        <v>5392</v>
      </c>
      <c r="AB120" s="2061" t="s">
        <v>5393</v>
      </c>
      <c r="AC120" s="1547"/>
      <c r="AZ120" s="1547"/>
      <c r="BA120" s="1547"/>
    </row>
    <row r="121" spans="1:131" ht="16.350000000000001" customHeight="1" x14ac:dyDescent="0.3">
      <c r="A121" s="7258" t="s">
        <v>4139</v>
      </c>
      <c r="B121" s="8818"/>
      <c r="C121" s="564" t="s">
        <v>1423</v>
      </c>
      <c r="D121" s="2171" t="s">
        <v>5369</v>
      </c>
      <c r="E121" s="2172" t="s">
        <v>5370</v>
      </c>
      <c r="F121" s="843" t="s">
        <v>5371</v>
      </c>
      <c r="G121" s="2492" t="s">
        <v>5372</v>
      </c>
      <c r="H121" s="2499" t="s">
        <v>5373</v>
      </c>
      <c r="I121" s="2492" t="s">
        <v>5374</v>
      </c>
      <c r="J121" s="2495" t="s">
        <v>5375</v>
      </c>
      <c r="K121" s="2492" t="s">
        <v>5376</v>
      </c>
      <c r="L121" s="2495" t="s">
        <v>5377</v>
      </c>
      <c r="M121" s="2503" t="s">
        <v>5378</v>
      </c>
      <c r="N121" s="2495" t="s">
        <v>5379</v>
      </c>
      <c r="O121" s="2492" t="s">
        <v>5380</v>
      </c>
      <c r="P121" s="2495" t="s">
        <v>5381</v>
      </c>
      <c r="Q121" s="2492" t="s">
        <v>5382</v>
      </c>
      <c r="R121" s="2495" t="s">
        <v>5383</v>
      </c>
      <c r="S121" s="2492" t="s">
        <v>5384</v>
      </c>
      <c r="T121" s="2495" t="s">
        <v>5385</v>
      </c>
      <c r="U121" s="2492" t="s">
        <v>5386</v>
      </c>
      <c r="V121" s="2495" t="s">
        <v>5387</v>
      </c>
      <c r="W121" s="2492" t="s">
        <v>5388</v>
      </c>
      <c r="X121" s="2495" t="s">
        <v>5389</v>
      </c>
      <c r="Y121" s="2492" t="s">
        <v>5390</v>
      </c>
      <c r="Z121" s="2495" t="s">
        <v>5391</v>
      </c>
      <c r="AA121" s="2492" t="s">
        <v>5392</v>
      </c>
      <c r="AB121" s="2495" t="s">
        <v>5393</v>
      </c>
      <c r="AC121" s="1547"/>
      <c r="AZ121" s="1547"/>
      <c r="BA121" s="1547"/>
    </row>
    <row r="122" spans="1:131" ht="16.350000000000001" customHeight="1" x14ac:dyDescent="0.3">
      <c r="A122" s="7258" t="s">
        <v>4140</v>
      </c>
      <c r="B122" s="8818"/>
      <c r="C122" s="2071" t="s">
        <v>1422</v>
      </c>
      <c r="D122" s="2171" t="s">
        <v>5369</v>
      </c>
      <c r="E122" s="2172" t="s">
        <v>5370</v>
      </c>
      <c r="F122" s="843" t="s">
        <v>5371</v>
      </c>
      <c r="G122" s="2492" t="s">
        <v>5372</v>
      </c>
      <c r="H122" s="2499" t="s">
        <v>5373</v>
      </c>
      <c r="I122" s="2492" t="s">
        <v>5374</v>
      </c>
      <c r="J122" s="2495" t="s">
        <v>5375</v>
      </c>
      <c r="K122" s="2492" t="s">
        <v>5376</v>
      </c>
      <c r="L122" s="2495" t="s">
        <v>5377</v>
      </c>
      <c r="M122" s="2503" t="s">
        <v>5378</v>
      </c>
      <c r="N122" s="2495" t="s">
        <v>5379</v>
      </c>
      <c r="O122" s="2492" t="s">
        <v>5380</v>
      </c>
      <c r="P122" s="2495" t="s">
        <v>5381</v>
      </c>
      <c r="Q122" s="2492" t="s">
        <v>5382</v>
      </c>
      <c r="R122" s="2495" t="s">
        <v>5383</v>
      </c>
      <c r="S122" s="2492" t="s">
        <v>5384</v>
      </c>
      <c r="T122" s="2495" t="s">
        <v>5385</v>
      </c>
      <c r="U122" s="2492" t="s">
        <v>5386</v>
      </c>
      <c r="V122" s="2495" t="s">
        <v>5387</v>
      </c>
      <c r="W122" s="2492" t="s">
        <v>5388</v>
      </c>
      <c r="X122" s="2495" t="s">
        <v>5389</v>
      </c>
      <c r="Y122" s="2492" t="s">
        <v>5390</v>
      </c>
      <c r="Z122" s="2495" t="s">
        <v>5391</v>
      </c>
      <c r="AA122" s="2492" t="s">
        <v>5392</v>
      </c>
      <c r="AB122" s="2495" t="s">
        <v>5393</v>
      </c>
      <c r="AC122" s="1547"/>
      <c r="AZ122" s="1547"/>
      <c r="BA122" s="1547"/>
    </row>
    <row r="123" spans="1:131" ht="16.350000000000001" customHeight="1" x14ac:dyDescent="0.3">
      <c r="A123" s="7258" t="s">
        <v>4141</v>
      </c>
      <c r="B123" s="8819"/>
      <c r="C123" s="2071" t="s">
        <v>1421</v>
      </c>
      <c r="D123" s="323" t="s">
        <v>5369</v>
      </c>
      <c r="E123" s="324" t="s">
        <v>5370</v>
      </c>
      <c r="F123" s="851" t="s">
        <v>5371</v>
      </c>
      <c r="G123" s="2492" t="s">
        <v>5372</v>
      </c>
      <c r="H123" s="2499" t="s">
        <v>5373</v>
      </c>
      <c r="I123" s="2492" t="s">
        <v>5374</v>
      </c>
      <c r="J123" s="2495" t="s">
        <v>5375</v>
      </c>
      <c r="K123" s="2492" t="s">
        <v>5376</v>
      </c>
      <c r="L123" s="2495" t="s">
        <v>5377</v>
      </c>
      <c r="M123" s="2503" t="s">
        <v>5378</v>
      </c>
      <c r="N123" s="2495" t="s">
        <v>5379</v>
      </c>
      <c r="O123" s="2492" t="s">
        <v>5380</v>
      </c>
      <c r="P123" s="2495" t="s">
        <v>5381</v>
      </c>
      <c r="Q123" s="2492" t="s">
        <v>5382</v>
      </c>
      <c r="R123" s="2495" t="s">
        <v>5383</v>
      </c>
      <c r="S123" s="2492" t="s">
        <v>5384</v>
      </c>
      <c r="T123" s="2495" t="s">
        <v>5385</v>
      </c>
      <c r="U123" s="2492" t="s">
        <v>5386</v>
      </c>
      <c r="V123" s="2495" t="s">
        <v>5387</v>
      </c>
      <c r="W123" s="2492" t="s">
        <v>5388</v>
      </c>
      <c r="X123" s="2495" t="s">
        <v>5389</v>
      </c>
      <c r="Y123" s="2492" t="s">
        <v>5390</v>
      </c>
      <c r="Z123" s="2495" t="s">
        <v>5391</v>
      </c>
      <c r="AA123" s="2492" t="s">
        <v>5392</v>
      </c>
      <c r="AB123" s="2495" t="s">
        <v>5393</v>
      </c>
      <c r="AC123" s="1547"/>
      <c r="AZ123" s="1547"/>
      <c r="BA123" s="1547"/>
    </row>
    <row r="124" spans="1:131" ht="16.350000000000001" customHeight="1" x14ac:dyDescent="0.3">
      <c r="A124" s="7258" t="s">
        <v>4142</v>
      </c>
      <c r="B124" s="8820"/>
      <c r="C124" s="1328" t="s">
        <v>1420</v>
      </c>
      <c r="D124" s="1336" t="s">
        <v>5369</v>
      </c>
      <c r="E124" s="1337" t="s">
        <v>5370</v>
      </c>
      <c r="F124" s="1338" t="s">
        <v>5371</v>
      </c>
      <c r="G124" s="2465" t="s">
        <v>5372</v>
      </c>
      <c r="H124" s="2479" t="s">
        <v>5373</v>
      </c>
      <c r="I124" s="2465" t="s">
        <v>5374</v>
      </c>
      <c r="J124" s="2496" t="s">
        <v>5375</v>
      </c>
      <c r="K124" s="2465" t="s">
        <v>5376</v>
      </c>
      <c r="L124" s="2496" t="s">
        <v>5377</v>
      </c>
      <c r="M124" s="2480" t="s">
        <v>5378</v>
      </c>
      <c r="N124" s="2496" t="s">
        <v>5379</v>
      </c>
      <c r="O124" s="2465" t="s">
        <v>5380</v>
      </c>
      <c r="P124" s="2496" t="s">
        <v>5381</v>
      </c>
      <c r="Q124" s="2465" t="s">
        <v>5382</v>
      </c>
      <c r="R124" s="2496" t="s">
        <v>5383</v>
      </c>
      <c r="S124" s="2465" t="s">
        <v>5384</v>
      </c>
      <c r="T124" s="2496" t="s">
        <v>5385</v>
      </c>
      <c r="U124" s="2465" t="s">
        <v>5386</v>
      </c>
      <c r="V124" s="2496" t="s">
        <v>5387</v>
      </c>
      <c r="W124" s="2465" t="s">
        <v>5388</v>
      </c>
      <c r="X124" s="2496" t="s">
        <v>5389</v>
      </c>
      <c r="Y124" s="2465" t="s">
        <v>5390</v>
      </c>
      <c r="Z124" s="2496" t="s">
        <v>5391</v>
      </c>
      <c r="AA124" s="2465" t="s">
        <v>5392</v>
      </c>
      <c r="AB124" s="2496" t="s">
        <v>5393</v>
      </c>
      <c r="AC124" s="1547"/>
      <c r="AZ124" s="1547"/>
      <c r="BA124" s="1547"/>
    </row>
    <row r="125" spans="1:131" ht="16.350000000000001" customHeight="1" x14ac:dyDescent="0.3">
      <c r="A125" s="7258" t="s">
        <v>4143</v>
      </c>
      <c r="B125" s="8817" t="s">
        <v>1431</v>
      </c>
      <c r="C125" s="1330" t="s">
        <v>1424</v>
      </c>
      <c r="D125" s="830" t="s">
        <v>5369</v>
      </c>
      <c r="E125" s="1333" t="s">
        <v>5370</v>
      </c>
      <c r="F125" s="1334" t="s">
        <v>5371</v>
      </c>
      <c r="G125" s="2588" t="s">
        <v>5372</v>
      </c>
      <c r="H125" s="2587" t="s">
        <v>5373</v>
      </c>
      <c r="I125" s="2588" t="s">
        <v>5374</v>
      </c>
      <c r="J125" s="2061" t="s">
        <v>5375</v>
      </c>
      <c r="K125" s="2588" t="s">
        <v>5376</v>
      </c>
      <c r="L125" s="2061" t="s">
        <v>5377</v>
      </c>
      <c r="M125" s="2534" t="s">
        <v>5378</v>
      </c>
      <c r="N125" s="2061" t="s">
        <v>5379</v>
      </c>
      <c r="O125" s="2588" t="s">
        <v>5380</v>
      </c>
      <c r="P125" s="2061" t="s">
        <v>5381</v>
      </c>
      <c r="Q125" s="2588" t="s">
        <v>5382</v>
      </c>
      <c r="R125" s="2061" t="s">
        <v>5383</v>
      </c>
      <c r="S125" s="2588" t="s">
        <v>5384</v>
      </c>
      <c r="T125" s="2061" t="s">
        <v>5385</v>
      </c>
      <c r="U125" s="2588" t="s">
        <v>5386</v>
      </c>
      <c r="V125" s="2061" t="s">
        <v>5387</v>
      </c>
      <c r="W125" s="2588" t="s">
        <v>5388</v>
      </c>
      <c r="X125" s="2061" t="s">
        <v>5389</v>
      </c>
      <c r="Y125" s="2588" t="s">
        <v>5390</v>
      </c>
      <c r="Z125" s="2061" t="s">
        <v>5391</v>
      </c>
      <c r="AA125" s="2588" t="s">
        <v>5392</v>
      </c>
      <c r="AB125" s="2061" t="s">
        <v>5393</v>
      </c>
      <c r="AC125" s="1547"/>
      <c r="AZ125" s="1547"/>
      <c r="BA125" s="1547"/>
    </row>
    <row r="126" spans="1:131" ht="16.350000000000001" customHeight="1" x14ac:dyDescent="0.3">
      <c r="A126" s="7258" t="s">
        <v>4144</v>
      </c>
      <c r="B126" s="8818"/>
      <c r="C126" s="564" t="s">
        <v>1423</v>
      </c>
      <c r="D126" s="2171" t="s">
        <v>5369</v>
      </c>
      <c r="E126" s="2172" t="s">
        <v>5370</v>
      </c>
      <c r="F126" s="843" t="s">
        <v>5371</v>
      </c>
      <c r="G126" s="2492" t="s">
        <v>5372</v>
      </c>
      <c r="H126" s="2499" t="s">
        <v>5373</v>
      </c>
      <c r="I126" s="2492" t="s">
        <v>5374</v>
      </c>
      <c r="J126" s="2495" t="s">
        <v>5375</v>
      </c>
      <c r="K126" s="2492" t="s">
        <v>5376</v>
      </c>
      <c r="L126" s="2495" t="s">
        <v>5377</v>
      </c>
      <c r="M126" s="2503" t="s">
        <v>5378</v>
      </c>
      <c r="N126" s="2495" t="s">
        <v>5379</v>
      </c>
      <c r="O126" s="2492" t="s">
        <v>5380</v>
      </c>
      <c r="P126" s="2495" t="s">
        <v>5381</v>
      </c>
      <c r="Q126" s="2492" t="s">
        <v>5382</v>
      </c>
      <c r="R126" s="2495" t="s">
        <v>5383</v>
      </c>
      <c r="S126" s="2492" t="s">
        <v>5384</v>
      </c>
      <c r="T126" s="2495" t="s">
        <v>5385</v>
      </c>
      <c r="U126" s="2492" t="s">
        <v>5386</v>
      </c>
      <c r="V126" s="2495" t="s">
        <v>5387</v>
      </c>
      <c r="W126" s="2492" t="s">
        <v>5388</v>
      </c>
      <c r="X126" s="2495" t="s">
        <v>5389</v>
      </c>
      <c r="Y126" s="2492" t="s">
        <v>5390</v>
      </c>
      <c r="Z126" s="2495" t="s">
        <v>5391</v>
      </c>
      <c r="AA126" s="2492" t="s">
        <v>5392</v>
      </c>
      <c r="AB126" s="2495" t="s">
        <v>5393</v>
      </c>
      <c r="AC126" s="1547"/>
      <c r="AZ126" s="1547"/>
      <c r="BA126" s="1547"/>
    </row>
    <row r="127" spans="1:131" ht="16.350000000000001" customHeight="1" x14ac:dyDescent="0.3">
      <c r="A127" s="7258" t="s">
        <v>4145</v>
      </c>
      <c r="B127" s="8818"/>
      <c r="C127" s="2071" t="s">
        <v>1422</v>
      </c>
      <c r="D127" s="2171" t="s">
        <v>5369</v>
      </c>
      <c r="E127" s="2172" t="s">
        <v>5370</v>
      </c>
      <c r="F127" s="843" t="s">
        <v>5371</v>
      </c>
      <c r="G127" s="2492" t="s">
        <v>5372</v>
      </c>
      <c r="H127" s="2499" t="s">
        <v>5373</v>
      </c>
      <c r="I127" s="2492" t="s">
        <v>5374</v>
      </c>
      <c r="J127" s="2495" t="s">
        <v>5375</v>
      </c>
      <c r="K127" s="2492" t="s">
        <v>5376</v>
      </c>
      <c r="L127" s="2495" t="s">
        <v>5377</v>
      </c>
      <c r="M127" s="2503" t="s">
        <v>5378</v>
      </c>
      <c r="N127" s="2495" t="s">
        <v>5379</v>
      </c>
      <c r="O127" s="2492" t="s">
        <v>5380</v>
      </c>
      <c r="P127" s="2495" t="s">
        <v>5381</v>
      </c>
      <c r="Q127" s="2492" t="s">
        <v>5382</v>
      </c>
      <c r="R127" s="2495" t="s">
        <v>5383</v>
      </c>
      <c r="S127" s="2492" t="s">
        <v>5384</v>
      </c>
      <c r="T127" s="2495" t="s">
        <v>5385</v>
      </c>
      <c r="U127" s="2492" t="s">
        <v>5386</v>
      </c>
      <c r="V127" s="2495" t="s">
        <v>5387</v>
      </c>
      <c r="W127" s="2492" t="s">
        <v>5388</v>
      </c>
      <c r="X127" s="2495" t="s">
        <v>5389</v>
      </c>
      <c r="Y127" s="2492" t="s">
        <v>5390</v>
      </c>
      <c r="Z127" s="2495" t="s">
        <v>5391</v>
      </c>
      <c r="AA127" s="2492" t="s">
        <v>5392</v>
      </c>
      <c r="AB127" s="2495" t="s">
        <v>5393</v>
      </c>
      <c r="AC127" s="1547"/>
      <c r="AZ127" s="1547"/>
      <c r="BA127" s="1547"/>
    </row>
    <row r="128" spans="1:131" ht="16.350000000000001" customHeight="1" x14ac:dyDescent="0.3">
      <c r="A128" s="7258" t="s">
        <v>4146</v>
      </c>
      <c r="B128" s="8819"/>
      <c r="C128" s="2071" t="s">
        <v>1421</v>
      </c>
      <c r="D128" s="323" t="s">
        <v>5369</v>
      </c>
      <c r="E128" s="324" t="s">
        <v>5370</v>
      </c>
      <c r="F128" s="851" t="s">
        <v>5371</v>
      </c>
      <c r="G128" s="2492" t="s">
        <v>5372</v>
      </c>
      <c r="H128" s="2499" t="s">
        <v>5373</v>
      </c>
      <c r="I128" s="2492" t="s">
        <v>5374</v>
      </c>
      <c r="J128" s="2495" t="s">
        <v>5375</v>
      </c>
      <c r="K128" s="2492" t="s">
        <v>5376</v>
      </c>
      <c r="L128" s="2495" t="s">
        <v>5377</v>
      </c>
      <c r="M128" s="2503" t="s">
        <v>5378</v>
      </c>
      <c r="N128" s="2495" t="s">
        <v>5379</v>
      </c>
      <c r="O128" s="2492" t="s">
        <v>5380</v>
      </c>
      <c r="P128" s="2495" t="s">
        <v>5381</v>
      </c>
      <c r="Q128" s="2492" t="s">
        <v>5382</v>
      </c>
      <c r="R128" s="2495" t="s">
        <v>5383</v>
      </c>
      <c r="S128" s="2492" t="s">
        <v>5384</v>
      </c>
      <c r="T128" s="2495" t="s">
        <v>5385</v>
      </c>
      <c r="U128" s="2492" t="s">
        <v>5386</v>
      </c>
      <c r="V128" s="2495" t="s">
        <v>5387</v>
      </c>
      <c r="W128" s="2492" t="s">
        <v>5388</v>
      </c>
      <c r="X128" s="2495" t="s">
        <v>5389</v>
      </c>
      <c r="Y128" s="2492" t="s">
        <v>5390</v>
      </c>
      <c r="Z128" s="2495" t="s">
        <v>5391</v>
      </c>
      <c r="AA128" s="2492" t="s">
        <v>5392</v>
      </c>
      <c r="AB128" s="2495" t="s">
        <v>5393</v>
      </c>
      <c r="AC128" s="1547"/>
      <c r="AZ128" s="1547"/>
      <c r="BA128" s="1547"/>
    </row>
    <row r="129" spans="1:53" ht="16.350000000000001" customHeight="1" x14ac:dyDescent="0.3">
      <c r="A129" s="7258" t="s">
        <v>4147</v>
      </c>
      <c r="B129" s="8820"/>
      <c r="C129" s="1328" t="s">
        <v>1420</v>
      </c>
      <c r="D129" s="1336" t="s">
        <v>5369</v>
      </c>
      <c r="E129" s="1337" t="s">
        <v>5370</v>
      </c>
      <c r="F129" s="1338" t="s">
        <v>5371</v>
      </c>
      <c r="G129" s="2465" t="s">
        <v>5372</v>
      </c>
      <c r="H129" s="2479" t="s">
        <v>5373</v>
      </c>
      <c r="I129" s="2465" t="s">
        <v>5374</v>
      </c>
      <c r="J129" s="2496" t="s">
        <v>5375</v>
      </c>
      <c r="K129" s="2465" t="s">
        <v>5376</v>
      </c>
      <c r="L129" s="2496" t="s">
        <v>5377</v>
      </c>
      <c r="M129" s="2480" t="s">
        <v>5378</v>
      </c>
      <c r="N129" s="2496" t="s">
        <v>5379</v>
      </c>
      <c r="O129" s="2465" t="s">
        <v>5380</v>
      </c>
      <c r="P129" s="2496" t="s">
        <v>5381</v>
      </c>
      <c r="Q129" s="2465" t="s">
        <v>5382</v>
      </c>
      <c r="R129" s="2496" t="s">
        <v>5383</v>
      </c>
      <c r="S129" s="2465" t="s">
        <v>5384</v>
      </c>
      <c r="T129" s="2496" t="s">
        <v>5385</v>
      </c>
      <c r="U129" s="2465" t="s">
        <v>5386</v>
      </c>
      <c r="V129" s="2496" t="s">
        <v>5387</v>
      </c>
      <c r="W129" s="2465" t="s">
        <v>5388</v>
      </c>
      <c r="X129" s="2496" t="s">
        <v>5389</v>
      </c>
      <c r="Y129" s="2465" t="s">
        <v>5390</v>
      </c>
      <c r="Z129" s="2496" t="s">
        <v>5391</v>
      </c>
      <c r="AA129" s="2465" t="s">
        <v>5392</v>
      </c>
      <c r="AB129" s="2496" t="s">
        <v>5393</v>
      </c>
      <c r="AC129" s="1547"/>
      <c r="AZ129" s="1547"/>
      <c r="BA129" s="1547"/>
    </row>
    <row r="130" spans="1:53" ht="16.350000000000001" customHeight="1" x14ac:dyDescent="0.3">
      <c r="A130" s="7258" t="s">
        <v>4148</v>
      </c>
      <c r="B130" s="8821" t="s">
        <v>1430</v>
      </c>
      <c r="C130" s="1330" t="s">
        <v>1424</v>
      </c>
      <c r="D130" s="830" t="s">
        <v>5369</v>
      </c>
      <c r="E130" s="1333" t="s">
        <v>5370</v>
      </c>
      <c r="F130" s="1334" t="s">
        <v>5371</v>
      </c>
      <c r="G130" s="2588" t="s">
        <v>5372</v>
      </c>
      <c r="H130" s="2587" t="s">
        <v>5373</v>
      </c>
      <c r="I130" s="2588" t="s">
        <v>5374</v>
      </c>
      <c r="J130" s="2061" t="s">
        <v>5375</v>
      </c>
      <c r="K130" s="2588" t="s">
        <v>5376</v>
      </c>
      <c r="L130" s="2061" t="s">
        <v>5377</v>
      </c>
      <c r="M130" s="2534" t="s">
        <v>5378</v>
      </c>
      <c r="N130" s="2061" t="s">
        <v>5379</v>
      </c>
      <c r="O130" s="2588" t="s">
        <v>5380</v>
      </c>
      <c r="P130" s="2061" t="s">
        <v>5381</v>
      </c>
      <c r="Q130" s="2588" t="s">
        <v>5382</v>
      </c>
      <c r="R130" s="2061" t="s">
        <v>5383</v>
      </c>
      <c r="S130" s="2588" t="s">
        <v>5384</v>
      </c>
      <c r="T130" s="2061" t="s">
        <v>5385</v>
      </c>
      <c r="U130" s="2588" t="s">
        <v>5386</v>
      </c>
      <c r="V130" s="2061" t="s">
        <v>5387</v>
      </c>
      <c r="W130" s="2588" t="s">
        <v>5388</v>
      </c>
      <c r="X130" s="2061" t="s">
        <v>5389</v>
      </c>
      <c r="Y130" s="2588" t="s">
        <v>5390</v>
      </c>
      <c r="Z130" s="2061" t="s">
        <v>5391</v>
      </c>
      <c r="AA130" s="2588" t="s">
        <v>5392</v>
      </c>
      <c r="AB130" s="2061" t="s">
        <v>5393</v>
      </c>
      <c r="AC130" s="1547"/>
      <c r="AZ130" s="1547"/>
      <c r="BA130" s="1547"/>
    </row>
    <row r="131" spans="1:53" ht="16.350000000000001" customHeight="1" x14ac:dyDescent="0.3">
      <c r="A131" s="7258" t="s">
        <v>4149</v>
      </c>
      <c r="B131" s="8555"/>
      <c r="C131" s="564" t="s">
        <v>1423</v>
      </c>
      <c r="D131" s="2171" t="s">
        <v>5369</v>
      </c>
      <c r="E131" s="2172" t="s">
        <v>5370</v>
      </c>
      <c r="F131" s="843" t="s">
        <v>5371</v>
      </c>
      <c r="G131" s="2492" t="s">
        <v>5372</v>
      </c>
      <c r="H131" s="2499" t="s">
        <v>5373</v>
      </c>
      <c r="I131" s="2492" t="s">
        <v>5374</v>
      </c>
      <c r="J131" s="2495" t="s">
        <v>5375</v>
      </c>
      <c r="K131" s="2492" t="s">
        <v>5376</v>
      </c>
      <c r="L131" s="2495" t="s">
        <v>5377</v>
      </c>
      <c r="M131" s="2503" t="s">
        <v>5378</v>
      </c>
      <c r="N131" s="2495" t="s">
        <v>5379</v>
      </c>
      <c r="O131" s="2492" t="s">
        <v>5380</v>
      </c>
      <c r="P131" s="2495" t="s">
        <v>5381</v>
      </c>
      <c r="Q131" s="2492" t="s">
        <v>5382</v>
      </c>
      <c r="R131" s="2495" t="s">
        <v>5383</v>
      </c>
      <c r="S131" s="2492" t="s">
        <v>5384</v>
      </c>
      <c r="T131" s="2495" t="s">
        <v>5385</v>
      </c>
      <c r="U131" s="2492" t="s">
        <v>5386</v>
      </c>
      <c r="V131" s="2495" t="s">
        <v>5387</v>
      </c>
      <c r="W131" s="2492" t="s">
        <v>5388</v>
      </c>
      <c r="X131" s="2495" t="s">
        <v>5389</v>
      </c>
      <c r="Y131" s="2492" t="s">
        <v>5390</v>
      </c>
      <c r="Z131" s="2495" t="s">
        <v>5391</v>
      </c>
      <c r="AA131" s="2492" t="s">
        <v>5392</v>
      </c>
      <c r="AB131" s="2495" t="s">
        <v>5393</v>
      </c>
      <c r="AC131" s="1547"/>
      <c r="AZ131" s="1547"/>
      <c r="BA131" s="1547"/>
    </row>
    <row r="132" spans="1:53" ht="16.350000000000001" customHeight="1" x14ac:dyDescent="0.3">
      <c r="A132" s="7258" t="s">
        <v>4150</v>
      </c>
      <c r="B132" s="8555"/>
      <c r="C132" s="2071" t="s">
        <v>1422</v>
      </c>
      <c r="D132" s="2171" t="s">
        <v>5369</v>
      </c>
      <c r="E132" s="2172" t="s">
        <v>5370</v>
      </c>
      <c r="F132" s="843" t="s">
        <v>5371</v>
      </c>
      <c r="G132" s="2492" t="s">
        <v>5372</v>
      </c>
      <c r="H132" s="2499" t="s">
        <v>5373</v>
      </c>
      <c r="I132" s="2492" t="s">
        <v>5374</v>
      </c>
      <c r="J132" s="2495" t="s">
        <v>5375</v>
      </c>
      <c r="K132" s="2492" t="s">
        <v>5376</v>
      </c>
      <c r="L132" s="2495" t="s">
        <v>5377</v>
      </c>
      <c r="M132" s="2503" t="s">
        <v>5378</v>
      </c>
      <c r="N132" s="2495" t="s">
        <v>5379</v>
      </c>
      <c r="O132" s="2492" t="s">
        <v>5380</v>
      </c>
      <c r="P132" s="2495" t="s">
        <v>5381</v>
      </c>
      <c r="Q132" s="2492" t="s">
        <v>5382</v>
      </c>
      <c r="R132" s="2495" t="s">
        <v>5383</v>
      </c>
      <c r="S132" s="2492" t="s">
        <v>5384</v>
      </c>
      <c r="T132" s="2495" t="s">
        <v>5385</v>
      </c>
      <c r="U132" s="2492" t="s">
        <v>5386</v>
      </c>
      <c r="V132" s="2495" t="s">
        <v>5387</v>
      </c>
      <c r="W132" s="2492" t="s">
        <v>5388</v>
      </c>
      <c r="X132" s="2495" t="s">
        <v>5389</v>
      </c>
      <c r="Y132" s="2492" t="s">
        <v>5390</v>
      </c>
      <c r="Z132" s="2495" t="s">
        <v>5391</v>
      </c>
      <c r="AA132" s="2492" t="s">
        <v>5392</v>
      </c>
      <c r="AB132" s="2495" t="s">
        <v>5393</v>
      </c>
      <c r="AC132" s="1547"/>
      <c r="AZ132" s="1547"/>
      <c r="BA132" s="1547"/>
    </row>
    <row r="133" spans="1:53" ht="16.350000000000001" customHeight="1" x14ac:dyDescent="0.3">
      <c r="A133" s="7258" t="s">
        <v>4151</v>
      </c>
      <c r="B133" s="8555"/>
      <c r="C133" s="2071" t="s">
        <v>1421</v>
      </c>
      <c r="D133" s="323" t="s">
        <v>5369</v>
      </c>
      <c r="E133" s="324" t="s">
        <v>5370</v>
      </c>
      <c r="F133" s="851" t="s">
        <v>5371</v>
      </c>
      <c r="G133" s="2492" t="s">
        <v>5372</v>
      </c>
      <c r="H133" s="2499" t="s">
        <v>5373</v>
      </c>
      <c r="I133" s="2492" t="s">
        <v>5374</v>
      </c>
      <c r="J133" s="2495" t="s">
        <v>5375</v>
      </c>
      <c r="K133" s="2492" t="s">
        <v>5376</v>
      </c>
      <c r="L133" s="2495" t="s">
        <v>5377</v>
      </c>
      <c r="M133" s="2503" t="s">
        <v>5378</v>
      </c>
      <c r="N133" s="2495" t="s">
        <v>5379</v>
      </c>
      <c r="O133" s="2492" t="s">
        <v>5380</v>
      </c>
      <c r="P133" s="2495" t="s">
        <v>5381</v>
      </c>
      <c r="Q133" s="2492" t="s">
        <v>5382</v>
      </c>
      <c r="R133" s="2495" t="s">
        <v>5383</v>
      </c>
      <c r="S133" s="2492" t="s">
        <v>5384</v>
      </c>
      <c r="T133" s="2495" t="s">
        <v>5385</v>
      </c>
      <c r="U133" s="2492" t="s">
        <v>5386</v>
      </c>
      <c r="V133" s="2495" t="s">
        <v>5387</v>
      </c>
      <c r="W133" s="2492" t="s">
        <v>5388</v>
      </c>
      <c r="X133" s="2495" t="s">
        <v>5389</v>
      </c>
      <c r="Y133" s="2492" t="s">
        <v>5390</v>
      </c>
      <c r="Z133" s="2495" t="s">
        <v>5391</v>
      </c>
      <c r="AA133" s="2492" t="s">
        <v>5392</v>
      </c>
      <c r="AB133" s="2495" t="s">
        <v>5393</v>
      </c>
      <c r="AC133" s="1547"/>
      <c r="AZ133" s="1547"/>
      <c r="BA133" s="1547"/>
    </row>
    <row r="134" spans="1:53" ht="16.350000000000001" customHeight="1" x14ac:dyDescent="0.3">
      <c r="A134" s="7258" t="s">
        <v>4152</v>
      </c>
      <c r="B134" s="8822"/>
      <c r="C134" s="1328" t="s">
        <v>1420</v>
      </c>
      <c r="D134" s="1336" t="s">
        <v>5369</v>
      </c>
      <c r="E134" s="1337" t="s">
        <v>5370</v>
      </c>
      <c r="F134" s="1338" t="s">
        <v>5371</v>
      </c>
      <c r="G134" s="2465" t="s">
        <v>5372</v>
      </c>
      <c r="H134" s="2479" t="s">
        <v>5373</v>
      </c>
      <c r="I134" s="2465" t="s">
        <v>5374</v>
      </c>
      <c r="J134" s="2496" t="s">
        <v>5375</v>
      </c>
      <c r="K134" s="2465" t="s">
        <v>5376</v>
      </c>
      <c r="L134" s="2496" t="s">
        <v>5377</v>
      </c>
      <c r="M134" s="2480" t="s">
        <v>5378</v>
      </c>
      <c r="N134" s="2496" t="s">
        <v>5379</v>
      </c>
      <c r="O134" s="2465" t="s">
        <v>5380</v>
      </c>
      <c r="P134" s="2496" t="s">
        <v>5381</v>
      </c>
      <c r="Q134" s="2465" t="s">
        <v>5382</v>
      </c>
      <c r="R134" s="2496" t="s">
        <v>5383</v>
      </c>
      <c r="S134" s="2465" t="s">
        <v>5384</v>
      </c>
      <c r="T134" s="2496" t="s">
        <v>5385</v>
      </c>
      <c r="U134" s="2465" t="s">
        <v>5386</v>
      </c>
      <c r="V134" s="2496" t="s">
        <v>5387</v>
      </c>
      <c r="W134" s="2465" t="s">
        <v>5388</v>
      </c>
      <c r="X134" s="2496" t="s">
        <v>5389</v>
      </c>
      <c r="Y134" s="2465" t="s">
        <v>5390</v>
      </c>
      <c r="Z134" s="2496" t="s">
        <v>5391</v>
      </c>
      <c r="AA134" s="2465" t="s">
        <v>5392</v>
      </c>
      <c r="AB134" s="2496" t="s">
        <v>5393</v>
      </c>
      <c r="AC134" s="1547"/>
      <c r="AZ134" s="1547"/>
      <c r="BA134" s="1547"/>
    </row>
    <row r="135" spans="1:53" ht="16.350000000000001" customHeight="1" x14ac:dyDescent="0.3">
      <c r="A135" s="7258" t="s">
        <v>4153</v>
      </c>
      <c r="B135" s="8817" t="s">
        <v>1429</v>
      </c>
      <c r="C135" s="1330" t="s">
        <v>1424</v>
      </c>
      <c r="D135" s="830" t="s">
        <v>5369</v>
      </c>
      <c r="E135" s="1333" t="s">
        <v>5370</v>
      </c>
      <c r="F135" s="1334" t="s">
        <v>5371</v>
      </c>
      <c r="G135" s="2588" t="s">
        <v>5372</v>
      </c>
      <c r="H135" s="2587" t="s">
        <v>5373</v>
      </c>
      <c r="I135" s="2588" t="s">
        <v>5374</v>
      </c>
      <c r="J135" s="2061" t="s">
        <v>5375</v>
      </c>
      <c r="K135" s="2588" t="s">
        <v>5376</v>
      </c>
      <c r="L135" s="2061" t="s">
        <v>5377</v>
      </c>
      <c r="M135" s="2534" t="s">
        <v>5378</v>
      </c>
      <c r="N135" s="2061" t="s">
        <v>5379</v>
      </c>
      <c r="O135" s="2588" t="s">
        <v>5380</v>
      </c>
      <c r="P135" s="2061" t="s">
        <v>5381</v>
      </c>
      <c r="Q135" s="2588" t="s">
        <v>5382</v>
      </c>
      <c r="R135" s="2061" t="s">
        <v>5383</v>
      </c>
      <c r="S135" s="2588" t="s">
        <v>5384</v>
      </c>
      <c r="T135" s="2061" t="s">
        <v>5385</v>
      </c>
      <c r="U135" s="2588" t="s">
        <v>5386</v>
      </c>
      <c r="V135" s="2061" t="s">
        <v>5387</v>
      </c>
      <c r="W135" s="2588" t="s">
        <v>5388</v>
      </c>
      <c r="X135" s="2061" t="s">
        <v>5389</v>
      </c>
      <c r="Y135" s="2588" t="s">
        <v>5390</v>
      </c>
      <c r="Z135" s="2061" t="s">
        <v>5391</v>
      </c>
      <c r="AA135" s="2588" t="s">
        <v>5392</v>
      </c>
      <c r="AB135" s="2061" t="s">
        <v>5393</v>
      </c>
      <c r="AC135" s="1547"/>
      <c r="AZ135" s="1547"/>
      <c r="BA135" s="1547"/>
    </row>
    <row r="136" spans="1:53" ht="16.350000000000001" customHeight="1" x14ac:dyDescent="0.3">
      <c r="A136" s="7258" t="s">
        <v>4154</v>
      </c>
      <c r="B136" s="8818"/>
      <c r="C136" s="564" t="s">
        <v>1423</v>
      </c>
      <c r="D136" s="2171" t="s">
        <v>5369</v>
      </c>
      <c r="E136" s="2172" t="s">
        <v>5370</v>
      </c>
      <c r="F136" s="843" t="s">
        <v>5371</v>
      </c>
      <c r="G136" s="2492" t="s">
        <v>5372</v>
      </c>
      <c r="H136" s="2499" t="s">
        <v>5373</v>
      </c>
      <c r="I136" s="2492" t="s">
        <v>5374</v>
      </c>
      <c r="J136" s="2495" t="s">
        <v>5375</v>
      </c>
      <c r="K136" s="2492" t="s">
        <v>5376</v>
      </c>
      <c r="L136" s="2495" t="s">
        <v>5377</v>
      </c>
      <c r="M136" s="2503" t="s">
        <v>5378</v>
      </c>
      <c r="N136" s="2495" t="s">
        <v>5379</v>
      </c>
      <c r="O136" s="2492" t="s">
        <v>5380</v>
      </c>
      <c r="P136" s="2495" t="s">
        <v>5381</v>
      </c>
      <c r="Q136" s="2492" t="s">
        <v>5382</v>
      </c>
      <c r="R136" s="2495" t="s">
        <v>5383</v>
      </c>
      <c r="S136" s="2492" t="s">
        <v>5384</v>
      </c>
      <c r="T136" s="2495" t="s">
        <v>5385</v>
      </c>
      <c r="U136" s="2492" t="s">
        <v>5386</v>
      </c>
      <c r="V136" s="2495" t="s">
        <v>5387</v>
      </c>
      <c r="W136" s="2492" t="s">
        <v>5388</v>
      </c>
      <c r="X136" s="2495" t="s">
        <v>5389</v>
      </c>
      <c r="Y136" s="2492" t="s">
        <v>5390</v>
      </c>
      <c r="Z136" s="2495" t="s">
        <v>5391</v>
      </c>
      <c r="AA136" s="2492" t="s">
        <v>5392</v>
      </c>
      <c r="AB136" s="2495" t="s">
        <v>5393</v>
      </c>
      <c r="AC136" s="1547"/>
      <c r="AZ136" s="1547"/>
      <c r="BA136" s="1547"/>
    </row>
    <row r="137" spans="1:53" ht="16.350000000000001" customHeight="1" x14ac:dyDescent="0.3">
      <c r="A137" s="7258" t="s">
        <v>4155</v>
      </c>
      <c r="B137" s="8818"/>
      <c r="C137" s="2071" t="s">
        <v>1422</v>
      </c>
      <c r="D137" s="2171" t="s">
        <v>5369</v>
      </c>
      <c r="E137" s="2172" t="s">
        <v>5370</v>
      </c>
      <c r="F137" s="843" t="s">
        <v>5371</v>
      </c>
      <c r="G137" s="2492" t="s">
        <v>5372</v>
      </c>
      <c r="H137" s="2499" t="s">
        <v>5373</v>
      </c>
      <c r="I137" s="2492" t="s">
        <v>5374</v>
      </c>
      <c r="J137" s="2495" t="s">
        <v>5375</v>
      </c>
      <c r="K137" s="2492" t="s">
        <v>5376</v>
      </c>
      <c r="L137" s="2495" t="s">
        <v>5377</v>
      </c>
      <c r="M137" s="2503" t="s">
        <v>5378</v>
      </c>
      <c r="N137" s="2495" t="s">
        <v>5379</v>
      </c>
      <c r="O137" s="2492" t="s">
        <v>5380</v>
      </c>
      <c r="P137" s="2495" t="s">
        <v>5381</v>
      </c>
      <c r="Q137" s="2492" t="s">
        <v>5382</v>
      </c>
      <c r="R137" s="2495" t="s">
        <v>5383</v>
      </c>
      <c r="S137" s="2492" t="s">
        <v>5384</v>
      </c>
      <c r="T137" s="2495" t="s">
        <v>5385</v>
      </c>
      <c r="U137" s="2492" t="s">
        <v>5386</v>
      </c>
      <c r="V137" s="2495" t="s">
        <v>5387</v>
      </c>
      <c r="W137" s="2492" t="s">
        <v>5388</v>
      </c>
      <c r="X137" s="2495" t="s">
        <v>5389</v>
      </c>
      <c r="Y137" s="2492" t="s">
        <v>5390</v>
      </c>
      <c r="Z137" s="2495" t="s">
        <v>5391</v>
      </c>
      <c r="AA137" s="2492" t="s">
        <v>5392</v>
      </c>
      <c r="AB137" s="2495" t="s">
        <v>5393</v>
      </c>
      <c r="AC137" s="1547"/>
      <c r="AZ137" s="1547"/>
      <c r="BA137" s="1547"/>
    </row>
    <row r="138" spans="1:53" ht="16.350000000000001" customHeight="1" x14ac:dyDescent="0.3">
      <c r="A138" s="7258" t="s">
        <v>4156</v>
      </c>
      <c r="B138" s="8819"/>
      <c r="C138" s="2071" t="s">
        <v>1421</v>
      </c>
      <c r="D138" s="323" t="s">
        <v>5369</v>
      </c>
      <c r="E138" s="324" t="s">
        <v>5370</v>
      </c>
      <c r="F138" s="851" t="s">
        <v>5371</v>
      </c>
      <c r="G138" s="2492" t="s">
        <v>5372</v>
      </c>
      <c r="H138" s="2499" t="s">
        <v>5373</v>
      </c>
      <c r="I138" s="2492" t="s">
        <v>5374</v>
      </c>
      <c r="J138" s="2495" t="s">
        <v>5375</v>
      </c>
      <c r="K138" s="2492" t="s">
        <v>5376</v>
      </c>
      <c r="L138" s="2495" t="s">
        <v>5377</v>
      </c>
      <c r="M138" s="2503" t="s">
        <v>5378</v>
      </c>
      <c r="N138" s="2495" t="s">
        <v>5379</v>
      </c>
      <c r="O138" s="2492" t="s">
        <v>5380</v>
      </c>
      <c r="P138" s="2495" t="s">
        <v>5381</v>
      </c>
      <c r="Q138" s="2492" t="s">
        <v>5382</v>
      </c>
      <c r="R138" s="2495" t="s">
        <v>5383</v>
      </c>
      <c r="S138" s="2492" t="s">
        <v>5384</v>
      </c>
      <c r="T138" s="2495" t="s">
        <v>5385</v>
      </c>
      <c r="U138" s="2492" t="s">
        <v>5386</v>
      </c>
      <c r="V138" s="2495" t="s">
        <v>5387</v>
      </c>
      <c r="W138" s="2492" t="s">
        <v>5388</v>
      </c>
      <c r="X138" s="2495" t="s">
        <v>5389</v>
      </c>
      <c r="Y138" s="2492" t="s">
        <v>5390</v>
      </c>
      <c r="Z138" s="2495" t="s">
        <v>5391</v>
      </c>
      <c r="AA138" s="2492" t="s">
        <v>5392</v>
      </c>
      <c r="AB138" s="2495" t="s">
        <v>5393</v>
      </c>
      <c r="AC138" s="1547"/>
      <c r="AZ138" s="1547"/>
      <c r="BA138" s="1547"/>
    </row>
    <row r="139" spans="1:53" ht="16.350000000000001" customHeight="1" x14ac:dyDescent="0.3">
      <c r="A139" s="7258" t="s">
        <v>4157</v>
      </c>
      <c r="B139" s="8820"/>
      <c r="C139" s="1328" t="s">
        <v>1420</v>
      </c>
      <c r="D139" s="1336" t="s">
        <v>5369</v>
      </c>
      <c r="E139" s="1337" t="s">
        <v>5370</v>
      </c>
      <c r="F139" s="1338" t="s">
        <v>5371</v>
      </c>
      <c r="G139" s="2465" t="s">
        <v>5372</v>
      </c>
      <c r="H139" s="2479" t="s">
        <v>5373</v>
      </c>
      <c r="I139" s="2465" t="s">
        <v>5374</v>
      </c>
      <c r="J139" s="2496" t="s">
        <v>5375</v>
      </c>
      <c r="K139" s="2465" t="s">
        <v>5376</v>
      </c>
      <c r="L139" s="2496" t="s">
        <v>5377</v>
      </c>
      <c r="M139" s="2480" t="s">
        <v>5378</v>
      </c>
      <c r="N139" s="2496" t="s">
        <v>5379</v>
      </c>
      <c r="O139" s="2465" t="s">
        <v>5380</v>
      </c>
      <c r="P139" s="2496" t="s">
        <v>5381</v>
      </c>
      <c r="Q139" s="2465" t="s">
        <v>5382</v>
      </c>
      <c r="R139" s="2496" t="s">
        <v>5383</v>
      </c>
      <c r="S139" s="2465" t="s">
        <v>5384</v>
      </c>
      <c r="T139" s="2496" t="s">
        <v>5385</v>
      </c>
      <c r="U139" s="2465" t="s">
        <v>5386</v>
      </c>
      <c r="V139" s="2496" t="s">
        <v>5387</v>
      </c>
      <c r="W139" s="2465" t="s">
        <v>5388</v>
      </c>
      <c r="X139" s="2496" t="s">
        <v>5389</v>
      </c>
      <c r="Y139" s="2465" t="s">
        <v>5390</v>
      </c>
      <c r="Z139" s="2496" t="s">
        <v>5391</v>
      </c>
      <c r="AA139" s="2465" t="s">
        <v>5392</v>
      </c>
      <c r="AB139" s="2496" t="s">
        <v>5393</v>
      </c>
      <c r="AC139" s="1547"/>
      <c r="AZ139" s="1547"/>
      <c r="BA139" s="1547"/>
    </row>
    <row r="140" spans="1:53" ht="16.350000000000001" customHeight="1" x14ac:dyDescent="0.3">
      <c r="A140" s="7258" t="s">
        <v>4158</v>
      </c>
      <c r="B140" s="8817" t="s">
        <v>1428</v>
      </c>
      <c r="C140" s="1330" t="s">
        <v>1424</v>
      </c>
      <c r="D140" s="830" t="s">
        <v>5369</v>
      </c>
      <c r="E140" s="1333" t="s">
        <v>5370</v>
      </c>
      <c r="F140" s="1334" t="s">
        <v>5371</v>
      </c>
      <c r="G140" s="2588" t="s">
        <v>5372</v>
      </c>
      <c r="H140" s="2587" t="s">
        <v>5373</v>
      </c>
      <c r="I140" s="2588" t="s">
        <v>5374</v>
      </c>
      <c r="J140" s="2061" t="s">
        <v>5375</v>
      </c>
      <c r="K140" s="2588" t="s">
        <v>5376</v>
      </c>
      <c r="L140" s="2061" t="s">
        <v>5377</v>
      </c>
      <c r="M140" s="2534" t="s">
        <v>5378</v>
      </c>
      <c r="N140" s="2061" t="s">
        <v>5379</v>
      </c>
      <c r="O140" s="2588" t="s">
        <v>5380</v>
      </c>
      <c r="P140" s="2061" t="s">
        <v>5381</v>
      </c>
      <c r="Q140" s="2588" t="s">
        <v>5382</v>
      </c>
      <c r="R140" s="2061" t="s">
        <v>5383</v>
      </c>
      <c r="S140" s="2588" t="s">
        <v>5384</v>
      </c>
      <c r="T140" s="2061" t="s">
        <v>5385</v>
      </c>
      <c r="U140" s="2588" t="s">
        <v>5386</v>
      </c>
      <c r="V140" s="2061" t="s">
        <v>5387</v>
      </c>
      <c r="W140" s="2588" t="s">
        <v>5388</v>
      </c>
      <c r="X140" s="2061" t="s">
        <v>5389</v>
      </c>
      <c r="Y140" s="2588" t="s">
        <v>5390</v>
      </c>
      <c r="Z140" s="2061" t="s">
        <v>5391</v>
      </c>
      <c r="AA140" s="2588" t="s">
        <v>5392</v>
      </c>
      <c r="AB140" s="2061" t="s">
        <v>5393</v>
      </c>
      <c r="AC140" s="1547"/>
      <c r="AZ140" s="1547"/>
      <c r="BA140" s="1547"/>
    </row>
    <row r="141" spans="1:53" ht="16.350000000000001" customHeight="1" x14ac:dyDescent="0.3">
      <c r="A141" s="7258" t="s">
        <v>4159</v>
      </c>
      <c r="B141" s="8818"/>
      <c r="C141" s="564" t="s">
        <v>1423</v>
      </c>
      <c r="D141" s="2171" t="s">
        <v>5369</v>
      </c>
      <c r="E141" s="2172" t="s">
        <v>5370</v>
      </c>
      <c r="F141" s="843" t="s">
        <v>5371</v>
      </c>
      <c r="G141" s="2492" t="s">
        <v>5372</v>
      </c>
      <c r="H141" s="2499" t="s">
        <v>5373</v>
      </c>
      <c r="I141" s="2492" t="s">
        <v>5374</v>
      </c>
      <c r="J141" s="2495" t="s">
        <v>5375</v>
      </c>
      <c r="K141" s="2492" t="s">
        <v>5376</v>
      </c>
      <c r="L141" s="2495" t="s">
        <v>5377</v>
      </c>
      <c r="M141" s="2503" t="s">
        <v>5378</v>
      </c>
      <c r="N141" s="2495" t="s">
        <v>5379</v>
      </c>
      <c r="O141" s="2492" t="s">
        <v>5380</v>
      </c>
      <c r="P141" s="2495" t="s">
        <v>5381</v>
      </c>
      <c r="Q141" s="2492" t="s">
        <v>5382</v>
      </c>
      <c r="R141" s="2495" t="s">
        <v>5383</v>
      </c>
      <c r="S141" s="2492" t="s">
        <v>5384</v>
      </c>
      <c r="T141" s="2495" t="s">
        <v>5385</v>
      </c>
      <c r="U141" s="2492" t="s">
        <v>5386</v>
      </c>
      <c r="V141" s="2495" t="s">
        <v>5387</v>
      </c>
      <c r="W141" s="2492" t="s">
        <v>5388</v>
      </c>
      <c r="X141" s="2495" t="s">
        <v>5389</v>
      </c>
      <c r="Y141" s="2492" t="s">
        <v>5390</v>
      </c>
      <c r="Z141" s="2495" t="s">
        <v>5391</v>
      </c>
      <c r="AA141" s="2492" t="s">
        <v>5392</v>
      </c>
      <c r="AB141" s="2495" t="s">
        <v>5393</v>
      </c>
      <c r="AC141" s="1547"/>
      <c r="AZ141" s="1547"/>
      <c r="BA141" s="1547"/>
    </row>
    <row r="142" spans="1:53" ht="16.350000000000001" customHeight="1" x14ac:dyDescent="0.3">
      <c r="A142" s="7258" t="s">
        <v>4160</v>
      </c>
      <c r="B142" s="8818"/>
      <c r="C142" s="2071" t="s">
        <v>1422</v>
      </c>
      <c r="D142" s="2171" t="s">
        <v>5369</v>
      </c>
      <c r="E142" s="2172" t="s">
        <v>5370</v>
      </c>
      <c r="F142" s="843" t="s">
        <v>5371</v>
      </c>
      <c r="G142" s="2492" t="s">
        <v>5372</v>
      </c>
      <c r="H142" s="2499" t="s">
        <v>5373</v>
      </c>
      <c r="I142" s="2492" t="s">
        <v>5374</v>
      </c>
      <c r="J142" s="2495" t="s">
        <v>5375</v>
      </c>
      <c r="K142" s="2492" t="s">
        <v>5376</v>
      </c>
      <c r="L142" s="2495" t="s">
        <v>5377</v>
      </c>
      <c r="M142" s="2503" t="s">
        <v>5378</v>
      </c>
      <c r="N142" s="2495" t="s">
        <v>5379</v>
      </c>
      <c r="O142" s="2492" t="s">
        <v>5380</v>
      </c>
      <c r="P142" s="2495" t="s">
        <v>5381</v>
      </c>
      <c r="Q142" s="2492" t="s">
        <v>5382</v>
      </c>
      <c r="R142" s="2495" t="s">
        <v>5383</v>
      </c>
      <c r="S142" s="2492" t="s">
        <v>5384</v>
      </c>
      <c r="T142" s="2495" t="s">
        <v>5385</v>
      </c>
      <c r="U142" s="2492" t="s">
        <v>5386</v>
      </c>
      <c r="V142" s="2495" t="s">
        <v>5387</v>
      </c>
      <c r="W142" s="2492" t="s">
        <v>5388</v>
      </c>
      <c r="X142" s="2495" t="s">
        <v>5389</v>
      </c>
      <c r="Y142" s="2492" t="s">
        <v>5390</v>
      </c>
      <c r="Z142" s="2495" t="s">
        <v>5391</v>
      </c>
      <c r="AA142" s="2492" t="s">
        <v>5392</v>
      </c>
      <c r="AB142" s="2495" t="s">
        <v>5393</v>
      </c>
      <c r="AC142" s="1547"/>
      <c r="AZ142" s="1547"/>
      <c r="BA142" s="1547"/>
    </row>
    <row r="143" spans="1:53" ht="16.350000000000001" customHeight="1" x14ac:dyDescent="0.3">
      <c r="A143" s="7258" t="s">
        <v>4161</v>
      </c>
      <c r="B143" s="8819"/>
      <c r="C143" s="2071" t="s">
        <v>1421</v>
      </c>
      <c r="D143" s="323" t="s">
        <v>5369</v>
      </c>
      <c r="E143" s="324" t="s">
        <v>5370</v>
      </c>
      <c r="F143" s="851" t="s">
        <v>5371</v>
      </c>
      <c r="G143" s="2492" t="s">
        <v>5372</v>
      </c>
      <c r="H143" s="2499" t="s">
        <v>5373</v>
      </c>
      <c r="I143" s="2492" t="s">
        <v>5374</v>
      </c>
      <c r="J143" s="2495" t="s">
        <v>5375</v>
      </c>
      <c r="K143" s="2492" t="s">
        <v>5376</v>
      </c>
      <c r="L143" s="2495" t="s">
        <v>5377</v>
      </c>
      <c r="M143" s="2503" t="s">
        <v>5378</v>
      </c>
      <c r="N143" s="2495" t="s">
        <v>5379</v>
      </c>
      <c r="O143" s="2492" t="s">
        <v>5380</v>
      </c>
      <c r="P143" s="2495" t="s">
        <v>5381</v>
      </c>
      <c r="Q143" s="2492" t="s">
        <v>5382</v>
      </c>
      <c r="R143" s="2495" t="s">
        <v>5383</v>
      </c>
      <c r="S143" s="2492" t="s">
        <v>5384</v>
      </c>
      <c r="T143" s="2495" t="s">
        <v>5385</v>
      </c>
      <c r="U143" s="2492" t="s">
        <v>5386</v>
      </c>
      <c r="V143" s="2495" t="s">
        <v>5387</v>
      </c>
      <c r="W143" s="2492" t="s">
        <v>5388</v>
      </c>
      <c r="X143" s="2495" t="s">
        <v>5389</v>
      </c>
      <c r="Y143" s="2492" t="s">
        <v>5390</v>
      </c>
      <c r="Z143" s="2495" t="s">
        <v>5391</v>
      </c>
      <c r="AA143" s="2492" t="s">
        <v>5392</v>
      </c>
      <c r="AB143" s="2495" t="s">
        <v>5393</v>
      </c>
      <c r="AC143" s="1547"/>
      <c r="AZ143" s="1547"/>
      <c r="BA143" s="1547"/>
    </row>
    <row r="144" spans="1:53" ht="16.350000000000001" customHeight="1" x14ac:dyDescent="0.3">
      <c r="A144" s="7258" t="s">
        <v>4162</v>
      </c>
      <c r="B144" s="8820"/>
      <c r="C144" s="1328" t="s">
        <v>1420</v>
      </c>
      <c r="D144" s="1336" t="s">
        <v>5369</v>
      </c>
      <c r="E144" s="1337" t="s">
        <v>5370</v>
      </c>
      <c r="F144" s="1338" t="s">
        <v>5371</v>
      </c>
      <c r="G144" s="2465" t="s">
        <v>5372</v>
      </c>
      <c r="H144" s="2479" t="s">
        <v>5373</v>
      </c>
      <c r="I144" s="2465" t="s">
        <v>5374</v>
      </c>
      <c r="J144" s="2496" t="s">
        <v>5375</v>
      </c>
      <c r="K144" s="2465" t="s">
        <v>5376</v>
      </c>
      <c r="L144" s="2496" t="s">
        <v>5377</v>
      </c>
      <c r="M144" s="2480" t="s">
        <v>5378</v>
      </c>
      <c r="N144" s="2496" t="s">
        <v>5379</v>
      </c>
      <c r="O144" s="2465" t="s">
        <v>5380</v>
      </c>
      <c r="P144" s="2496" t="s">
        <v>5381</v>
      </c>
      <c r="Q144" s="2465" t="s">
        <v>5382</v>
      </c>
      <c r="R144" s="2496" t="s">
        <v>5383</v>
      </c>
      <c r="S144" s="2465" t="s">
        <v>5384</v>
      </c>
      <c r="T144" s="2496" t="s">
        <v>5385</v>
      </c>
      <c r="U144" s="2465" t="s">
        <v>5386</v>
      </c>
      <c r="V144" s="2496" t="s">
        <v>5387</v>
      </c>
      <c r="W144" s="2465" t="s">
        <v>5388</v>
      </c>
      <c r="X144" s="2496" t="s">
        <v>5389</v>
      </c>
      <c r="Y144" s="2465" t="s">
        <v>5390</v>
      </c>
      <c r="Z144" s="2496" t="s">
        <v>5391</v>
      </c>
      <c r="AA144" s="2465" t="s">
        <v>5392</v>
      </c>
      <c r="AB144" s="2496" t="s">
        <v>5393</v>
      </c>
      <c r="AC144" s="1547"/>
      <c r="AZ144" s="1547"/>
      <c r="BA144" s="1547"/>
    </row>
    <row r="145" spans="1:53" ht="16.350000000000001" customHeight="1" x14ac:dyDescent="0.3">
      <c r="A145" s="7258" t="s">
        <v>4163</v>
      </c>
      <c r="B145" s="8821" t="s">
        <v>1427</v>
      </c>
      <c r="C145" s="1330" t="s">
        <v>1424</v>
      </c>
      <c r="D145" s="830" t="s">
        <v>5369</v>
      </c>
      <c r="E145" s="1333" t="s">
        <v>5370</v>
      </c>
      <c r="F145" s="1334" t="s">
        <v>5371</v>
      </c>
      <c r="G145" s="2588" t="s">
        <v>5372</v>
      </c>
      <c r="H145" s="2587" t="s">
        <v>5373</v>
      </c>
      <c r="I145" s="2588" t="s">
        <v>5374</v>
      </c>
      <c r="J145" s="2061" t="s">
        <v>5375</v>
      </c>
      <c r="K145" s="2588" t="s">
        <v>5376</v>
      </c>
      <c r="L145" s="2061" t="s">
        <v>5377</v>
      </c>
      <c r="M145" s="2534" t="s">
        <v>5378</v>
      </c>
      <c r="N145" s="2061" t="s">
        <v>5379</v>
      </c>
      <c r="O145" s="2588" t="s">
        <v>5380</v>
      </c>
      <c r="P145" s="2061" t="s">
        <v>5381</v>
      </c>
      <c r="Q145" s="2588" t="s">
        <v>5382</v>
      </c>
      <c r="R145" s="2061" t="s">
        <v>5383</v>
      </c>
      <c r="S145" s="2588" t="s">
        <v>5384</v>
      </c>
      <c r="T145" s="2061" t="s">
        <v>5385</v>
      </c>
      <c r="U145" s="2588" t="s">
        <v>5386</v>
      </c>
      <c r="V145" s="2061" t="s">
        <v>5387</v>
      </c>
      <c r="W145" s="2588" t="s">
        <v>5388</v>
      </c>
      <c r="X145" s="2061" t="s">
        <v>5389</v>
      </c>
      <c r="Y145" s="2588" t="s">
        <v>5390</v>
      </c>
      <c r="Z145" s="2061" t="s">
        <v>5391</v>
      </c>
      <c r="AA145" s="2588" t="s">
        <v>5392</v>
      </c>
      <c r="AB145" s="2061" t="s">
        <v>5393</v>
      </c>
      <c r="AC145" s="1547"/>
      <c r="AZ145" s="1547"/>
      <c r="BA145" s="1547"/>
    </row>
    <row r="146" spans="1:53" ht="16.350000000000001" customHeight="1" x14ac:dyDescent="0.3">
      <c r="A146" s="7258" t="s">
        <v>4164</v>
      </c>
      <c r="B146" s="8555"/>
      <c r="C146" s="564" t="s">
        <v>1423</v>
      </c>
      <c r="D146" s="2171" t="s">
        <v>5369</v>
      </c>
      <c r="E146" s="2172" t="s">
        <v>5370</v>
      </c>
      <c r="F146" s="843" t="s">
        <v>5371</v>
      </c>
      <c r="G146" s="2492" t="s">
        <v>5372</v>
      </c>
      <c r="H146" s="2499" t="s">
        <v>5373</v>
      </c>
      <c r="I146" s="2492" t="s">
        <v>5374</v>
      </c>
      <c r="J146" s="2495" t="s">
        <v>5375</v>
      </c>
      <c r="K146" s="2492" t="s">
        <v>5376</v>
      </c>
      <c r="L146" s="2495" t="s">
        <v>5377</v>
      </c>
      <c r="M146" s="2503" t="s">
        <v>5378</v>
      </c>
      <c r="N146" s="2495" t="s">
        <v>5379</v>
      </c>
      <c r="O146" s="2492" t="s">
        <v>5380</v>
      </c>
      <c r="P146" s="2495" t="s">
        <v>5381</v>
      </c>
      <c r="Q146" s="2492" t="s">
        <v>5382</v>
      </c>
      <c r="R146" s="2495" t="s">
        <v>5383</v>
      </c>
      <c r="S146" s="2492" t="s">
        <v>5384</v>
      </c>
      <c r="T146" s="2495" t="s">
        <v>5385</v>
      </c>
      <c r="U146" s="2492" t="s">
        <v>5386</v>
      </c>
      <c r="V146" s="2495" t="s">
        <v>5387</v>
      </c>
      <c r="W146" s="2492" t="s">
        <v>5388</v>
      </c>
      <c r="X146" s="2495" t="s">
        <v>5389</v>
      </c>
      <c r="Y146" s="2492" t="s">
        <v>5390</v>
      </c>
      <c r="Z146" s="2495" t="s">
        <v>5391</v>
      </c>
      <c r="AA146" s="2492" t="s">
        <v>5392</v>
      </c>
      <c r="AB146" s="2495" t="s">
        <v>5393</v>
      </c>
      <c r="AC146" s="1547"/>
      <c r="AZ146" s="1547"/>
      <c r="BA146" s="1547"/>
    </row>
    <row r="147" spans="1:53" ht="16.350000000000001" customHeight="1" x14ac:dyDescent="0.3">
      <c r="A147" s="7258" t="s">
        <v>4165</v>
      </c>
      <c r="B147" s="8555"/>
      <c r="C147" s="2071" t="s">
        <v>1422</v>
      </c>
      <c r="D147" s="2171" t="s">
        <v>5369</v>
      </c>
      <c r="E147" s="2172" t="s">
        <v>5370</v>
      </c>
      <c r="F147" s="843" t="s">
        <v>5371</v>
      </c>
      <c r="G147" s="2492" t="s">
        <v>5372</v>
      </c>
      <c r="H147" s="2499" t="s">
        <v>5373</v>
      </c>
      <c r="I147" s="2492" t="s">
        <v>5374</v>
      </c>
      <c r="J147" s="2495" t="s">
        <v>5375</v>
      </c>
      <c r="K147" s="2492" t="s">
        <v>5376</v>
      </c>
      <c r="L147" s="2495" t="s">
        <v>5377</v>
      </c>
      <c r="M147" s="2503" t="s">
        <v>5378</v>
      </c>
      <c r="N147" s="2495" t="s">
        <v>5379</v>
      </c>
      <c r="O147" s="2492" t="s">
        <v>5380</v>
      </c>
      <c r="P147" s="2495" t="s">
        <v>5381</v>
      </c>
      <c r="Q147" s="2492" t="s">
        <v>5382</v>
      </c>
      <c r="R147" s="2495" t="s">
        <v>5383</v>
      </c>
      <c r="S147" s="2492" t="s">
        <v>5384</v>
      </c>
      <c r="T147" s="2495" t="s">
        <v>5385</v>
      </c>
      <c r="U147" s="2492" t="s">
        <v>5386</v>
      </c>
      <c r="V147" s="2495" t="s">
        <v>5387</v>
      </c>
      <c r="W147" s="2492" t="s">
        <v>5388</v>
      </c>
      <c r="X147" s="2495" t="s">
        <v>5389</v>
      </c>
      <c r="Y147" s="2492" t="s">
        <v>5390</v>
      </c>
      <c r="Z147" s="2495" t="s">
        <v>5391</v>
      </c>
      <c r="AA147" s="2492" t="s">
        <v>5392</v>
      </c>
      <c r="AB147" s="2495" t="s">
        <v>5393</v>
      </c>
      <c r="AC147" s="1547"/>
      <c r="AZ147" s="1547"/>
      <c r="BA147" s="1547"/>
    </row>
    <row r="148" spans="1:53" ht="16.350000000000001" customHeight="1" x14ac:dyDescent="0.3">
      <c r="A148" s="7258" t="s">
        <v>4166</v>
      </c>
      <c r="B148" s="8555"/>
      <c r="C148" s="2071" t="s">
        <v>1421</v>
      </c>
      <c r="D148" s="323" t="s">
        <v>5369</v>
      </c>
      <c r="E148" s="324" t="s">
        <v>5370</v>
      </c>
      <c r="F148" s="851" t="s">
        <v>5371</v>
      </c>
      <c r="G148" s="2492" t="s">
        <v>5372</v>
      </c>
      <c r="H148" s="2499" t="s">
        <v>5373</v>
      </c>
      <c r="I148" s="2492" t="s">
        <v>5374</v>
      </c>
      <c r="J148" s="2495" t="s">
        <v>5375</v>
      </c>
      <c r="K148" s="2492" t="s">
        <v>5376</v>
      </c>
      <c r="L148" s="2495" t="s">
        <v>5377</v>
      </c>
      <c r="M148" s="2503" t="s">
        <v>5378</v>
      </c>
      <c r="N148" s="2495" t="s">
        <v>5379</v>
      </c>
      <c r="O148" s="2492" t="s">
        <v>5380</v>
      </c>
      <c r="P148" s="2495" t="s">
        <v>5381</v>
      </c>
      <c r="Q148" s="2492" t="s">
        <v>5382</v>
      </c>
      <c r="R148" s="2495" t="s">
        <v>5383</v>
      </c>
      <c r="S148" s="2492" t="s">
        <v>5384</v>
      </c>
      <c r="T148" s="2495" t="s">
        <v>5385</v>
      </c>
      <c r="U148" s="2492" t="s">
        <v>5386</v>
      </c>
      <c r="V148" s="2495" t="s">
        <v>5387</v>
      </c>
      <c r="W148" s="2492" t="s">
        <v>5388</v>
      </c>
      <c r="X148" s="2495" t="s">
        <v>5389</v>
      </c>
      <c r="Y148" s="2492" t="s">
        <v>5390</v>
      </c>
      <c r="Z148" s="2495" t="s">
        <v>5391</v>
      </c>
      <c r="AA148" s="2492" t="s">
        <v>5392</v>
      </c>
      <c r="AB148" s="2495" t="s">
        <v>5393</v>
      </c>
      <c r="AC148" s="1547"/>
      <c r="AZ148" s="1547"/>
      <c r="BA148" s="1547"/>
    </row>
    <row r="149" spans="1:53" ht="16.350000000000001" customHeight="1" x14ac:dyDescent="0.3">
      <c r="A149" s="7258" t="s">
        <v>4167</v>
      </c>
      <c r="B149" s="8555"/>
      <c r="C149" s="2078" t="s">
        <v>1420</v>
      </c>
      <c r="D149" s="584" t="s">
        <v>5369</v>
      </c>
      <c r="E149" s="583" t="s">
        <v>5370</v>
      </c>
      <c r="F149" s="850" t="s">
        <v>5371</v>
      </c>
      <c r="G149" s="2518" t="s">
        <v>5372</v>
      </c>
      <c r="H149" s="2519" t="s">
        <v>5373</v>
      </c>
      <c r="I149" s="2518" t="s">
        <v>5374</v>
      </c>
      <c r="J149" s="2537" t="s">
        <v>5375</v>
      </c>
      <c r="K149" s="2518" t="s">
        <v>5376</v>
      </c>
      <c r="L149" s="2537" t="s">
        <v>5377</v>
      </c>
      <c r="M149" s="557" t="s">
        <v>5378</v>
      </c>
      <c r="N149" s="2537" t="s">
        <v>5379</v>
      </c>
      <c r="O149" s="2518" t="s">
        <v>5380</v>
      </c>
      <c r="P149" s="2537" t="s">
        <v>5381</v>
      </c>
      <c r="Q149" s="2518" t="s">
        <v>5382</v>
      </c>
      <c r="R149" s="2537" t="s">
        <v>5383</v>
      </c>
      <c r="S149" s="2518" t="s">
        <v>5384</v>
      </c>
      <c r="T149" s="2537" t="s">
        <v>5385</v>
      </c>
      <c r="U149" s="2518" t="s">
        <v>5386</v>
      </c>
      <c r="V149" s="2537" t="s">
        <v>5387</v>
      </c>
      <c r="W149" s="2518" t="s">
        <v>5388</v>
      </c>
      <c r="X149" s="2537" t="s">
        <v>5389</v>
      </c>
      <c r="Y149" s="2518" t="s">
        <v>5390</v>
      </c>
      <c r="Z149" s="2537" t="s">
        <v>5391</v>
      </c>
      <c r="AA149" s="2518" t="s">
        <v>5392</v>
      </c>
      <c r="AB149" s="2537" t="s">
        <v>5393</v>
      </c>
      <c r="AC149" s="1547"/>
      <c r="AZ149" s="1547"/>
      <c r="BA149" s="1547"/>
    </row>
    <row r="150" spans="1:53" ht="16.350000000000001" customHeight="1" thickBot="1" x14ac:dyDescent="0.35">
      <c r="A150" s="7266"/>
      <c r="B150" s="8823" t="s">
        <v>1419</v>
      </c>
      <c r="C150" s="8824"/>
      <c r="D150" s="849">
        <f>SUM(D120:D149)</f>
        <v>0</v>
      </c>
      <c r="E150" s="848">
        <f>SUM(E120:E149)</f>
        <v>0</v>
      </c>
      <c r="F150" s="847">
        <f>SUM(F120:F149)</f>
        <v>0</v>
      </c>
      <c r="G150" s="2539">
        <f>SUM(G120:G149)</f>
        <v>0</v>
      </c>
      <c r="H150" s="2617">
        <f t="shared" ref="H150:AB150" si="3">SUM(H120:H149)</f>
        <v>0</v>
      </c>
      <c r="I150" s="2539">
        <f t="shared" si="3"/>
        <v>0</v>
      </c>
      <c r="J150" s="2617">
        <f t="shared" si="3"/>
        <v>0</v>
      </c>
      <c r="K150" s="2539">
        <f t="shared" si="3"/>
        <v>0</v>
      </c>
      <c r="L150" s="2617">
        <f t="shared" si="3"/>
        <v>0</v>
      </c>
      <c r="M150" s="2539">
        <f t="shared" si="3"/>
        <v>0</v>
      </c>
      <c r="N150" s="2617">
        <f t="shared" si="3"/>
        <v>0</v>
      </c>
      <c r="O150" s="2539">
        <f t="shared" si="3"/>
        <v>0</v>
      </c>
      <c r="P150" s="2617">
        <f t="shared" si="3"/>
        <v>0</v>
      </c>
      <c r="Q150" s="2539">
        <f t="shared" si="3"/>
        <v>0</v>
      </c>
      <c r="R150" s="2617">
        <f t="shared" si="3"/>
        <v>0</v>
      </c>
      <c r="S150" s="2539">
        <f t="shared" si="3"/>
        <v>0</v>
      </c>
      <c r="T150" s="2617">
        <f t="shared" si="3"/>
        <v>0</v>
      </c>
      <c r="U150" s="2539">
        <f t="shared" si="3"/>
        <v>0</v>
      </c>
      <c r="V150" s="2617">
        <f t="shared" si="3"/>
        <v>0</v>
      </c>
      <c r="W150" s="2539">
        <f t="shared" si="3"/>
        <v>0</v>
      </c>
      <c r="X150" s="2617">
        <f t="shared" si="3"/>
        <v>0</v>
      </c>
      <c r="Y150" s="2539">
        <f t="shared" si="3"/>
        <v>0</v>
      </c>
      <c r="Z150" s="2617">
        <f t="shared" si="3"/>
        <v>0</v>
      </c>
      <c r="AA150" s="2540">
        <f t="shared" si="3"/>
        <v>0</v>
      </c>
      <c r="AB150" s="2618">
        <f t="shared" si="3"/>
        <v>0</v>
      </c>
      <c r="AC150" s="1547"/>
      <c r="AZ150" s="1547"/>
      <c r="BA150" s="1547"/>
    </row>
    <row r="151" spans="1:53" ht="16.350000000000001" customHeight="1" thickTop="1" x14ac:dyDescent="0.3">
      <c r="A151" s="7258" t="s">
        <v>4168</v>
      </c>
      <c r="B151" s="8825" t="s">
        <v>1426</v>
      </c>
      <c r="C151" s="846" t="s">
        <v>1424</v>
      </c>
      <c r="D151" s="540" t="s">
        <v>5369</v>
      </c>
      <c r="E151" s="539" t="s">
        <v>5370</v>
      </c>
      <c r="F151" s="845" t="s">
        <v>5371</v>
      </c>
      <c r="G151" s="537" t="s">
        <v>5372</v>
      </c>
      <c r="H151" s="535" t="s">
        <v>5373</v>
      </c>
      <c r="I151" s="537" t="s">
        <v>5374</v>
      </c>
      <c r="J151" s="575" t="s">
        <v>5375</v>
      </c>
      <c r="K151" s="537" t="s">
        <v>5376</v>
      </c>
      <c r="L151" s="575" t="s">
        <v>5377</v>
      </c>
      <c r="M151" s="538" t="s">
        <v>5378</v>
      </c>
      <c r="N151" s="575" t="s">
        <v>5379</v>
      </c>
      <c r="O151" s="537" t="s">
        <v>5380</v>
      </c>
      <c r="P151" s="575" t="s">
        <v>5381</v>
      </c>
      <c r="Q151" s="537" t="s">
        <v>5382</v>
      </c>
      <c r="R151" s="575" t="s">
        <v>5383</v>
      </c>
      <c r="S151" s="537" t="s">
        <v>5384</v>
      </c>
      <c r="T151" s="575" t="s">
        <v>5385</v>
      </c>
      <c r="U151" s="537" t="s">
        <v>5386</v>
      </c>
      <c r="V151" s="575" t="s">
        <v>5387</v>
      </c>
      <c r="W151" s="576" t="s">
        <v>5388</v>
      </c>
      <c r="X151" s="575" t="s">
        <v>5389</v>
      </c>
      <c r="Y151" s="576" t="s">
        <v>5390</v>
      </c>
      <c r="Z151" s="575" t="s">
        <v>5391</v>
      </c>
      <c r="AA151" s="2446" t="s">
        <v>5392</v>
      </c>
      <c r="AB151" s="2619" t="s">
        <v>5393</v>
      </c>
      <c r="AC151" s="1547"/>
      <c r="AZ151" s="1547"/>
      <c r="BA151" s="1547"/>
    </row>
    <row r="152" spans="1:53" ht="16.350000000000001" customHeight="1" x14ac:dyDescent="0.3">
      <c r="A152" s="7258" t="s">
        <v>4169</v>
      </c>
      <c r="B152" s="8621"/>
      <c r="C152" s="564" t="s">
        <v>1423</v>
      </c>
      <c r="D152" s="2171" t="s">
        <v>5369</v>
      </c>
      <c r="E152" s="2172" t="s">
        <v>5370</v>
      </c>
      <c r="F152" s="843" t="s">
        <v>5371</v>
      </c>
      <c r="G152" s="2462" t="s">
        <v>5372</v>
      </c>
      <c r="H152" s="2422" t="s">
        <v>5373</v>
      </c>
      <c r="I152" s="2462" t="s">
        <v>5374</v>
      </c>
      <c r="J152" s="2450" t="s">
        <v>5375</v>
      </c>
      <c r="K152" s="2462" t="s">
        <v>5376</v>
      </c>
      <c r="L152" s="2450" t="s">
        <v>5377</v>
      </c>
      <c r="M152" s="234" t="s">
        <v>5378</v>
      </c>
      <c r="N152" s="2450" t="s">
        <v>5379</v>
      </c>
      <c r="O152" s="2462" t="s">
        <v>5380</v>
      </c>
      <c r="P152" s="2450" t="s">
        <v>5381</v>
      </c>
      <c r="Q152" s="2462" t="s">
        <v>5382</v>
      </c>
      <c r="R152" s="2450" t="s">
        <v>5383</v>
      </c>
      <c r="S152" s="2462" t="s">
        <v>5384</v>
      </c>
      <c r="T152" s="2450" t="s">
        <v>5385</v>
      </c>
      <c r="U152" s="2462" t="s">
        <v>5386</v>
      </c>
      <c r="V152" s="2450" t="s">
        <v>5387</v>
      </c>
      <c r="W152" s="2440" t="s">
        <v>5388</v>
      </c>
      <c r="X152" s="2450" t="s">
        <v>5389</v>
      </c>
      <c r="Y152" s="2440" t="s">
        <v>5390</v>
      </c>
      <c r="Z152" s="2450" t="s">
        <v>5391</v>
      </c>
      <c r="AA152" s="2445" t="s">
        <v>5392</v>
      </c>
      <c r="AB152" s="2620" t="s">
        <v>5393</v>
      </c>
      <c r="AC152" s="1547"/>
      <c r="AZ152" s="1547"/>
      <c r="BA152" s="1547"/>
    </row>
    <row r="153" spans="1:53" ht="16.350000000000001" customHeight="1" x14ac:dyDescent="0.3">
      <c r="A153" s="7258" t="s">
        <v>4170</v>
      </c>
      <c r="B153" s="8621"/>
      <c r="C153" s="2071" t="s">
        <v>1422</v>
      </c>
      <c r="D153" s="2171" t="s">
        <v>5369</v>
      </c>
      <c r="E153" s="2172" t="s">
        <v>5370</v>
      </c>
      <c r="F153" s="843" t="s">
        <v>5371</v>
      </c>
      <c r="G153" s="2462" t="s">
        <v>5372</v>
      </c>
      <c r="H153" s="2422" t="s">
        <v>5373</v>
      </c>
      <c r="I153" s="2462" t="s">
        <v>5374</v>
      </c>
      <c r="J153" s="2450" t="s">
        <v>5375</v>
      </c>
      <c r="K153" s="2462" t="s">
        <v>5376</v>
      </c>
      <c r="L153" s="2450" t="s">
        <v>5377</v>
      </c>
      <c r="M153" s="234" t="s">
        <v>5378</v>
      </c>
      <c r="N153" s="2450" t="s">
        <v>5379</v>
      </c>
      <c r="O153" s="2462" t="s">
        <v>5380</v>
      </c>
      <c r="P153" s="2450" t="s">
        <v>5381</v>
      </c>
      <c r="Q153" s="2462" t="s">
        <v>5382</v>
      </c>
      <c r="R153" s="2450" t="s">
        <v>5383</v>
      </c>
      <c r="S153" s="2462" t="s">
        <v>5384</v>
      </c>
      <c r="T153" s="2450" t="s">
        <v>5385</v>
      </c>
      <c r="U153" s="2462" t="s">
        <v>5386</v>
      </c>
      <c r="V153" s="2450" t="s">
        <v>5387</v>
      </c>
      <c r="W153" s="2440" t="s">
        <v>5388</v>
      </c>
      <c r="X153" s="2450" t="s">
        <v>5389</v>
      </c>
      <c r="Y153" s="2440" t="s">
        <v>5390</v>
      </c>
      <c r="Z153" s="2450" t="s">
        <v>5391</v>
      </c>
      <c r="AA153" s="2445" t="s">
        <v>5392</v>
      </c>
      <c r="AB153" s="2620" t="s">
        <v>5393</v>
      </c>
      <c r="AC153" s="1547"/>
      <c r="AZ153" s="1547"/>
      <c r="BA153" s="1547"/>
    </row>
    <row r="154" spans="1:53" ht="16.350000000000001" customHeight="1" x14ac:dyDescent="0.3">
      <c r="A154" s="7258" t="s">
        <v>4171</v>
      </c>
      <c r="B154" s="8621"/>
      <c r="C154" s="2071" t="s">
        <v>1421</v>
      </c>
      <c r="D154" s="2171" t="s">
        <v>5369</v>
      </c>
      <c r="E154" s="2172" t="s">
        <v>5370</v>
      </c>
      <c r="F154" s="843" t="s">
        <v>5371</v>
      </c>
      <c r="G154" s="2462" t="s">
        <v>5372</v>
      </c>
      <c r="H154" s="2422" t="s">
        <v>5373</v>
      </c>
      <c r="I154" s="2462" t="s">
        <v>5374</v>
      </c>
      <c r="J154" s="2450" t="s">
        <v>5375</v>
      </c>
      <c r="K154" s="2462" t="s">
        <v>5376</v>
      </c>
      <c r="L154" s="2450" t="s">
        <v>5377</v>
      </c>
      <c r="M154" s="234" t="s">
        <v>5378</v>
      </c>
      <c r="N154" s="2450" t="s">
        <v>5379</v>
      </c>
      <c r="O154" s="2462" t="s">
        <v>5380</v>
      </c>
      <c r="P154" s="2450" t="s">
        <v>5381</v>
      </c>
      <c r="Q154" s="2462" t="s">
        <v>5382</v>
      </c>
      <c r="R154" s="2450" t="s">
        <v>5383</v>
      </c>
      <c r="S154" s="2462" t="s">
        <v>5384</v>
      </c>
      <c r="T154" s="2450" t="s">
        <v>5385</v>
      </c>
      <c r="U154" s="2462" t="s">
        <v>5386</v>
      </c>
      <c r="V154" s="2450" t="s">
        <v>5387</v>
      </c>
      <c r="W154" s="2440" t="s">
        <v>5388</v>
      </c>
      <c r="X154" s="2450" t="s">
        <v>5389</v>
      </c>
      <c r="Y154" s="2440" t="s">
        <v>5390</v>
      </c>
      <c r="Z154" s="2450" t="s">
        <v>5391</v>
      </c>
      <c r="AA154" s="2445" t="s">
        <v>5392</v>
      </c>
      <c r="AB154" s="2620" t="s">
        <v>5393</v>
      </c>
      <c r="AC154" s="1547"/>
      <c r="AZ154" s="1547"/>
      <c r="BA154" s="1547"/>
    </row>
    <row r="155" spans="1:53" ht="16.350000000000001" customHeight="1" x14ac:dyDescent="0.3">
      <c r="A155" s="7258" t="s">
        <v>4172</v>
      </c>
      <c r="B155" s="8621"/>
      <c r="C155" s="2078" t="s">
        <v>1420</v>
      </c>
      <c r="D155" s="833" t="s">
        <v>5369</v>
      </c>
      <c r="E155" s="739" t="s">
        <v>5370</v>
      </c>
      <c r="F155" s="844" t="s">
        <v>5371</v>
      </c>
      <c r="G155" s="828" t="s">
        <v>5372</v>
      </c>
      <c r="H155" s="1150" t="s">
        <v>5373</v>
      </c>
      <c r="I155" s="828" t="s">
        <v>5374</v>
      </c>
      <c r="J155" s="2441" t="s">
        <v>5375</v>
      </c>
      <c r="K155" s="828" t="s">
        <v>5376</v>
      </c>
      <c r="L155" s="2441" t="s">
        <v>5377</v>
      </c>
      <c r="M155" s="209" t="s">
        <v>5378</v>
      </c>
      <c r="N155" s="2441" t="s">
        <v>5379</v>
      </c>
      <c r="O155" s="828" t="s">
        <v>5380</v>
      </c>
      <c r="P155" s="2441" t="s">
        <v>5381</v>
      </c>
      <c r="Q155" s="828" t="s">
        <v>5382</v>
      </c>
      <c r="R155" s="2441" t="s">
        <v>5383</v>
      </c>
      <c r="S155" s="828" t="s">
        <v>5384</v>
      </c>
      <c r="T155" s="2441" t="s">
        <v>5385</v>
      </c>
      <c r="U155" s="828" t="s">
        <v>5386</v>
      </c>
      <c r="V155" s="2441" t="s">
        <v>5387</v>
      </c>
      <c r="W155" s="2541" t="s">
        <v>5388</v>
      </c>
      <c r="X155" s="2441" t="s">
        <v>5389</v>
      </c>
      <c r="Y155" s="2541" t="s">
        <v>5390</v>
      </c>
      <c r="Z155" s="2441" t="s">
        <v>5391</v>
      </c>
      <c r="AA155" s="2542" t="s">
        <v>5392</v>
      </c>
      <c r="AB155" s="2621" t="s">
        <v>5393</v>
      </c>
      <c r="AC155" s="1547"/>
      <c r="AZ155" s="1547"/>
      <c r="BA155" s="1547"/>
    </row>
    <row r="156" spans="1:53" ht="16.350000000000001" customHeight="1" x14ac:dyDescent="0.3">
      <c r="A156" s="7258" t="s">
        <v>4173</v>
      </c>
      <c r="B156" s="8713" t="s">
        <v>1425</v>
      </c>
      <c r="C156" s="1330" t="s">
        <v>1424</v>
      </c>
      <c r="D156" s="830" t="s">
        <v>5369</v>
      </c>
      <c r="E156" s="1333" t="s">
        <v>5370</v>
      </c>
      <c r="F156" s="1334" t="s">
        <v>5371</v>
      </c>
      <c r="G156" s="2588" t="s">
        <v>5372</v>
      </c>
      <c r="H156" s="2587" t="s">
        <v>5373</v>
      </c>
      <c r="I156" s="2588" t="s">
        <v>5374</v>
      </c>
      <c r="J156" s="2061" t="s">
        <v>5375</v>
      </c>
      <c r="K156" s="2588" t="s">
        <v>5376</v>
      </c>
      <c r="L156" s="2061" t="s">
        <v>5377</v>
      </c>
      <c r="M156" s="2534" t="s">
        <v>5378</v>
      </c>
      <c r="N156" s="2061" t="s">
        <v>5379</v>
      </c>
      <c r="O156" s="2588" t="s">
        <v>5380</v>
      </c>
      <c r="P156" s="2061" t="s">
        <v>5381</v>
      </c>
      <c r="Q156" s="2588" t="s">
        <v>5382</v>
      </c>
      <c r="R156" s="2061" t="s">
        <v>5383</v>
      </c>
      <c r="S156" s="2588" t="s">
        <v>5384</v>
      </c>
      <c r="T156" s="2061" t="s">
        <v>5385</v>
      </c>
      <c r="U156" s="2588" t="s">
        <v>5386</v>
      </c>
      <c r="V156" s="2061" t="s">
        <v>5387</v>
      </c>
      <c r="W156" s="2517" t="s">
        <v>5388</v>
      </c>
      <c r="X156" s="2061" t="s">
        <v>5389</v>
      </c>
      <c r="Y156" s="2517" t="s">
        <v>5390</v>
      </c>
      <c r="Z156" s="2061" t="s">
        <v>5391</v>
      </c>
      <c r="AA156" s="2535" t="s">
        <v>5392</v>
      </c>
      <c r="AB156" s="2616" t="s">
        <v>5393</v>
      </c>
      <c r="AC156" s="1547"/>
      <c r="AZ156" s="1547"/>
      <c r="BA156" s="1547"/>
    </row>
    <row r="157" spans="1:53" ht="16.350000000000001" customHeight="1" x14ac:dyDescent="0.3">
      <c r="A157" s="7258" t="s">
        <v>4174</v>
      </c>
      <c r="B157" s="8621"/>
      <c r="C157" s="564" t="s">
        <v>1423</v>
      </c>
      <c r="D157" s="2171" t="s">
        <v>5369</v>
      </c>
      <c r="E157" s="2172" t="s">
        <v>5370</v>
      </c>
      <c r="F157" s="843" t="s">
        <v>5371</v>
      </c>
      <c r="G157" s="2462" t="s">
        <v>5372</v>
      </c>
      <c r="H157" s="2422" t="s">
        <v>5373</v>
      </c>
      <c r="I157" s="2462" t="s">
        <v>5374</v>
      </c>
      <c r="J157" s="2450" t="s">
        <v>5375</v>
      </c>
      <c r="K157" s="2462" t="s">
        <v>5376</v>
      </c>
      <c r="L157" s="2450" t="s">
        <v>5377</v>
      </c>
      <c r="M157" s="234" t="s">
        <v>5378</v>
      </c>
      <c r="N157" s="2450" t="s">
        <v>5379</v>
      </c>
      <c r="O157" s="2462" t="s">
        <v>5380</v>
      </c>
      <c r="P157" s="2450" t="s">
        <v>5381</v>
      </c>
      <c r="Q157" s="2462" t="s">
        <v>5382</v>
      </c>
      <c r="R157" s="2450" t="s">
        <v>5383</v>
      </c>
      <c r="S157" s="2462" t="s">
        <v>5384</v>
      </c>
      <c r="T157" s="2450" t="s">
        <v>5385</v>
      </c>
      <c r="U157" s="2462" t="s">
        <v>5386</v>
      </c>
      <c r="V157" s="2450" t="s">
        <v>5387</v>
      </c>
      <c r="W157" s="2440" t="s">
        <v>5388</v>
      </c>
      <c r="X157" s="2450" t="s">
        <v>5389</v>
      </c>
      <c r="Y157" s="2440" t="s">
        <v>5390</v>
      </c>
      <c r="Z157" s="2450" t="s">
        <v>5391</v>
      </c>
      <c r="AA157" s="2445" t="s">
        <v>5392</v>
      </c>
      <c r="AB157" s="2620" t="s">
        <v>5393</v>
      </c>
      <c r="AC157" s="1547"/>
      <c r="AZ157" s="1547"/>
      <c r="BA157" s="1547"/>
    </row>
    <row r="158" spans="1:53" ht="16.350000000000001" customHeight="1" x14ac:dyDescent="0.3">
      <c r="A158" s="7258" t="s">
        <v>4175</v>
      </c>
      <c r="B158" s="8621"/>
      <c r="C158" s="2071" t="s">
        <v>1422</v>
      </c>
      <c r="D158" s="2171" t="s">
        <v>5369</v>
      </c>
      <c r="E158" s="2172" t="s">
        <v>5370</v>
      </c>
      <c r="F158" s="843" t="s">
        <v>5371</v>
      </c>
      <c r="G158" s="2462" t="s">
        <v>5372</v>
      </c>
      <c r="H158" s="2422" t="s">
        <v>5373</v>
      </c>
      <c r="I158" s="2462" t="s">
        <v>5374</v>
      </c>
      <c r="J158" s="2450" t="s">
        <v>5375</v>
      </c>
      <c r="K158" s="2462" t="s">
        <v>5376</v>
      </c>
      <c r="L158" s="2450" t="s">
        <v>5377</v>
      </c>
      <c r="M158" s="234" t="s">
        <v>5378</v>
      </c>
      <c r="N158" s="2450" t="s">
        <v>5379</v>
      </c>
      <c r="O158" s="2462" t="s">
        <v>5380</v>
      </c>
      <c r="P158" s="2450" t="s">
        <v>5381</v>
      </c>
      <c r="Q158" s="2462" t="s">
        <v>5382</v>
      </c>
      <c r="R158" s="2450" t="s">
        <v>5383</v>
      </c>
      <c r="S158" s="2462" t="s">
        <v>5384</v>
      </c>
      <c r="T158" s="2450" t="s">
        <v>5385</v>
      </c>
      <c r="U158" s="2462" t="s">
        <v>5386</v>
      </c>
      <c r="V158" s="2450" t="s">
        <v>5387</v>
      </c>
      <c r="W158" s="2440" t="s">
        <v>5388</v>
      </c>
      <c r="X158" s="2450" t="s">
        <v>5389</v>
      </c>
      <c r="Y158" s="2440" t="s">
        <v>5390</v>
      </c>
      <c r="Z158" s="2450" t="s">
        <v>5391</v>
      </c>
      <c r="AA158" s="2445" t="s">
        <v>5392</v>
      </c>
      <c r="AB158" s="2620" t="s">
        <v>5393</v>
      </c>
      <c r="AC158" s="1547"/>
      <c r="AZ158" s="1547"/>
      <c r="BA158" s="1547"/>
    </row>
    <row r="159" spans="1:53" ht="16.350000000000001" customHeight="1" x14ac:dyDescent="0.3">
      <c r="A159" s="7258" t="s">
        <v>4176</v>
      </c>
      <c r="B159" s="8621"/>
      <c r="C159" s="2071" t="s">
        <v>1421</v>
      </c>
      <c r="D159" s="2171" t="s">
        <v>5369</v>
      </c>
      <c r="E159" s="2172" t="s">
        <v>5370</v>
      </c>
      <c r="F159" s="843" t="s">
        <v>5371</v>
      </c>
      <c r="G159" s="2462" t="s">
        <v>5372</v>
      </c>
      <c r="H159" s="2422" t="s">
        <v>5373</v>
      </c>
      <c r="I159" s="2462" t="s">
        <v>5374</v>
      </c>
      <c r="J159" s="2450" t="s">
        <v>5375</v>
      </c>
      <c r="K159" s="2462" t="s">
        <v>5376</v>
      </c>
      <c r="L159" s="2450" t="s">
        <v>5377</v>
      </c>
      <c r="M159" s="234" t="s">
        <v>5378</v>
      </c>
      <c r="N159" s="2450" t="s">
        <v>5379</v>
      </c>
      <c r="O159" s="2462" t="s">
        <v>5380</v>
      </c>
      <c r="P159" s="2450" t="s">
        <v>5381</v>
      </c>
      <c r="Q159" s="2462" t="s">
        <v>5382</v>
      </c>
      <c r="R159" s="2450" t="s">
        <v>5383</v>
      </c>
      <c r="S159" s="2462" t="s">
        <v>5384</v>
      </c>
      <c r="T159" s="2450" t="s">
        <v>5385</v>
      </c>
      <c r="U159" s="2462" t="s">
        <v>5386</v>
      </c>
      <c r="V159" s="2450" t="s">
        <v>5387</v>
      </c>
      <c r="W159" s="2440" t="s">
        <v>5388</v>
      </c>
      <c r="X159" s="2450" t="s">
        <v>5389</v>
      </c>
      <c r="Y159" s="2440" t="s">
        <v>5390</v>
      </c>
      <c r="Z159" s="2450" t="s">
        <v>5391</v>
      </c>
      <c r="AA159" s="2445" t="s">
        <v>5392</v>
      </c>
      <c r="AB159" s="2620" t="s">
        <v>5393</v>
      </c>
      <c r="AC159" s="1547"/>
      <c r="AZ159" s="1547"/>
      <c r="BA159" s="1547"/>
    </row>
    <row r="160" spans="1:53" ht="16.350000000000001" customHeight="1" x14ac:dyDescent="0.3">
      <c r="A160" s="7258" t="s">
        <v>4177</v>
      </c>
      <c r="B160" s="8714"/>
      <c r="C160" s="1328" t="s">
        <v>1420</v>
      </c>
      <c r="D160" s="837" t="s">
        <v>5369</v>
      </c>
      <c r="E160" s="836" t="s">
        <v>5370</v>
      </c>
      <c r="F160" s="841" t="s">
        <v>5371</v>
      </c>
      <c r="G160" s="2590" t="s">
        <v>5372</v>
      </c>
      <c r="H160" s="2585" t="s">
        <v>5373</v>
      </c>
      <c r="I160" s="2590" t="s">
        <v>5374</v>
      </c>
      <c r="J160" s="2388" t="s">
        <v>5375</v>
      </c>
      <c r="K160" s="2590" t="s">
        <v>5376</v>
      </c>
      <c r="L160" s="2388" t="s">
        <v>5377</v>
      </c>
      <c r="M160" s="2460" t="s">
        <v>5378</v>
      </c>
      <c r="N160" s="2388" t="s">
        <v>5379</v>
      </c>
      <c r="O160" s="2590" t="s">
        <v>5380</v>
      </c>
      <c r="P160" s="2388" t="s">
        <v>5381</v>
      </c>
      <c r="Q160" s="2590" t="s">
        <v>5382</v>
      </c>
      <c r="R160" s="2388" t="s">
        <v>5383</v>
      </c>
      <c r="S160" s="2590" t="s">
        <v>5384</v>
      </c>
      <c r="T160" s="2388" t="s">
        <v>5385</v>
      </c>
      <c r="U160" s="2590" t="s">
        <v>5386</v>
      </c>
      <c r="V160" s="2388" t="s">
        <v>5387</v>
      </c>
      <c r="W160" s="2622" t="s">
        <v>5388</v>
      </c>
      <c r="X160" s="2388" t="s">
        <v>5389</v>
      </c>
      <c r="Y160" s="2622" t="s">
        <v>5390</v>
      </c>
      <c r="Z160" s="2388" t="s">
        <v>5391</v>
      </c>
      <c r="AA160" s="2472" t="s">
        <v>5392</v>
      </c>
      <c r="AB160" s="2623" t="s">
        <v>5393</v>
      </c>
      <c r="AC160" s="1547"/>
      <c r="AZ160" s="1547"/>
      <c r="BA160" s="1547"/>
    </row>
    <row r="161" spans="1:107" ht="16.350000000000001" customHeight="1" x14ac:dyDescent="0.3">
      <c r="A161" s="7266"/>
      <c r="B161" s="8852" t="s">
        <v>1419</v>
      </c>
      <c r="C161" s="8853"/>
      <c r="D161" s="838">
        <f>SUM(D151:D160)</f>
        <v>0</v>
      </c>
      <c r="E161" s="840">
        <f>SUM(E151:E160)</f>
        <v>0</v>
      </c>
      <c r="F161" s="839">
        <f>SUM(F151:F160)</f>
        <v>0</v>
      </c>
      <c r="G161" s="2624">
        <f>SUM(G151:G160)</f>
        <v>0</v>
      </c>
      <c r="H161" s="2617">
        <f t="shared" ref="H161:AB161" si="4">SUM(H151:H160)</f>
        <v>0</v>
      </c>
      <c r="I161" s="2624">
        <f t="shared" si="4"/>
        <v>0</v>
      </c>
      <c r="J161" s="2617">
        <f t="shared" si="4"/>
        <v>0</v>
      </c>
      <c r="K161" s="2624">
        <f t="shared" si="4"/>
        <v>0</v>
      </c>
      <c r="L161" s="2617">
        <f t="shared" si="4"/>
        <v>0</v>
      </c>
      <c r="M161" s="2624">
        <f t="shared" si="4"/>
        <v>0</v>
      </c>
      <c r="N161" s="2617">
        <f t="shared" si="4"/>
        <v>0</v>
      </c>
      <c r="O161" s="2624">
        <f t="shared" si="4"/>
        <v>0</v>
      </c>
      <c r="P161" s="2617">
        <f t="shared" si="4"/>
        <v>0</v>
      </c>
      <c r="Q161" s="2624">
        <f t="shared" si="4"/>
        <v>0</v>
      </c>
      <c r="R161" s="2617">
        <f t="shared" si="4"/>
        <v>0</v>
      </c>
      <c r="S161" s="2624">
        <f t="shared" si="4"/>
        <v>0</v>
      </c>
      <c r="T161" s="2617">
        <f t="shared" si="4"/>
        <v>0</v>
      </c>
      <c r="U161" s="2624">
        <f t="shared" si="4"/>
        <v>0</v>
      </c>
      <c r="V161" s="2617">
        <f t="shared" si="4"/>
        <v>0</v>
      </c>
      <c r="W161" s="2624">
        <f t="shared" si="4"/>
        <v>0</v>
      </c>
      <c r="X161" s="2617">
        <f t="shared" si="4"/>
        <v>0</v>
      </c>
      <c r="Y161" s="2624">
        <f t="shared" si="4"/>
        <v>0</v>
      </c>
      <c r="Z161" s="2617">
        <f t="shared" si="4"/>
        <v>0</v>
      </c>
      <c r="AA161" s="2625">
        <f t="shared" si="4"/>
        <v>0</v>
      </c>
      <c r="AB161" s="2618">
        <f t="shared" si="4"/>
        <v>0</v>
      </c>
      <c r="AC161" s="1547"/>
      <c r="AZ161" s="1547"/>
      <c r="BA161" s="1547"/>
    </row>
    <row r="162" spans="1:107" ht="31.35" customHeight="1" x14ac:dyDescent="0.3">
      <c r="B162" s="365" t="s">
        <v>1418</v>
      </c>
      <c r="C162" s="477"/>
      <c r="D162" s="477"/>
      <c r="E162" s="477"/>
      <c r="F162" s="153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801"/>
      <c r="AB162" s="801"/>
      <c r="BB162" s="1191"/>
      <c r="BC162" s="1191"/>
      <c r="BD162" s="1191"/>
      <c r="BE162" s="1191"/>
      <c r="BF162" s="1191"/>
      <c r="BG162" s="1191"/>
      <c r="BH162" s="1191"/>
      <c r="BI162" s="1191"/>
      <c r="BJ162" s="1191"/>
      <c r="BK162" s="1191"/>
      <c r="BL162" s="1191"/>
      <c r="BM162" s="1191"/>
      <c r="BN162" s="1191"/>
      <c r="BO162" s="1191"/>
      <c r="BP162" s="1191"/>
      <c r="BQ162" s="1191"/>
      <c r="BR162" s="1191"/>
      <c r="BS162" s="1191"/>
      <c r="BT162" s="1191"/>
    </row>
    <row r="163" spans="1:107" ht="16.350000000000001" customHeight="1" x14ac:dyDescent="0.3">
      <c r="B163" s="8597" t="s">
        <v>1417</v>
      </c>
      <c r="C163" s="8613"/>
      <c r="D163" s="8713" t="s">
        <v>24</v>
      </c>
      <c r="E163" s="8597"/>
      <c r="F163" s="8613"/>
      <c r="G163" s="8720" t="s">
        <v>2</v>
      </c>
      <c r="H163" s="8721"/>
      <c r="I163" s="8721"/>
      <c r="J163" s="8721"/>
      <c r="K163" s="8721"/>
      <c r="L163" s="8721"/>
      <c r="M163" s="8721"/>
      <c r="N163" s="8721"/>
      <c r="O163" s="8721"/>
      <c r="P163" s="8721"/>
      <c r="Q163" s="8721"/>
      <c r="R163" s="8721"/>
      <c r="S163" s="8721"/>
      <c r="T163" s="8721"/>
      <c r="U163" s="8721"/>
      <c r="V163" s="8721"/>
      <c r="W163" s="8721"/>
      <c r="X163" s="8721"/>
      <c r="Y163" s="8721"/>
      <c r="Z163" s="8721"/>
      <c r="AA163" s="8721"/>
      <c r="AB163" s="8721"/>
      <c r="AC163" s="8721"/>
      <c r="AD163" s="8721"/>
      <c r="AE163" s="8721"/>
      <c r="AF163" s="8721"/>
      <c r="AG163" s="8721"/>
      <c r="AH163" s="8721"/>
      <c r="AI163" s="8721"/>
      <c r="AJ163" s="8721"/>
      <c r="AK163" s="8721"/>
      <c r="AL163" s="8721"/>
      <c r="AM163" s="8721"/>
      <c r="AN163" s="8722"/>
      <c r="AZ163" s="1547"/>
      <c r="BA163" s="1547"/>
    </row>
    <row r="164" spans="1:107" ht="16.350000000000001" customHeight="1" x14ac:dyDescent="0.3">
      <c r="B164" s="8560"/>
      <c r="C164" s="8622"/>
      <c r="D164" s="8714"/>
      <c r="E164" s="8598"/>
      <c r="F164" s="8715"/>
      <c r="G164" s="8720" t="s">
        <v>1416</v>
      </c>
      <c r="H164" s="8722"/>
      <c r="I164" s="8720" t="s">
        <v>1415</v>
      </c>
      <c r="J164" s="8722"/>
      <c r="K164" s="8720" t="s">
        <v>32</v>
      </c>
      <c r="L164" s="8722"/>
      <c r="M164" s="8840" t="s">
        <v>33</v>
      </c>
      <c r="N164" s="8855"/>
      <c r="O164" s="8855" t="s">
        <v>40</v>
      </c>
      <c r="P164" s="8712"/>
      <c r="Q164" s="8720" t="s">
        <v>115</v>
      </c>
      <c r="R164" s="8722"/>
      <c r="S164" s="8721" t="s">
        <v>116</v>
      </c>
      <c r="T164" s="8722"/>
      <c r="U164" s="8721" t="s">
        <v>117</v>
      </c>
      <c r="V164" s="8722"/>
      <c r="W164" s="8720" t="s">
        <v>118</v>
      </c>
      <c r="X164" s="8722"/>
      <c r="Y164" s="8721" t="s">
        <v>119</v>
      </c>
      <c r="Z164" s="8722"/>
      <c r="AA164" s="8752" t="s">
        <v>120</v>
      </c>
      <c r="AB164" s="8753"/>
      <c r="AC164" s="8752" t="s">
        <v>1414</v>
      </c>
      <c r="AD164" s="8753"/>
      <c r="AE164" s="8752" t="s">
        <v>1406</v>
      </c>
      <c r="AF164" s="8753"/>
      <c r="AG164" s="8752" t="s">
        <v>1397</v>
      </c>
      <c r="AH164" s="8753"/>
      <c r="AI164" s="8752" t="s">
        <v>1396</v>
      </c>
      <c r="AJ164" s="8753"/>
      <c r="AK164" s="8752" t="s">
        <v>1395</v>
      </c>
      <c r="AL164" s="8753"/>
      <c r="AM164" s="8856" t="s">
        <v>1405</v>
      </c>
      <c r="AN164" s="8753"/>
      <c r="AZ164" s="1547"/>
      <c r="BA164" s="1547"/>
    </row>
    <row r="165" spans="1:107" ht="16.350000000000001" customHeight="1" x14ac:dyDescent="0.3">
      <c r="B165" s="8598"/>
      <c r="C165" s="8715"/>
      <c r="D165" s="831" t="s">
        <v>42</v>
      </c>
      <c r="E165" s="595" t="s">
        <v>17</v>
      </c>
      <c r="F165" s="2093" t="s">
        <v>18</v>
      </c>
      <c r="G165" s="2593" t="s">
        <v>17</v>
      </c>
      <c r="H165" s="2114" t="s">
        <v>18</v>
      </c>
      <c r="I165" s="2593" t="s">
        <v>17</v>
      </c>
      <c r="J165" s="2114" t="s">
        <v>18</v>
      </c>
      <c r="K165" s="2593" t="s">
        <v>17</v>
      </c>
      <c r="L165" s="2114" t="s">
        <v>18</v>
      </c>
      <c r="M165" s="2653" t="s">
        <v>17</v>
      </c>
      <c r="N165" s="2592" t="s">
        <v>18</v>
      </c>
      <c r="O165" s="2654" t="s">
        <v>17</v>
      </c>
      <c r="P165" s="2655" t="s">
        <v>18</v>
      </c>
      <c r="Q165" s="2654" t="s">
        <v>17</v>
      </c>
      <c r="R165" s="2655" t="s">
        <v>18</v>
      </c>
      <c r="S165" s="2656" t="s">
        <v>17</v>
      </c>
      <c r="T165" s="2657" t="s">
        <v>18</v>
      </c>
      <c r="U165" s="2656" t="s">
        <v>17</v>
      </c>
      <c r="V165" s="2657" t="s">
        <v>18</v>
      </c>
      <c r="W165" s="2653" t="s">
        <v>17</v>
      </c>
      <c r="X165" s="2657" t="s">
        <v>18</v>
      </c>
      <c r="Y165" s="2656" t="s">
        <v>17</v>
      </c>
      <c r="Z165" s="2657" t="s">
        <v>18</v>
      </c>
      <c r="AA165" s="2658" t="s">
        <v>17</v>
      </c>
      <c r="AB165" s="2659" t="s">
        <v>18</v>
      </c>
      <c r="AC165" s="2658" t="s">
        <v>17</v>
      </c>
      <c r="AD165" s="2659" t="s">
        <v>18</v>
      </c>
      <c r="AE165" s="2658" t="s">
        <v>17</v>
      </c>
      <c r="AF165" s="2659" t="s">
        <v>18</v>
      </c>
      <c r="AG165" s="2658" t="s">
        <v>17</v>
      </c>
      <c r="AH165" s="2659" t="s">
        <v>18</v>
      </c>
      <c r="AI165" s="2658" t="s">
        <v>17</v>
      </c>
      <c r="AJ165" s="2659" t="s">
        <v>18</v>
      </c>
      <c r="AK165" s="2658" t="s">
        <v>17</v>
      </c>
      <c r="AL165" s="2659" t="s">
        <v>18</v>
      </c>
      <c r="AM165" s="2660" t="s">
        <v>17</v>
      </c>
      <c r="AN165" s="2659" t="s">
        <v>18</v>
      </c>
      <c r="AZ165" s="1547"/>
      <c r="BA165" s="1547"/>
    </row>
    <row r="166" spans="1:107" ht="16.350000000000001" customHeight="1" x14ac:dyDescent="0.3">
      <c r="A166" s="7263" t="s">
        <v>4178</v>
      </c>
      <c r="B166" s="8867" t="s">
        <v>1413</v>
      </c>
      <c r="C166" s="834" t="s">
        <v>1411</v>
      </c>
      <c r="D166" s="830" t="s">
        <v>5369</v>
      </c>
      <c r="E166" s="1333" t="s">
        <v>5370</v>
      </c>
      <c r="F166" s="829" t="s">
        <v>5371</v>
      </c>
      <c r="G166" s="2661" t="s">
        <v>5372</v>
      </c>
      <c r="H166" s="2461" t="s">
        <v>5373</v>
      </c>
      <c r="I166" s="2661" t="s">
        <v>5374</v>
      </c>
      <c r="J166" s="2461" t="s">
        <v>5375</v>
      </c>
      <c r="K166" s="2661" t="s">
        <v>5376</v>
      </c>
      <c r="L166" s="2461" t="s">
        <v>5377</v>
      </c>
      <c r="M166" s="2661" t="s">
        <v>5378</v>
      </c>
      <c r="N166" s="2456" t="s">
        <v>5379</v>
      </c>
      <c r="O166" s="2456" t="s">
        <v>5380</v>
      </c>
      <c r="P166" s="2461" t="s">
        <v>5381</v>
      </c>
      <c r="Q166" s="2661" t="s">
        <v>5382</v>
      </c>
      <c r="R166" s="2461" t="s">
        <v>5383</v>
      </c>
      <c r="S166" s="2662" t="s">
        <v>5384</v>
      </c>
      <c r="T166" s="2461" t="s">
        <v>5385</v>
      </c>
      <c r="U166" s="2662" t="s">
        <v>5386</v>
      </c>
      <c r="V166" s="2461" t="s">
        <v>5387</v>
      </c>
      <c r="W166" s="2661" t="s">
        <v>5388</v>
      </c>
      <c r="X166" s="2461" t="s">
        <v>5389</v>
      </c>
      <c r="Y166" s="2662" t="s">
        <v>5390</v>
      </c>
      <c r="Z166" s="2461" t="s">
        <v>5391</v>
      </c>
      <c r="AA166" s="2663" t="s">
        <v>5392</v>
      </c>
      <c r="AB166" s="2470" t="s">
        <v>5393</v>
      </c>
      <c r="AC166" s="2663" t="s">
        <v>5394</v>
      </c>
      <c r="AD166" s="2470" t="s">
        <v>5395</v>
      </c>
      <c r="AE166" s="2663" t="s">
        <v>5396</v>
      </c>
      <c r="AF166" s="2470" t="s">
        <v>5397</v>
      </c>
      <c r="AG166" s="2663" t="s">
        <v>5398</v>
      </c>
      <c r="AH166" s="2470" t="s">
        <v>5399</v>
      </c>
      <c r="AI166" s="2663" t="s">
        <v>5400</v>
      </c>
      <c r="AJ166" s="2470" t="s">
        <v>5401</v>
      </c>
      <c r="AK166" s="2663" t="s">
        <v>5402</v>
      </c>
      <c r="AL166" s="2470" t="s">
        <v>5403</v>
      </c>
      <c r="AM166" s="2663" t="s">
        <v>5404</v>
      </c>
      <c r="AN166" s="2470" t="s">
        <v>5405</v>
      </c>
      <c r="AO166" s="1547"/>
      <c r="AZ166" s="1547"/>
      <c r="BA166" s="1547"/>
    </row>
    <row r="167" spans="1:107" ht="16.350000000000001" customHeight="1" x14ac:dyDescent="0.3">
      <c r="A167" s="7263" t="s">
        <v>4179</v>
      </c>
      <c r="B167" s="8868"/>
      <c r="C167" s="135" t="s">
        <v>1410</v>
      </c>
      <c r="D167" s="2171" t="s">
        <v>5369</v>
      </c>
      <c r="E167" s="2172" t="s">
        <v>5370</v>
      </c>
      <c r="F167" s="163" t="s">
        <v>5371</v>
      </c>
      <c r="G167" s="2492" t="s">
        <v>5372</v>
      </c>
      <c r="H167" s="2495" t="s">
        <v>5373</v>
      </c>
      <c r="I167" s="2492" t="s">
        <v>5374</v>
      </c>
      <c r="J167" s="2495" t="s">
        <v>5375</v>
      </c>
      <c r="K167" s="2492" t="s">
        <v>5376</v>
      </c>
      <c r="L167" s="2495" t="s">
        <v>5377</v>
      </c>
      <c r="M167" s="2492" t="s">
        <v>5378</v>
      </c>
      <c r="N167" s="2493" t="s">
        <v>5379</v>
      </c>
      <c r="O167" s="2493" t="s">
        <v>5380</v>
      </c>
      <c r="P167" s="2495" t="s">
        <v>5381</v>
      </c>
      <c r="Q167" s="2492" t="s">
        <v>5382</v>
      </c>
      <c r="R167" s="2495" t="s">
        <v>5383</v>
      </c>
      <c r="S167" s="2491" t="s">
        <v>5384</v>
      </c>
      <c r="T167" s="2495" t="s">
        <v>5385</v>
      </c>
      <c r="U167" s="2491" t="s">
        <v>5386</v>
      </c>
      <c r="V167" s="2495" t="s">
        <v>5387</v>
      </c>
      <c r="W167" s="2492" t="s">
        <v>5388</v>
      </c>
      <c r="X167" s="2495" t="s">
        <v>5389</v>
      </c>
      <c r="Y167" s="2491" t="s">
        <v>5390</v>
      </c>
      <c r="Z167" s="2495" t="s">
        <v>5391</v>
      </c>
      <c r="AA167" s="2530" t="s">
        <v>5392</v>
      </c>
      <c r="AB167" s="2531" t="s">
        <v>5393</v>
      </c>
      <c r="AC167" s="2530" t="s">
        <v>5394</v>
      </c>
      <c r="AD167" s="2531" t="s">
        <v>5395</v>
      </c>
      <c r="AE167" s="2530" t="s">
        <v>5396</v>
      </c>
      <c r="AF167" s="2531" t="s">
        <v>5397</v>
      </c>
      <c r="AG167" s="2530" t="s">
        <v>5398</v>
      </c>
      <c r="AH167" s="2531" t="s">
        <v>5399</v>
      </c>
      <c r="AI167" s="2530" t="s">
        <v>5400</v>
      </c>
      <c r="AJ167" s="2531" t="s">
        <v>5401</v>
      </c>
      <c r="AK167" s="2530" t="s">
        <v>5402</v>
      </c>
      <c r="AL167" s="2531" t="s">
        <v>5403</v>
      </c>
      <c r="AM167" s="2530" t="s">
        <v>5404</v>
      </c>
      <c r="AN167" s="2531" t="s">
        <v>5405</v>
      </c>
      <c r="AO167" s="1547"/>
      <c r="AZ167" s="1547"/>
      <c r="BA167" s="1547"/>
    </row>
    <row r="168" spans="1:107" ht="16.350000000000001" customHeight="1" x14ac:dyDescent="0.3">
      <c r="A168" s="7263" t="s">
        <v>4180</v>
      </c>
      <c r="B168" s="8869"/>
      <c r="C168" s="2150" t="s">
        <v>1409</v>
      </c>
      <c r="D168" s="837" t="s">
        <v>5369</v>
      </c>
      <c r="E168" s="836" t="s">
        <v>5370</v>
      </c>
      <c r="F168" s="835" t="s">
        <v>5371</v>
      </c>
      <c r="G168" s="2465" t="s">
        <v>5372</v>
      </c>
      <c r="H168" s="2496" t="s">
        <v>5373</v>
      </c>
      <c r="I168" s="2465" t="s">
        <v>5374</v>
      </c>
      <c r="J168" s="2496" t="s">
        <v>5375</v>
      </c>
      <c r="K168" s="2465" t="s">
        <v>5376</v>
      </c>
      <c r="L168" s="2496" t="s">
        <v>5377</v>
      </c>
      <c r="M168" s="2465" t="s">
        <v>5378</v>
      </c>
      <c r="N168" s="2494" t="s">
        <v>5379</v>
      </c>
      <c r="O168" s="2494" t="s">
        <v>5380</v>
      </c>
      <c r="P168" s="2496" t="s">
        <v>5381</v>
      </c>
      <c r="Q168" s="2465" t="s">
        <v>5382</v>
      </c>
      <c r="R168" s="2496" t="s">
        <v>5383</v>
      </c>
      <c r="S168" s="2477" t="s">
        <v>5384</v>
      </c>
      <c r="T168" s="2496" t="s">
        <v>5385</v>
      </c>
      <c r="U168" s="2477" t="s">
        <v>5386</v>
      </c>
      <c r="V168" s="2496" t="s">
        <v>5387</v>
      </c>
      <c r="W168" s="2465" t="s">
        <v>5388</v>
      </c>
      <c r="X168" s="2496" t="s">
        <v>5389</v>
      </c>
      <c r="Y168" s="2477" t="s">
        <v>5390</v>
      </c>
      <c r="Z168" s="2496" t="s">
        <v>5391</v>
      </c>
      <c r="AA168" s="2471" t="s">
        <v>5392</v>
      </c>
      <c r="AB168" s="2532" t="s">
        <v>5393</v>
      </c>
      <c r="AC168" s="2471" t="s">
        <v>5394</v>
      </c>
      <c r="AD168" s="2532" t="s">
        <v>5395</v>
      </c>
      <c r="AE168" s="2471" t="s">
        <v>5396</v>
      </c>
      <c r="AF168" s="2532" t="s">
        <v>5397</v>
      </c>
      <c r="AG168" s="2471" t="s">
        <v>5398</v>
      </c>
      <c r="AH168" s="2532" t="s">
        <v>5399</v>
      </c>
      <c r="AI168" s="2471" t="s">
        <v>5400</v>
      </c>
      <c r="AJ168" s="2532" t="s">
        <v>5401</v>
      </c>
      <c r="AK168" s="2471" t="s">
        <v>5402</v>
      </c>
      <c r="AL168" s="2532" t="s">
        <v>5403</v>
      </c>
      <c r="AM168" s="2471" t="s">
        <v>5404</v>
      </c>
      <c r="AN168" s="2532" t="s">
        <v>5405</v>
      </c>
      <c r="AO168" s="1547"/>
      <c r="AZ168" s="1547"/>
      <c r="BA168" s="1547"/>
    </row>
    <row r="169" spans="1:107" ht="16.350000000000001" customHeight="1" x14ac:dyDescent="0.3">
      <c r="A169" s="7263" t="s">
        <v>4181</v>
      </c>
      <c r="B169" s="8867" t="s">
        <v>1412</v>
      </c>
      <c r="C169" s="834" t="s">
        <v>1411</v>
      </c>
      <c r="D169" s="830" t="s">
        <v>5369</v>
      </c>
      <c r="E169" s="1333" t="s">
        <v>5370</v>
      </c>
      <c r="F169" s="829" t="s">
        <v>5371</v>
      </c>
      <c r="G169" s="2661" t="s">
        <v>5372</v>
      </c>
      <c r="H169" s="2461" t="s">
        <v>5373</v>
      </c>
      <c r="I169" s="2661" t="s">
        <v>5374</v>
      </c>
      <c r="J169" s="2461" t="s">
        <v>5375</v>
      </c>
      <c r="K169" s="2661" t="s">
        <v>5376</v>
      </c>
      <c r="L169" s="2461" t="s">
        <v>5377</v>
      </c>
      <c r="M169" s="2661" t="s">
        <v>5378</v>
      </c>
      <c r="N169" s="2456" t="s">
        <v>5379</v>
      </c>
      <c r="O169" s="2456" t="s">
        <v>5380</v>
      </c>
      <c r="P169" s="2461" t="s">
        <v>5381</v>
      </c>
      <c r="Q169" s="2661" t="s">
        <v>5382</v>
      </c>
      <c r="R169" s="2461" t="s">
        <v>5383</v>
      </c>
      <c r="S169" s="2662" t="s">
        <v>5384</v>
      </c>
      <c r="T169" s="2461" t="s">
        <v>5385</v>
      </c>
      <c r="U169" s="2662" t="s">
        <v>5386</v>
      </c>
      <c r="V169" s="2461" t="s">
        <v>5387</v>
      </c>
      <c r="W169" s="2661" t="s">
        <v>5388</v>
      </c>
      <c r="X169" s="2461" t="s">
        <v>5389</v>
      </c>
      <c r="Y169" s="2662" t="s">
        <v>5390</v>
      </c>
      <c r="Z169" s="2461" t="s">
        <v>5391</v>
      </c>
      <c r="AA169" s="2663" t="s">
        <v>5392</v>
      </c>
      <c r="AB169" s="2470" t="s">
        <v>5393</v>
      </c>
      <c r="AC169" s="2663" t="s">
        <v>5394</v>
      </c>
      <c r="AD169" s="2470" t="s">
        <v>5395</v>
      </c>
      <c r="AE169" s="2663" t="s">
        <v>5396</v>
      </c>
      <c r="AF169" s="2470" t="s">
        <v>5397</v>
      </c>
      <c r="AG169" s="2663" t="s">
        <v>5398</v>
      </c>
      <c r="AH169" s="2470" t="s">
        <v>5399</v>
      </c>
      <c r="AI169" s="2663" t="s">
        <v>5400</v>
      </c>
      <c r="AJ169" s="2470" t="s">
        <v>5401</v>
      </c>
      <c r="AK169" s="2663" t="s">
        <v>5402</v>
      </c>
      <c r="AL169" s="2470" t="s">
        <v>5403</v>
      </c>
      <c r="AM169" s="2663" t="s">
        <v>5404</v>
      </c>
      <c r="AN169" s="2470" t="s">
        <v>5405</v>
      </c>
      <c r="AO169" s="1547"/>
      <c r="AZ169" s="1547"/>
      <c r="BA169" s="1547"/>
    </row>
    <row r="170" spans="1:107" ht="16.350000000000001" customHeight="1" x14ac:dyDescent="0.3">
      <c r="A170" s="7263" t="s">
        <v>4182</v>
      </c>
      <c r="B170" s="8868"/>
      <c r="C170" s="135" t="s">
        <v>1410</v>
      </c>
      <c r="D170" s="2171" t="s">
        <v>5369</v>
      </c>
      <c r="E170" s="2172" t="s">
        <v>5370</v>
      </c>
      <c r="F170" s="163" t="s">
        <v>5371</v>
      </c>
      <c r="G170" s="2492" t="s">
        <v>5372</v>
      </c>
      <c r="H170" s="2495" t="s">
        <v>5373</v>
      </c>
      <c r="I170" s="2492" t="s">
        <v>5374</v>
      </c>
      <c r="J170" s="2495" t="s">
        <v>5375</v>
      </c>
      <c r="K170" s="2492" t="s">
        <v>5376</v>
      </c>
      <c r="L170" s="2495" t="s">
        <v>5377</v>
      </c>
      <c r="M170" s="2492" t="s">
        <v>5378</v>
      </c>
      <c r="N170" s="2493" t="s">
        <v>5379</v>
      </c>
      <c r="O170" s="2493" t="s">
        <v>5380</v>
      </c>
      <c r="P170" s="2495" t="s">
        <v>5381</v>
      </c>
      <c r="Q170" s="2492" t="s">
        <v>5382</v>
      </c>
      <c r="R170" s="2495" t="s">
        <v>5383</v>
      </c>
      <c r="S170" s="2491" t="s">
        <v>5384</v>
      </c>
      <c r="T170" s="2495" t="s">
        <v>5385</v>
      </c>
      <c r="U170" s="2491" t="s">
        <v>5386</v>
      </c>
      <c r="V170" s="2495" t="s">
        <v>5387</v>
      </c>
      <c r="W170" s="2492" t="s">
        <v>5388</v>
      </c>
      <c r="X170" s="2495" t="s">
        <v>5389</v>
      </c>
      <c r="Y170" s="2491" t="s">
        <v>5390</v>
      </c>
      <c r="Z170" s="2495" t="s">
        <v>5391</v>
      </c>
      <c r="AA170" s="2530" t="s">
        <v>5392</v>
      </c>
      <c r="AB170" s="2531" t="s">
        <v>5393</v>
      </c>
      <c r="AC170" s="2530" t="s">
        <v>5394</v>
      </c>
      <c r="AD170" s="2531" t="s">
        <v>5395</v>
      </c>
      <c r="AE170" s="2530" t="s">
        <v>5396</v>
      </c>
      <c r="AF170" s="2531" t="s">
        <v>5397</v>
      </c>
      <c r="AG170" s="2530" t="s">
        <v>5398</v>
      </c>
      <c r="AH170" s="2531" t="s">
        <v>5399</v>
      </c>
      <c r="AI170" s="2530" t="s">
        <v>5400</v>
      </c>
      <c r="AJ170" s="2531" t="s">
        <v>5401</v>
      </c>
      <c r="AK170" s="2530" t="s">
        <v>5402</v>
      </c>
      <c r="AL170" s="2531" t="s">
        <v>5403</v>
      </c>
      <c r="AM170" s="2530" t="s">
        <v>5404</v>
      </c>
      <c r="AN170" s="2531" t="s">
        <v>5405</v>
      </c>
      <c r="AO170" s="1547"/>
      <c r="AZ170" s="1547"/>
      <c r="BA170" s="1547"/>
    </row>
    <row r="171" spans="1:107" ht="16.350000000000001" customHeight="1" x14ac:dyDescent="0.3">
      <c r="A171" s="7263" t="s">
        <v>4183</v>
      </c>
      <c r="B171" s="8869"/>
      <c r="C171" s="2150" t="s">
        <v>1409</v>
      </c>
      <c r="D171" s="837" t="s">
        <v>5369</v>
      </c>
      <c r="E171" s="836" t="s">
        <v>5370</v>
      </c>
      <c r="F171" s="835" t="s">
        <v>5371</v>
      </c>
      <c r="G171" s="2465" t="s">
        <v>5372</v>
      </c>
      <c r="H171" s="2496" t="s">
        <v>5373</v>
      </c>
      <c r="I171" s="2465" t="s">
        <v>5374</v>
      </c>
      <c r="J171" s="2496" t="s">
        <v>5375</v>
      </c>
      <c r="K171" s="2465" t="s">
        <v>5376</v>
      </c>
      <c r="L171" s="2496" t="s">
        <v>5377</v>
      </c>
      <c r="M171" s="2465" t="s">
        <v>5378</v>
      </c>
      <c r="N171" s="2494" t="s">
        <v>5379</v>
      </c>
      <c r="O171" s="2494" t="s">
        <v>5380</v>
      </c>
      <c r="P171" s="2496" t="s">
        <v>5381</v>
      </c>
      <c r="Q171" s="2465" t="s">
        <v>5382</v>
      </c>
      <c r="R171" s="2496" t="s">
        <v>5383</v>
      </c>
      <c r="S171" s="2477" t="s">
        <v>5384</v>
      </c>
      <c r="T171" s="2496" t="s">
        <v>5385</v>
      </c>
      <c r="U171" s="2477" t="s">
        <v>5386</v>
      </c>
      <c r="V171" s="2496" t="s">
        <v>5387</v>
      </c>
      <c r="W171" s="2465" t="s">
        <v>5388</v>
      </c>
      <c r="X171" s="2496" t="s">
        <v>5389</v>
      </c>
      <c r="Y171" s="2477" t="s">
        <v>5390</v>
      </c>
      <c r="Z171" s="2496" t="s">
        <v>5391</v>
      </c>
      <c r="AA171" s="2471" t="s">
        <v>5392</v>
      </c>
      <c r="AB171" s="2532" t="s">
        <v>5393</v>
      </c>
      <c r="AC171" s="2471" t="s">
        <v>5394</v>
      </c>
      <c r="AD171" s="2532" t="s">
        <v>5395</v>
      </c>
      <c r="AE171" s="2471" t="s">
        <v>5396</v>
      </c>
      <c r="AF171" s="2532" t="s">
        <v>5397</v>
      </c>
      <c r="AG171" s="2471" t="s">
        <v>5398</v>
      </c>
      <c r="AH171" s="2532" t="s">
        <v>5399</v>
      </c>
      <c r="AI171" s="2471" t="s">
        <v>5400</v>
      </c>
      <c r="AJ171" s="2532" t="s">
        <v>5401</v>
      </c>
      <c r="AK171" s="2471" t="s">
        <v>5402</v>
      </c>
      <c r="AL171" s="2532" t="s">
        <v>5403</v>
      </c>
      <c r="AM171" s="2471" t="s">
        <v>5404</v>
      </c>
      <c r="AN171" s="2532" t="s">
        <v>5405</v>
      </c>
      <c r="AO171" s="1547"/>
      <c r="AZ171" s="1547"/>
      <c r="BA171" s="1547"/>
    </row>
    <row r="172" spans="1:107" ht="31.35" customHeight="1" x14ac:dyDescent="0.3">
      <c r="B172" s="365" t="s">
        <v>1408</v>
      </c>
      <c r="C172" s="365"/>
      <c r="D172" s="365"/>
      <c r="E172" s="365"/>
      <c r="F172" s="72"/>
      <c r="G172" s="72"/>
      <c r="H172" s="72"/>
      <c r="I172" s="72"/>
      <c r="J172" s="72"/>
      <c r="K172" s="72"/>
      <c r="L172" s="72"/>
      <c r="M172" s="72"/>
      <c r="N172" s="169"/>
      <c r="O172" s="801"/>
      <c r="P172" s="801"/>
      <c r="Q172" s="801"/>
      <c r="R172" s="801"/>
      <c r="S172" s="801"/>
      <c r="T172" s="801"/>
      <c r="U172" s="801"/>
      <c r="V172" s="801"/>
      <c r="W172" s="801"/>
      <c r="X172" s="801"/>
      <c r="Y172" s="801"/>
      <c r="Z172" s="801"/>
      <c r="AA172" s="801"/>
      <c r="AB172" s="801"/>
      <c r="BB172" s="1191"/>
      <c r="BC172" s="1191"/>
      <c r="BD172" s="1191"/>
      <c r="BE172" s="1191"/>
      <c r="BF172" s="1191"/>
      <c r="BG172" s="1191"/>
      <c r="BH172" s="1191"/>
      <c r="BI172" s="1191"/>
      <c r="BJ172" s="1191"/>
      <c r="BK172" s="1191"/>
      <c r="BL172" s="1191"/>
      <c r="BM172" s="1191"/>
      <c r="BN172" s="1191"/>
      <c r="BO172" s="1191"/>
      <c r="BP172" s="1191"/>
      <c r="BQ172" s="1191"/>
      <c r="BR172" s="1191"/>
      <c r="BS172" s="1191"/>
      <c r="BT172" s="1191"/>
    </row>
    <row r="173" spans="1:107" ht="16.350000000000001" customHeight="1" x14ac:dyDescent="0.3">
      <c r="B173" s="8821" t="s">
        <v>41</v>
      </c>
      <c r="C173" s="8821" t="s">
        <v>1407</v>
      </c>
      <c r="D173" s="8713" t="s">
        <v>24</v>
      </c>
      <c r="E173" s="8597"/>
      <c r="F173" s="8613"/>
      <c r="G173" s="8720" t="s">
        <v>2</v>
      </c>
      <c r="H173" s="8721"/>
      <c r="I173" s="8721"/>
      <c r="J173" s="8721"/>
      <c r="K173" s="8721"/>
      <c r="L173" s="8721"/>
      <c r="M173" s="8721"/>
      <c r="N173" s="8721"/>
      <c r="O173" s="8721"/>
      <c r="P173" s="8722"/>
      <c r="Q173" s="801"/>
      <c r="R173" s="801"/>
      <c r="S173" s="801"/>
      <c r="T173" s="801"/>
      <c r="U173" s="801"/>
      <c r="V173" s="801"/>
      <c r="W173" s="801"/>
      <c r="X173" s="801"/>
      <c r="Y173" s="801"/>
      <c r="Z173" s="801"/>
      <c r="AZ173" s="1547"/>
      <c r="BA173" s="1547"/>
    </row>
    <row r="174" spans="1:107" ht="16.350000000000001" customHeight="1" x14ac:dyDescent="0.3">
      <c r="B174" s="8555"/>
      <c r="C174" s="8555"/>
      <c r="D174" s="8714"/>
      <c r="E174" s="8598"/>
      <c r="F174" s="8715"/>
      <c r="G174" s="8720" t="s">
        <v>1406</v>
      </c>
      <c r="H174" s="8722"/>
      <c r="I174" s="8720" t="s">
        <v>1397</v>
      </c>
      <c r="J174" s="8722"/>
      <c r="K174" s="8720" t="s">
        <v>1396</v>
      </c>
      <c r="L174" s="8722"/>
      <c r="M174" s="8720" t="s">
        <v>1395</v>
      </c>
      <c r="N174" s="8722"/>
      <c r="O174" s="8720" t="s">
        <v>1405</v>
      </c>
      <c r="P174" s="8722"/>
      <c r="Q174" s="288"/>
      <c r="R174" s="801"/>
      <c r="S174" s="801"/>
      <c r="T174" s="801"/>
      <c r="U174" s="801"/>
      <c r="V174" s="801"/>
      <c r="W174" s="801"/>
      <c r="X174" s="801"/>
      <c r="Y174" s="801"/>
      <c r="Z174" s="801"/>
      <c r="AZ174" s="1547"/>
      <c r="BA174" s="1547"/>
    </row>
    <row r="175" spans="1:107" ht="16.350000000000001" customHeight="1" x14ac:dyDescent="0.3">
      <c r="B175" s="8822"/>
      <c r="C175" s="8822"/>
      <c r="D175" s="831" t="s">
        <v>42</v>
      </c>
      <c r="E175" s="595" t="s">
        <v>17</v>
      </c>
      <c r="F175" s="2093" t="s">
        <v>18</v>
      </c>
      <c r="G175" s="2664" t="s">
        <v>17</v>
      </c>
      <c r="H175" s="2114" t="s">
        <v>18</v>
      </c>
      <c r="I175" s="2664" t="s">
        <v>17</v>
      </c>
      <c r="J175" s="2114" t="s">
        <v>18</v>
      </c>
      <c r="K175" s="2664" t="s">
        <v>17</v>
      </c>
      <c r="L175" s="2114" t="s">
        <v>18</v>
      </c>
      <c r="M175" s="2664" t="s">
        <v>17</v>
      </c>
      <c r="N175" s="2114" t="s">
        <v>18</v>
      </c>
      <c r="O175" s="2664" t="s">
        <v>17</v>
      </c>
      <c r="P175" s="2114" t="s">
        <v>18</v>
      </c>
      <c r="Q175" s="801"/>
      <c r="R175" s="801"/>
      <c r="S175" s="801"/>
      <c r="T175" s="801"/>
      <c r="U175" s="801"/>
      <c r="V175" s="801"/>
      <c r="W175" s="801"/>
      <c r="X175" s="801"/>
      <c r="Y175" s="801"/>
      <c r="Z175" s="801"/>
      <c r="AZ175" s="1547"/>
      <c r="BA175" s="1547"/>
    </row>
    <row r="176" spans="1:107" ht="16.350000000000001" customHeight="1" x14ac:dyDescent="0.3">
      <c r="A176" s="7258" t="s">
        <v>4184</v>
      </c>
      <c r="B176" s="8821" t="s">
        <v>1404</v>
      </c>
      <c r="C176" s="834" t="s">
        <v>1402</v>
      </c>
      <c r="D176" s="830" t="s">
        <v>5369</v>
      </c>
      <c r="E176" s="1333" t="s">
        <v>5370</v>
      </c>
      <c r="F176" s="829" t="s">
        <v>5371</v>
      </c>
      <c r="G176" s="2661" t="s">
        <v>5372</v>
      </c>
      <c r="H176" s="2463" t="s">
        <v>5373</v>
      </c>
      <c r="I176" s="2661" t="s">
        <v>5374</v>
      </c>
      <c r="J176" s="2461" t="s">
        <v>5375</v>
      </c>
      <c r="K176" s="2662" t="s">
        <v>5376</v>
      </c>
      <c r="L176" s="2463" t="s">
        <v>5377</v>
      </c>
      <c r="M176" s="2661" t="s">
        <v>5378</v>
      </c>
      <c r="N176" s="2461" t="s">
        <v>5379</v>
      </c>
      <c r="O176" s="2661" t="s">
        <v>5380</v>
      </c>
      <c r="P176" s="2461" t="s">
        <v>5381</v>
      </c>
      <c r="Q176" s="3210"/>
      <c r="R176" s="1551"/>
      <c r="S176" s="1551"/>
      <c r="T176" s="1551"/>
      <c r="U176" s="1551"/>
      <c r="V176" s="1551"/>
      <c r="W176" s="1551"/>
      <c r="X176" s="1551"/>
      <c r="Y176" s="1551"/>
      <c r="Z176" s="1551"/>
      <c r="AZ176" s="1547"/>
      <c r="BA176" s="1547"/>
      <c r="DB176" s="3217">
        <v>0</v>
      </c>
      <c r="DC176" s="3217">
        <v>0</v>
      </c>
    </row>
    <row r="177" spans="1:107" ht="16.350000000000001" customHeight="1" x14ac:dyDescent="0.3">
      <c r="A177" s="7258" t="s">
        <v>4185</v>
      </c>
      <c r="B177" s="8555"/>
      <c r="C177" s="109" t="s">
        <v>1401</v>
      </c>
      <c r="D177" s="833" t="s">
        <v>5369</v>
      </c>
      <c r="E177" s="739" t="s">
        <v>5370</v>
      </c>
      <c r="F177" s="183" t="s">
        <v>5371</v>
      </c>
      <c r="G177" s="828" t="s">
        <v>5372</v>
      </c>
      <c r="H177" s="2444" t="s">
        <v>5373</v>
      </c>
      <c r="I177" s="828" t="s">
        <v>5374</v>
      </c>
      <c r="J177" s="2441" t="s">
        <v>5375</v>
      </c>
      <c r="K177" s="1792" t="s">
        <v>5376</v>
      </c>
      <c r="L177" s="2444" t="s">
        <v>5377</v>
      </c>
      <c r="M177" s="828" t="s">
        <v>5378</v>
      </c>
      <c r="N177" s="2441" t="s">
        <v>5379</v>
      </c>
      <c r="O177" s="828" t="s">
        <v>5380</v>
      </c>
      <c r="P177" s="2441" t="s">
        <v>5381</v>
      </c>
      <c r="Q177" s="3210"/>
      <c r="R177" s="1551"/>
      <c r="S177" s="1551"/>
      <c r="T177" s="1551"/>
      <c r="U177" s="1551"/>
      <c r="V177" s="1551"/>
      <c r="W177" s="1551"/>
      <c r="X177" s="1551"/>
      <c r="Y177" s="1551"/>
      <c r="Z177" s="1551"/>
      <c r="AZ177" s="1547"/>
      <c r="BA177" s="1547"/>
      <c r="DB177" s="3217">
        <v>0</v>
      </c>
      <c r="DC177" s="3217">
        <v>0</v>
      </c>
    </row>
    <row r="178" spans="1:107" ht="16.350000000000001" customHeight="1" x14ac:dyDescent="0.3">
      <c r="A178" s="7258" t="s">
        <v>4186</v>
      </c>
      <c r="B178" s="8822"/>
      <c r="C178" s="704" t="s">
        <v>1400</v>
      </c>
      <c r="D178" s="558" t="s">
        <v>5369</v>
      </c>
      <c r="E178" s="583" t="s">
        <v>5370</v>
      </c>
      <c r="F178" s="172" t="s">
        <v>5371</v>
      </c>
      <c r="G178" s="2518" t="s">
        <v>5372</v>
      </c>
      <c r="H178" s="116" t="s">
        <v>5373</v>
      </c>
      <c r="I178" s="2518" t="s">
        <v>5374</v>
      </c>
      <c r="J178" s="2537" t="s">
        <v>5375</v>
      </c>
      <c r="K178" s="113" t="s">
        <v>5376</v>
      </c>
      <c r="L178" s="116" t="s">
        <v>5377</v>
      </c>
      <c r="M178" s="2518" t="s">
        <v>5378</v>
      </c>
      <c r="N178" s="2537" t="s">
        <v>5379</v>
      </c>
      <c r="O178" s="2518" t="s">
        <v>5380</v>
      </c>
      <c r="P178" s="2537" t="s">
        <v>5381</v>
      </c>
      <c r="Q178" s="3210"/>
      <c r="R178" s="1551"/>
      <c r="S178" s="1551"/>
      <c r="T178" s="1551"/>
      <c r="U178" s="1551"/>
      <c r="V178" s="1551"/>
      <c r="W178" s="1551"/>
      <c r="X178" s="1551"/>
      <c r="Y178" s="1551"/>
      <c r="Z178" s="1551"/>
      <c r="AZ178" s="1547"/>
      <c r="BA178" s="1547"/>
      <c r="DB178" s="3217">
        <v>0</v>
      </c>
      <c r="DC178" s="3217">
        <v>0</v>
      </c>
    </row>
    <row r="179" spans="1:107" ht="16.350000000000001" customHeight="1" x14ac:dyDescent="0.3">
      <c r="A179" s="7258" t="s">
        <v>4187</v>
      </c>
      <c r="B179" s="8821" t="s">
        <v>1403</v>
      </c>
      <c r="C179" s="832" t="s">
        <v>1402</v>
      </c>
      <c r="D179" s="830" t="s">
        <v>5369</v>
      </c>
      <c r="E179" s="1333" t="s">
        <v>5370</v>
      </c>
      <c r="F179" s="829" t="s">
        <v>5371</v>
      </c>
      <c r="G179" s="2661" t="s">
        <v>5372</v>
      </c>
      <c r="H179" s="2461" t="s">
        <v>5373</v>
      </c>
      <c r="I179" s="2661" t="s">
        <v>5374</v>
      </c>
      <c r="J179" s="2463" t="s">
        <v>5375</v>
      </c>
      <c r="K179" s="2661" t="s">
        <v>5376</v>
      </c>
      <c r="L179" s="2461" t="s">
        <v>5377</v>
      </c>
      <c r="M179" s="2662" t="s">
        <v>5378</v>
      </c>
      <c r="N179" s="2463" t="s">
        <v>5379</v>
      </c>
      <c r="O179" s="2661" t="s">
        <v>5380</v>
      </c>
      <c r="P179" s="2461" t="s">
        <v>5381</v>
      </c>
      <c r="Q179" s="3210"/>
      <c r="R179" s="1551"/>
      <c r="S179" s="1551"/>
      <c r="T179" s="1551"/>
      <c r="U179" s="1551"/>
      <c r="V179" s="1551"/>
      <c r="W179" s="1551"/>
      <c r="X179" s="1551"/>
      <c r="Y179" s="1551"/>
      <c r="Z179" s="1551"/>
      <c r="AZ179" s="1547"/>
      <c r="BA179" s="1547"/>
      <c r="DB179" s="3217">
        <v>0</v>
      </c>
      <c r="DC179" s="3217">
        <v>0</v>
      </c>
    </row>
    <row r="180" spans="1:107" ht="16.350000000000001" customHeight="1" x14ac:dyDescent="0.3">
      <c r="A180" s="7258" t="s">
        <v>4188</v>
      </c>
      <c r="B180" s="8555"/>
      <c r="C180" s="109" t="s">
        <v>1401</v>
      </c>
      <c r="D180" s="323" t="s">
        <v>5369</v>
      </c>
      <c r="E180" s="324" t="s">
        <v>5370</v>
      </c>
      <c r="F180" s="145" t="s">
        <v>5371</v>
      </c>
      <c r="G180" s="828" t="s">
        <v>5372</v>
      </c>
      <c r="H180" s="2441" t="s">
        <v>5373</v>
      </c>
      <c r="I180" s="2492" t="s">
        <v>5374</v>
      </c>
      <c r="J180" s="2528" t="s">
        <v>5375</v>
      </c>
      <c r="K180" s="2492" t="s">
        <v>5376</v>
      </c>
      <c r="L180" s="2495" t="s">
        <v>5377</v>
      </c>
      <c r="M180" s="2491" t="s">
        <v>5378</v>
      </c>
      <c r="N180" s="2528" t="s">
        <v>5379</v>
      </c>
      <c r="O180" s="2492" t="s">
        <v>5380</v>
      </c>
      <c r="P180" s="2495" t="s">
        <v>5381</v>
      </c>
      <c r="Q180" s="3210"/>
      <c r="R180" s="1551"/>
      <c r="S180" s="1551"/>
      <c r="T180" s="1551"/>
      <c r="U180" s="1551"/>
      <c r="V180" s="1551"/>
      <c r="W180" s="1551"/>
      <c r="X180" s="1551"/>
      <c r="Y180" s="1551"/>
      <c r="Z180" s="1551"/>
      <c r="AZ180" s="1547"/>
      <c r="BA180" s="1547"/>
      <c r="DB180" s="3217">
        <v>0</v>
      </c>
      <c r="DC180" s="3217">
        <v>0</v>
      </c>
    </row>
    <row r="181" spans="1:107" ht="16.350000000000001" customHeight="1" x14ac:dyDescent="0.3">
      <c r="A181" s="7258" t="s">
        <v>4189</v>
      </c>
      <c r="B181" s="8822"/>
      <c r="C181" s="81" t="s">
        <v>1400</v>
      </c>
      <c r="D181" s="1336" t="s">
        <v>5369</v>
      </c>
      <c r="E181" s="1337" t="s">
        <v>5370</v>
      </c>
      <c r="F181" s="147" t="s">
        <v>5371</v>
      </c>
      <c r="G181" s="2465" t="s">
        <v>5372</v>
      </c>
      <c r="H181" s="2496" t="s">
        <v>5373</v>
      </c>
      <c r="I181" s="2465" t="s">
        <v>5374</v>
      </c>
      <c r="J181" s="2665" t="s">
        <v>5375</v>
      </c>
      <c r="K181" s="2465" t="s">
        <v>5376</v>
      </c>
      <c r="L181" s="2496" t="s">
        <v>5377</v>
      </c>
      <c r="M181" s="2477" t="s">
        <v>5378</v>
      </c>
      <c r="N181" s="2665" t="s">
        <v>5379</v>
      </c>
      <c r="O181" s="2465" t="s">
        <v>5380</v>
      </c>
      <c r="P181" s="2496" t="s">
        <v>5381</v>
      </c>
      <c r="Q181" s="3211"/>
      <c r="R181" s="801"/>
      <c r="S181" s="801"/>
      <c r="T181" s="801"/>
      <c r="U181" s="801"/>
      <c r="V181" s="801"/>
      <c r="W181" s="801"/>
      <c r="X181" s="801"/>
      <c r="Y181" s="801"/>
      <c r="Z181" s="801"/>
      <c r="AZ181" s="1547"/>
      <c r="BA181" s="1547"/>
    </row>
    <row r="182" spans="1:107" ht="31.35" customHeight="1" x14ac:dyDescent="0.3">
      <c r="B182" s="8854" t="s">
        <v>1399</v>
      </c>
      <c r="C182" s="8854"/>
      <c r="D182" s="8854"/>
      <c r="E182" s="8854"/>
      <c r="F182" s="8854"/>
      <c r="G182" s="8854"/>
      <c r="H182" s="8854"/>
      <c r="I182" s="8854"/>
      <c r="J182" s="8854"/>
      <c r="K182" s="8854"/>
      <c r="L182" s="8854"/>
      <c r="M182" s="8854"/>
      <c r="N182" s="8854"/>
      <c r="O182" s="8854"/>
      <c r="P182" s="8854"/>
      <c r="Q182" s="801"/>
      <c r="R182" s="801"/>
      <c r="S182" s="801"/>
      <c r="T182" s="801"/>
      <c r="U182" s="801"/>
      <c r="V182" s="801"/>
      <c r="W182" s="801"/>
      <c r="X182" s="801"/>
      <c r="Y182" s="801"/>
      <c r="Z182" s="801"/>
      <c r="AA182" s="801"/>
      <c r="AB182" s="801"/>
      <c r="BB182" s="1191"/>
      <c r="BC182" s="1191"/>
      <c r="BD182" s="1191"/>
      <c r="BE182" s="1191"/>
      <c r="BF182" s="1191"/>
      <c r="BG182" s="1191"/>
      <c r="BH182" s="1191"/>
      <c r="BI182" s="1191"/>
      <c r="BJ182" s="1191"/>
      <c r="BK182" s="1191"/>
      <c r="BL182" s="1191"/>
      <c r="BM182" s="1191"/>
      <c r="BN182" s="1191"/>
      <c r="BO182" s="1191"/>
      <c r="BP182" s="1191"/>
      <c r="BQ182" s="1191"/>
      <c r="BR182" s="1191"/>
      <c r="BS182" s="1191"/>
      <c r="BT182" s="1191"/>
    </row>
    <row r="183" spans="1:107" ht="16.350000000000001" customHeight="1" x14ac:dyDescent="0.3">
      <c r="B183" s="8713" t="s">
        <v>1398</v>
      </c>
      <c r="C183" s="8613"/>
      <c r="D183" s="8713" t="s">
        <v>24</v>
      </c>
      <c r="E183" s="8597"/>
      <c r="F183" s="8613"/>
      <c r="G183" s="8720" t="s">
        <v>2</v>
      </c>
      <c r="H183" s="8721"/>
      <c r="I183" s="8721"/>
      <c r="J183" s="8721"/>
      <c r="K183" s="8721"/>
      <c r="L183" s="8721"/>
      <c r="M183" s="8721"/>
      <c r="N183" s="8721"/>
      <c r="O183" s="8721"/>
      <c r="P183" s="8721"/>
      <c r="Q183" s="8721"/>
      <c r="R183" s="8722"/>
      <c r="S183" s="801"/>
      <c r="T183" s="801"/>
      <c r="U183" s="801"/>
      <c r="V183" s="801"/>
      <c r="W183" s="801"/>
      <c r="X183" s="801"/>
      <c r="Y183" s="801"/>
      <c r="Z183" s="801"/>
      <c r="AZ183" s="1547"/>
      <c r="BA183" s="1547"/>
    </row>
    <row r="184" spans="1:107" ht="16.350000000000001" customHeight="1" x14ac:dyDescent="0.3">
      <c r="B184" s="8621"/>
      <c r="C184" s="8622"/>
      <c r="D184" s="8714"/>
      <c r="E184" s="8598"/>
      <c r="F184" s="8715"/>
      <c r="G184" s="8720" t="s">
        <v>1397</v>
      </c>
      <c r="H184" s="8722"/>
      <c r="I184" s="8720" t="s">
        <v>1396</v>
      </c>
      <c r="J184" s="8722"/>
      <c r="K184" s="8720" t="s">
        <v>1395</v>
      </c>
      <c r="L184" s="8722"/>
      <c r="M184" s="8720" t="s">
        <v>1394</v>
      </c>
      <c r="N184" s="8722"/>
      <c r="O184" s="8720" t="s">
        <v>1393</v>
      </c>
      <c r="P184" s="8722"/>
      <c r="Q184" s="8720" t="s">
        <v>1392</v>
      </c>
      <c r="R184" s="8722"/>
      <c r="S184" s="801"/>
      <c r="T184" s="801"/>
      <c r="U184" s="801"/>
      <c r="V184" s="801"/>
      <c r="W184" s="801"/>
      <c r="X184" s="801"/>
      <c r="Y184" s="801"/>
      <c r="Z184" s="801"/>
      <c r="AZ184" s="1547"/>
      <c r="BA184" s="1547"/>
    </row>
    <row r="185" spans="1:107" ht="16.350000000000001" customHeight="1" x14ac:dyDescent="0.3">
      <c r="B185" s="8714"/>
      <c r="C185" s="8715"/>
      <c r="D185" s="831" t="s">
        <v>42</v>
      </c>
      <c r="E185" s="595" t="s">
        <v>17</v>
      </c>
      <c r="F185" s="2093" t="s">
        <v>18</v>
      </c>
      <c r="G185" s="2664" t="s">
        <v>17</v>
      </c>
      <c r="H185" s="2114" t="s">
        <v>18</v>
      </c>
      <c r="I185" s="2664" t="s">
        <v>17</v>
      </c>
      <c r="J185" s="2114" t="s">
        <v>18</v>
      </c>
      <c r="K185" s="2664" t="s">
        <v>17</v>
      </c>
      <c r="L185" s="2144" t="s">
        <v>18</v>
      </c>
      <c r="M185" s="2664" t="s">
        <v>17</v>
      </c>
      <c r="N185" s="2114" t="s">
        <v>18</v>
      </c>
      <c r="O185" s="2664" t="s">
        <v>17</v>
      </c>
      <c r="P185" s="2114" t="s">
        <v>18</v>
      </c>
      <c r="Q185" s="2664" t="s">
        <v>17</v>
      </c>
      <c r="R185" s="2144" t="s">
        <v>18</v>
      </c>
      <c r="S185" s="801"/>
      <c r="T185" s="801"/>
      <c r="U185" s="801"/>
      <c r="V185" s="801"/>
      <c r="W185" s="801"/>
      <c r="X185" s="801"/>
      <c r="Y185" s="801"/>
      <c r="Z185" s="801"/>
      <c r="AZ185" s="1547"/>
      <c r="BA185" s="1547"/>
    </row>
    <row r="186" spans="1:107" ht="16.350000000000001" customHeight="1" x14ac:dyDescent="0.3">
      <c r="A186" s="7258" t="s">
        <v>4190</v>
      </c>
      <c r="B186" s="8716" t="s">
        <v>1391</v>
      </c>
      <c r="C186" s="8717"/>
      <c r="D186" s="2350" t="s">
        <v>5369</v>
      </c>
      <c r="E186" s="2351" t="s">
        <v>5370</v>
      </c>
      <c r="F186" s="1997" t="s">
        <v>5371</v>
      </c>
      <c r="G186" s="2661" t="s">
        <v>5372</v>
      </c>
      <c r="H186" s="2463" t="s">
        <v>5373</v>
      </c>
      <c r="I186" s="2661" t="s">
        <v>5374</v>
      </c>
      <c r="J186" s="2461" t="s">
        <v>5375</v>
      </c>
      <c r="K186" s="2662" t="s">
        <v>5376</v>
      </c>
      <c r="L186" s="2461" t="s">
        <v>5377</v>
      </c>
      <c r="M186" s="2662" t="s">
        <v>5378</v>
      </c>
      <c r="N186" s="2463" t="s">
        <v>5379</v>
      </c>
      <c r="O186" s="2661" t="s">
        <v>5380</v>
      </c>
      <c r="P186" s="2461" t="s">
        <v>5381</v>
      </c>
      <c r="Q186" s="2662" t="s">
        <v>5382</v>
      </c>
      <c r="R186" s="2461" t="s">
        <v>5383</v>
      </c>
      <c r="S186" s="3211"/>
      <c r="T186" s="801"/>
      <c r="U186" s="801"/>
      <c r="V186" s="801"/>
      <c r="W186" s="801"/>
      <c r="X186" s="801"/>
      <c r="Y186" s="801"/>
      <c r="Z186" s="801"/>
      <c r="AZ186" s="1547"/>
      <c r="BA186" s="1547"/>
    </row>
    <row r="187" spans="1:107" ht="16.350000000000001" customHeight="1" x14ac:dyDescent="0.3">
      <c r="A187" s="7258" t="s">
        <v>4191</v>
      </c>
      <c r="B187" s="8718" t="s">
        <v>1390</v>
      </c>
      <c r="C187" s="8719"/>
      <c r="D187" s="2352" t="s">
        <v>5369</v>
      </c>
      <c r="E187" s="2353" t="s">
        <v>5370</v>
      </c>
      <c r="F187" s="1138" t="s">
        <v>5371</v>
      </c>
      <c r="G187" s="828" t="s">
        <v>5372</v>
      </c>
      <c r="H187" s="2444" t="s">
        <v>5373</v>
      </c>
      <c r="I187" s="828" t="s">
        <v>5374</v>
      </c>
      <c r="J187" s="2441" t="s">
        <v>5375</v>
      </c>
      <c r="K187" s="1792" t="s">
        <v>5376</v>
      </c>
      <c r="L187" s="2441" t="s">
        <v>5377</v>
      </c>
      <c r="M187" s="1792" t="s">
        <v>5378</v>
      </c>
      <c r="N187" s="2444" t="s">
        <v>5379</v>
      </c>
      <c r="O187" s="828" t="s">
        <v>5380</v>
      </c>
      <c r="P187" s="2441" t="s">
        <v>5381</v>
      </c>
      <c r="Q187" s="1792" t="s">
        <v>5382</v>
      </c>
      <c r="R187" s="2441" t="s">
        <v>5383</v>
      </c>
      <c r="S187" s="3211"/>
      <c r="T187" s="801"/>
      <c r="U187" s="801"/>
      <c r="V187" s="801"/>
      <c r="W187" s="801"/>
      <c r="X187" s="801"/>
      <c r="Y187" s="801"/>
      <c r="Z187" s="801"/>
      <c r="AZ187" s="1547"/>
      <c r="BA187" s="1547"/>
    </row>
    <row r="188" spans="1:107" ht="16.350000000000001" customHeight="1" x14ac:dyDescent="0.3">
      <c r="A188" s="7258" t="s">
        <v>4192</v>
      </c>
      <c r="B188" s="8723" t="s">
        <v>1389</v>
      </c>
      <c r="C188" s="8724"/>
      <c r="D188" s="2354" t="s">
        <v>5369</v>
      </c>
      <c r="E188" s="2353" t="s">
        <v>5370</v>
      </c>
      <c r="F188" s="1999" t="s">
        <v>5371</v>
      </c>
      <c r="G188" s="2492" t="s">
        <v>5372</v>
      </c>
      <c r="H188" s="2528" t="s">
        <v>5373</v>
      </c>
      <c r="I188" s="2492" t="s">
        <v>5374</v>
      </c>
      <c r="J188" s="2495" t="s">
        <v>5375</v>
      </c>
      <c r="K188" s="2491" t="s">
        <v>5376</v>
      </c>
      <c r="L188" s="2495" t="s">
        <v>5377</v>
      </c>
      <c r="M188" s="2491" t="s">
        <v>5378</v>
      </c>
      <c r="N188" s="2528" t="s">
        <v>5379</v>
      </c>
      <c r="O188" s="2492" t="s">
        <v>5380</v>
      </c>
      <c r="P188" s="2495" t="s">
        <v>5381</v>
      </c>
      <c r="Q188" s="2491" t="s">
        <v>5382</v>
      </c>
      <c r="R188" s="2495" t="s">
        <v>5383</v>
      </c>
      <c r="S188" s="3211"/>
      <c r="T188" s="801"/>
      <c r="U188" s="801"/>
      <c r="V188" s="801"/>
      <c r="W188" s="801"/>
      <c r="X188" s="801"/>
      <c r="Y188" s="801"/>
      <c r="Z188" s="801"/>
      <c r="AZ188" s="1547"/>
      <c r="BA188" s="1547"/>
    </row>
    <row r="189" spans="1:107" ht="16.350000000000001" customHeight="1" x14ac:dyDescent="0.3">
      <c r="A189" s="7266"/>
      <c r="B189" s="8771" t="s">
        <v>24</v>
      </c>
      <c r="C189" s="8772"/>
      <c r="D189" s="2355">
        <f t="shared" ref="D189:R189" si="5">SUM(D186:D188)</f>
        <v>0</v>
      </c>
      <c r="E189" s="2356">
        <f t="shared" si="5"/>
        <v>0</v>
      </c>
      <c r="F189" s="2018">
        <f t="shared" si="5"/>
        <v>0</v>
      </c>
      <c r="G189" s="2666">
        <f t="shared" si="5"/>
        <v>0</v>
      </c>
      <c r="H189" s="2667">
        <f t="shared" si="5"/>
        <v>0</v>
      </c>
      <c r="I189" s="2666">
        <f t="shared" si="5"/>
        <v>0</v>
      </c>
      <c r="J189" s="2667">
        <f t="shared" si="5"/>
        <v>0</v>
      </c>
      <c r="K189" s="2666">
        <f t="shared" si="5"/>
        <v>0</v>
      </c>
      <c r="L189" s="2667">
        <f t="shared" si="5"/>
        <v>0</v>
      </c>
      <c r="M189" s="2666">
        <f t="shared" si="5"/>
        <v>0</v>
      </c>
      <c r="N189" s="2667">
        <f t="shared" si="5"/>
        <v>0</v>
      </c>
      <c r="O189" s="2666">
        <f t="shared" si="5"/>
        <v>0</v>
      </c>
      <c r="P189" s="2667">
        <f t="shared" si="5"/>
        <v>0</v>
      </c>
      <c r="Q189" s="2666">
        <f t="shared" si="5"/>
        <v>0</v>
      </c>
      <c r="R189" s="2668">
        <f t="shared" si="5"/>
        <v>0</v>
      </c>
      <c r="S189" s="801"/>
      <c r="T189" s="801"/>
      <c r="U189" s="801"/>
      <c r="V189" s="801"/>
      <c r="W189" s="801"/>
      <c r="X189" s="801"/>
      <c r="Y189" s="801"/>
      <c r="Z189" s="801"/>
      <c r="AZ189" s="1547"/>
      <c r="BA189" s="1547"/>
    </row>
    <row r="190" spans="1:107" ht="16.350000000000001" customHeight="1" x14ac:dyDescent="0.3">
      <c r="B190" s="827" t="s">
        <v>2561</v>
      </c>
      <c r="N190" s="1562"/>
      <c r="O190" s="1562"/>
      <c r="P190" s="1562"/>
      <c r="Q190" s="1562"/>
    </row>
    <row r="191" spans="1:107" ht="31.35" customHeight="1" x14ac:dyDescent="0.3">
      <c r="B191" s="133" t="s">
        <v>2710</v>
      </c>
      <c r="C191" s="1563"/>
      <c r="D191" s="1563"/>
      <c r="E191" s="1563"/>
      <c r="F191" s="1563"/>
      <c r="G191" s="801"/>
      <c r="H191" s="801"/>
      <c r="I191" s="801"/>
      <c r="J191" s="801"/>
      <c r="K191" s="801"/>
      <c r="L191" s="801"/>
      <c r="M191" s="801"/>
      <c r="N191" s="801"/>
      <c r="O191" s="801"/>
      <c r="P191" s="801"/>
      <c r="Q191" s="801"/>
      <c r="R191" s="801"/>
      <c r="BB191" s="1191"/>
      <c r="BC191" s="1191"/>
      <c r="BD191" s="1191"/>
      <c r="BE191" s="1191"/>
      <c r="BF191" s="1191"/>
      <c r="BG191" s="1191"/>
      <c r="BH191" s="1191"/>
      <c r="BI191" s="1191"/>
      <c r="BJ191" s="1191"/>
      <c r="BK191" s="1191"/>
      <c r="BL191" s="1191"/>
      <c r="BM191" s="1191"/>
      <c r="BN191" s="1191"/>
      <c r="BO191" s="1191"/>
      <c r="BP191" s="1191"/>
      <c r="BQ191" s="1191"/>
      <c r="BR191" s="1191"/>
      <c r="BS191" s="1191"/>
      <c r="BT191" s="1191"/>
    </row>
    <row r="192" spans="1:107" ht="16.350000000000001" customHeight="1" x14ac:dyDescent="0.3">
      <c r="B192" s="8713" t="s">
        <v>1388</v>
      </c>
      <c r="C192" s="8613"/>
      <c r="D192" s="8737" t="s">
        <v>1261</v>
      </c>
      <c r="E192" s="8738"/>
      <c r="F192" s="8739"/>
      <c r="G192" s="8743" t="s">
        <v>2</v>
      </c>
      <c r="H192" s="8744"/>
      <c r="I192" s="8744"/>
      <c r="J192" s="8744"/>
      <c r="K192" s="8744"/>
      <c r="L192" s="8744"/>
      <c r="M192" s="8744"/>
      <c r="N192" s="8744"/>
      <c r="O192" s="8744"/>
      <c r="P192" s="8744"/>
      <c r="Q192" s="8744"/>
      <c r="R192" s="8745"/>
      <c r="Y192" s="1191"/>
      <c r="Z192" s="1191"/>
      <c r="AZ192" s="1547"/>
      <c r="BA192" s="1547"/>
    </row>
    <row r="193" spans="1:133" ht="16.350000000000001" customHeight="1" x14ac:dyDescent="0.3">
      <c r="B193" s="8621"/>
      <c r="C193" s="8622"/>
      <c r="D193" s="8740"/>
      <c r="E193" s="8741"/>
      <c r="F193" s="8742"/>
      <c r="G193" s="8840" t="s">
        <v>48</v>
      </c>
      <c r="H193" s="8712"/>
      <c r="I193" s="8711" t="s">
        <v>49</v>
      </c>
      <c r="J193" s="8712"/>
      <c r="K193" s="8711" t="s">
        <v>50</v>
      </c>
      <c r="L193" s="8712"/>
      <c r="M193" s="8711" t="s">
        <v>51</v>
      </c>
      <c r="N193" s="8712"/>
      <c r="O193" s="8711" t="s">
        <v>52</v>
      </c>
      <c r="P193" s="8712"/>
      <c r="Q193" s="8833" t="s">
        <v>3538</v>
      </c>
      <c r="R193" s="8834"/>
      <c r="Y193" s="1191"/>
      <c r="Z193" s="1191"/>
      <c r="AZ193" s="1547"/>
      <c r="BA193" s="1547"/>
    </row>
    <row r="194" spans="1:133" ht="16.350000000000001" customHeight="1" x14ac:dyDescent="0.3">
      <c r="B194" s="8714"/>
      <c r="C194" s="8715"/>
      <c r="D194" s="2092" t="s">
        <v>42</v>
      </c>
      <c r="E194" s="2088" t="s">
        <v>17</v>
      </c>
      <c r="F194" s="2076" t="s">
        <v>18</v>
      </c>
      <c r="G194" s="2653" t="s">
        <v>17</v>
      </c>
      <c r="H194" s="2655" t="s">
        <v>18</v>
      </c>
      <c r="I194" s="2656" t="s">
        <v>17</v>
      </c>
      <c r="J194" s="2655" t="s">
        <v>18</v>
      </c>
      <c r="K194" s="2656" t="s">
        <v>17</v>
      </c>
      <c r="L194" s="2655" t="s">
        <v>18</v>
      </c>
      <c r="M194" s="2656" t="s">
        <v>17</v>
      </c>
      <c r="N194" s="2655" t="s">
        <v>18</v>
      </c>
      <c r="O194" s="2656" t="s">
        <v>17</v>
      </c>
      <c r="P194" s="2655" t="s">
        <v>18</v>
      </c>
      <c r="Q194" s="2656" t="s">
        <v>17</v>
      </c>
      <c r="R194" s="2655" t="s">
        <v>18</v>
      </c>
      <c r="Y194" s="1191"/>
      <c r="Z194" s="1191"/>
      <c r="AZ194" s="1547"/>
      <c r="BA194" s="1547"/>
    </row>
    <row r="195" spans="1:133" ht="16.350000000000001" customHeight="1" x14ac:dyDescent="0.3">
      <c r="A195" s="7258" t="s">
        <v>4193</v>
      </c>
      <c r="B195" s="8843" t="s">
        <v>3575</v>
      </c>
      <c r="C195" s="8844"/>
      <c r="D195" s="250" t="s">
        <v>5369</v>
      </c>
      <c r="E195" s="269" t="s">
        <v>5370</v>
      </c>
      <c r="F195" s="660" t="s">
        <v>5371</v>
      </c>
      <c r="G195" s="2462" t="s">
        <v>5372</v>
      </c>
      <c r="H195" s="2450" t="s">
        <v>5373</v>
      </c>
      <c r="I195" s="2439" t="s">
        <v>5374</v>
      </c>
      <c r="J195" s="2450" t="s">
        <v>5375</v>
      </c>
      <c r="K195" s="2439" t="s">
        <v>5376</v>
      </c>
      <c r="L195" s="2450" t="s">
        <v>5377</v>
      </c>
      <c r="M195" s="2439" t="s">
        <v>5378</v>
      </c>
      <c r="N195" s="2450" t="s">
        <v>5379</v>
      </c>
      <c r="O195" s="2439" t="s">
        <v>5380</v>
      </c>
      <c r="P195" s="2450" t="s">
        <v>5381</v>
      </c>
      <c r="Q195" s="2439" t="s">
        <v>5382</v>
      </c>
      <c r="R195" s="2450" t="s">
        <v>5383</v>
      </c>
      <c r="S195" s="1123"/>
      <c r="Y195" s="1191"/>
      <c r="Z195" s="1191"/>
      <c r="AZ195" s="1547"/>
      <c r="BA195" s="1547"/>
    </row>
    <row r="196" spans="1:133" ht="16.350000000000001" customHeight="1" x14ac:dyDescent="0.3">
      <c r="A196" s="7258" t="s">
        <v>4194</v>
      </c>
      <c r="B196" s="8841" t="s">
        <v>3576</v>
      </c>
      <c r="C196" s="8842"/>
      <c r="D196" s="251" t="s">
        <v>5369</v>
      </c>
      <c r="E196" s="619" t="s">
        <v>5370</v>
      </c>
      <c r="F196" s="724" t="s">
        <v>5371</v>
      </c>
      <c r="G196" s="2492" t="s">
        <v>5372</v>
      </c>
      <c r="H196" s="2495" t="s">
        <v>5373</v>
      </c>
      <c r="I196" s="2491" t="s">
        <v>5374</v>
      </c>
      <c r="J196" s="2495" t="s">
        <v>5375</v>
      </c>
      <c r="K196" s="2491" t="s">
        <v>5376</v>
      </c>
      <c r="L196" s="2495" t="s">
        <v>5377</v>
      </c>
      <c r="M196" s="2491" t="s">
        <v>5378</v>
      </c>
      <c r="N196" s="2495" t="s">
        <v>5379</v>
      </c>
      <c r="O196" s="2491" t="s">
        <v>5380</v>
      </c>
      <c r="P196" s="2495" t="s">
        <v>5381</v>
      </c>
      <c r="Q196" s="2491" t="s">
        <v>5382</v>
      </c>
      <c r="R196" s="2495" t="s">
        <v>5383</v>
      </c>
      <c r="S196" s="1123"/>
      <c r="Y196" s="1191"/>
      <c r="Z196" s="1191"/>
      <c r="AZ196" s="1547"/>
      <c r="BA196" s="1547"/>
    </row>
    <row r="197" spans="1:133" ht="16.350000000000001" customHeight="1" x14ac:dyDescent="0.3">
      <c r="A197" s="7259" t="s">
        <v>4195</v>
      </c>
      <c r="B197" s="8727" t="s">
        <v>3577</v>
      </c>
      <c r="C197" s="8728"/>
      <c r="D197" s="2793" t="s">
        <v>5369</v>
      </c>
      <c r="E197" s="2794" t="s">
        <v>5370</v>
      </c>
      <c r="F197" s="2795" t="s">
        <v>5371</v>
      </c>
      <c r="G197" s="2518" t="s">
        <v>5372</v>
      </c>
      <c r="H197" s="2537" t="s">
        <v>5373</v>
      </c>
      <c r="I197" s="2796" t="s">
        <v>5374</v>
      </c>
      <c r="J197" s="2537" t="s">
        <v>5375</v>
      </c>
      <c r="K197" s="2796" t="s">
        <v>5376</v>
      </c>
      <c r="L197" s="2537" t="s">
        <v>5377</v>
      </c>
      <c r="M197" s="2796" t="s">
        <v>5378</v>
      </c>
      <c r="N197" s="2537" t="s">
        <v>5379</v>
      </c>
      <c r="O197" s="2796" t="s">
        <v>5380</v>
      </c>
      <c r="P197" s="2537" t="s">
        <v>5381</v>
      </c>
      <c r="Q197" s="2796" t="s">
        <v>5382</v>
      </c>
      <c r="R197" s="2537" t="s">
        <v>5383</v>
      </c>
      <c r="S197" s="1123"/>
      <c r="Y197" s="1191"/>
      <c r="Z197" s="1191"/>
      <c r="AZ197" s="1547"/>
      <c r="BA197" s="1547"/>
    </row>
    <row r="198" spans="1:133" ht="16.350000000000001" customHeight="1" x14ac:dyDescent="0.3">
      <c r="A198" s="7259" t="s">
        <v>4196</v>
      </c>
      <c r="B198" s="8725" t="s">
        <v>3578</v>
      </c>
      <c r="C198" s="8726"/>
      <c r="D198" s="2805" t="s">
        <v>5369</v>
      </c>
      <c r="E198" s="2806" t="s">
        <v>5370</v>
      </c>
      <c r="F198" s="2807" t="s">
        <v>5371</v>
      </c>
      <c r="G198" s="2743" t="s">
        <v>5372</v>
      </c>
      <c r="H198" s="2496" t="s">
        <v>5373</v>
      </c>
      <c r="I198" s="2477" t="s">
        <v>5374</v>
      </c>
      <c r="J198" s="2496" t="s">
        <v>5375</v>
      </c>
      <c r="K198" s="2477" t="s">
        <v>5376</v>
      </c>
      <c r="L198" s="2496" t="s">
        <v>5377</v>
      </c>
      <c r="M198" s="2477" t="s">
        <v>5378</v>
      </c>
      <c r="N198" s="2496" t="s">
        <v>5379</v>
      </c>
      <c r="O198" s="2477" t="s">
        <v>5380</v>
      </c>
      <c r="P198" s="2496" t="s">
        <v>5381</v>
      </c>
      <c r="Q198" s="2477" t="s">
        <v>5382</v>
      </c>
      <c r="R198" s="2496" t="s">
        <v>5383</v>
      </c>
      <c r="S198" s="1123"/>
      <c r="Y198" s="1191"/>
      <c r="Z198" s="1191"/>
      <c r="AZ198" s="1547"/>
      <c r="BA198" s="1547"/>
    </row>
    <row r="199" spans="1:133" ht="16.350000000000001" customHeight="1" x14ac:dyDescent="0.3">
      <c r="B199" s="8769" t="s">
        <v>1387</v>
      </c>
      <c r="C199" s="8770"/>
      <c r="D199" s="2802">
        <f>SUM(E199+F199)</f>
        <v>0</v>
      </c>
      <c r="E199" s="1959">
        <f t="shared" ref="E199:F199" si="6">SUM(G199+I199+K199+M199+O199+Q199)</f>
        <v>0</v>
      </c>
      <c r="F199" s="2803">
        <f t="shared" si="6"/>
        <v>0</v>
      </c>
      <c r="G199" s="7096">
        <f>SUM(G195:G198)</f>
        <v>0</v>
      </c>
      <c r="H199" s="2729">
        <f t="shared" ref="H199:R199" si="7">SUM(H195:H198)</f>
        <v>0</v>
      </c>
      <c r="I199" s="2804">
        <f t="shared" si="7"/>
        <v>0</v>
      </c>
      <c r="J199" s="2729">
        <f t="shared" si="7"/>
        <v>0</v>
      </c>
      <c r="K199" s="2804">
        <f t="shared" si="7"/>
        <v>0</v>
      </c>
      <c r="L199" s="2729">
        <f t="shared" si="7"/>
        <v>0</v>
      </c>
      <c r="M199" s="2804">
        <f t="shared" si="7"/>
        <v>0</v>
      </c>
      <c r="N199" s="2729">
        <f t="shared" si="7"/>
        <v>0</v>
      </c>
      <c r="O199" s="2804">
        <f t="shared" si="7"/>
        <v>0</v>
      </c>
      <c r="P199" s="2729">
        <f t="shared" si="7"/>
        <v>0</v>
      </c>
      <c r="Q199" s="2804">
        <f t="shared" si="7"/>
        <v>0</v>
      </c>
      <c r="R199" s="2729">
        <f t="shared" si="7"/>
        <v>0</v>
      </c>
      <c r="Y199" s="1191"/>
      <c r="Z199" s="1191"/>
      <c r="AZ199" s="1547"/>
      <c r="BA199" s="1547"/>
    </row>
    <row r="200" spans="1:133" ht="31.35" customHeight="1" x14ac:dyDescent="0.3">
      <c r="B200" s="133" t="s">
        <v>1386</v>
      </c>
      <c r="C200" s="133"/>
      <c r="D200" s="133"/>
      <c r="E200" s="133"/>
      <c r="F200" s="133"/>
      <c r="G200" s="133"/>
      <c r="H200" s="133"/>
      <c r="I200" s="133"/>
      <c r="J200" s="801"/>
      <c r="K200" s="801"/>
      <c r="L200" s="801"/>
      <c r="M200" s="801"/>
      <c r="N200" s="801"/>
      <c r="O200" s="801"/>
      <c r="P200" s="801"/>
      <c r="Q200" s="801"/>
      <c r="R200" s="801"/>
      <c r="BB200" s="1191"/>
      <c r="BC200" s="1191"/>
      <c r="BD200" s="1191"/>
      <c r="BE200" s="1191"/>
      <c r="BF200" s="1191"/>
      <c r="BG200" s="1191"/>
      <c r="BH200" s="1191"/>
      <c r="BI200" s="1191"/>
      <c r="BJ200" s="1191"/>
      <c r="BK200" s="1191"/>
      <c r="BL200" s="1191"/>
      <c r="BM200" s="1191"/>
      <c r="BN200" s="1191"/>
      <c r="BO200" s="1191"/>
      <c r="BP200" s="1191"/>
      <c r="BQ200" s="1191"/>
      <c r="BR200" s="1191"/>
      <c r="BS200" s="1191"/>
      <c r="BT200" s="1191"/>
    </row>
    <row r="201" spans="1:133" ht="23.25" customHeight="1" x14ac:dyDescent="0.3">
      <c r="B201" s="8788" t="s">
        <v>1385</v>
      </c>
      <c r="C201" s="8789"/>
      <c r="D201" s="8799" t="s">
        <v>24</v>
      </c>
      <c r="E201" s="8800"/>
      <c r="F201" s="8801"/>
      <c r="G201" s="8845" t="s">
        <v>2</v>
      </c>
      <c r="H201" s="8845"/>
      <c r="I201" s="8845"/>
      <c r="J201" s="8845"/>
      <c r="K201" s="8845"/>
      <c r="L201" s="8845"/>
      <c r="M201" s="8845"/>
      <c r="N201" s="8845"/>
      <c r="O201" s="8845"/>
      <c r="P201" s="8845"/>
      <c r="Q201" s="8845"/>
      <c r="R201" s="8845"/>
      <c r="S201" s="8845"/>
      <c r="T201" s="8845"/>
      <c r="U201" s="8845"/>
      <c r="V201" s="8845"/>
      <c r="W201" s="8845"/>
      <c r="X201" s="8845"/>
      <c r="Y201" s="8845"/>
      <c r="Z201" s="8845"/>
      <c r="AA201" s="8845"/>
      <c r="AB201" s="8845"/>
      <c r="AC201" s="8845"/>
      <c r="AD201" s="8846"/>
      <c r="AE201" s="8761" t="s">
        <v>2958</v>
      </c>
      <c r="AF201" s="8762"/>
      <c r="AG201" s="8773" t="s">
        <v>2669</v>
      </c>
      <c r="AH201" s="8774"/>
      <c r="AI201" s="8746" t="s">
        <v>362</v>
      </c>
      <c r="AJ201" s="8749" t="s">
        <v>361</v>
      </c>
      <c r="BB201" s="1191"/>
      <c r="BC201" s="1191"/>
      <c r="EC201" s="1123"/>
    </row>
    <row r="202" spans="1:133" ht="21" customHeight="1" x14ac:dyDescent="0.3">
      <c r="B202" s="8790"/>
      <c r="C202" s="8709"/>
      <c r="D202" s="8802"/>
      <c r="E202" s="8803"/>
      <c r="F202" s="8804"/>
      <c r="G202" s="8805" t="s">
        <v>1384</v>
      </c>
      <c r="H202" s="8806"/>
      <c r="I202" s="8781" t="s">
        <v>1079</v>
      </c>
      <c r="J202" s="8782"/>
      <c r="K202" s="8781" t="s">
        <v>1078</v>
      </c>
      <c r="L202" s="8782"/>
      <c r="M202" s="8781" t="s">
        <v>1383</v>
      </c>
      <c r="N202" s="8782"/>
      <c r="O202" s="8781" t="s">
        <v>1077</v>
      </c>
      <c r="P202" s="8782"/>
      <c r="Q202" s="8781" t="s">
        <v>1076</v>
      </c>
      <c r="R202" s="8782"/>
      <c r="S202" s="8781" t="s">
        <v>1047</v>
      </c>
      <c r="T202" s="8782"/>
      <c r="U202" s="8765" t="s">
        <v>1046</v>
      </c>
      <c r="V202" s="8765"/>
      <c r="W202" s="8765" t="s">
        <v>2129</v>
      </c>
      <c r="X202" s="8765"/>
      <c r="Y202" s="8765" t="s">
        <v>2130</v>
      </c>
      <c r="Z202" s="8765"/>
      <c r="AA202" s="8766" t="s">
        <v>48</v>
      </c>
      <c r="AB202" s="8767"/>
      <c r="AC202" s="8766" t="s">
        <v>49</v>
      </c>
      <c r="AD202" s="8768"/>
      <c r="AE202" s="8763"/>
      <c r="AF202" s="8764"/>
      <c r="AG202" s="8775"/>
      <c r="AH202" s="8776"/>
      <c r="AI202" s="8747"/>
      <c r="AJ202" s="8750"/>
      <c r="BB202" s="1191"/>
      <c r="BC202" s="1191"/>
      <c r="EC202" s="1123"/>
    </row>
    <row r="203" spans="1:133" ht="16.350000000000001" customHeight="1" x14ac:dyDescent="0.3">
      <c r="B203" s="8781"/>
      <c r="C203" s="8782"/>
      <c r="D203" s="1718" t="s">
        <v>1371</v>
      </c>
      <c r="E203" s="1719" t="s">
        <v>17</v>
      </c>
      <c r="F203" s="2087" t="s">
        <v>18</v>
      </c>
      <c r="G203" s="1720" t="s">
        <v>17</v>
      </c>
      <c r="H203" s="1687" t="s">
        <v>18</v>
      </c>
      <c r="I203" s="1720" t="s">
        <v>17</v>
      </c>
      <c r="J203" s="1687" t="s">
        <v>18</v>
      </c>
      <c r="K203" s="1720" t="s">
        <v>17</v>
      </c>
      <c r="L203" s="1687" t="s">
        <v>18</v>
      </c>
      <c r="M203" s="1720" t="s">
        <v>17</v>
      </c>
      <c r="N203" s="1687" t="s">
        <v>18</v>
      </c>
      <c r="O203" s="1720" t="s">
        <v>17</v>
      </c>
      <c r="P203" s="1687" t="s">
        <v>18</v>
      </c>
      <c r="Q203" s="1720" t="s">
        <v>17</v>
      </c>
      <c r="R203" s="1687" t="s">
        <v>18</v>
      </c>
      <c r="S203" s="1720" t="s">
        <v>17</v>
      </c>
      <c r="T203" s="1687" t="s">
        <v>18</v>
      </c>
      <c r="U203" s="1720" t="s">
        <v>17</v>
      </c>
      <c r="V203" s="1687" t="s">
        <v>18</v>
      </c>
      <c r="W203" s="1720" t="s">
        <v>17</v>
      </c>
      <c r="X203" s="1687" t="s">
        <v>18</v>
      </c>
      <c r="Y203" s="1720" t="s">
        <v>17</v>
      </c>
      <c r="Z203" s="1687" t="s">
        <v>18</v>
      </c>
      <c r="AA203" s="1720" t="s">
        <v>17</v>
      </c>
      <c r="AB203" s="1687" t="s">
        <v>18</v>
      </c>
      <c r="AC203" s="1720" t="s">
        <v>17</v>
      </c>
      <c r="AD203" s="1748" t="s">
        <v>18</v>
      </c>
      <c r="AE203" s="1746" t="s">
        <v>17</v>
      </c>
      <c r="AF203" s="1687" t="s">
        <v>18</v>
      </c>
      <c r="AG203" s="1746" t="s">
        <v>17</v>
      </c>
      <c r="AH203" s="1687" t="s">
        <v>18</v>
      </c>
      <c r="AI203" s="8748"/>
      <c r="AJ203" s="8751" t="s">
        <v>18</v>
      </c>
      <c r="BB203" s="1191"/>
      <c r="BC203" s="1191"/>
      <c r="EC203" s="1123"/>
    </row>
    <row r="204" spans="1:133" ht="16.350000000000001" customHeight="1" x14ac:dyDescent="0.3">
      <c r="A204" s="7258" t="s">
        <v>4197</v>
      </c>
      <c r="B204" s="8815" t="s">
        <v>1382</v>
      </c>
      <c r="C204" s="1721" t="s">
        <v>1381</v>
      </c>
      <c r="D204" s="1976" t="s">
        <v>5369</v>
      </c>
      <c r="E204" s="1977" t="s">
        <v>5370</v>
      </c>
      <c r="F204" s="1978" t="s">
        <v>5371</v>
      </c>
      <c r="G204" s="1753" t="s">
        <v>5372</v>
      </c>
      <c r="H204" s="1722" t="s">
        <v>5373</v>
      </c>
      <c r="I204" s="1753" t="s">
        <v>5374</v>
      </c>
      <c r="J204" s="1722" t="s">
        <v>5375</v>
      </c>
      <c r="K204" s="1753" t="s">
        <v>5376</v>
      </c>
      <c r="L204" s="1722" t="s">
        <v>5377</v>
      </c>
      <c r="M204" s="1753" t="s">
        <v>5378</v>
      </c>
      <c r="N204" s="1722" t="s">
        <v>5379</v>
      </c>
      <c r="O204" s="1753" t="s">
        <v>5380</v>
      </c>
      <c r="P204" s="1722" t="s">
        <v>5381</v>
      </c>
      <c r="Q204" s="1753" t="s">
        <v>5382</v>
      </c>
      <c r="R204" s="1688" t="s">
        <v>5383</v>
      </c>
      <c r="S204" s="1753" t="s">
        <v>5384</v>
      </c>
      <c r="T204" s="1688" t="s">
        <v>5385</v>
      </c>
      <c r="U204" s="1753" t="s">
        <v>5386</v>
      </c>
      <c r="V204" s="1722" t="s">
        <v>5387</v>
      </c>
      <c r="W204" s="1753" t="s">
        <v>5388</v>
      </c>
      <c r="X204" s="1722" t="s">
        <v>5389</v>
      </c>
      <c r="Y204" s="1753" t="s">
        <v>5390</v>
      </c>
      <c r="Z204" s="1688" t="s">
        <v>5391</v>
      </c>
      <c r="AA204" s="1753" t="s">
        <v>5392</v>
      </c>
      <c r="AB204" s="1688" t="s">
        <v>5393</v>
      </c>
      <c r="AC204" s="1753" t="s">
        <v>5394</v>
      </c>
      <c r="AD204" s="2176" t="s">
        <v>5395</v>
      </c>
      <c r="AE204" s="1722" t="s">
        <v>5396</v>
      </c>
      <c r="AF204" s="1688" t="s">
        <v>5397</v>
      </c>
      <c r="AG204" s="1722" t="s">
        <v>5398</v>
      </c>
      <c r="AH204" s="1688" t="s">
        <v>5399</v>
      </c>
      <c r="AI204" s="2523" t="s">
        <v>5400</v>
      </c>
      <c r="AJ204" s="2520" t="s">
        <v>5401</v>
      </c>
      <c r="AK204" s="1547"/>
      <c r="BB204" s="1191"/>
      <c r="BC204" s="1191"/>
      <c r="DB204" s="3217">
        <v>0</v>
      </c>
      <c r="DC204" s="3217">
        <v>0</v>
      </c>
      <c r="DD204" s="3217">
        <v>0</v>
      </c>
      <c r="DE204" s="3217">
        <v>0</v>
      </c>
      <c r="DF204" s="3217">
        <v>0</v>
      </c>
      <c r="DG204" s="3217">
        <v>0</v>
      </c>
      <c r="DH204" s="3217">
        <v>0</v>
      </c>
      <c r="DI204" s="3217">
        <v>0</v>
      </c>
      <c r="DJ204" s="3217">
        <v>0</v>
      </c>
      <c r="DK204" s="3217">
        <v>0</v>
      </c>
      <c r="DL204" s="3217">
        <v>0</v>
      </c>
      <c r="DM204" s="3217">
        <v>0</v>
      </c>
      <c r="EC204" s="1123"/>
    </row>
    <row r="205" spans="1:133" ht="16.350000000000001" customHeight="1" x14ac:dyDescent="0.3">
      <c r="A205" s="7258" t="s">
        <v>4198</v>
      </c>
      <c r="B205" s="8816"/>
      <c r="C205" s="1723" t="s">
        <v>1380</v>
      </c>
      <c r="D205" s="1973" t="s">
        <v>5369</v>
      </c>
      <c r="E205" s="1974" t="s">
        <v>5370</v>
      </c>
      <c r="F205" s="1975" t="s">
        <v>5371</v>
      </c>
      <c r="G205" s="1724" t="s">
        <v>5372</v>
      </c>
      <c r="H205" s="1725" t="s">
        <v>5373</v>
      </c>
      <c r="I205" s="1724" t="s">
        <v>5374</v>
      </c>
      <c r="J205" s="1725" t="s">
        <v>5375</v>
      </c>
      <c r="K205" s="1724" t="s">
        <v>5376</v>
      </c>
      <c r="L205" s="1725" t="s">
        <v>5377</v>
      </c>
      <c r="M205" s="1724" t="s">
        <v>5378</v>
      </c>
      <c r="N205" s="1725" t="s">
        <v>5379</v>
      </c>
      <c r="O205" s="1724" t="s">
        <v>5380</v>
      </c>
      <c r="P205" s="1725" t="s">
        <v>5381</v>
      </c>
      <c r="Q205" s="1724" t="s">
        <v>5382</v>
      </c>
      <c r="R205" s="1726" t="s">
        <v>5383</v>
      </c>
      <c r="S205" s="1724" t="s">
        <v>5384</v>
      </c>
      <c r="T205" s="1726" t="s">
        <v>5385</v>
      </c>
      <c r="U205" s="1724" t="s">
        <v>5386</v>
      </c>
      <c r="V205" s="1725" t="s">
        <v>5387</v>
      </c>
      <c r="W205" s="1724" t="s">
        <v>5388</v>
      </c>
      <c r="X205" s="1725" t="s">
        <v>5389</v>
      </c>
      <c r="Y205" s="1724" t="s">
        <v>5390</v>
      </c>
      <c r="Z205" s="1726" t="s">
        <v>5391</v>
      </c>
      <c r="AA205" s="1724" t="s">
        <v>5392</v>
      </c>
      <c r="AB205" s="1726" t="s">
        <v>5393</v>
      </c>
      <c r="AC205" s="1724" t="s">
        <v>5394</v>
      </c>
      <c r="AD205" s="2177" t="s">
        <v>5395</v>
      </c>
      <c r="AE205" s="1751" t="s">
        <v>5396</v>
      </c>
      <c r="AF205" s="1726" t="s">
        <v>5397</v>
      </c>
      <c r="AG205" s="1751" t="s">
        <v>5398</v>
      </c>
      <c r="AH205" s="1726" t="s">
        <v>5399</v>
      </c>
      <c r="AI205" s="2526" t="s">
        <v>5400</v>
      </c>
      <c r="AJ205" s="2524" t="s">
        <v>5401</v>
      </c>
      <c r="AK205" s="1547"/>
      <c r="BB205" s="1191"/>
      <c r="BC205" s="1191"/>
      <c r="DB205" s="3217">
        <v>0</v>
      </c>
      <c r="DC205" s="3217">
        <v>0</v>
      </c>
      <c r="DD205" s="3217">
        <v>0</v>
      </c>
      <c r="DE205" s="3217">
        <v>0</v>
      </c>
      <c r="DF205" s="3217">
        <v>0</v>
      </c>
      <c r="DG205" s="3217">
        <v>0</v>
      </c>
      <c r="DH205" s="3217">
        <v>0</v>
      </c>
      <c r="DI205" s="3217">
        <v>0</v>
      </c>
      <c r="DJ205" s="3217">
        <v>0</v>
      </c>
      <c r="DK205" s="3217">
        <v>0</v>
      </c>
      <c r="DL205" s="3217">
        <v>0</v>
      </c>
      <c r="DM205" s="3217">
        <v>0</v>
      </c>
      <c r="EC205" s="1123"/>
    </row>
    <row r="206" spans="1:133" ht="16.350000000000001" customHeight="1" x14ac:dyDescent="0.3">
      <c r="A206" s="7266"/>
      <c r="B206" s="8831" t="s">
        <v>39</v>
      </c>
      <c r="C206" s="8832"/>
      <c r="D206" s="1727" t="e">
        <f>SUM(E206+F206)</f>
        <v>#VALUE!</v>
      </c>
      <c r="E206" s="1728" t="e">
        <f>SUM(E204+E205)</f>
        <v>#VALUE!</v>
      </c>
      <c r="F206" s="1729" t="e">
        <f>SUM(F204+F205)</f>
        <v>#VALUE!</v>
      </c>
      <c r="G206" s="1727" t="e">
        <f>SUM(G204+G205)</f>
        <v>#VALUE!</v>
      </c>
      <c r="H206" s="1730" t="e">
        <f t="shared" ref="H206:AD206" si="8">SUM(H204+H205)</f>
        <v>#VALUE!</v>
      </c>
      <c r="I206" s="1727" t="e">
        <f t="shared" si="8"/>
        <v>#VALUE!</v>
      </c>
      <c r="J206" s="1730" t="e">
        <f t="shared" si="8"/>
        <v>#VALUE!</v>
      </c>
      <c r="K206" s="1727" t="e">
        <f t="shared" si="8"/>
        <v>#VALUE!</v>
      </c>
      <c r="L206" s="1730" t="e">
        <f t="shared" si="8"/>
        <v>#VALUE!</v>
      </c>
      <c r="M206" s="1727" t="e">
        <f t="shared" si="8"/>
        <v>#VALUE!</v>
      </c>
      <c r="N206" s="1730" t="e">
        <f t="shared" si="8"/>
        <v>#VALUE!</v>
      </c>
      <c r="O206" s="1727" t="e">
        <f t="shared" si="8"/>
        <v>#VALUE!</v>
      </c>
      <c r="P206" s="1730" t="e">
        <f t="shared" si="8"/>
        <v>#VALUE!</v>
      </c>
      <c r="Q206" s="1727" t="e">
        <f t="shared" si="8"/>
        <v>#VALUE!</v>
      </c>
      <c r="R206" s="1730" t="e">
        <f t="shared" si="8"/>
        <v>#VALUE!</v>
      </c>
      <c r="S206" s="1727" t="e">
        <f t="shared" si="8"/>
        <v>#VALUE!</v>
      </c>
      <c r="T206" s="1730" t="e">
        <f t="shared" si="8"/>
        <v>#VALUE!</v>
      </c>
      <c r="U206" s="1727" t="e">
        <f t="shared" si="8"/>
        <v>#VALUE!</v>
      </c>
      <c r="V206" s="1730" t="e">
        <f t="shared" si="8"/>
        <v>#VALUE!</v>
      </c>
      <c r="W206" s="1727" t="e">
        <f t="shared" si="8"/>
        <v>#VALUE!</v>
      </c>
      <c r="X206" s="1730" t="e">
        <f t="shared" si="8"/>
        <v>#VALUE!</v>
      </c>
      <c r="Y206" s="1727" t="e">
        <f t="shared" si="8"/>
        <v>#VALUE!</v>
      </c>
      <c r="Z206" s="1730" t="e">
        <f t="shared" si="8"/>
        <v>#VALUE!</v>
      </c>
      <c r="AA206" s="1727" t="e">
        <f t="shared" si="8"/>
        <v>#VALUE!</v>
      </c>
      <c r="AB206" s="1730" t="e">
        <f t="shared" si="8"/>
        <v>#VALUE!</v>
      </c>
      <c r="AC206" s="1727" t="e">
        <f t="shared" si="8"/>
        <v>#VALUE!</v>
      </c>
      <c r="AD206" s="2178" t="e">
        <f t="shared" si="8"/>
        <v>#VALUE!</v>
      </c>
      <c r="AE206" s="1752" t="e">
        <f t="shared" ref="AE206:AJ206" si="9">SUM(AE204+AE205)</f>
        <v>#VALUE!</v>
      </c>
      <c r="AF206" s="1730" t="e">
        <f t="shared" si="9"/>
        <v>#VALUE!</v>
      </c>
      <c r="AG206" s="1752" t="e">
        <f t="shared" si="9"/>
        <v>#VALUE!</v>
      </c>
      <c r="AH206" s="1730" t="e">
        <f t="shared" si="9"/>
        <v>#VALUE!</v>
      </c>
      <c r="AI206" s="2527" t="e">
        <f t="shared" si="9"/>
        <v>#VALUE!</v>
      </c>
      <c r="AJ206" s="2525" t="e">
        <f t="shared" si="9"/>
        <v>#VALUE!</v>
      </c>
      <c r="BB206" s="1191"/>
      <c r="BC206" s="1191"/>
      <c r="EC206" s="1123"/>
    </row>
    <row r="207" spans="1:133" ht="24" customHeight="1" x14ac:dyDescent="0.3">
      <c r="B207" s="133" t="s">
        <v>1379</v>
      </c>
      <c r="C207" s="133"/>
      <c r="D207" s="133"/>
      <c r="E207" s="133"/>
      <c r="F207" s="133"/>
      <c r="G207" s="133"/>
      <c r="J207" s="108"/>
      <c r="K207" s="108"/>
      <c r="L207" s="108"/>
      <c r="M207" s="108"/>
      <c r="N207" s="108"/>
      <c r="O207" s="108"/>
      <c r="P207" s="108"/>
      <c r="Q207" s="108"/>
      <c r="R207" s="108"/>
    </row>
    <row r="208" spans="1:133" ht="15" customHeight="1" x14ac:dyDescent="0.3">
      <c r="B208" s="8807" t="s">
        <v>416</v>
      </c>
      <c r="C208" s="8732"/>
      <c r="D208" s="8809" t="s">
        <v>24</v>
      </c>
      <c r="E208" s="8810"/>
      <c r="F208" s="8811"/>
      <c r="G208" s="8927" t="s">
        <v>2</v>
      </c>
      <c r="H208" s="8928"/>
      <c r="I208" s="8928"/>
      <c r="J208" s="8928"/>
      <c r="K208" s="8928"/>
      <c r="L208" s="8928"/>
      <c r="M208" s="8928"/>
      <c r="N208" s="8928"/>
      <c r="O208" s="8928"/>
      <c r="P208" s="8929"/>
      <c r="Q208" s="8930" t="s">
        <v>1378</v>
      </c>
      <c r="R208" s="8732"/>
      <c r="S208" s="8932" t="s">
        <v>361</v>
      </c>
      <c r="T208" s="8732"/>
      <c r="U208" s="8828" t="s">
        <v>186</v>
      </c>
      <c r="V208" s="8829"/>
      <c r="W208" s="8829"/>
      <c r="X208" s="8830"/>
    </row>
    <row r="209" spans="1:131" ht="15.75" customHeight="1" x14ac:dyDescent="0.3">
      <c r="B209" s="8790"/>
      <c r="C209" s="8808"/>
      <c r="D209" s="8812"/>
      <c r="E209" s="8813"/>
      <c r="F209" s="8814"/>
      <c r="G209" s="8783" t="s">
        <v>845</v>
      </c>
      <c r="H209" s="8783"/>
      <c r="I209" s="8783" t="s">
        <v>1377</v>
      </c>
      <c r="J209" s="8783"/>
      <c r="K209" s="8783" t="s">
        <v>1376</v>
      </c>
      <c r="L209" s="8783"/>
      <c r="M209" s="8783" t="s">
        <v>1375</v>
      </c>
      <c r="N209" s="8783"/>
      <c r="O209" s="8783" t="s">
        <v>3539</v>
      </c>
      <c r="P209" s="8934"/>
      <c r="Q209" s="8931"/>
      <c r="R209" s="8734"/>
      <c r="S209" s="8933"/>
      <c r="T209" s="8734"/>
      <c r="U209" s="8826" t="s">
        <v>1374</v>
      </c>
      <c r="V209" s="8899" t="s">
        <v>1373</v>
      </c>
      <c r="W209" s="8826" t="s">
        <v>2599</v>
      </c>
      <c r="X209" s="8826" t="s">
        <v>1372</v>
      </c>
    </row>
    <row r="210" spans="1:131" s="1463" customFormat="1" ht="30.75" customHeight="1" x14ac:dyDescent="0.3">
      <c r="A210" s="1191"/>
      <c r="B210" s="8733"/>
      <c r="C210" s="8734"/>
      <c r="D210" s="825" t="s">
        <v>1371</v>
      </c>
      <c r="E210" s="824" t="s">
        <v>17</v>
      </c>
      <c r="F210" s="2083" t="s">
        <v>18</v>
      </c>
      <c r="G210" s="1720" t="s">
        <v>17</v>
      </c>
      <c r="H210" s="1687" t="s">
        <v>18</v>
      </c>
      <c r="I210" s="1720" t="s">
        <v>17</v>
      </c>
      <c r="J210" s="1687" t="s">
        <v>18</v>
      </c>
      <c r="K210" s="1720" t="s">
        <v>17</v>
      </c>
      <c r="L210" s="1687" t="s">
        <v>18</v>
      </c>
      <c r="M210" s="1720" t="s">
        <v>17</v>
      </c>
      <c r="N210" s="1687" t="s">
        <v>18</v>
      </c>
      <c r="O210" s="1720" t="s">
        <v>17</v>
      </c>
      <c r="P210" s="1748" t="s">
        <v>18</v>
      </c>
      <c r="Q210" s="1746" t="s">
        <v>17</v>
      </c>
      <c r="R210" s="823" t="s">
        <v>18</v>
      </c>
      <c r="S210" s="1564" t="s">
        <v>17</v>
      </c>
      <c r="T210" s="823" t="s">
        <v>18</v>
      </c>
      <c r="U210" s="8827"/>
      <c r="V210" s="8900"/>
      <c r="W210" s="8827"/>
      <c r="X210" s="8827"/>
      <c r="Y210" s="827"/>
      <c r="Z210" s="827"/>
      <c r="AA210" s="827"/>
      <c r="AB210" s="827"/>
      <c r="AC210" s="827"/>
      <c r="AD210" s="827"/>
      <c r="AE210" s="827"/>
      <c r="AF210" s="827"/>
      <c r="AG210" s="827"/>
      <c r="AH210" s="827"/>
      <c r="AI210" s="827"/>
      <c r="AJ210" s="827"/>
      <c r="AK210" s="827"/>
      <c r="AL210" s="827"/>
      <c r="AM210" s="827"/>
      <c r="AN210" s="827"/>
      <c r="AO210" s="827"/>
      <c r="AP210" s="827"/>
      <c r="AQ210" s="827"/>
      <c r="AR210" s="827"/>
      <c r="AS210" s="827"/>
      <c r="AT210" s="827"/>
      <c r="AU210" s="827"/>
      <c r="AV210" s="827"/>
      <c r="AW210" s="827"/>
      <c r="AX210" s="827"/>
      <c r="AY210" s="827"/>
      <c r="AZ210" s="827"/>
      <c r="BA210" s="827"/>
      <c r="BB210" s="827"/>
      <c r="BC210" s="827"/>
      <c r="BD210" s="827"/>
      <c r="BE210" s="827"/>
      <c r="BF210" s="827"/>
      <c r="BG210" s="827"/>
      <c r="BH210" s="827"/>
      <c r="BI210" s="827"/>
      <c r="BJ210" s="827"/>
      <c r="BK210" s="827"/>
      <c r="BL210" s="827"/>
      <c r="BM210" s="827"/>
      <c r="BN210" s="827"/>
      <c r="BO210" s="827"/>
      <c r="BP210" s="827"/>
      <c r="BQ210" s="827"/>
      <c r="BR210" s="827"/>
      <c r="BS210" s="827"/>
      <c r="BT210" s="827"/>
      <c r="BU210" s="1191"/>
      <c r="BV210" s="1191"/>
      <c r="BW210" s="1191"/>
      <c r="BX210" s="1191"/>
      <c r="BY210" s="1191"/>
      <c r="BZ210" s="1191"/>
      <c r="CA210" s="1191"/>
      <c r="CB210" s="1442"/>
      <c r="CC210" s="1442"/>
      <c r="CD210" s="1442"/>
      <c r="CE210" s="1442"/>
      <c r="CF210" s="1442"/>
      <c r="CG210" s="1442"/>
      <c r="CH210" s="1442"/>
      <c r="CI210" s="1442"/>
      <c r="CJ210" s="1442"/>
      <c r="CK210" s="1442"/>
      <c r="CL210" s="1442"/>
      <c r="CM210" s="1442"/>
      <c r="CN210" s="1442"/>
      <c r="CO210" s="1442"/>
      <c r="CP210" s="1442"/>
      <c r="CQ210" s="1442"/>
      <c r="CR210" s="1442"/>
      <c r="CS210" s="1442"/>
      <c r="CT210" s="1442"/>
      <c r="CU210" s="1442"/>
      <c r="CV210" s="1442"/>
      <c r="CW210" s="1442"/>
      <c r="CX210" s="1442"/>
      <c r="CY210" s="1442"/>
      <c r="CZ210" s="1442"/>
      <c r="DA210" s="1442"/>
      <c r="DB210" s="3217"/>
      <c r="DC210" s="3217"/>
      <c r="DD210" s="3217"/>
      <c r="DE210" s="3217"/>
      <c r="DF210" s="3217"/>
      <c r="DG210" s="3217"/>
      <c r="DH210" s="3217"/>
      <c r="DI210" s="3217"/>
      <c r="DJ210" s="3217"/>
      <c r="DK210" s="3217"/>
      <c r="DL210" s="3217"/>
      <c r="DM210" s="3217"/>
      <c r="DN210" s="3217"/>
      <c r="DO210" s="3217"/>
      <c r="DP210" s="3217"/>
      <c r="DQ210" s="3217"/>
      <c r="DR210" s="3217"/>
      <c r="DS210" s="3217"/>
      <c r="DT210" s="3217"/>
      <c r="DU210" s="3217"/>
      <c r="DV210" s="3217"/>
      <c r="DW210" s="3217"/>
      <c r="DX210" s="3217"/>
      <c r="DY210" s="3217"/>
      <c r="DZ210" s="3217"/>
      <c r="EA210" s="3217"/>
    </row>
    <row r="211" spans="1:131" ht="15" customHeight="1" x14ac:dyDescent="0.3">
      <c r="A211" s="7258" t="s">
        <v>4199</v>
      </c>
      <c r="B211" s="8786" t="s">
        <v>1370</v>
      </c>
      <c r="C211" s="8787"/>
      <c r="D211" s="820" t="s">
        <v>5369</v>
      </c>
      <c r="E211" s="822" t="s">
        <v>5370</v>
      </c>
      <c r="F211" s="821" t="s">
        <v>5371</v>
      </c>
      <c r="G211" s="1749" t="s">
        <v>5372</v>
      </c>
      <c r="H211" s="1747" t="s">
        <v>5373</v>
      </c>
      <c r="I211" s="1749" t="s">
        <v>5374</v>
      </c>
      <c r="J211" s="1747" t="s">
        <v>5375</v>
      </c>
      <c r="K211" s="1749" t="s">
        <v>5376</v>
      </c>
      <c r="L211" s="1747" t="s">
        <v>5377</v>
      </c>
      <c r="M211" s="1749" t="s">
        <v>5378</v>
      </c>
      <c r="N211" s="1747" t="s">
        <v>5379</v>
      </c>
      <c r="O211" s="1749" t="s">
        <v>5380</v>
      </c>
      <c r="P211" s="1750" t="s">
        <v>5381</v>
      </c>
      <c r="Q211" s="1747" t="s">
        <v>5382</v>
      </c>
      <c r="R211" s="1566" t="s">
        <v>5383</v>
      </c>
      <c r="S211" s="1565" t="s">
        <v>5384</v>
      </c>
      <c r="T211" s="1566" t="s">
        <v>5385</v>
      </c>
      <c r="U211" s="1567" t="s">
        <v>5386</v>
      </c>
      <c r="V211" s="1566" t="s">
        <v>5387</v>
      </c>
      <c r="W211" s="1567" t="s">
        <v>5388</v>
      </c>
      <c r="X211" s="1567" t="s">
        <v>5389</v>
      </c>
      <c r="Y211" s="1552"/>
      <c r="CH211" s="1442">
        <v>0</v>
      </c>
      <c r="CI211" s="1442">
        <v>0</v>
      </c>
      <c r="CJ211" s="1442">
        <v>0</v>
      </c>
      <c r="CK211" s="1442">
        <v>0</v>
      </c>
      <c r="CL211" s="1442">
        <v>0</v>
      </c>
      <c r="CM211" s="1442">
        <v>0</v>
      </c>
      <c r="DB211" s="3217">
        <v>0</v>
      </c>
      <c r="DC211" s="3217">
        <v>0</v>
      </c>
      <c r="DD211" s="3217">
        <v>0</v>
      </c>
      <c r="DE211" s="3217">
        <v>0</v>
      </c>
      <c r="DF211" s="3217">
        <v>0</v>
      </c>
      <c r="DG211" s="3217">
        <v>0</v>
      </c>
    </row>
    <row r="212" spans="1:131" ht="28.5" customHeight="1" x14ac:dyDescent="0.3">
      <c r="B212" s="133" t="s">
        <v>2622</v>
      </c>
      <c r="C212" s="133"/>
      <c r="D212" s="133"/>
    </row>
    <row r="213" spans="1:131" ht="14.4" customHeight="1" x14ac:dyDescent="0.3">
      <c r="B213" s="8731" t="s">
        <v>416</v>
      </c>
      <c r="C213" s="8732"/>
      <c r="D213" s="8735" t="s">
        <v>2621</v>
      </c>
      <c r="E213" s="8736"/>
      <c r="F213" s="8606" t="s">
        <v>362</v>
      </c>
      <c r="G213" s="8796" t="s">
        <v>361</v>
      </c>
      <c r="Y213" s="1191"/>
      <c r="Z213" s="1191"/>
      <c r="AZ213" s="1547"/>
      <c r="BA213" s="1547"/>
    </row>
    <row r="214" spans="1:131" ht="23.25" customHeight="1" x14ac:dyDescent="0.3">
      <c r="B214" s="8733"/>
      <c r="C214" s="8734"/>
      <c r="D214" s="3009" t="s">
        <v>17</v>
      </c>
      <c r="E214" s="3010" t="s">
        <v>18</v>
      </c>
      <c r="F214" s="8702"/>
      <c r="G214" s="8710"/>
      <c r="Y214" s="1191"/>
      <c r="Z214" s="1191"/>
      <c r="AZ214" s="1547"/>
      <c r="BA214" s="1547"/>
    </row>
    <row r="215" spans="1:131" ht="15" customHeight="1" x14ac:dyDescent="0.3">
      <c r="A215" s="7258" t="s">
        <v>4200</v>
      </c>
      <c r="B215" s="8784" t="s">
        <v>1369</v>
      </c>
      <c r="C215" s="8785"/>
      <c r="D215" s="3011" t="s">
        <v>5369</v>
      </c>
      <c r="E215" s="3012" t="s">
        <v>5370</v>
      </c>
      <c r="F215" s="3005" t="s">
        <v>5371</v>
      </c>
      <c r="G215" s="2669" t="s">
        <v>5372</v>
      </c>
      <c r="H215" s="1123"/>
      <c r="Y215" s="1191"/>
      <c r="Z215" s="1191"/>
      <c r="AZ215" s="1547"/>
      <c r="BA215" s="1547"/>
      <c r="DB215" s="3217">
        <v>0</v>
      </c>
      <c r="DC215" s="3217">
        <v>0</v>
      </c>
      <c r="DD215" s="3217">
        <v>0</v>
      </c>
      <c r="DE215" s="3217">
        <v>0</v>
      </c>
    </row>
    <row r="216" spans="1:131" ht="15" customHeight="1" x14ac:dyDescent="0.3">
      <c r="A216" s="7258" t="s">
        <v>4201</v>
      </c>
      <c r="B216" s="8729" t="s">
        <v>1368</v>
      </c>
      <c r="C216" s="8730"/>
      <c r="D216" s="3013" t="s">
        <v>5369</v>
      </c>
      <c r="E216" s="3014" t="s">
        <v>5370</v>
      </c>
      <c r="F216" s="3006" t="s">
        <v>5371</v>
      </c>
      <c r="G216" s="2521" t="s">
        <v>5372</v>
      </c>
      <c r="H216" s="1123"/>
      <c r="Y216" s="1191"/>
      <c r="Z216" s="1191"/>
      <c r="AZ216" s="1547"/>
      <c r="BA216" s="1547"/>
    </row>
    <row r="217" spans="1:131" ht="15" customHeight="1" x14ac:dyDescent="0.3">
      <c r="A217" s="7259" t="s">
        <v>4202</v>
      </c>
      <c r="B217" s="8707" t="s">
        <v>2623</v>
      </c>
      <c r="C217" s="8708"/>
      <c r="D217" s="3015" t="s">
        <v>5369</v>
      </c>
      <c r="E217" s="3016" t="s">
        <v>5370</v>
      </c>
      <c r="F217" s="2524" t="s">
        <v>5371</v>
      </c>
      <c r="G217" s="2524" t="s">
        <v>5372</v>
      </c>
      <c r="H217" s="1123"/>
      <c r="Y217" s="1191"/>
      <c r="Z217" s="1191"/>
      <c r="AZ217" s="1547"/>
      <c r="BA217" s="1547"/>
    </row>
    <row r="218" spans="1:131" ht="15" customHeight="1" x14ac:dyDescent="0.3">
      <c r="A218" s="7307" t="s">
        <v>4203</v>
      </c>
      <c r="B218" s="8709" t="s">
        <v>2630</v>
      </c>
      <c r="C218" s="3322" t="s">
        <v>2624</v>
      </c>
      <c r="D218" s="3017" t="s">
        <v>5369</v>
      </c>
      <c r="E218" s="3018" t="s">
        <v>5370</v>
      </c>
      <c r="F218" s="3007" t="s">
        <v>5371</v>
      </c>
      <c r="G218" s="2671" t="s">
        <v>5372</v>
      </c>
      <c r="H218" s="1123"/>
      <c r="Y218" s="1191"/>
      <c r="Z218" s="1191"/>
      <c r="AZ218" s="1547"/>
      <c r="BA218" s="1547"/>
    </row>
    <row r="219" spans="1:131" ht="15" customHeight="1" x14ac:dyDescent="0.3">
      <c r="A219" s="7307" t="s">
        <v>4204</v>
      </c>
      <c r="B219" s="8709"/>
      <c r="C219" s="3323" t="s">
        <v>2625</v>
      </c>
      <c r="D219" s="3013" t="s">
        <v>5369</v>
      </c>
      <c r="E219" s="3014" t="s">
        <v>5370</v>
      </c>
      <c r="F219" s="3006" t="s">
        <v>5371</v>
      </c>
      <c r="G219" s="2521" t="s">
        <v>5372</v>
      </c>
      <c r="H219" s="1123"/>
      <c r="Y219" s="1191"/>
      <c r="Z219" s="1191"/>
      <c r="AZ219" s="1547"/>
      <c r="BA219" s="1547"/>
    </row>
    <row r="220" spans="1:131" ht="15" customHeight="1" x14ac:dyDescent="0.3">
      <c r="A220" s="7307" t="s">
        <v>4205</v>
      </c>
      <c r="B220" s="8709"/>
      <c r="C220" s="3323" t="s">
        <v>2626</v>
      </c>
      <c r="D220" s="3013" t="s">
        <v>5369</v>
      </c>
      <c r="E220" s="3014" t="s">
        <v>5370</v>
      </c>
      <c r="F220" s="3006" t="s">
        <v>5371</v>
      </c>
      <c r="G220" s="2521" t="s">
        <v>5372</v>
      </c>
      <c r="H220" s="1123"/>
      <c r="Y220" s="1191"/>
      <c r="Z220" s="1191"/>
      <c r="AZ220" s="1547"/>
      <c r="BA220" s="1547"/>
    </row>
    <row r="221" spans="1:131" ht="15" customHeight="1" x14ac:dyDescent="0.3">
      <c r="A221" s="7307" t="s">
        <v>4206</v>
      </c>
      <c r="B221" s="8710"/>
      <c r="C221" s="3324" t="s">
        <v>2627</v>
      </c>
      <c r="D221" s="3015" t="s">
        <v>5369</v>
      </c>
      <c r="E221" s="3016" t="s">
        <v>5370</v>
      </c>
      <c r="F221" s="2524" t="s">
        <v>5371</v>
      </c>
      <c r="G221" s="2524" t="s">
        <v>5372</v>
      </c>
      <c r="H221" s="1123"/>
      <c r="Y221" s="1191"/>
      <c r="Z221" s="1191"/>
      <c r="AZ221" s="1547"/>
      <c r="BA221" s="1547"/>
    </row>
    <row r="222" spans="1:131" ht="15" customHeight="1" x14ac:dyDescent="0.3">
      <c r="A222" s="7307" t="s">
        <v>4207</v>
      </c>
      <c r="B222" s="8796" t="s">
        <v>2631</v>
      </c>
      <c r="C222" s="3325" t="s">
        <v>2632</v>
      </c>
      <c r="D222" s="3011" t="s">
        <v>5369</v>
      </c>
      <c r="E222" s="3012" t="s">
        <v>5370</v>
      </c>
      <c r="F222" s="3005" t="s">
        <v>5371</v>
      </c>
      <c r="G222" s="2669" t="s">
        <v>5372</v>
      </c>
      <c r="H222" s="1123"/>
      <c r="Y222" s="1191"/>
      <c r="Z222" s="1191"/>
      <c r="AZ222" s="1547"/>
      <c r="BA222" s="1547"/>
    </row>
    <row r="223" spans="1:131" ht="15" customHeight="1" x14ac:dyDescent="0.3">
      <c r="A223" s="7307" t="s">
        <v>4208</v>
      </c>
      <c r="B223" s="8709"/>
      <c r="C223" s="3323" t="s">
        <v>2628</v>
      </c>
      <c r="D223" s="3013" t="s">
        <v>5369</v>
      </c>
      <c r="E223" s="3014" t="s">
        <v>5370</v>
      </c>
      <c r="F223" s="3006" t="s">
        <v>5371</v>
      </c>
      <c r="G223" s="2521" t="s">
        <v>5372</v>
      </c>
      <c r="H223" s="1123"/>
      <c r="Y223" s="1191"/>
      <c r="Z223" s="1191"/>
      <c r="AZ223" s="1547"/>
      <c r="BA223" s="1547"/>
    </row>
    <row r="224" spans="1:131" ht="15" customHeight="1" x14ac:dyDescent="0.3">
      <c r="A224" s="7307" t="s">
        <v>4209</v>
      </c>
      <c r="B224" s="8710"/>
      <c r="C224" s="3326" t="s">
        <v>2629</v>
      </c>
      <c r="D224" s="3019" t="s">
        <v>5369</v>
      </c>
      <c r="E224" s="3020" t="s">
        <v>5370</v>
      </c>
      <c r="F224" s="3008" t="s">
        <v>5371</v>
      </c>
      <c r="G224" s="2522" t="s">
        <v>5372</v>
      </c>
      <c r="H224" s="1123"/>
      <c r="Y224" s="1191"/>
      <c r="Z224" s="1191"/>
      <c r="AZ224" s="1547"/>
      <c r="BA224" s="1547"/>
    </row>
    <row r="225" spans="1:53" ht="31.5" customHeight="1" x14ac:dyDescent="0.3">
      <c r="B225" s="133" t="s">
        <v>2213</v>
      </c>
      <c r="C225" s="133"/>
      <c r="D225" s="133"/>
      <c r="F225" s="1192"/>
      <c r="G225" s="1192"/>
    </row>
    <row r="226" spans="1:53" ht="23.25" customHeight="1" x14ac:dyDescent="0.3">
      <c r="B226" s="8788" t="s">
        <v>2214</v>
      </c>
      <c r="C226" s="8789"/>
      <c r="D226" s="8791" t="s">
        <v>2208</v>
      </c>
      <c r="E226" s="8792"/>
      <c r="F226" s="8793"/>
      <c r="G226" s="1192"/>
    </row>
    <row r="227" spans="1:53" x14ac:dyDescent="0.3">
      <c r="B227" s="8790"/>
      <c r="C227" s="8709"/>
      <c r="D227" s="8794" t="s">
        <v>2209</v>
      </c>
      <c r="E227" s="8791" t="s">
        <v>2210</v>
      </c>
      <c r="F227" s="8793"/>
      <c r="G227" s="1192"/>
    </row>
    <row r="228" spans="1:53" ht="20.399999999999999" x14ac:dyDescent="0.3">
      <c r="B228" s="8781"/>
      <c r="C228" s="8782"/>
      <c r="D228" s="8795"/>
      <c r="E228" s="2179" t="s">
        <v>2211</v>
      </c>
      <c r="F228" s="1687" t="s">
        <v>2212</v>
      </c>
      <c r="G228" s="1192"/>
    </row>
    <row r="229" spans="1:53" x14ac:dyDescent="0.3">
      <c r="A229" s="7258" t="s">
        <v>4210</v>
      </c>
      <c r="B229" s="8797" t="s">
        <v>2215</v>
      </c>
      <c r="C229" s="8798"/>
      <c r="D229" s="2180" t="s">
        <v>5369</v>
      </c>
      <c r="E229" s="2181" t="s">
        <v>5370</v>
      </c>
      <c r="F229" s="1688" t="s">
        <v>5371</v>
      </c>
      <c r="G229" s="3215"/>
    </row>
    <row r="230" spans="1:53" x14ac:dyDescent="0.3">
      <c r="A230" s="7258" t="s">
        <v>4211</v>
      </c>
      <c r="B230" s="8777" t="s">
        <v>2216</v>
      </c>
      <c r="C230" s="8778"/>
      <c r="D230" s="2182" t="s">
        <v>5369</v>
      </c>
      <c r="E230" s="2183" t="s">
        <v>5370</v>
      </c>
      <c r="F230" s="2184" t="s">
        <v>5371</v>
      </c>
      <c r="G230" s="3215"/>
    </row>
    <row r="231" spans="1:53" x14ac:dyDescent="0.3">
      <c r="A231" s="7258" t="s">
        <v>4212</v>
      </c>
      <c r="B231" s="8777" t="s">
        <v>2217</v>
      </c>
      <c r="C231" s="8778"/>
      <c r="D231" s="2183" t="s">
        <v>5369</v>
      </c>
      <c r="E231" s="2183" t="s">
        <v>5370</v>
      </c>
      <c r="F231" s="2184" t="s">
        <v>5371</v>
      </c>
      <c r="G231" s="3215"/>
    </row>
    <row r="232" spans="1:53" x14ac:dyDescent="0.3">
      <c r="A232" s="7258" t="s">
        <v>4213</v>
      </c>
      <c r="B232" s="8777" t="s">
        <v>2218</v>
      </c>
      <c r="C232" s="8778"/>
      <c r="D232" s="2183" t="s">
        <v>5369</v>
      </c>
      <c r="E232" s="2183" t="s">
        <v>5370</v>
      </c>
      <c r="F232" s="2184" t="s">
        <v>5371</v>
      </c>
      <c r="G232" s="3215"/>
    </row>
    <row r="233" spans="1:53" x14ac:dyDescent="0.3">
      <c r="A233" s="7258" t="s">
        <v>4214</v>
      </c>
      <c r="B233" s="8779" t="s">
        <v>2219</v>
      </c>
      <c r="C233" s="8780"/>
      <c r="D233" s="2185" t="s">
        <v>5369</v>
      </c>
      <c r="E233" s="2186" t="s">
        <v>5370</v>
      </c>
      <c r="F233" s="2187" t="s">
        <v>5371</v>
      </c>
      <c r="G233" s="3215"/>
    </row>
    <row r="234" spans="1:53" ht="24.6" customHeight="1" x14ac:dyDescent="0.3">
      <c r="B234" s="8652" t="s">
        <v>3450</v>
      </c>
      <c r="C234" s="8652"/>
      <c r="D234" s="8652"/>
      <c r="E234" s="8652"/>
      <c r="F234" s="8652"/>
      <c r="G234" s="8652"/>
      <c r="H234" s="8652"/>
      <c r="I234" s="8652"/>
      <c r="J234" s="8652"/>
      <c r="K234" s="8652"/>
      <c r="L234" s="8652"/>
      <c r="M234" s="8652"/>
      <c r="N234" s="8652"/>
      <c r="O234" s="3771"/>
      <c r="P234" s="3771"/>
      <c r="Q234" s="3771"/>
      <c r="R234" s="3771"/>
      <c r="S234" s="3771"/>
      <c r="T234" s="3771"/>
      <c r="U234" s="3771"/>
      <c r="V234" s="3771"/>
      <c r="W234" s="3771"/>
      <c r="X234" s="3771"/>
      <c r="Y234" s="3771"/>
      <c r="Z234" s="3771"/>
      <c r="AA234" s="3131"/>
    </row>
    <row r="235" spans="1:53" ht="24.6" customHeight="1" x14ac:dyDescent="0.3">
      <c r="B235" s="8659" t="s">
        <v>30</v>
      </c>
      <c r="C235" s="8660"/>
      <c r="D235" s="8668" t="s">
        <v>1261</v>
      </c>
      <c r="E235" s="8669"/>
      <c r="F235" s="8670"/>
      <c r="G235" s="8674" t="s">
        <v>2</v>
      </c>
      <c r="H235" s="8675"/>
      <c r="I235" s="8675"/>
      <c r="J235" s="8675"/>
      <c r="K235" s="8675"/>
      <c r="L235" s="8675"/>
      <c r="M235" s="8675"/>
      <c r="N235" s="8675"/>
      <c r="O235" s="8675"/>
      <c r="P235" s="8675"/>
      <c r="Q235" s="8675"/>
      <c r="R235" s="8675"/>
      <c r="S235" s="8675"/>
      <c r="T235" s="8675"/>
      <c r="U235" s="8675"/>
      <c r="V235" s="8675"/>
      <c r="W235" s="8675"/>
      <c r="X235" s="8675"/>
      <c r="Y235" s="8675"/>
      <c r="Z235" s="8676"/>
      <c r="BA235" s="1547"/>
    </row>
    <row r="236" spans="1:53" ht="24.6" customHeight="1" x14ac:dyDescent="0.3">
      <c r="B236" s="8661"/>
      <c r="C236" s="8662"/>
      <c r="D236" s="8671"/>
      <c r="E236" s="8672"/>
      <c r="F236" s="8673"/>
      <c r="G236" s="8677" t="s">
        <v>3356</v>
      </c>
      <c r="H236" s="8675"/>
      <c r="I236" s="8677" t="s">
        <v>2271</v>
      </c>
      <c r="J236" s="8676"/>
      <c r="K236" s="8677" t="s">
        <v>48</v>
      </c>
      <c r="L236" s="8676"/>
      <c r="M236" s="8677" t="s">
        <v>49</v>
      </c>
      <c r="N236" s="8676"/>
      <c r="O236" s="8677" t="s">
        <v>50</v>
      </c>
      <c r="P236" s="8676"/>
      <c r="Q236" s="8677" t="s">
        <v>51</v>
      </c>
      <c r="R236" s="8676"/>
      <c r="S236" s="8677" t="s">
        <v>52</v>
      </c>
      <c r="T236" s="8676"/>
      <c r="U236" s="8677" t="s">
        <v>2198</v>
      </c>
      <c r="V236" s="8676"/>
      <c r="W236" s="8677" t="s">
        <v>2199</v>
      </c>
      <c r="X236" s="8676"/>
      <c r="Y236" s="8677" t="s">
        <v>1405</v>
      </c>
      <c r="Z236" s="8676"/>
      <c r="BA236" s="1547"/>
    </row>
    <row r="237" spans="1:53" ht="24.6" customHeight="1" x14ac:dyDescent="0.3">
      <c r="B237" s="8663"/>
      <c r="C237" s="8664"/>
      <c r="D237" s="3520" t="s">
        <v>42</v>
      </c>
      <c r="E237" s="3521" t="s">
        <v>17</v>
      </c>
      <c r="F237" s="3772" t="s">
        <v>18</v>
      </c>
      <c r="G237" s="3520" t="s">
        <v>17</v>
      </c>
      <c r="H237" s="3773" t="s">
        <v>18</v>
      </c>
      <c r="I237" s="3520" t="s">
        <v>17</v>
      </c>
      <c r="J237" s="3774" t="s">
        <v>18</v>
      </c>
      <c r="K237" s="3520" t="s">
        <v>17</v>
      </c>
      <c r="L237" s="3775" t="s">
        <v>18</v>
      </c>
      <c r="M237" s="3520" t="s">
        <v>17</v>
      </c>
      <c r="N237" s="3775" t="s">
        <v>18</v>
      </c>
      <c r="O237" s="3520" t="s">
        <v>17</v>
      </c>
      <c r="P237" s="3775" t="s">
        <v>18</v>
      </c>
      <c r="Q237" s="3520" t="s">
        <v>17</v>
      </c>
      <c r="R237" s="3775" t="s">
        <v>18</v>
      </c>
      <c r="S237" s="3520" t="s">
        <v>17</v>
      </c>
      <c r="T237" s="3775" t="s">
        <v>18</v>
      </c>
      <c r="U237" s="3520" t="s">
        <v>17</v>
      </c>
      <c r="V237" s="3775" t="s">
        <v>18</v>
      </c>
      <c r="W237" s="3520" t="s">
        <v>17</v>
      </c>
      <c r="X237" s="3775" t="s">
        <v>18</v>
      </c>
      <c r="Y237" s="3520" t="s">
        <v>17</v>
      </c>
      <c r="Z237" s="3775" t="s">
        <v>18</v>
      </c>
      <c r="BA237" s="1547"/>
    </row>
    <row r="238" spans="1:53" ht="15.6" customHeight="1" x14ac:dyDescent="0.3">
      <c r="A238" s="7259" t="s">
        <v>4215</v>
      </c>
      <c r="B238" s="8653" t="s">
        <v>3359</v>
      </c>
      <c r="C238" s="8654"/>
      <c r="D238" s="3776" t="s">
        <v>5369</v>
      </c>
      <c r="E238" s="3777" t="s">
        <v>5370</v>
      </c>
      <c r="F238" s="3778" t="s">
        <v>5371</v>
      </c>
      <c r="G238" s="3779" t="s">
        <v>5372</v>
      </c>
      <c r="H238" s="3780" t="s">
        <v>5373</v>
      </c>
      <c r="I238" s="7017" t="s">
        <v>5374</v>
      </c>
      <c r="J238" s="6967" t="s">
        <v>5375</v>
      </c>
      <c r="K238" s="3779" t="s">
        <v>5376</v>
      </c>
      <c r="L238" s="3780" t="s">
        <v>5377</v>
      </c>
      <c r="M238" s="3779" t="s">
        <v>5378</v>
      </c>
      <c r="N238" s="3780" t="s">
        <v>5379</v>
      </c>
      <c r="O238" s="3779" t="s">
        <v>5380</v>
      </c>
      <c r="P238" s="3780" t="s">
        <v>5381</v>
      </c>
      <c r="Q238" s="3779" t="s">
        <v>5382</v>
      </c>
      <c r="R238" s="3780" t="s">
        <v>5383</v>
      </c>
      <c r="S238" s="3779" t="s">
        <v>5384</v>
      </c>
      <c r="T238" s="3780" t="s">
        <v>5385</v>
      </c>
      <c r="U238" s="3779" t="s">
        <v>5386</v>
      </c>
      <c r="V238" s="3780" t="s">
        <v>5387</v>
      </c>
      <c r="W238" s="3779" t="s">
        <v>5388</v>
      </c>
      <c r="X238" s="3780" t="s">
        <v>5389</v>
      </c>
      <c r="Y238" s="3779" t="s">
        <v>5390</v>
      </c>
      <c r="Z238" s="3780" t="s">
        <v>5391</v>
      </c>
      <c r="BA238" s="1547"/>
    </row>
    <row r="239" spans="1:53" ht="15.6" customHeight="1" x14ac:dyDescent="0.3">
      <c r="A239" s="7259" t="s">
        <v>4216</v>
      </c>
      <c r="B239" s="8655" t="s">
        <v>3360</v>
      </c>
      <c r="C239" s="8656"/>
      <c r="D239" s="3781" t="s">
        <v>5369</v>
      </c>
      <c r="E239" s="3777" t="s">
        <v>5370</v>
      </c>
      <c r="F239" s="3778" t="s">
        <v>5371</v>
      </c>
      <c r="G239" s="3522" t="s">
        <v>5372</v>
      </c>
      <c r="H239" s="3782" t="s">
        <v>5373</v>
      </c>
      <c r="I239" s="3522" t="s">
        <v>5374</v>
      </c>
      <c r="J239" s="3782" t="s">
        <v>5375</v>
      </c>
      <c r="K239" s="7017" t="s">
        <v>5376</v>
      </c>
      <c r="L239" s="6965" t="s">
        <v>5377</v>
      </c>
      <c r="M239" s="3522" t="s">
        <v>5378</v>
      </c>
      <c r="N239" s="3782" t="s">
        <v>5379</v>
      </c>
      <c r="O239" s="3522" t="s">
        <v>5380</v>
      </c>
      <c r="P239" s="3782" t="s">
        <v>5381</v>
      </c>
      <c r="Q239" s="3522" t="s">
        <v>5382</v>
      </c>
      <c r="R239" s="3782" t="s">
        <v>5383</v>
      </c>
      <c r="S239" s="3522" t="s">
        <v>5384</v>
      </c>
      <c r="T239" s="3782" t="s">
        <v>5385</v>
      </c>
      <c r="U239" s="3522" t="s">
        <v>5386</v>
      </c>
      <c r="V239" s="3782" t="s">
        <v>5387</v>
      </c>
      <c r="W239" s="3522" t="s">
        <v>5388</v>
      </c>
      <c r="X239" s="3782" t="s">
        <v>5389</v>
      </c>
      <c r="Y239" s="3522" t="s">
        <v>5390</v>
      </c>
      <c r="Z239" s="3782" t="s">
        <v>5391</v>
      </c>
      <c r="BA239" s="1547"/>
    </row>
    <row r="240" spans="1:53" ht="15.6" customHeight="1" x14ac:dyDescent="0.3">
      <c r="A240" s="7259" t="s">
        <v>4217</v>
      </c>
      <c r="B240" s="8655" t="s">
        <v>3361</v>
      </c>
      <c r="C240" s="8656"/>
      <c r="D240" s="3781" t="s">
        <v>5369</v>
      </c>
      <c r="E240" s="3777" t="s">
        <v>5370</v>
      </c>
      <c r="F240" s="3778" t="s">
        <v>5371</v>
      </c>
      <c r="G240" s="3522" t="s">
        <v>5372</v>
      </c>
      <c r="H240" s="3782" t="s">
        <v>5373</v>
      </c>
      <c r="I240" s="3522" t="s">
        <v>5374</v>
      </c>
      <c r="J240" s="3782" t="s">
        <v>5375</v>
      </c>
      <c r="K240" s="3522" t="s">
        <v>5376</v>
      </c>
      <c r="L240" s="3782" t="s">
        <v>5377</v>
      </c>
      <c r="M240" s="7017" t="s">
        <v>5378</v>
      </c>
      <c r="N240" s="6965" t="s">
        <v>5379</v>
      </c>
      <c r="O240" s="3522" t="s">
        <v>5380</v>
      </c>
      <c r="P240" s="3782" t="s">
        <v>5381</v>
      </c>
      <c r="Q240" s="3522" t="s">
        <v>5382</v>
      </c>
      <c r="R240" s="3782" t="s">
        <v>5383</v>
      </c>
      <c r="S240" s="3522" t="s">
        <v>5384</v>
      </c>
      <c r="T240" s="3782" t="s">
        <v>5385</v>
      </c>
      <c r="U240" s="3522" t="s">
        <v>5386</v>
      </c>
      <c r="V240" s="3782" t="s">
        <v>5387</v>
      </c>
      <c r="W240" s="3522" t="s">
        <v>5388</v>
      </c>
      <c r="X240" s="3782" t="s">
        <v>5389</v>
      </c>
      <c r="Y240" s="3522" t="s">
        <v>5390</v>
      </c>
      <c r="Z240" s="3782" t="s">
        <v>5391</v>
      </c>
      <c r="BA240" s="1547"/>
    </row>
    <row r="241" spans="1:53" ht="15.6" customHeight="1" x14ac:dyDescent="0.3">
      <c r="A241" s="7259" t="s">
        <v>4218</v>
      </c>
      <c r="B241" s="8655" t="s">
        <v>3362</v>
      </c>
      <c r="C241" s="8656"/>
      <c r="D241" s="3781" t="s">
        <v>5369</v>
      </c>
      <c r="E241" s="3777" t="s">
        <v>5370</v>
      </c>
      <c r="F241" s="3778" t="s">
        <v>5371</v>
      </c>
      <c r="G241" s="3522" t="s">
        <v>5372</v>
      </c>
      <c r="H241" s="3782" t="s">
        <v>5373</v>
      </c>
      <c r="I241" s="3522" t="s">
        <v>5374</v>
      </c>
      <c r="J241" s="3782" t="s">
        <v>5375</v>
      </c>
      <c r="K241" s="3522" t="s">
        <v>5376</v>
      </c>
      <c r="L241" s="3782" t="s">
        <v>5377</v>
      </c>
      <c r="M241" s="3522" t="s">
        <v>5378</v>
      </c>
      <c r="N241" s="3782" t="s">
        <v>5379</v>
      </c>
      <c r="O241" s="7017" t="s">
        <v>5380</v>
      </c>
      <c r="P241" s="6965" t="s">
        <v>5381</v>
      </c>
      <c r="Q241" s="7017" t="s">
        <v>5382</v>
      </c>
      <c r="R241" s="6965" t="s">
        <v>5383</v>
      </c>
      <c r="S241" s="7017" t="s">
        <v>5384</v>
      </c>
      <c r="T241" s="6965" t="s">
        <v>5385</v>
      </c>
      <c r="U241" s="3522" t="s">
        <v>5386</v>
      </c>
      <c r="V241" s="3782" t="s">
        <v>5387</v>
      </c>
      <c r="W241" s="3522" t="s">
        <v>5388</v>
      </c>
      <c r="X241" s="3782" t="s">
        <v>5389</v>
      </c>
      <c r="Y241" s="3522" t="s">
        <v>5390</v>
      </c>
      <c r="Z241" s="3782" t="s">
        <v>5391</v>
      </c>
      <c r="BA241" s="1547"/>
    </row>
    <row r="242" spans="1:53" ht="15.6" customHeight="1" x14ac:dyDescent="0.3">
      <c r="A242" s="7259" t="s">
        <v>4219</v>
      </c>
      <c r="B242" s="8655" t="s">
        <v>3363</v>
      </c>
      <c r="C242" s="8656"/>
      <c r="D242" s="3781" t="s">
        <v>5369</v>
      </c>
      <c r="E242" s="3777" t="s">
        <v>5370</v>
      </c>
      <c r="F242" s="3778" t="s">
        <v>5371</v>
      </c>
      <c r="G242" s="3522" t="s">
        <v>5372</v>
      </c>
      <c r="H242" s="3782" t="s">
        <v>5373</v>
      </c>
      <c r="I242" s="3522" t="s">
        <v>5374</v>
      </c>
      <c r="J242" s="3782" t="s">
        <v>5375</v>
      </c>
      <c r="K242" s="7017" t="s">
        <v>5376</v>
      </c>
      <c r="L242" s="6965" t="s">
        <v>5377</v>
      </c>
      <c r="M242" s="7017" t="s">
        <v>5378</v>
      </c>
      <c r="N242" s="6965" t="s">
        <v>5379</v>
      </c>
      <c r="O242" s="7017" t="s">
        <v>5380</v>
      </c>
      <c r="P242" s="6965" t="s">
        <v>5381</v>
      </c>
      <c r="Q242" s="3522" t="s">
        <v>5382</v>
      </c>
      <c r="R242" s="3782" t="s">
        <v>5383</v>
      </c>
      <c r="S242" s="3522" t="s">
        <v>5384</v>
      </c>
      <c r="T242" s="3782" t="s">
        <v>5385</v>
      </c>
      <c r="U242" s="3522" t="s">
        <v>5386</v>
      </c>
      <c r="V242" s="3782" t="s">
        <v>5387</v>
      </c>
      <c r="W242" s="3522" t="s">
        <v>5388</v>
      </c>
      <c r="X242" s="3782" t="s">
        <v>5389</v>
      </c>
      <c r="Y242" s="3522" t="s">
        <v>5390</v>
      </c>
      <c r="Z242" s="3782" t="s">
        <v>5391</v>
      </c>
      <c r="BA242" s="1547"/>
    </row>
    <row r="243" spans="1:53" ht="15.6" customHeight="1" x14ac:dyDescent="0.3">
      <c r="A243" s="7259" t="s">
        <v>4220</v>
      </c>
      <c r="B243" s="8655" t="s">
        <v>3369</v>
      </c>
      <c r="C243" s="8656"/>
      <c r="D243" s="3781" t="s">
        <v>5369</v>
      </c>
      <c r="E243" s="3777" t="s">
        <v>5370</v>
      </c>
      <c r="F243" s="3778" t="s">
        <v>5371</v>
      </c>
      <c r="G243" s="3522" t="s">
        <v>5372</v>
      </c>
      <c r="H243" s="3782" t="s">
        <v>5373</v>
      </c>
      <c r="I243" s="3522" t="s">
        <v>5374</v>
      </c>
      <c r="J243" s="3782" t="s">
        <v>5375</v>
      </c>
      <c r="K243" s="7017" t="s">
        <v>5376</v>
      </c>
      <c r="L243" s="6964" t="s">
        <v>5377</v>
      </c>
      <c r="M243" s="7017" t="s">
        <v>5378</v>
      </c>
      <c r="N243" s="6965" t="s">
        <v>5379</v>
      </c>
      <c r="O243" s="7017" t="s">
        <v>5380</v>
      </c>
      <c r="P243" s="6965" t="s">
        <v>5381</v>
      </c>
      <c r="Q243" s="3522" t="s">
        <v>5382</v>
      </c>
      <c r="R243" s="3782" t="s">
        <v>5383</v>
      </c>
      <c r="S243" s="3522" t="s">
        <v>5384</v>
      </c>
      <c r="T243" s="3782" t="s">
        <v>5385</v>
      </c>
      <c r="U243" s="3522" t="s">
        <v>5386</v>
      </c>
      <c r="V243" s="3782" t="s">
        <v>5387</v>
      </c>
      <c r="W243" s="3522" t="s">
        <v>5388</v>
      </c>
      <c r="X243" s="3782" t="s">
        <v>5389</v>
      </c>
      <c r="Y243" s="3522" t="s">
        <v>5390</v>
      </c>
      <c r="Z243" s="3782" t="s">
        <v>5391</v>
      </c>
      <c r="BA243" s="1547"/>
    </row>
    <row r="244" spans="1:53" ht="15.6" customHeight="1" x14ac:dyDescent="0.3">
      <c r="A244" s="7259" t="s">
        <v>4221</v>
      </c>
      <c r="B244" s="8657" t="s">
        <v>3364</v>
      </c>
      <c r="C244" s="8658"/>
      <c r="D244" s="3783" t="s">
        <v>5369</v>
      </c>
      <c r="E244" s="3784" t="s">
        <v>5370</v>
      </c>
      <c r="F244" s="3785" t="s">
        <v>5371</v>
      </c>
      <c r="G244" s="3523" t="s">
        <v>5372</v>
      </c>
      <c r="H244" s="3786" t="s">
        <v>5373</v>
      </c>
      <c r="I244" s="3523" t="s">
        <v>5374</v>
      </c>
      <c r="J244" s="3786" t="s">
        <v>5375</v>
      </c>
      <c r="K244" s="3523" t="s">
        <v>5376</v>
      </c>
      <c r="L244" s="3787" t="s">
        <v>5377</v>
      </c>
      <c r="M244" s="3523" t="s">
        <v>5378</v>
      </c>
      <c r="N244" s="3786" t="s">
        <v>5379</v>
      </c>
      <c r="O244" s="3523" t="s">
        <v>5380</v>
      </c>
      <c r="P244" s="3786" t="s">
        <v>5381</v>
      </c>
      <c r="Q244" s="3523" t="s">
        <v>5382</v>
      </c>
      <c r="R244" s="3786" t="s">
        <v>5383</v>
      </c>
      <c r="S244" s="3523" t="s">
        <v>5384</v>
      </c>
      <c r="T244" s="3786" t="s">
        <v>5385</v>
      </c>
      <c r="U244" s="7018" t="s">
        <v>5386</v>
      </c>
      <c r="V244" s="6966" t="s">
        <v>5387</v>
      </c>
      <c r="W244" s="7018" t="s">
        <v>5388</v>
      </c>
      <c r="X244" s="6966" t="s">
        <v>5389</v>
      </c>
      <c r="Y244" s="7018" t="s">
        <v>5390</v>
      </c>
      <c r="Z244" s="6966" t="s">
        <v>5391</v>
      </c>
      <c r="BA244" s="1547"/>
    </row>
    <row r="245" spans="1:53" ht="15.6" customHeight="1" x14ac:dyDescent="0.3">
      <c r="A245" s="7259" t="s">
        <v>4222</v>
      </c>
      <c r="B245" s="8678" t="s">
        <v>1440</v>
      </c>
      <c r="C245" s="3788" t="s">
        <v>1381</v>
      </c>
      <c r="D245" s="4506" t="s">
        <v>5369</v>
      </c>
      <c r="E245" s="4507" t="s">
        <v>5370</v>
      </c>
      <c r="F245" s="4508" t="s">
        <v>5371</v>
      </c>
      <c r="G245" s="3522" t="s">
        <v>5372</v>
      </c>
      <c r="H245" s="3782" t="s">
        <v>5373</v>
      </c>
      <c r="I245" s="6963" t="s">
        <v>5374</v>
      </c>
      <c r="J245" s="6967" t="s">
        <v>5375</v>
      </c>
      <c r="K245" s="6963" t="s">
        <v>5376</v>
      </c>
      <c r="L245" s="6967" t="s">
        <v>5377</v>
      </c>
      <c r="M245" s="6963" t="s">
        <v>5378</v>
      </c>
      <c r="N245" s="6967" t="s">
        <v>5379</v>
      </c>
      <c r="O245" s="6963" t="s">
        <v>5380</v>
      </c>
      <c r="P245" s="6967" t="s">
        <v>5381</v>
      </c>
      <c r="Q245" s="6963" t="s">
        <v>5382</v>
      </c>
      <c r="R245" s="6967" t="s">
        <v>5383</v>
      </c>
      <c r="S245" s="6963" t="s">
        <v>5384</v>
      </c>
      <c r="T245" s="6967" t="s">
        <v>5385</v>
      </c>
      <c r="U245" s="3789" t="s">
        <v>5386</v>
      </c>
      <c r="V245" s="3790" t="s">
        <v>5387</v>
      </c>
      <c r="W245" s="3789" t="s">
        <v>5388</v>
      </c>
      <c r="X245" s="3790" t="s">
        <v>5389</v>
      </c>
      <c r="Y245" s="3789" t="s">
        <v>5390</v>
      </c>
      <c r="Z245" s="3790" t="s">
        <v>5391</v>
      </c>
      <c r="BA245" s="1547"/>
    </row>
    <row r="246" spans="1:53" ht="15.6" customHeight="1" x14ac:dyDescent="0.3">
      <c r="A246" s="7259" t="s">
        <v>4223</v>
      </c>
      <c r="B246" s="8679"/>
      <c r="C246" s="3791" t="s">
        <v>3370</v>
      </c>
      <c r="D246" s="4505" t="s">
        <v>5369</v>
      </c>
      <c r="E246" s="4509" t="s">
        <v>5370</v>
      </c>
      <c r="F246" s="4510" t="s">
        <v>5371</v>
      </c>
      <c r="G246" s="3522" t="s">
        <v>5372</v>
      </c>
      <c r="H246" s="3782" t="s">
        <v>5373</v>
      </c>
      <c r="I246" s="7017" t="s">
        <v>5374</v>
      </c>
      <c r="J246" s="6965" t="s">
        <v>5375</v>
      </c>
      <c r="K246" s="7017" t="s">
        <v>5376</v>
      </c>
      <c r="L246" s="6965" t="s">
        <v>5377</v>
      </c>
      <c r="M246" s="7017" t="s">
        <v>5378</v>
      </c>
      <c r="N246" s="6965" t="s">
        <v>5379</v>
      </c>
      <c r="O246" s="7017" t="s">
        <v>5380</v>
      </c>
      <c r="P246" s="6965" t="s">
        <v>5381</v>
      </c>
      <c r="Q246" s="7017" t="s">
        <v>5382</v>
      </c>
      <c r="R246" s="6965" t="s">
        <v>5383</v>
      </c>
      <c r="S246" s="7017" t="s">
        <v>5384</v>
      </c>
      <c r="T246" s="6965" t="s">
        <v>5385</v>
      </c>
      <c r="U246" s="3522" t="s">
        <v>5386</v>
      </c>
      <c r="V246" s="3782" t="s">
        <v>5387</v>
      </c>
      <c r="W246" s="3522" t="s">
        <v>5388</v>
      </c>
      <c r="X246" s="3782" t="s">
        <v>5389</v>
      </c>
      <c r="Y246" s="3522" t="s">
        <v>5390</v>
      </c>
      <c r="Z246" s="3782" t="s">
        <v>5391</v>
      </c>
      <c r="BA246" s="1547"/>
    </row>
    <row r="247" spans="1:53" ht="15.6" customHeight="1" x14ac:dyDescent="0.3">
      <c r="A247" s="7259" t="s">
        <v>4224</v>
      </c>
      <c r="B247" s="8680"/>
      <c r="C247" s="3792" t="s">
        <v>1380</v>
      </c>
      <c r="D247" s="3783" t="s">
        <v>5369</v>
      </c>
      <c r="E247" s="4511" t="s">
        <v>5370</v>
      </c>
      <c r="F247" s="4512" t="s">
        <v>5371</v>
      </c>
      <c r="G247" s="3523" t="s">
        <v>5372</v>
      </c>
      <c r="H247" s="3786" t="s">
        <v>5373</v>
      </c>
      <c r="I247" s="7018" t="s">
        <v>5374</v>
      </c>
      <c r="J247" s="6966" t="s">
        <v>5375</v>
      </c>
      <c r="K247" s="7018" t="s">
        <v>5376</v>
      </c>
      <c r="L247" s="6966" t="s">
        <v>5377</v>
      </c>
      <c r="M247" s="7018" t="s">
        <v>5378</v>
      </c>
      <c r="N247" s="6966" t="s">
        <v>5379</v>
      </c>
      <c r="O247" s="7018" t="s">
        <v>5380</v>
      </c>
      <c r="P247" s="6966" t="s">
        <v>5381</v>
      </c>
      <c r="Q247" s="7018" t="s">
        <v>5382</v>
      </c>
      <c r="R247" s="6966" t="s">
        <v>5383</v>
      </c>
      <c r="S247" s="7018" t="s">
        <v>5384</v>
      </c>
      <c r="T247" s="6966" t="s">
        <v>5385</v>
      </c>
      <c r="U247" s="3523" t="s">
        <v>5386</v>
      </c>
      <c r="V247" s="3786" t="s">
        <v>5387</v>
      </c>
      <c r="W247" s="3523" t="s">
        <v>5388</v>
      </c>
      <c r="X247" s="3786" t="s">
        <v>5389</v>
      </c>
      <c r="Y247" s="3523" t="s">
        <v>5390</v>
      </c>
      <c r="Z247" s="3786" t="s">
        <v>5391</v>
      </c>
      <c r="BA247" s="1547"/>
    </row>
    <row r="248" spans="1:53" ht="26.4" customHeight="1" x14ac:dyDescent="0.3">
      <c r="B248" s="1345" t="s">
        <v>3451</v>
      </c>
      <c r="C248" s="1192"/>
      <c r="D248" s="1192"/>
      <c r="E248" s="1192"/>
      <c r="F248" s="1192"/>
      <c r="G248" s="1192"/>
      <c r="H248" s="1192"/>
      <c r="I248" s="1192"/>
      <c r="J248" s="1192"/>
      <c r="K248" s="2384"/>
      <c r="L248" s="3132"/>
      <c r="M248" s="3132"/>
      <c r="N248" s="3132"/>
      <c r="O248" s="3132"/>
      <c r="P248" s="3132"/>
    </row>
    <row r="249" spans="1:53" x14ac:dyDescent="0.3">
      <c r="B249" s="8681" t="s">
        <v>1417</v>
      </c>
      <c r="C249" s="8681"/>
      <c r="D249" s="8682" t="s">
        <v>24</v>
      </c>
      <c r="E249" s="8559"/>
      <c r="F249" s="8606"/>
      <c r="G249" s="8684" t="s">
        <v>2</v>
      </c>
      <c r="H249" s="8684"/>
      <c r="I249" s="8684"/>
      <c r="J249" s="8684"/>
      <c r="K249" s="8684"/>
      <c r="L249" s="8684"/>
      <c r="M249" s="8684"/>
      <c r="N249" s="8684"/>
      <c r="O249" s="8684"/>
      <c r="P249" s="8684"/>
    </row>
    <row r="250" spans="1:53" x14ac:dyDescent="0.3">
      <c r="B250" s="8681"/>
      <c r="C250" s="8681"/>
      <c r="D250" s="8683"/>
      <c r="E250" s="8561"/>
      <c r="F250" s="8607"/>
      <c r="G250" s="8685" t="s">
        <v>1416</v>
      </c>
      <c r="H250" s="8686"/>
      <c r="I250" s="8685" t="s">
        <v>1415</v>
      </c>
      <c r="J250" s="8686"/>
      <c r="K250" s="8685" t="s">
        <v>32</v>
      </c>
      <c r="L250" s="8686"/>
      <c r="M250" s="8687" t="s">
        <v>33</v>
      </c>
      <c r="N250" s="8688"/>
      <c r="O250" s="8688" t="s">
        <v>40</v>
      </c>
      <c r="P250" s="8689"/>
    </row>
    <row r="251" spans="1:53" x14ac:dyDescent="0.3">
      <c r="B251" s="8681"/>
      <c r="C251" s="8681"/>
      <c r="D251" s="3327" t="s">
        <v>42</v>
      </c>
      <c r="E251" s="3328" t="s">
        <v>17</v>
      </c>
      <c r="F251" s="2114" t="s">
        <v>18</v>
      </c>
      <c r="G251" s="3340" t="s">
        <v>17</v>
      </c>
      <c r="H251" s="2114" t="s">
        <v>18</v>
      </c>
      <c r="I251" s="3340" t="s">
        <v>17</v>
      </c>
      <c r="J251" s="2114" t="s">
        <v>18</v>
      </c>
      <c r="K251" s="3340" t="s">
        <v>17</v>
      </c>
      <c r="L251" s="2114" t="s">
        <v>18</v>
      </c>
      <c r="M251" s="3135" t="s">
        <v>17</v>
      </c>
      <c r="N251" s="3263" t="s">
        <v>18</v>
      </c>
      <c r="O251" s="3124" t="s">
        <v>17</v>
      </c>
      <c r="P251" s="3341" t="s">
        <v>18</v>
      </c>
    </row>
    <row r="252" spans="1:53" x14ac:dyDescent="0.3">
      <c r="A252" s="7259" t="s">
        <v>4225</v>
      </c>
      <c r="B252" s="8665" t="s">
        <v>1467</v>
      </c>
      <c r="C252" s="3329" t="s">
        <v>1411</v>
      </c>
      <c r="D252" s="3330" t="s">
        <v>5369</v>
      </c>
      <c r="E252" s="3331" t="s">
        <v>5370</v>
      </c>
      <c r="F252" s="3232" t="s">
        <v>5371</v>
      </c>
      <c r="G252" s="3134" t="s">
        <v>5372</v>
      </c>
      <c r="H252" s="7019" t="s">
        <v>5373</v>
      </c>
      <c r="I252" s="3137" t="s">
        <v>5374</v>
      </c>
      <c r="J252" s="7019" t="s">
        <v>5375</v>
      </c>
      <c r="K252" s="3137" t="s">
        <v>5376</v>
      </c>
      <c r="L252" s="7019" t="s">
        <v>5377</v>
      </c>
      <c r="M252" s="3137" t="s">
        <v>5378</v>
      </c>
      <c r="N252" s="3126" t="s">
        <v>5379</v>
      </c>
      <c r="O252" s="3126" t="s">
        <v>5380</v>
      </c>
      <c r="P252" s="7019" t="s">
        <v>5381</v>
      </c>
    </row>
    <row r="253" spans="1:53" x14ac:dyDescent="0.3">
      <c r="A253" s="7259" t="s">
        <v>4226</v>
      </c>
      <c r="B253" s="8666"/>
      <c r="C253" s="3252" t="s">
        <v>1410</v>
      </c>
      <c r="D253" s="3332" t="s">
        <v>5369</v>
      </c>
      <c r="E253" s="3333" t="s">
        <v>5370</v>
      </c>
      <c r="F253" s="2954" t="s">
        <v>5371</v>
      </c>
      <c r="G253" s="3054" t="s">
        <v>5372</v>
      </c>
      <c r="H253" s="2824" t="s">
        <v>5373</v>
      </c>
      <c r="I253" s="2956" t="s">
        <v>5374</v>
      </c>
      <c r="J253" s="2824" t="s">
        <v>5375</v>
      </c>
      <c r="K253" s="2956" t="s">
        <v>5376</v>
      </c>
      <c r="L253" s="2824" t="s">
        <v>5377</v>
      </c>
      <c r="M253" s="2956" t="s">
        <v>5378</v>
      </c>
      <c r="N253" s="2995" t="s">
        <v>5379</v>
      </c>
      <c r="O253" s="2995" t="s">
        <v>5380</v>
      </c>
      <c r="P253" s="2824" t="s">
        <v>5381</v>
      </c>
    </row>
    <row r="254" spans="1:53" x14ac:dyDescent="0.3">
      <c r="A254" s="7259" t="s">
        <v>4227</v>
      </c>
      <c r="B254" s="8667"/>
      <c r="C254" s="3334" t="s">
        <v>1409</v>
      </c>
      <c r="D254" s="3335" t="s">
        <v>5369</v>
      </c>
      <c r="E254" s="3336" t="s">
        <v>5370</v>
      </c>
      <c r="F254" s="3337" t="s">
        <v>5371</v>
      </c>
      <c r="G254" s="3045" t="s">
        <v>5372</v>
      </c>
      <c r="H254" s="3046" t="s">
        <v>5373</v>
      </c>
      <c r="I254" s="2990" t="s">
        <v>5374</v>
      </c>
      <c r="J254" s="3046" t="s">
        <v>5375</v>
      </c>
      <c r="K254" s="2990" t="s">
        <v>5376</v>
      </c>
      <c r="L254" s="3046" t="s">
        <v>5377</v>
      </c>
      <c r="M254" s="2990" t="s">
        <v>5378</v>
      </c>
      <c r="N254" s="2991" t="s">
        <v>5379</v>
      </c>
      <c r="O254" s="2991" t="s">
        <v>5380</v>
      </c>
      <c r="P254" s="3046" t="s">
        <v>5381</v>
      </c>
    </row>
    <row r="255" spans="1:53" x14ac:dyDescent="0.3">
      <c r="A255" s="7259" t="s">
        <v>4228</v>
      </c>
      <c r="B255" s="8665" t="s">
        <v>3368</v>
      </c>
      <c r="C255" s="3338" t="s">
        <v>1411</v>
      </c>
      <c r="D255" s="3330" t="s">
        <v>5369</v>
      </c>
      <c r="E255" s="3331" t="s">
        <v>5370</v>
      </c>
      <c r="F255" s="3232" t="s">
        <v>5371</v>
      </c>
      <c r="G255" s="3134" t="s">
        <v>5372</v>
      </c>
      <c r="H255" s="7019" t="s">
        <v>5373</v>
      </c>
      <c r="I255" s="3137" t="s">
        <v>5374</v>
      </c>
      <c r="J255" s="7019" t="s">
        <v>5375</v>
      </c>
      <c r="K255" s="3137" t="s">
        <v>5376</v>
      </c>
      <c r="L255" s="7019" t="s">
        <v>5377</v>
      </c>
      <c r="M255" s="3137" t="s">
        <v>5378</v>
      </c>
      <c r="N255" s="3126" t="s">
        <v>5379</v>
      </c>
      <c r="O255" s="3126" t="s">
        <v>5380</v>
      </c>
      <c r="P255" s="7019" t="s">
        <v>5381</v>
      </c>
    </row>
    <row r="256" spans="1:53" x14ac:dyDescent="0.3">
      <c r="A256" s="7259" t="s">
        <v>4229</v>
      </c>
      <c r="B256" s="8666"/>
      <c r="C256" s="3252" t="s">
        <v>1410</v>
      </c>
      <c r="D256" s="3332" t="s">
        <v>5369</v>
      </c>
      <c r="E256" s="3333" t="s">
        <v>5370</v>
      </c>
      <c r="F256" s="2954" t="s">
        <v>5371</v>
      </c>
      <c r="G256" s="3054" t="s">
        <v>5372</v>
      </c>
      <c r="H256" s="2824" t="s">
        <v>5373</v>
      </c>
      <c r="I256" s="2956" t="s">
        <v>5374</v>
      </c>
      <c r="J256" s="2824" t="s">
        <v>5375</v>
      </c>
      <c r="K256" s="2956" t="s">
        <v>5376</v>
      </c>
      <c r="L256" s="2824" t="s">
        <v>5377</v>
      </c>
      <c r="M256" s="2956" t="s">
        <v>5378</v>
      </c>
      <c r="N256" s="2995" t="s">
        <v>5379</v>
      </c>
      <c r="O256" s="2995" t="s">
        <v>5380</v>
      </c>
      <c r="P256" s="2824" t="s">
        <v>5381</v>
      </c>
    </row>
    <row r="257" spans="1:131" x14ac:dyDescent="0.3">
      <c r="A257" s="7259" t="s">
        <v>4230</v>
      </c>
      <c r="B257" s="8667"/>
      <c r="C257" s="3339" t="s">
        <v>1409</v>
      </c>
      <c r="D257" s="3335" t="s">
        <v>5369</v>
      </c>
      <c r="E257" s="3336" t="s">
        <v>5370</v>
      </c>
      <c r="F257" s="3337" t="s">
        <v>5371</v>
      </c>
      <c r="G257" s="3045" t="s">
        <v>5372</v>
      </c>
      <c r="H257" s="3046" t="s">
        <v>5373</v>
      </c>
      <c r="I257" s="2990" t="s">
        <v>5374</v>
      </c>
      <c r="J257" s="3046" t="s">
        <v>5375</v>
      </c>
      <c r="K257" s="2990" t="s">
        <v>5376</v>
      </c>
      <c r="L257" s="3046" t="s">
        <v>5377</v>
      </c>
      <c r="M257" s="2990" t="s">
        <v>5378</v>
      </c>
      <c r="N257" s="2991" t="s">
        <v>5379</v>
      </c>
      <c r="O257" s="2991" t="s">
        <v>5380</v>
      </c>
      <c r="P257" s="3046" t="s">
        <v>5381</v>
      </c>
    </row>
    <row r="258" spans="1:131" ht="22.95" customHeight="1" x14ac:dyDescent="0.3">
      <c r="B258" s="8379" t="s">
        <v>5490</v>
      </c>
      <c r="C258" s="1157"/>
      <c r="D258" s="1157"/>
      <c r="E258" s="1157"/>
      <c r="F258" s="1157"/>
      <c r="G258" s="3098"/>
      <c r="H258" s="3098"/>
      <c r="I258" s="3098"/>
      <c r="J258" s="3098"/>
      <c r="K258" s="3098"/>
      <c r="L258" s="3098"/>
      <c r="M258" s="3098"/>
      <c r="N258" s="3098"/>
      <c r="O258" s="3098"/>
      <c r="P258" s="3098"/>
      <c r="Q258" s="3098"/>
      <c r="R258" s="3098"/>
      <c r="S258" s="3098"/>
      <c r="T258" s="3098"/>
      <c r="U258" s="3098"/>
      <c r="V258" s="3098"/>
      <c r="W258" s="3098"/>
      <c r="X258" s="3098"/>
      <c r="Y258" s="3098"/>
      <c r="Z258" s="3098"/>
      <c r="AA258" s="3098"/>
      <c r="AB258" s="3098"/>
      <c r="AC258" s="3098"/>
      <c r="AD258" s="3098"/>
      <c r="AE258" s="3098"/>
      <c r="AF258" s="3098"/>
      <c r="AG258" s="3098"/>
      <c r="AH258" s="3098"/>
      <c r="AI258" s="3098"/>
      <c r="AJ258" s="3098"/>
      <c r="AK258" s="3098"/>
      <c r="AL258" s="3098"/>
      <c r="AM258" s="3098"/>
      <c r="AN258" s="3098"/>
      <c r="AO258" s="3098"/>
      <c r="AP258" s="3098"/>
      <c r="AQ258" s="3098"/>
      <c r="AR258" s="3098"/>
      <c r="AS258" s="3098"/>
      <c r="AT258" s="3098"/>
      <c r="AU258" s="3098"/>
      <c r="AV258" s="3098"/>
      <c r="AW258" s="3098"/>
      <c r="AX258" s="3098"/>
      <c r="AY258" s="3098"/>
    </row>
    <row r="259" spans="1:131" x14ac:dyDescent="0.3">
      <c r="B259" s="8699" t="s">
        <v>41</v>
      </c>
      <c r="C259" s="8699" t="s">
        <v>0</v>
      </c>
      <c r="D259" s="8682" t="s">
        <v>86</v>
      </c>
      <c r="E259" s="8559"/>
      <c r="F259" s="8606"/>
      <c r="G259" s="8697" t="s">
        <v>709</v>
      </c>
      <c r="H259" s="8703"/>
      <c r="I259" s="8703"/>
      <c r="J259" s="8703"/>
      <c r="K259" s="8703"/>
      <c r="L259" s="8703"/>
      <c r="M259" s="8703"/>
      <c r="N259" s="8703"/>
      <c r="O259" s="8703"/>
      <c r="P259" s="8703"/>
      <c r="Q259" s="8703"/>
      <c r="R259" s="8703"/>
      <c r="S259" s="8703"/>
      <c r="T259" s="8703"/>
      <c r="U259" s="8703"/>
      <c r="V259" s="8703"/>
      <c r="W259" s="8703"/>
      <c r="X259" s="8703"/>
      <c r="Y259" s="8703"/>
      <c r="Z259" s="8703"/>
      <c r="AA259" s="8703"/>
      <c r="AB259" s="8703"/>
      <c r="AC259" s="8703"/>
      <c r="AD259" s="8703"/>
      <c r="AE259" s="8703"/>
      <c r="AF259" s="8703"/>
      <c r="AG259" s="8703"/>
      <c r="AH259" s="8703"/>
      <c r="AI259" s="8703"/>
      <c r="AJ259" s="8703"/>
      <c r="AK259" s="8703"/>
      <c r="AL259" s="8703"/>
      <c r="AM259" s="8703"/>
      <c r="AN259" s="8698"/>
      <c r="AO259" s="8695" t="s">
        <v>3145</v>
      </c>
      <c r="AP259" s="8703"/>
      <c r="AQ259" s="8703"/>
      <c r="AR259" s="8703"/>
      <c r="AS259" s="8703"/>
      <c r="AT259" s="8703"/>
      <c r="AU259" s="8703"/>
      <c r="AV259" s="8698"/>
      <c r="AW259" s="8606" t="s">
        <v>2813</v>
      </c>
      <c r="AX259" s="8704" t="s">
        <v>362</v>
      </c>
      <c r="BA259" s="1547"/>
      <c r="BU259" s="1442"/>
      <c r="BV259" s="1442"/>
      <c r="BW259" s="1442"/>
      <c r="BX259" s="1442"/>
      <c r="BY259" s="1442"/>
      <c r="BZ259" s="1442"/>
      <c r="CA259" s="1445"/>
      <c r="DA259" s="3217"/>
      <c r="EA259" s="1123"/>
    </row>
    <row r="260" spans="1:131" ht="32.4" customHeight="1" x14ac:dyDescent="0.3">
      <c r="B260" s="8591"/>
      <c r="C260" s="8591"/>
      <c r="D260" s="8683"/>
      <c r="E260" s="8701"/>
      <c r="F260" s="8702"/>
      <c r="G260" s="8570" t="s">
        <v>399</v>
      </c>
      <c r="H260" s="8571"/>
      <c r="I260" s="8570" t="s">
        <v>54</v>
      </c>
      <c r="J260" s="8571"/>
      <c r="K260" s="8570" t="s">
        <v>79</v>
      </c>
      <c r="L260" s="8571"/>
      <c r="M260" s="8570" t="s">
        <v>80</v>
      </c>
      <c r="N260" s="8571"/>
      <c r="O260" s="8570" t="s">
        <v>81</v>
      </c>
      <c r="P260" s="8571"/>
      <c r="Q260" s="8567" t="s">
        <v>82</v>
      </c>
      <c r="R260" s="8569"/>
      <c r="S260" s="8567" t="s">
        <v>83</v>
      </c>
      <c r="T260" s="8569"/>
      <c r="U260" s="8567" t="s">
        <v>400</v>
      </c>
      <c r="V260" s="8569"/>
      <c r="W260" s="8567" t="s">
        <v>124</v>
      </c>
      <c r="X260" s="8569"/>
      <c r="Y260" s="8567" t="s">
        <v>125</v>
      </c>
      <c r="Z260" s="8569"/>
      <c r="AA260" s="8567" t="s">
        <v>126</v>
      </c>
      <c r="AB260" s="8569"/>
      <c r="AC260" s="8567" t="s">
        <v>127</v>
      </c>
      <c r="AD260" s="8569"/>
      <c r="AE260" s="8567" t="s">
        <v>128</v>
      </c>
      <c r="AF260" s="8569"/>
      <c r="AG260" s="8567" t="s">
        <v>129</v>
      </c>
      <c r="AH260" s="8569"/>
      <c r="AI260" s="8567" t="s">
        <v>130</v>
      </c>
      <c r="AJ260" s="8569"/>
      <c r="AK260" s="8567" t="s">
        <v>131</v>
      </c>
      <c r="AL260" s="8569"/>
      <c r="AM260" s="8567" t="s">
        <v>1405</v>
      </c>
      <c r="AN260" s="8568"/>
      <c r="AO260" s="8695" t="s">
        <v>44</v>
      </c>
      <c r="AP260" s="8696"/>
      <c r="AQ260" s="8697" t="s">
        <v>3462</v>
      </c>
      <c r="AR260" s="8696"/>
      <c r="AS260" s="8697" t="s">
        <v>3463</v>
      </c>
      <c r="AT260" s="8696"/>
      <c r="AU260" s="8697" t="s">
        <v>3464</v>
      </c>
      <c r="AV260" s="8698"/>
      <c r="AW260" s="8581"/>
      <c r="AX260" s="8705"/>
      <c r="BA260" s="1547"/>
      <c r="BU260" s="1442"/>
      <c r="BV260" s="1442"/>
      <c r="BW260" s="1442"/>
      <c r="BX260" s="1442"/>
      <c r="BY260" s="1442"/>
      <c r="BZ260" s="1442"/>
      <c r="CA260" s="1445"/>
      <c r="DA260" s="3217"/>
      <c r="EA260" s="1123"/>
    </row>
    <row r="261" spans="1:131" x14ac:dyDescent="0.3">
      <c r="B261" s="8700"/>
      <c r="C261" s="8700"/>
      <c r="D261" s="3327" t="s">
        <v>42</v>
      </c>
      <c r="E261" s="3342" t="s">
        <v>17</v>
      </c>
      <c r="F261" s="3259" t="s">
        <v>18</v>
      </c>
      <c r="G261" s="3365" t="s">
        <v>17</v>
      </c>
      <c r="H261" s="3259" t="s">
        <v>18</v>
      </c>
      <c r="I261" s="3365" t="s">
        <v>17</v>
      </c>
      <c r="J261" s="3259" t="s">
        <v>18</v>
      </c>
      <c r="K261" s="3365" t="s">
        <v>17</v>
      </c>
      <c r="L261" s="3259" t="s">
        <v>18</v>
      </c>
      <c r="M261" s="3365" t="s">
        <v>17</v>
      </c>
      <c r="N261" s="3259" t="s">
        <v>18</v>
      </c>
      <c r="O261" s="3365" t="s">
        <v>17</v>
      </c>
      <c r="P261" s="3259" t="s">
        <v>18</v>
      </c>
      <c r="Q261" s="3365" t="s">
        <v>17</v>
      </c>
      <c r="R261" s="3259" t="s">
        <v>18</v>
      </c>
      <c r="S261" s="3365" t="s">
        <v>17</v>
      </c>
      <c r="T261" s="3259" t="s">
        <v>18</v>
      </c>
      <c r="U261" s="3365" t="s">
        <v>17</v>
      </c>
      <c r="V261" s="3259" t="s">
        <v>18</v>
      </c>
      <c r="W261" s="3365" t="s">
        <v>17</v>
      </c>
      <c r="X261" s="3259" t="s">
        <v>18</v>
      </c>
      <c r="Y261" s="3365" t="s">
        <v>17</v>
      </c>
      <c r="Z261" s="3259" t="s">
        <v>18</v>
      </c>
      <c r="AA261" s="3365" t="s">
        <v>17</v>
      </c>
      <c r="AB261" s="3259" t="s">
        <v>18</v>
      </c>
      <c r="AC261" s="3365" t="s">
        <v>17</v>
      </c>
      <c r="AD261" s="3259" t="s">
        <v>18</v>
      </c>
      <c r="AE261" s="3365" t="s">
        <v>17</v>
      </c>
      <c r="AF261" s="3259" t="s">
        <v>18</v>
      </c>
      <c r="AG261" s="3365" t="s">
        <v>17</v>
      </c>
      <c r="AH261" s="3259" t="s">
        <v>18</v>
      </c>
      <c r="AI261" s="3365" t="s">
        <v>17</v>
      </c>
      <c r="AJ261" s="3259" t="s">
        <v>18</v>
      </c>
      <c r="AK261" s="3365" t="s">
        <v>17</v>
      </c>
      <c r="AL261" s="3259" t="s">
        <v>18</v>
      </c>
      <c r="AM261" s="3365" t="s">
        <v>17</v>
      </c>
      <c r="AN261" s="2156" t="s">
        <v>18</v>
      </c>
      <c r="AO261" s="3365" t="s">
        <v>17</v>
      </c>
      <c r="AP261" s="3259" t="s">
        <v>18</v>
      </c>
      <c r="AQ261" s="3365" t="s">
        <v>17</v>
      </c>
      <c r="AR261" s="3259" t="s">
        <v>18</v>
      </c>
      <c r="AS261" s="3365" t="s">
        <v>17</v>
      </c>
      <c r="AT261" s="3259" t="s">
        <v>18</v>
      </c>
      <c r="AU261" s="3365" t="s">
        <v>17</v>
      </c>
      <c r="AV261" s="2156" t="s">
        <v>18</v>
      </c>
      <c r="AW261" s="8702"/>
      <c r="AX261" s="8706"/>
      <c r="BA261" s="1547"/>
      <c r="BU261" s="1442"/>
      <c r="BV261" s="1442"/>
      <c r="BW261" s="1442"/>
      <c r="BX261" s="1442"/>
      <c r="BY261" s="1442"/>
      <c r="BZ261" s="1442"/>
      <c r="CA261" s="1445"/>
      <c r="DA261" s="3217"/>
      <c r="EA261" s="1123"/>
    </row>
    <row r="262" spans="1:131" x14ac:dyDescent="0.3">
      <c r="A262" s="7307" t="s">
        <v>4231</v>
      </c>
      <c r="B262" s="8690" t="s">
        <v>3579</v>
      </c>
      <c r="C262" s="3343" t="s">
        <v>2597</v>
      </c>
      <c r="D262" s="3344" t="s">
        <v>5369</v>
      </c>
      <c r="E262" s="3345" t="s">
        <v>5370</v>
      </c>
      <c r="F262" s="3346" t="s">
        <v>5371</v>
      </c>
      <c r="G262" s="3036" t="s">
        <v>5372</v>
      </c>
      <c r="H262" s="3042" t="s">
        <v>5373</v>
      </c>
      <c r="I262" s="3036" t="s">
        <v>5374</v>
      </c>
      <c r="J262" s="3042" t="s">
        <v>5375</v>
      </c>
      <c r="K262" s="3036" t="s">
        <v>5376</v>
      </c>
      <c r="L262" s="3042" t="s">
        <v>5377</v>
      </c>
      <c r="M262" s="3036" t="s">
        <v>5378</v>
      </c>
      <c r="N262" s="3042" t="s">
        <v>5379</v>
      </c>
      <c r="O262" s="3036" t="s">
        <v>5380</v>
      </c>
      <c r="P262" s="3042" t="s">
        <v>5381</v>
      </c>
      <c r="Q262" s="3036" t="s">
        <v>5382</v>
      </c>
      <c r="R262" s="3042" t="s">
        <v>5383</v>
      </c>
      <c r="S262" s="3036" t="s">
        <v>5384</v>
      </c>
      <c r="T262" s="3042" t="s">
        <v>5385</v>
      </c>
      <c r="U262" s="3036" t="s">
        <v>5386</v>
      </c>
      <c r="V262" s="3042" t="s">
        <v>5387</v>
      </c>
      <c r="W262" s="3036" t="s">
        <v>5388</v>
      </c>
      <c r="X262" s="3042" t="s">
        <v>5389</v>
      </c>
      <c r="Y262" s="3036" t="s">
        <v>5390</v>
      </c>
      <c r="Z262" s="3042" t="s">
        <v>5391</v>
      </c>
      <c r="AA262" s="3036" t="s">
        <v>5392</v>
      </c>
      <c r="AB262" s="3042" t="s">
        <v>5393</v>
      </c>
      <c r="AC262" s="3036" t="s">
        <v>5394</v>
      </c>
      <c r="AD262" s="3042" t="s">
        <v>5395</v>
      </c>
      <c r="AE262" s="3036" t="s">
        <v>5396</v>
      </c>
      <c r="AF262" s="3042" t="s">
        <v>5397</v>
      </c>
      <c r="AG262" s="3036" t="s">
        <v>5398</v>
      </c>
      <c r="AH262" s="3042" t="s">
        <v>5399</v>
      </c>
      <c r="AI262" s="3036" t="s">
        <v>5400</v>
      </c>
      <c r="AJ262" s="3042" t="s">
        <v>5401</v>
      </c>
      <c r="AK262" s="3036" t="s">
        <v>5402</v>
      </c>
      <c r="AL262" s="3042" t="s">
        <v>5403</v>
      </c>
      <c r="AM262" s="3036" t="s">
        <v>5404</v>
      </c>
      <c r="AN262" s="2905" t="s">
        <v>5405</v>
      </c>
      <c r="AO262" s="3344" t="s">
        <v>5406</v>
      </c>
      <c r="AP262" s="3344" t="s">
        <v>5407</v>
      </c>
      <c r="AQ262" s="3036" t="s">
        <v>5408</v>
      </c>
      <c r="AR262" s="3042" t="s">
        <v>5409</v>
      </c>
      <c r="AS262" s="3036" t="s">
        <v>5410</v>
      </c>
      <c r="AT262" s="3042" t="s">
        <v>5411</v>
      </c>
      <c r="AU262" s="3036" t="s">
        <v>5412</v>
      </c>
      <c r="AV262" s="2905" t="s">
        <v>5413</v>
      </c>
      <c r="AW262" s="7020" t="s">
        <v>5414</v>
      </c>
      <c r="AX262" s="7021" t="s">
        <v>5415</v>
      </c>
      <c r="AY262" s="1547"/>
      <c r="BA262" s="1547"/>
      <c r="BU262" s="1442"/>
      <c r="BV262" s="1442"/>
      <c r="BW262" s="1442"/>
      <c r="BX262" s="1442"/>
      <c r="BY262" s="1442"/>
      <c r="BZ262" s="1442"/>
      <c r="CA262" s="1445"/>
      <c r="DA262" s="3217"/>
      <c r="EA262" s="1123"/>
    </row>
    <row r="263" spans="1:131" x14ac:dyDescent="0.3">
      <c r="A263" s="7307" t="s">
        <v>4232</v>
      </c>
      <c r="B263" s="8691"/>
      <c r="C263" s="3347" t="s">
        <v>60</v>
      </c>
      <c r="D263" s="3348" t="s">
        <v>5369</v>
      </c>
      <c r="E263" s="3349" t="s">
        <v>5370</v>
      </c>
      <c r="F263" s="3350" t="s">
        <v>5371</v>
      </c>
      <c r="G263" s="2985" t="s">
        <v>5372</v>
      </c>
      <c r="H263" s="2986" t="s">
        <v>5373</v>
      </c>
      <c r="I263" s="2985" t="s">
        <v>5374</v>
      </c>
      <c r="J263" s="2986" t="s">
        <v>5375</v>
      </c>
      <c r="K263" s="2985" t="s">
        <v>5376</v>
      </c>
      <c r="L263" s="2986" t="s">
        <v>5377</v>
      </c>
      <c r="M263" s="2985" t="s">
        <v>5378</v>
      </c>
      <c r="N263" s="2986" t="s">
        <v>5379</v>
      </c>
      <c r="O263" s="2985" t="s">
        <v>5380</v>
      </c>
      <c r="P263" s="2986" t="s">
        <v>5381</v>
      </c>
      <c r="Q263" s="2985" t="s">
        <v>5382</v>
      </c>
      <c r="R263" s="2986" t="s">
        <v>5383</v>
      </c>
      <c r="S263" s="2985" t="s">
        <v>5384</v>
      </c>
      <c r="T263" s="2986" t="s">
        <v>5385</v>
      </c>
      <c r="U263" s="2985" t="s">
        <v>5386</v>
      </c>
      <c r="V263" s="2986" t="s">
        <v>5387</v>
      </c>
      <c r="W263" s="2985" t="s">
        <v>5388</v>
      </c>
      <c r="X263" s="2986" t="s">
        <v>5389</v>
      </c>
      <c r="Y263" s="2985" t="s">
        <v>5390</v>
      </c>
      <c r="Z263" s="2986" t="s">
        <v>5391</v>
      </c>
      <c r="AA263" s="2985" t="s">
        <v>5392</v>
      </c>
      <c r="AB263" s="2986" t="s">
        <v>5393</v>
      </c>
      <c r="AC263" s="2985" t="s">
        <v>5394</v>
      </c>
      <c r="AD263" s="2986" t="s">
        <v>5395</v>
      </c>
      <c r="AE263" s="2985" t="s">
        <v>5396</v>
      </c>
      <c r="AF263" s="2986" t="s">
        <v>5397</v>
      </c>
      <c r="AG263" s="2985" t="s">
        <v>5398</v>
      </c>
      <c r="AH263" s="2986" t="s">
        <v>5399</v>
      </c>
      <c r="AI263" s="2985" t="s">
        <v>5400</v>
      </c>
      <c r="AJ263" s="2986" t="s">
        <v>5401</v>
      </c>
      <c r="AK263" s="2985" t="s">
        <v>5402</v>
      </c>
      <c r="AL263" s="2986" t="s">
        <v>5403</v>
      </c>
      <c r="AM263" s="2985" t="s">
        <v>5404</v>
      </c>
      <c r="AN263" s="2451" t="s">
        <v>5405</v>
      </c>
      <c r="AO263" s="3348" t="s">
        <v>5406</v>
      </c>
      <c r="AP263" s="3348" t="s">
        <v>5407</v>
      </c>
      <c r="AQ263" s="2985" t="s">
        <v>5408</v>
      </c>
      <c r="AR263" s="2986" t="s">
        <v>5409</v>
      </c>
      <c r="AS263" s="2985" t="s">
        <v>5410</v>
      </c>
      <c r="AT263" s="2986" t="s">
        <v>5411</v>
      </c>
      <c r="AU263" s="2985" t="s">
        <v>5412</v>
      </c>
      <c r="AV263" s="2451" t="s">
        <v>5413</v>
      </c>
      <c r="AW263" s="2814" t="s">
        <v>5414</v>
      </c>
      <c r="AX263" s="3033" t="s">
        <v>5415</v>
      </c>
      <c r="AY263" s="1547"/>
      <c r="BA263" s="1547"/>
      <c r="BU263" s="1442"/>
      <c r="BV263" s="1442"/>
      <c r="BW263" s="1442"/>
      <c r="BX263" s="1442"/>
      <c r="BY263" s="1442"/>
      <c r="BZ263" s="1442"/>
      <c r="CA263" s="1445"/>
      <c r="DA263" s="3217"/>
      <c r="DB263" s="3217">
        <v>0</v>
      </c>
      <c r="DC263" s="3217">
        <v>0</v>
      </c>
      <c r="DD263" s="3217">
        <v>0</v>
      </c>
      <c r="DE263" s="3217">
        <v>0</v>
      </c>
      <c r="EA263" s="1123"/>
    </row>
    <row r="264" spans="1:131" x14ac:dyDescent="0.3">
      <c r="A264" s="7663"/>
      <c r="B264" s="8692"/>
      <c r="C264" s="3351" t="s">
        <v>3146</v>
      </c>
      <c r="D264" s="3352">
        <f>SUM(E264,F264)</f>
        <v>0</v>
      </c>
      <c r="E264" s="3353">
        <f t="shared" ref="E264:F271" si="10">SUM(G264,I264,K264,M264,O264,Q264,S264,U264,W264,Y264,AA264,AC264,AE264,AG264,AI264,AK264,AM264)</f>
        <v>0</v>
      </c>
      <c r="F264" s="3354">
        <f t="shared" si="10"/>
        <v>0</v>
      </c>
      <c r="G264" s="3366">
        <f t="shared" ref="G264:AO264" si="11">SUM(G262:G263)</f>
        <v>0</v>
      </c>
      <c r="H264" s="3367">
        <f t="shared" si="11"/>
        <v>0</v>
      </c>
      <c r="I264" s="3366">
        <f t="shared" si="11"/>
        <v>0</v>
      </c>
      <c r="J264" s="3367">
        <f t="shared" si="11"/>
        <v>0</v>
      </c>
      <c r="K264" s="3366">
        <f t="shared" si="11"/>
        <v>0</v>
      </c>
      <c r="L264" s="3368">
        <f t="shared" si="11"/>
        <v>0</v>
      </c>
      <c r="M264" s="3366">
        <f t="shared" si="11"/>
        <v>0</v>
      </c>
      <c r="N264" s="3368">
        <f t="shared" si="11"/>
        <v>0</v>
      </c>
      <c r="O264" s="3366">
        <f t="shared" si="11"/>
        <v>0</v>
      </c>
      <c r="P264" s="3368">
        <f t="shared" si="11"/>
        <v>0</v>
      </c>
      <c r="Q264" s="3366">
        <f t="shared" si="11"/>
        <v>0</v>
      </c>
      <c r="R264" s="3368">
        <f t="shared" si="11"/>
        <v>0</v>
      </c>
      <c r="S264" s="3366">
        <f t="shared" si="11"/>
        <v>0</v>
      </c>
      <c r="T264" s="3368">
        <f t="shared" si="11"/>
        <v>0</v>
      </c>
      <c r="U264" s="3366">
        <f t="shared" si="11"/>
        <v>0</v>
      </c>
      <c r="V264" s="3368">
        <f t="shared" si="11"/>
        <v>0</v>
      </c>
      <c r="W264" s="3366">
        <f t="shared" si="11"/>
        <v>0</v>
      </c>
      <c r="X264" s="3368">
        <f t="shared" si="11"/>
        <v>0</v>
      </c>
      <c r="Y264" s="3366">
        <f t="shared" si="11"/>
        <v>0</v>
      </c>
      <c r="Z264" s="3368">
        <f t="shared" si="11"/>
        <v>0</v>
      </c>
      <c r="AA264" s="3366">
        <f t="shared" si="11"/>
        <v>0</v>
      </c>
      <c r="AB264" s="3368">
        <f t="shared" si="11"/>
        <v>0</v>
      </c>
      <c r="AC264" s="3366">
        <f t="shared" si="11"/>
        <v>0</v>
      </c>
      <c r="AD264" s="3368">
        <f t="shared" si="11"/>
        <v>0</v>
      </c>
      <c r="AE264" s="3366">
        <f t="shared" si="11"/>
        <v>0</v>
      </c>
      <c r="AF264" s="3368">
        <f t="shared" si="11"/>
        <v>0</v>
      </c>
      <c r="AG264" s="3366">
        <f t="shared" si="11"/>
        <v>0</v>
      </c>
      <c r="AH264" s="3368">
        <f t="shared" si="11"/>
        <v>0</v>
      </c>
      <c r="AI264" s="3366">
        <f t="shared" si="11"/>
        <v>0</v>
      </c>
      <c r="AJ264" s="3368">
        <f t="shared" si="11"/>
        <v>0</v>
      </c>
      <c r="AK264" s="3366">
        <f t="shared" si="11"/>
        <v>0</v>
      </c>
      <c r="AL264" s="3368">
        <f t="shared" si="11"/>
        <v>0</v>
      </c>
      <c r="AM264" s="3369">
        <f t="shared" si="11"/>
        <v>0</v>
      </c>
      <c r="AN264" s="3370">
        <f>SUM(AN262:AN263)</f>
        <v>0</v>
      </c>
      <c r="AO264" s="3352">
        <f t="shared" si="11"/>
        <v>0</v>
      </c>
      <c r="AP264" s="3352">
        <f>SUM(AP262:AP263)</f>
        <v>0</v>
      </c>
      <c r="AQ264" s="3366">
        <f>SUM(AQ262:AQ263)</f>
        <v>0</v>
      </c>
      <c r="AR264" s="3368">
        <f t="shared" ref="AR264:AX264" si="12">SUM(AR262:AR263)</f>
        <v>0</v>
      </c>
      <c r="AS264" s="3366">
        <f t="shared" si="12"/>
        <v>0</v>
      </c>
      <c r="AT264" s="3368">
        <f t="shared" si="12"/>
        <v>0</v>
      </c>
      <c r="AU264" s="3369">
        <f t="shared" si="12"/>
        <v>0</v>
      </c>
      <c r="AV264" s="3370">
        <f t="shared" si="12"/>
        <v>0</v>
      </c>
      <c r="AW264" s="3367">
        <f>SUM(AW262:AW263)</f>
        <v>0</v>
      </c>
      <c r="AX264" s="3371">
        <f t="shared" si="12"/>
        <v>0</v>
      </c>
      <c r="AY264" s="1547"/>
      <c r="BA264" s="1547"/>
      <c r="BU264" s="1442"/>
      <c r="BV264" s="1442"/>
      <c r="BW264" s="1442"/>
      <c r="BX264" s="1442"/>
      <c r="BY264" s="1442"/>
      <c r="BZ264" s="1442"/>
      <c r="CA264" s="1445"/>
      <c r="DA264" s="3217"/>
      <c r="EA264" s="1123"/>
    </row>
    <row r="265" spans="1:131" x14ac:dyDescent="0.3">
      <c r="A265" s="7307" t="s">
        <v>4233</v>
      </c>
      <c r="B265" s="8690" t="s">
        <v>3580</v>
      </c>
      <c r="C265" s="3343" t="s">
        <v>2597</v>
      </c>
      <c r="D265" s="3344" t="s">
        <v>5369</v>
      </c>
      <c r="E265" s="3345" t="s">
        <v>5370</v>
      </c>
      <c r="F265" s="3346" t="s">
        <v>5371</v>
      </c>
      <c r="G265" s="3036" t="s">
        <v>5372</v>
      </c>
      <c r="H265" s="3042" t="s">
        <v>5373</v>
      </c>
      <c r="I265" s="3036" t="s">
        <v>5374</v>
      </c>
      <c r="J265" s="3042" t="s">
        <v>5375</v>
      </c>
      <c r="K265" s="3036" t="s">
        <v>5376</v>
      </c>
      <c r="L265" s="3042" t="s">
        <v>5377</v>
      </c>
      <c r="M265" s="3036" t="s">
        <v>5378</v>
      </c>
      <c r="N265" s="3042" t="s">
        <v>5379</v>
      </c>
      <c r="O265" s="3036" t="s">
        <v>5380</v>
      </c>
      <c r="P265" s="3042" t="s">
        <v>5381</v>
      </c>
      <c r="Q265" s="3036" t="s">
        <v>5382</v>
      </c>
      <c r="R265" s="3042" t="s">
        <v>5383</v>
      </c>
      <c r="S265" s="3036" t="s">
        <v>5384</v>
      </c>
      <c r="T265" s="3042" t="s">
        <v>5385</v>
      </c>
      <c r="U265" s="3036" t="s">
        <v>5386</v>
      </c>
      <c r="V265" s="3042" t="s">
        <v>5387</v>
      </c>
      <c r="W265" s="3036" t="s">
        <v>5388</v>
      </c>
      <c r="X265" s="3042" t="s">
        <v>5389</v>
      </c>
      <c r="Y265" s="3036" t="s">
        <v>5390</v>
      </c>
      <c r="Z265" s="3042" t="s">
        <v>5391</v>
      </c>
      <c r="AA265" s="3036" t="s">
        <v>5392</v>
      </c>
      <c r="AB265" s="3042" t="s">
        <v>5393</v>
      </c>
      <c r="AC265" s="3036" t="s">
        <v>5394</v>
      </c>
      <c r="AD265" s="3042" t="s">
        <v>5395</v>
      </c>
      <c r="AE265" s="3036" t="s">
        <v>5396</v>
      </c>
      <c r="AF265" s="3042" t="s">
        <v>5397</v>
      </c>
      <c r="AG265" s="3036" t="s">
        <v>5398</v>
      </c>
      <c r="AH265" s="3042" t="s">
        <v>5399</v>
      </c>
      <c r="AI265" s="3036" t="s">
        <v>5400</v>
      </c>
      <c r="AJ265" s="3042" t="s">
        <v>5401</v>
      </c>
      <c r="AK265" s="3036" t="s">
        <v>5402</v>
      </c>
      <c r="AL265" s="3042" t="s">
        <v>5403</v>
      </c>
      <c r="AM265" s="3036" t="s">
        <v>5404</v>
      </c>
      <c r="AN265" s="2905" t="s">
        <v>5405</v>
      </c>
      <c r="AO265" s="7022" t="s">
        <v>5406</v>
      </c>
      <c r="AP265" s="7022" t="s">
        <v>5407</v>
      </c>
      <c r="AQ265" s="7023" t="s">
        <v>5408</v>
      </c>
      <c r="AR265" s="7024" t="s">
        <v>5409</v>
      </c>
      <c r="AS265" s="7023" t="s">
        <v>5410</v>
      </c>
      <c r="AT265" s="7024" t="s">
        <v>5411</v>
      </c>
      <c r="AU265" s="7023" t="s">
        <v>5412</v>
      </c>
      <c r="AV265" s="7025" t="s">
        <v>5413</v>
      </c>
      <c r="AW265" s="7026" t="s">
        <v>5414</v>
      </c>
      <c r="AX265" s="7027" t="s">
        <v>5415</v>
      </c>
      <c r="AY265" s="1547"/>
      <c r="BA265" s="1547"/>
      <c r="BU265" s="1442"/>
      <c r="BV265" s="1442"/>
      <c r="BW265" s="1442"/>
      <c r="BX265" s="1442"/>
      <c r="BY265" s="1442"/>
      <c r="BZ265" s="1442"/>
      <c r="CA265" s="1445"/>
      <c r="DA265" s="3217"/>
      <c r="EA265" s="1123"/>
    </row>
    <row r="266" spans="1:131" x14ac:dyDescent="0.3">
      <c r="A266" s="7307" t="s">
        <v>4234</v>
      </c>
      <c r="B266" s="8691"/>
      <c r="C266" s="3347" t="s">
        <v>60</v>
      </c>
      <c r="D266" s="3348" t="s">
        <v>5369</v>
      </c>
      <c r="E266" s="3349" t="s">
        <v>5370</v>
      </c>
      <c r="F266" s="3350" t="s">
        <v>5371</v>
      </c>
      <c r="G266" s="2985" t="s">
        <v>5372</v>
      </c>
      <c r="H266" s="2986" t="s">
        <v>5373</v>
      </c>
      <c r="I266" s="2985" t="s">
        <v>5374</v>
      </c>
      <c r="J266" s="2986" t="s">
        <v>5375</v>
      </c>
      <c r="K266" s="2985" t="s">
        <v>5376</v>
      </c>
      <c r="L266" s="2986" t="s">
        <v>5377</v>
      </c>
      <c r="M266" s="2985" t="s">
        <v>5378</v>
      </c>
      <c r="N266" s="2986" t="s">
        <v>5379</v>
      </c>
      <c r="O266" s="2985" t="s">
        <v>5380</v>
      </c>
      <c r="P266" s="2986" t="s">
        <v>5381</v>
      </c>
      <c r="Q266" s="2985" t="s">
        <v>5382</v>
      </c>
      <c r="R266" s="2986" t="s">
        <v>5383</v>
      </c>
      <c r="S266" s="2985" t="s">
        <v>5384</v>
      </c>
      <c r="T266" s="2986" t="s">
        <v>5385</v>
      </c>
      <c r="U266" s="2985" t="s">
        <v>5386</v>
      </c>
      <c r="V266" s="2986" t="s">
        <v>5387</v>
      </c>
      <c r="W266" s="2985" t="s">
        <v>5388</v>
      </c>
      <c r="X266" s="2986" t="s">
        <v>5389</v>
      </c>
      <c r="Y266" s="2985" t="s">
        <v>5390</v>
      </c>
      <c r="Z266" s="2986" t="s">
        <v>5391</v>
      </c>
      <c r="AA266" s="2985" t="s">
        <v>5392</v>
      </c>
      <c r="AB266" s="2986" t="s">
        <v>5393</v>
      </c>
      <c r="AC266" s="2985" t="s">
        <v>5394</v>
      </c>
      <c r="AD266" s="2986" t="s">
        <v>5395</v>
      </c>
      <c r="AE266" s="2985" t="s">
        <v>5396</v>
      </c>
      <c r="AF266" s="2986" t="s">
        <v>5397</v>
      </c>
      <c r="AG266" s="2985" t="s">
        <v>5398</v>
      </c>
      <c r="AH266" s="2986" t="s">
        <v>5399</v>
      </c>
      <c r="AI266" s="2985" t="s">
        <v>5400</v>
      </c>
      <c r="AJ266" s="2986" t="s">
        <v>5401</v>
      </c>
      <c r="AK266" s="2985" t="s">
        <v>5402</v>
      </c>
      <c r="AL266" s="2986" t="s">
        <v>5403</v>
      </c>
      <c r="AM266" s="2985" t="s">
        <v>5404</v>
      </c>
      <c r="AN266" s="2451" t="s">
        <v>5405</v>
      </c>
      <c r="AO266" s="7028" t="s">
        <v>5406</v>
      </c>
      <c r="AP266" s="7028" t="s">
        <v>5407</v>
      </c>
      <c r="AQ266" s="7029" t="s">
        <v>5408</v>
      </c>
      <c r="AR266" s="7030" t="s">
        <v>5409</v>
      </c>
      <c r="AS266" s="7029" t="s">
        <v>5410</v>
      </c>
      <c r="AT266" s="7030" t="s">
        <v>5411</v>
      </c>
      <c r="AU266" s="7029" t="s">
        <v>5412</v>
      </c>
      <c r="AV266" s="7031" t="s">
        <v>5413</v>
      </c>
      <c r="AW266" s="7032" t="s">
        <v>5414</v>
      </c>
      <c r="AX266" s="7033" t="s">
        <v>5415</v>
      </c>
      <c r="AY266" s="1547"/>
      <c r="BA266" s="1547"/>
      <c r="BU266" s="1442"/>
      <c r="BV266" s="1442"/>
      <c r="BW266" s="1442"/>
      <c r="BX266" s="1442"/>
      <c r="BY266" s="1442"/>
      <c r="BZ266" s="1442"/>
      <c r="CA266" s="1445"/>
      <c r="DA266" s="3217"/>
      <c r="EA266" s="1123"/>
    </row>
    <row r="267" spans="1:131" x14ac:dyDescent="0.3">
      <c r="A267" s="7307" t="s">
        <v>4235</v>
      </c>
      <c r="B267" s="8691"/>
      <c r="C267" s="2980" t="s">
        <v>3168</v>
      </c>
      <c r="D267" s="3355" t="s">
        <v>5369</v>
      </c>
      <c r="E267" s="3356" t="s">
        <v>5370</v>
      </c>
      <c r="F267" s="3357" t="s">
        <v>5371</v>
      </c>
      <c r="G267" s="2956" t="s">
        <v>5372</v>
      </c>
      <c r="H267" s="1844" t="s">
        <v>5373</v>
      </c>
      <c r="I267" s="2956" t="s">
        <v>5374</v>
      </c>
      <c r="J267" s="1844" t="s">
        <v>5375</v>
      </c>
      <c r="K267" s="2956" t="s">
        <v>5376</v>
      </c>
      <c r="L267" s="1844" t="s">
        <v>5377</v>
      </c>
      <c r="M267" s="2956" t="s">
        <v>5378</v>
      </c>
      <c r="N267" s="1844" t="s">
        <v>5379</v>
      </c>
      <c r="O267" s="2956" t="s">
        <v>5380</v>
      </c>
      <c r="P267" s="1844" t="s">
        <v>5381</v>
      </c>
      <c r="Q267" s="2956" t="s">
        <v>5382</v>
      </c>
      <c r="R267" s="1844" t="s">
        <v>5383</v>
      </c>
      <c r="S267" s="2956" t="s">
        <v>5384</v>
      </c>
      <c r="T267" s="1844" t="s">
        <v>5385</v>
      </c>
      <c r="U267" s="2956" t="s">
        <v>5386</v>
      </c>
      <c r="V267" s="1844" t="s">
        <v>5387</v>
      </c>
      <c r="W267" s="2956" t="s">
        <v>5388</v>
      </c>
      <c r="X267" s="1844" t="s">
        <v>5389</v>
      </c>
      <c r="Y267" s="2956" t="s">
        <v>5390</v>
      </c>
      <c r="Z267" s="1844" t="s">
        <v>5391</v>
      </c>
      <c r="AA267" s="2956" t="s">
        <v>5392</v>
      </c>
      <c r="AB267" s="1844" t="s">
        <v>5393</v>
      </c>
      <c r="AC267" s="2956" t="s">
        <v>5394</v>
      </c>
      <c r="AD267" s="1844" t="s">
        <v>5395</v>
      </c>
      <c r="AE267" s="2956" t="s">
        <v>5396</v>
      </c>
      <c r="AF267" s="1844" t="s">
        <v>5397</v>
      </c>
      <c r="AG267" s="2956" t="s">
        <v>5398</v>
      </c>
      <c r="AH267" s="1844" t="s">
        <v>5399</v>
      </c>
      <c r="AI267" s="2956" t="s">
        <v>5400</v>
      </c>
      <c r="AJ267" s="1844" t="s">
        <v>5401</v>
      </c>
      <c r="AK267" s="2956" t="s">
        <v>5402</v>
      </c>
      <c r="AL267" s="1844" t="s">
        <v>5403</v>
      </c>
      <c r="AM267" s="2956" t="s">
        <v>5404</v>
      </c>
      <c r="AN267" s="2957" t="s">
        <v>5405</v>
      </c>
      <c r="AO267" s="7034" t="s">
        <v>5406</v>
      </c>
      <c r="AP267" s="7034" t="s">
        <v>5407</v>
      </c>
      <c r="AQ267" s="7035" t="s">
        <v>5408</v>
      </c>
      <c r="AR267" s="7036" t="s">
        <v>5409</v>
      </c>
      <c r="AS267" s="7035" t="s">
        <v>5410</v>
      </c>
      <c r="AT267" s="7036" t="s">
        <v>5411</v>
      </c>
      <c r="AU267" s="7035" t="s">
        <v>5412</v>
      </c>
      <c r="AV267" s="7037" t="s">
        <v>5413</v>
      </c>
      <c r="AW267" s="7038" t="s">
        <v>5414</v>
      </c>
      <c r="AX267" s="7039" t="s">
        <v>5415</v>
      </c>
      <c r="AY267" s="1547"/>
      <c r="BA267" s="1547"/>
      <c r="BU267" s="1442"/>
      <c r="BV267" s="1442"/>
      <c r="BW267" s="1442"/>
      <c r="BX267" s="1442"/>
      <c r="BY267" s="1442"/>
      <c r="BZ267" s="1442"/>
      <c r="CA267" s="1445"/>
      <c r="DA267" s="3217"/>
      <c r="EA267" s="1123"/>
    </row>
    <row r="268" spans="1:131" x14ac:dyDescent="0.3">
      <c r="A268" s="7307" t="s">
        <v>4236</v>
      </c>
      <c r="B268" s="8691"/>
      <c r="C268" s="2980" t="s">
        <v>2601</v>
      </c>
      <c r="D268" s="3355" t="s">
        <v>5369</v>
      </c>
      <c r="E268" s="3356" t="s">
        <v>5370</v>
      </c>
      <c r="F268" s="3357" t="s">
        <v>5371</v>
      </c>
      <c r="G268" s="2956" t="s">
        <v>5372</v>
      </c>
      <c r="H268" s="1844" t="s">
        <v>5373</v>
      </c>
      <c r="I268" s="2956" t="s">
        <v>5374</v>
      </c>
      <c r="J268" s="1844" t="s">
        <v>5375</v>
      </c>
      <c r="K268" s="2956" t="s">
        <v>5376</v>
      </c>
      <c r="L268" s="1844" t="s">
        <v>5377</v>
      </c>
      <c r="M268" s="2956" t="s">
        <v>5378</v>
      </c>
      <c r="N268" s="1844" t="s">
        <v>5379</v>
      </c>
      <c r="O268" s="2956" t="s">
        <v>5380</v>
      </c>
      <c r="P268" s="1844" t="s">
        <v>5381</v>
      </c>
      <c r="Q268" s="2956" t="s">
        <v>5382</v>
      </c>
      <c r="R268" s="1844" t="s">
        <v>5383</v>
      </c>
      <c r="S268" s="2956" t="s">
        <v>5384</v>
      </c>
      <c r="T268" s="1844" t="s">
        <v>5385</v>
      </c>
      <c r="U268" s="2956" t="s">
        <v>5386</v>
      </c>
      <c r="V268" s="1844" t="s">
        <v>5387</v>
      </c>
      <c r="W268" s="2956" t="s">
        <v>5388</v>
      </c>
      <c r="X268" s="1844" t="s">
        <v>5389</v>
      </c>
      <c r="Y268" s="2956" t="s">
        <v>5390</v>
      </c>
      <c r="Z268" s="1844" t="s">
        <v>5391</v>
      </c>
      <c r="AA268" s="2956" t="s">
        <v>5392</v>
      </c>
      <c r="AB268" s="1844" t="s">
        <v>5393</v>
      </c>
      <c r="AC268" s="2956" t="s">
        <v>5394</v>
      </c>
      <c r="AD268" s="1844" t="s">
        <v>5395</v>
      </c>
      <c r="AE268" s="2956" t="s">
        <v>5396</v>
      </c>
      <c r="AF268" s="1844" t="s">
        <v>5397</v>
      </c>
      <c r="AG268" s="2956" t="s">
        <v>5398</v>
      </c>
      <c r="AH268" s="1844" t="s">
        <v>5399</v>
      </c>
      <c r="AI268" s="2956" t="s">
        <v>5400</v>
      </c>
      <c r="AJ268" s="1844" t="s">
        <v>5401</v>
      </c>
      <c r="AK268" s="2956" t="s">
        <v>5402</v>
      </c>
      <c r="AL268" s="1844" t="s">
        <v>5403</v>
      </c>
      <c r="AM268" s="2956" t="s">
        <v>5404</v>
      </c>
      <c r="AN268" s="2957" t="s">
        <v>5405</v>
      </c>
      <c r="AO268" s="7034" t="s">
        <v>5406</v>
      </c>
      <c r="AP268" s="7034" t="s">
        <v>5407</v>
      </c>
      <c r="AQ268" s="7035" t="s">
        <v>5408</v>
      </c>
      <c r="AR268" s="7036" t="s">
        <v>5409</v>
      </c>
      <c r="AS268" s="7035" t="s">
        <v>5410</v>
      </c>
      <c r="AT268" s="7036" t="s">
        <v>5411</v>
      </c>
      <c r="AU268" s="7035" t="s">
        <v>5412</v>
      </c>
      <c r="AV268" s="7037" t="s">
        <v>5413</v>
      </c>
      <c r="AW268" s="7038" t="s">
        <v>5414</v>
      </c>
      <c r="AX268" s="7039" t="s">
        <v>5415</v>
      </c>
      <c r="AY268" s="1547"/>
      <c r="BA268" s="1547"/>
      <c r="BU268" s="1442"/>
      <c r="BV268" s="1442"/>
      <c r="BW268" s="1442"/>
      <c r="BX268" s="1442"/>
      <c r="BY268" s="1442"/>
      <c r="BZ268" s="1442"/>
      <c r="CA268" s="1445"/>
      <c r="DA268" s="3217"/>
      <c r="EA268" s="1123"/>
    </row>
    <row r="269" spans="1:131" x14ac:dyDescent="0.3">
      <c r="A269" s="7307" t="s">
        <v>4237</v>
      </c>
      <c r="B269" s="8691"/>
      <c r="C269" s="2980" t="s">
        <v>3728</v>
      </c>
      <c r="D269" s="3355" t="s">
        <v>5369</v>
      </c>
      <c r="E269" s="3356" t="s">
        <v>5370</v>
      </c>
      <c r="F269" s="3357" t="s">
        <v>5371</v>
      </c>
      <c r="G269" s="2956" t="s">
        <v>5372</v>
      </c>
      <c r="H269" s="1844" t="s">
        <v>5373</v>
      </c>
      <c r="I269" s="2956" t="s">
        <v>5374</v>
      </c>
      <c r="J269" s="1844" t="s">
        <v>5375</v>
      </c>
      <c r="K269" s="2956" t="s">
        <v>5376</v>
      </c>
      <c r="L269" s="1844" t="s">
        <v>5377</v>
      </c>
      <c r="M269" s="2956" t="s">
        <v>5378</v>
      </c>
      <c r="N269" s="1844" t="s">
        <v>5379</v>
      </c>
      <c r="O269" s="2956" t="s">
        <v>5380</v>
      </c>
      <c r="P269" s="1844" t="s">
        <v>5381</v>
      </c>
      <c r="Q269" s="2956" t="s">
        <v>5382</v>
      </c>
      <c r="R269" s="1844" t="s">
        <v>5383</v>
      </c>
      <c r="S269" s="2956" t="s">
        <v>5384</v>
      </c>
      <c r="T269" s="1844" t="s">
        <v>5385</v>
      </c>
      <c r="U269" s="2956" t="s">
        <v>5386</v>
      </c>
      <c r="V269" s="1844" t="s">
        <v>5387</v>
      </c>
      <c r="W269" s="2956" t="s">
        <v>5388</v>
      </c>
      <c r="X269" s="1844" t="s">
        <v>5389</v>
      </c>
      <c r="Y269" s="2956" t="s">
        <v>5390</v>
      </c>
      <c r="Z269" s="1844" t="s">
        <v>5391</v>
      </c>
      <c r="AA269" s="2956" t="s">
        <v>5392</v>
      </c>
      <c r="AB269" s="1844" t="s">
        <v>5393</v>
      </c>
      <c r="AC269" s="2956" t="s">
        <v>5394</v>
      </c>
      <c r="AD269" s="1844" t="s">
        <v>5395</v>
      </c>
      <c r="AE269" s="2956" t="s">
        <v>5396</v>
      </c>
      <c r="AF269" s="1844" t="s">
        <v>5397</v>
      </c>
      <c r="AG269" s="2956" t="s">
        <v>5398</v>
      </c>
      <c r="AH269" s="1844" t="s">
        <v>5399</v>
      </c>
      <c r="AI269" s="2956" t="s">
        <v>5400</v>
      </c>
      <c r="AJ269" s="1844" t="s">
        <v>5401</v>
      </c>
      <c r="AK269" s="2956" t="s">
        <v>5402</v>
      </c>
      <c r="AL269" s="1844" t="s">
        <v>5403</v>
      </c>
      <c r="AM269" s="2956" t="s">
        <v>5404</v>
      </c>
      <c r="AN269" s="2957" t="s">
        <v>5405</v>
      </c>
      <c r="AO269" s="7034" t="s">
        <v>5406</v>
      </c>
      <c r="AP269" s="7034" t="s">
        <v>5407</v>
      </c>
      <c r="AQ269" s="7035" t="s">
        <v>5408</v>
      </c>
      <c r="AR269" s="7036" t="s">
        <v>5409</v>
      </c>
      <c r="AS269" s="7035" t="s">
        <v>5410</v>
      </c>
      <c r="AT269" s="7036" t="s">
        <v>5411</v>
      </c>
      <c r="AU269" s="7035" t="s">
        <v>5412</v>
      </c>
      <c r="AV269" s="7037" t="s">
        <v>5413</v>
      </c>
      <c r="AW269" s="7038" t="s">
        <v>5414</v>
      </c>
      <c r="AX269" s="7039" t="s">
        <v>5415</v>
      </c>
      <c r="AY269" s="1547"/>
      <c r="BA269" s="1547"/>
      <c r="BU269" s="1442"/>
      <c r="BV269" s="1442"/>
      <c r="BW269" s="1442"/>
      <c r="BX269" s="1442"/>
      <c r="BY269" s="1442"/>
      <c r="BZ269" s="1442"/>
      <c r="CA269" s="1445"/>
      <c r="DA269" s="3217"/>
      <c r="EA269" s="1123"/>
    </row>
    <row r="270" spans="1:131" x14ac:dyDescent="0.3">
      <c r="A270" s="7307" t="s">
        <v>4238</v>
      </c>
      <c r="B270" s="8691"/>
      <c r="C270" s="2980" t="s">
        <v>1265</v>
      </c>
      <c r="D270" s="3355" t="s">
        <v>5369</v>
      </c>
      <c r="E270" s="3356" t="s">
        <v>5370</v>
      </c>
      <c r="F270" s="3357" t="s">
        <v>5371</v>
      </c>
      <c r="G270" s="2956" t="s">
        <v>5372</v>
      </c>
      <c r="H270" s="1844" t="s">
        <v>5373</v>
      </c>
      <c r="I270" s="2956" t="s">
        <v>5374</v>
      </c>
      <c r="J270" s="1844" t="s">
        <v>5375</v>
      </c>
      <c r="K270" s="2956" t="s">
        <v>5376</v>
      </c>
      <c r="L270" s="1844" t="s">
        <v>5377</v>
      </c>
      <c r="M270" s="2956" t="s">
        <v>5378</v>
      </c>
      <c r="N270" s="1844" t="s">
        <v>5379</v>
      </c>
      <c r="O270" s="2956" t="s">
        <v>5380</v>
      </c>
      <c r="P270" s="1844" t="s">
        <v>5381</v>
      </c>
      <c r="Q270" s="2956" t="s">
        <v>5382</v>
      </c>
      <c r="R270" s="1844" t="s">
        <v>5383</v>
      </c>
      <c r="S270" s="2956" t="s">
        <v>5384</v>
      </c>
      <c r="T270" s="1844" t="s">
        <v>5385</v>
      </c>
      <c r="U270" s="2956" t="s">
        <v>5386</v>
      </c>
      <c r="V270" s="1844" t="s">
        <v>5387</v>
      </c>
      <c r="W270" s="2956" t="s">
        <v>5388</v>
      </c>
      <c r="X270" s="1844" t="s">
        <v>5389</v>
      </c>
      <c r="Y270" s="2956" t="s">
        <v>5390</v>
      </c>
      <c r="Z270" s="1844" t="s">
        <v>5391</v>
      </c>
      <c r="AA270" s="2956" t="s">
        <v>5392</v>
      </c>
      <c r="AB270" s="1844" t="s">
        <v>5393</v>
      </c>
      <c r="AC270" s="2956" t="s">
        <v>5394</v>
      </c>
      <c r="AD270" s="1844" t="s">
        <v>5395</v>
      </c>
      <c r="AE270" s="2956" t="s">
        <v>5396</v>
      </c>
      <c r="AF270" s="1844" t="s">
        <v>5397</v>
      </c>
      <c r="AG270" s="2956" t="s">
        <v>5398</v>
      </c>
      <c r="AH270" s="1844" t="s">
        <v>5399</v>
      </c>
      <c r="AI270" s="2956" t="s">
        <v>5400</v>
      </c>
      <c r="AJ270" s="1844" t="s">
        <v>5401</v>
      </c>
      <c r="AK270" s="2956" t="s">
        <v>5402</v>
      </c>
      <c r="AL270" s="1844" t="s">
        <v>5403</v>
      </c>
      <c r="AM270" s="2956" t="s">
        <v>5404</v>
      </c>
      <c r="AN270" s="2957" t="s">
        <v>5405</v>
      </c>
      <c r="AO270" s="7034" t="s">
        <v>5406</v>
      </c>
      <c r="AP270" s="7034" t="s">
        <v>5407</v>
      </c>
      <c r="AQ270" s="7035" t="s">
        <v>5408</v>
      </c>
      <c r="AR270" s="7036" t="s">
        <v>5409</v>
      </c>
      <c r="AS270" s="7035" t="s">
        <v>5410</v>
      </c>
      <c r="AT270" s="7036" t="s">
        <v>5411</v>
      </c>
      <c r="AU270" s="7035" t="s">
        <v>5412</v>
      </c>
      <c r="AV270" s="7037" t="s">
        <v>5413</v>
      </c>
      <c r="AW270" s="7038" t="s">
        <v>5414</v>
      </c>
      <c r="AX270" s="7039" t="s">
        <v>5415</v>
      </c>
      <c r="AY270" s="1547"/>
      <c r="BA270" s="1547"/>
      <c r="BU270" s="1442"/>
      <c r="BV270" s="1442"/>
      <c r="BW270" s="1442"/>
      <c r="BX270" s="1442"/>
      <c r="BY270" s="1442"/>
      <c r="BZ270" s="1442"/>
      <c r="CA270" s="1445"/>
      <c r="DA270" s="3217"/>
      <c r="EA270" s="1123"/>
    </row>
    <row r="271" spans="1:131" x14ac:dyDescent="0.3">
      <c r="A271" s="7663"/>
      <c r="B271" s="8692"/>
      <c r="C271" s="3351" t="s">
        <v>3146</v>
      </c>
      <c r="D271" s="3352">
        <f t="shared" ref="D271:D278" si="13">SUM(E271,F271)</f>
        <v>0</v>
      </c>
      <c r="E271" s="3353">
        <f t="shared" si="10"/>
        <v>0</v>
      </c>
      <c r="F271" s="3354">
        <f t="shared" si="10"/>
        <v>0</v>
      </c>
      <c r="G271" s="3366">
        <f t="shared" ref="G271:AN271" si="14">SUM(G265:G270)</f>
        <v>0</v>
      </c>
      <c r="H271" s="3367">
        <f t="shared" si="14"/>
        <v>0</v>
      </c>
      <c r="I271" s="3366">
        <f t="shared" si="14"/>
        <v>0</v>
      </c>
      <c r="J271" s="3367">
        <f t="shared" si="14"/>
        <v>0</v>
      </c>
      <c r="K271" s="3366">
        <f t="shared" si="14"/>
        <v>0</v>
      </c>
      <c r="L271" s="3368">
        <f t="shared" si="14"/>
        <v>0</v>
      </c>
      <c r="M271" s="3366">
        <f t="shared" si="14"/>
        <v>0</v>
      </c>
      <c r="N271" s="3368">
        <f t="shared" si="14"/>
        <v>0</v>
      </c>
      <c r="O271" s="3366">
        <f t="shared" si="14"/>
        <v>0</v>
      </c>
      <c r="P271" s="3368">
        <f t="shared" si="14"/>
        <v>0</v>
      </c>
      <c r="Q271" s="3366">
        <f t="shared" si="14"/>
        <v>0</v>
      </c>
      <c r="R271" s="3368">
        <f t="shared" si="14"/>
        <v>0</v>
      </c>
      <c r="S271" s="3366">
        <f t="shared" si="14"/>
        <v>0</v>
      </c>
      <c r="T271" s="3368">
        <f t="shared" si="14"/>
        <v>0</v>
      </c>
      <c r="U271" s="3366">
        <f t="shared" si="14"/>
        <v>0</v>
      </c>
      <c r="V271" s="3368">
        <f t="shared" si="14"/>
        <v>0</v>
      </c>
      <c r="W271" s="3366">
        <f t="shared" si="14"/>
        <v>0</v>
      </c>
      <c r="X271" s="3368">
        <f t="shared" si="14"/>
        <v>0</v>
      </c>
      <c r="Y271" s="3366">
        <f t="shared" si="14"/>
        <v>0</v>
      </c>
      <c r="Z271" s="3368">
        <f t="shared" si="14"/>
        <v>0</v>
      </c>
      <c r="AA271" s="3366">
        <f t="shared" si="14"/>
        <v>0</v>
      </c>
      <c r="AB271" s="3368">
        <f t="shared" si="14"/>
        <v>0</v>
      </c>
      <c r="AC271" s="3366">
        <f t="shared" si="14"/>
        <v>0</v>
      </c>
      <c r="AD271" s="3368">
        <f t="shared" si="14"/>
        <v>0</v>
      </c>
      <c r="AE271" s="3366">
        <f t="shared" si="14"/>
        <v>0</v>
      </c>
      <c r="AF271" s="3368">
        <f t="shared" si="14"/>
        <v>0</v>
      </c>
      <c r="AG271" s="3366">
        <f t="shared" si="14"/>
        <v>0</v>
      </c>
      <c r="AH271" s="3368">
        <f t="shared" si="14"/>
        <v>0</v>
      </c>
      <c r="AI271" s="3366">
        <f t="shared" si="14"/>
        <v>0</v>
      </c>
      <c r="AJ271" s="3368">
        <f t="shared" si="14"/>
        <v>0</v>
      </c>
      <c r="AK271" s="3366">
        <f t="shared" si="14"/>
        <v>0</v>
      </c>
      <c r="AL271" s="3368">
        <f t="shared" si="14"/>
        <v>0</v>
      </c>
      <c r="AM271" s="3369">
        <f t="shared" si="14"/>
        <v>0</v>
      </c>
      <c r="AN271" s="3370">
        <f t="shared" si="14"/>
        <v>0</v>
      </c>
      <c r="AO271" s="7040"/>
      <c r="AP271" s="7040"/>
      <c r="AQ271" s="7041"/>
      <c r="AR271" s="7042"/>
      <c r="AS271" s="7041"/>
      <c r="AT271" s="7042"/>
      <c r="AU271" s="7043"/>
      <c r="AV271" s="7044"/>
      <c r="AW271" s="7045"/>
      <c r="AX271" s="7046"/>
      <c r="AY271" s="1547"/>
      <c r="BA271" s="1547"/>
      <c r="BU271" s="1442"/>
      <c r="BV271" s="1442"/>
      <c r="BW271" s="1442"/>
      <c r="BX271" s="1442"/>
      <c r="BY271" s="1442"/>
      <c r="BZ271" s="1442"/>
      <c r="CA271" s="1445"/>
      <c r="DA271" s="3217"/>
      <c r="EA271" s="1123"/>
    </row>
    <row r="272" spans="1:131" x14ac:dyDescent="0.3">
      <c r="A272" s="7307" t="s">
        <v>4239</v>
      </c>
      <c r="B272" s="8690" t="s">
        <v>3581</v>
      </c>
      <c r="C272" s="3343" t="s">
        <v>2597</v>
      </c>
      <c r="D272" s="3344" t="s">
        <v>5369</v>
      </c>
      <c r="E272" s="3345" t="s">
        <v>5370</v>
      </c>
      <c r="F272" s="3346" t="s">
        <v>5371</v>
      </c>
      <c r="G272" s="3036" t="s">
        <v>5372</v>
      </c>
      <c r="H272" s="3042" t="s">
        <v>5373</v>
      </c>
      <c r="I272" s="3036" t="s">
        <v>5374</v>
      </c>
      <c r="J272" s="3042" t="s">
        <v>5375</v>
      </c>
      <c r="K272" s="3036" t="s">
        <v>5376</v>
      </c>
      <c r="L272" s="3042" t="s">
        <v>5377</v>
      </c>
      <c r="M272" s="3036" t="s">
        <v>5378</v>
      </c>
      <c r="N272" s="3042" t="s">
        <v>5379</v>
      </c>
      <c r="O272" s="3036" t="s">
        <v>5380</v>
      </c>
      <c r="P272" s="3042" t="s">
        <v>5381</v>
      </c>
      <c r="Q272" s="3036" t="s">
        <v>5382</v>
      </c>
      <c r="R272" s="3042" t="s">
        <v>5383</v>
      </c>
      <c r="S272" s="3036" t="s">
        <v>5384</v>
      </c>
      <c r="T272" s="3042" t="s">
        <v>5385</v>
      </c>
      <c r="U272" s="3036" t="s">
        <v>5386</v>
      </c>
      <c r="V272" s="3042" t="s">
        <v>5387</v>
      </c>
      <c r="W272" s="3036" t="s">
        <v>5388</v>
      </c>
      <c r="X272" s="3042" t="s">
        <v>5389</v>
      </c>
      <c r="Y272" s="3036" t="s">
        <v>5390</v>
      </c>
      <c r="Z272" s="3042" t="s">
        <v>5391</v>
      </c>
      <c r="AA272" s="3036" t="s">
        <v>5392</v>
      </c>
      <c r="AB272" s="3042" t="s">
        <v>5393</v>
      </c>
      <c r="AC272" s="3036" t="s">
        <v>5394</v>
      </c>
      <c r="AD272" s="3042" t="s">
        <v>5395</v>
      </c>
      <c r="AE272" s="3036" t="s">
        <v>5396</v>
      </c>
      <c r="AF272" s="3042" t="s">
        <v>5397</v>
      </c>
      <c r="AG272" s="3036" t="s">
        <v>5398</v>
      </c>
      <c r="AH272" s="3042" t="s">
        <v>5399</v>
      </c>
      <c r="AI272" s="3036" t="s">
        <v>5400</v>
      </c>
      <c r="AJ272" s="3042" t="s">
        <v>5401</v>
      </c>
      <c r="AK272" s="3036" t="s">
        <v>5402</v>
      </c>
      <c r="AL272" s="3042" t="s">
        <v>5403</v>
      </c>
      <c r="AM272" s="3036" t="s">
        <v>5404</v>
      </c>
      <c r="AN272" s="2905" t="s">
        <v>5405</v>
      </c>
      <c r="AO272" s="7022" t="s">
        <v>5406</v>
      </c>
      <c r="AP272" s="7022" t="s">
        <v>5407</v>
      </c>
      <c r="AQ272" s="7023" t="s">
        <v>5408</v>
      </c>
      <c r="AR272" s="7024" t="s">
        <v>5409</v>
      </c>
      <c r="AS272" s="7023" t="s">
        <v>5410</v>
      </c>
      <c r="AT272" s="7024" t="s">
        <v>5411</v>
      </c>
      <c r="AU272" s="7023" t="s">
        <v>5412</v>
      </c>
      <c r="AV272" s="7025" t="s">
        <v>5413</v>
      </c>
      <c r="AW272" s="7026" t="s">
        <v>5414</v>
      </c>
      <c r="AX272" s="7027" t="s">
        <v>5415</v>
      </c>
      <c r="AY272" s="1547"/>
      <c r="BA272" s="1547"/>
      <c r="BU272" s="1442"/>
      <c r="BV272" s="1442"/>
      <c r="BW272" s="1442"/>
      <c r="BX272" s="1442"/>
      <c r="BY272" s="1442"/>
      <c r="BZ272" s="1442"/>
      <c r="CA272" s="1445"/>
      <c r="DA272" s="3217"/>
      <c r="EA272" s="1123"/>
    </row>
    <row r="273" spans="1:131" x14ac:dyDescent="0.3">
      <c r="A273" s="7307" t="s">
        <v>4240</v>
      </c>
      <c r="B273" s="8691"/>
      <c r="C273" s="3347" t="s">
        <v>60</v>
      </c>
      <c r="D273" s="3348" t="s">
        <v>5369</v>
      </c>
      <c r="E273" s="3349" t="s">
        <v>5370</v>
      </c>
      <c r="F273" s="3350" t="s">
        <v>5371</v>
      </c>
      <c r="G273" s="2985" t="s">
        <v>5372</v>
      </c>
      <c r="H273" s="2986" t="s">
        <v>5373</v>
      </c>
      <c r="I273" s="2985" t="s">
        <v>5374</v>
      </c>
      <c r="J273" s="2986" t="s">
        <v>5375</v>
      </c>
      <c r="K273" s="2985" t="s">
        <v>5376</v>
      </c>
      <c r="L273" s="2986" t="s">
        <v>5377</v>
      </c>
      <c r="M273" s="2985" t="s">
        <v>5378</v>
      </c>
      <c r="N273" s="2986" t="s">
        <v>5379</v>
      </c>
      <c r="O273" s="2985" t="s">
        <v>5380</v>
      </c>
      <c r="P273" s="2986" t="s">
        <v>5381</v>
      </c>
      <c r="Q273" s="2985" t="s">
        <v>5382</v>
      </c>
      <c r="R273" s="2986" t="s">
        <v>5383</v>
      </c>
      <c r="S273" s="2985" t="s">
        <v>5384</v>
      </c>
      <c r="T273" s="2986" t="s">
        <v>5385</v>
      </c>
      <c r="U273" s="2985" t="s">
        <v>5386</v>
      </c>
      <c r="V273" s="2986" t="s">
        <v>5387</v>
      </c>
      <c r="W273" s="2985" t="s">
        <v>5388</v>
      </c>
      <c r="X273" s="2986" t="s">
        <v>5389</v>
      </c>
      <c r="Y273" s="2985" t="s">
        <v>5390</v>
      </c>
      <c r="Z273" s="2986" t="s">
        <v>5391</v>
      </c>
      <c r="AA273" s="2985" t="s">
        <v>5392</v>
      </c>
      <c r="AB273" s="2986" t="s">
        <v>5393</v>
      </c>
      <c r="AC273" s="2985" t="s">
        <v>5394</v>
      </c>
      <c r="AD273" s="2986" t="s">
        <v>5395</v>
      </c>
      <c r="AE273" s="2985" t="s">
        <v>5396</v>
      </c>
      <c r="AF273" s="2986" t="s">
        <v>5397</v>
      </c>
      <c r="AG273" s="2985" t="s">
        <v>5398</v>
      </c>
      <c r="AH273" s="2986" t="s">
        <v>5399</v>
      </c>
      <c r="AI273" s="2985" t="s">
        <v>5400</v>
      </c>
      <c r="AJ273" s="2986" t="s">
        <v>5401</v>
      </c>
      <c r="AK273" s="2985" t="s">
        <v>5402</v>
      </c>
      <c r="AL273" s="2986" t="s">
        <v>5403</v>
      </c>
      <c r="AM273" s="2985" t="s">
        <v>5404</v>
      </c>
      <c r="AN273" s="2451" t="s">
        <v>5405</v>
      </c>
      <c r="AO273" s="7028" t="s">
        <v>5406</v>
      </c>
      <c r="AP273" s="7028" t="s">
        <v>5407</v>
      </c>
      <c r="AQ273" s="7029" t="s">
        <v>5408</v>
      </c>
      <c r="AR273" s="7030" t="s">
        <v>5409</v>
      </c>
      <c r="AS273" s="7029" t="s">
        <v>5410</v>
      </c>
      <c r="AT273" s="7030" t="s">
        <v>5411</v>
      </c>
      <c r="AU273" s="7029" t="s">
        <v>5412</v>
      </c>
      <c r="AV273" s="7031" t="s">
        <v>5413</v>
      </c>
      <c r="AW273" s="7032" t="s">
        <v>5414</v>
      </c>
      <c r="AX273" s="7033" t="s">
        <v>5415</v>
      </c>
      <c r="AY273" s="1547"/>
      <c r="BA273" s="1547"/>
      <c r="BU273" s="1442"/>
      <c r="BV273" s="1442"/>
      <c r="BW273" s="1442"/>
      <c r="BX273" s="1442"/>
      <c r="BY273" s="1442"/>
      <c r="BZ273" s="1442"/>
      <c r="CA273" s="1445"/>
      <c r="DA273" s="3217"/>
      <c r="EA273" s="1123"/>
    </row>
    <row r="274" spans="1:131" x14ac:dyDescent="0.3">
      <c r="A274" s="7307" t="s">
        <v>4241</v>
      </c>
      <c r="B274" s="8691"/>
      <c r="C274" s="2980" t="s">
        <v>3168</v>
      </c>
      <c r="D274" s="3355" t="s">
        <v>5369</v>
      </c>
      <c r="E274" s="3356" t="s">
        <v>5370</v>
      </c>
      <c r="F274" s="3357" t="s">
        <v>5371</v>
      </c>
      <c r="G274" s="2956" t="s">
        <v>5372</v>
      </c>
      <c r="H274" s="1844" t="s">
        <v>5373</v>
      </c>
      <c r="I274" s="2956" t="s">
        <v>5374</v>
      </c>
      <c r="J274" s="1844" t="s">
        <v>5375</v>
      </c>
      <c r="K274" s="2956" t="s">
        <v>5376</v>
      </c>
      <c r="L274" s="1844" t="s">
        <v>5377</v>
      </c>
      <c r="M274" s="2956" t="s">
        <v>5378</v>
      </c>
      <c r="N274" s="1844" t="s">
        <v>5379</v>
      </c>
      <c r="O274" s="2956" t="s">
        <v>5380</v>
      </c>
      <c r="P274" s="1844" t="s">
        <v>5381</v>
      </c>
      <c r="Q274" s="2956" t="s">
        <v>5382</v>
      </c>
      <c r="R274" s="1844" t="s">
        <v>5383</v>
      </c>
      <c r="S274" s="2956" t="s">
        <v>5384</v>
      </c>
      <c r="T274" s="1844" t="s">
        <v>5385</v>
      </c>
      <c r="U274" s="2956" t="s">
        <v>5386</v>
      </c>
      <c r="V274" s="1844" t="s">
        <v>5387</v>
      </c>
      <c r="W274" s="2956" t="s">
        <v>5388</v>
      </c>
      <c r="X274" s="1844" t="s">
        <v>5389</v>
      </c>
      <c r="Y274" s="2956" t="s">
        <v>5390</v>
      </c>
      <c r="Z274" s="1844" t="s">
        <v>5391</v>
      </c>
      <c r="AA274" s="2956" t="s">
        <v>5392</v>
      </c>
      <c r="AB274" s="1844" t="s">
        <v>5393</v>
      </c>
      <c r="AC274" s="2956" t="s">
        <v>5394</v>
      </c>
      <c r="AD274" s="1844" t="s">
        <v>5395</v>
      </c>
      <c r="AE274" s="2956" t="s">
        <v>5396</v>
      </c>
      <c r="AF274" s="1844" t="s">
        <v>5397</v>
      </c>
      <c r="AG274" s="2956" t="s">
        <v>5398</v>
      </c>
      <c r="AH274" s="1844" t="s">
        <v>5399</v>
      </c>
      <c r="AI274" s="2956" t="s">
        <v>5400</v>
      </c>
      <c r="AJ274" s="1844" t="s">
        <v>5401</v>
      </c>
      <c r="AK274" s="2956" t="s">
        <v>5402</v>
      </c>
      <c r="AL274" s="1844" t="s">
        <v>5403</v>
      </c>
      <c r="AM274" s="2956" t="s">
        <v>5404</v>
      </c>
      <c r="AN274" s="2957" t="s">
        <v>5405</v>
      </c>
      <c r="AO274" s="7034" t="s">
        <v>5406</v>
      </c>
      <c r="AP274" s="7034" t="s">
        <v>5407</v>
      </c>
      <c r="AQ274" s="7035" t="s">
        <v>5408</v>
      </c>
      <c r="AR274" s="7036" t="s">
        <v>5409</v>
      </c>
      <c r="AS274" s="7035" t="s">
        <v>5410</v>
      </c>
      <c r="AT274" s="7036" t="s">
        <v>5411</v>
      </c>
      <c r="AU274" s="7035" t="s">
        <v>5412</v>
      </c>
      <c r="AV274" s="7037" t="s">
        <v>5413</v>
      </c>
      <c r="AW274" s="7038" t="s">
        <v>5414</v>
      </c>
      <c r="AX274" s="7039" t="s">
        <v>5415</v>
      </c>
      <c r="AY274" s="1547"/>
      <c r="BA274" s="1547"/>
      <c r="BU274" s="1442"/>
      <c r="BV274" s="1442"/>
      <c r="BW274" s="1442"/>
      <c r="BX274" s="1442"/>
      <c r="BY274" s="1442"/>
      <c r="BZ274" s="1442"/>
      <c r="CA274" s="1445"/>
      <c r="DA274" s="3217"/>
      <c r="EA274" s="1123"/>
    </row>
    <row r="275" spans="1:131" x14ac:dyDescent="0.3">
      <c r="A275" s="7307" t="s">
        <v>4242</v>
      </c>
      <c r="B275" s="8691"/>
      <c r="C275" s="2980" t="s">
        <v>2601</v>
      </c>
      <c r="D275" s="3355" t="s">
        <v>5369</v>
      </c>
      <c r="E275" s="3356" t="s">
        <v>5370</v>
      </c>
      <c r="F275" s="3357" t="s">
        <v>5371</v>
      </c>
      <c r="G275" s="2956" t="s">
        <v>5372</v>
      </c>
      <c r="H275" s="1844" t="s">
        <v>5373</v>
      </c>
      <c r="I275" s="2956" t="s">
        <v>5374</v>
      </c>
      <c r="J275" s="1844" t="s">
        <v>5375</v>
      </c>
      <c r="K275" s="2956" t="s">
        <v>5376</v>
      </c>
      <c r="L275" s="1844" t="s">
        <v>5377</v>
      </c>
      <c r="M275" s="2956" t="s">
        <v>5378</v>
      </c>
      <c r="N275" s="1844" t="s">
        <v>5379</v>
      </c>
      <c r="O275" s="2956" t="s">
        <v>5380</v>
      </c>
      <c r="P275" s="1844" t="s">
        <v>5381</v>
      </c>
      <c r="Q275" s="2956" t="s">
        <v>5382</v>
      </c>
      <c r="R275" s="1844" t="s">
        <v>5383</v>
      </c>
      <c r="S275" s="2956" t="s">
        <v>5384</v>
      </c>
      <c r="T275" s="1844" t="s">
        <v>5385</v>
      </c>
      <c r="U275" s="2956" t="s">
        <v>5386</v>
      </c>
      <c r="V275" s="1844" t="s">
        <v>5387</v>
      </c>
      <c r="W275" s="2956" t="s">
        <v>5388</v>
      </c>
      <c r="X275" s="1844" t="s">
        <v>5389</v>
      </c>
      <c r="Y275" s="2956" t="s">
        <v>5390</v>
      </c>
      <c r="Z275" s="1844" t="s">
        <v>5391</v>
      </c>
      <c r="AA275" s="2956" t="s">
        <v>5392</v>
      </c>
      <c r="AB275" s="1844" t="s">
        <v>5393</v>
      </c>
      <c r="AC275" s="2956" t="s">
        <v>5394</v>
      </c>
      <c r="AD275" s="1844" t="s">
        <v>5395</v>
      </c>
      <c r="AE275" s="2956" t="s">
        <v>5396</v>
      </c>
      <c r="AF275" s="1844" t="s">
        <v>5397</v>
      </c>
      <c r="AG275" s="2956" t="s">
        <v>5398</v>
      </c>
      <c r="AH275" s="1844" t="s">
        <v>5399</v>
      </c>
      <c r="AI275" s="2956" t="s">
        <v>5400</v>
      </c>
      <c r="AJ275" s="1844" t="s">
        <v>5401</v>
      </c>
      <c r="AK275" s="2956" t="s">
        <v>5402</v>
      </c>
      <c r="AL275" s="1844" t="s">
        <v>5403</v>
      </c>
      <c r="AM275" s="2956" t="s">
        <v>5404</v>
      </c>
      <c r="AN275" s="2957" t="s">
        <v>5405</v>
      </c>
      <c r="AO275" s="7034" t="s">
        <v>5406</v>
      </c>
      <c r="AP275" s="7034" t="s">
        <v>5407</v>
      </c>
      <c r="AQ275" s="7035" t="s">
        <v>5408</v>
      </c>
      <c r="AR275" s="7036" t="s">
        <v>5409</v>
      </c>
      <c r="AS275" s="7035" t="s">
        <v>5410</v>
      </c>
      <c r="AT275" s="7036" t="s">
        <v>5411</v>
      </c>
      <c r="AU275" s="7035" t="s">
        <v>5412</v>
      </c>
      <c r="AV275" s="7037" t="s">
        <v>5413</v>
      </c>
      <c r="AW275" s="7038" t="s">
        <v>5414</v>
      </c>
      <c r="AX275" s="7039" t="s">
        <v>5415</v>
      </c>
      <c r="AY275" s="1547"/>
      <c r="BA275" s="1547"/>
      <c r="BU275" s="1442"/>
      <c r="BV275" s="1442"/>
      <c r="BW275" s="1442"/>
      <c r="BX275" s="1442"/>
      <c r="BY275" s="1442"/>
      <c r="BZ275" s="1442"/>
      <c r="CA275" s="1445"/>
      <c r="DA275" s="3217"/>
      <c r="EA275" s="1123"/>
    </row>
    <row r="276" spans="1:131" x14ac:dyDescent="0.3">
      <c r="A276" s="7307" t="s">
        <v>4243</v>
      </c>
      <c r="B276" s="8691"/>
      <c r="C276" s="2980" t="s">
        <v>3728</v>
      </c>
      <c r="D276" s="3355" t="s">
        <v>5369</v>
      </c>
      <c r="E276" s="3356" t="s">
        <v>5370</v>
      </c>
      <c r="F276" s="3357" t="s">
        <v>5371</v>
      </c>
      <c r="G276" s="2956" t="s">
        <v>5372</v>
      </c>
      <c r="H276" s="1844" t="s">
        <v>5373</v>
      </c>
      <c r="I276" s="2956" t="s">
        <v>5374</v>
      </c>
      <c r="J276" s="1844" t="s">
        <v>5375</v>
      </c>
      <c r="K276" s="2956" t="s">
        <v>5376</v>
      </c>
      <c r="L276" s="1844" t="s">
        <v>5377</v>
      </c>
      <c r="M276" s="2956" t="s">
        <v>5378</v>
      </c>
      <c r="N276" s="1844" t="s">
        <v>5379</v>
      </c>
      <c r="O276" s="2956" t="s">
        <v>5380</v>
      </c>
      <c r="P276" s="1844" t="s">
        <v>5381</v>
      </c>
      <c r="Q276" s="2956" t="s">
        <v>5382</v>
      </c>
      <c r="R276" s="1844" t="s">
        <v>5383</v>
      </c>
      <c r="S276" s="2956" t="s">
        <v>5384</v>
      </c>
      <c r="T276" s="1844" t="s">
        <v>5385</v>
      </c>
      <c r="U276" s="2956" t="s">
        <v>5386</v>
      </c>
      <c r="V276" s="1844" t="s">
        <v>5387</v>
      </c>
      <c r="W276" s="2956" t="s">
        <v>5388</v>
      </c>
      <c r="X276" s="1844" t="s">
        <v>5389</v>
      </c>
      <c r="Y276" s="2956" t="s">
        <v>5390</v>
      </c>
      <c r="Z276" s="1844" t="s">
        <v>5391</v>
      </c>
      <c r="AA276" s="2956" t="s">
        <v>5392</v>
      </c>
      <c r="AB276" s="1844" t="s">
        <v>5393</v>
      </c>
      <c r="AC276" s="2956" t="s">
        <v>5394</v>
      </c>
      <c r="AD276" s="1844" t="s">
        <v>5395</v>
      </c>
      <c r="AE276" s="2956" t="s">
        <v>5396</v>
      </c>
      <c r="AF276" s="1844" t="s">
        <v>5397</v>
      </c>
      <c r="AG276" s="2956" t="s">
        <v>5398</v>
      </c>
      <c r="AH276" s="1844" t="s">
        <v>5399</v>
      </c>
      <c r="AI276" s="2956" t="s">
        <v>5400</v>
      </c>
      <c r="AJ276" s="1844" t="s">
        <v>5401</v>
      </c>
      <c r="AK276" s="2956" t="s">
        <v>5402</v>
      </c>
      <c r="AL276" s="1844" t="s">
        <v>5403</v>
      </c>
      <c r="AM276" s="2956" t="s">
        <v>5404</v>
      </c>
      <c r="AN276" s="2957" t="s">
        <v>5405</v>
      </c>
      <c r="AO276" s="7034" t="s">
        <v>5406</v>
      </c>
      <c r="AP276" s="7034" t="s">
        <v>5407</v>
      </c>
      <c r="AQ276" s="7035" t="s">
        <v>5408</v>
      </c>
      <c r="AR276" s="7036" t="s">
        <v>5409</v>
      </c>
      <c r="AS276" s="7035" t="s">
        <v>5410</v>
      </c>
      <c r="AT276" s="7036" t="s">
        <v>5411</v>
      </c>
      <c r="AU276" s="7035" t="s">
        <v>5412</v>
      </c>
      <c r="AV276" s="7037" t="s">
        <v>5413</v>
      </c>
      <c r="AW276" s="7038" t="s">
        <v>5414</v>
      </c>
      <c r="AX276" s="7039" t="s">
        <v>5415</v>
      </c>
      <c r="AY276" s="1547"/>
      <c r="BA276" s="1547"/>
      <c r="BU276" s="1442"/>
      <c r="BV276" s="1442"/>
      <c r="BW276" s="1442"/>
      <c r="BX276" s="1442"/>
      <c r="BY276" s="1442"/>
      <c r="BZ276" s="1442"/>
      <c r="CA276" s="1445"/>
      <c r="DA276" s="3217"/>
      <c r="EA276" s="1123"/>
    </row>
    <row r="277" spans="1:131" x14ac:dyDescent="0.3">
      <c r="A277" s="7307" t="s">
        <v>4244</v>
      </c>
      <c r="B277" s="8691"/>
      <c r="C277" s="2980" t="s">
        <v>1265</v>
      </c>
      <c r="D277" s="3355" t="s">
        <v>5369</v>
      </c>
      <c r="E277" s="3356" t="s">
        <v>5370</v>
      </c>
      <c r="F277" s="3357" t="s">
        <v>5371</v>
      </c>
      <c r="G277" s="2956" t="s">
        <v>5372</v>
      </c>
      <c r="H277" s="1844" t="s">
        <v>5373</v>
      </c>
      <c r="I277" s="2956" t="s">
        <v>5374</v>
      </c>
      <c r="J277" s="1844" t="s">
        <v>5375</v>
      </c>
      <c r="K277" s="2956" t="s">
        <v>5376</v>
      </c>
      <c r="L277" s="1844" t="s">
        <v>5377</v>
      </c>
      <c r="M277" s="2956" t="s">
        <v>5378</v>
      </c>
      <c r="N277" s="1844" t="s">
        <v>5379</v>
      </c>
      <c r="O277" s="2956" t="s">
        <v>5380</v>
      </c>
      <c r="P277" s="1844" t="s">
        <v>5381</v>
      </c>
      <c r="Q277" s="2956" t="s">
        <v>5382</v>
      </c>
      <c r="R277" s="1844" t="s">
        <v>5383</v>
      </c>
      <c r="S277" s="2956" t="s">
        <v>5384</v>
      </c>
      <c r="T277" s="1844" t="s">
        <v>5385</v>
      </c>
      <c r="U277" s="2956" t="s">
        <v>5386</v>
      </c>
      <c r="V277" s="1844" t="s">
        <v>5387</v>
      </c>
      <c r="W277" s="2956" t="s">
        <v>5388</v>
      </c>
      <c r="X277" s="1844" t="s">
        <v>5389</v>
      </c>
      <c r="Y277" s="2956" t="s">
        <v>5390</v>
      </c>
      <c r="Z277" s="1844" t="s">
        <v>5391</v>
      </c>
      <c r="AA277" s="2956" t="s">
        <v>5392</v>
      </c>
      <c r="AB277" s="1844" t="s">
        <v>5393</v>
      </c>
      <c r="AC277" s="2956" t="s">
        <v>5394</v>
      </c>
      <c r="AD277" s="1844" t="s">
        <v>5395</v>
      </c>
      <c r="AE277" s="2956" t="s">
        <v>5396</v>
      </c>
      <c r="AF277" s="1844" t="s">
        <v>5397</v>
      </c>
      <c r="AG277" s="2956" t="s">
        <v>5398</v>
      </c>
      <c r="AH277" s="1844" t="s">
        <v>5399</v>
      </c>
      <c r="AI277" s="2956" t="s">
        <v>5400</v>
      </c>
      <c r="AJ277" s="1844" t="s">
        <v>5401</v>
      </c>
      <c r="AK277" s="2956" t="s">
        <v>5402</v>
      </c>
      <c r="AL277" s="1844" t="s">
        <v>5403</v>
      </c>
      <c r="AM277" s="2956" t="s">
        <v>5404</v>
      </c>
      <c r="AN277" s="2957" t="s">
        <v>5405</v>
      </c>
      <c r="AO277" s="7034" t="s">
        <v>5406</v>
      </c>
      <c r="AP277" s="7034" t="s">
        <v>5407</v>
      </c>
      <c r="AQ277" s="7035" t="s">
        <v>5408</v>
      </c>
      <c r="AR277" s="7036" t="s">
        <v>5409</v>
      </c>
      <c r="AS277" s="7035" t="s">
        <v>5410</v>
      </c>
      <c r="AT277" s="7036" t="s">
        <v>5411</v>
      </c>
      <c r="AU277" s="7035" t="s">
        <v>5412</v>
      </c>
      <c r="AV277" s="7037" t="s">
        <v>5413</v>
      </c>
      <c r="AW277" s="7038" t="s">
        <v>5414</v>
      </c>
      <c r="AX277" s="7039" t="s">
        <v>5415</v>
      </c>
      <c r="AY277" s="1547"/>
      <c r="BA277" s="1547"/>
      <c r="BU277" s="1442"/>
      <c r="BV277" s="1442"/>
      <c r="BW277" s="1442"/>
      <c r="BX277" s="1442"/>
      <c r="BY277" s="1442"/>
      <c r="BZ277" s="1442"/>
      <c r="CA277" s="1445"/>
      <c r="DA277" s="3217"/>
      <c r="EA277" s="1123"/>
    </row>
    <row r="278" spans="1:131" x14ac:dyDescent="0.3">
      <c r="A278" s="7663"/>
      <c r="B278" s="8692"/>
      <c r="C278" s="3351" t="s">
        <v>3146</v>
      </c>
      <c r="D278" s="3352">
        <f t="shared" si="13"/>
        <v>0</v>
      </c>
      <c r="E278" s="3353">
        <f t="shared" ref="E278:F290" si="15">SUM(G278,I278,K278,M278,O278,Q278,S278,U278,W278,Y278,AA278,AC278,AE278,AG278,AI278,AK278,AM278)</f>
        <v>0</v>
      </c>
      <c r="F278" s="3354">
        <f t="shared" si="15"/>
        <v>0</v>
      </c>
      <c r="G278" s="3366">
        <f t="shared" ref="G278:AN278" si="16">SUM(G272:G277)</f>
        <v>0</v>
      </c>
      <c r="H278" s="3367">
        <f t="shared" si="16"/>
        <v>0</v>
      </c>
      <c r="I278" s="3366">
        <f t="shared" si="16"/>
        <v>0</v>
      </c>
      <c r="J278" s="3367">
        <f t="shared" si="16"/>
        <v>0</v>
      </c>
      <c r="K278" s="3366">
        <f t="shared" si="16"/>
        <v>0</v>
      </c>
      <c r="L278" s="3368">
        <f t="shared" si="16"/>
        <v>0</v>
      </c>
      <c r="M278" s="3366">
        <f t="shared" si="16"/>
        <v>0</v>
      </c>
      <c r="N278" s="3368">
        <f t="shared" si="16"/>
        <v>0</v>
      </c>
      <c r="O278" s="3366">
        <f t="shared" si="16"/>
        <v>0</v>
      </c>
      <c r="P278" s="3368">
        <f t="shared" si="16"/>
        <v>0</v>
      </c>
      <c r="Q278" s="3366">
        <f t="shared" si="16"/>
        <v>0</v>
      </c>
      <c r="R278" s="3368">
        <f t="shared" si="16"/>
        <v>0</v>
      </c>
      <c r="S278" s="3366">
        <f t="shared" si="16"/>
        <v>0</v>
      </c>
      <c r="T278" s="3368">
        <f t="shared" si="16"/>
        <v>0</v>
      </c>
      <c r="U278" s="3366">
        <f t="shared" si="16"/>
        <v>0</v>
      </c>
      <c r="V278" s="3368">
        <f t="shared" si="16"/>
        <v>0</v>
      </c>
      <c r="W278" s="3366">
        <f t="shared" si="16"/>
        <v>0</v>
      </c>
      <c r="X278" s="3368">
        <f t="shared" si="16"/>
        <v>0</v>
      </c>
      <c r="Y278" s="3366">
        <f t="shared" si="16"/>
        <v>0</v>
      </c>
      <c r="Z278" s="3368">
        <f t="shared" si="16"/>
        <v>0</v>
      </c>
      <c r="AA278" s="3366">
        <f t="shared" si="16"/>
        <v>0</v>
      </c>
      <c r="AB278" s="3368">
        <f t="shared" si="16"/>
        <v>0</v>
      </c>
      <c r="AC278" s="3366">
        <f t="shared" si="16"/>
        <v>0</v>
      </c>
      <c r="AD278" s="3368">
        <f t="shared" si="16"/>
        <v>0</v>
      </c>
      <c r="AE278" s="3366">
        <f t="shared" si="16"/>
        <v>0</v>
      </c>
      <c r="AF278" s="3368">
        <f t="shared" si="16"/>
        <v>0</v>
      </c>
      <c r="AG278" s="3366">
        <f t="shared" si="16"/>
        <v>0</v>
      </c>
      <c r="AH278" s="3368">
        <f t="shared" si="16"/>
        <v>0</v>
      </c>
      <c r="AI278" s="3366">
        <f t="shared" si="16"/>
        <v>0</v>
      </c>
      <c r="AJ278" s="3368">
        <f t="shared" si="16"/>
        <v>0</v>
      </c>
      <c r="AK278" s="3366">
        <f t="shared" si="16"/>
        <v>0</v>
      </c>
      <c r="AL278" s="3368">
        <f t="shared" si="16"/>
        <v>0</v>
      </c>
      <c r="AM278" s="3369">
        <f t="shared" si="16"/>
        <v>0</v>
      </c>
      <c r="AN278" s="3370">
        <f t="shared" si="16"/>
        <v>0</v>
      </c>
      <c r="AO278" s="7040"/>
      <c r="AP278" s="7040"/>
      <c r="AQ278" s="7041"/>
      <c r="AR278" s="7042"/>
      <c r="AS278" s="7041"/>
      <c r="AT278" s="7042"/>
      <c r="AU278" s="7043"/>
      <c r="AV278" s="7044"/>
      <c r="AW278" s="7045"/>
      <c r="AX278" s="7046"/>
      <c r="AY278" s="1547"/>
      <c r="BA278" s="1547"/>
      <c r="BU278" s="1442"/>
      <c r="BV278" s="1442"/>
      <c r="BW278" s="1442"/>
      <c r="BX278" s="1442"/>
      <c r="BY278" s="1442"/>
      <c r="BZ278" s="1442"/>
      <c r="CA278" s="1445"/>
      <c r="DA278" s="3217"/>
      <c r="EA278" s="1123"/>
    </row>
    <row r="279" spans="1:131" x14ac:dyDescent="0.3">
      <c r="A279" s="7307" t="s">
        <v>4245</v>
      </c>
      <c r="B279" s="8690" t="s">
        <v>3582</v>
      </c>
      <c r="C279" s="3343" t="s">
        <v>2597</v>
      </c>
      <c r="D279" s="3344" t="s">
        <v>5369</v>
      </c>
      <c r="E279" s="3345" t="s">
        <v>5370</v>
      </c>
      <c r="F279" s="3346" t="s">
        <v>5371</v>
      </c>
      <c r="G279" s="3036" t="s">
        <v>5372</v>
      </c>
      <c r="H279" s="3042" t="s">
        <v>5373</v>
      </c>
      <c r="I279" s="3036" t="s">
        <v>5374</v>
      </c>
      <c r="J279" s="3042" t="s">
        <v>5375</v>
      </c>
      <c r="K279" s="3036" t="s">
        <v>5376</v>
      </c>
      <c r="L279" s="3042" t="s">
        <v>5377</v>
      </c>
      <c r="M279" s="3036" t="s">
        <v>5378</v>
      </c>
      <c r="N279" s="3042" t="s">
        <v>5379</v>
      </c>
      <c r="O279" s="3036" t="s">
        <v>5380</v>
      </c>
      <c r="P279" s="3042" t="s">
        <v>5381</v>
      </c>
      <c r="Q279" s="3036" t="s">
        <v>5382</v>
      </c>
      <c r="R279" s="3042" t="s">
        <v>5383</v>
      </c>
      <c r="S279" s="3036" t="s">
        <v>5384</v>
      </c>
      <c r="T279" s="3042" t="s">
        <v>5385</v>
      </c>
      <c r="U279" s="3036" t="s">
        <v>5386</v>
      </c>
      <c r="V279" s="3042" t="s">
        <v>5387</v>
      </c>
      <c r="W279" s="3036" t="s">
        <v>5388</v>
      </c>
      <c r="X279" s="3042" t="s">
        <v>5389</v>
      </c>
      <c r="Y279" s="3036" t="s">
        <v>5390</v>
      </c>
      <c r="Z279" s="3042" t="s">
        <v>5391</v>
      </c>
      <c r="AA279" s="3036" t="s">
        <v>5392</v>
      </c>
      <c r="AB279" s="3042" t="s">
        <v>5393</v>
      </c>
      <c r="AC279" s="3036" t="s">
        <v>5394</v>
      </c>
      <c r="AD279" s="3042" t="s">
        <v>5395</v>
      </c>
      <c r="AE279" s="3036" t="s">
        <v>5396</v>
      </c>
      <c r="AF279" s="3042" t="s">
        <v>5397</v>
      </c>
      <c r="AG279" s="3036" t="s">
        <v>5398</v>
      </c>
      <c r="AH279" s="3042" t="s">
        <v>5399</v>
      </c>
      <c r="AI279" s="3036" t="s">
        <v>5400</v>
      </c>
      <c r="AJ279" s="3042" t="s">
        <v>5401</v>
      </c>
      <c r="AK279" s="3036" t="s">
        <v>5402</v>
      </c>
      <c r="AL279" s="3042" t="s">
        <v>5403</v>
      </c>
      <c r="AM279" s="3036" t="s">
        <v>5404</v>
      </c>
      <c r="AN279" s="2905" t="s">
        <v>5405</v>
      </c>
      <c r="AO279" s="7022" t="s">
        <v>5406</v>
      </c>
      <c r="AP279" s="7022" t="s">
        <v>5407</v>
      </c>
      <c r="AQ279" s="7023" t="s">
        <v>5408</v>
      </c>
      <c r="AR279" s="7024" t="s">
        <v>5409</v>
      </c>
      <c r="AS279" s="7023" t="s">
        <v>5410</v>
      </c>
      <c r="AT279" s="7024" t="s">
        <v>5411</v>
      </c>
      <c r="AU279" s="7023" t="s">
        <v>5412</v>
      </c>
      <c r="AV279" s="7025" t="s">
        <v>5413</v>
      </c>
      <c r="AW279" s="7026" t="s">
        <v>5414</v>
      </c>
      <c r="AX279" s="7027" t="s">
        <v>5415</v>
      </c>
      <c r="AY279" s="1547"/>
      <c r="BA279" s="1547"/>
      <c r="BU279" s="1442"/>
      <c r="BV279" s="1442"/>
      <c r="BW279" s="1442"/>
      <c r="BX279" s="1442"/>
      <c r="BY279" s="1442"/>
      <c r="BZ279" s="1442"/>
      <c r="CA279" s="1445"/>
      <c r="DA279" s="3217"/>
      <c r="EA279" s="1123"/>
    </row>
    <row r="280" spans="1:131" x14ac:dyDescent="0.3">
      <c r="A280" s="7307" t="s">
        <v>4246</v>
      </c>
      <c r="B280" s="8691"/>
      <c r="C280" s="3347" t="s">
        <v>60</v>
      </c>
      <c r="D280" s="3348" t="s">
        <v>5369</v>
      </c>
      <c r="E280" s="3349" t="s">
        <v>5370</v>
      </c>
      <c r="F280" s="3350" t="s">
        <v>5371</v>
      </c>
      <c r="G280" s="2985" t="s">
        <v>5372</v>
      </c>
      <c r="H280" s="2986" t="s">
        <v>5373</v>
      </c>
      <c r="I280" s="2985" t="s">
        <v>5374</v>
      </c>
      <c r="J280" s="2986" t="s">
        <v>5375</v>
      </c>
      <c r="K280" s="2985" t="s">
        <v>5376</v>
      </c>
      <c r="L280" s="2986" t="s">
        <v>5377</v>
      </c>
      <c r="M280" s="2985" t="s">
        <v>5378</v>
      </c>
      <c r="N280" s="2986" t="s">
        <v>5379</v>
      </c>
      <c r="O280" s="2985" t="s">
        <v>5380</v>
      </c>
      <c r="P280" s="2986" t="s">
        <v>5381</v>
      </c>
      <c r="Q280" s="2985" t="s">
        <v>5382</v>
      </c>
      <c r="R280" s="2986" t="s">
        <v>5383</v>
      </c>
      <c r="S280" s="2985" t="s">
        <v>5384</v>
      </c>
      <c r="T280" s="2986" t="s">
        <v>5385</v>
      </c>
      <c r="U280" s="2985" t="s">
        <v>5386</v>
      </c>
      <c r="V280" s="2986" t="s">
        <v>5387</v>
      </c>
      <c r="W280" s="2985" t="s">
        <v>5388</v>
      </c>
      <c r="X280" s="2986" t="s">
        <v>5389</v>
      </c>
      <c r="Y280" s="2985" t="s">
        <v>5390</v>
      </c>
      <c r="Z280" s="2986" t="s">
        <v>5391</v>
      </c>
      <c r="AA280" s="2985" t="s">
        <v>5392</v>
      </c>
      <c r="AB280" s="2986" t="s">
        <v>5393</v>
      </c>
      <c r="AC280" s="2985" t="s">
        <v>5394</v>
      </c>
      <c r="AD280" s="2986" t="s">
        <v>5395</v>
      </c>
      <c r="AE280" s="2985" t="s">
        <v>5396</v>
      </c>
      <c r="AF280" s="2986" t="s">
        <v>5397</v>
      </c>
      <c r="AG280" s="2985" t="s">
        <v>5398</v>
      </c>
      <c r="AH280" s="2986" t="s">
        <v>5399</v>
      </c>
      <c r="AI280" s="2985" t="s">
        <v>5400</v>
      </c>
      <c r="AJ280" s="2986" t="s">
        <v>5401</v>
      </c>
      <c r="AK280" s="2985" t="s">
        <v>5402</v>
      </c>
      <c r="AL280" s="2986" t="s">
        <v>5403</v>
      </c>
      <c r="AM280" s="2985" t="s">
        <v>5404</v>
      </c>
      <c r="AN280" s="2451" t="s">
        <v>5405</v>
      </c>
      <c r="AO280" s="7028" t="s">
        <v>5406</v>
      </c>
      <c r="AP280" s="7028" t="s">
        <v>5407</v>
      </c>
      <c r="AQ280" s="7029" t="s">
        <v>5408</v>
      </c>
      <c r="AR280" s="7030" t="s">
        <v>5409</v>
      </c>
      <c r="AS280" s="7029" t="s">
        <v>5410</v>
      </c>
      <c r="AT280" s="7030" t="s">
        <v>5411</v>
      </c>
      <c r="AU280" s="7029" t="s">
        <v>5412</v>
      </c>
      <c r="AV280" s="7031" t="s">
        <v>5413</v>
      </c>
      <c r="AW280" s="7032" t="s">
        <v>5414</v>
      </c>
      <c r="AX280" s="7033" t="s">
        <v>5415</v>
      </c>
      <c r="AY280" s="1547"/>
      <c r="BA280" s="1547"/>
      <c r="BU280" s="1442"/>
      <c r="BV280" s="1442"/>
      <c r="BW280" s="1442"/>
      <c r="BX280" s="1442"/>
      <c r="BY280" s="1442"/>
      <c r="BZ280" s="1442"/>
      <c r="CA280" s="1445"/>
      <c r="DA280" s="3217"/>
      <c r="EA280" s="1123"/>
    </row>
    <row r="281" spans="1:131" x14ac:dyDescent="0.3">
      <c r="A281" s="7307" t="s">
        <v>4247</v>
      </c>
      <c r="B281" s="8691"/>
      <c r="C281" s="2980" t="s">
        <v>3168</v>
      </c>
      <c r="D281" s="3355" t="s">
        <v>5369</v>
      </c>
      <c r="E281" s="3356" t="s">
        <v>5370</v>
      </c>
      <c r="F281" s="3357" t="s">
        <v>5371</v>
      </c>
      <c r="G281" s="2956" t="s">
        <v>5372</v>
      </c>
      <c r="H281" s="1844" t="s">
        <v>5373</v>
      </c>
      <c r="I281" s="2956" t="s">
        <v>5374</v>
      </c>
      <c r="J281" s="1844" t="s">
        <v>5375</v>
      </c>
      <c r="K281" s="2956" t="s">
        <v>5376</v>
      </c>
      <c r="L281" s="1844" t="s">
        <v>5377</v>
      </c>
      <c r="M281" s="2956" t="s">
        <v>5378</v>
      </c>
      <c r="N281" s="1844" t="s">
        <v>5379</v>
      </c>
      <c r="O281" s="2956" t="s">
        <v>5380</v>
      </c>
      <c r="P281" s="1844" t="s">
        <v>5381</v>
      </c>
      <c r="Q281" s="2956" t="s">
        <v>5382</v>
      </c>
      <c r="R281" s="1844" t="s">
        <v>5383</v>
      </c>
      <c r="S281" s="2956" t="s">
        <v>5384</v>
      </c>
      <c r="T281" s="1844" t="s">
        <v>5385</v>
      </c>
      <c r="U281" s="2956" t="s">
        <v>5386</v>
      </c>
      <c r="V281" s="1844" t="s">
        <v>5387</v>
      </c>
      <c r="W281" s="2956" t="s">
        <v>5388</v>
      </c>
      <c r="X281" s="1844" t="s">
        <v>5389</v>
      </c>
      <c r="Y281" s="2956" t="s">
        <v>5390</v>
      </c>
      <c r="Z281" s="1844" t="s">
        <v>5391</v>
      </c>
      <c r="AA281" s="2956" t="s">
        <v>5392</v>
      </c>
      <c r="AB281" s="1844" t="s">
        <v>5393</v>
      </c>
      <c r="AC281" s="2956" t="s">
        <v>5394</v>
      </c>
      <c r="AD281" s="1844" t="s">
        <v>5395</v>
      </c>
      <c r="AE281" s="2956" t="s">
        <v>5396</v>
      </c>
      <c r="AF281" s="1844" t="s">
        <v>5397</v>
      </c>
      <c r="AG281" s="2956" t="s">
        <v>5398</v>
      </c>
      <c r="AH281" s="1844" t="s">
        <v>5399</v>
      </c>
      <c r="AI281" s="2956" t="s">
        <v>5400</v>
      </c>
      <c r="AJ281" s="1844" t="s">
        <v>5401</v>
      </c>
      <c r="AK281" s="2956" t="s">
        <v>5402</v>
      </c>
      <c r="AL281" s="1844" t="s">
        <v>5403</v>
      </c>
      <c r="AM281" s="2956" t="s">
        <v>5404</v>
      </c>
      <c r="AN281" s="2957" t="s">
        <v>5405</v>
      </c>
      <c r="AO281" s="7034" t="s">
        <v>5406</v>
      </c>
      <c r="AP281" s="7034" t="s">
        <v>5407</v>
      </c>
      <c r="AQ281" s="7035" t="s">
        <v>5408</v>
      </c>
      <c r="AR281" s="7036" t="s">
        <v>5409</v>
      </c>
      <c r="AS281" s="7035" t="s">
        <v>5410</v>
      </c>
      <c r="AT281" s="7036" t="s">
        <v>5411</v>
      </c>
      <c r="AU281" s="7035" t="s">
        <v>5412</v>
      </c>
      <c r="AV281" s="7037" t="s">
        <v>5413</v>
      </c>
      <c r="AW281" s="7038" t="s">
        <v>5414</v>
      </c>
      <c r="AX281" s="7039" t="s">
        <v>5415</v>
      </c>
      <c r="AY281" s="1547"/>
      <c r="BA281" s="1547"/>
      <c r="BU281" s="1442"/>
      <c r="BV281" s="1442"/>
      <c r="BW281" s="1442"/>
      <c r="BX281" s="1442"/>
      <c r="BY281" s="1442"/>
      <c r="BZ281" s="1442"/>
      <c r="CA281" s="1445"/>
      <c r="DA281" s="3217"/>
      <c r="EA281" s="1123"/>
    </row>
    <row r="282" spans="1:131" x14ac:dyDescent="0.3">
      <c r="A282" s="7307" t="s">
        <v>4248</v>
      </c>
      <c r="B282" s="8691"/>
      <c r="C282" s="2980" t="s">
        <v>2601</v>
      </c>
      <c r="D282" s="3355" t="s">
        <v>5369</v>
      </c>
      <c r="E282" s="3356" t="s">
        <v>5370</v>
      </c>
      <c r="F282" s="3357" t="s">
        <v>5371</v>
      </c>
      <c r="G282" s="2956" t="s">
        <v>5372</v>
      </c>
      <c r="H282" s="1844" t="s">
        <v>5373</v>
      </c>
      <c r="I282" s="2956" t="s">
        <v>5374</v>
      </c>
      <c r="J282" s="1844" t="s">
        <v>5375</v>
      </c>
      <c r="K282" s="2956" t="s">
        <v>5376</v>
      </c>
      <c r="L282" s="1844" t="s">
        <v>5377</v>
      </c>
      <c r="M282" s="2956" t="s">
        <v>5378</v>
      </c>
      <c r="N282" s="1844" t="s">
        <v>5379</v>
      </c>
      <c r="O282" s="2956" t="s">
        <v>5380</v>
      </c>
      <c r="P282" s="1844" t="s">
        <v>5381</v>
      </c>
      <c r="Q282" s="2956" t="s">
        <v>5382</v>
      </c>
      <c r="R282" s="1844" t="s">
        <v>5383</v>
      </c>
      <c r="S282" s="2956" t="s">
        <v>5384</v>
      </c>
      <c r="T282" s="1844" t="s">
        <v>5385</v>
      </c>
      <c r="U282" s="2956" t="s">
        <v>5386</v>
      </c>
      <c r="V282" s="1844" t="s">
        <v>5387</v>
      </c>
      <c r="W282" s="2956" t="s">
        <v>5388</v>
      </c>
      <c r="X282" s="1844" t="s">
        <v>5389</v>
      </c>
      <c r="Y282" s="2956" t="s">
        <v>5390</v>
      </c>
      <c r="Z282" s="1844" t="s">
        <v>5391</v>
      </c>
      <c r="AA282" s="2956" t="s">
        <v>5392</v>
      </c>
      <c r="AB282" s="1844" t="s">
        <v>5393</v>
      </c>
      <c r="AC282" s="2956" t="s">
        <v>5394</v>
      </c>
      <c r="AD282" s="1844" t="s">
        <v>5395</v>
      </c>
      <c r="AE282" s="2956" t="s">
        <v>5396</v>
      </c>
      <c r="AF282" s="1844" t="s">
        <v>5397</v>
      </c>
      <c r="AG282" s="2956" t="s">
        <v>5398</v>
      </c>
      <c r="AH282" s="1844" t="s">
        <v>5399</v>
      </c>
      <c r="AI282" s="2956" t="s">
        <v>5400</v>
      </c>
      <c r="AJ282" s="1844" t="s">
        <v>5401</v>
      </c>
      <c r="AK282" s="2956" t="s">
        <v>5402</v>
      </c>
      <c r="AL282" s="1844" t="s">
        <v>5403</v>
      </c>
      <c r="AM282" s="2956" t="s">
        <v>5404</v>
      </c>
      <c r="AN282" s="2957" t="s">
        <v>5405</v>
      </c>
      <c r="AO282" s="7034" t="s">
        <v>5406</v>
      </c>
      <c r="AP282" s="7034" t="s">
        <v>5407</v>
      </c>
      <c r="AQ282" s="7035" t="s">
        <v>5408</v>
      </c>
      <c r="AR282" s="7036" t="s">
        <v>5409</v>
      </c>
      <c r="AS282" s="7035" t="s">
        <v>5410</v>
      </c>
      <c r="AT282" s="7036" t="s">
        <v>5411</v>
      </c>
      <c r="AU282" s="7035" t="s">
        <v>5412</v>
      </c>
      <c r="AV282" s="7037" t="s">
        <v>5413</v>
      </c>
      <c r="AW282" s="7038" t="s">
        <v>5414</v>
      </c>
      <c r="AX282" s="7039" t="s">
        <v>5415</v>
      </c>
      <c r="AY282" s="1547"/>
      <c r="BA282" s="1547"/>
      <c r="BU282" s="1442"/>
      <c r="BV282" s="1442"/>
      <c r="BW282" s="1442"/>
      <c r="BX282" s="1442"/>
      <c r="BY282" s="1442"/>
      <c r="BZ282" s="1442"/>
      <c r="CA282" s="1445"/>
      <c r="DA282" s="3217"/>
      <c r="EA282" s="1123"/>
    </row>
    <row r="283" spans="1:131" ht="15" customHeight="1" x14ac:dyDescent="0.3">
      <c r="A283" s="7307" t="s">
        <v>4249</v>
      </c>
      <c r="B283" s="8691"/>
      <c r="C283" s="2980" t="s">
        <v>3728</v>
      </c>
      <c r="D283" s="3355" t="s">
        <v>5369</v>
      </c>
      <c r="E283" s="3356" t="s">
        <v>5370</v>
      </c>
      <c r="F283" s="3357" t="s">
        <v>5371</v>
      </c>
      <c r="G283" s="2956" t="s">
        <v>5372</v>
      </c>
      <c r="H283" s="1844" t="s">
        <v>5373</v>
      </c>
      <c r="I283" s="2956" t="s">
        <v>5374</v>
      </c>
      <c r="J283" s="1844" t="s">
        <v>5375</v>
      </c>
      <c r="K283" s="2956" t="s">
        <v>5376</v>
      </c>
      <c r="L283" s="1844" t="s">
        <v>5377</v>
      </c>
      <c r="M283" s="2956" t="s">
        <v>5378</v>
      </c>
      <c r="N283" s="1844" t="s">
        <v>5379</v>
      </c>
      <c r="O283" s="2956" t="s">
        <v>5380</v>
      </c>
      <c r="P283" s="1844" t="s">
        <v>5381</v>
      </c>
      <c r="Q283" s="2956" t="s">
        <v>5382</v>
      </c>
      <c r="R283" s="1844" t="s">
        <v>5383</v>
      </c>
      <c r="S283" s="2956" t="s">
        <v>5384</v>
      </c>
      <c r="T283" s="1844" t="s">
        <v>5385</v>
      </c>
      <c r="U283" s="2956" t="s">
        <v>5386</v>
      </c>
      <c r="V283" s="1844" t="s">
        <v>5387</v>
      </c>
      <c r="W283" s="2956" t="s">
        <v>5388</v>
      </c>
      <c r="X283" s="1844" t="s">
        <v>5389</v>
      </c>
      <c r="Y283" s="2956" t="s">
        <v>5390</v>
      </c>
      <c r="Z283" s="1844" t="s">
        <v>5391</v>
      </c>
      <c r="AA283" s="2956" t="s">
        <v>5392</v>
      </c>
      <c r="AB283" s="1844" t="s">
        <v>5393</v>
      </c>
      <c r="AC283" s="2956" t="s">
        <v>5394</v>
      </c>
      <c r="AD283" s="1844" t="s">
        <v>5395</v>
      </c>
      <c r="AE283" s="2956" t="s">
        <v>5396</v>
      </c>
      <c r="AF283" s="1844" t="s">
        <v>5397</v>
      </c>
      <c r="AG283" s="2956" t="s">
        <v>5398</v>
      </c>
      <c r="AH283" s="1844" t="s">
        <v>5399</v>
      </c>
      <c r="AI283" s="2956" t="s">
        <v>5400</v>
      </c>
      <c r="AJ283" s="1844" t="s">
        <v>5401</v>
      </c>
      <c r="AK283" s="2956" t="s">
        <v>5402</v>
      </c>
      <c r="AL283" s="1844" t="s">
        <v>5403</v>
      </c>
      <c r="AM283" s="2956" t="s">
        <v>5404</v>
      </c>
      <c r="AN283" s="2957" t="s">
        <v>5405</v>
      </c>
      <c r="AO283" s="7034" t="s">
        <v>5406</v>
      </c>
      <c r="AP283" s="7034" t="s">
        <v>5407</v>
      </c>
      <c r="AQ283" s="7035" t="s">
        <v>5408</v>
      </c>
      <c r="AR283" s="7036" t="s">
        <v>5409</v>
      </c>
      <c r="AS283" s="7035" t="s">
        <v>5410</v>
      </c>
      <c r="AT283" s="7036" t="s">
        <v>5411</v>
      </c>
      <c r="AU283" s="7035" t="s">
        <v>5412</v>
      </c>
      <c r="AV283" s="7037" t="s">
        <v>5413</v>
      </c>
      <c r="AW283" s="7038" t="s">
        <v>5414</v>
      </c>
      <c r="AX283" s="7039" t="s">
        <v>5415</v>
      </c>
      <c r="AY283" s="1547"/>
      <c r="BA283" s="1547"/>
      <c r="BU283" s="1442"/>
      <c r="BV283" s="1442"/>
      <c r="BW283" s="1442"/>
      <c r="BX283" s="1442"/>
      <c r="BY283" s="1442"/>
      <c r="BZ283" s="1442"/>
      <c r="CA283" s="1445"/>
      <c r="DA283" s="3217"/>
      <c r="EA283" s="1123"/>
    </row>
    <row r="284" spans="1:131" x14ac:dyDescent="0.3">
      <c r="A284" s="7307" t="s">
        <v>4250</v>
      </c>
      <c r="B284" s="8691"/>
      <c r="C284" s="2980" t="s">
        <v>1568</v>
      </c>
      <c r="D284" s="3355" t="s">
        <v>5369</v>
      </c>
      <c r="E284" s="3356" t="s">
        <v>5370</v>
      </c>
      <c r="F284" s="3357" t="s">
        <v>5371</v>
      </c>
      <c r="G284" s="2956" t="s">
        <v>5372</v>
      </c>
      <c r="H284" s="1844" t="s">
        <v>5373</v>
      </c>
      <c r="I284" s="2956" t="s">
        <v>5374</v>
      </c>
      <c r="J284" s="1844" t="s">
        <v>5375</v>
      </c>
      <c r="K284" s="2956" t="s">
        <v>5376</v>
      </c>
      <c r="L284" s="1844" t="s">
        <v>5377</v>
      </c>
      <c r="M284" s="2956" t="s">
        <v>5378</v>
      </c>
      <c r="N284" s="1844" t="s">
        <v>5379</v>
      </c>
      <c r="O284" s="2956" t="s">
        <v>5380</v>
      </c>
      <c r="P284" s="1844" t="s">
        <v>5381</v>
      </c>
      <c r="Q284" s="2956" t="s">
        <v>5382</v>
      </c>
      <c r="R284" s="1844" t="s">
        <v>5383</v>
      </c>
      <c r="S284" s="2956" t="s">
        <v>5384</v>
      </c>
      <c r="T284" s="1844" t="s">
        <v>5385</v>
      </c>
      <c r="U284" s="2956" t="s">
        <v>5386</v>
      </c>
      <c r="V284" s="1844" t="s">
        <v>5387</v>
      </c>
      <c r="W284" s="2956" t="s">
        <v>5388</v>
      </c>
      <c r="X284" s="1844" t="s">
        <v>5389</v>
      </c>
      <c r="Y284" s="2956" t="s">
        <v>5390</v>
      </c>
      <c r="Z284" s="1844" t="s">
        <v>5391</v>
      </c>
      <c r="AA284" s="2956" t="s">
        <v>5392</v>
      </c>
      <c r="AB284" s="1844" t="s">
        <v>5393</v>
      </c>
      <c r="AC284" s="2956" t="s">
        <v>5394</v>
      </c>
      <c r="AD284" s="1844" t="s">
        <v>5395</v>
      </c>
      <c r="AE284" s="2956" t="s">
        <v>5396</v>
      </c>
      <c r="AF284" s="1844" t="s">
        <v>5397</v>
      </c>
      <c r="AG284" s="2956" t="s">
        <v>5398</v>
      </c>
      <c r="AH284" s="1844" t="s">
        <v>5399</v>
      </c>
      <c r="AI284" s="2956" t="s">
        <v>5400</v>
      </c>
      <c r="AJ284" s="1844" t="s">
        <v>5401</v>
      </c>
      <c r="AK284" s="2956" t="s">
        <v>5402</v>
      </c>
      <c r="AL284" s="1844" t="s">
        <v>5403</v>
      </c>
      <c r="AM284" s="2956" t="s">
        <v>5404</v>
      </c>
      <c r="AN284" s="2957" t="s">
        <v>5405</v>
      </c>
      <c r="AO284" s="7034" t="s">
        <v>5406</v>
      </c>
      <c r="AP284" s="7034" t="s">
        <v>5407</v>
      </c>
      <c r="AQ284" s="7035" t="s">
        <v>5408</v>
      </c>
      <c r="AR284" s="7036" t="s">
        <v>5409</v>
      </c>
      <c r="AS284" s="7035" t="s">
        <v>5410</v>
      </c>
      <c r="AT284" s="7036" t="s">
        <v>5411</v>
      </c>
      <c r="AU284" s="7035" t="s">
        <v>5412</v>
      </c>
      <c r="AV284" s="7037" t="s">
        <v>5413</v>
      </c>
      <c r="AW284" s="7038" t="s">
        <v>5414</v>
      </c>
      <c r="AX284" s="7039" t="s">
        <v>5415</v>
      </c>
      <c r="AY284" s="1547"/>
      <c r="BA284" s="1547"/>
      <c r="BU284" s="1442"/>
      <c r="BV284" s="1442"/>
      <c r="BW284" s="1442"/>
      <c r="BX284" s="1442"/>
      <c r="BY284" s="1442"/>
      <c r="BZ284" s="1442"/>
      <c r="CA284" s="1445"/>
      <c r="DA284" s="3217"/>
      <c r="EA284" s="1123"/>
    </row>
    <row r="285" spans="1:131" x14ac:dyDescent="0.3">
      <c r="A285" s="7307" t="s">
        <v>4251</v>
      </c>
      <c r="B285" s="8691"/>
      <c r="C285" s="2980" t="s">
        <v>1016</v>
      </c>
      <c r="D285" s="3355" t="s">
        <v>5369</v>
      </c>
      <c r="E285" s="3356" t="s">
        <v>5370</v>
      </c>
      <c r="F285" s="3357" t="s">
        <v>5371</v>
      </c>
      <c r="G285" s="2956" t="s">
        <v>5372</v>
      </c>
      <c r="H285" s="1844" t="s">
        <v>5373</v>
      </c>
      <c r="I285" s="2956" t="s">
        <v>5374</v>
      </c>
      <c r="J285" s="1844" t="s">
        <v>5375</v>
      </c>
      <c r="K285" s="2956" t="s">
        <v>5376</v>
      </c>
      <c r="L285" s="1844" t="s">
        <v>5377</v>
      </c>
      <c r="M285" s="2956" t="s">
        <v>5378</v>
      </c>
      <c r="N285" s="1844" t="s">
        <v>5379</v>
      </c>
      <c r="O285" s="2956" t="s">
        <v>5380</v>
      </c>
      <c r="P285" s="1844" t="s">
        <v>5381</v>
      </c>
      <c r="Q285" s="2956" t="s">
        <v>5382</v>
      </c>
      <c r="R285" s="1844" t="s">
        <v>5383</v>
      </c>
      <c r="S285" s="2956" t="s">
        <v>5384</v>
      </c>
      <c r="T285" s="1844" t="s">
        <v>5385</v>
      </c>
      <c r="U285" s="2956" t="s">
        <v>5386</v>
      </c>
      <c r="V285" s="1844" t="s">
        <v>5387</v>
      </c>
      <c r="W285" s="2956" t="s">
        <v>5388</v>
      </c>
      <c r="X285" s="1844" t="s">
        <v>5389</v>
      </c>
      <c r="Y285" s="2956" t="s">
        <v>5390</v>
      </c>
      <c r="Z285" s="1844" t="s">
        <v>5391</v>
      </c>
      <c r="AA285" s="2956" t="s">
        <v>5392</v>
      </c>
      <c r="AB285" s="1844" t="s">
        <v>5393</v>
      </c>
      <c r="AC285" s="2956" t="s">
        <v>5394</v>
      </c>
      <c r="AD285" s="1844" t="s">
        <v>5395</v>
      </c>
      <c r="AE285" s="2956" t="s">
        <v>5396</v>
      </c>
      <c r="AF285" s="1844" t="s">
        <v>5397</v>
      </c>
      <c r="AG285" s="2956" t="s">
        <v>5398</v>
      </c>
      <c r="AH285" s="1844" t="s">
        <v>5399</v>
      </c>
      <c r="AI285" s="2956" t="s">
        <v>5400</v>
      </c>
      <c r="AJ285" s="1844" t="s">
        <v>5401</v>
      </c>
      <c r="AK285" s="2956" t="s">
        <v>5402</v>
      </c>
      <c r="AL285" s="1844" t="s">
        <v>5403</v>
      </c>
      <c r="AM285" s="2956" t="s">
        <v>5404</v>
      </c>
      <c r="AN285" s="2957" t="s">
        <v>5405</v>
      </c>
      <c r="AO285" s="7034" t="s">
        <v>5406</v>
      </c>
      <c r="AP285" s="7034" t="s">
        <v>5407</v>
      </c>
      <c r="AQ285" s="7035" t="s">
        <v>5408</v>
      </c>
      <c r="AR285" s="7036" t="s">
        <v>5409</v>
      </c>
      <c r="AS285" s="7035" t="s">
        <v>5410</v>
      </c>
      <c r="AT285" s="7036" t="s">
        <v>5411</v>
      </c>
      <c r="AU285" s="7035" t="s">
        <v>5412</v>
      </c>
      <c r="AV285" s="7037" t="s">
        <v>5413</v>
      </c>
      <c r="AW285" s="7038" t="s">
        <v>5414</v>
      </c>
      <c r="AX285" s="7039" t="s">
        <v>5415</v>
      </c>
      <c r="AY285" s="1547"/>
      <c r="BA285" s="1547"/>
      <c r="BU285" s="1442"/>
      <c r="BV285" s="1442"/>
      <c r="BW285" s="1442"/>
      <c r="BX285" s="1442"/>
      <c r="BY285" s="1442"/>
      <c r="BZ285" s="1442"/>
      <c r="CA285" s="1445"/>
      <c r="DA285" s="3217"/>
      <c r="EA285" s="1123"/>
    </row>
    <row r="286" spans="1:131" x14ac:dyDescent="0.3">
      <c r="A286" s="7307" t="s">
        <v>4252</v>
      </c>
      <c r="B286" s="8691"/>
      <c r="C286" s="2980" t="s">
        <v>62</v>
      </c>
      <c r="D286" s="3355" t="s">
        <v>5369</v>
      </c>
      <c r="E286" s="3356" t="s">
        <v>5370</v>
      </c>
      <c r="F286" s="3357" t="s">
        <v>5371</v>
      </c>
      <c r="G286" s="2956" t="s">
        <v>5372</v>
      </c>
      <c r="H286" s="1844" t="s">
        <v>5373</v>
      </c>
      <c r="I286" s="2956" t="s">
        <v>5374</v>
      </c>
      <c r="J286" s="1844" t="s">
        <v>5375</v>
      </c>
      <c r="K286" s="2956" t="s">
        <v>5376</v>
      </c>
      <c r="L286" s="1844" t="s">
        <v>5377</v>
      </c>
      <c r="M286" s="2956" t="s">
        <v>5378</v>
      </c>
      <c r="N286" s="1844" t="s">
        <v>5379</v>
      </c>
      <c r="O286" s="2956" t="s">
        <v>5380</v>
      </c>
      <c r="P286" s="1844" t="s">
        <v>5381</v>
      </c>
      <c r="Q286" s="2956" t="s">
        <v>5382</v>
      </c>
      <c r="R286" s="1844" t="s">
        <v>5383</v>
      </c>
      <c r="S286" s="2956" t="s">
        <v>5384</v>
      </c>
      <c r="T286" s="1844" t="s">
        <v>5385</v>
      </c>
      <c r="U286" s="2956" t="s">
        <v>5386</v>
      </c>
      <c r="V286" s="1844" t="s">
        <v>5387</v>
      </c>
      <c r="W286" s="2956" t="s">
        <v>5388</v>
      </c>
      <c r="X286" s="1844" t="s">
        <v>5389</v>
      </c>
      <c r="Y286" s="2956" t="s">
        <v>5390</v>
      </c>
      <c r="Z286" s="1844" t="s">
        <v>5391</v>
      </c>
      <c r="AA286" s="2956" t="s">
        <v>5392</v>
      </c>
      <c r="AB286" s="1844" t="s">
        <v>5393</v>
      </c>
      <c r="AC286" s="2956" t="s">
        <v>5394</v>
      </c>
      <c r="AD286" s="1844" t="s">
        <v>5395</v>
      </c>
      <c r="AE286" s="2956" t="s">
        <v>5396</v>
      </c>
      <c r="AF286" s="1844" t="s">
        <v>5397</v>
      </c>
      <c r="AG286" s="2956" t="s">
        <v>5398</v>
      </c>
      <c r="AH286" s="1844" t="s">
        <v>5399</v>
      </c>
      <c r="AI286" s="2956" t="s">
        <v>5400</v>
      </c>
      <c r="AJ286" s="1844" t="s">
        <v>5401</v>
      </c>
      <c r="AK286" s="2956" t="s">
        <v>5402</v>
      </c>
      <c r="AL286" s="1844" t="s">
        <v>5403</v>
      </c>
      <c r="AM286" s="2956" t="s">
        <v>5404</v>
      </c>
      <c r="AN286" s="2957" t="s">
        <v>5405</v>
      </c>
      <c r="AO286" s="7034" t="s">
        <v>5406</v>
      </c>
      <c r="AP286" s="7034" t="s">
        <v>5407</v>
      </c>
      <c r="AQ286" s="7035" t="s">
        <v>5408</v>
      </c>
      <c r="AR286" s="7036" t="s">
        <v>5409</v>
      </c>
      <c r="AS286" s="7035" t="s">
        <v>5410</v>
      </c>
      <c r="AT286" s="7036" t="s">
        <v>5411</v>
      </c>
      <c r="AU286" s="7035" t="s">
        <v>5412</v>
      </c>
      <c r="AV286" s="7037" t="s">
        <v>5413</v>
      </c>
      <c r="AW286" s="7038" t="s">
        <v>5414</v>
      </c>
      <c r="AX286" s="7039" t="s">
        <v>5415</v>
      </c>
      <c r="AY286" s="1547"/>
      <c r="BA286" s="1547"/>
      <c r="BU286" s="1442"/>
      <c r="BV286" s="1442"/>
      <c r="BW286" s="1442"/>
      <c r="BX286" s="1442"/>
      <c r="BY286" s="1442"/>
      <c r="BZ286" s="1442"/>
      <c r="CA286" s="1445"/>
      <c r="DA286" s="3217"/>
      <c r="EA286" s="1123"/>
    </row>
    <row r="287" spans="1:131" x14ac:dyDescent="0.3">
      <c r="A287" s="7307" t="s">
        <v>4253</v>
      </c>
      <c r="B287" s="8691"/>
      <c r="C287" s="2980" t="s">
        <v>2794</v>
      </c>
      <c r="D287" s="3355" t="s">
        <v>5369</v>
      </c>
      <c r="E287" s="3356" t="s">
        <v>5370</v>
      </c>
      <c r="F287" s="3357" t="s">
        <v>5371</v>
      </c>
      <c r="G287" s="2956" t="s">
        <v>5372</v>
      </c>
      <c r="H287" s="1844" t="s">
        <v>5373</v>
      </c>
      <c r="I287" s="2956" t="s">
        <v>5374</v>
      </c>
      <c r="J287" s="1844" t="s">
        <v>5375</v>
      </c>
      <c r="K287" s="2956" t="s">
        <v>5376</v>
      </c>
      <c r="L287" s="1844" t="s">
        <v>5377</v>
      </c>
      <c r="M287" s="2956" t="s">
        <v>5378</v>
      </c>
      <c r="N287" s="1844" t="s">
        <v>5379</v>
      </c>
      <c r="O287" s="2956" t="s">
        <v>5380</v>
      </c>
      <c r="P287" s="1844" t="s">
        <v>5381</v>
      </c>
      <c r="Q287" s="2956" t="s">
        <v>5382</v>
      </c>
      <c r="R287" s="1844" t="s">
        <v>5383</v>
      </c>
      <c r="S287" s="2956" t="s">
        <v>5384</v>
      </c>
      <c r="T287" s="1844" t="s">
        <v>5385</v>
      </c>
      <c r="U287" s="2956" t="s">
        <v>5386</v>
      </c>
      <c r="V287" s="1844" t="s">
        <v>5387</v>
      </c>
      <c r="W287" s="2956" t="s">
        <v>5388</v>
      </c>
      <c r="X287" s="1844" t="s">
        <v>5389</v>
      </c>
      <c r="Y287" s="2956" t="s">
        <v>5390</v>
      </c>
      <c r="Z287" s="1844" t="s">
        <v>5391</v>
      </c>
      <c r="AA287" s="2956" t="s">
        <v>5392</v>
      </c>
      <c r="AB287" s="1844" t="s">
        <v>5393</v>
      </c>
      <c r="AC287" s="2956" t="s">
        <v>5394</v>
      </c>
      <c r="AD287" s="1844" t="s">
        <v>5395</v>
      </c>
      <c r="AE287" s="2956" t="s">
        <v>5396</v>
      </c>
      <c r="AF287" s="1844" t="s">
        <v>5397</v>
      </c>
      <c r="AG287" s="2956" t="s">
        <v>5398</v>
      </c>
      <c r="AH287" s="1844" t="s">
        <v>5399</v>
      </c>
      <c r="AI287" s="2956" t="s">
        <v>5400</v>
      </c>
      <c r="AJ287" s="1844" t="s">
        <v>5401</v>
      </c>
      <c r="AK287" s="2956" t="s">
        <v>5402</v>
      </c>
      <c r="AL287" s="1844" t="s">
        <v>5403</v>
      </c>
      <c r="AM287" s="2956" t="s">
        <v>5404</v>
      </c>
      <c r="AN287" s="2957" t="s">
        <v>5405</v>
      </c>
      <c r="AO287" s="7034" t="s">
        <v>5406</v>
      </c>
      <c r="AP287" s="7034" t="s">
        <v>5407</v>
      </c>
      <c r="AQ287" s="7035" t="s">
        <v>5408</v>
      </c>
      <c r="AR287" s="7036" t="s">
        <v>5409</v>
      </c>
      <c r="AS287" s="7035" t="s">
        <v>5410</v>
      </c>
      <c r="AT287" s="7036" t="s">
        <v>5411</v>
      </c>
      <c r="AU287" s="7035" t="s">
        <v>5412</v>
      </c>
      <c r="AV287" s="7037" t="s">
        <v>5413</v>
      </c>
      <c r="AW287" s="7038" t="s">
        <v>5414</v>
      </c>
      <c r="AX287" s="7039" t="s">
        <v>5415</v>
      </c>
      <c r="AY287" s="1547"/>
      <c r="BA287" s="1547"/>
      <c r="BU287" s="1442"/>
      <c r="BV287" s="1442"/>
      <c r="BW287" s="1442"/>
      <c r="BX287" s="1442"/>
      <c r="BY287" s="1442"/>
      <c r="BZ287" s="1442"/>
      <c r="CA287" s="1445"/>
      <c r="DA287" s="3217"/>
      <c r="EA287" s="1123"/>
    </row>
    <row r="288" spans="1:131" x14ac:dyDescent="0.3">
      <c r="A288" s="7307" t="s">
        <v>4254</v>
      </c>
      <c r="B288" s="8691"/>
      <c r="C288" s="2980" t="s">
        <v>1511</v>
      </c>
      <c r="D288" s="3355" t="s">
        <v>5369</v>
      </c>
      <c r="E288" s="3356" t="s">
        <v>5370</v>
      </c>
      <c r="F288" s="3357" t="s">
        <v>5371</v>
      </c>
      <c r="G288" s="2956" t="s">
        <v>5372</v>
      </c>
      <c r="H288" s="1844" t="s">
        <v>5373</v>
      </c>
      <c r="I288" s="2956" t="s">
        <v>5374</v>
      </c>
      <c r="J288" s="1844" t="s">
        <v>5375</v>
      </c>
      <c r="K288" s="2956" t="s">
        <v>5376</v>
      </c>
      <c r="L288" s="1844" t="s">
        <v>5377</v>
      </c>
      <c r="M288" s="2956" t="s">
        <v>5378</v>
      </c>
      <c r="N288" s="1844" t="s">
        <v>5379</v>
      </c>
      <c r="O288" s="2956" t="s">
        <v>5380</v>
      </c>
      <c r="P288" s="1844" t="s">
        <v>5381</v>
      </c>
      <c r="Q288" s="2956" t="s">
        <v>5382</v>
      </c>
      <c r="R288" s="1844" t="s">
        <v>5383</v>
      </c>
      <c r="S288" s="2956" t="s">
        <v>5384</v>
      </c>
      <c r="T288" s="1844" t="s">
        <v>5385</v>
      </c>
      <c r="U288" s="2956" t="s">
        <v>5386</v>
      </c>
      <c r="V288" s="1844" t="s">
        <v>5387</v>
      </c>
      <c r="W288" s="2956" t="s">
        <v>5388</v>
      </c>
      <c r="X288" s="1844" t="s">
        <v>5389</v>
      </c>
      <c r="Y288" s="2956" t="s">
        <v>5390</v>
      </c>
      <c r="Z288" s="1844" t="s">
        <v>5391</v>
      </c>
      <c r="AA288" s="2956" t="s">
        <v>5392</v>
      </c>
      <c r="AB288" s="1844" t="s">
        <v>5393</v>
      </c>
      <c r="AC288" s="2956" t="s">
        <v>5394</v>
      </c>
      <c r="AD288" s="1844" t="s">
        <v>5395</v>
      </c>
      <c r="AE288" s="2956" t="s">
        <v>5396</v>
      </c>
      <c r="AF288" s="1844" t="s">
        <v>5397</v>
      </c>
      <c r="AG288" s="2956" t="s">
        <v>5398</v>
      </c>
      <c r="AH288" s="1844" t="s">
        <v>5399</v>
      </c>
      <c r="AI288" s="2956" t="s">
        <v>5400</v>
      </c>
      <c r="AJ288" s="1844" t="s">
        <v>5401</v>
      </c>
      <c r="AK288" s="2956" t="s">
        <v>5402</v>
      </c>
      <c r="AL288" s="1844" t="s">
        <v>5403</v>
      </c>
      <c r="AM288" s="2956" t="s">
        <v>5404</v>
      </c>
      <c r="AN288" s="2957" t="s">
        <v>5405</v>
      </c>
      <c r="AO288" s="7034" t="s">
        <v>5406</v>
      </c>
      <c r="AP288" s="7034" t="s">
        <v>5407</v>
      </c>
      <c r="AQ288" s="7035" t="s">
        <v>5408</v>
      </c>
      <c r="AR288" s="7036" t="s">
        <v>5409</v>
      </c>
      <c r="AS288" s="7035" t="s">
        <v>5410</v>
      </c>
      <c r="AT288" s="7036" t="s">
        <v>5411</v>
      </c>
      <c r="AU288" s="7035" t="s">
        <v>5412</v>
      </c>
      <c r="AV288" s="7037" t="s">
        <v>5413</v>
      </c>
      <c r="AW288" s="7038" t="s">
        <v>5414</v>
      </c>
      <c r="AX288" s="7039" t="s">
        <v>5415</v>
      </c>
      <c r="AY288" s="1547"/>
      <c r="BA288" s="1547"/>
      <c r="BU288" s="1442"/>
      <c r="BV288" s="1442"/>
      <c r="BW288" s="1442"/>
      <c r="BX288" s="1442"/>
      <c r="BY288" s="1442"/>
      <c r="BZ288" s="1442"/>
      <c r="CA288" s="1445"/>
      <c r="DA288" s="3217"/>
      <c r="EA288" s="1123"/>
    </row>
    <row r="289" spans="1:131" x14ac:dyDescent="0.3">
      <c r="A289" s="7307" t="s">
        <v>4255</v>
      </c>
      <c r="B289" s="8691"/>
      <c r="C289" s="2980" t="s">
        <v>1265</v>
      </c>
      <c r="D289" s="3355" t="s">
        <v>5369</v>
      </c>
      <c r="E289" s="3356" t="s">
        <v>5370</v>
      </c>
      <c r="F289" s="3357" t="s">
        <v>5371</v>
      </c>
      <c r="G289" s="2956" t="s">
        <v>5372</v>
      </c>
      <c r="H289" s="1844" t="s">
        <v>5373</v>
      </c>
      <c r="I289" s="2956" t="s">
        <v>5374</v>
      </c>
      <c r="J289" s="1844" t="s">
        <v>5375</v>
      </c>
      <c r="K289" s="2956" t="s">
        <v>5376</v>
      </c>
      <c r="L289" s="1844" t="s">
        <v>5377</v>
      </c>
      <c r="M289" s="2956" t="s">
        <v>5378</v>
      </c>
      <c r="N289" s="1844" t="s">
        <v>5379</v>
      </c>
      <c r="O289" s="2956" t="s">
        <v>5380</v>
      </c>
      <c r="P289" s="1844" t="s">
        <v>5381</v>
      </c>
      <c r="Q289" s="2956" t="s">
        <v>5382</v>
      </c>
      <c r="R289" s="1844" t="s">
        <v>5383</v>
      </c>
      <c r="S289" s="2956" t="s">
        <v>5384</v>
      </c>
      <c r="T289" s="1844" t="s">
        <v>5385</v>
      </c>
      <c r="U289" s="2956" t="s">
        <v>5386</v>
      </c>
      <c r="V289" s="1844" t="s">
        <v>5387</v>
      </c>
      <c r="W289" s="2956" t="s">
        <v>5388</v>
      </c>
      <c r="X289" s="1844" t="s">
        <v>5389</v>
      </c>
      <c r="Y289" s="2956" t="s">
        <v>5390</v>
      </c>
      <c r="Z289" s="1844" t="s">
        <v>5391</v>
      </c>
      <c r="AA289" s="2956" t="s">
        <v>5392</v>
      </c>
      <c r="AB289" s="1844" t="s">
        <v>5393</v>
      </c>
      <c r="AC289" s="2956" t="s">
        <v>5394</v>
      </c>
      <c r="AD289" s="1844" t="s">
        <v>5395</v>
      </c>
      <c r="AE289" s="2956" t="s">
        <v>5396</v>
      </c>
      <c r="AF289" s="1844" t="s">
        <v>5397</v>
      </c>
      <c r="AG289" s="2956" t="s">
        <v>5398</v>
      </c>
      <c r="AH289" s="1844" t="s">
        <v>5399</v>
      </c>
      <c r="AI289" s="2956" t="s">
        <v>5400</v>
      </c>
      <c r="AJ289" s="1844" t="s">
        <v>5401</v>
      </c>
      <c r="AK289" s="2956" t="s">
        <v>5402</v>
      </c>
      <c r="AL289" s="1844" t="s">
        <v>5403</v>
      </c>
      <c r="AM289" s="2956" t="s">
        <v>5404</v>
      </c>
      <c r="AN289" s="2957" t="s">
        <v>5405</v>
      </c>
      <c r="AO289" s="7034" t="s">
        <v>5406</v>
      </c>
      <c r="AP289" s="7034" t="s">
        <v>5407</v>
      </c>
      <c r="AQ289" s="7035" t="s">
        <v>5408</v>
      </c>
      <c r="AR289" s="7036" t="s">
        <v>5409</v>
      </c>
      <c r="AS289" s="7035" t="s">
        <v>5410</v>
      </c>
      <c r="AT289" s="7036" t="s">
        <v>5411</v>
      </c>
      <c r="AU289" s="7035" t="s">
        <v>5412</v>
      </c>
      <c r="AV289" s="7037" t="s">
        <v>5413</v>
      </c>
      <c r="AW289" s="7038" t="s">
        <v>5414</v>
      </c>
      <c r="AX289" s="7039" t="s">
        <v>5415</v>
      </c>
      <c r="AY289" s="1547"/>
      <c r="BA289" s="1547"/>
      <c r="BU289" s="1442"/>
      <c r="BV289" s="1442"/>
      <c r="BW289" s="1442"/>
      <c r="BX289" s="1442"/>
      <c r="BY289" s="1442"/>
      <c r="BZ289" s="1442"/>
      <c r="CA289" s="1445"/>
      <c r="DA289" s="3217"/>
      <c r="EA289" s="1123"/>
    </row>
    <row r="290" spans="1:131" x14ac:dyDescent="0.3">
      <c r="A290" s="7663"/>
      <c r="B290" s="8692"/>
      <c r="C290" s="3351" t="s">
        <v>3146</v>
      </c>
      <c r="D290" s="3352">
        <f>SUM(E290,F290)</f>
        <v>0</v>
      </c>
      <c r="E290" s="3353">
        <f t="shared" si="15"/>
        <v>0</v>
      </c>
      <c r="F290" s="3354">
        <f t="shared" si="15"/>
        <v>0</v>
      </c>
      <c r="G290" s="3366">
        <f t="shared" ref="G290:AN290" si="17">SUM(G279:G289)</f>
        <v>0</v>
      </c>
      <c r="H290" s="3367">
        <f t="shared" si="17"/>
        <v>0</v>
      </c>
      <c r="I290" s="3366">
        <f t="shared" si="17"/>
        <v>0</v>
      </c>
      <c r="J290" s="3367">
        <f t="shared" si="17"/>
        <v>0</v>
      </c>
      <c r="K290" s="3366">
        <f t="shared" si="17"/>
        <v>0</v>
      </c>
      <c r="L290" s="3368">
        <f t="shared" si="17"/>
        <v>0</v>
      </c>
      <c r="M290" s="3366">
        <f t="shared" si="17"/>
        <v>0</v>
      </c>
      <c r="N290" s="3368">
        <f t="shared" si="17"/>
        <v>0</v>
      </c>
      <c r="O290" s="3366">
        <f t="shared" si="17"/>
        <v>0</v>
      </c>
      <c r="P290" s="3368">
        <f t="shared" si="17"/>
        <v>0</v>
      </c>
      <c r="Q290" s="3366">
        <f t="shared" si="17"/>
        <v>0</v>
      </c>
      <c r="R290" s="3368">
        <f t="shared" si="17"/>
        <v>0</v>
      </c>
      <c r="S290" s="3366">
        <f t="shared" si="17"/>
        <v>0</v>
      </c>
      <c r="T290" s="3368">
        <f t="shared" si="17"/>
        <v>0</v>
      </c>
      <c r="U290" s="3366">
        <f t="shared" si="17"/>
        <v>0</v>
      </c>
      <c r="V290" s="3368">
        <f t="shared" si="17"/>
        <v>0</v>
      </c>
      <c r="W290" s="3366">
        <f t="shared" si="17"/>
        <v>0</v>
      </c>
      <c r="X290" s="3368">
        <f t="shared" si="17"/>
        <v>0</v>
      </c>
      <c r="Y290" s="3366">
        <f t="shared" si="17"/>
        <v>0</v>
      </c>
      <c r="Z290" s="3368">
        <f t="shared" si="17"/>
        <v>0</v>
      </c>
      <c r="AA290" s="3366">
        <f t="shared" si="17"/>
        <v>0</v>
      </c>
      <c r="AB290" s="3368">
        <f t="shared" si="17"/>
        <v>0</v>
      </c>
      <c r="AC290" s="3366">
        <f t="shared" si="17"/>
        <v>0</v>
      </c>
      <c r="AD290" s="3368">
        <f t="shared" si="17"/>
        <v>0</v>
      </c>
      <c r="AE290" s="3366">
        <f t="shared" si="17"/>
        <v>0</v>
      </c>
      <c r="AF290" s="3368">
        <f t="shared" si="17"/>
        <v>0</v>
      </c>
      <c r="AG290" s="3366">
        <f t="shared" si="17"/>
        <v>0</v>
      </c>
      <c r="AH290" s="3368">
        <f t="shared" si="17"/>
        <v>0</v>
      </c>
      <c r="AI290" s="3366">
        <f t="shared" si="17"/>
        <v>0</v>
      </c>
      <c r="AJ290" s="3368">
        <f t="shared" si="17"/>
        <v>0</v>
      </c>
      <c r="AK290" s="3366">
        <f t="shared" si="17"/>
        <v>0</v>
      </c>
      <c r="AL290" s="3368">
        <f t="shared" si="17"/>
        <v>0</v>
      </c>
      <c r="AM290" s="3369">
        <f t="shared" si="17"/>
        <v>0</v>
      </c>
      <c r="AN290" s="3370">
        <f t="shared" si="17"/>
        <v>0</v>
      </c>
      <c r="AO290" s="7040"/>
      <c r="AP290" s="7040"/>
      <c r="AQ290" s="7041"/>
      <c r="AR290" s="7042"/>
      <c r="AS290" s="7041"/>
      <c r="AT290" s="7042"/>
      <c r="AU290" s="7043"/>
      <c r="AV290" s="7044"/>
      <c r="AW290" s="7045"/>
      <c r="AX290" s="7046"/>
      <c r="AY290" s="1547"/>
      <c r="BA290" s="1547"/>
      <c r="BU290" s="1442"/>
      <c r="BV290" s="1442"/>
      <c r="BW290" s="1442"/>
      <c r="BX290" s="1442"/>
      <c r="BY290" s="1442"/>
      <c r="BZ290" s="1442"/>
      <c r="CA290" s="1445"/>
      <c r="DA290" s="3217"/>
      <c r="EA290" s="1123"/>
    </row>
    <row r="291" spans="1:131" x14ac:dyDescent="0.3">
      <c r="A291" s="7307" t="s">
        <v>4256</v>
      </c>
      <c r="B291" s="8690" t="s">
        <v>3583</v>
      </c>
      <c r="C291" s="3343" t="s">
        <v>3123</v>
      </c>
      <c r="D291" s="3344" t="s">
        <v>5369</v>
      </c>
      <c r="E291" s="3345" t="s">
        <v>5370</v>
      </c>
      <c r="F291" s="3346" t="s">
        <v>5371</v>
      </c>
      <c r="G291" s="3036" t="s">
        <v>5372</v>
      </c>
      <c r="H291" s="3042" t="s">
        <v>5373</v>
      </c>
      <c r="I291" s="3036" t="s">
        <v>5374</v>
      </c>
      <c r="J291" s="3042" t="s">
        <v>5375</v>
      </c>
      <c r="K291" s="3036" t="s">
        <v>5376</v>
      </c>
      <c r="L291" s="3042" t="s">
        <v>5377</v>
      </c>
      <c r="M291" s="3036" t="s">
        <v>5378</v>
      </c>
      <c r="N291" s="3042" t="s">
        <v>5379</v>
      </c>
      <c r="O291" s="3036" t="s">
        <v>5380</v>
      </c>
      <c r="P291" s="3042" t="s">
        <v>5381</v>
      </c>
      <c r="Q291" s="3036" t="s">
        <v>5382</v>
      </c>
      <c r="R291" s="3042" t="s">
        <v>5383</v>
      </c>
      <c r="S291" s="3036" t="s">
        <v>5384</v>
      </c>
      <c r="T291" s="3042" t="s">
        <v>5385</v>
      </c>
      <c r="U291" s="3036" t="s">
        <v>5386</v>
      </c>
      <c r="V291" s="3042" t="s">
        <v>5387</v>
      </c>
      <c r="W291" s="3036" t="s">
        <v>5388</v>
      </c>
      <c r="X291" s="3042" t="s">
        <v>5389</v>
      </c>
      <c r="Y291" s="3036" t="s">
        <v>5390</v>
      </c>
      <c r="Z291" s="3042" t="s">
        <v>5391</v>
      </c>
      <c r="AA291" s="3036" t="s">
        <v>5392</v>
      </c>
      <c r="AB291" s="3042" t="s">
        <v>5393</v>
      </c>
      <c r="AC291" s="3036" t="s">
        <v>5394</v>
      </c>
      <c r="AD291" s="3042" t="s">
        <v>5395</v>
      </c>
      <c r="AE291" s="3036" t="s">
        <v>5396</v>
      </c>
      <c r="AF291" s="3042" t="s">
        <v>5397</v>
      </c>
      <c r="AG291" s="3036" t="s">
        <v>5398</v>
      </c>
      <c r="AH291" s="3042" t="s">
        <v>5399</v>
      </c>
      <c r="AI291" s="3036" t="s">
        <v>5400</v>
      </c>
      <c r="AJ291" s="3042" t="s">
        <v>5401</v>
      </c>
      <c r="AK291" s="3036" t="s">
        <v>5402</v>
      </c>
      <c r="AL291" s="3042" t="s">
        <v>5403</v>
      </c>
      <c r="AM291" s="3036" t="s">
        <v>5404</v>
      </c>
      <c r="AN291" s="2905" t="s">
        <v>5405</v>
      </c>
      <c r="AO291" s="7022" t="s">
        <v>5406</v>
      </c>
      <c r="AP291" s="7022" t="s">
        <v>5407</v>
      </c>
      <c r="AQ291" s="7023" t="s">
        <v>5408</v>
      </c>
      <c r="AR291" s="7024" t="s">
        <v>5409</v>
      </c>
      <c r="AS291" s="7023" t="s">
        <v>5410</v>
      </c>
      <c r="AT291" s="7024" t="s">
        <v>5411</v>
      </c>
      <c r="AU291" s="7023" t="s">
        <v>5412</v>
      </c>
      <c r="AV291" s="7025" t="s">
        <v>5413</v>
      </c>
      <c r="AW291" s="7026" t="s">
        <v>5414</v>
      </c>
      <c r="AX291" s="7027" t="s">
        <v>5415</v>
      </c>
      <c r="AY291" s="1547"/>
      <c r="BA291" s="1547"/>
      <c r="BU291" s="1442"/>
      <c r="BV291" s="1442"/>
      <c r="BW291" s="1442"/>
      <c r="BX291" s="1442"/>
      <c r="BY291" s="1442"/>
      <c r="BZ291" s="1442"/>
      <c r="CA291" s="1445"/>
      <c r="DA291" s="3217"/>
      <c r="EA291" s="1123"/>
    </row>
    <row r="292" spans="1:131" x14ac:dyDescent="0.3">
      <c r="A292" s="7307" t="s">
        <v>4257</v>
      </c>
      <c r="B292" s="8691"/>
      <c r="C292" s="3347" t="s">
        <v>60</v>
      </c>
      <c r="D292" s="3348" t="s">
        <v>5369</v>
      </c>
      <c r="E292" s="3349" t="s">
        <v>5370</v>
      </c>
      <c r="F292" s="3350" t="s">
        <v>5371</v>
      </c>
      <c r="G292" s="2985" t="s">
        <v>5372</v>
      </c>
      <c r="H292" s="2986" t="s">
        <v>5373</v>
      </c>
      <c r="I292" s="2985" t="s">
        <v>5374</v>
      </c>
      <c r="J292" s="2986" t="s">
        <v>5375</v>
      </c>
      <c r="K292" s="2985" t="s">
        <v>5376</v>
      </c>
      <c r="L292" s="2986" t="s">
        <v>5377</v>
      </c>
      <c r="M292" s="2985" t="s">
        <v>5378</v>
      </c>
      <c r="N292" s="2986" t="s">
        <v>5379</v>
      </c>
      <c r="O292" s="2985" t="s">
        <v>5380</v>
      </c>
      <c r="P292" s="2986" t="s">
        <v>5381</v>
      </c>
      <c r="Q292" s="2985" t="s">
        <v>5382</v>
      </c>
      <c r="R292" s="2986" t="s">
        <v>5383</v>
      </c>
      <c r="S292" s="2985" t="s">
        <v>5384</v>
      </c>
      <c r="T292" s="2986" t="s">
        <v>5385</v>
      </c>
      <c r="U292" s="2985" t="s">
        <v>5386</v>
      </c>
      <c r="V292" s="2986" t="s">
        <v>5387</v>
      </c>
      <c r="W292" s="2985" t="s">
        <v>5388</v>
      </c>
      <c r="X292" s="2986" t="s">
        <v>5389</v>
      </c>
      <c r="Y292" s="2985" t="s">
        <v>5390</v>
      </c>
      <c r="Z292" s="2986" t="s">
        <v>5391</v>
      </c>
      <c r="AA292" s="2985" t="s">
        <v>5392</v>
      </c>
      <c r="AB292" s="2986" t="s">
        <v>5393</v>
      </c>
      <c r="AC292" s="2985" t="s">
        <v>5394</v>
      </c>
      <c r="AD292" s="2986" t="s">
        <v>5395</v>
      </c>
      <c r="AE292" s="2985" t="s">
        <v>5396</v>
      </c>
      <c r="AF292" s="2986" t="s">
        <v>5397</v>
      </c>
      <c r="AG292" s="2985" t="s">
        <v>5398</v>
      </c>
      <c r="AH292" s="2986" t="s">
        <v>5399</v>
      </c>
      <c r="AI292" s="2985" t="s">
        <v>5400</v>
      </c>
      <c r="AJ292" s="2986" t="s">
        <v>5401</v>
      </c>
      <c r="AK292" s="2985" t="s">
        <v>5402</v>
      </c>
      <c r="AL292" s="2986" t="s">
        <v>5403</v>
      </c>
      <c r="AM292" s="2985" t="s">
        <v>5404</v>
      </c>
      <c r="AN292" s="2451" t="s">
        <v>5405</v>
      </c>
      <c r="AO292" s="7028" t="s">
        <v>5406</v>
      </c>
      <c r="AP292" s="7028" t="s">
        <v>5407</v>
      </c>
      <c r="AQ292" s="7029" t="s">
        <v>5408</v>
      </c>
      <c r="AR292" s="7030" t="s">
        <v>5409</v>
      </c>
      <c r="AS292" s="7029" t="s">
        <v>5410</v>
      </c>
      <c r="AT292" s="7030" t="s">
        <v>5411</v>
      </c>
      <c r="AU292" s="7029" t="s">
        <v>5412</v>
      </c>
      <c r="AV292" s="7031" t="s">
        <v>5413</v>
      </c>
      <c r="AW292" s="7032" t="s">
        <v>5414</v>
      </c>
      <c r="AX292" s="7033" t="s">
        <v>5415</v>
      </c>
      <c r="AY292" s="1547"/>
      <c r="BA292" s="1547"/>
      <c r="BU292" s="1442"/>
      <c r="BV292" s="1442"/>
      <c r="BW292" s="1442"/>
      <c r="BX292" s="1442"/>
      <c r="BY292" s="1442"/>
      <c r="BZ292" s="1442"/>
      <c r="CA292" s="1445"/>
      <c r="DA292" s="3217"/>
      <c r="EA292" s="1123"/>
    </row>
    <row r="293" spans="1:131" s="1568" customFormat="1" x14ac:dyDescent="0.3">
      <c r="A293" s="7307" t="s">
        <v>4258</v>
      </c>
      <c r="B293" s="8691"/>
      <c r="C293" s="2980" t="s">
        <v>3147</v>
      </c>
      <c r="D293" s="3355" t="s">
        <v>5369</v>
      </c>
      <c r="E293" s="3356" t="s">
        <v>5370</v>
      </c>
      <c r="F293" s="3357" t="s">
        <v>5371</v>
      </c>
      <c r="G293" s="2956" t="s">
        <v>5372</v>
      </c>
      <c r="H293" s="1844" t="s">
        <v>5373</v>
      </c>
      <c r="I293" s="2956" t="s">
        <v>5374</v>
      </c>
      <c r="J293" s="1844" t="s">
        <v>5375</v>
      </c>
      <c r="K293" s="2956" t="s">
        <v>5376</v>
      </c>
      <c r="L293" s="1844" t="s">
        <v>5377</v>
      </c>
      <c r="M293" s="2956" t="s">
        <v>5378</v>
      </c>
      <c r="N293" s="1844" t="s">
        <v>5379</v>
      </c>
      <c r="O293" s="2956" t="s">
        <v>5380</v>
      </c>
      <c r="P293" s="1844" t="s">
        <v>5381</v>
      </c>
      <c r="Q293" s="2956" t="s">
        <v>5382</v>
      </c>
      <c r="R293" s="1844" t="s">
        <v>5383</v>
      </c>
      <c r="S293" s="2956" t="s">
        <v>5384</v>
      </c>
      <c r="T293" s="1844" t="s">
        <v>5385</v>
      </c>
      <c r="U293" s="2956" t="s">
        <v>5386</v>
      </c>
      <c r="V293" s="1844" t="s">
        <v>5387</v>
      </c>
      <c r="W293" s="2956" t="s">
        <v>5388</v>
      </c>
      <c r="X293" s="1844" t="s">
        <v>5389</v>
      </c>
      <c r="Y293" s="2956" t="s">
        <v>5390</v>
      </c>
      <c r="Z293" s="1844" t="s">
        <v>5391</v>
      </c>
      <c r="AA293" s="2956" t="s">
        <v>5392</v>
      </c>
      <c r="AB293" s="1844" t="s">
        <v>5393</v>
      </c>
      <c r="AC293" s="2956" t="s">
        <v>5394</v>
      </c>
      <c r="AD293" s="1844" t="s">
        <v>5395</v>
      </c>
      <c r="AE293" s="2956" t="s">
        <v>5396</v>
      </c>
      <c r="AF293" s="1844" t="s">
        <v>5397</v>
      </c>
      <c r="AG293" s="2956" t="s">
        <v>5398</v>
      </c>
      <c r="AH293" s="1844" t="s">
        <v>5399</v>
      </c>
      <c r="AI293" s="2956" t="s">
        <v>5400</v>
      </c>
      <c r="AJ293" s="1844" t="s">
        <v>5401</v>
      </c>
      <c r="AK293" s="2956" t="s">
        <v>5402</v>
      </c>
      <c r="AL293" s="1844" t="s">
        <v>5403</v>
      </c>
      <c r="AM293" s="2956" t="s">
        <v>5404</v>
      </c>
      <c r="AN293" s="2957" t="s">
        <v>5405</v>
      </c>
      <c r="AO293" s="7034" t="s">
        <v>5406</v>
      </c>
      <c r="AP293" s="7034" t="s">
        <v>5407</v>
      </c>
      <c r="AQ293" s="7035" t="s">
        <v>5408</v>
      </c>
      <c r="AR293" s="7036" t="s">
        <v>5409</v>
      </c>
      <c r="AS293" s="7035" t="s">
        <v>5410</v>
      </c>
      <c r="AT293" s="7036" t="s">
        <v>5411</v>
      </c>
      <c r="AU293" s="7035" t="s">
        <v>5412</v>
      </c>
      <c r="AV293" s="7037" t="s">
        <v>5413</v>
      </c>
      <c r="AW293" s="7038" t="s">
        <v>5414</v>
      </c>
      <c r="AX293" s="7039" t="s">
        <v>5415</v>
      </c>
      <c r="AY293" s="1547"/>
      <c r="AZ293" s="1191"/>
      <c r="BA293" s="1547"/>
      <c r="BB293" s="1547"/>
      <c r="BC293" s="1547"/>
      <c r="BD293" s="1547"/>
      <c r="BE293" s="1547"/>
      <c r="BF293" s="1547"/>
      <c r="BG293" s="1547"/>
      <c r="BH293" s="1547"/>
      <c r="BI293" s="1547"/>
      <c r="BJ293" s="1547"/>
      <c r="BK293" s="1547"/>
      <c r="BL293" s="1547"/>
      <c r="BM293" s="1547"/>
      <c r="BN293" s="1547"/>
      <c r="BO293" s="1547"/>
      <c r="BP293" s="1547"/>
      <c r="BQ293" s="1547"/>
      <c r="BR293" s="1547"/>
      <c r="BS293" s="1547"/>
      <c r="BT293" s="1547"/>
      <c r="BU293" s="1442"/>
      <c r="BV293" s="1442"/>
      <c r="BW293" s="1442"/>
      <c r="BX293" s="1442"/>
      <c r="BY293" s="1442"/>
      <c r="BZ293" s="1442"/>
      <c r="CA293" s="1445"/>
      <c r="CB293" s="1442"/>
      <c r="CC293" s="1442"/>
      <c r="CD293" s="1442"/>
      <c r="CE293" s="1442"/>
      <c r="CF293" s="1442"/>
      <c r="CG293" s="1442"/>
      <c r="CH293" s="1442"/>
      <c r="CI293" s="1442"/>
      <c r="CJ293" s="1442"/>
      <c r="CK293" s="1442"/>
      <c r="CL293" s="1442"/>
      <c r="CM293" s="1442"/>
      <c r="CN293" s="1442"/>
      <c r="CO293" s="1442"/>
      <c r="CP293" s="1442"/>
      <c r="CQ293" s="1442"/>
      <c r="CR293" s="1442"/>
      <c r="CS293" s="1442"/>
      <c r="CT293" s="1442"/>
      <c r="CU293" s="1442"/>
      <c r="CV293" s="1442"/>
      <c r="CW293" s="1442"/>
      <c r="CX293" s="1442"/>
      <c r="CY293" s="1442"/>
      <c r="CZ293" s="1442"/>
      <c r="DA293" s="3217"/>
      <c r="DB293" s="3217"/>
      <c r="DC293" s="3217"/>
      <c r="DD293" s="3217"/>
      <c r="DE293" s="3217"/>
      <c r="DF293" s="3217"/>
      <c r="DG293" s="3217"/>
      <c r="DH293" s="3217"/>
      <c r="DI293" s="3217"/>
      <c r="DJ293" s="3217"/>
      <c r="DK293" s="3217"/>
      <c r="DL293" s="3217"/>
      <c r="DM293" s="3217"/>
      <c r="DN293" s="3217"/>
      <c r="DO293" s="3217"/>
      <c r="DP293" s="3217"/>
      <c r="DQ293" s="3217"/>
      <c r="DR293" s="3217"/>
      <c r="DS293" s="3217"/>
      <c r="DT293" s="3217"/>
      <c r="DU293" s="3217"/>
      <c r="DV293" s="3217"/>
      <c r="DW293" s="3217"/>
      <c r="DX293" s="3217"/>
      <c r="DY293" s="3217"/>
      <c r="DZ293" s="3217"/>
      <c r="EA293" s="6956"/>
    </row>
    <row r="294" spans="1:131" x14ac:dyDescent="0.3">
      <c r="A294" s="7307" t="s">
        <v>4259</v>
      </c>
      <c r="B294" s="8691"/>
      <c r="C294" s="2980" t="s">
        <v>3148</v>
      </c>
      <c r="D294" s="3355" t="s">
        <v>5369</v>
      </c>
      <c r="E294" s="3356" t="s">
        <v>5370</v>
      </c>
      <c r="F294" s="3357" t="s">
        <v>5371</v>
      </c>
      <c r="G294" s="2956" t="s">
        <v>5372</v>
      </c>
      <c r="H294" s="1844" t="s">
        <v>5373</v>
      </c>
      <c r="I294" s="2956" t="s">
        <v>5374</v>
      </c>
      <c r="J294" s="1844" t="s">
        <v>5375</v>
      </c>
      <c r="K294" s="2956" t="s">
        <v>5376</v>
      </c>
      <c r="L294" s="1844" t="s">
        <v>5377</v>
      </c>
      <c r="M294" s="2956" t="s">
        <v>5378</v>
      </c>
      <c r="N294" s="1844" t="s">
        <v>5379</v>
      </c>
      <c r="O294" s="2956" t="s">
        <v>5380</v>
      </c>
      <c r="P294" s="1844" t="s">
        <v>5381</v>
      </c>
      <c r="Q294" s="2956" t="s">
        <v>5382</v>
      </c>
      <c r="R294" s="1844" t="s">
        <v>5383</v>
      </c>
      <c r="S294" s="2956" t="s">
        <v>5384</v>
      </c>
      <c r="T294" s="1844" t="s">
        <v>5385</v>
      </c>
      <c r="U294" s="2956" t="s">
        <v>5386</v>
      </c>
      <c r="V294" s="1844" t="s">
        <v>5387</v>
      </c>
      <c r="W294" s="2956" t="s">
        <v>5388</v>
      </c>
      <c r="X294" s="1844" t="s">
        <v>5389</v>
      </c>
      <c r="Y294" s="2956" t="s">
        <v>5390</v>
      </c>
      <c r="Z294" s="1844" t="s">
        <v>5391</v>
      </c>
      <c r="AA294" s="2956" t="s">
        <v>5392</v>
      </c>
      <c r="AB294" s="1844" t="s">
        <v>5393</v>
      </c>
      <c r="AC294" s="2956" t="s">
        <v>5394</v>
      </c>
      <c r="AD294" s="1844" t="s">
        <v>5395</v>
      </c>
      <c r="AE294" s="2956" t="s">
        <v>5396</v>
      </c>
      <c r="AF294" s="1844" t="s">
        <v>5397</v>
      </c>
      <c r="AG294" s="2956" t="s">
        <v>5398</v>
      </c>
      <c r="AH294" s="1844" t="s">
        <v>5399</v>
      </c>
      <c r="AI294" s="2956" t="s">
        <v>5400</v>
      </c>
      <c r="AJ294" s="1844" t="s">
        <v>5401</v>
      </c>
      <c r="AK294" s="2956" t="s">
        <v>5402</v>
      </c>
      <c r="AL294" s="1844" t="s">
        <v>5403</v>
      </c>
      <c r="AM294" s="2956" t="s">
        <v>5404</v>
      </c>
      <c r="AN294" s="2957" t="s">
        <v>5405</v>
      </c>
      <c r="AO294" s="7034" t="s">
        <v>5406</v>
      </c>
      <c r="AP294" s="7034" t="s">
        <v>5407</v>
      </c>
      <c r="AQ294" s="7035" t="s">
        <v>5408</v>
      </c>
      <c r="AR294" s="7036" t="s">
        <v>5409</v>
      </c>
      <c r="AS294" s="7035" t="s">
        <v>5410</v>
      </c>
      <c r="AT294" s="7036" t="s">
        <v>5411</v>
      </c>
      <c r="AU294" s="7035" t="s">
        <v>5412</v>
      </c>
      <c r="AV294" s="7037" t="s">
        <v>5413</v>
      </c>
      <c r="AW294" s="7038" t="s">
        <v>5414</v>
      </c>
      <c r="AX294" s="7039" t="s">
        <v>5415</v>
      </c>
      <c r="AY294" s="1547"/>
      <c r="BA294" s="1547"/>
      <c r="BU294" s="1442"/>
      <c r="BV294" s="1442"/>
      <c r="BW294" s="1442"/>
      <c r="BX294" s="1442"/>
      <c r="BY294" s="1442"/>
      <c r="BZ294" s="1442"/>
      <c r="CA294" s="1445"/>
      <c r="DA294" s="3217"/>
      <c r="EA294" s="1123"/>
    </row>
    <row r="295" spans="1:131" ht="15" customHeight="1" x14ac:dyDescent="0.3">
      <c r="A295" s="7307" t="s">
        <v>4260</v>
      </c>
      <c r="B295" s="8691"/>
      <c r="C295" s="2980" t="s">
        <v>3728</v>
      </c>
      <c r="D295" s="3355" t="s">
        <v>5369</v>
      </c>
      <c r="E295" s="3356" t="s">
        <v>5370</v>
      </c>
      <c r="F295" s="3357" t="s">
        <v>5371</v>
      </c>
      <c r="G295" s="2956" t="s">
        <v>5372</v>
      </c>
      <c r="H295" s="1844" t="s">
        <v>5373</v>
      </c>
      <c r="I295" s="2956" t="s">
        <v>5374</v>
      </c>
      <c r="J295" s="1844" t="s">
        <v>5375</v>
      </c>
      <c r="K295" s="2956" t="s">
        <v>5376</v>
      </c>
      <c r="L295" s="1844" t="s">
        <v>5377</v>
      </c>
      <c r="M295" s="2956" t="s">
        <v>5378</v>
      </c>
      <c r="N295" s="1844" t="s">
        <v>5379</v>
      </c>
      <c r="O295" s="2956" t="s">
        <v>5380</v>
      </c>
      <c r="P295" s="1844" t="s">
        <v>5381</v>
      </c>
      <c r="Q295" s="2956" t="s">
        <v>5382</v>
      </c>
      <c r="R295" s="1844" t="s">
        <v>5383</v>
      </c>
      <c r="S295" s="2956" t="s">
        <v>5384</v>
      </c>
      <c r="T295" s="1844" t="s">
        <v>5385</v>
      </c>
      <c r="U295" s="2956" t="s">
        <v>5386</v>
      </c>
      <c r="V295" s="1844" t="s">
        <v>5387</v>
      </c>
      <c r="W295" s="2956" t="s">
        <v>5388</v>
      </c>
      <c r="X295" s="1844" t="s">
        <v>5389</v>
      </c>
      <c r="Y295" s="2956" t="s">
        <v>5390</v>
      </c>
      <c r="Z295" s="1844" t="s">
        <v>5391</v>
      </c>
      <c r="AA295" s="2956" t="s">
        <v>5392</v>
      </c>
      <c r="AB295" s="1844" t="s">
        <v>5393</v>
      </c>
      <c r="AC295" s="2956" t="s">
        <v>5394</v>
      </c>
      <c r="AD295" s="1844" t="s">
        <v>5395</v>
      </c>
      <c r="AE295" s="2956" t="s">
        <v>5396</v>
      </c>
      <c r="AF295" s="1844" t="s">
        <v>5397</v>
      </c>
      <c r="AG295" s="2956" t="s">
        <v>5398</v>
      </c>
      <c r="AH295" s="1844" t="s">
        <v>5399</v>
      </c>
      <c r="AI295" s="2956" t="s">
        <v>5400</v>
      </c>
      <c r="AJ295" s="1844" t="s">
        <v>5401</v>
      </c>
      <c r="AK295" s="2956" t="s">
        <v>5402</v>
      </c>
      <c r="AL295" s="1844" t="s">
        <v>5403</v>
      </c>
      <c r="AM295" s="2956" t="s">
        <v>5404</v>
      </c>
      <c r="AN295" s="2957" t="s">
        <v>5405</v>
      </c>
      <c r="AO295" s="7034" t="s">
        <v>5406</v>
      </c>
      <c r="AP295" s="7034" t="s">
        <v>5407</v>
      </c>
      <c r="AQ295" s="7035" t="s">
        <v>5408</v>
      </c>
      <c r="AR295" s="7036" t="s">
        <v>5409</v>
      </c>
      <c r="AS295" s="7035" t="s">
        <v>5410</v>
      </c>
      <c r="AT295" s="7036" t="s">
        <v>5411</v>
      </c>
      <c r="AU295" s="7035" t="s">
        <v>5412</v>
      </c>
      <c r="AV295" s="7037" t="s">
        <v>5413</v>
      </c>
      <c r="AW295" s="7038" t="s">
        <v>5414</v>
      </c>
      <c r="AX295" s="7039" t="s">
        <v>5415</v>
      </c>
      <c r="AY295" s="1547"/>
      <c r="BA295" s="1547"/>
      <c r="BU295" s="1442"/>
      <c r="BV295" s="1442"/>
      <c r="BW295" s="1442"/>
      <c r="BX295" s="1442"/>
      <c r="BY295" s="1442"/>
      <c r="BZ295" s="1442"/>
      <c r="CA295" s="1445"/>
      <c r="DA295" s="3217"/>
      <c r="EA295" s="1123"/>
    </row>
    <row r="296" spans="1:131" x14ac:dyDescent="0.3">
      <c r="A296" s="7307" t="s">
        <v>4261</v>
      </c>
      <c r="B296" s="8691"/>
      <c r="C296" s="2980" t="s">
        <v>1568</v>
      </c>
      <c r="D296" s="3355" t="s">
        <v>5369</v>
      </c>
      <c r="E296" s="3356" t="s">
        <v>5370</v>
      </c>
      <c r="F296" s="3357" t="s">
        <v>5371</v>
      </c>
      <c r="G296" s="2956" t="s">
        <v>5372</v>
      </c>
      <c r="H296" s="1844" t="s">
        <v>5373</v>
      </c>
      <c r="I296" s="2956" t="s">
        <v>5374</v>
      </c>
      <c r="J296" s="1844" t="s">
        <v>5375</v>
      </c>
      <c r="K296" s="2956" t="s">
        <v>5376</v>
      </c>
      <c r="L296" s="1844" t="s">
        <v>5377</v>
      </c>
      <c r="M296" s="2956" t="s">
        <v>5378</v>
      </c>
      <c r="N296" s="1844" t="s">
        <v>5379</v>
      </c>
      <c r="O296" s="2956" t="s">
        <v>5380</v>
      </c>
      <c r="P296" s="1844" t="s">
        <v>5381</v>
      </c>
      <c r="Q296" s="2956" t="s">
        <v>5382</v>
      </c>
      <c r="R296" s="1844" t="s">
        <v>5383</v>
      </c>
      <c r="S296" s="2956" t="s">
        <v>5384</v>
      </c>
      <c r="T296" s="1844" t="s">
        <v>5385</v>
      </c>
      <c r="U296" s="2956" t="s">
        <v>5386</v>
      </c>
      <c r="V296" s="1844" t="s">
        <v>5387</v>
      </c>
      <c r="W296" s="2956" t="s">
        <v>5388</v>
      </c>
      <c r="X296" s="1844" t="s">
        <v>5389</v>
      </c>
      <c r="Y296" s="2956" t="s">
        <v>5390</v>
      </c>
      <c r="Z296" s="1844" t="s">
        <v>5391</v>
      </c>
      <c r="AA296" s="2956" t="s">
        <v>5392</v>
      </c>
      <c r="AB296" s="1844" t="s">
        <v>5393</v>
      </c>
      <c r="AC296" s="2956" t="s">
        <v>5394</v>
      </c>
      <c r="AD296" s="1844" t="s">
        <v>5395</v>
      </c>
      <c r="AE296" s="2956" t="s">
        <v>5396</v>
      </c>
      <c r="AF296" s="1844" t="s">
        <v>5397</v>
      </c>
      <c r="AG296" s="2956" t="s">
        <v>5398</v>
      </c>
      <c r="AH296" s="1844" t="s">
        <v>5399</v>
      </c>
      <c r="AI296" s="2956" t="s">
        <v>5400</v>
      </c>
      <c r="AJ296" s="1844" t="s">
        <v>5401</v>
      </c>
      <c r="AK296" s="2956" t="s">
        <v>5402</v>
      </c>
      <c r="AL296" s="1844" t="s">
        <v>5403</v>
      </c>
      <c r="AM296" s="2956" t="s">
        <v>5404</v>
      </c>
      <c r="AN296" s="2957" t="s">
        <v>5405</v>
      </c>
      <c r="AO296" s="7034" t="s">
        <v>5406</v>
      </c>
      <c r="AP296" s="7034" t="s">
        <v>5407</v>
      </c>
      <c r="AQ296" s="7035" t="s">
        <v>5408</v>
      </c>
      <c r="AR296" s="7036" t="s">
        <v>5409</v>
      </c>
      <c r="AS296" s="7035" t="s">
        <v>5410</v>
      </c>
      <c r="AT296" s="7036" t="s">
        <v>5411</v>
      </c>
      <c r="AU296" s="7035" t="s">
        <v>5412</v>
      </c>
      <c r="AV296" s="7037" t="s">
        <v>5413</v>
      </c>
      <c r="AW296" s="7038" t="s">
        <v>5414</v>
      </c>
      <c r="AX296" s="7039" t="s">
        <v>5415</v>
      </c>
      <c r="AY296" s="1547"/>
      <c r="BA296" s="1547"/>
      <c r="BU296" s="1442"/>
      <c r="BV296" s="1442"/>
      <c r="BW296" s="1442"/>
      <c r="BX296" s="1442"/>
      <c r="BY296" s="1442"/>
      <c r="BZ296" s="1442"/>
      <c r="CA296" s="1445"/>
      <c r="DA296" s="3217"/>
      <c r="EA296" s="1123"/>
    </row>
    <row r="297" spans="1:131" x14ac:dyDescent="0.3">
      <c r="A297" s="7307" t="s">
        <v>4262</v>
      </c>
      <c r="B297" s="8691"/>
      <c r="C297" s="2980" t="s">
        <v>1016</v>
      </c>
      <c r="D297" s="3355" t="s">
        <v>5369</v>
      </c>
      <c r="E297" s="3356" t="s">
        <v>5370</v>
      </c>
      <c r="F297" s="3357" t="s">
        <v>5371</v>
      </c>
      <c r="G297" s="2956" t="s">
        <v>5372</v>
      </c>
      <c r="H297" s="1844" t="s">
        <v>5373</v>
      </c>
      <c r="I297" s="2956" t="s">
        <v>5374</v>
      </c>
      <c r="J297" s="1844" t="s">
        <v>5375</v>
      </c>
      <c r="K297" s="2956" t="s">
        <v>5376</v>
      </c>
      <c r="L297" s="1844" t="s">
        <v>5377</v>
      </c>
      <c r="M297" s="2956" t="s">
        <v>5378</v>
      </c>
      <c r="N297" s="1844" t="s">
        <v>5379</v>
      </c>
      <c r="O297" s="2956" t="s">
        <v>5380</v>
      </c>
      <c r="P297" s="1844" t="s">
        <v>5381</v>
      </c>
      <c r="Q297" s="2956" t="s">
        <v>5382</v>
      </c>
      <c r="R297" s="1844" t="s">
        <v>5383</v>
      </c>
      <c r="S297" s="2956" t="s">
        <v>5384</v>
      </c>
      <c r="T297" s="1844" t="s">
        <v>5385</v>
      </c>
      <c r="U297" s="2956" t="s">
        <v>5386</v>
      </c>
      <c r="V297" s="1844" t="s">
        <v>5387</v>
      </c>
      <c r="W297" s="2956" t="s">
        <v>5388</v>
      </c>
      <c r="X297" s="1844" t="s">
        <v>5389</v>
      </c>
      <c r="Y297" s="2956" t="s">
        <v>5390</v>
      </c>
      <c r="Z297" s="1844" t="s">
        <v>5391</v>
      </c>
      <c r="AA297" s="2956" t="s">
        <v>5392</v>
      </c>
      <c r="AB297" s="1844" t="s">
        <v>5393</v>
      </c>
      <c r="AC297" s="2956" t="s">
        <v>5394</v>
      </c>
      <c r="AD297" s="1844" t="s">
        <v>5395</v>
      </c>
      <c r="AE297" s="2956" t="s">
        <v>5396</v>
      </c>
      <c r="AF297" s="1844" t="s">
        <v>5397</v>
      </c>
      <c r="AG297" s="2956" t="s">
        <v>5398</v>
      </c>
      <c r="AH297" s="1844" t="s">
        <v>5399</v>
      </c>
      <c r="AI297" s="2956" t="s">
        <v>5400</v>
      </c>
      <c r="AJ297" s="1844" t="s">
        <v>5401</v>
      </c>
      <c r="AK297" s="2956" t="s">
        <v>5402</v>
      </c>
      <c r="AL297" s="1844" t="s">
        <v>5403</v>
      </c>
      <c r="AM297" s="2956" t="s">
        <v>5404</v>
      </c>
      <c r="AN297" s="2957" t="s">
        <v>5405</v>
      </c>
      <c r="AO297" s="7034" t="s">
        <v>5406</v>
      </c>
      <c r="AP297" s="7034" t="s">
        <v>5407</v>
      </c>
      <c r="AQ297" s="7035" t="s">
        <v>5408</v>
      </c>
      <c r="AR297" s="7036" t="s">
        <v>5409</v>
      </c>
      <c r="AS297" s="7035" t="s">
        <v>5410</v>
      </c>
      <c r="AT297" s="7036" t="s">
        <v>5411</v>
      </c>
      <c r="AU297" s="7035" t="s">
        <v>5412</v>
      </c>
      <c r="AV297" s="7037" t="s">
        <v>5413</v>
      </c>
      <c r="AW297" s="7038" t="s">
        <v>5414</v>
      </c>
      <c r="AX297" s="7039" t="s">
        <v>5415</v>
      </c>
      <c r="AY297" s="1547"/>
      <c r="BA297" s="1547"/>
      <c r="BU297" s="1442"/>
      <c r="BV297" s="1442"/>
      <c r="BW297" s="1442"/>
      <c r="BX297" s="1442"/>
      <c r="BY297" s="1442"/>
      <c r="BZ297" s="1442"/>
      <c r="CA297" s="1445"/>
      <c r="DA297" s="3217"/>
      <c r="EA297" s="1123"/>
    </row>
    <row r="298" spans="1:131" x14ac:dyDescent="0.3">
      <c r="A298" s="7307" t="s">
        <v>4263</v>
      </c>
      <c r="B298" s="8691"/>
      <c r="C298" s="2980" t="s">
        <v>62</v>
      </c>
      <c r="D298" s="3355" t="s">
        <v>5369</v>
      </c>
      <c r="E298" s="3356" t="s">
        <v>5370</v>
      </c>
      <c r="F298" s="3357" t="s">
        <v>5371</v>
      </c>
      <c r="G298" s="2956" t="s">
        <v>5372</v>
      </c>
      <c r="H298" s="1844" t="s">
        <v>5373</v>
      </c>
      <c r="I298" s="2956" t="s">
        <v>5374</v>
      </c>
      <c r="J298" s="1844" t="s">
        <v>5375</v>
      </c>
      <c r="K298" s="2956" t="s">
        <v>5376</v>
      </c>
      <c r="L298" s="1844" t="s">
        <v>5377</v>
      </c>
      <c r="M298" s="2956" t="s">
        <v>5378</v>
      </c>
      <c r="N298" s="1844" t="s">
        <v>5379</v>
      </c>
      <c r="O298" s="2956" t="s">
        <v>5380</v>
      </c>
      <c r="P298" s="1844" t="s">
        <v>5381</v>
      </c>
      <c r="Q298" s="2956" t="s">
        <v>5382</v>
      </c>
      <c r="R298" s="1844" t="s">
        <v>5383</v>
      </c>
      <c r="S298" s="2956" t="s">
        <v>5384</v>
      </c>
      <c r="T298" s="1844" t="s">
        <v>5385</v>
      </c>
      <c r="U298" s="2956" t="s">
        <v>5386</v>
      </c>
      <c r="V298" s="1844" t="s">
        <v>5387</v>
      </c>
      <c r="W298" s="2956" t="s">
        <v>5388</v>
      </c>
      <c r="X298" s="1844" t="s">
        <v>5389</v>
      </c>
      <c r="Y298" s="2956" t="s">
        <v>5390</v>
      </c>
      <c r="Z298" s="1844" t="s">
        <v>5391</v>
      </c>
      <c r="AA298" s="2956" t="s">
        <v>5392</v>
      </c>
      <c r="AB298" s="1844" t="s">
        <v>5393</v>
      </c>
      <c r="AC298" s="2956" t="s">
        <v>5394</v>
      </c>
      <c r="AD298" s="1844" t="s">
        <v>5395</v>
      </c>
      <c r="AE298" s="2956" t="s">
        <v>5396</v>
      </c>
      <c r="AF298" s="1844" t="s">
        <v>5397</v>
      </c>
      <c r="AG298" s="2956" t="s">
        <v>5398</v>
      </c>
      <c r="AH298" s="1844" t="s">
        <v>5399</v>
      </c>
      <c r="AI298" s="2956" t="s">
        <v>5400</v>
      </c>
      <c r="AJ298" s="1844" t="s">
        <v>5401</v>
      </c>
      <c r="AK298" s="2956" t="s">
        <v>5402</v>
      </c>
      <c r="AL298" s="1844" t="s">
        <v>5403</v>
      </c>
      <c r="AM298" s="2956" t="s">
        <v>5404</v>
      </c>
      <c r="AN298" s="2957" t="s">
        <v>5405</v>
      </c>
      <c r="AO298" s="7034" t="s">
        <v>5406</v>
      </c>
      <c r="AP298" s="7034" t="s">
        <v>5407</v>
      </c>
      <c r="AQ298" s="7035" t="s">
        <v>5408</v>
      </c>
      <c r="AR298" s="7036" t="s">
        <v>5409</v>
      </c>
      <c r="AS298" s="7035" t="s">
        <v>5410</v>
      </c>
      <c r="AT298" s="7036" t="s">
        <v>5411</v>
      </c>
      <c r="AU298" s="7035" t="s">
        <v>5412</v>
      </c>
      <c r="AV298" s="7037" t="s">
        <v>5413</v>
      </c>
      <c r="AW298" s="7038" t="s">
        <v>5414</v>
      </c>
      <c r="AX298" s="7039" t="s">
        <v>5415</v>
      </c>
      <c r="AY298" s="1547"/>
      <c r="BA298" s="1547"/>
      <c r="BU298" s="1442"/>
      <c r="BV298" s="1442"/>
      <c r="BW298" s="1442"/>
      <c r="BX298" s="1442"/>
      <c r="BY298" s="1442"/>
      <c r="BZ298" s="1442"/>
      <c r="CA298" s="1445"/>
      <c r="DA298" s="3217"/>
      <c r="EA298" s="1123"/>
    </row>
    <row r="299" spans="1:131" x14ac:dyDescent="0.3">
      <c r="A299" s="7307" t="s">
        <v>4264</v>
      </c>
      <c r="B299" s="8691"/>
      <c r="C299" s="2980" t="s">
        <v>2794</v>
      </c>
      <c r="D299" s="3355" t="s">
        <v>5369</v>
      </c>
      <c r="E299" s="3356" t="s">
        <v>5370</v>
      </c>
      <c r="F299" s="3357" t="s">
        <v>5371</v>
      </c>
      <c r="G299" s="2956" t="s">
        <v>5372</v>
      </c>
      <c r="H299" s="1844" t="s">
        <v>5373</v>
      </c>
      <c r="I299" s="2956" t="s">
        <v>5374</v>
      </c>
      <c r="J299" s="1844" t="s">
        <v>5375</v>
      </c>
      <c r="K299" s="2956" t="s">
        <v>5376</v>
      </c>
      <c r="L299" s="1844" t="s">
        <v>5377</v>
      </c>
      <c r="M299" s="2956" t="s">
        <v>5378</v>
      </c>
      <c r="N299" s="1844" t="s">
        <v>5379</v>
      </c>
      <c r="O299" s="2956" t="s">
        <v>5380</v>
      </c>
      <c r="P299" s="1844" t="s">
        <v>5381</v>
      </c>
      <c r="Q299" s="2956" t="s">
        <v>5382</v>
      </c>
      <c r="R299" s="1844" t="s">
        <v>5383</v>
      </c>
      <c r="S299" s="2956" t="s">
        <v>5384</v>
      </c>
      <c r="T299" s="1844" t="s">
        <v>5385</v>
      </c>
      <c r="U299" s="2956" t="s">
        <v>5386</v>
      </c>
      <c r="V299" s="1844" t="s">
        <v>5387</v>
      </c>
      <c r="W299" s="2956" t="s">
        <v>5388</v>
      </c>
      <c r="X299" s="1844" t="s">
        <v>5389</v>
      </c>
      <c r="Y299" s="2956" t="s">
        <v>5390</v>
      </c>
      <c r="Z299" s="1844" t="s">
        <v>5391</v>
      </c>
      <c r="AA299" s="2956" t="s">
        <v>5392</v>
      </c>
      <c r="AB299" s="1844" t="s">
        <v>5393</v>
      </c>
      <c r="AC299" s="2956" t="s">
        <v>5394</v>
      </c>
      <c r="AD299" s="1844" t="s">
        <v>5395</v>
      </c>
      <c r="AE299" s="2956" t="s">
        <v>5396</v>
      </c>
      <c r="AF299" s="1844" t="s">
        <v>5397</v>
      </c>
      <c r="AG299" s="2956" t="s">
        <v>5398</v>
      </c>
      <c r="AH299" s="1844" t="s">
        <v>5399</v>
      </c>
      <c r="AI299" s="2956" t="s">
        <v>5400</v>
      </c>
      <c r="AJ299" s="1844" t="s">
        <v>5401</v>
      </c>
      <c r="AK299" s="2956" t="s">
        <v>5402</v>
      </c>
      <c r="AL299" s="1844" t="s">
        <v>5403</v>
      </c>
      <c r="AM299" s="2956" t="s">
        <v>5404</v>
      </c>
      <c r="AN299" s="2957" t="s">
        <v>5405</v>
      </c>
      <c r="AO299" s="7034" t="s">
        <v>5406</v>
      </c>
      <c r="AP299" s="7034" t="s">
        <v>5407</v>
      </c>
      <c r="AQ299" s="7035" t="s">
        <v>5408</v>
      </c>
      <c r="AR299" s="7036" t="s">
        <v>5409</v>
      </c>
      <c r="AS299" s="7035" t="s">
        <v>5410</v>
      </c>
      <c r="AT299" s="7036" t="s">
        <v>5411</v>
      </c>
      <c r="AU299" s="7035" t="s">
        <v>5412</v>
      </c>
      <c r="AV299" s="7037" t="s">
        <v>5413</v>
      </c>
      <c r="AW299" s="7038" t="s">
        <v>5414</v>
      </c>
      <c r="AX299" s="7039" t="s">
        <v>5415</v>
      </c>
      <c r="AY299" s="1547"/>
      <c r="BA299" s="1547"/>
      <c r="BU299" s="1442"/>
      <c r="BV299" s="1442"/>
      <c r="BW299" s="1442"/>
      <c r="BX299" s="1442"/>
      <c r="BY299" s="1442"/>
      <c r="BZ299" s="1442"/>
      <c r="CA299" s="1445"/>
      <c r="DA299" s="3217"/>
      <c r="EA299" s="1123"/>
    </row>
    <row r="300" spans="1:131" x14ac:dyDescent="0.3">
      <c r="A300" s="7307" t="s">
        <v>4265</v>
      </c>
      <c r="B300" s="8691"/>
      <c r="C300" s="2980" t="s">
        <v>1511</v>
      </c>
      <c r="D300" s="3355" t="s">
        <v>5369</v>
      </c>
      <c r="E300" s="3356" t="s">
        <v>5370</v>
      </c>
      <c r="F300" s="3357" t="s">
        <v>5371</v>
      </c>
      <c r="G300" s="2956" t="s">
        <v>5372</v>
      </c>
      <c r="H300" s="1844" t="s">
        <v>5373</v>
      </c>
      <c r="I300" s="2956" t="s">
        <v>5374</v>
      </c>
      <c r="J300" s="1844" t="s">
        <v>5375</v>
      </c>
      <c r="K300" s="2956" t="s">
        <v>5376</v>
      </c>
      <c r="L300" s="1844" t="s">
        <v>5377</v>
      </c>
      <c r="M300" s="2956" t="s">
        <v>5378</v>
      </c>
      <c r="N300" s="1844" t="s">
        <v>5379</v>
      </c>
      <c r="O300" s="2956" t="s">
        <v>5380</v>
      </c>
      <c r="P300" s="1844" t="s">
        <v>5381</v>
      </c>
      <c r="Q300" s="2956" t="s">
        <v>5382</v>
      </c>
      <c r="R300" s="1844" t="s">
        <v>5383</v>
      </c>
      <c r="S300" s="2956" t="s">
        <v>5384</v>
      </c>
      <c r="T300" s="1844" t="s">
        <v>5385</v>
      </c>
      <c r="U300" s="2956" t="s">
        <v>5386</v>
      </c>
      <c r="V300" s="1844" t="s">
        <v>5387</v>
      </c>
      <c r="W300" s="2956" t="s">
        <v>5388</v>
      </c>
      <c r="X300" s="1844" t="s">
        <v>5389</v>
      </c>
      <c r="Y300" s="2956" t="s">
        <v>5390</v>
      </c>
      <c r="Z300" s="1844" t="s">
        <v>5391</v>
      </c>
      <c r="AA300" s="2956" t="s">
        <v>5392</v>
      </c>
      <c r="AB300" s="1844" t="s">
        <v>5393</v>
      </c>
      <c r="AC300" s="2956" t="s">
        <v>5394</v>
      </c>
      <c r="AD300" s="1844" t="s">
        <v>5395</v>
      </c>
      <c r="AE300" s="2956" t="s">
        <v>5396</v>
      </c>
      <c r="AF300" s="1844" t="s">
        <v>5397</v>
      </c>
      <c r="AG300" s="2956" t="s">
        <v>5398</v>
      </c>
      <c r="AH300" s="1844" t="s">
        <v>5399</v>
      </c>
      <c r="AI300" s="2956" t="s">
        <v>5400</v>
      </c>
      <c r="AJ300" s="1844" t="s">
        <v>5401</v>
      </c>
      <c r="AK300" s="2956" t="s">
        <v>5402</v>
      </c>
      <c r="AL300" s="1844" t="s">
        <v>5403</v>
      </c>
      <c r="AM300" s="2956" t="s">
        <v>5404</v>
      </c>
      <c r="AN300" s="2957" t="s">
        <v>5405</v>
      </c>
      <c r="AO300" s="7034" t="s">
        <v>5406</v>
      </c>
      <c r="AP300" s="7034" t="s">
        <v>5407</v>
      </c>
      <c r="AQ300" s="7035" t="s">
        <v>5408</v>
      </c>
      <c r="AR300" s="7036" t="s">
        <v>5409</v>
      </c>
      <c r="AS300" s="7035" t="s">
        <v>5410</v>
      </c>
      <c r="AT300" s="7036" t="s">
        <v>5411</v>
      </c>
      <c r="AU300" s="7035" t="s">
        <v>5412</v>
      </c>
      <c r="AV300" s="7037" t="s">
        <v>5413</v>
      </c>
      <c r="AW300" s="7038" t="s">
        <v>5414</v>
      </c>
      <c r="AX300" s="7039" t="s">
        <v>5415</v>
      </c>
      <c r="AY300" s="1547"/>
      <c r="BA300" s="1547"/>
      <c r="BU300" s="1442"/>
      <c r="BV300" s="1442"/>
      <c r="BW300" s="1442"/>
      <c r="BX300" s="1442"/>
      <c r="BY300" s="1442"/>
      <c r="BZ300" s="1442"/>
      <c r="CA300" s="1445"/>
      <c r="DA300" s="3217"/>
      <c r="EA300" s="1123"/>
    </row>
    <row r="301" spans="1:131" x14ac:dyDescent="0.3">
      <c r="A301" s="7307" t="s">
        <v>4266</v>
      </c>
      <c r="B301" s="8691"/>
      <c r="C301" s="2980" t="s">
        <v>1265</v>
      </c>
      <c r="D301" s="3355" t="s">
        <v>5369</v>
      </c>
      <c r="E301" s="3356" t="s">
        <v>5370</v>
      </c>
      <c r="F301" s="3357" t="s">
        <v>5371</v>
      </c>
      <c r="G301" s="2956" t="s">
        <v>5372</v>
      </c>
      <c r="H301" s="1844" t="s">
        <v>5373</v>
      </c>
      <c r="I301" s="2956" t="s">
        <v>5374</v>
      </c>
      <c r="J301" s="1844" t="s">
        <v>5375</v>
      </c>
      <c r="K301" s="2956" t="s">
        <v>5376</v>
      </c>
      <c r="L301" s="1844" t="s">
        <v>5377</v>
      </c>
      <c r="M301" s="2956" t="s">
        <v>5378</v>
      </c>
      <c r="N301" s="1844" t="s">
        <v>5379</v>
      </c>
      <c r="O301" s="2956" t="s">
        <v>5380</v>
      </c>
      <c r="P301" s="1844" t="s">
        <v>5381</v>
      </c>
      <c r="Q301" s="2956" t="s">
        <v>5382</v>
      </c>
      <c r="R301" s="1844" t="s">
        <v>5383</v>
      </c>
      <c r="S301" s="2956" t="s">
        <v>5384</v>
      </c>
      <c r="T301" s="1844" t="s">
        <v>5385</v>
      </c>
      <c r="U301" s="2956" t="s">
        <v>5386</v>
      </c>
      <c r="V301" s="1844" t="s">
        <v>5387</v>
      </c>
      <c r="W301" s="2956" t="s">
        <v>5388</v>
      </c>
      <c r="X301" s="1844" t="s">
        <v>5389</v>
      </c>
      <c r="Y301" s="2956" t="s">
        <v>5390</v>
      </c>
      <c r="Z301" s="1844" t="s">
        <v>5391</v>
      </c>
      <c r="AA301" s="2956" t="s">
        <v>5392</v>
      </c>
      <c r="AB301" s="1844" t="s">
        <v>5393</v>
      </c>
      <c r="AC301" s="2956" t="s">
        <v>5394</v>
      </c>
      <c r="AD301" s="1844" t="s">
        <v>5395</v>
      </c>
      <c r="AE301" s="2956" t="s">
        <v>5396</v>
      </c>
      <c r="AF301" s="1844" t="s">
        <v>5397</v>
      </c>
      <c r="AG301" s="2956" t="s">
        <v>5398</v>
      </c>
      <c r="AH301" s="1844" t="s">
        <v>5399</v>
      </c>
      <c r="AI301" s="2956" t="s">
        <v>5400</v>
      </c>
      <c r="AJ301" s="1844" t="s">
        <v>5401</v>
      </c>
      <c r="AK301" s="2956" t="s">
        <v>5402</v>
      </c>
      <c r="AL301" s="1844" t="s">
        <v>5403</v>
      </c>
      <c r="AM301" s="2956" t="s">
        <v>5404</v>
      </c>
      <c r="AN301" s="2957" t="s">
        <v>5405</v>
      </c>
      <c r="AO301" s="7034" t="s">
        <v>5406</v>
      </c>
      <c r="AP301" s="7034" t="s">
        <v>5407</v>
      </c>
      <c r="AQ301" s="7035" t="s">
        <v>5408</v>
      </c>
      <c r="AR301" s="7036" t="s">
        <v>5409</v>
      </c>
      <c r="AS301" s="7035" t="s">
        <v>5410</v>
      </c>
      <c r="AT301" s="7036" t="s">
        <v>5411</v>
      </c>
      <c r="AU301" s="7035" t="s">
        <v>5412</v>
      </c>
      <c r="AV301" s="7037" t="s">
        <v>5413</v>
      </c>
      <c r="AW301" s="7038" t="s">
        <v>5414</v>
      </c>
      <c r="AX301" s="7039" t="s">
        <v>5415</v>
      </c>
      <c r="AY301" s="1547"/>
      <c r="BA301" s="1547"/>
      <c r="BU301" s="1442"/>
      <c r="BV301" s="1442"/>
      <c r="BW301" s="1442"/>
      <c r="BX301" s="1442"/>
      <c r="BY301" s="1442"/>
      <c r="BZ301" s="1442"/>
      <c r="CA301" s="1445"/>
      <c r="DA301" s="3217"/>
      <c r="EA301" s="1123"/>
    </row>
    <row r="302" spans="1:131" x14ac:dyDescent="0.3">
      <c r="A302" s="7663"/>
      <c r="B302" s="8692"/>
      <c r="C302" s="3351" t="s">
        <v>3146</v>
      </c>
      <c r="D302" s="3352">
        <f t="shared" ref="D302:D309" si="18">SUM(E302,F302)</f>
        <v>0</v>
      </c>
      <c r="E302" s="3353">
        <f>SUM(G302,I302,K302,M302,O302,Q302,S302,U302,W302,Y302,AA302,AC302,AE302,AG302,AI302,AK302,AM302)</f>
        <v>0</v>
      </c>
      <c r="F302" s="3354">
        <f t="shared" ref="E302:F309" si="19">SUM(H302,J302,L302,N302,P302,R302,T302,V302,X302,Z302,AB302,AD302,AF302,AH302,AJ302,AL302,AN302)</f>
        <v>0</v>
      </c>
      <c r="G302" s="3366">
        <f t="shared" ref="G302:AN302" si="20">SUM(G291:G301)</f>
        <v>0</v>
      </c>
      <c r="H302" s="3367">
        <f t="shared" si="20"/>
        <v>0</v>
      </c>
      <c r="I302" s="3366">
        <f t="shared" si="20"/>
        <v>0</v>
      </c>
      <c r="J302" s="3367">
        <f t="shared" si="20"/>
        <v>0</v>
      </c>
      <c r="K302" s="3366">
        <f t="shared" si="20"/>
        <v>0</v>
      </c>
      <c r="L302" s="3368">
        <f t="shared" si="20"/>
        <v>0</v>
      </c>
      <c r="M302" s="3366">
        <f t="shared" si="20"/>
        <v>0</v>
      </c>
      <c r="N302" s="3368">
        <f t="shared" si="20"/>
        <v>0</v>
      </c>
      <c r="O302" s="3366">
        <f t="shared" si="20"/>
        <v>0</v>
      </c>
      <c r="P302" s="3368">
        <f t="shared" si="20"/>
        <v>0</v>
      </c>
      <c r="Q302" s="3366">
        <f t="shared" si="20"/>
        <v>0</v>
      </c>
      <c r="R302" s="3368">
        <f t="shared" si="20"/>
        <v>0</v>
      </c>
      <c r="S302" s="3366">
        <f t="shared" si="20"/>
        <v>0</v>
      </c>
      <c r="T302" s="3368">
        <f t="shared" si="20"/>
        <v>0</v>
      </c>
      <c r="U302" s="3366">
        <f t="shared" si="20"/>
        <v>0</v>
      </c>
      <c r="V302" s="3368">
        <f t="shared" si="20"/>
        <v>0</v>
      </c>
      <c r="W302" s="3366">
        <f t="shared" si="20"/>
        <v>0</v>
      </c>
      <c r="X302" s="3368">
        <f t="shared" si="20"/>
        <v>0</v>
      </c>
      <c r="Y302" s="3366">
        <f t="shared" si="20"/>
        <v>0</v>
      </c>
      <c r="Z302" s="3368">
        <f t="shared" si="20"/>
        <v>0</v>
      </c>
      <c r="AA302" s="3366">
        <f t="shared" si="20"/>
        <v>0</v>
      </c>
      <c r="AB302" s="3368">
        <f t="shared" si="20"/>
        <v>0</v>
      </c>
      <c r="AC302" s="3366">
        <f t="shared" si="20"/>
        <v>0</v>
      </c>
      <c r="AD302" s="3368">
        <f t="shared" si="20"/>
        <v>0</v>
      </c>
      <c r="AE302" s="3366">
        <f t="shared" si="20"/>
        <v>0</v>
      </c>
      <c r="AF302" s="3368">
        <f t="shared" si="20"/>
        <v>0</v>
      </c>
      <c r="AG302" s="3366">
        <f t="shared" si="20"/>
        <v>0</v>
      </c>
      <c r="AH302" s="3368">
        <f t="shared" si="20"/>
        <v>0</v>
      </c>
      <c r="AI302" s="3366">
        <f t="shared" si="20"/>
        <v>0</v>
      </c>
      <c r="AJ302" s="3368">
        <f t="shared" si="20"/>
        <v>0</v>
      </c>
      <c r="AK302" s="3366">
        <f t="shared" si="20"/>
        <v>0</v>
      </c>
      <c r="AL302" s="3368">
        <f t="shared" si="20"/>
        <v>0</v>
      </c>
      <c r="AM302" s="3369">
        <f t="shared" si="20"/>
        <v>0</v>
      </c>
      <c r="AN302" s="3370">
        <f t="shared" si="20"/>
        <v>0</v>
      </c>
      <c r="AO302" s="7040"/>
      <c r="AP302" s="7040"/>
      <c r="AQ302" s="7041"/>
      <c r="AR302" s="7042"/>
      <c r="AS302" s="7041"/>
      <c r="AT302" s="7042"/>
      <c r="AU302" s="7043"/>
      <c r="AV302" s="7044"/>
      <c r="AW302" s="7045"/>
      <c r="AX302" s="7046"/>
      <c r="AY302" s="1547"/>
      <c r="BA302" s="1547"/>
      <c r="BU302" s="1442"/>
      <c r="BV302" s="1442"/>
      <c r="BW302" s="1442"/>
      <c r="BX302" s="1442"/>
      <c r="BY302" s="1442"/>
      <c r="BZ302" s="1442"/>
      <c r="CA302" s="1445"/>
      <c r="DA302" s="3217"/>
      <c r="EA302" s="1123"/>
    </row>
    <row r="303" spans="1:131" x14ac:dyDescent="0.3">
      <c r="A303" s="7307" t="s">
        <v>4267</v>
      </c>
      <c r="B303" s="8690" t="s">
        <v>3584</v>
      </c>
      <c r="C303" s="3343" t="s">
        <v>2597</v>
      </c>
      <c r="D303" s="3344" t="s">
        <v>5369</v>
      </c>
      <c r="E303" s="3345" t="s">
        <v>5370</v>
      </c>
      <c r="F303" s="3346" t="s">
        <v>5371</v>
      </c>
      <c r="G303" s="3036" t="s">
        <v>5372</v>
      </c>
      <c r="H303" s="3042" t="s">
        <v>5373</v>
      </c>
      <c r="I303" s="3036" t="s">
        <v>5374</v>
      </c>
      <c r="J303" s="3042" t="s">
        <v>5375</v>
      </c>
      <c r="K303" s="3036" t="s">
        <v>5376</v>
      </c>
      <c r="L303" s="3042" t="s">
        <v>5377</v>
      </c>
      <c r="M303" s="3036" t="s">
        <v>5378</v>
      </c>
      <c r="N303" s="3042" t="s">
        <v>5379</v>
      </c>
      <c r="O303" s="3036" t="s">
        <v>5380</v>
      </c>
      <c r="P303" s="3042" t="s">
        <v>5381</v>
      </c>
      <c r="Q303" s="3036" t="s">
        <v>5382</v>
      </c>
      <c r="R303" s="3042" t="s">
        <v>5383</v>
      </c>
      <c r="S303" s="3036" t="s">
        <v>5384</v>
      </c>
      <c r="T303" s="3042" t="s">
        <v>5385</v>
      </c>
      <c r="U303" s="3036" t="s">
        <v>5386</v>
      </c>
      <c r="V303" s="3042" t="s">
        <v>5387</v>
      </c>
      <c r="W303" s="3036" t="s">
        <v>5388</v>
      </c>
      <c r="X303" s="3042" t="s">
        <v>5389</v>
      </c>
      <c r="Y303" s="3036" t="s">
        <v>5390</v>
      </c>
      <c r="Z303" s="3042" t="s">
        <v>5391</v>
      </c>
      <c r="AA303" s="3036" t="s">
        <v>5392</v>
      </c>
      <c r="AB303" s="3042" t="s">
        <v>5393</v>
      </c>
      <c r="AC303" s="3036" t="s">
        <v>5394</v>
      </c>
      <c r="AD303" s="3042" t="s">
        <v>5395</v>
      </c>
      <c r="AE303" s="3036" t="s">
        <v>5396</v>
      </c>
      <c r="AF303" s="3042" t="s">
        <v>5397</v>
      </c>
      <c r="AG303" s="3036" t="s">
        <v>5398</v>
      </c>
      <c r="AH303" s="3042" t="s">
        <v>5399</v>
      </c>
      <c r="AI303" s="3036" t="s">
        <v>5400</v>
      </c>
      <c r="AJ303" s="3042" t="s">
        <v>5401</v>
      </c>
      <c r="AK303" s="3036" t="s">
        <v>5402</v>
      </c>
      <c r="AL303" s="3042" t="s">
        <v>5403</v>
      </c>
      <c r="AM303" s="3036" t="s">
        <v>5404</v>
      </c>
      <c r="AN303" s="2905" t="s">
        <v>5405</v>
      </c>
      <c r="AO303" s="7022" t="s">
        <v>5406</v>
      </c>
      <c r="AP303" s="7022" t="s">
        <v>5407</v>
      </c>
      <c r="AQ303" s="7023" t="s">
        <v>5408</v>
      </c>
      <c r="AR303" s="7024" t="s">
        <v>5409</v>
      </c>
      <c r="AS303" s="7023" t="s">
        <v>5410</v>
      </c>
      <c r="AT303" s="7024" t="s">
        <v>5411</v>
      </c>
      <c r="AU303" s="7023" t="s">
        <v>5412</v>
      </c>
      <c r="AV303" s="7025" t="s">
        <v>5413</v>
      </c>
      <c r="AW303" s="7026" t="s">
        <v>5414</v>
      </c>
      <c r="AX303" s="7027" t="s">
        <v>5415</v>
      </c>
      <c r="AY303" s="1547"/>
      <c r="BA303" s="1547"/>
      <c r="BU303" s="1442"/>
      <c r="BV303" s="1442"/>
      <c r="BW303" s="1442"/>
      <c r="BX303" s="1442"/>
      <c r="BY303" s="1442"/>
      <c r="BZ303" s="1442"/>
      <c r="CA303" s="1445"/>
      <c r="DA303" s="3217"/>
      <c r="EA303" s="1123"/>
    </row>
    <row r="304" spans="1:131" x14ac:dyDescent="0.3">
      <c r="A304" s="7307" t="s">
        <v>4268</v>
      </c>
      <c r="B304" s="8691"/>
      <c r="C304" s="3347" t="s">
        <v>60</v>
      </c>
      <c r="D304" s="3348" t="s">
        <v>5369</v>
      </c>
      <c r="E304" s="3349" t="s">
        <v>5370</v>
      </c>
      <c r="F304" s="3350" t="s">
        <v>5371</v>
      </c>
      <c r="G304" s="2985" t="s">
        <v>5372</v>
      </c>
      <c r="H304" s="2986" t="s">
        <v>5373</v>
      </c>
      <c r="I304" s="2985" t="s">
        <v>5374</v>
      </c>
      <c r="J304" s="2986" t="s">
        <v>5375</v>
      </c>
      <c r="K304" s="2985" t="s">
        <v>5376</v>
      </c>
      <c r="L304" s="2986" t="s">
        <v>5377</v>
      </c>
      <c r="M304" s="2985" t="s">
        <v>5378</v>
      </c>
      <c r="N304" s="2986" t="s">
        <v>5379</v>
      </c>
      <c r="O304" s="2985" t="s">
        <v>5380</v>
      </c>
      <c r="P304" s="2986" t="s">
        <v>5381</v>
      </c>
      <c r="Q304" s="2985" t="s">
        <v>5382</v>
      </c>
      <c r="R304" s="2986" t="s">
        <v>5383</v>
      </c>
      <c r="S304" s="2985" t="s">
        <v>5384</v>
      </c>
      <c r="T304" s="2986" t="s">
        <v>5385</v>
      </c>
      <c r="U304" s="2985" t="s">
        <v>5386</v>
      </c>
      <c r="V304" s="2986" t="s">
        <v>5387</v>
      </c>
      <c r="W304" s="2985" t="s">
        <v>5388</v>
      </c>
      <c r="X304" s="2986" t="s">
        <v>5389</v>
      </c>
      <c r="Y304" s="2985" t="s">
        <v>5390</v>
      </c>
      <c r="Z304" s="2986" t="s">
        <v>5391</v>
      </c>
      <c r="AA304" s="2985" t="s">
        <v>5392</v>
      </c>
      <c r="AB304" s="2986" t="s">
        <v>5393</v>
      </c>
      <c r="AC304" s="2985" t="s">
        <v>5394</v>
      </c>
      <c r="AD304" s="2986" t="s">
        <v>5395</v>
      </c>
      <c r="AE304" s="2985" t="s">
        <v>5396</v>
      </c>
      <c r="AF304" s="2986" t="s">
        <v>5397</v>
      </c>
      <c r="AG304" s="2985" t="s">
        <v>5398</v>
      </c>
      <c r="AH304" s="2986" t="s">
        <v>5399</v>
      </c>
      <c r="AI304" s="2985" t="s">
        <v>5400</v>
      </c>
      <c r="AJ304" s="2986" t="s">
        <v>5401</v>
      </c>
      <c r="AK304" s="2985" t="s">
        <v>5402</v>
      </c>
      <c r="AL304" s="2986" t="s">
        <v>5403</v>
      </c>
      <c r="AM304" s="2985" t="s">
        <v>5404</v>
      </c>
      <c r="AN304" s="2451" t="s">
        <v>5405</v>
      </c>
      <c r="AO304" s="7028" t="s">
        <v>5406</v>
      </c>
      <c r="AP304" s="7028" t="s">
        <v>5407</v>
      </c>
      <c r="AQ304" s="7029" t="s">
        <v>5408</v>
      </c>
      <c r="AR304" s="7030" t="s">
        <v>5409</v>
      </c>
      <c r="AS304" s="7029" t="s">
        <v>5410</v>
      </c>
      <c r="AT304" s="7030" t="s">
        <v>5411</v>
      </c>
      <c r="AU304" s="7029" t="s">
        <v>5412</v>
      </c>
      <c r="AV304" s="7031" t="s">
        <v>5413</v>
      </c>
      <c r="AW304" s="7032" t="s">
        <v>5414</v>
      </c>
      <c r="AX304" s="7033" t="s">
        <v>5415</v>
      </c>
      <c r="AY304" s="1547"/>
      <c r="BA304" s="1547"/>
      <c r="BU304" s="1442"/>
      <c r="BV304" s="1442"/>
      <c r="BW304" s="1442"/>
      <c r="BX304" s="1442"/>
      <c r="BY304" s="1442"/>
      <c r="BZ304" s="1442"/>
      <c r="CA304" s="1445"/>
      <c r="DA304" s="3217"/>
      <c r="EA304" s="1123"/>
    </row>
    <row r="305" spans="1:131" x14ac:dyDescent="0.3">
      <c r="A305" s="7307" t="s">
        <v>4269</v>
      </c>
      <c r="B305" s="8691"/>
      <c r="C305" s="2980" t="s">
        <v>3168</v>
      </c>
      <c r="D305" s="3355" t="s">
        <v>5369</v>
      </c>
      <c r="E305" s="3356" t="s">
        <v>5370</v>
      </c>
      <c r="F305" s="3357" t="s">
        <v>5371</v>
      </c>
      <c r="G305" s="2956" t="s">
        <v>5372</v>
      </c>
      <c r="H305" s="1844" t="s">
        <v>5373</v>
      </c>
      <c r="I305" s="2956" t="s">
        <v>5374</v>
      </c>
      <c r="J305" s="1844" t="s">
        <v>5375</v>
      </c>
      <c r="K305" s="2956" t="s">
        <v>5376</v>
      </c>
      <c r="L305" s="1844" t="s">
        <v>5377</v>
      </c>
      <c r="M305" s="2956" t="s">
        <v>5378</v>
      </c>
      <c r="N305" s="1844" t="s">
        <v>5379</v>
      </c>
      <c r="O305" s="2956" t="s">
        <v>5380</v>
      </c>
      <c r="P305" s="1844" t="s">
        <v>5381</v>
      </c>
      <c r="Q305" s="2956" t="s">
        <v>5382</v>
      </c>
      <c r="R305" s="1844" t="s">
        <v>5383</v>
      </c>
      <c r="S305" s="2956" t="s">
        <v>5384</v>
      </c>
      <c r="T305" s="1844" t="s">
        <v>5385</v>
      </c>
      <c r="U305" s="2956" t="s">
        <v>5386</v>
      </c>
      <c r="V305" s="1844" t="s">
        <v>5387</v>
      </c>
      <c r="W305" s="2956" t="s">
        <v>5388</v>
      </c>
      <c r="X305" s="1844" t="s">
        <v>5389</v>
      </c>
      <c r="Y305" s="2956" t="s">
        <v>5390</v>
      </c>
      <c r="Z305" s="1844" t="s">
        <v>5391</v>
      </c>
      <c r="AA305" s="2956" t="s">
        <v>5392</v>
      </c>
      <c r="AB305" s="1844" t="s">
        <v>5393</v>
      </c>
      <c r="AC305" s="2956" t="s">
        <v>5394</v>
      </c>
      <c r="AD305" s="1844" t="s">
        <v>5395</v>
      </c>
      <c r="AE305" s="2956" t="s">
        <v>5396</v>
      </c>
      <c r="AF305" s="1844" t="s">
        <v>5397</v>
      </c>
      <c r="AG305" s="2956" t="s">
        <v>5398</v>
      </c>
      <c r="AH305" s="1844" t="s">
        <v>5399</v>
      </c>
      <c r="AI305" s="2956" t="s">
        <v>5400</v>
      </c>
      <c r="AJ305" s="1844" t="s">
        <v>5401</v>
      </c>
      <c r="AK305" s="2956" t="s">
        <v>5402</v>
      </c>
      <c r="AL305" s="1844" t="s">
        <v>5403</v>
      </c>
      <c r="AM305" s="2956" t="s">
        <v>5404</v>
      </c>
      <c r="AN305" s="2957" t="s">
        <v>5405</v>
      </c>
      <c r="AO305" s="7034" t="s">
        <v>5406</v>
      </c>
      <c r="AP305" s="7034" t="s">
        <v>5407</v>
      </c>
      <c r="AQ305" s="7035" t="s">
        <v>5408</v>
      </c>
      <c r="AR305" s="7036" t="s">
        <v>5409</v>
      </c>
      <c r="AS305" s="7035" t="s">
        <v>5410</v>
      </c>
      <c r="AT305" s="7036" t="s">
        <v>5411</v>
      </c>
      <c r="AU305" s="7035" t="s">
        <v>5412</v>
      </c>
      <c r="AV305" s="7037" t="s">
        <v>5413</v>
      </c>
      <c r="AW305" s="7038" t="s">
        <v>5414</v>
      </c>
      <c r="AX305" s="7039" t="s">
        <v>5415</v>
      </c>
      <c r="AY305" s="1547"/>
      <c r="BA305" s="1547"/>
      <c r="BU305" s="1442"/>
      <c r="BV305" s="1442"/>
      <c r="BW305" s="1442"/>
      <c r="BX305" s="1442"/>
      <c r="BY305" s="1442"/>
      <c r="BZ305" s="1442"/>
      <c r="CA305" s="1445"/>
      <c r="DA305" s="3217"/>
      <c r="EA305" s="1123"/>
    </row>
    <row r="306" spans="1:131" x14ac:dyDescent="0.3">
      <c r="A306" s="7307" t="s">
        <v>4270</v>
      </c>
      <c r="B306" s="8691"/>
      <c r="C306" s="2980" t="s">
        <v>2601</v>
      </c>
      <c r="D306" s="3355" t="s">
        <v>5369</v>
      </c>
      <c r="E306" s="3356" t="s">
        <v>5370</v>
      </c>
      <c r="F306" s="3357" t="s">
        <v>5371</v>
      </c>
      <c r="G306" s="2956" t="s">
        <v>5372</v>
      </c>
      <c r="H306" s="1844" t="s">
        <v>5373</v>
      </c>
      <c r="I306" s="2956" t="s">
        <v>5374</v>
      </c>
      <c r="J306" s="1844" t="s">
        <v>5375</v>
      </c>
      <c r="K306" s="2956" t="s">
        <v>5376</v>
      </c>
      <c r="L306" s="1844" t="s">
        <v>5377</v>
      </c>
      <c r="M306" s="2956" t="s">
        <v>5378</v>
      </c>
      <c r="N306" s="1844" t="s">
        <v>5379</v>
      </c>
      <c r="O306" s="2956" t="s">
        <v>5380</v>
      </c>
      <c r="P306" s="1844" t="s">
        <v>5381</v>
      </c>
      <c r="Q306" s="2956" t="s">
        <v>5382</v>
      </c>
      <c r="R306" s="1844" t="s">
        <v>5383</v>
      </c>
      <c r="S306" s="2956" t="s">
        <v>5384</v>
      </c>
      <c r="T306" s="1844" t="s">
        <v>5385</v>
      </c>
      <c r="U306" s="2956" t="s">
        <v>5386</v>
      </c>
      <c r="V306" s="1844" t="s">
        <v>5387</v>
      </c>
      <c r="W306" s="2956" t="s">
        <v>5388</v>
      </c>
      <c r="X306" s="1844" t="s">
        <v>5389</v>
      </c>
      <c r="Y306" s="2956" t="s">
        <v>5390</v>
      </c>
      <c r="Z306" s="1844" t="s">
        <v>5391</v>
      </c>
      <c r="AA306" s="2956" t="s">
        <v>5392</v>
      </c>
      <c r="AB306" s="1844" t="s">
        <v>5393</v>
      </c>
      <c r="AC306" s="2956" t="s">
        <v>5394</v>
      </c>
      <c r="AD306" s="1844" t="s">
        <v>5395</v>
      </c>
      <c r="AE306" s="2956" t="s">
        <v>5396</v>
      </c>
      <c r="AF306" s="1844" t="s">
        <v>5397</v>
      </c>
      <c r="AG306" s="2956" t="s">
        <v>5398</v>
      </c>
      <c r="AH306" s="1844" t="s">
        <v>5399</v>
      </c>
      <c r="AI306" s="2956" t="s">
        <v>5400</v>
      </c>
      <c r="AJ306" s="1844" t="s">
        <v>5401</v>
      </c>
      <c r="AK306" s="2956" t="s">
        <v>5402</v>
      </c>
      <c r="AL306" s="1844" t="s">
        <v>5403</v>
      </c>
      <c r="AM306" s="2956" t="s">
        <v>5404</v>
      </c>
      <c r="AN306" s="2957" t="s">
        <v>5405</v>
      </c>
      <c r="AO306" s="7034" t="s">
        <v>5406</v>
      </c>
      <c r="AP306" s="7034" t="s">
        <v>5407</v>
      </c>
      <c r="AQ306" s="7035" t="s">
        <v>5408</v>
      </c>
      <c r="AR306" s="7036" t="s">
        <v>5409</v>
      </c>
      <c r="AS306" s="7035" t="s">
        <v>5410</v>
      </c>
      <c r="AT306" s="7036" t="s">
        <v>5411</v>
      </c>
      <c r="AU306" s="7035" t="s">
        <v>5412</v>
      </c>
      <c r="AV306" s="7037" t="s">
        <v>5413</v>
      </c>
      <c r="AW306" s="7038" t="s">
        <v>5414</v>
      </c>
      <c r="AX306" s="7039" t="s">
        <v>5415</v>
      </c>
      <c r="AY306" s="1547"/>
      <c r="BA306" s="1547"/>
      <c r="BU306" s="1442"/>
      <c r="BV306" s="1442"/>
      <c r="BW306" s="1442"/>
      <c r="BX306" s="1442"/>
      <c r="BY306" s="1442"/>
      <c r="BZ306" s="1442"/>
      <c r="CA306" s="1445"/>
      <c r="DA306" s="3217"/>
      <c r="EA306" s="1123"/>
    </row>
    <row r="307" spans="1:131" ht="15" customHeight="1" x14ac:dyDescent="0.3">
      <c r="A307" s="7307" t="s">
        <v>4271</v>
      </c>
      <c r="B307" s="8691"/>
      <c r="C307" s="2980" t="s">
        <v>3728</v>
      </c>
      <c r="D307" s="3355" t="s">
        <v>5369</v>
      </c>
      <c r="E307" s="3356" t="s">
        <v>5370</v>
      </c>
      <c r="F307" s="3357" t="s">
        <v>5371</v>
      </c>
      <c r="G307" s="2956" t="s">
        <v>5372</v>
      </c>
      <c r="H307" s="1844" t="s">
        <v>5373</v>
      </c>
      <c r="I307" s="2956" t="s">
        <v>5374</v>
      </c>
      <c r="J307" s="1844" t="s">
        <v>5375</v>
      </c>
      <c r="K307" s="2956" t="s">
        <v>5376</v>
      </c>
      <c r="L307" s="1844" t="s">
        <v>5377</v>
      </c>
      <c r="M307" s="2956" t="s">
        <v>5378</v>
      </c>
      <c r="N307" s="1844" t="s">
        <v>5379</v>
      </c>
      <c r="O307" s="2956" t="s">
        <v>5380</v>
      </c>
      <c r="P307" s="1844" t="s">
        <v>5381</v>
      </c>
      <c r="Q307" s="2956" t="s">
        <v>5382</v>
      </c>
      <c r="R307" s="1844" t="s">
        <v>5383</v>
      </c>
      <c r="S307" s="2956" t="s">
        <v>5384</v>
      </c>
      <c r="T307" s="1844" t="s">
        <v>5385</v>
      </c>
      <c r="U307" s="2956" t="s">
        <v>5386</v>
      </c>
      <c r="V307" s="1844" t="s">
        <v>5387</v>
      </c>
      <c r="W307" s="2956" t="s">
        <v>5388</v>
      </c>
      <c r="X307" s="1844" t="s">
        <v>5389</v>
      </c>
      <c r="Y307" s="2956" t="s">
        <v>5390</v>
      </c>
      <c r="Z307" s="1844" t="s">
        <v>5391</v>
      </c>
      <c r="AA307" s="2956" t="s">
        <v>5392</v>
      </c>
      <c r="AB307" s="1844" t="s">
        <v>5393</v>
      </c>
      <c r="AC307" s="2956" t="s">
        <v>5394</v>
      </c>
      <c r="AD307" s="1844" t="s">
        <v>5395</v>
      </c>
      <c r="AE307" s="2956" t="s">
        <v>5396</v>
      </c>
      <c r="AF307" s="1844" t="s">
        <v>5397</v>
      </c>
      <c r="AG307" s="2956" t="s">
        <v>5398</v>
      </c>
      <c r="AH307" s="1844" t="s">
        <v>5399</v>
      </c>
      <c r="AI307" s="2956" t="s">
        <v>5400</v>
      </c>
      <c r="AJ307" s="1844" t="s">
        <v>5401</v>
      </c>
      <c r="AK307" s="2956" t="s">
        <v>5402</v>
      </c>
      <c r="AL307" s="1844" t="s">
        <v>5403</v>
      </c>
      <c r="AM307" s="2956" t="s">
        <v>5404</v>
      </c>
      <c r="AN307" s="2957" t="s">
        <v>5405</v>
      </c>
      <c r="AO307" s="7034" t="s">
        <v>5406</v>
      </c>
      <c r="AP307" s="7034" t="s">
        <v>5407</v>
      </c>
      <c r="AQ307" s="7035" t="s">
        <v>5408</v>
      </c>
      <c r="AR307" s="7036" t="s">
        <v>5409</v>
      </c>
      <c r="AS307" s="7035" t="s">
        <v>5410</v>
      </c>
      <c r="AT307" s="7036" t="s">
        <v>5411</v>
      </c>
      <c r="AU307" s="7035" t="s">
        <v>5412</v>
      </c>
      <c r="AV307" s="7037" t="s">
        <v>5413</v>
      </c>
      <c r="AW307" s="7038" t="s">
        <v>5414</v>
      </c>
      <c r="AX307" s="7039" t="s">
        <v>5415</v>
      </c>
      <c r="AY307" s="1547"/>
      <c r="BA307" s="1547"/>
      <c r="BU307" s="1442"/>
      <c r="BV307" s="1442"/>
      <c r="BW307" s="1442"/>
      <c r="BX307" s="1442"/>
      <c r="BY307" s="1442"/>
      <c r="BZ307" s="1442"/>
      <c r="CA307" s="1445"/>
      <c r="DA307" s="3217"/>
      <c r="EA307" s="1123"/>
    </row>
    <row r="308" spans="1:131" x14ac:dyDescent="0.3">
      <c r="A308" s="7307" t="s">
        <v>4272</v>
      </c>
      <c r="B308" s="8691"/>
      <c r="C308" s="2980" t="s">
        <v>1265</v>
      </c>
      <c r="D308" s="3355" t="s">
        <v>5369</v>
      </c>
      <c r="E308" s="3356" t="s">
        <v>5370</v>
      </c>
      <c r="F308" s="3357" t="s">
        <v>5371</v>
      </c>
      <c r="G308" s="2956" t="s">
        <v>5372</v>
      </c>
      <c r="H308" s="1844" t="s">
        <v>5373</v>
      </c>
      <c r="I308" s="2956" t="s">
        <v>5374</v>
      </c>
      <c r="J308" s="1844" t="s">
        <v>5375</v>
      </c>
      <c r="K308" s="2956" t="s">
        <v>5376</v>
      </c>
      <c r="L308" s="1844" t="s">
        <v>5377</v>
      </c>
      <c r="M308" s="2956" t="s">
        <v>5378</v>
      </c>
      <c r="N308" s="1844" t="s">
        <v>5379</v>
      </c>
      <c r="O308" s="2956" t="s">
        <v>5380</v>
      </c>
      <c r="P308" s="1844" t="s">
        <v>5381</v>
      </c>
      <c r="Q308" s="2956" t="s">
        <v>5382</v>
      </c>
      <c r="R308" s="1844" t="s">
        <v>5383</v>
      </c>
      <c r="S308" s="2956" t="s">
        <v>5384</v>
      </c>
      <c r="T308" s="1844" t="s">
        <v>5385</v>
      </c>
      <c r="U308" s="2956" t="s">
        <v>5386</v>
      </c>
      <c r="V308" s="1844" t="s">
        <v>5387</v>
      </c>
      <c r="W308" s="2956" t="s">
        <v>5388</v>
      </c>
      <c r="X308" s="1844" t="s">
        <v>5389</v>
      </c>
      <c r="Y308" s="2956" t="s">
        <v>5390</v>
      </c>
      <c r="Z308" s="1844" t="s">
        <v>5391</v>
      </c>
      <c r="AA308" s="2956" t="s">
        <v>5392</v>
      </c>
      <c r="AB308" s="1844" t="s">
        <v>5393</v>
      </c>
      <c r="AC308" s="2956" t="s">
        <v>5394</v>
      </c>
      <c r="AD308" s="1844" t="s">
        <v>5395</v>
      </c>
      <c r="AE308" s="2956" t="s">
        <v>5396</v>
      </c>
      <c r="AF308" s="1844" t="s">
        <v>5397</v>
      </c>
      <c r="AG308" s="2956" t="s">
        <v>5398</v>
      </c>
      <c r="AH308" s="1844" t="s">
        <v>5399</v>
      </c>
      <c r="AI308" s="2956" t="s">
        <v>5400</v>
      </c>
      <c r="AJ308" s="1844" t="s">
        <v>5401</v>
      </c>
      <c r="AK308" s="2956" t="s">
        <v>5402</v>
      </c>
      <c r="AL308" s="1844" t="s">
        <v>5403</v>
      </c>
      <c r="AM308" s="2956" t="s">
        <v>5404</v>
      </c>
      <c r="AN308" s="2957" t="s">
        <v>5405</v>
      </c>
      <c r="AO308" s="7034" t="s">
        <v>5406</v>
      </c>
      <c r="AP308" s="7034" t="s">
        <v>5407</v>
      </c>
      <c r="AQ308" s="7035" t="s">
        <v>5408</v>
      </c>
      <c r="AR308" s="7036" t="s">
        <v>5409</v>
      </c>
      <c r="AS308" s="7035" t="s">
        <v>5410</v>
      </c>
      <c r="AT308" s="7036" t="s">
        <v>5411</v>
      </c>
      <c r="AU308" s="7035" t="s">
        <v>5412</v>
      </c>
      <c r="AV308" s="7037" t="s">
        <v>5413</v>
      </c>
      <c r="AW308" s="7038" t="s">
        <v>5414</v>
      </c>
      <c r="AX308" s="7039" t="s">
        <v>5415</v>
      </c>
      <c r="AY308" s="1547"/>
      <c r="BA308" s="1547"/>
      <c r="BU308" s="1442"/>
      <c r="BV308" s="1442"/>
      <c r="BW308" s="1442"/>
      <c r="BX308" s="1442"/>
      <c r="BY308" s="1442"/>
      <c r="BZ308" s="1442"/>
      <c r="CA308" s="1445"/>
      <c r="DA308" s="3217"/>
      <c r="EA308" s="1123"/>
    </row>
    <row r="309" spans="1:131" ht="15" thickBot="1" x14ac:dyDescent="0.35">
      <c r="A309" s="7663"/>
      <c r="B309" s="8692"/>
      <c r="C309" s="3358" t="s">
        <v>3146</v>
      </c>
      <c r="D309" s="3359">
        <f t="shared" si="18"/>
        <v>0</v>
      </c>
      <c r="E309" s="3360">
        <f t="shared" si="19"/>
        <v>0</v>
      </c>
      <c r="F309" s="3361">
        <f t="shared" si="19"/>
        <v>0</v>
      </c>
      <c r="G309" s="3372">
        <f t="shared" ref="G309:AM309" si="21">SUM(G303:G308)</f>
        <v>0</v>
      </c>
      <c r="H309" s="3373">
        <f t="shared" si="21"/>
        <v>0</v>
      </c>
      <c r="I309" s="3372">
        <f t="shared" si="21"/>
        <v>0</v>
      </c>
      <c r="J309" s="3373">
        <f t="shared" si="21"/>
        <v>0</v>
      </c>
      <c r="K309" s="3372">
        <f t="shared" si="21"/>
        <v>0</v>
      </c>
      <c r="L309" s="3373">
        <f t="shared" si="21"/>
        <v>0</v>
      </c>
      <c r="M309" s="3372">
        <f t="shared" si="21"/>
        <v>0</v>
      </c>
      <c r="N309" s="3373">
        <f t="shared" si="21"/>
        <v>0</v>
      </c>
      <c r="O309" s="3372">
        <f t="shared" si="21"/>
        <v>0</v>
      </c>
      <c r="P309" s="3373">
        <f t="shared" si="21"/>
        <v>0</v>
      </c>
      <c r="Q309" s="3372">
        <f t="shared" si="21"/>
        <v>0</v>
      </c>
      <c r="R309" s="3373">
        <f t="shared" si="21"/>
        <v>0</v>
      </c>
      <c r="S309" s="3372">
        <f t="shared" si="21"/>
        <v>0</v>
      </c>
      <c r="T309" s="3373">
        <f t="shared" si="21"/>
        <v>0</v>
      </c>
      <c r="U309" s="3372">
        <f t="shared" si="21"/>
        <v>0</v>
      </c>
      <c r="V309" s="3373">
        <f t="shared" si="21"/>
        <v>0</v>
      </c>
      <c r="W309" s="3372">
        <f t="shared" si="21"/>
        <v>0</v>
      </c>
      <c r="X309" s="3373">
        <f t="shared" si="21"/>
        <v>0</v>
      </c>
      <c r="Y309" s="3372">
        <f t="shared" si="21"/>
        <v>0</v>
      </c>
      <c r="Z309" s="3373">
        <f t="shared" si="21"/>
        <v>0</v>
      </c>
      <c r="AA309" s="3372">
        <f t="shared" si="21"/>
        <v>0</v>
      </c>
      <c r="AB309" s="3373">
        <f t="shared" si="21"/>
        <v>0</v>
      </c>
      <c r="AC309" s="3372">
        <f t="shared" si="21"/>
        <v>0</v>
      </c>
      <c r="AD309" s="3373">
        <f t="shared" si="21"/>
        <v>0</v>
      </c>
      <c r="AE309" s="3372">
        <f t="shared" si="21"/>
        <v>0</v>
      </c>
      <c r="AF309" s="3373">
        <f t="shared" si="21"/>
        <v>0</v>
      </c>
      <c r="AG309" s="3372">
        <f t="shared" si="21"/>
        <v>0</v>
      </c>
      <c r="AH309" s="3373">
        <f t="shared" si="21"/>
        <v>0</v>
      </c>
      <c r="AI309" s="3372">
        <f t="shared" si="21"/>
        <v>0</v>
      </c>
      <c r="AJ309" s="3373">
        <f t="shared" si="21"/>
        <v>0</v>
      </c>
      <c r="AK309" s="3372">
        <f t="shared" si="21"/>
        <v>0</v>
      </c>
      <c r="AL309" s="3373">
        <f t="shared" si="21"/>
        <v>0</v>
      </c>
      <c r="AM309" s="3374">
        <f t="shared" si="21"/>
        <v>0</v>
      </c>
      <c r="AN309" s="3375">
        <f>SUM(AN303:AN308)</f>
        <v>0</v>
      </c>
      <c r="AO309" s="7047"/>
      <c r="AP309" s="7047"/>
      <c r="AQ309" s="7048"/>
      <c r="AR309" s="7049"/>
      <c r="AS309" s="7048"/>
      <c r="AT309" s="7049"/>
      <c r="AU309" s="7050"/>
      <c r="AV309" s="7051"/>
      <c r="AW309" s="7052"/>
      <c r="AX309" s="7053"/>
      <c r="AY309" s="1547"/>
      <c r="BA309" s="1547"/>
      <c r="BU309" s="1442"/>
      <c r="BV309" s="1442"/>
      <c r="BW309" s="1442"/>
      <c r="BX309" s="1442"/>
      <c r="BY309" s="1442"/>
      <c r="BZ309" s="1442"/>
      <c r="CA309" s="1445"/>
      <c r="DA309" s="3217"/>
      <c r="EA309" s="1123"/>
    </row>
    <row r="310" spans="1:131" ht="20.399999999999999" customHeight="1" thickTop="1" x14ac:dyDescent="0.3">
      <c r="A310" s="7663"/>
      <c r="B310" s="8693" t="s">
        <v>3149</v>
      </c>
      <c r="C310" s="8694"/>
      <c r="D310" s="3362">
        <f>SUM(E310,F310)</f>
        <v>0</v>
      </c>
      <c r="E310" s="3363">
        <f>SUM(G310,I310,K310,M310,O310,Q310,S310,U310,W310,Y310,AA310,AC310,AE310,AG310,AI310,AK310,AM310)</f>
        <v>0</v>
      </c>
      <c r="F310" s="3364">
        <f>SUM(H310,J310,L310,N310,P310,R310,T310,V310,X310,Z310,AB310,AD310,AF310,AH310,AJ310,AL310,AN310)</f>
        <v>0</v>
      </c>
      <c r="G310" s="3376">
        <f>SUM(G264,G271,G278,G290,G302,G309)</f>
        <v>0</v>
      </c>
      <c r="H310" s="3364">
        <f t="shared" ref="H310:AN310" si="22">SUM(H264,H271,H278,H290,H302,H309)</f>
        <v>0</v>
      </c>
      <c r="I310" s="3376">
        <f t="shared" si="22"/>
        <v>0</v>
      </c>
      <c r="J310" s="3364">
        <f t="shared" si="22"/>
        <v>0</v>
      </c>
      <c r="K310" s="3376">
        <f t="shared" si="22"/>
        <v>0</v>
      </c>
      <c r="L310" s="3364">
        <f t="shared" si="22"/>
        <v>0</v>
      </c>
      <c r="M310" s="3376">
        <f t="shared" si="22"/>
        <v>0</v>
      </c>
      <c r="N310" s="3364">
        <f t="shared" si="22"/>
        <v>0</v>
      </c>
      <c r="O310" s="3376">
        <f t="shared" si="22"/>
        <v>0</v>
      </c>
      <c r="P310" s="3364">
        <f t="shared" si="22"/>
        <v>0</v>
      </c>
      <c r="Q310" s="3376">
        <f t="shared" si="22"/>
        <v>0</v>
      </c>
      <c r="R310" s="3364">
        <f t="shared" si="22"/>
        <v>0</v>
      </c>
      <c r="S310" s="3376">
        <f t="shared" si="22"/>
        <v>0</v>
      </c>
      <c r="T310" s="3364">
        <f t="shared" si="22"/>
        <v>0</v>
      </c>
      <c r="U310" s="3376">
        <f t="shared" si="22"/>
        <v>0</v>
      </c>
      <c r="V310" s="3364">
        <f t="shared" si="22"/>
        <v>0</v>
      </c>
      <c r="W310" s="3376">
        <f t="shared" si="22"/>
        <v>0</v>
      </c>
      <c r="X310" s="3373">
        <f t="shared" si="22"/>
        <v>0</v>
      </c>
      <c r="Y310" s="3376">
        <f t="shared" si="22"/>
        <v>0</v>
      </c>
      <c r="Z310" s="3364">
        <f t="shared" si="22"/>
        <v>0</v>
      </c>
      <c r="AA310" s="3376">
        <f t="shared" si="22"/>
        <v>0</v>
      </c>
      <c r="AB310" s="3364">
        <f t="shared" si="22"/>
        <v>0</v>
      </c>
      <c r="AC310" s="3376">
        <f t="shared" si="22"/>
        <v>0</v>
      </c>
      <c r="AD310" s="3364">
        <f t="shared" si="22"/>
        <v>0</v>
      </c>
      <c r="AE310" s="3376">
        <f t="shared" si="22"/>
        <v>0</v>
      </c>
      <c r="AF310" s="3364">
        <f t="shared" si="22"/>
        <v>0</v>
      </c>
      <c r="AG310" s="3376">
        <f t="shared" si="22"/>
        <v>0</v>
      </c>
      <c r="AH310" s="3364">
        <f t="shared" si="22"/>
        <v>0</v>
      </c>
      <c r="AI310" s="3376">
        <f t="shared" si="22"/>
        <v>0</v>
      </c>
      <c r="AJ310" s="3364">
        <f t="shared" si="22"/>
        <v>0</v>
      </c>
      <c r="AK310" s="3376">
        <f t="shared" si="22"/>
        <v>0</v>
      </c>
      <c r="AL310" s="3364">
        <f t="shared" si="22"/>
        <v>0</v>
      </c>
      <c r="AM310" s="3376">
        <f t="shared" si="22"/>
        <v>0</v>
      </c>
      <c r="AN310" s="3377">
        <f t="shared" si="22"/>
        <v>0</v>
      </c>
      <c r="AO310" s="3378">
        <f>SUM(AO264)</f>
        <v>0</v>
      </c>
      <c r="AP310" s="3378">
        <f t="shared" ref="AP310:AX310" si="23">SUM(AP264)</f>
        <v>0</v>
      </c>
      <c r="AQ310" s="3376">
        <f t="shared" si="23"/>
        <v>0</v>
      </c>
      <c r="AR310" s="3364">
        <f t="shared" si="23"/>
        <v>0</v>
      </c>
      <c r="AS310" s="3376">
        <f>SUM(AS264)</f>
        <v>0</v>
      </c>
      <c r="AT310" s="3364">
        <f t="shared" si="23"/>
        <v>0</v>
      </c>
      <c r="AU310" s="3376">
        <f t="shared" si="23"/>
        <v>0</v>
      </c>
      <c r="AV310" s="3377">
        <f t="shared" si="23"/>
        <v>0</v>
      </c>
      <c r="AW310" s="3379">
        <f t="shared" si="23"/>
        <v>0</v>
      </c>
      <c r="AX310" s="3378">
        <f t="shared" si="23"/>
        <v>0</v>
      </c>
      <c r="AY310" s="1547"/>
      <c r="BA310" s="1547"/>
      <c r="BU310" s="1442"/>
      <c r="BV310" s="1442"/>
      <c r="BW310" s="1442"/>
      <c r="BX310" s="1442"/>
      <c r="BY310" s="1442"/>
      <c r="BZ310" s="1442"/>
      <c r="CA310" s="1445"/>
      <c r="DA310" s="3217"/>
      <c r="DB310" s="3217">
        <v>0</v>
      </c>
      <c r="DC310" s="3217">
        <v>0</v>
      </c>
      <c r="DD310" s="3217">
        <v>0</v>
      </c>
      <c r="DE310" s="3217">
        <v>0</v>
      </c>
      <c r="EA310" s="1123"/>
    </row>
    <row r="311" spans="1:131" x14ac:dyDescent="0.3">
      <c r="B311" s="2998"/>
      <c r="C311" s="2998"/>
      <c r="D311" s="2998"/>
      <c r="E311" s="2998"/>
      <c r="F311" s="2998"/>
      <c r="G311" s="2998"/>
      <c r="H311" s="2998"/>
      <c r="I311" s="2998"/>
      <c r="J311" s="2998"/>
      <c r="K311" s="2998"/>
      <c r="L311" s="2998"/>
      <c r="M311" s="2998"/>
      <c r="N311" s="2998"/>
      <c r="O311" s="2998"/>
      <c r="P311" s="2998"/>
      <c r="Q311" s="2998"/>
      <c r="R311" s="2998"/>
      <c r="S311" s="2998"/>
      <c r="T311" s="2998"/>
      <c r="U311" s="2998"/>
      <c r="V311" s="2998"/>
      <c r="W311" s="2998"/>
      <c r="X311" s="2998"/>
      <c r="Y311" s="2998"/>
      <c r="Z311" s="2998"/>
      <c r="AA311" s="3099"/>
      <c r="AB311" s="3099"/>
      <c r="AC311" s="3099"/>
      <c r="AD311" s="3099"/>
      <c r="AE311" s="3099"/>
      <c r="AF311" s="3099"/>
      <c r="AG311" s="3099"/>
      <c r="AH311" s="3099"/>
      <c r="AI311" s="3099"/>
      <c r="AJ311" s="3099"/>
      <c r="AK311" s="3099"/>
      <c r="AL311" s="3099"/>
      <c r="AM311" s="3099"/>
      <c r="AN311" s="3099"/>
    </row>
    <row r="312" spans="1:131" x14ac:dyDescent="0.3">
      <c r="A312" s="827" t="s">
        <v>4068</v>
      </c>
      <c r="B312" s="2998"/>
      <c r="C312" s="2998"/>
      <c r="D312" s="2998"/>
      <c r="E312" s="2998"/>
      <c r="F312" s="2998"/>
      <c r="G312" s="2998"/>
      <c r="H312" s="2998"/>
      <c r="I312" s="2998"/>
      <c r="J312" s="2998"/>
      <c r="K312" s="2998"/>
      <c r="L312" s="2998"/>
      <c r="M312" s="2998"/>
      <c r="N312" s="2998"/>
      <c r="O312" s="2998"/>
      <c r="P312" s="2998"/>
      <c r="Q312" s="2998"/>
      <c r="R312" s="2998"/>
      <c r="S312" s="2998"/>
      <c r="T312" s="2998"/>
      <c r="U312" s="2998"/>
      <c r="V312" s="2998"/>
      <c r="W312" s="2998"/>
      <c r="X312" s="2998"/>
      <c r="Y312" s="2998"/>
      <c r="Z312" s="2998"/>
      <c r="AA312" s="3099"/>
      <c r="AB312" s="3099"/>
      <c r="AC312" s="3099"/>
      <c r="AD312" s="3099"/>
      <c r="AE312" s="3099"/>
      <c r="AF312" s="3099"/>
      <c r="AG312" s="3099"/>
      <c r="AH312" s="3099"/>
      <c r="AI312" s="3099"/>
      <c r="AJ312" s="3099"/>
      <c r="AK312" s="3099"/>
      <c r="AL312" s="3099"/>
      <c r="AM312" s="3099"/>
      <c r="AN312" s="3099"/>
    </row>
    <row r="313" spans="1:131" x14ac:dyDescent="0.3">
      <c r="A313" s="7259" t="s">
        <v>4111</v>
      </c>
      <c r="B313" s="2998"/>
      <c r="C313" s="2998"/>
      <c r="D313" s="2998"/>
      <c r="E313" s="2998"/>
      <c r="F313" s="2998"/>
      <c r="G313" s="2998"/>
      <c r="H313" s="2998"/>
      <c r="I313" s="2998"/>
      <c r="J313" s="2998"/>
      <c r="K313" s="2998"/>
      <c r="L313" s="2998"/>
      <c r="M313" s="2998"/>
      <c r="N313" s="2998"/>
      <c r="O313" s="2998"/>
      <c r="P313" s="2998"/>
      <c r="Q313" s="2998"/>
      <c r="R313" s="2998"/>
      <c r="S313" s="2998"/>
      <c r="T313" s="2998"/>
      <c r="U313" s="2998"/>
      <c r="V313" s="2998"/>
      <c r="W313" s="2998"/>
      <c r="X313" s="2998"/>
      <c r="Y313" s="2998"/>
      <c r="Z313" s="2998"/>
      <c r="AA313" s="3099"/>
      <c r="AB313" s="3099"/>
      <c r="AC313" s="3099"/>
      <c r="AD313" s="3099"/>
      <c r="AE313" s="3099"/>
      <c r="AF313" s="3099"/>
      <c r="AG313" s="3099"/>
      <c r="AH313" s="3099"/>
      <c r="AI313" s="3099"/>
      <c r="AJ313" s="3099"/>
      <c r="AK313" s="3099"/>
      <c r="AL313" s="3099"/>
      <c r="AM313" s="3099"/>
      <c r="AN313" s="3099"/>
    </row>
    <row r="314" spans="1:131" x14ac:dyDescent="0.3">
      <c r="A314" s="7259" t="s">
        <v>4112</v>
      </c>
      <c r="B314" s="2998"/>
      <c r="C314" s="2998"/>
      <c r="D314" s="2998"/>
      <c r="E314" s="2998"/>
      <c r="F314" s="2998"/>
      <c r="G314" s="2998"/>
      <c r="H314" s="2998"/>
      <c r="I314" s="2998"/>
      <c r="J314" s="2998"/>
      <c r="K314" s="2998"/>
      <c r="L314" s="2998"/>
      <c r="M314" s="2998"/>
      <c r="N314" s="2998"/>
      <c r="O314" s="2998"/>
      <c r="P314" s="2998"/>
      <c r="Q314" s="2998"/>
      <c r="R314" s="2998"/>
      <c r="S314" s="2998"/>
      <c r="T314" s="2998"/>
      <c r="U314" s="2998"/>
      <c r="V314" s="2998"/>
      <c r="W314" s="2998"/>
      <c r="X314" s="2998"/>
      <c r="Y314" s="2998"/>
      <c r="Z314" s="2998"/>
      <c r="AA314" s="3099"/>
      <c r="AB314" s="3099"/>
      <c r="AC314" s="3099"/>
      <c r="AD314" s="3099"/>
      <c r="AE314" s="3099"/>
      <c r="AF314" s="3099"/>
      <c r="AG314" s="3099"/>
      <c r="AH314" s="3099"/>
      <c r="AI314" s="3099"/>
      <c r="AJ314" s="3099"/>
      <c r="AK314" s="3099"/>
      <c r="AL314" s="3099"/>
      <c r="AM314" s="3099"/>
      <c r="AN314" s="3099"/>
    </row>
    <row r="315" spans="1:131" x14ac:dyDescent="0.3">
      <c r="A315" s="7259" t="s">
        <v>4113</v>
      </c>
    </row>
    <row r="316" spans="1:131" x14ac:dyDescent="0.3">
      <c r="A316" s="7259" t="s">
        <v>4195</v>
      </c>
    </row>
    <row r="317" spans="1:131" x14ac:dyDescent="0.3">
      <c r="A317" s="7259" t="s">
        <v>4196</v>
      </c>
    </row>
    <row r="318" spans="1:131" x14ac:dyDescent="0.3">
      <c r="A318" s="7259" t="s">
        <v>4202</v>
      </c>
    </row>
    <row r="319" spans="1:131" x14ac:dyDescent="0.3">
      <c r="A319" s="7259" t="s">
        <v>4203</v>
      </c>
    </row>
    <row r="320" spans="1:131" x14ac:dyDescent="0.3">
      <c r="A320" s="7259" t="s">
        <v>4204</v>
      </c>
    </row>
    <row r="321" spans="1:1" x14ac:dyDescent="0.3">
      <c r="A321" s="7259" t="s">
        <v>4205</v>
      </c>
    </row>
    <row r="322" spans="1:1" x14ac:dyDescent="0.3">
      <c r="A322" s="7259" t="s">
        <v>4206</v>
      </c>
    </row>
    <row r="323" spans="1:1" x14ac:dyDescent="0.3">
      <c r="A323" s="7259" t="s">
        <v>4207</v>
      </c>
    </row>
    <row r="324" spans="1:1" x14ac:dyDescent="0.3">
      <c r="A324" s="7259" t="s">
        <v>4208</v>
      </c>
    </row>
    <row r="325" spans="1:1" x14ac:dyDescent="0.3">
      <c r="A325" s="7259" t="s">
        <v>4209</v>
      </c>
    </row>
    <row r="326" spans="1:1" x14ac:dyDescent="0.3">
      <c r="A326" s="7259" t="s">
        <v>4215</v>
      </c>
    </row>
    <row r="327" spans="1:1" x14ac:dyDescent="0.3">
      <c r="A327" s="7259" t="s">
        <v>4216</v>
      </c>
    </row>
    <row r="328" spans="1:1" x14ac:dyDescent="0.3">
      <c r="A328" s="7259" t="s">
        <v>4217</v>
      </c>
    </row>
    <row r="329" spans="1:1" x14ac:dyDescent="0.3">
      <c r="A329" s="7259" t="s">
        <v>4218</v>
      </c>
    </row>
    <row r="330" spans="1:1" x14ac:dyDescent="0.3">
      <c r="A330" s="7259" t="s">
        <v>4219</v>
      </c>
    </row>
    <row r="331" spans="1:1" x14ac:dyDescent="0.3">
      <c r="A331" s="7259" t="s">
        <v>4220</v>
      </c>
    </row>
    <row r="332" spans="1:1" x14ac:dyDescent="0.3">
      <c r="A332" s="7259" t="s">
        <v>4221</v>
      </c>
    </row>
    <row r="333" spans="1:1" x14ac:dyDescent="0.3">
      <c r="A333" s="7259" t="s">
        <v>4222</v>
      </c>
    </row>
    <row r="334" spans="1:1" x14ac:dyDescent="0.3">
      <c r="A334" s="7259" t="s">
        <v>4223</v>
      </c>
    </row>
    <row r="335" spans="1:1" x14ac:dyDescent="0.3">
      <c r="A335" s="7259" t="s">
        <v>4224</v>
      </c>
    </row>
    <row r="336" spans="1:1" x14ac:dyDescent="0.3">
      <c r="A336" s="7259" t="s">
        <v>4225</v>
      </c>
    </row>
    <row r="337" spans="1:51" x14ac:dyDescent="0.3">
      <c r="A337" s="7259" t="s">
        <v>4226</v>
      </c>
    </row>
    <row r="338" spans="1:51" x14ac:dyDescent="0.3">
      <c r="A338" s="7259" t="s">
        <v>4227</v>
      </c>
    </row>
    <row r="339" spans="1:51" x14ac:dyDescent="0.3">
      <c r="A339" s="7259" t="s">
        <v>4228</v>
      </c>
    </row>
    <row r="340" spans="1:51" x14ac:dyDescent="0.3">
      <c r="A340" s="7259" t="s">
        <v>4229</v>
      </c>
    </row>
    <row r="341" spans="1:51" x14ac:dyDescent="0.3">
      <c r="A341" s="7259" t="s">
        <v>4230</v>
      </c>
    </row>
    <row r="342" spans="1:51" x14ac:dyDescent="0.3">
      <c r="A342" s="7259" t="s">
        <v>4231</v>
      </c>
    </row>
    <row r="343" spans="1:51" x14ac:dyDescent="0.3">
      <c r="A343" s="7259" t="s">
        <v>4232</v>
      </c>
    </row>
    <row r="344" spans="1:51" x14ac:dyDescent="0.3">
      <c r="A344" s="7259" t="s">
        <v>4233</v>
      </c>
    </row>
    <row r="345" spans="1:51" x14ac:dyDescent="0.3">
      <c r="A345" s="7259" t="s">
        <v>4234</v>
      </c>
    </row>
    <row r="346" spans="1:51" x14ac:dyDescent="0.3">
      <c r="A346" s="7259" t="s">
        <v>4235</v>
      </c>
      <c r="B346" s="1568">
        <f>SUM(G12:Z14,G19:S40,F45:Q48,F54:I56,F60:J66,C79:C82,C86:E86,D89:F92,G97:J101,G108:R115,G120:AB149,G151:AB160,G166:AN171,G176:P181,G186:R188,G195:R196,G204:T205,G211:X211,D215:E224)</f>
        <v>0</v>
      </c>
      <c r="C346" s="1568">
        <f>SUM(DB12:EA310)</f>
        <v>20</v>
      </c>
      <c r="D346" s="1568"/>
      <c r="E346" s="1568"/>
      <c r="F346" s="1568"/>
      <c r="G346" s="1568"/>
      <c r="H346" s="1568"/>
      <c r="I346" s="1568"/>
      <c r="J346" s="1568"/>
      <c r="K346" s="1568"/>
      <c r="L346" s="1568"/>
      <c r="M346" s="1568"/>
      <c r="N346" s="1568"/>
      <c r="O346" s="1568"/>
      <c r="P346" s="1568"/>
      <c r="Q346" s="1568"/>
      <c r="R346" s="1568"/>
      <c r="S346" s="1568"/>
      <c r="T346" s="1568"/>
      <c r="U346" s="1568"/>
      <c r="V346" s="1568"/>
      <c r="W346" s="1568"/>
      <c r="X346" s="1568"/>
      <c r="Y346" s="1568"/>
      <c r="Z346" s="1568"/>
      <c r="AA346" s="1568"/>
      <c r="AB346" s="1568"/>
      <c r="AC346" s="1568"/>
      <c r="AD346" s="1568"/>
      <c r="AE346" s="1568"/>
      <c r="AF346" s="1568"/>
      <c r="AG346" s="1568"/>
      <c r="AH346" s="1568"/>
      <c r="AI346" s="1568"/>
      <c r="AJ346" s="1568"/>
      <c r="AK346" s="1568"/>
      <c r="AL346" s="1568"/>
      <c r="AM346" s="1568"/>
      <c r="AN346" s="1568"/>
      <c r="AO346" s="1568"/>
      <c r="AP346" s="1568"/>
      <c r="AQ346" s="1568"/>
      <c r="AR346" s="1568"/>
      <c r="AS346" s="1568"/>
      <c r="AT346" s="1568"/>
      <c r="AU346" s="1568"/>
      <c r="AV346" s="1568"/>
      <c r="AW346" s="1568"/>
      <c r="AX346" s="1568"/>
      <c r="AY346" s="1568"/>
    </row>
    <row r="347" spans="1:51" x14ac:dyDescent="0.3">
      <c r="A347" s="7259" t="s">
        <v>4236</v>
      </c>
    </row>
    <row r="348" spans="1:51" x14ac:dyDescent="0.3">
      <c r="A348" s="7259" t="s">
        <v>4237</v>
      </c>
    </row>
    <row r="349" spans="1:51" x14ac:dyDescent="0.3">
      <c r="A349" s="7259" t="s">
        <v>4238</v>
      </c>
    </row>
    <row r="350" spans="1:51" x14ac:dyDescent="0.3">
      <c r="A350" s="7259" t="s">
        <v>4239</v>
      </c>
    </row>
    <row r="351" spans="1:51" x14ac:dyDescent="0.3">
      <c r="A351" s="7259" t="s">
        <v>4240</v>
      </c>
    </row>
    <row r="352" spans="1:51" x14ac:dyDescent="0.3">
      <c r="A352" s="7259" t="s">
        <v>4241</v>
      </c>
    </row>
    <row r="353" spans="1:1" x14ac:dyDescent="0.3">
      <c r="A353" s="7259" t="s">
        <v>4242</v>
      </c>
    </row>
    <row r="354" spans="1:1" x14ac:dyDescent="0.3">
      <c r="A354" s="7259" t="s">
        <v>4243</v>
      </c>
    </row>
    <row r="355" spans="1:1" x14ac:dyDescent="0.3">
      <c r="A355" s="7259" t="s">
        <v>4244</v>
      </c>
    </row>
    <row r="356" spans="1:1" x14ac:dyDescent="0.3">
      <c r="A356" s="7259" t="s">
        <v>4245</v>
      </c>
    </row>
    <row r="357" spans="1:1" x14ac:dyDescent="0.3">
      <c r="A357" s="7259" t="s">
        <v>4246</v>
      </c>
    </row>
    <row r="358" spans="1:1" x14ac:dyDescent="0.3">
      <c r="A358" s="7259" t="s">
        <v>4247</v>
      </c>
    </row>
    <row r="359" spans="1:1" x14ac:dyDescent="0.3">
      <c r="A359" s="7259" t="s">
        <v>4248</v>
      </c>
    </row>
    <row r="360" spans="1:1" x14ac:dyDescent="0.3">
      <c r="A360" s="7259" t="s">
        <v>4249</v>
      </c>
    </row>
    <row r="361" spans="1:1" x14ac:dyDescent="0.3">
      <c r="A361" s="7259" t="s">
        <v>4250</v>
      </c>
    </row>
    <row r="362" spans="1:1" x14ac:dyDescent="0.3">
      <c r="A362" s="7259" t="s">
        <v>4251</v>
      </c>
    </row>
    <row r="363" spans="1:1" x14ac:dyDescent="0.3">
      <c r="A363" s="7259" t="s">
        <v>4252</v>
      </c>
    </row>
    <row r="364" spans="1:1" x14ac:dyDescent="0.3">
      <c r="A364" s="7259" t="s">
        <v>4253</v>
      </c>
    </row>
    <row r="365" spans="1:1" x14ac:dyDescent="0.3">
      <c r="A365" s="7259" t="s">
        <v>4254</v>
      </c>
    </row>
    <row r="366" spans="1:1" x14ac:dyDescent="0.3">
      <c r="A366" s="7259" t="s">
        <v>4255</v>
      </c>
    </row>
    <row r="367" spans="1:1" x14ac:dyDescent="0.3">
      <c r="A367" s="7259" t="s">
        <v>4256</v>
      </c>
    </row>
    <row r="368" spans="1:1" x14ac:dyDescent="0.3">
      <c r="A368" s="7259" t="s">
        <v>4257</v>
      </c>
    </row>
    <row r="369" spans="1:1" x14ac:dyDescent="0.3">
      <c r="A369" s="7259" t="s">
        <v>4258</v>
      </c>
    </row>
    <row r="370" spans="1:1" x14ac:dyDescent="0.3">
      <c r="A370" s="7259" t="s">
        <v>4259</v>
      </c>
    </row>
    <row r="371" spans="1:1" x14ac:dyDescent="0.3">
      <c r="A371" s="7259" t="s">
        <v>4260</v>
      </c>
    </row>
    <row r="372" spans="1:1" x14ac:dyDescent="0.3">
      <c r="A372" s="7259" t="s">
        <v>4261</v>
      </c>
    </row>
    <row r="373" spans="1:1" x14ac:dyDescent="0.3">
      <c r="A373" s="7259" t="s">
        <v>4262</v>
      </c>
    </row>
    <row r="374" spans="1:1" x14ac:dyDescent="0.3">
      <c r="A374" s="7259" t="s">
        <v>4263</v>
      </c>
    </row>
    <row r="375" spans="1:1" x14ac:dyDescent="0.3">
      <c r="A375" s="7259" t="s">
        <v>4264</v>
      </c>
    </row>
    <row r="376" spans="1:1" x14ac:dyDescent="0.3">
      <c r="A376" s="7259" t="s">
        <v>4265</v>
      </c>
    </row>
    <row r="377" spans="1:1" x14ac:dyDescent="0.3">
      <c r="A377" s="7259" t="s">
        <v>4266</v>
      </c>
    </row>
    <row r="378" spans="1:1" x14ac:dyDescent="0.3">
      <c r="A378" s="7259" t="s">
        <v>4267</v>
      </c>
    </row>
    <row r="379" spans="1:1" x14ac:dyDescent="0.3">
      <c r="A379" s="7259" t="s">
        <v>4268</v>
      </c>
    </row>
    <row r="380" spans="1:1" x14ac:dyDescent="0.3">
      <c r="A380" s="7259" t="s">
        <v>4269</v>
      </c>
    </row>
    <row r="381" spans="1:1" x14ac:dyDescent="0.3">
      <c r="A381" s="7259" t="s">
        <v>4270</v>
      </c>
    </row>
    <row r="382" spans="1:1" x14ac:dyDescent="0.3">
      <c r="A382" s="7259" t="s">
        <v>4271</v>
      </c>
    </row>
    <row r="383" spans="1:1" x14ac:dyDescent="0.3">
      <c r="A383" s="7259" t="s">
        <v>4272</v>
      </c>
    </row>
    <row r="385" spans="1:1" x14ac:dyDescent="0.3">
      <c r="A385" s="827" t="s">
        <v>4069</v>
      </c>
    </row>
    <row r="386" spans="1:1" x14ac:dyDescent="0.3">
      <c r="A386" s="7661" t="s">
        <v>5087</v>
      </c>
    </row>
    <row r="387" spans="1:1" x14ac:dyDescent="0.3">
      <c r="A387" s="7661" t="s">
        <v>5088</v>
      </c>
    </row>
  </sheetData>
  <protectedRanges>
    <protectedRange sqref="G303:AN308" name="Rango6"/>
    <protectedRange sqref="G279:AN289" name="Rango4"/>
    <protectedRange sqref="G265:AN270" name="Rango2_1"/>
    <protectedRange sqref="G262:AN263 AQ262:AX263" name="Rango1_1"/>
    <protectedRange sqref="G272:AN277" name="Rango3_1"/>
    <protectedRange sqref="G291:AN301" name="Rango5"/>
  </protectedRanges>
  <mergeCells count="313">
    <mergeCell ref="W209:W210"/>
    <mergeCell ref="I209:J209"/>
    <mergeCell ref="K209:L209"/>
    <mergeCell ref="D94:F94"/>
    <mergeCell ref="G94:H94"/>
    <mergeCell ref="L68:M68"/>
    <mergeCell ref="L69:L70"/>
    <mergeCell ref="M69:M70"/>
    <mergeCell ref="B68:B70"/>
    <mergeCell ref="C68:E69"/>
    <mergeCell ref="F68:I68"/>
    <mergeCell ref="F69:G69"/>
    <mergeCell ref="H69:I69"/>
    <mergeCell ref="J68:K68"/>
    <mergeCell ref="J69:J70"/>
    <mergeCell ref="K69:K70"/>
    <mergeCell ref="G208:P208"/>
    <mergeCell ref="Q208:R209"/>
    <mergeCell ref="S208:T209"/>
    <mergeCell ref="I202:J202"/>
    <mergeCell ref="K202:L202"/>
    <mergeCell ref="O209:P209"/>
    <mergeCell ref="S202:T202"/>
    <mergeCell ref="U209:U210"/>
    <mergeCell ref="V209:V210"/>
    <mergeCell ref="B24:B35"/>
    <mergeCell ref="B36:B37"/>
    <mergeCell ref="B38:B40"/>
    <mergeCell ref="B16:B18"/>
    <mergeCell ref="C16:C18"/>
    <mergeCell ref="D16:F17"/>
    <mergeCell ref="G16:R16"/>
    <mergeCell ref="M17:N17"/>
    <mergeCell ref="O17:P17"/>
    <mergeCell ref="Q17:R17"/>
    <mergeCell ref="K58:K59"/>
    <mergeCell ref="L58:L59"/>
    <mergeCell ref="B88:C88"/>
    <mergeCell ref="B89:B90"/>
    <mergeCell ref="B58:C59"/>
    <mergeCell ref="B64:C64"/>
    <mergeCell ref="B91:B92"/>
    <mergeCell ref="B60:C60"/>
    <mergeCell ref="B61:C61"/>
    <mergeCell ref="B65:C65"/>
    <mergeCell ref="B62:C62"/>
    <mergeCell ref="B63:C63"/>
    <mergeCell ref="B76:B77"/>
    <mergeCell ref="B42:B44"/>
    <mergeCell ref="B50:B52"/>
    <mergeCell ref="Y10:Z10"/>
    <mergeCell ref="B12:C12"/>
    <mergeCell ref="B13:B14"/>
    <mergeCell ref="B9:C11"/>
    <mergeCell ref="D9:F10"/>
    <mergeCell ref="G9:Z9"/>
    <mergeCell ref="G10:H10"/>
    <mergeCell ref="B19:C19"/>
    <mergeCell ref="B20:B23"/>
    <mergeCell ref="U10:V10"/>
    <mergeCell ref="W10:X10"/>
    <mergeCell ref="S16:S18"/>
    <mergeCell ref="I10:J10"/>
    <mergeCell ref="K10:L10"/>
    <mergeCell ref="M10:N10"/>
    <mergeCell ref="G17:H17"/>
    <mergeCell ref="I17:J17"/>
    <mergeCell ref="K17:L17"/>
    <mergeCell ref="C50:E51"/>
    <mergeCell ref="F50:I50"/>
    <mergeCell ref="F51:G51"/>
    <mergeCell ref="H51:I51"/>
    <mergeCell ref="C42:E43"/>
    <mergeCell ref="F42:Q42"/>
    <mergeCell ref="F43:G43"/>
    <mergeCell ref="H43:I43"/>
    <mergeCell ref="J43:K43"/>
    <mergeCell ref="L43:M43"/>
    <mergeCell ref="G117:AB117"/>
    <mergeCell ref="K118:L118"/>
    <mergeCell ref="D58:D59"/>
    <mergeCell ref="M118:N118"/>
    <mergeCell ref="G118:H118"/>
    <mergeCell ref="AA118:AB118"/>
    <mergeCell ref="S118:T118"/>
    <mergeCell ref="B98:C98"/>
    <mergeCell ref="B97:C97"/>
    <mergeCell ref="B94:C95"/>
    <mergeCell ref="B96:C96"/>
    <mergeCell ref="B103:R103"/>
    <mergeCell ref="B104:C106"/>
    <mergeCell ref="D104:F105"/>
    <mergeCell ref="G105:H105"/>
    <mergeCell ref="K105:L105"/>
    <mergeCell ref="M105:N105"/>
    <mergeCell ref="O105:P105"/>
    <mergeCell ref="Q105:R105"/>
    <mergeCell ref="B107:C107"/>
    <mergeCell ref="I94:J94"/>
    <mergeCell ref="C76:C77"/>
    <mergeCell ref="E58:J58"/>
    <mergeCell ref="B66:C66"/>
    <mergeCell ref="B6:Z6"/>
    <mergeCell ref="O174:P174"/>
    <mergeCell ref="B176:B178"/>
    <mergeCell ref="S164:T164"/>
    <mergeCell ref="U164:V164"/>
    <mergeCell ref="W164:X164"/>
    <mergeCell ref="Y164:Z164"/>
    <mergeCell ref="B108:C108"/>
    <mergeCell ref="B109:C109"/>
    <mergeCell ref="C173:C175"/>
    <mergeCell ref="D173:F174"/>
    <mergeCell ref="M164:N164"/>
    <mergeCell ref="B166:B168"/>
    <mergeCell ref="B169:B171"/>
    <mergeCell ref="G174:H174"/>
    <mergeCell ref="I174:J174"/>
    <mergeCell ref="K174:L174"/>
    <mergeCell ref="I105:J105"/>
    <mergeCell ref="B179:B181"/>
    <mergeCell ref="B182:P182"/>
    <mergeCell ref="B163:C165"/>
    <mergeCell ref="D163:F164"/>
    <mergeCell ref="G164:H164"/>
    <mergeCell ref="K164:L164"/>
    <mergeCell ref="G163:AN163"/>
    <mergeCell ref="I164:J164"/>
    <mergeCell ref="O164:P164"/>
    <mergeCell ref="Q164:R164"/>
    <mergeCell ref="M174:N174"/>
    <mergeCell ref="AI164:AJ164"/>
    <mergeCell ref="AK164:AL164"/>
    <mergeCell ref="AM164:AN164"/>
    <mergeCell ref="AA164:AB164"/>
    <mergeCell ref="AC164:AD164"/>
    <mergeCell ref="X209:X210"/>
    <mergeCell ref="U208:X208"/>
    <mergeCell ref="B206:C206"/>
    <mergeCell ref="Q193:R193"/>
    <mergeCell ref="B99:C99"/>
    <mergeCell ref="B101:C101"/>
    <mergeCell ref="B112:C112"/>
    <mergeCell ref="B113:B115"/>
    <mergeCell ref="G193:H193"/>
    <mergeCell ref="O193:P193"/>
    <mergeCell ref="B173:B175"/>
    <mergeCell ref="B196:C196"/>
    <mergeCell ref="G184:H184"/>
    <mergeCell ref="B195:C195"/>
    <mergeCell ref="G173:P173"/>
    <mergeCell ref="G201:AD201"/>
    <mergeCell ref="B100:C100"/>
    <mergeCell ref="B111:C111"/>
    <mergeCell ref="G104:V104"/>
    <mergeCell ref="I118:J118"/>
    <mergeCell ref="B110:C110"/>
    <mergeCell ref="B161:C161"/>
    <mergeCell ref="B201:C203"/>
    <mergeCell ref="B183:C185"/>
    <mergeCell ref="U118:V118"/>
    <mergeCell ref="B156:B160"/>
    <mergeCell ref="B135:B139"/>
    <mergeCell ref="B140:B144"/>
    <mergeCell ref="B125:B129"/>
    <mergeCell ref="B130:B134"/>
    <mergeCell ref="B120:B124"/>
    <mergeCell ref="B145:B149"/>
    <mergeCell ref="B150:C150"/>
    <mergeCell ref="B151:B155"/>
    <mergeCell ref="O118:P118"/>
    <mergeCell ref="Q118:R118"/>
    <mergeCell ref="B117:B119"/>
    <mergeCell ref="C117:C119"/>
    <mergeCell ref="D117:F118"/>
    <mergeCell ref="B232:C232"/>
    <mergeCell ref="B233:C233"/>
    <mergeCell ref="O202:P202"/>
    <mergeCell ref="Q202:R202"/>
    <mergeCell ref="M209:N209"/>
    <mergeCell ref="B215:C215"/>
    <mergeCell ref="B211:C211"/>
    <mergeCell ref="M202:N202"/>
    <mergeCell ref="B226:C228"/>
    <mergeCell ref="D226:F226"/>
    <mergeCell ref="D227:D228"/>
    <mergeCell ref="E227:F227"/>
    <mergeCell ref="F213:F214"/>
    <mergeCell ref="G213:G214"/>
    <mergeCell ref="B229:C229"/>
    <mergeCell ref="B230:C230"/>
    <mergeCell ref="B231:C231"/>
    <mergeCell ref="D201:F202"/>
    <mergeCell ref="G202:H202"/>
    <mergeCell ref="B208:C210"/>
    <mergeCell ref="D208:F209"/>
    <mergeCell ref="G209:H209"/>
    <mergeCell ref="B204:B205"/>
    <mergeCell ref="B222:B224"/>
    <mergeCell ref="AI201:AI203"/>
    <mergeCell ref="AJ201:AJ203"/>
    <mergeCell ref="AG164:AH164"/>
    <mergeCell ref="S105:T105"/>
    <mergeCell ref="U105:V105"/>
    <mergeCell ref="O10:P10"/>
    <mergeCell ref="Q10:R10"/>
    <mergeCell ref="S10:T10"/>
    <mergeCell ref="N43:O43"/>
    <mergeCell ref="P43:Q43"/>
    <mergeCell ref="T16:T18"/>
    <mergeCell ref="B102:Q102"/>
    <mergeCell ref="AE201:AF202"/>
    <mergeCell ref="U202:V202"/>
    <mergeCell ref="W202:X202"/>
    <mergeCell ref="Y202:Z202"/>
    <mergeCell ref="AA202:AB202"/>
    <mergeCell ref="AC202:AD202"/>
    <mergeCell ref="AE164:AF164"/>
    <mergeCell ref="W118:X118"/>
    <mergeCell ref="Y118:Z118"/>
    <mergeCell ref="B199:C199"/>
    <mergeCell ref="B189:C189"/>
    <mergeCell ref="AG201:AH202"/>
    <mergeCell ref="B217:C217"/>
    <mergeCell ref="B218:B221"/>
    <mergeCell ref="I193:J193"/>
    <mergeCell ref="B192:C194"/>
    <mergeCell ref="D183:F184"/>
    <mergeCell ref="B186:C186"/>
    <mergeCell ref="B187:C187"/>
    <mergeCell ref="G183:R183"/>
    <mergeCell ref="B188:C188"/>
    <mergeCell ref="I184:J184"/>
    <mergeCell ref="K184:L184"/>
    <mergeCell ref="K193:L193"/>
    <mergeCell ref="Q184:R184"/>
    <mergeCell ref="M193:N193"/>
    <mergeCell ref="M184:N184"/>
    <mergeCell ref="O184:P184"/>
    <mergeCell ref="B198:C198"/>
    <mergeCell ref="B197:C197"/>
    <mergeCell ref="B216:C216"/>
    <mergeCell ref="B213:C214"/>
    <mergeCell ref="D213:E213"/>
    <mergeCell ref="D192:F193"/>
    <mergeCell ref="G192:R192"/>
    <mergeCell ref="AW259:AW261"/>
    <mergeCell ref="AX259:AX261"/>
    <mergeCell ref="G260:H260"/>
    <mergeCell ref="I260:J260"/>
    <mergeCell ref="K260:L260"/>
    <mergeCell ref="M260:N260"/>
    <mergeCell ref="O260:P260"/>
    <mergeCell ref="Q260:R260"/>
    <mergeCell ref="S260:T260"/>
    <mergeCell ref="U260:V260"/>
    <mergeCell ref="W260:X260"/>
    <mergeCell ref="Y260:Z260"/>
    <mergeCell ref="AA260:AB260"/>
    <mergeCell ref="AC260:AD260"/>
    <mergeCell ref="AE260:AF260"/>
    <mergeCell ref="AG260:AH260"/>
    <mergeCell ref="AI260:AJ260"/>
    <mergeCell ref="AK260:AL260"/>
    <mergeCell ref="B291:B302"/>
    <mergeCell ref="B303:B309"/>
    <mergeCell ref="B310:C310"/>
    <mergeCell ref="AM260:AN260"/>
    <mergeCell ref="AO260:AP260"/>
    <mergeCell ref="AQ260:AR260"/>
    <mergeCell ref="AS260:AT260"/>
    <mergeCell ref="AU260:AV260"/>
    <mergeCell ref="B262:B264"/>
    <mergeCell ref="B265:B271"/>
    <mergeCell ref="B272:B278"/>
    <mergeCell ref="B279:B290"/>
    <mergeCell ref="B259:B261"/>
    <mergeCell ref="C259:C261"/>
    <mergeCell ref="D259:F260"/>
    <mergeCell ref="G259:AN259"/>
    <mergeCell ref="AO259:AV259"/>
    <mergeCell ref="B255:B257"/>
    <mergeCell ref="D235:F236"/>
    <mergeCell ref="G235:Z235"/>
    <mergeCell ref="G236:H236"/>
    <mergeCell ref="I236:J236"/>
    <mergeCell ref="K236:L236"/>
    <mergeCell ref="M236:N236"/>
    <mergeCell ref="O236:P236"/>
    <mergeCell ref="Q236:R236"/>
    <mergeCell ref="S236:T236"/>
    <mergeCell ref="U236:V236"/>
    <mergeCell ref="W236:X236"/>
    <mergeCell ref="Y236:Z236"/>
    <mergeCell ref="B245:B247"/>
    <mergeCell ref="B249:C251"/>
    <mergeCell ref="D249:F250"/>
    <mergeCell ref="G249:P249"/>
    <mergeCell ref="G250:H250"/>
    <mergeCell ref="I250:J250"/>
    <mergeCell ref="K250:L250"/>
    <mergeCell ref="M250:N250"/>
    <mergeCell ref="O250:P250"/>
    <mergeCell ref="B252:B254"/>
    <mergeCell ref="B234:N234"/>
    <mergeCell ref="B238:C238"/>
    <mergeCell ref="B239:C239"/>
    <mergeCell ref="B240:C240"/>
    <mergeCell ref="B241:C241"/>
    <mergeCell ref="B242:C242"/>
    <mergeCell ref="B243:C243"/>
    <mergeCell ref="B244:C244"/>
    <mergeCell ref="B235:C237"/>
  </mergeCells>
  <phoneticPr fontId="44" type="noConversion"/>
  <conditionalFormatting sqref="A386:A387">
    <cfRule type="duplicateValues" dxfId="22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/>
  <dimension ref="A1:EB186"/>
  <sheetViews>
    <sheetView showGridLines="0" zoomScaleNormal="100" workbookViewId="0"/>
  </sheetViews>
  <sheetFormatPr baseColWidth="10" defaultColWidth="11.44140625" defaultRowHeight="13.8" x14ac:dyDescent="0.25"/>
  <cols>
    <col min="1" max="1" width="15.44140625" style="165" customWidth="1"/>
    <col min="2" max="2" width="45.6640625" style="165" customWidth="1"/>
    <col min="3" max="3" width="31.5546875" style="165" customWidth="1"/>
    <col min="4" max="5" width="16.33203125" style="165" customWidth="1"/>
    <col min="6" max="6" width="17.88671875" style="165" customWidth="1"/>
    <col min="7" max="7" width="15.33203125" style="165" customWidth="1"/>
    <col min="8" max="8" width="12.33203125" style="165" customWidth="1"/>
    <col min="9" max="9" width="13.44140625" style="165" customWidth="1"/>
    <col min="10" max="10" width="13.33203125" style="165" customWidth="1"/>
    <col min="11" max="11" width="12.44140625" style="165" customWidth="1"/>
    <col min="12" max="12" width="13.33203125" style="165" customWidth="1"/>
    <col min="13" max="13" width="11.44140625" style="165"/>
    <col min="14" max="14" width="11.88671875" style="165" customWidth="1"/>
    <col min="15" max="15" width="13.88671875" style="165" customWidth="1"/>
    <col min="16" max="16" width="13.44140625" style="165" customWidth="1"/>
    <col min="17" max="17" width="11.44140625" style="165"/>
    <col min="18" max="18" width="11.44140625" style="165" customWidth="1"/>
    <col min="19" max="19" width="11.44140625" style="165"/>
    <col min="20" max="20" width="13.5546875" style="165" customWidth="1"/>
    <col min="21" max="41" width="11.44140625" style="165"/>
    <col min="42" max="42" width="11.33203125" style="165" customWidth="1"/>
    <col min="43" max="43" width="12" style="165" customWidth="1"/>
    <col min="44" max="74" width="11.44140625" style="165"/>
    <col min="75" max="76" width="11.44140625" style="290"/>
    <col min="77" max="77" width="11.33203125" style="290" customWidth="1"/>
    <col min="78" max="78" width="11.88671875" style="290" customWidth="1"/>
    <col min="79" max="79" width="10.88671875" style="290" customWidth="1"/>
    <col min="80" max="104" width="10.88671875" style="1429" customWidth="1"/>
    <col min="105" max="105" width="6.44140625" style="1429" customWidth="1"/>
    <col min="106" max="106" width="10.88671875" style="3219" customWidth="1"/>
    <col min="107" max="131" width="11.44140625" style="3219" customWidth="1"/>
    <col min="132" max="16384" width="11.44140625" style="165"/>
  </cols>
  <sheetData>
    <row r="1" spans="1:115" ht="16.350000000000001" customHeight="1" x14ac:dyDescent="0.25">
      <c r="B1" s="150" t="s">
        <v>207</v>
      </c>
    </row>
    <row r="2" spans="1:115" ht="16.350000000000001" customHeight="1" x14ac:dyDescent="0.25">
      <c r="B2" s="150" t="str">
        <f>CONCATENATE("COMUNA: ",NOMBRE!B2," - ","( ",NOMBRE!C2,NOMBRE!D2,NOMBRE!E2,NOMBRE!F2,NOMBRE!G2," )")</f>
        <v>COMUNA:  - (  )</v>
      </c>
    </row>
    <row r="3" spans="1:115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</row>
    <row r="4" spans="1:115" ht="16.350000000000001" customHeight="1" x14ac:dyDescent="0.25">
      <c r="B4" s="150" t="str">
        <f>CONCATENATE("MES: ",NOMBRE!B6," - ","( ",NOMBRE!C6,NOMBRE!D6," )")</f>
        <v>MES:  - (  )</v>
      </c>
    </row>
    <row r="5" spans="1:115" ht="16.350000000000001" customHeight="1" x14ac:dyDescent="0.25">
      <c r="B5" s="150" t="str">
        <f>CONCATENATE("AÑO: ",NOMBRE!B7)</f>
        <v>AÑO: 2023</v>
      </c>
    </row>
    <row r="6" spans="1:115" ht="16.2" x14ac:dyDescent="0.25">
      <c r="B6" s="8629" t="s">
        <v>541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8629"/>
      <c r="P6" s="8629"/>
      <c r="Q6" s="8629"/>
      <c r="R6" s="8629"/>
      <c r="S6" s="8629"/>
      <c r="T6" s="8629"/>
      <c r="U6" s="8629"/>
      <c r="V6" s="8629"/>
      <c r="W6" s="8629"/>
      <c r="X6" s="8629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</row>
    <row r="7" spans="1:115" ht="16.2" x14ac:dyDescent="0.25">
      <c r="B7" s="1096"/>
      <c r="C7" s="1096"/>
      <c r="D7" s="1096"/>
      <c r="E7" s="1096"/>
      <c r="F7" s="1096"/>
      <c r="G7" s="1096"/>
      <c r="H7" s="1096"/>
      <c r="I7" s="1096"/>
      <c r="J7" s="1096"/>
      <c r="K7" s="1096"/>
      <c r="L7" s="1096"/>
      <c r="M7" s="1096"/>
      <c r="N7" s="1096"/>
      <c r="O7" s="1096"/>
      <c r="P7" s="1096"/>
      <c r="Q7" s="1096"/>
      <c r="R7" s="1096"/>
      <c r="S7" s="1096"/>
      <c r="T7" s="1096"/>
      <c r="U7" s="1096"/>
      <c r="V7" s="1096"/>
      <c r="W7" s="1096"/>
      <c r="X7" s="1096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290"/>
      <c r="AU7" s="290"/>
      <c r="AV7" s="290"/>
      <c r="AW7" s="290"/>
      <c r="AX7" s="290"/>
      <c r="AY7" s="290"/>
      <c r="AZ7" s="290"/>
      <c r="BA7" s="290"/>
      <c r="BB7" s="290"/>
      <c r="BC7" s="290"/>
      <c r="BD7" s="290"/>
      <c r="BE7" s="290"/>
      <c r="BF7" s="290"/>
      <c r="BG7" s="290"/>
      <c r="BH7" s="290"/>
    </row>
    <row r="8" spans="1:115" ht="31.35" customHeight="1" x14ac:dyDescent="0.25">
      <c r="B8" s="133" t="s">
        <v>542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150"/>
      <c r="AA8" s="15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290"/>
      <c r="AU8" s="290"/>
      <c r="AV8" s="290"/>
      <c r="AW8" s="290"/>
      <c r="AX8" s="290"/>
      <c r="AY8" s="290"/>
      <c r="AZ8" s="290"/>
      <c r="BA8" s="290"/>
      <c r="BB8" s="290"/>
      <c r="BC8" s="290"/>
      <c r="BD8" s="290"/>
      <c r="BE8" s="290"/>
      <c r="BF8" s="290"/>
      <c r="BG8" s="290"/>
      <c r="BH8" s="290"/>
    </row>
    <row r="9" spans="1:115" ht="20.100000000000001" customHeight="1" x14ac:dyDescent="0.25">
      <c r="B9" s="8977" t="s">
        <v>543</v>
      </c>
      <c r="C9" s="8979" t="s">
        <v>1</v>
      </c>
      <c r="D9" s="8980"/>
      <c r="E9" s="8938"/>
      <c r="F9" s="8805" t="s">
        <v>55</v>
      </c>
      <c r="G9" s="8955"/>
      <c r="H9" s="8955"/>
      <c r="I9" s="8955"/>
      <c r="J9" s="8955"/>
      <c r="K9" s="8955"/>
      <c r="L9" s="8955"/>
      <c r="M9" s="8955"/>
      <c r="N9" s="8955"/>
      <c r="O9" s="8955"/>
      <c r="P9" s="8955"/>
      <c r="Q9" s="8955"/>
      <c r="R9" s="8955"/>
      <c r="S9" s="8955"/>
      <c r="T9" s="8955"/>
      <c r="U9" s="8955"/>
      <c r="V9" s="8955"/>
      <c r="W9" s="8955"/>
      <c r="X9" s="8955"/>
      <c r="Y9" s="8955"/>
      <c r="Z9" s="8955"/>
      <c r="AA9" s="8955"/>
      <c r="AB9" s="8955"/>
      <c r="AC9" s="8955"/>
      <c r="AD9" s="8955"/>
      <c r="AE9" s="8955"/>
      <c r="AF9" s="8955"/>
      <c r="AG9" s="8955"/>
      <c r="AH9" s="8955"/>
      <c r="AI9" s="8955"/>
      <c r="AJ9" s="8955"/>
      <c r="AK9" s="8955"/>
      <c r="AL9" s="8955"/>
      <c r="AM9" s="8955"/>
      <c r="AN9" s="8955"/>
      <c r="AO9" s="8956"/>
      <c r="AP9" s="8939" t="s">
        <v>362</v>
      </c>
      <c r="AQ9" s="8939" t="s">
        <v>361</v>
      </c>
      <c r="AR9" s="8938" t="s">
        <v>2956</v>
      </c>
      <c r="AS9" s="8938" t="s">
        <v>2615</v>
      </c>
      <c r="AT9" s="8606" t="s">
        <v>2902</v>
      </c>
      <c r="AU9" s="290"/>
      <c r="AV9" s="290"/>
      <c r="AW9" s="290"/>
      <c r="AX9" s="290"/>
      <c r="AY9" s="290"/>
      <c r="AZ9" s="290"/>
      <c r="BA9" s="290"/>
      <c r="BB9" s="290"/>
      <c r="BC9" s="290"/>
      <c r="BD9" s="290"/>
      <c r="BE9" s="290"/>
      <c r="BV9" s="1430"/>
    </row>
    <row r="10" spans="1:115" ht="20.100000000000001" customHeight="1" x14ac:dyDescent="0.25">
      <c r="B10" s="8619"/>
      <c r="C10" s="8981"/>
      <c r="D10" s="8598"/>
      <c r="E10" s="8615"/>
      <c r="F10" s="8562" t="s">
        <v>3540</v>
      </c>
      <c r="G10" s="8806"/>
      <c r="H10" s="8562" t="s">
        <v>1620</v>
      </c>
      <c r="I10" s="8954"/>
      <c r="J10" s="8562" t="s">
        <v>1415</v>
      </c>
      <c r="K10" s="8954"/>
      <c r="L10" s="8562" t="s">
        <v>32</v>
      </c>
      <c r="M10" s="8954"/>
      <c r="N10" s="8562" t="s">
        <v>33</v>
      </c>
      <c r="O10" s="8954"/>
      <c r="P10" s="8562" t="s">
        <v>40</v>
      </c>
      <c r="Q10" s="8954"/>
      <c r="R10" s="8562" t="s">
        <v>82</v>
      </c>
      <c r="S10" s="8954"/>
      <c r="T10" s="8562" t="s">
        <v>83</v>
      </c>
      <c r="U10" s="8954"/>
      <c r="V10" s="8562" t="s">
        <v>400</v>
      </c>
      <c r="W10" s="8954"/>
      <c r="X10" s="8562" t="s">
        <v>124</v>
      </c>
      <c r="Y10" s="8954"/>
      <c r="Z10" s="8562" t="s">
        <v>125</v>
      </c>
      <c r="AA10" s="8954"/>
      <c r="AB10" s="8562" t="s">
        <v>126</v>
      </c>
      <c r="AC10" s="8954"/>
      <c r="AD10" s="8562" t="s">
        <v>127</v>
      </c>
      <c r="AE10" s="8954"/>
      <c r="AF10" s="8562" t="s">
        <v>128</v>
      </c>
      <c r="AG10" s="8954"/>
      <c r="AH10" s="8562" t="s">
        <v>129</v>
      </c>
      <c r="AI10" s="8954"/>
      <c r="AJ10" s="8562" t="s">
        <v>130</v>
      </c>
      <c r="AK10" s="8954"/>
      <c r="AL10" s="8562" t="s">
        <v>131</v>
      </c>
      <c r="AM10" s="8954"/>
      <c r="AN10" s="8805" t="s">
        <v>1919</v>
      </c>
      <c r="AO10" s="8956"/>
      <c r="AP10" s="8705"/>
      <c r="AQ10" s="8705"/>
      <c r="AR10" s="8622"/>
      <c r="AS10" s="8622"/>
      <c r="AT10" s="8581"/>
      <c r="AU10" s="290"/>
      <c r="AV10" s="290"/>
      <c r="AW10" s="290"/>
      <c r="AX10" s="290"/>
      <c r="AY10" s="290"/>
      <c r="AZ10" s="290"/>
      <c r="BA10" s="290"/>
      <c r="BB10" s="290"/>
      <c r="BC10" s="290"/>
      <c r="BD10" s="290"/>
      <c r="BE10" s="290"/>
      <c r="BV10" s="1430"/>
    </row>
    <row r="11" spans="1:115" ht="20.100000000000001" customHeight="1" x14ac:dyDescent="0.25">
      <c r="B11" s="8978"/>
      <c r="C11" s="2173" t="s">
        <v>42</v>
      </c>
      <c r="D11" s="2174" t="s">
        <v>17</v>
      </c>
      <c r="E11" s="2112" t="s">
        <v>18</v>
      </c>
      <c r="F11" s="1775" t="s">
        <v>17</v>
      </c>
      <c r="G11" s="3282" t="s">
        <v>18</v>
      </c>
      <c r="H11" s="1775" t="s">
        <v>17</v>
      </c>
      <c r="I11" s="3282" t="s">
        <v>18</v>
      </c>
      <c r="J11" s="1775" t="s">
        <v>17</v>
      </c>
      <c r="K11" s="3282" t="s">
        <v>18</v>
      </c>
      <c r="L11" s="1775" t="s">
        <v>17</v>
      </c>
      <c r="M11" s="3282" t="s">
        <v>18</v>
      </c>
      <c r="N11" s="1775" t="s">
        <v>17</v>
      </c>
      <c r="O11" s="3282" t="s">
        <v>18</v>
      </c>
      <c r="P11" s="1775" t="s">
        <v>17</v>
      </c>
      <c r="Q11" s="3282" t="s">
        <v>18</v>
      </c>
      <c r="R11" s="1775" t="s">
        <v>17</v>
      </c>
      <c r="S11" s="3282" t="s">
        <v>18</v>
      </c>
      <c r="T11" s="1775" t="s">
        <v>17</v>
      </c>
      <c r="U11" s="3282" t="s">
        <v>18</v>
      </c>
      <c r="V11" s="1775" t="s">
        <v>17</v>
      </c>
      <c r="W11" s="3282" t="s">
        <v>18</v>
      </c>
      <c r="X11" s="1775" t="s">
        <v>17</v>
      </c>
      <c r="Y11" s="3282" t="s">
        <v>18</v>
      </c>
      <c r="Z11" s="1775" t="s">
        <v>17</v>
      </c>
      <c r="AA11" s="3282" t="s">
        <v>18</v>
      </c>
      <c r="AB11" s="1775" t="s">
        <v>17</v>
      </c>
      <c r="AC11" s="3282" t="s">
        <v>18</v>
      </c>
      <c r="AD11" s="1775" t="s">
        <v>17</v>
      </c>
      <c r="AE11" s="3282" t="s">
        <v>18</v>
      </c>
      <c r="AF11" s="1775" t="s">
        <v>17</v>
      </c>
      <c r="AG11" s="3282" t="s">
        <v>18</v>
      </c>
      <c r="AH11" s="1775" t="s">
        <v>17</v>
      </c>
      <c r="AI11" s="3282" t="s">
        <v>18</v>
      </c>
      <c r="AJ11" s="1775" t="s">
        <v>17</v>
      </c>
      <c r="AK11" s="3282" t="s">
        <v>18</v>
      </c>
      <c r="AL11" s="1775" t="s">
        <v>17</v>
      </c>
      <c r="AM11" s="3282" t="s">
        <v>18</v>
      </c>
      <c r="AN11" s="1775" t="s">
        <v>17</v>
      </c>
      <c r="AO11" s="1776" t="s">
        <v>18</v>
      </c>
      <c r="AP11" s="8940"/>
      <c r="AQ11" s="8940"/>
      <c r="AR11" s="8615"/>
      <c r="AS11" s="8615"/>
      <c r="AT11" s="8558"/>
      <c r="AU11" s="290"/>
      <c r="AV11" s="290"/>
      <c r="AW11" s="290"/>
      <c r="AX11" s="290"/>
      <c r="AY11" s="290"/>
      <c r="AZ11" s="290"/>
      <c r="BA11" s="290"/>
      <c r="BB11" s="290"/>
      <c r="BC11" s="290"/>
      <c r="BD11" s="290"/>
      <c r="BE11" s="290"/>
      <c r="BV11" s="1430"/>
    </row>
    <row r="12" spans="1:115" ht="16.350000000000001" customHeight="1" x14ac:dyDescent="0.25">
      <c r="A12" s="7267"/>
      <c r="B12" s="3288" t="s">
        <v>24</v>
      </c>
      <c r="C12" s="392">
        <f>SUM(C13:C26)</f>
        <v>0</v>
      </c>
      <c r="D12" s="393">
        <f>SUM(D13:D26)</f>
        <v>0</v>
      </c>
      <c r="E12" s="167">
        <f>SUM(E13:E26)</f>
        <v>0</v>
      </c>
      <c r="F12" s="1775">
        <f>SUM(F13:F26)</f>
        <v>0</v>
      </c>
      <c r="G12" s="1777">
        <f t="shared" ref="G12:AO12" si="0">SUM(G13:G26)</f>
        <v>0</v>
      </c>
      <c r="H12" s="1778">
        <f>SUM(H13:H26)</f>
        <v>0</v>
      </c>
      <c r="I12" s="1777">
        <f t="shared" si="0"/>
        <v>0</v>
      </c>
      <c r="J12" s="1775">
        <f t="shared" si="0"/>
        <v>0</v>
      </c>
      <c r="K12" s="1777">
        <f t="shared" si="0"/>
        <v>0</v>
      </c>
      <c r="L12" s="1775">
        <f t="shared" si="0"/>
        <v>0</v>
      </c>
      <c r="M12" s="1777">
        <f t="shared" si="0"/>
        <v>0</v>
      </c>
      <c r="N12" s="1775">
        <f t="shared" si="0"/>
        <v>0</v>
      </c>
      <c r="O12" s="1777">
        <f t="shared" si="0"/>
        <v>0</v>
      </c>
      <c r="P12" s="1775">
        <f t="shared" si="0"/>
        <v>0</v>
      </c>
      <c r="Q12" s="1777">
        <f t="shared" si="0"/>
        <v>0</v>
      </c>
      <c r="R12" s="1775">
        <f t="shared" si="0"/>
        <v>0</v>
      </c>
      <c r="S12" s="1777">
        <f t="shared" si="0"/>
        <v>0</v>
      </c>
      <c r="T12" s="1775">
        <f t="shared" si="0"/>
        <v>0</v>
      </c>
      <c r="U12" s="1777">
        <f t="shared" si="0"/>
        <v>0</v>
      </c>
      <c r="V12" s="1775">
        <f>SUM(V13:V26)</f>
        <v>0</v>
      </c>
      <c r="W12" s="1777">
        <f>SUM(W13:W26)</f>
        <v>0</v>
      </c>
      <c r="X12" s="1775">
        <f t="shared" si="0"/>
        <v>0</v>
      </c>
      <c r="Y12" s="1777">
        <f t="shared" si="0"/>
        <v>0</v>
      </c>
      <c r="Z12" s="1775">
        <f t="shared" si="0"/>
        <v>0</v>
      </c>
      <c r="AA12" s="1777">
        <f t="shared" si="0"/>
        <v>0</v>
      </c>
      <c r="AB12" s="1775">
        <f t="shared" si="0"/>
        <v>0</v>
      </c>
      <c r="AC12" s="1777">
        <f t="shared" si="0"/>
        <v>0</v>
      </c>
      <c r="AD12" s="1775">
        <f t="shared" si="0"/>
        <v>0</v>
      </c>
      <c r="AE12" s="1777">
        <f t="shared" si="0"/>
        <v>0</v>
      </c>
      <c r="AF12" s="1775">
        <f t="shared" si="0"/>
        <v>0</v>
      </c>
      <c r="AG12" s="1777">
        <f t="shared" si="0"/>
        <v>0</v>
      </c>
      <c r="AH12" s="1775">
        <f t="shared" si="0"/>
        <v>0</v>
      </c>
      <c r="AI12" s="1777">
        <f t="shared" si="0"/>
        <v>0</v>
      </c>
      <c r="AJ12" s="1775">
        <f t="shared" si="0"/>
        <v>0</v>
      </c>
      <c r="AK12" s="1777">
        <f t="shared" si="0"/>
        <v>0</v>
      </c>
      <c r="AL12" s="1775">
        <f t="shared" si="0"/>
        <v>0</v>
      </c>
      <c r="AM12" s="1777">
        <f t="shared" si="0"/>
        <v>0</v>
      </c>
      <c r="AN12" s="1775">
        <f t="shared" si="0"/>
        <v>0</v>
      </c>
      <c r="AO12" s="1782">
        <f t="shared" si="0"/>
        <v>0</v>
      </c>
      <c r="AP12" s="1772">
        <f>SUM(AP13:AP26)</f>
        <v>0</v>
      </c>
      <c r="AQ12" s="1771">
        <f>SUM(AQ13:AQ26)</f>
        <v>0</v>
      </c>
      <c r="AR12" s="391">
        <f>SUM(AR13:AR26)</f>
        <v>0</v>
      </c>
      <c r="AS12" s="391">
        <f>SUM(AS13:AS26)</f>
        <v>0</v>
      </c>
      <c r="AT12" s="2977">
        <f>SUM(AT13:AT26)</f>
        <v>0</v>
      </c>
      <c r="AU12" s="290"/>
      <c r="AV12" s="290"/>
      <c r="AW12" s="290"/>
      <c r="AX12" s="290"/>
      <c r="AY12" s="290"/>
      <c r="AZ12" s="290"/>
      <c r="BA12" s="290"/>
      <c r="BB12" s="290"/>
      <c r="BC12" s="290"/>
      <c r="BD12" s="290"/>
      <c r="BE12" s="290"/>
      <c r="BV12" s="1430"/>
    </row>
    <row r="13" spans="1:115" ht="16.350000000000001" customHeight="1" x14ac:dyDescent="0.25">
      <c r="A13" s="7257" t="s">
        <v>4273</v>
      </c>
      <c r="B13" s="98" t="s">
        <v>544</v>
      </c>
      <c r="C13" s="248" t="s">
        <v>5369</v>
      </c>
      <c r="D13" s="274" t="s">
        <v>5370</v>
      </c>
      <c r="E13" s="394" t="s">
        <v>5371</v>
      </c>
      <c r="F13" s="1735" t="s">
        <v>5372</v>
      </c>
      <c r="G13" s="1696" t="s">
        <v>5373</v>
      </c>
      <c r="H13" s="1735" t="s">
        <v>5374</v>
      </c>
      <c r="I13" s="1696" t="s">
        <v>5375</v>
      </c>
      <c r="J13" s="1735" t="s">
        <v>5376</v>
      </c>
      <c r="K13" s="1763" t="s">
        <v>5377</v>
      </c>
      <c r="L13" s="1735" t="s">
        <v>5378</v>
      </c>
      <c r="M13" s="1763" t="s">
        <v>5379</v>
      </c>
      <c r="N13" s="1735" t="s">
        <v>5380</v>
      </c>
      <c r="O13" s="1763" t="s">
        <v>5381</v>
      </c>
      <c r="P13" s="1735" t="s">
        <v>5382</v>
      </c>
      <c r="Q13" s="1763" t="s">
        <v>5383</v>
      </c>
      <c r="R13" s="1735" t="s">
        <v>5384</v>
      </c>
      <c r="S13" s="1763" t="s">
        <v>5385</v>
      </c>
      <c r="T13" s="1735" t="s">
        <v>5386</v>
      </c>
      <c r="U13" s="1763" t="s">
        <v>5387</v>
      </c>
      <c r="V13" s="1735" t="s">
        <v>5388</v>
      </c>
      <c r="W13" s="1763" t="s">
        <v>5389</v>
      </c>
      <c r="X13" s="1735" t="s">
        <v>5390</v>
      </c>
      <c r="Y13" s="1763" t="s">
        <v>5391</v>
      </c>
      <c r="Z13" s="1735" t="s">
        <v>5392</v>
      </c>
      <c r="AA13" s="1763" t="s">
        <v>5393</v>
      </c>
      <c r="AB13" s="1735" t="s">
        <v>5394</v>
      </c>
      <c r="AC13" s="1763" t="s">
        <v>5395</v>
      </c>
      <c r="AD13" s="1735" t="s">
        <v>5396</v>
      </c>
      <c r="AE13" s="1763" t="s">
        <v>5397</v>
      </c>
      <c r="AF13" s="1735" t="s">
        <v>5398</v>
      </c>
      <c r="AG13" s="1763" t="s">
        <v>5399</v>
      </c>
      <c r="AH13" s="1735" t="s">
        <v>5400</v>
      </c>
      <c r="AI13" s="1763" t="s">
        <v>5401</v>
      </c>
      <c r="AJ13" s="1735" t="s">
        <v>5402</v>
      </c>
      <c r="AK13" s="1763" t="s">
        <v>5403</v>
      </c>
      <c r="AL13" s="1735" t="s">
        <v>5404</v>
      </c>
      <c r="AM13" s="1763" t="s">
        <v>5405</v>
      </c>
      <c r="AN13" s="1779" t="s">
        <v>5406</v>
      </c>
      <c r="AO13" s="1770" t="s">
        <v>5407</v>
      </c>
      <c r="AP13" s="1764" t="s">
        <v>5408</v>
      </c>
      <c r="AQ13" s="1764" t="s">
        <v>5409</v>
      </c>
      <c r="AR13" s="395" t="s">
        <v>5410</v>
      </c>
      <c r="AS13" s="395" t="s">
        <v>5411</v>
      </c>
      <c r="AT13" s="2978" t="s">
        <v>5412</v>
      </c>
      <c r="AU13" s="1471" t="s">
        <v>3983</v>
      </c>
      <c r="AV13" s="806"/>
      <c r="AW13" s="806"/>
      <c r="AX13" s="806"/>
      <c r="AY13" s="806"/>
      <c r="AZ13" s="806"/>
      <c r="BA13" s="806"/>
      <c r="BB13" s="806"/>
      <c r="BC13" s="290"/>
      <c r="BD13" s="290"/>
      <c r="BE13" s="290"/>
      <c r="BV13" s="1430"/>
      <c r="CB13" s="1518"/>
      <c r="DB13" s="3219">
        <v>0</v>
      </c>
      <c r="DC13" s="3219">
        <v>0</v>
      </c>
      <c r="DD13" s="3219">
        <v>0</v>
      </c>
      <c r="DE13" s="3219">
        <v>0</v>
      </c>
      <c r="DF13" s="3219">
        <v>0</v>
      </c>
      <c r="DG13" s="3219">
        <v>0</v>
      </c>
      <c r="DH13" s="3219">
        <v>0</v>
      </c>
      <c r="DI13" s="3219">
        <v>0</v>
      </c>
      <c r="DJ13" s="3219">
        <v>0</v>
      </c>
      <c r="DK13" s="3219">
        <v>0</v>
      </c>
    </row>
    <row r="14" spans="1:115" ht="16.350000000000001" customHeight="1" x14ac:dyDescent="0.25">
      <c r="A14" s="7257" t="s">
        <v>4274</v>
      </c>
      <c r="B14" s="135" t="s">
        <v>545</v>
      </c>
      <c r="C14" s="275" t="s">
        <v>5369</v>
      </c>
      <c r="D14" s="276" t="s">
        <v>5370</v>
      </c>
      <c r="E14" s="184" t="s">
        <v>5371</v>
      </c>
      <c r="F14" s="110" t="s">
        <v>5372</v>
      </c>
      <c r="G14" s="144" t="s">
        <v>5373</v>
      </c>
      <c r="H14" s="110" t="s">
        <v>5374</v>
      </c>
      <c r="I14" s="144" t="s">
        <v>5375</v>
      </c>
      <c r="J14" s="110" t="s">
        <v>5376</v>
      </c>
      <c r="K14" s="122" t="s">
        <v>5377</v>
      </c>
      <c r="L14" s="131" t="s">
        <v>5378</v>
      </c>
      <c r="M14" s="121" t="s">
        <v>5379</v>
      </c>
      <c r="N14" s="131" t="s">
        <v>5380</v>
      </c>
      <c r="O14" s="121" t="s">
        <v>5381</v>
      </c>
      <c r="P14" s="131" t="s">
        <v>5382</v>
      </c>
      <c r="Q14" s="121" t="s">
        <v>5383</v>
      </c>
      <c r="R14" s="131" t="s">
        <v>5384</v>
      </c>
      <c r="S14" s="121" t="s">
        <v>5385</v>
      </c>
      <c r="T14" s="131" t="s">
        <v>5386</v>
      </c>
      <c r="U14" s="121" t="s">
        <v>5387</v>
      </c>
      <c r="V14" s="131" t="s">
        <v>5388</v>
      </c>
      <c r="W14" s="121" t="s">
        <v>5389</v>
      </c>
      <c r="X14" s="131" t="s">
        <v>5390</v>
      </c>
      <c r="Y14" s="121" t="s">
        <v>5391</v>
      </c>
      <c r="Z14" s="131" t="s">
        <v>5392</v>
      </c>
      <c r="AA14" s="121" t="s">
        <v>5393</v>
      </c>
      <c r="AB14" s="131" t="s">
        <v>5394</v>
      </c>
      <c r="AC14" s="121" t="s">
        <v>5395</v>
      </c>
      <c r="AD14" s="131" t="s">
        <v>5396</v>
      </c>
      <c r="AE14" s="121" t="s">
        <v>5397</v>
      </c>
      <c r="AF14" s="131" t="s">
        <v>5398</v>
      </c>
      <c r="AG14" s="121" t="s">
        <v>5399</v>
      </c>
      <c r="AH14" s="131" t="s">
        <v>5400</v>
      </c>
      <c r="AI14" s="121" t="s">
        <v>5401</v>
      </c>
      <c r="AJ14" s="131" t="s">
        <v>5402</v>
      </c>
      <c r="AK14" s="121" t="s">
        <v>5403</v>
      </c>
      <c r="AL14" s="131" t="s">
        <v>5404</v>
      </c>
      <c r="AM14" s="121" t="s">
        <v>5405</v>
      </c>
      <c r="AN14" s="131" t="s">
        <v>5406</v>
      </c>
      <c r="AO14" s="240" t="s">
        <v>5407</v>
      </c>
      <c r="AP14" s="1773" t="s">
        <v>5408</v>
      </c>
      <c r="AQ14" s="1773" t="s">
        <v>5409</v>
      </c>
      <c r="AR14" s="185" t="s">
        <v>5410</v>
      </c>
      <c r="AS14" s="185" t="s">
        <v>5411</v>
      </c>
      <c r="AT14" s="2958" t="s">
        <v>5412</v>
      </c>
      <c r="AU14" s="1471" t="s">
        <v>3984</v>
      </c>
      <c r="AV14" s="806"/>
      <c r="AW14" s="806"/>
      <c r="AX14" s="806"/>
      <c r="AY14" s="806"/>
      <c r="AZ14" s="806"/>
      <c r="BA14" s="806"/>
      <c r="BB14" s="806"/>
      <c r="BC14" s="290"/>
      <c r="BD14" s="290"/>
      <c r="BE14" s="290"/>
      <c r="BV14" s="1430"/>
      <c r="CB14" s="1518" t="s">
        <v>3953</v>
      </c>
      <c r="DC14" s="3219">
        <v>0</v>
      </c>
      <c r="DD14" s="3219">
        <v>0</v>
      </c>
      <c r="DE14" s="3219">
        <v>0</v>
      </c>
      <c r="DF14" s="3219">
        <v>0</v>
      </c>
      <c r="DG14" s="3219">
        <v>0</v>
      </c>
      <c r="DH14" s="3219">
        <v>0</v>
      </c>
      <c r="DI14" s="3219">
        <v>0</v>
      </c>
      <c r="DJ14" s="3219">
        <v>0</v>
      </c>
      <c r="DK14" s="3219">
        <v>0</v>
      </c>
    </row>
    <row r="15" spans="1:115" ht="16.350000000000001" customHeight="1" x14ac:dyDescent="0.25">
      <c r="A15" s="7257" t="s">
        <v>4275</v>
      </c>
      <c r="B15" s="3272" t="s">
        <v>56</v>
      </c>
      <c r="C15" s="275" t="s">
        <v>5369</v>
      </c>
      <c r="D15" s="276" t="s">
        <v>5370</v>
      </c>
      <c r="E15" s="184" t="s">
        <v>5371</v>
      </c>
      <c r="F15" s="110" t="s">
        <v>5372</v>
      </c>
      <c r="G15" s="144" t="s">
        <v>5373</v>
      </c>
      <c r="H15" s="110" t="s">
        <v>5374</v>
      </c>
      <c r="I15" s="144" t="s">
        <v>5375</v>
      </c>
      <c r="J15" s="110" t="s">
        <v>5376</v>
      </c>
      <c r="K15" s="122" t="s">
        <v>5377</v>
      </c>
      <c r="L15" s="110" t="s">
        <v>5378</v>
      </c>
      <c r="M15" s="122" t="s">
        <v>5379</v>
      </c>
      <c r="N15" s="110" t="s">
        <v>5380</v>
      </c>
      <c r="O15" s="122" t="s">
        <v>5381</v>
      </c>
      <c r="P15" s="110" t="s">
        <v>5382</v>
      </c>
      <c r="Q15" s="122" t="s">
        <v>5383</v>
      </c>
      <c r="R15" s="110" t="s">
        <v>5384</v>
      </c>
      <c r="S15" s="122" t="s">
        <v>5385</v>
      </c>
      <c r="T15" s="110" t="s">
        <v>5386</v>
      </c>
      <c r="U15" s="122" t="s">
        <v>5387</v>
      </c>
      <c r="V15" s="110" t="s">
        <v>5388</v>
      </c>
      <c r="W15" s="122" t="s">
        <v>5389</v>
      </c>
      <c r="X15" s="110" t="s">
        <v>5390</v>
      </c>
      <c r="Y15" s="122" t="s">
        <v>5391</v>
      </c>
      <c r="Z15" s="110" t="s">
        <v>5392</v>
      </c>
      <c r="AA15" s="122" t="s">
        <v>5393</v>
      </c>
      <c r="AB15" s="110" t="s">
        <v>5394</v>
      </c>
      <c r="AC15" s="122" t="s">
        <v>5395</v>
      </c>
      <c r="AD15" s="110" t="s">
        <v>5396</v>
      </c>
      <c r="AE15" s="122" t="s">
        <v>5397</v>
      </c>
      <c r="AF15" s="110" t="s">
        <v>5398</v>
      </c>
      <c r="AG15" s="122" t="s">
        <v>5399</v>
      </c>
      <c r="AH15" s="110" t="s">
        <v>5400</v>
      </c>
      <c r="AI15" s="122" t="s">
        <v>5401</v>
      </c>
      <c r="AJ15" s="110" t="s">
        <v>5402</v>
      </c>
      <c r="AK15" s="122" t="s">
        <v>5403</v>
      </c>
      <c r="AL15" s="110" t="s">
        <v>5404</v>
      </c>
      <c r="AM15" s="122" t="s">
        <v>5405</v>
      </c>
      <c r="AN15" s="157" t="s">
        <v>5406</v>
      </c>
      <c r="AO15" s="197" t="s">
        <v>5407</v>
      </c>
      <c r="AP15" s="1773" t="s">
        <v>5408</v>
      </c>
      <c r="AQ15" s="1773" t="s">
        <v>5409</v>
      </c>
      <c r="AR15" s="185" t="s">
        <v>5410</v>
      </c>
      <c r="AS15" s="185" t="s">
        <v>5411</v>
      </c>
      <c r="AT15" s="2958" t="s">
        <v>5412</v>
      </c>
      <c r="AU15" s="1471"/>
      <c r="AV15" s="806"/>
      <c r="AW15" s="806"/>
      <c r="AX15" s="806"/>
      <c r="AY15" s="806"/>
      <c r="AZ15" s="806"/>
      <c r="BA15" s="806"/>
      <c r="BB15" s="806"/>
      <c r="BC15" s="290"/>
      <c r="BD15" s="290"/>
      <c r="BE15" s="290"/>
      <c r="BV15" s="1430"/>
      <c r="CB15" s="1518"/>
      <c r="DC15" s="3219">
        <v>0</v>
      </c>
      <c r="DE15" s="3219">
        <v>0</v>
      </c>
      <c r="DG15" s="3219">
        <v>0</v>
      </c>
      <c r="DI15" s="3219">
        <v>0</v>
      </c>
      <c r="DK15" s="3219">
        <v>0</v>
      </c>
    </row>
    <row r="16" spans="1:115" ht="16.350000000000001" customHeight="1" x14ac:dyDescent="0.25">
      <c r="A16" s="7257" t="s">
        <v>4276</v>
      </c>
      <c r="B16" s="3753" t="s">
        <v>1927</v>
      </c>
      <c r="C16" s="250" t="s">
        <v>5369</v>
      </c>
      <c r="D16" s="269" t="s">
        <v>5370</v>
      </c>
      <c r="E16" s="396" t="s">
        <v>5371</v>
      </c>
      <c r="F16" s="131" t="s">
        <v>5372</v>
      </c>
      <c r="G16" s="121" t="s">
        <v>5373</v>
      </c>
      <c r="H16" s="93" t="s">
        <v>5374</v>
      </c>
      <c r="I16" s="170" t="s">
        <v>5375</v>
      </c>
      <c r="J16" s="110" t="s">
        <v>5376</v>
      </c>
      <c r="K16" s="122" t="s">
        <v>5377</v>
      </c>
      <c r="L16" s="110" t="s">
        <v>5378</v>
      </c>
      <c r="M16" s="122" t="s">
        <v>5379</v>
      </c>
      <c r="N16" s="110" t="s">
        <v>5380</v>
      </c>
      <c r="O16" s="122" t="s">
        <v>5381</v>
      </c>
      <c r="P16" s="110" t="s">
        <v>5382</v>
      </c>
      <c r="Q16" s="122" t="s">
        <v>5383</v>
      </c>
      <c r="R16" s="110" t="s">
        <v>5384</v>
      </c>
      <c r="S16" s="122" t="s">
        <v>5385</v>
      </c>
      <c r="T16" s="110" t="s">
        <v>5386</v>
      </c>
      <c r="U16" s="122" t="s">
        <v>5387</v>
      </c>
      <c r="V16" s="110" t="s">
        <v>5388</v>
      </c>
      <c r="W16" s="122" t="s">
        <v>5389</v>
      </c>
      <c r="X16" s="110" t="s">
        <v>5390</v>
      </c>
      <c r="Y16" s="122" t="s">
        <v>5391</v>
      </c>
      <c r="Z16" s="110" t="s">
        <v>5392</v>
      </c>
      <c r="AA16" s="122" t="s">
        <v>5393</v>
      </c>
      <c r="AB16" s="110" t="s">
        <v>5394</v>
      </c>
      <c r="AC16" s="122" t="s">
        <v>5395</v>
      </c>
      <c r="AD16" s="110" t="s">
        <v>5396</v>
      </c>
      <c r="AE16" s="122" t="s">
        <v>5397</v>
      </c>
      <c r="AF16" s="110" t="s">
        <v>5398</v>
      </c>
      <c r="AG16" s="122" t="s">
        <v>5399</v>
      </c>
      <c r="AH16" s="110" t="s">
        <v>5400</v>
      </c>
      <c r="AI16" s="122" t="s">
        <v>5401</v>
      </c>
      <c r="AJ16" s="110" t="s">
        <v>5402</v>
      </c>
      <c r="AK16" s="122" t="s">
        <v>5403</v>
      </c>
      <c r="AL16" s="110" t="s">
        <v>5404</v>
      </c>
      <c r="AM16" s="122" t="s">
        <v>5405</v>
      </c>
      <c r="AN16" s="157" t="s">
        <v>5406</v>
      </c>
      <c r="AO16" s="197" t="s">
        <v>5407</v>
      </c>
      <c r="AP16" s="1773" t="s">
        <v>5408</v>
      </c>
      <c r="AQ16" s="1773" t="s">
        <v>5409</v>
      </c>
      <c r="AR16" s="185" t="s">
        <v>5410</v>
      </c>
      <c r="AS16" s="185" t="s">
        <v>5411</v>
      </c>
      <c r="AT16" s="2958" t="s">
        <v>5412</v>
      </c>
      <c r="AU16" s="1471"/>
      <c r="AV16" s="806"/>
      <c r="AW16" s="806"/>
      <c r="AX16" s="806"/>
      <c r="AY16" s="806"/>
      <c r="AZ16" s="806"/>
      <c r="BA16" s="806"/>
      <c r="BB16" s="806"/>
      <c r="BC16" s="290"/>
      <c r="BD16" s="290"/>
      <c r="BE16" s="290"/>
      <c r="BV16" s="1430"/>
      <c r="CB16" s="1518"/>
      <c r="DC16" s="3219">
        <v>0</v>
      </c>
      <c r="DE16" s="3219">
        <v>0</v>
      </c>
      <c r="DG16" s="3219">
        <v>0</v>
      </c>
      <c r="DI16" s="3219">
        <v>0</v>
      </c>
      <c r="DK16" s="3219">
        <v>0</v>
      </c>
    </row>
    <row r="17" spans="1:115" ht="16.350000000000001" customHeight="1" x14ac:dyDescent="0.25">
      <c r="A17" s="7257" t="s">
        <v>4277</v>
      </c>
      <c r="B17" s="2098" t="s">
        <v>58</v>
      </c>
      <c r="C17" s="275" t="s">
        <v>5369</v>
      </c>
      <c r="D17" s="276" t="s">
        <v>5370</v>
      </c>
      <c r="E17" s="184" t="s">
        <v>5371</v>
      </c>
      <c r="F17" s="131" t="s">
        <v>5372</v>
      </c>
      <c r="G17" s="132" t="s">
        <v>5373</v>
      </c>
      <c r="H17" s="131" t="s">
        <v>5374</v>
      </c>
      <c r="I17" s="132" t="s">
        <v>5375</v>
      </c>
      <c r="J17" s="131" t="s">
        <v>5376</v>
      </c>
      <c r="K17" s="121" t="s">
        <v>5377</v>
      </c>
      <c r="L17" s="131" t="s">
        <v>5378</v>
      </c>
      <c r="M17" s="121" t="s">
        <v>5379</v>
      </c>
      <c r="N17" s="131" t="s">
        <v>5380</v>
      </c>
      <c r="O17" s="121" t="s">
        <v>5381</v>
      </c>
      <c r="P17" s="131" t="s">
        <v>5382</v>
      </c>
      <c r="Q17" s="121" t="s">
        <v>5383</v>
      </c>
      <c r="R17" s="131" t="s">
        <v>5384</v>
      </c>
      <c r="S17" s="121" t="s">
        <v>5385</v>
      </c>
      <c r="T17" s="131" t="s">
        <v>5386</v>
      </c>
      <c r="U17" s="121" t="s">
        <v>5387</v>
      </c>
      <c r="V17" s="110" t="s">
        <v>5388</v>
      </c>
      <c r="W17" s="122" t="s">
        <v>5389</v>
      </c>
      <c r="X17" s="110" t="s">
        <v>5390</v>
      </c>
      <c r="Y17" s="122" t="s">
        <v>5391</v>
      </c>
      <c r="Z17" s="110" t="s">
        <v>5392</v>
      </c>
      <c r="AA17" s="122" t="s">
        <v>5393</v>
      </c>
      <c r="AB17" s="110" t="s">
        <v>5394</v>
      </c>
      <c r="AC17" s="122" t="s">
        <v>5395</v>
      </c>
      <c r="AD17" s="110" t="s">
        <v>5396</v>
      </c>
      <c r="AE17" s="122" t="s">
        <v>5397</v>
      </c>
      <c r="AF17" s="110" t="s">
        <v>5398</v>
      </c>
      <c r="AG17" s="122" t="s">
        <v>5399</v>
      </c>
      <c r="AH17" s="110" t="s">
        <v>5400</v>
      </c>
      <c r="AI17" s="122" t="s">
        <v>5401</v>
      </c>
      <c r="AJ17" s="110" t="s">
        <v>5402</v>
      </c>
      <c r="AK17" s="122" t="s">
        <v>5403</v>
      </c>
      <c r="AL17" s="110" t="s">
        <v>5404</v>
      </c>
      <c r="AM17" s="122" t="s">
        <v>5405</v>
      </c>
      <c r="AN17" s="157" t="s">
        <v>5406</v>
      </c>
      <c r="AO17" s="197" t="s">
        <v>5407</v>
      </c>
      <c r="AP17" s="1773" t="s">
        <v>5408</v>
      </c>
      <c r="AQ17" s="1773" t="s">
        <v>5409</v>
      </c>
      <c r="AR17" s="185" t="s">
        <v>5410</v>
      </c>
      <c r="AS17" s="185" t="s">
        <v>5411</v>
      </c>
      <c r="AT17" s="2958" t="s">
        <v>5412</v>
      </c>
      <c r="AU17" s="1471"/>
      <c r="AV17" s="806"/>
      <c r="AW17" s="806"/>
      <c r="AX17" s="806"/>
      <c r="AY17" s="806"/>
      <c r="AZ17" s="806"/>
      <c r="BA17" s="806"/>
      <c r="BB17" s="806"/>
      <c r="BC17" s="290"/>
      <c r="BD17" s="290"/>
      <c r="BE17" s="290"/>
      <c r="BV17" s="1430"/>
      <c r="CB17" s="1518"/>
      <c r="DC17" s="3219">
        <v>0</v>
      </c>
      <c r="DE17" s="3219">
        <v>0</v>
      </c>
      <c r="DG17" s="3219">
        <v>0</v>
      </c>
      <c r="DI17" s="3219">
        <v>0</v>
      </c>
      <c r="DK17" s="3219">
        <v>0</v>
      </c>
    </row>
    <row r="18" spans="1:115" ht="16.350000000000001" customHeight="1" x14ac:dyDescent="0.25">
      <c r="A18" s="7257" t="s">
        <v>4278</v>
      </c>
      <c r="B18" s="3273" t="s">
        <v>59</v>
      </c>
      <c r="C18" s="275" t="s">
        <v>5369</v>
      </c>
      <c r="D18" s="276" t="s">
        <v>5370</v>
      </c>
      <c r="E18" s="184" t="s">
        <v>5371</v>
      </c>
      <c r="F18" s="110" t="s">
        <v>5372</v>
      </c>
      <c r="G18" s="144" t="s">
        <v>5373</v>
      </c>
      <c r="H18" s="110" t="s">
        <v>5374</v>
      </c>
      <c r="I18" s="144" t="s">
        <v>5375</v>
      </c>
      <c r="J18" s="110" t="s">
        <v>5376</v>
      </c>
      <c r="K18" s="122" t="s">
        <v>5377</v>
      </c>
      <c r="L18" s="1780" t="s">
        <v>5378</v>
      </c>
      <c r="M18" s="122" t="s">
        <v>5379</v>
      </c>
      <c r="N18" s="110" t="s">
        <v>5380</v>
      </c>
      <c r="O18" s="122" t="s">
        <v>5381</v>
      </c>
      <c r="P18" s="110" t="s">
        <v>5382</v>
      </c>
      <c r="Q18" s="122" t="s">
        <v>5383</v>
      </c>
      <c r="R18" s="110" t="s">
        <v>5384</v>
      </c>
      <c r="S18" s="122" t="s">
        <v>5385</v>
      </c>
      <c r="T18" s="110" t="s">
        <v>5386</v>
      </c>
      <c r="U18" s="122" t="s">
        <v>5387</v>
      </c>
      <c r="V18" s="110" t="s">
        <v>5388</v>
      </c>
      <c r="W18" s="122" t="s">
        <v>5389</v>
      </c>
      <c r="X18" s="110" t="s">
        <v>5390</v>
      </c>
      <c r="Y18" s="122" t="s">
        <v>5391</v>
      </c>
      <c r="Z18" s="110" t="s">
        <v>5392</v>
      </c>
      <c r="AA18" s="122" t="s">
        <v>5393</v>
      </c>
      <c r="AB18" s="110" t="s">
        <v>5394</v>
      </c>
      <c r="AC18" s="122" t="s">
        <v>5395</v>
      </c>
      <c r="AD18" s="110" t="s">
        <v>5396</v>
      </c>
      <c r="AE18" s="122" t="s">
        <v>5397</v>
      </c>
      <c r="AF18" s="110" t="s">
        <v>5398</v>
      </c>
      <c r="AG18" s="122" t="s">
        <v>5399</v>
      </c>
      <c r="AH18" s="110" t="s">
        <v>5400</v>
      </c>
      <c r="AI18" s="122" t="s">
        <v>5401</v>
      </c>
      <c r="AJ18" s="110" t="s">
        <v>5402</v>
      </c>
      <c r="AK18" s="122" t="s">
        <v>5403</v>
      </c>
      <c r="AL18" s="110" t="s">
        <v>5404</v>
      </c>
      <c r="AM18" s="122" t="s">
        <v>5405</v>
      </c>
      <c r="AN18" s="157" t="s">
        <v>5406</v>
      </c>
      <c r="AO18" s="197" t="s">
        <v>5407</v>
      </c>
      <c r="AP18" s="1773" t="s">
        <v>5408</v>
      </c>
      <c r="AQ18" s="1773" t="s">
        <v>5409</v>
      </c>
      <c r="AR18" s="185" t="s">
        <v>5410</v>
      </c>
      <c r="AS18" s="185" t="s">
        <v>5411</v>
      </c>
      <c r="AT18" s="2958" t="s">
        <v>5412</v>
      </c>
      <c r="AU18" s="1471"/>
      <c r="AV18" s="806"/>
      <c r="AW18" s="806"/>
      <c r="AX18" s="806"/>
      <c r="AY18" s="806"/>
      <c r="AZ18" s="806"/>
      <c r="BA18" s="806"/>
      <c r="BB18" s="806"/>
      <c r="BC18" s="290"/>
      <c r="BD18" s="290"/>
      <c r="BE18" s="290"/>
      <c r="BV18" s="1430"/>
      <c r="CB18" s="1518"/>
      <c r="DC18" s="3219">
        <v>0</v>
      </c>
      <c r="DE18" s="3219">
        <v>0</v>
      </c>
      <c r="DG18" s="3219">
        <v>0</v>
      </c>
      <c r="DI18" s="3219">
        <v>0</v>
      </c>
      <c r="DK18" s="3219">
        <v>0</v>
      </c>
    </row>
    <row r="19" spans="1:115" ht="16.350000000000001" customHeight="1" x14ac:dyDescent="0.25">
      <c r="A19" s="7257" t="s">
        <v>4279</v>
      </c>
      <c r="B19" s="397" t="s">
        <v>615</v>
      </c>
      <c r="C19" s="275" t="s">
        <v>5369</v>
      </c>
      <c r="D19" s="398" t="s">
        <v>5370</v>
      </c>
      <c r="E19" s="399" t="s">
        <v>5371</v>
      </c>
      <c r="F19" s="93" t="s">
        <v>5372</v>
      </c>
      <c r="G19" s="170" t="s">
        <v>5373</v>
      </c>
      <c r="H19" s="93" t="s">
        <v>5374</v>
      </c>
      <c r="I19" s="170" t="s">
        <v>5375</v>
      </c>
      <c r="J19" s="93" t="s">
        <v>5376</v>
      </c>
      <c r="K19" s="96" t="s">
        <v>5377</v>
      </c>
      <c r="L19" s="131" t="s">
        <v>5378</v>
      </c>
      <c r="M19" s="138" t="s">
        <v>5379</v>
      </c>
      <c r="N19" s="340" t="s">
        <v>5380</v>
      </c>
      <c r="O19" s="138" t="s">
        <v>5381</v>
      </c>
      <c r="P19" s="340" t="s">
        <v>5382</v>
      </c>
      <c r="Q19" s="138" t="s">
        <v>5383</v>
      </c>
      <c r="R19" s="340" t="s">
        <v>5384</v>
      </c>
      <c r="S19" s="138" t="s">
        <v>5385</v>
      </c>
      <c r="T19" s="340" t="s">
        <v>5386</v>
      </c>
      <c r="U19" s="138" t="s">
        <v>5387</v>
      </c>
      <c r="V19" s="340" t="s">
        <v>5388</v>
      </c>
      <c r="W19" s="138" t="s">
        <v>5389</v>
      </c>
      <c r="X19" s="340" t="s">
        <v>5390</v>
      </c>
      <c r="Y19" s="138" t="s">
        <v>5391</v>
      </c>
      <c r="Z19" s="340" t="s">
        <v>5392</v>
      </c>
      <c r="AA19" s="138" t="s">
        <v>5393</v>
      </c>
      <c r="AB19" s="340" t="s">
        <v>5394</v>
      </c>
      <c r="AC19" s="138" t="s">
        <v>5395</v>
      </c>
      <c r="AD19" s="340" t="s">
        <v>5396</v>
      </c>
      <c r="AE19" s="138" t="s">
        <v>5397</v>
      </c>
      <c r="AF19" s="340" t="s">
        <v>5398</v>
      </c>
      <c r="AG19" s="138" t="s">
        <v>5399</v>
      </c>
      <c r="AH19" s="93" t="s">
        <v>5400</v>
      </c>
      <c r="AI19" s="96" t="s">
        <v>5401</v>
      </c>
      <c r="AJ19" s="93" t="s">
        <v>5402</v>
      </c>
      <c r="AK19" s="96" t="s">
        <v>5403</v>
      </c>
      <c r="AL19" s="93" t="s">
        <v>5404</v>
      </c>
      <c r="AM19" s="96" t="s">
        <v>5405</v>
      </c>
      <c r="AN19" s="400" t="s">
        <v>5406</v>
      </c>
      <c r="AO19" s="240" t="s">
        <v>5407</v>
      </c>
      <c r="AP19" s="1774" t="s">
        <v>5408</v>
      </c>
      <c r="AQ19" s="1774" t="s">
        <v>5409</v>
      </c>
      <c r="AR19" s="401" t="s">
        <v>5410</v>
      </c>
      <c r="AS19" s="401" t="s">
        <v>5411</v>
      </c>
      <c r="AT19" s="2979" t="s">
        <v>5412</v>
      </c>
      <c r="AU19" s="1471"/>
      <c r="AV19" s="806"/>
      <c r="AW19" s="806"/>
      <c r="AX19" s="806"/>
      <c r="AY19" s="806"/>
      <c r="AZ19" s="806"/>
      <c r="BA19" s="806"/>
      <c r="BB19" s="806"/>
      <c r="BC19" s="290"/>
      <c r="BD19" s="290"/>
      <c r="BE19" s="290"/>
      <c r="BV19" s="1430"/>
      <c r="CB19" s="1518"/>
      <c r="DC19" s="3219">
        <v>0</v>
      </c>
      <c r="DE19" s="3219">
        <v>0</v>
      </c>
      <c r="DG19" s="3219">
        <v>0</v>
      </c>
      <c r="DI19" s="3219">
        <v>0</v>
      </c>
      <c r="DK19" s="3219">
        <v>0</v>
      </c>
    </row>
    <row r="20" spans="1:115" ht="16.350000000000001" customHeight="1" x14ac:dyDescent="0.25">
      <c r="A20" s="7257" t="s">
        <v>4280</v>
      </c>
      <c r="B20" s="397" t="s">
        <v>546</v>
      </c>
      <c r="C20" s="275" t="s">
        <v>5369</v>
      </c>
      <c r="D20" s="398" t="s">
        <v>5370</v>
      </c>
      <c r="E20" s="184" t="s">
        <v>5371</v>
      </c>
      <c r="F20" s="93" t="s">
        <v>5372</v>
      </c>
      <c r="G20" s="144" t="s">
        <v>5373</v>
      </c>
      <c r="H20" s="93" t="s">
        <v>5374</v>
      </c>
      <c r="I20" s="144" t="s">
        <v>5375</v>
      </c>
      <c r="J20" s="93" t="s">
        <v>5376</v>
      </c>
      <c r="K20" s="138" t="s">
        <v>5377</v>
      </c>
      <c r="L20" s="93" t="s">
        <v>5378</v>
      </c>
      <c r="M20" s="138" t="s">
        <v>5379</v>
      </c>
      <c r="N20" s="340" t="s">
        <v>5380</v>
      </c>
      <c r="O20" s="138" t="s">
        <v>5381</v>
      </c>
      <c r="P20" s="340" t="s">
        <v>5382</v>
      </c>
      <c r="Q20" s="138" t="s">
        <v>5383</v>
      </c>
      <c r="R20" s="340" t="s">
        <v>5384</v>
      </c>
      <c r="S20" s="138" t="s">
        <v>5385</v>
      </c>
      <c r="T20" s="340" t="s">
        <v>5386</v>
      </c>
      <c r="U20" s="138" t="s">
        <v>5387</v>
      </c>
      <c r="V20" s="340" t="s">
        <v>5388</v>
      </c>
      <c r="W20" s="138" t="s">
        <v>5389</v>
      </c>
      <c r="X20" s="340" t="s">
        <v>5390</v>
      </c>
      <c r="Y20" s="138" t="s">
        <v>5391</v>
      </c>
      <c r="Z20" s="340" t="s">
        <v>5392</v>
      </c>
      <c r="AA20" s="138" t="s">
        <v>5393</v>
      </c>
      <c r="AB20" s="340" t="s">
        <v>5394</v>
      </c>
      <c r="AC20" s="138" t="s">
        <v>5395</v>
      </c>
      <c r="AD20" s="340" t="s">
        <v>5396</v>
      </c>
      <c r="AE20" s="138" t="s">
        <v>5397</v>
      </c>
      <c r="AF20" s="340" t="s">
        <v>5398</v>
      </c>
      <c r="AG20" s="138" t="s">
        <v>5399</v>
      </c>
      <c r="AH20" s="340" t="s">
        <v>5400</v>
      </c>
      <c r="AI20" s="138" t="s">
        <v>5401</v>
      </c>
      <c r="AJ20" s="340" t="s">
        <v>5402</v>
      </c>
      <c r="AK20" s="138" t="s">
        <v>5403</v>
      </c>
      <c r="AL20" s="340" t="s">
        <v>5404</v>
      </c>
      <c r="AM20" s="138" t="s">
        <v>5405</v>
      </c>
      <c r="AN20" s="340" t="s">
        <v>5406</v>
      </c>
      <c r="AO20" s="260" t="s">
        <v>5407</v>
      </c>
      <c r="AP20" s="1774" t="s">
        <v>5408</v>
      </c>
      <c r="AQ20" s="1774" t="s">
        <v>5409</v>
      </c>
      <c r="AR20" s="401" t="s">
        <v>5410</v>
      </c>
      <c r="AS20" s="401" t="s">
        <v>5411</v>
      </c>
      <c r="AT20" s="2979" t="s">
        <v>5412</v>
      </c>
      <c r="AU20" s="1471"/>
      <c r="AV20" s="806"/>
      <c r="AW20" s="806"/>
      <c r="AX20" s="806"/>
      <c r="AY20" s="806"/>
      <c r="AZ20" s="806"/>
      <c r="BA20" s="806"/>
      <c r="BB20" s="806"/>
      <c r="BC20" s="290"/>
      <c r="BD20" s="290"/>
      <c r="BE20" s="290"/>
      <c r="BV20" s="1430"/>
      <c r="CB20" s="1518"/>
      <c r="DC20" s="3219">
        <v>0</v>
      </c>
      <c r="DE20" s="3219">
        <v>0</v>
      </c>
      <c r="DG20" s="3219">
        <v>0</v>
      </c>
      <c r="DI20" s="3219">
        <v>0</v>
      </c>
      <c r="DK20" s="3219">
        <v>0</v>
      </c>
    </row>
    <row r="21" spans="1:115" ht="16.350000000000001" customHeight="1" x14ac:dyDescent="0.25">
      <c r="A21" s="7257" t="s">
        <v>4281</v>
      </c>
      <c r="B21" s="397" t="s">
        <v>547</v>
      </c>
      <c r="C21" s="265" t="s">
        <v>5369</v>
      </c>
      <c r="D21" s="279" t="s">
        <v>5370</v>
      </c>
      <c r="E21" s="184" t="s">
        <v>5371</v>
      </c>
      <c r="F21" s="93" t="s">
        <v>5372</v>
      </c>
      <c r="G21" s="170" t="s">
        <v>5373</v>
      </c>
      <c r="H21" s="93" t="s">
        <v>5374</v>
      </c>
      <c r="I21" s="170" t="s">
        <v>5375</v>
      </c>
      <c r="J21" s="93" t="s">
        <v>5376</v>
      </c>
      <c r="K21" s="96" t="s">
        <v>5377</v>
      </c>
      <c r="L21" s="131" t="s">
        <v>5378</v>
      </c>
      <c r="M21" s="96" t="s">
        <v>5379</v>
      </c>
      <c r="N21" s="93" t="s">
        <v>5380</v>
      </c>
      <c r="O21" s="96" t="s">
        <v>5381</v>
      </c>
      <c r="P21" s="137" t="s">
        <v>5382</v>
      </c>
      <c r="Q21" s="138" t="s">
        <v>5383</v>
      </c>
      <c r="R21" s="137" t="s">
        <v>5384</v>
      </c>
      <c r="S21" s="138" t="s">
        <v>5385</v>
      </c>
      <c r="T21" s="137" t="s">
        <v>5386</v>
      </c>
      <c r="U21" s="138" t="s">
        <v>5387</v>
      </c>
      <c r="V21" s="137" t="s">
        <v>5388</v>
      </c>
      <c r="W21" s="138" t="s">
        <v>5389</v>
      </c>
      <c r="X21" s="137" t="s">
        <v>5390</v>
      </c>
      <c r="Y21" s="138" t="s">
        <v>5391</v>
      </c>
      <c r="Z21" s="137" t="s">
        <v>5392</v>
      </c>
      <c r="AA21" s="138" t="s">
        <v>5393</v>
      </c>
      <c r="AB21" s="137" t="s">
        <v>5394</v>
      </c>
      <c r="AC21" s="138" t="s">
        <v>5395</v>
      </c>
      <c r="AD21" s="93" t="s">
        <v>5396</v>
      </c>
      <c r="AE21" s="96" t="s">
        <v>5397</v>
      </c>
      <c r="AF21" s="93" t="s">
        <v>5398</v>
      </c>
      <c r="AG21" s="96" t="s">
        <v>5399</v>
      </c>
      <c r="AH21" s="340" t="s">
        <v>5400</v>
      </c>
      <c r="AI21" s="96" t="s">
        <v>5401</v>
      </c>
      <c r="AJ21" s="93" t="s">
        <v>5402</v>
      </c>
      <c r="AK21" s="96" t="s">
        <v>5403</v>
      </c>
      <c r="AL21" s="93" t="s">
        <v>5404</v>
      </c>
      <c r="AM21" s="96" t="s">
        <v>5405</v>
      </c>
      <c r="AN21" s="400" t="s">
        <v>5406</v>
      </c>
      <c r="AO21" s="240" t="s">
        <v>5407</v>
      </c>
      <c r="AP21" s="1774" t="s">
        <v>5408</v>
      </c>
      <c r="AQ21" s="1774" t="s">
        <v>5409</v>
      </c>
      <c r="AR21" s="401" t="s">
        <v>5410</v>
      </c>
      <c r="AS21" s="401" t="s">
        <v>5411</v>
      </c>
      <c r="AT21" s="2979" t="s">
        <v>5412</v>
      </c>
      <c r="AU21" s="1471"/>
      <c r="AV21" s="806"/>
      <c r="AW21" s="806"/>
      <c r="AX21" s="806"/>
      <c r="AY21" s="806"/>
      <c r="AZ21" s="806"/>
      <c r="BA21" s="806"/>
      <c r="BB21" s="806"/>
      <c r="BC21" s="290"/>
      <c r="BD21" s="290"/>
      <c r="BE21" s="290"/>
      <c r="BV21" s="1430"/>
      <c r="CB21" s="1518"/>
      <c r="DC21" s="3219">
        <v>0</v>
      </c>
      <c r="DE21" s="3219">
        <v>0</v>
      </c>
      <c r="DG21" s="3219">
        <v>0</v>
      </c>
      <c r="DI21" s="3219">
        <v>0</v>
      </c>
      <c r="DK21" s="3219">
        <v>0</v>
      </c>
    </row>
    <row r="22" spans="1:115" ht="16.350000000000001" customHeight="1" x14ac:dyDescent="0.25">
      <c r="A22" s="7257" t="s">
        <v>4282</v>
      </c>
      <c r="B22" s="397" t="s">
        <v>548</v>
      </c>
      <c r="C22" s="265" t="s">
        <v>5369</v>
      </c>
      <c r="D22" s="279" t="s">
        <v>5370</v>
      </c>
      <c r="E22" s="399" t="s">
        <v>5371</v>
      </c>
      <c r="F22" s="137" t="s">
        <v>5372</v>
      </c>
      <c r="G22" s="164" t="s">
        <v>5373</v>
      </c>
      <c r="H22" s="137" t="s">
        <v>5374</v>
      </c>
      <c r="I22" s="164" t="s">
        <v>5375</v>
      </c>
      <c r="J22" s="137" t="s">
        <v>5376</v>
      </c>
      <c r="K22" s="138" t="s">
        <v>5377</v>
      </c>
      <c r="L22" s="1780" t="s">
        <v>5378</v>
      </c>
      <c r="M22" s="138" t="s">
        <v>5379</v>
      </c>
      <c r="N22" s="137" t="s">
        <v>5380</v>
      </c>
      <c r="O22" s="138" t="s">
        <v>5381</v>
      </c>
      <c r="P22" s="137" t="s">
        <v>5382</v>
      </c>
      <c r="Q22" s="138" t="s">
        <v>5383</v>
      </c>
      <c r="R22" s="137" t="s">
        <v>5384</v>
      </c>
      <c r="S22" s="138" t="s">
        <v>5385</v>
      </c>
      <c r="T22" s="137" t="s">
        <v>5386</v>
      </c>
      <c r="U22" s="138" t="s">
        <v>5387</v>
      </c>
      <c r="V22" s="137" t="s">
        <v>5388</v>
      </c>
      <c r="W22" s="138" t="s">
        <v>5389</v>
      </c>
      <c r="X22" s="137" t="s">
        <v>5390</v>
      </c>
      <c r="Y22" s="138" t="s">
        <v>5391</v>
      </c>
      <c r="Z22" s="137" t="s">
        <v>5392</v>
      </c>
      <c r="AA22" s="138" t="s">
        <v>5393</v>
      </c>
      <c r="AB22" s="137" t="s">
        <v>5394</v>
      </c>
      <c r="AC22" s="138" t="s">
        <v>5395</v>
      </c>
      <c r="AD22" s="137" t="s">
        <v>5396</v>
      </c>
      <c r="AE22" s="138" t="s">
        <v>5397</v>
      </c>
      <c r="AF22" s="137" t="s">
        <v>5398</v>
      </c>
      <c r="AG22" s="138" t="s">
        <v>5399</v>
      </c>
      <c r="AH22" s="137" t="s">
        <v>5400</v>
      </c>
      <c r="AI22" s="138" t="s">
        <v>5401</v>
      </c>
      <c r="AJ22" s="137" t="s">
        <v>5402</v>
      </c>
      <c r="AK22" s="138" t="s">
        <v>5403</v>
      </c>
      <c r="AL22" s="137" t="s">
        <v>5404</v>
      </c>
      <c r="AM22" s="138" t="s">
        <v>5405</v>
      </c>
      <c r="AN22" s="161" t="s">
        <v>5406</v>
      </c>
      <c r="AO22" s="260" t="s">
        <v>5407</v>
      </c>
      <c r="AP22" s="1774" t="s">
        <v>5408</v>
      </c>
      <c r="AQ22" s="1774" t="s">
        <v>5409</v>
      </c>
      <c r="AR22" s="401" t="s">
        <v>5410</v>
      </c>
      <c r="AS22" s="401" t="s">
        <v>5411</v>
      </c>
      <c r="AT22" s="2979" t="s">
        <v>5412</v>
      </c>
      <c r="AU22" s="1471"/>
      <c r="AV22" s="806"/>
      <c r="AW22" s="806"/>
      <c r="AX22" s="806"/>
      <c r="AY22" s="806"/>
      <c r="AZ22" s="806"/>
      <c r="BA22" s="806"/>
      <c r="BB22" s="806"/>
      <c r="BC22" s="290"/>
      <c r="BD22" s="290"/>
      <c r="BE22" s="290"/>
      <c r="BV22" s="1430"/>
      <c r="DC22" s="3219">
        <v>0</v>
      </c>
      <c r="DE22" s="3219">
        <v>0</v>
      </c>
      <c r="DG22" s="3219">
        <v>0</v>
      </c>
      <c r="DI22" s="3219">
        <v>0</v>
      </c>
      <c r="DK22" s="3219">
        <v>0</v>
      </c>
    </row>
    <row r="23" spans="1:115" ht="16.350000000000001" customHeight="1" x14ac:dyDescent="0.25">
      <c r="A23" s="7257" t="s">
        <v>4283</v>
      </c>
      <c r="B23" s="2098" t="s">
        <v>549</v>
      </c>
      <c r="C23" s="265" t="s">
        <v>5369</v>
      </c>
      <c r="D23" s="279" t="s">
        <v>5370</v>
      </c>
      <c r="E23" s="399" t="s">
        <v>5371</v>
      </c>
      <c r="F23" s="137" t="s">
        <v>5372</v>
      </c>
      <c r="G23" s="164" t="s">
        <v>5373</v>
      </c>
      <c r="H23" s="137" t="s">
        <v>5374</v>
      </c>
      <c r="I23" s="164" t="s">
        <v>5375</v>
      </c>
      <c r="J23" s="137" t="s">
        <v>5376</v>
      </c>
      <c r="K23" s="138" t="s">
        <v>5377</v>
      </c>
      <c r="L23" s="1780" t="s">
        <v>5378</v>
      </c>
      <c r="M23" s="138" t="s">
        <v>5379</v>
      </c>
      <c r="N23" s="137" t="s">
        <v>5380</v>
      </c>
      <c r="O23" s="138" t="s">
        <v>5381</v>
      </c>
      <c r="P23" s="137" t="s">
        <v>5382</v>
      </c>
      <c r="Q23" s="138" t="s">
        <v>5383</v>
      </c>
      <c r="R23" s="137" t="s">
        <v>5384</v>
      </c>
      <c r="S23" s="138" t="s">
        <v>5385</v>
      </c>
      <c r="T23" s="137" t="s">
        <v>5386</v>
      </c>
      <c r="U23" s="138" t="s">
        <v>5387</v>
      </c>
      <c r="V23" s="137" t="s">
        <v>5388</v>
      </c>
      <c r="W23" s="138" t="s">
        <v>5389</v>
      </c>
      <c r="X23" s="137" t="s">
        <v>5390</v>
      </c>
      <c r="Y23" s="138" t="s">
        <v>5391</v>
      </c>
      <c r="Z23" s="137" t="s">
        <v>5392</v>
      </c>
      <c r="AA23" s="138" t="s">
        <v>5393</v>
      </c>
      <c r="AB23" s="137" t="s">
        <v>5394</v>
      </c>
      <c r="AC23" s="138" t="s">
        <v>5395</v>
      </c>
      <c r="AD23" s="137" t="s">
        <v>5396</v>
      </c>
      <c r="AE23" s="138" t="s">
        <v>5397</v>
      </c>
      <c r="AF23" s="137" t="s">
        <v>5398</v>
      </c>
      <c r="AG23" s="138" t="s">
        <v>5399</v>
      </c>
      <c r="AH23" s="137" t="s">
        <v>5400</v>
      </c>
      <c r="AI23" s="138" t="s">
        <v>5401</v>
      </c>
      <c r="AJ23" s="137" t="s">
        <v>5402</v>
      </c>
      <c r="AK23" s="138" t="s">
        <v>5403</v>
      </c>
      <c r="AL23" s="137" t="s">
        <v>5404</v>
      </c>
      <c r="AM23" s="138" t="s">
        <v>5405</v>
      </c>
      <c r="AN23" s="161" t="s">
        <v>5406</v>
      </c>
      <c r="AO23" s="260" t="s">
        <v>5407</v>
      </c>
      <c r="AP23" s="1774" t="s">
        <v>5408</v>
      </c>
      <c r="AQ23" s="1774" t="s">
        <v>5409</v>
      </c>
      <c r="AR23" s="401" t="s">
        <v>5410</v>
      </c>
      <c r="AS23" s="401" t="s">
        <v>5411</v>
      </c>
      <c r="AT23" s="2979" t="s">
        <v>5412</v>
      </c>
      <c r="AU23" s="1471"/>
      <c r="AV23" s="806"/>
      <c r="AW23" s="806"/>
      <c r="AX23" s="806"/>
      <c r="AY23" s="806"/>
      <c r="AZ23" s="806"/>
      <c r="BA23" s="806"/>
      <c r="BB23" s="806"/>
      <c r="BC23" s="290"/>
      <c r="BD23" s="290"/>
      <c r="BE23" s="290"/>
      <c r="BV23" s="1430"/>
      <c r="DC23" s="3219">
        <v>0</v>
      </c>
      <c r="DE23" s="3219">
        <v>0</v>
      </c>
      <c r="DG23" s="3219">
        <v>0</v>
      </c>
      <c r="DI23" s="3219">
        <v>0</v>
      </c>
      <c r="DK23" s="3219">
        <v>0</v>
      </c>
    </row>
    <row r="24" spans="1:115" ht="16.350000000000001" customHeight="1" x14ac:dyDescent="0.25">
      <c r="A24" s="7257" t="s">
        <v>4284</v>
      </c>
      <c r="B24" s="2098" t="s">
        <v>550</v>
      </c>
      <c r="C24" s="275" t="s">
        <v>5369</v>
      </c>
      <c r="D24" s="276" t="s">
        <v>5370</v>
      </c>
      <c r="E24" s="184" t="s">
        <v>5371</v>
      </c>
      <c r="F24" s="131" t="s">
        <v>5372</v>
      </c>
      <c r="G24" s="121" t="s">
        <v>5373</v>
      </c>
      <c r="H24" s="137" t="s">
        <v>5374</v>
      </c>
      <c r="I24" s="164" t="s">
        <v>5375</v>
      </c>
      <c r="J24" s="137" t="s">
        <v>5376</v>
      </c>
      <c r="K24" s="138" t="s">
        <v>5377</v>
      </c>
      <c r="L24" s="1780" t="s">
        <v>5378</v>
      </c>
      <c r="M24" s="138" t="s">
        <v>5379</v>
      </c>
      <c r="N24" s="137" t="s">
        <v>5380</v>
      </c>
      <c r="O24" s="138" t="s">
        <v>5381</v>
      </c>
      <c r="P24" s="137" t="s">
        <v>5382</v>
      </c>
      <c r="Q24" s="138" t="s">
        <v>5383</v>
      </c>
      <c r="R24" s="137" t="s">
        <v>5384</v>
      </c>
      <c r="S24" s="138" t="s">
        <v>5385</v>
      </c>
      <c r="T24" s="137" t="s">
        <v>5386</v>
      </c>
      <c r="U24" s="138" t="s">
        <v>5387</v>
      </c>
      <c r="V24" s="137" t="s">
        <v>5388</v>
      </c>
      <c r="W24" s="138" t="s">
        <v>5389</v>
      </c>
      <c r="X24" s="137" t="s">
        <v>5390</v>
      </c>
      <c r="Y24" s="138" t="s">
        <v>5391</v>
      </c>
      <c r="Z24" s="137" t="s">
        <v>5392</v>
      </c>
      <c r="AA24" s="138" t="s">
        <v>5393</v>
      </c>
      <c r="AB24" s="137" t="s">
        <v>5394</v>
      </c>
      <c r="AC24" s="138" t="s">
        <v>5395</v>
      </c>
      <c r="AD24" s="137" t="s">
        <v>5396</v>
      </c>
      <c r="AE24" s="138" t="s">
        <v>5397</v>
      </c>
      <c r="AF24" s="137" t="s">
        <v>5398</v>
      </c>
      <c r="AG24" s="138" t="s">
        <v>5399</v>
      </c>
      <c r="AH24" s="137" t="s">
        <v>5400</v>
      </c>
      <c r="AI24" s="138" t="s">
        <v>5401</v>
      </c>
      <c r="AJ24" s="137" t="s">
        <v>5402</v>
      </c>
      <c r="AK24" s="138" t="s">
        <v>5403</v>
      </c>
      <c r="AL24" s="137" t="s">
        <v>5404</v>
      </c>
      <c r="AM24" s="138" t="s">
        <v>5405</v>
      </c>
      <c r="AN24" s="161" t="s">
        <v>5406</v>
      </c>
      <c r="AO24" s="260" t="s">
        <v>5407</v>
      </c>
      <c r="AP24" s="1774" t="s">
        <v>5408</v>
      </c>
      <c r="AQ24" s="1774" t="s">
        <v>5409</v>
      </c>
      <c r="AR24" s="401" t="s">
        <v>5410</v>
      </c>
      <c r="AS24" s="401" t="s">
        <v>5411</v>
      </c>
      <c r="AT24" s="2979" t="s">
        <v>5412</v>
      </c>
      <c r="AU24" s="1471"/>
      <c r="AV24" s="806"/>
      <c r="AW24" s="806"/>
      <c r="AX24" s="806"/>
      <c r="AY24" s="806"/>
      <c r="AZ24" s="806"/>
      <c r="BA24" s="806"/>
      <c r="BB24" s="806"/>
      <c r="BC24" s="290"/>
      <c r="BD24" s="290"/>
      <c r="BE24" s="290"/>
      <c r="BV24" s="1430"/>
      <c r="DC24" s="3219">
        <v>0</v>
      </c>
      <c r="DE24" s="3219">
        <v>0</v>
      </c>
      <c r="DG24" s="3219">
        <v>0</v>
      </c>
      <c r="DI24" s="3219">
        <v>0</v>
      </c>
      <c r="DK24" s="3219">
        <v>0</v>
      </c>
    </row>
    <row r="25" spans="1:115" ht="16.350000000000001" customHeight="1" x14ac:dyDescent="0.25">
      <c r="A25" s="7257" t="s">
        <v>4285</v>
      </c>
      <c r="B25" s="2098" t="s">
        <v>318</v>
      </c>
      <c r="C25" s="275" t="s">
        <v>5369</v>
      </c>
      <c r="D25" s="276" t="s">
        <v>5370</v>
      </c>
      <c r="E25" s="184" t="s">
        <v>5371</v>
      </c>
      <c r="F25" s="1781" t="s">
        <v>5372</v>
      </c>
      <c r="G25" s="96" t="s">
        <v>5373</v>
      </c>
      <c r="H25" s="93" t="s">
        <v>5374</v>
      </c>
      <c r="I25" s="170" t="s">
        <v>5375</v>
      </c>
      <c r="J25" s="93" t="s">
        <v>5376</v>
      </c>
      <c r="K25" s="170" t="s">
        <v>5377</v>
      </c>
      <c r="L25" s="93" t="s">
        <v>5378</v>
      </c>
      <c r="M25" s="170" t="s">
        <v>5379</v>
      </c>
      <c r="N25" s="137" t="s">
        <v>5380</v>
      </c>
      <c r="O25" s="138" t="s">
        <v>5381</v>
      </c>
      <c r="P25" s="137" t="s">
        <v>5382</v>
      </c>
      <c r="Q25" s="138" t="s">
        <v>5383</v>
      </c>
      <c r="R25" s="137" t="s">
        <v>5384</v>
      </c>
      <c r="S25" s="138" t="s">
        <v>5385</v>
      </c>
      <c r="T25" s="137" t="s">
        <v>5386</v>
      </c>
      <c r="U25" s="138" t="s">
        <v>5387</v>
      </c>
      <c r="V25" s="137" t="s">
        <v>5388</v>
      </c>
      <c r="W25" s="138" t="s">
        <v>5389</v>
      </c>
      <c r="X25" s="137" t="s">
        <v>5390</v>
      </c>
      <c r="Y25" s="138" t="s">
        <v>5391</v>
      </c>
      <c r="Z25" s="137" t="s">
        <v>5392</v>
      </c>
      <c r="AA25" s="138" t="s">
        <v>5393</v>
      </c>
      <c r="AB25" s="137" t="s">
        <v>5394</v>
      </c>
      <c r="AC25" s="138" t="s">
        <v>5395</v>
      </c>
      <c r="AD25" s="137" t="s">
        <v>5396</v>
      </c>
      <c r="AE25" s="138" t="s">
        <v>5397</v>
      </c>
      <c r="AF25" s="137" t="s">
        <v>5398</v>
      </c>
      <c r="AG25" s="138" t="s">
        <v>5399</v>
      </c>
      <c r="AH25" s="137" t="s">
        <v>5400</v>
      </c>
      <c r="AI25" s="138" t="s">
        <v>5401</v>
      </c>
      <c r="AJ25" s="137" t="s">
        <v>5402</v>
      </c>
      <c r="AK25" s="138" t="s">
        <v>5403</v>
      </c>
      <c r="AL25" s="137" t="s">
        <v>5404</v>
      </c>
      <c r="AM25" s="138" t="s">
        <v>5405</v>
      </c>
      <c r="AN25" s="161" t="s">
        <v>5406</v>
      </c>
      <c r="AO25" s="260" t="s">
        <v>5407</v>
      </c>
      <c r="AP25" s="1774" t="s">
        <v>5408</v>
      </c>
      <c r="AQ25" s="1774" t="s">
        <v>5409</v>
      </c>
      <c r="AR25" s="401" t="s">
        <v>5410</v>
      </c>
      <c r="AS25" s="401" t="s">
        <v>5411</v>
      </c>
      <c r="AT25" s="2979" t="s">
        <v>5412</v>
      </c>
      <c r="AU25" s="1471"/>
      <c r="AV25" s="806"/>
      <c r="AW25" s="806"/>
      <c r="AX25" s="806"/>
      <c r="AY25" s="806"/>
      <c r="AZ25" s="806"/>
      <c r="BA25" s="806"/>
      <c r="BB25" s="806"/>
      <c r="BC25" s="290"/>
      <c r="BD25" s="290"/>
      <c r="BE25" s="290"/>
      <c r="BV25" s="1430"/>
      <c r="DC25" s="3219">
        <v>0</v>
      </c>
      <c r="DE25" s="3219">
        <v>0</v>
      </c>
      <c r="DG25" s="3219">
        <v>0</v>
      </c>
      <c r="DI25" s="3219">
        <v>0</v>
      </c>
      <c r="DK25" s="3219">
        <v>0</v>
      </c>
    </row>
    <row r="26" spans="1:115" ht="16.350000000000001" customHeight="1" x14ac:dyDescent="0.25">
      <c r="A26" s="7257" t="s">
        <v>4286</v>
      </c>
      <c r="B26" s="318" t="s">
        <v>551</v>
      </c>
      <c r="C26" s="219" t="s">
        <v>5369</v>
      </c>
      <c r="D26" s="272" t="s">
        <v>5370</v>
      </c>
      <c r="E26" s="402" t="s">
        <v>5371</v>
      </c>
      <c r="F26" s="1745" t="s">
        <v>5372</v>
      </c>
      <c r="G26" s="101" t="s">
        <v>5373</v>
      </c>
      <c r="H26" s="125" t="s">
        <v>5374</v>
      </c>
      <c r="I26" s="127" t="s">
        <v>5375</v>
      </c>
      <c r="J26" s="125" t="s">
        <v>5376</v>
      </c>
      <c r="K26" s="101" t="s">
        <v>5377</v>
      </c>
      <c r="L26" s="1656" t="s">
        <v>5378</v>
      </c>
      <c r="M26" s="101" t="s">
        <v>5379</v>
      </c>
      <c r="N26" s="125" t="s">
        <v>5380</v>
      </c>
      <c r="O26" s="101" t="s">
        <v>5381</v>
      </c>
      <c r="P26" s="125" t="s">
        <v>5382</v>
      </c>
      <c r="Q26" s="101" t="s">
        <v>5383</v>
      </c>
      <c r="R26" s="125" t="s">
        <v>5384</v>
      </c>
      <c r="S26" s="101" t="s">
        <v>5385</v>
      </c>
      <c r="T26" s="125" t="s">
        <v>5386</v>
      </c>
      <c r="U26" s="101" t="s">
        <v>5387</v>
      </c>
      <c r="V26" s="125" t="s">
        <v>5388</v>
      </c>
      <c r="W26" s="101" t="s">
        <v>5389</v>
      </c>
      <c r="X26" s="125" t="s">
        <v>5390</v>
      </c>
      <c r="Y26" s="101" t="s">
        <v>5391</v>
      </c>
      <c r="Z26" s="125" t="s">
        <v>5392</v>
      </c>
      <c r="AA26" s="101" t="s">
        <v>5393</v>
      </c>
      <c r="AB26" s="125" t="s">
        <v>5394</v>
      </c>
      <c r="AC26" s="101" t="s">
        <v>5395</v>
      </c>
      <c r="AD26" s="125" t="s">
        <v>5396</v>
      </c>
      <c r="AE26" s="101" t="s">
        <v>5397</v>
      </c>
      <c r="AF26" s="125" t="s">
        <v>5398</v>
      </c>
      <c r="AG26" s="101" t="s">
        <v>5399</v>
      </c>
      <c r="AH26" s="125" t="s">
        <v>5400</v>
      </c>
      <c r="AI26" s="101" t="s">
        <v>5401</v>
      </c>
      <c r="AJ26" s="125" t="s">
        <v>5402</v>
      </c>
      <c r="AK26" s="101" t="s">
        <v>5403</v>
      </c>
      <c r="AL26" s="125" t="s">
        <v>5404</v>
      </c>
      <c r="AM26" s="101" t="s">
        <v>5405</v>
      </c>
      <c r="AN26" s="159" t="s">
        <v>5406</v>
      </c>
      <c r="AO26" s="198" t="s">
        <v>5407</v>
      </c>
      <c r="AP26" s="188" t="s">
        <v>5408</v>
      </c>
      <c r="AQ26" s="188" t="s">
        <v>5409</v>
      </c>
      <c r="AR26" s="187" t="s">
        <v>5410</v>
      </c>
      <c r="AS26" s="187" t="s">
        <v>5411</v>
      </c>
      <c r="AT26" s="2976" t="s">
        <v>5412</v>
      </c>
      <c r="AU26" s="1471"/>
      <c r="AV26" s="806"/>
      <c r="AW26" s="806"/>
      <c r="AX26" s="806"/>
      <c r="AY26" s="806"/>
      <c r="AZ26" s="806"/>
      <c r="BA26" s="806"/>
      <c r="BB26" s="806"/>
      <c r="BC26" s="290"/>
      <c r="BD26" s="290"/>
      <c r="BE26" s="290"/>
      <c r="BV26" s="1430"/>
      <c r="DC26" s="3219">
        <v>0</v>
      </c>
      <c r="DE26" s="3219">
        <v>0</v>
      </c>
      <c r="DG26" s="3219">
        <v>0</v>
      </c>
      <c r="DI26" s="3219">
        <v>0</v>
      </c>
      <c r="DK26" s="3219">
        <v>0</v>
      </c>
    </row>
    <row r="27" spans="1:115" ht="31.35" customHeight="1" x14ac:dyDescent="0.25">
      <c r="B27" s="133" t="s">
        <v>552</v>
      </c>
      <c r="C27" s="72"/>
      <c r="D27" s="72"/>
      <c r="E27" s="72"/>
      <c r="F27" s="72"/>
      <c r="G27" s="367"/>
      <c r="H27" s="367" t="s">
        <v>45</v>
      </c>
      <c r="I27" s="403"/>
      <c r="J27" s="403"/>
      <c r="K27" s="367"/>
      <c r="L27" s="367"/>
      <c r="M27" s="367"/>
      <c r="N27" s="367"/>
      <c r="O27" s="367"/>
      <c r="P27" s="367"/>
      <c r="Q27" s="367"/>
      <c r="R27" s="367"/>
      <c r="S27" s="367"/>
      <c r="T27" s="367"/>
      <c r="U27" s="367"/>
      <c r="V27" s="367"/>
      <c r="W27" s="367"/>
      <c r="X27" s="367"/>
      <c r="Y27" s="367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1519"/>
      <c r="AR27" s="405"/>
      <c r="AS27" s="288"/>
      <c r="AT27" s="290"/>
      <c r="AU27" s="290"/>
      <c r="AV27" s="290"/>
      <c r="AW27" s="290"/>
      <c r="AX27" s="290"/>
      <c r="AY27" s="290"/>
      <c r="AZ27" s="290"/>
      <c r="BA27" s="290"/>
      <c r="BB27" s="290"/>
      <c r="BC27" s="290"/>
      <c r="BD27" s="290"/>
      <c r="BE27" s="290"/>
      <c r="BF27" s="290"/>
      <c r="BG27" s="290"/>
      <c r="BH27" s="290"/>
    </row>
    <row r="28" spans="1:115" ht="20.100000000000001" customHeight="1" x14ac:dyDescent="0.25">
      <c r="B28" s="8977" t="s">
        <v>0</v>
      </c>
      <c r="C28" s="8979" t="s">
        <v>1</v>
      </c>
      <c r="D28" s="8980"/>
      <c r="E28" s="8938"/>
      <c r="F28" s="8805" t="s">
        <v>55</v>
      </c>
      <c r="G28" s="8955"/>
      <c r="H28" s="8955"/>
      <c r="I28" s="8955"/>
      <c r="J28" s="8955"/>
      <c r="K28" s="8955"/>
      <c r="L28" s="8955"/>
      <c r="M28" s="8955"/>
      <c r="N28" s="8955"/>
      <c r="O28" s="8955"/>
      <c r="P28" s="8955"/>
      <c r="Q28" s="8955"/>
      <c r="R28" s="8955"/>
      <c r="S28" s="8955"/>
      <c r="T28" s="8955"/>
      <c r="U28" s="8955"/>
      <c r="V28" s="8955"/>
      <c r="W28" s="8955"/>
      <c r="X28" s="8955"/>
      <c r="Y28" s="8955"/>
      <c r="Z28" s="8955"/>
      <c r="AA28" s="8955"/>
      <c r="AB28" s="8955"/>
      <c r="AC28" s="8955"/>
      <c r="AD28" s="8955"/>
      <c r="AE28" s="8955"/>
      <c r="AF28" s="8955"/>
      <c r="AG28" s="8955"/>
      <c r="AH28" s="8955"/>
      <c r="AI28" s="8955"/>
      <c r="AJ28" s="8955"/>
      <c r="AK28" s="8955"/>
      <c r="AL28" s="8955"/>
      <c r="AM28" s="8955"/>
      <c r="AN28" s="8955"/>
      <c r="AO28" s="8956"/>
      <c r="AP28" s="8939" t="s">
        <v>362</v>
      </c>
      <c r="AQ28" s="8939" t="s">
        <v>361</v>
      </c>
      <c r="AR28" s="8939" t="s">
        <v>417</v>
      </c>
      <c r="AS28" s="8938" t="s">
        <v>2956</v>
      </c>
      <c r="AT28" s="8938" t="s">
        <v>2615</v>
      </c>
      <c r="AU28" s="290"/>
      <c r="AV28" s="290"/>
      <c r="AW28" s="290"/>
      <c r="AX28" s="290"/>
      <c r="AY28" s="290"/>
      <c r="AZ28" s="290"/>
      <c r="BA28" s="290"/>
      <c r="BB28" s="290"/>
      <c r="BC28" s="290"/>
      <c r="BD28" s="290"/>
      <c r="BE28" s="290"/>
      <c r="BF28" s="290"/>
      <c r="BG28" s="290"/>
      <c r="BH28" s="290"/>
    </row>
    <row r="29" spans="1:115" ht="20.100000000000001" customHeight="1" x14ac:dyDescent="0.25">
      <c r="B29" s="8619"/>
      <c r="C29" s="8981"/>
      <c r="D29" s="8598"/>
      <c r="E29" s="8615"/>
      <c r="F29" s="8957" t="s">
        <v>3540</v>
      </c>
      <c r="G29" s="8958"/>
      <c r="H29" s="8562" t="s">
        <v>1620</v>
      </c>
      <c r="I29" s="8954"/>
      <c r="J29" s="8562" t="s">
        <v>1415</v>
      </c>
      <c r="K29" s="8954"/>
      <c r="L29" s="8562" t="s">
        <v>32</v>
      </c>
      <c r="M29" s="8954"/>
      <c r="N29" s="8562" t="s">
        <v>33</v>
      </c>
      <c r="O29" s="8954"/>
      <c r="P29" s="8562" t="s">
        <v>40</v>
      </c>
      <c r="Q29" s="8954"/>
      <c r="R29" s="8562" t="s">
        <v>82</v>
      </c>
      <c r="S29" s="8954"/>
      <c r="T29" s="8562" t="s">
        <v>83</v>
      </c>
      <c r="U29" s="8954"/>
      <c r="V29" s="8562" t="s">
        <v>400</v>
      </c>
      <c r="W29" s="8954"/>
      <c r="X29" s="8562" t="s">
        <v>124</v>
      </c>
      <c r="Y29" s="8954"/>
      <c r="Z29" s="8562" t="s">
        <v>125</v>
      </c>
      <c r="AA29" s="8954"/>
      <c r="AB29" s="8562" t="s">
        <v>126</v>
      </c>
      <c r="AC29" s="8954"/>
      <c r="AD29" s="8562" t="s">
        <v>127</v>
      </c>
      <c r="AE29" s="8954"/>
      <c r="AF29" s="8562" t="s">
        <v>128</v>
      </c>
      <c r="AG29" s="8954"/>
      <c r="AH29" s="8562" t="s">
        <v>129</v>
      </c>
      <c r="AI29" s="8954"/>
      <c r="AJ29" s="8562" t="s">
        <v>130</v>
      </c>
      <c r="AK29" s="8954"/>
      <c r="AL29" s="8562" t="s">
        <v>131</v>
      </c>
      <c r="AM29" s="8954"/>
      <c r="AN29" s="8805" t="s">
        <v>1919</v>
      </c>
      <c r="AO29" s="8956"/>
      <c r="AP29" s="8705"/>
      <c r="AQ29" s="8705"/>
      <c r="AR29" s="8705"/>
      <c r="AS29" s="8622"/>
      <c r="AT29" s="8622"/>
      <c r="AU29" s="290"/>
      <c r="AV29" s="290"/>
      <c r="AW29" s="290"/>
      <c r="AX29" s="290"/>
      <c r="AY29" s="290"/>
      <c r="AZ29" s="290"/>
      <c r="BA29" s="290"/>
      <c r="BB29" s="290"/>
      <c r="BC29" s="290"/>
      <c r="BD29" s="290"/>
      <c r="BE29" s="290"/>
      <c r="BF29" s="290"/>
      <c r="BG29" s="290"/>
      <c r="BH29" s="290"/>
    </row>
    <row r="30" spans="1:115" ht="28.2" customHeight="1" x14ac:dyDescent="0.25">
      <c r="B30" s="8978"/>
      <c r="C30" s="2173" t="s">
        <v>42</v>
      </c>
      <c r="D30" s="2174" t="s">
        <v>17</v>
      </c>
      <c r="E30" s="2080" t="s">
        <v>18</v>
      </c>
      <c r="F30" s="1683" t="s">
        <v>17</v>
      </c>
      <c r="G30" s="3285" t="s">
        <v>18</v>
      </c>
      <c r="H30" s="1683" t="s">
        <v>17</v>
      </c>
      <c r="I30" s="3285" t="s">
        <v>18</v>
      </c>
      <c r="J30" s="1683" t="s">
        <v>17</v>
      </c>
      <c r="K30" s="3285" t="s">
        <v>18</v>
      </c>
      <c r="L30" s="1683" t="s">
        <v>17</v>
      </c>
      <c r="M30" s="3285" t="s">
        <v>18</v>
      </c>
      <c r="N30" s="1683" t="s">
        <v>17</v>
      </c>
      <c r="O30" s="3285" t="s">
        <v>18</v>
      </c>
      <c r="P30" s="1683" t="s">
        <v>17</v>
      </c>
      <c r="Q30" s="3285" t="s">
        <v>18</v>
      </c>
      <c r="R30" s="1683" t="s">
        <v>17</v>
      </c>
      <c r="S30" s="3285" t="s">
        <v>18</v>
      </c>
      <c r="T30" s="1683" t="s">
        <v>17</v>
      </c>
      <c r="U30" s="3285" t="s">
        <v>18</v>
      </c>
      <c r="V30" s="1683" t="s">
        <v>17</v>
      </c>
      <c r="W30" s="3285" t="s">
        <v>18</v>
      </c>
      <c r="X30" s="1683" t="s">
        <v>17</v>
      </c>
      <c r="Y30" s="3285" t="s">
        <v>18</v>
      </c>
      <c r="Z30" s="1683" t="s">
        <v>17</v>
      </c>
      <c r="AA30" s="3285" t="s">
        <v>18</v>
      </c>
      <c r="AB30" s="1683" t="s">
        <v>17</v>
      </c>
      <c r="AC30" s="3285" t="s">
        <v>18</v>
      </c>
      <c r="AD30" s="1683" t="s">
        <v>17</v>
      </c>
      <c r="AE30" s="3285" t="s">
        <v>18</v>
      </c>
      <c r="AF30" s="1683" t="s">
        <v>17</v>
      </c>
      <c r="AG30" s="3285" t="s">
        <v>18</v>
      </c>
      <c r="AH30" s="1683" t="s">
        <v>17</v>
      </c>
      <c r="AI30" s="3285" t="s">
        <v>18</v>
      </c>
      <c r="AJ30" s="1683" t="s">
        <v>17</v>
      </c>
      <c r="AK30" s="3285" t="s">
        <v>18</v>
      </c>
      <c r="AL30" s="3261" t="s">
        <v>17</v>
      </c>
      <c r="AM30" s="3285" t="s">
        <v>18</v>
      </c>
      <c r="AN30" s="1683" t="s">
        <v>17</v>
      </c>
      <c r="AO30" s="1769" t="s">
        <v>18</v>
      </c>
      <c r="AP30" s="8940"/>
      <c r="AQ30" s="8940"/>
      <c r="AR30" s="8940"/>
      <c r="AS30" s="8615"/>
      <c r="AT30" s="8615"/>
      <c r="AU30" s="290"/>
      <c r="AV30" s="290"/>
      <c r="AW30" s="290"/>
      <c r="AX30" s="290"/>
      <c r="AY30" s="290"/>
      <c r="AZ30" s="290"/>
      <c r="BA30" s="290"/>
      <c r="BB30" s="290"/>
      <c r="BC30" s="290"/>
      <c r="BD30" s="290"/>
      <c r="BE30" s="290"/>
      <c r="BF30" s="290"/>
      <c r="BG30" s="290"/>
      <c r="BH30" s="290"/>
    </row>
    <row r="31" spans="1:115" ht="16.350000000000001" customHeight="1" x14ac:dyDescent="0.25">
      <c r="A31" s="7257" t="s">
        <v>4287</v>
      </c>
      <c r="B31" s="76" t="s">
        <v>23</v>
      </c>
      <c r="C31" s="273" t="s">
        <v>5369</v>
      </c>
      <c r="D31" s="274" t="s">
        <v>5370</v>
      </c>
      <c r="E31" s="394" t="s">
        <v>5371</v>
      </c>
      <c r="F31" s="1735" t="s">
        <v>5372</v>
      </c>
      <c r="G31" s="1696" t="s">
        <v>5373</v>
      </c>
      <c r="H31" s="1735" t="s">
        <v>5374</v>
      </c>
      <c r="I31" s="1763" t="s">
        <v>5375</v>
      </c>
      <c r="J31" s="1735" t="s">
        <v>5376</v>
      </c>
      <c r="K31" s="1763" t="s">
        <v>5377</v>
      </c>
      <c r="L31" s="1735" t="s">
        <v>5378</v>
      </c>
      <c r="M31" s="1763" t="s">
        <v>5379</v>
      </c>
      <c r="N31" s="1735" t="s">
        <v>5380</v>
      </c>
      <c r="O31" s="1763" t="s">
        <v>5381</v>
      </c>
      <c r="P31" s="1735" t="s">
        <v>5382</v>
      </c>
      <c r="Q31" s="1763" t="s">
        <v>5383</v>
      </c>
      <c r="R31" s="1707" t="s">
        <v>5384</v>
      </c>
      <c r="S31" s="1763" t="s">
        <v>5385</v>
      </c>
      <c r="T31" s="1735" t="s">
        <v>5386</v>
      </c>
      <c r="U31" s="1763" t="s">
        <v>5387</v>
      </c>
      <c r="V31" s="1735" t="s">
        <v>5388</v>
      </c>
      <c r="W31" s="1763" t="s">
        <v>5389</v>
      </c>
      <c r="X31" s="1735" t="s">
        <v>5390</v>
      </c>
      <c r="Y31" s="1763" t="s">
        <v>5391</v>
      </c>
      <c r="Z31" s="1735" t="s">
        <v>5392</v>
      </c>
      <c r="AA31" s="1763" t="s">
        <v>5393</v>
      </c>
      <c r="AB31" s="1735" t="s">
        <v>5394</v>
      </c>
      <c r="AC31" s="1763" t="s">
        <v>5395</v>
      </c>
      <c r="AD31" s="1707" t="s">
        <v>5396</v>
      </c>
      <c r="AE31" s="1763" t="s">
        <v>5397</v>
      </c>
      <c r="AF31" s="1735" t="s">
        <v>5398</v>
      </c>
      <c r="AG31" s="1763" t="s">
        <v>5399</v>
      </c>
      <c r="AH31" s="1707" t="s">
        <v>5400</v>
      </c>
      <c r="AI31" s="1763" t="s">
        <v>5401</v>
      </c>
      <c r="AJ31" s="1735" t="s">
        <v>5402</v>
      </c>
      <c r="AK31" s="1763" t="s">
        <v>5403</v>
      </c>
      <c r="AL31" s="1707" t="s">
        <v>5404</v>
      </c>
      <c r="AM31" s="1763" t="s">
        <v>5405</v>
      </c>
      <c r="AN31" s="1694" t="s">
        <v>5406</v>
      </c>
      <c r="AO31" s="1770" t="s">
        <v>5407</v>
      </c>
      <c r="AP31" s="1764" t="s">
        <v>5408</v>
      </c>
      <c r="AQ31" s="1764" t="s">
        <v>5409</v>
      </c>
      <c r="AR31" s="1764" t="s">
        <v>5410</v>
      </c>
      <c r="AS31" s="395" t="s">
        <v>5411</v>
      </c>
      <c r="AT31" s="395"/>
      <c r="AU31" s="1471"/>
      <c r="AV31" s="806"/>
      <c r="AW31" s="806"/>
      <c r="AX31" s="806"/>
      <c r="AY31" s="806"/>
      <c r="AZ31" s="806"/>
      <c r="BA31" s="806"/>
      <c r="BB31" s="806"/>
      <c r="BC31" s="806"/>
      <c r="BD31" s="290"/>
      <c r="BE31" s="290"/>
      <c r="BF31" s="290"/>
      <c r="BG31" s="290"/>
      <c r="BH31" s="290"/>
      <c r="CB31" s="1518"/>
      <c r="CC31" s="1518"/>
      <c r="DB31" s="3219">
        <v>0</v>
      </c>
      <c r="DC31" s="3219">
        <v>0</v>
      </c>
      <c r="DD31" s="3219">
        <v>0</v>
      </c>
      <c r="DE31" s="3219">
        <v>0</v>
      </c>
      <c r="DF31" s="3219">
        <v>0</v>
      </c>
      <c r="DG31" s="3219">
        <v>0</v>
      </c>
      <c r="DH31" s="3219">
        <v>0</v>
      </c>
      <c r="DI31" s="3219">
        <v>0</v>
      </c>
      <c r="DJ31" s="3219">
        <v>0</v>
      </c>
      <c r="DK31" s="3219">
        <v>0</v>
      </c>
    </row>
    <row r="32" spans="1:115" ht="16.350000000000001" customHeight="1" x14ac:dyDescent="0.25">
      <c r="A32" s="7257" t="s">
        <v>4288</v>
      </c>
      <c r="B32" s="109" t="s">
        <v>553</v>
      </c>
      <c r="C32" s="275" t="s">
        <v>5369</v>
      </c>
      <c r="D32" s="276" t="s">
        <v>5370</v>
      </c>
      <c r="E32" s="184" t="s">
        <v>5371</v>
      </c>
      <c r="F32" s="110" t="s">
        <v>5372</v>
      </c>
      <c r="G32" s="144" t="s">
        <v>5373</v>
      </c>
      <c r="H32" s="110" t="s">
        <v>5374</v>
      </c>
      <c r="I32" s="122" t="s">
        <v>5375</v>
      </c>
      <c r="J32" s="110" t="s">
        <v>5376</v>
      </c>
      <c r="K32" s="122" t="s">
        <v>5377</v>
      </c>
      <c r="L32" s="110" t="s">
        <v>5378</v>
      </c>
      <c r="M32" s="122" t="s">
        <v>5379</v>
      </c>
      <c r="N32" s="110" t="s">
        <v>5380</v>
      </c>
      <c r="O32" s="122" t="s">
        <v>5381</v>
      </c>
      <c r="P32" s="110" t="s">
        <v>5382</v>
      </c>
      <c r="Q32" s="122" t="s">
        <v>5383</v>
      </c>
      <c r="R32" s="136" t="s">
        <v>5384</v>
      </c>
      <c r="S32" s="122" t="s">
        <v>5385</v>
      </c>
      <c r="T32" s="110" t="s">
        <v>5386</v>
      </c>
      <c r="U32" s="122" t="s">
        <v>5387</v>
      </c>
      <c r="V32" s="110" t="s">
        <v>5388</v>
      </c>
      <c r="W32" s="122" t="s">
        <v>5389</v>
      </c>
      <c r="X32" s="110" t="s">
        <v>5390</v>
      </c>
      <c r="Y32" s="122" t="s">
        <v>5391</v>
      </c>
      <c r="Z32" s="110" t="s">
        <v>5392</v>
      </c>
      <c r="AA32" s="122" t="s">
        <v>5393</v>
      </c>
      <c r="AB32" s="110" t="s">
        <v>5394</v>
      </c>
      <c r="AC32" s="122" t="s">
        <v>5395</v>
      </c>
      <c r="AD32" s="136" t="s">
        <v>5396</v>
      </c>
      <c r="AE32" s="122" t="s">
        <v>5397</v>
      </c>
      <c r="AF32" s="110" t="s">
        <v>5398</v>
      </c>
      <c r="AG32" s="122" t="s">
        <v>5399</v>
      </c>
      <c r="AH32" s="136" t="s">
        <v>5400</v>
      </c>
      <c r="AI32" s="122" t="s">
        <v>5401</v>
      </c>
      <c r="AJ32" s="110" t="s">
        <v>5402</v>
      </c>
      <c r="AK32" s="122" t="s">
        <v>5403</v>
      </c>
      <c r="AL32" s="136" t="s">
        <v>5404</v>
      </c>
      <c r="AM32" s="122" t="s">
        <v>5405</v>
      </c>
      <c r="AN32" s="112" t="s">
        <v>5406</v>
      </c>
      <c r="AO32" s="197" t="s">
        <v>5407</v>
      </c>
      <c r="AP32" s="1765" t="s">
        <v>5408</v>
      </c>
      <c r="AQ32" s="1765" t="s">
        <v>5409</v>
      </c>
      <c r="AR32" s="1765" t="s">
        <v>5410</v>
      </c>
      <c r="AS32" s="186" t="s">
        <v>5411</v>
      </c>
      <c r="AT32" s="186" t="s">
        <v>5412</v>
      </c>
      <c r="AU32" s="1471"/>
      <c r="AV32" s="806"/>
      <c r="AW32" s="806"/>
      <c r="AX32" s="806"/>
      <c r="AY32" s="806"/>
      <c r="AZ32" s="806"/>
      <c r="BA32" s="806"/>
      <c r="BB32" s="806"/>
      <c r="BC32" s="806"/>
      <c r="BD32" s="290"/>
      <c r="BE32" s="290"/>
      <c r="BF32" s="290"/>
      <c r="BG32" s="290"/>
      <c r="BH32" s="290"/>
      <c r="CC32" s="1518"/>
    </row>
    <row r="33" spans="1:115" ht="16.350000000000001" customHeight="1" x14ac:dyDescent="0.25">
      <c r="A33" s="7257" t="s">
        <v>4289</v>
      </c>
      <c r="B33" s="87" t="s">
        <v>554</v>
      </c>
      <c r="C33" s="275" t="s">
        <v>5369</v>
      </c>
      <c r="D33" s="276" t="s">
        <v>5370</v>
      </c>
      <c r="E33" s="399" t="s">
        <v>5371</v>
      </c>
      <c r="F33" s="110" t="s">
        <v>5372</v>
      </c>
      <c r="G33" s="144" t="s">
        <v>5373</v>
      </c>
      <c r="H33" s="110" t="s">
        <v>5374</v>
      </c>
      <c r="I33" s="122" t="s">
        <v>5375</v>
      </c>
      <c r="J33" s="110" t="s">
        <v>5376</v>
      </c>
      <c r="K33" s="122" t="s">
        <v>5377</v>
      </c>
      <c r="L33" s="110" t="s">
        <v>5378</v>
      </c>
      <c r="M33" s="122" t="s">
        <v>5379</v>
      </c>
      <c r="N33" s="110" t="s">
        <v>5380</v>
      </c>
      <c r="O33" s="122" t="s">
        <v>5381</v>
      </c>
      <c r="P33" s="110" t="s">
        <v>5382</v>
      </c>
      <c r="Q33" s="122" t="s">
        <v>5383</v>
      </c>
      <c r="R33" s="136" t="s">
        <v>5384</v>
      </c>
      <c r="S33" s="122" t="s">
        <v>5385</v>
      </c>
      <c r="T33" s="110" t="s">
        <v>5386</v>
      </c>
      <c r="U33" s="122" t="s">
        <v>5387</v>
      </c>
      <c r="V33" s="110" t="s">
        <v>5388</v>
      </c>
      <c r="W33" s="122" t="s">
        <v>5389</v>
      </c>
      <c r="X33" s="110" t="s">
        <v>5390</v>
      </c>
      <c r="Y33" s="122" t="s">
        <v>5391</v>
      </c>
      <c r="Z33" s="110" t="s">
        <v>5392</v>
      </c>
      <c r="AA33" s="122" t="s">
        <v>5393</v>
      </c>
      <c r="AB33" s="110" t="s">
        <v>5394</v>
      </c>
      <c r="AC33" s="122" t="s">
        <v>5395</v>
      </c>
      <c r="AD33" s="136" t="s">
        <v>5396</v>
      </c>
      <c r="AE33" s="122" t="s">
        <v>5397</v>
      </c>
      <c r="AF33" s="110" t="s">
        <v>5398</v>
      </c>
      <c r="AG33" s="122" t="s">
        <v>5399</v>
      </c>
      <c r="AH33" s="136" t="s">
        <v>5400</v>
      </c>
      <c r="AI33" s="122" t="s">
        <v>5401</v>
      </c>
      <c r="AJ33" s="110" t="s">
        <v>5402</v>
      </c>
      <c r="AK33" s="122" t="s">
        <v>5403</v>
      </c>
      <c r="AL33" s="136" t="s">
        <v>5404</v>
      </c>
      <c r="AM33" s="122" t="s">
        <v>5405</v>
      </c>
      <c r="AN33" s="112" t="s">
        <v>5406</v>
      </c>
      <c r="AO33" s="197" t="s">
        <v>5407</v>
      </c>
      <c r="AP33" s="1766" t="s">
        <v>5408</v>
      </c>
      <c r="AQ33" s="1766" t="s">
        <v>5409</v>
      </c>
      <c r="AR33" s="1766" t="s">
        <v>5410</v>
      </c>
      <c r="AS33" s="185" t="s">
        <v>5411</v>
      </c>
      <c r="AT33" s="185" t="s">
        <v>5412</v>
      </c>
      <c r="AU33" s="1471"/>
      <c r="AV33" s="806"/>
      <c r="AW33" s="806"/>
      <c r="AX33" s="806"/>
      <c r="AY33" s="806"/>
      <c r="AZ33" s="806"/>
      <c r="BA33" s="806"/>
      <c r="BB33" s="806"/>
      <c r="BC33" s="806"/>
      <c r="BD33" s="290"/>
      <c r="BE33" s="290"/>
      <c r="BF33" s="290"/>
      <c r="BG33" s="290"/>
      <c r="BH33" s="290"/>
      <c r="CC33" s="1518"/>
      <c r="DC33" s="3219">
        <v>0</v>
      </c>
      <c r="DE33" s="3219">
        <v>0</v>
      </c>
      <c r="DG33" s="3219">
        <v>0</v>
      </c>
      <c r="DI33" s="3219">
        <v>0</v>
      </c>
      <c r="DK33" s="3219">
        <v>0</v>
      </c>
    </row>
    <row r="34" spans="1:115" ht="16.350000000000001" customHeight="1" x14ac:dyDescent="0.25">
      <c r="A34" s="7257" t="s">
        <v>4290</v>
      </c>
      <c r="B34" s="87" t="s">
        <v>555</v>
      </c>
      <c r="C34" s="275" t="s">
        <v>5369</v>
      </c>
      <c r="D34" s="276" t="s">
        <v>5370</v>
      </c>
      <c r="E34" s="399" t="s">
        <v>5371</v>
      </c>
      <c r="F34" s="93" t="s">
        <v>5372</v>
      </c>
      <c r="G34" s="170" t="s">
        <v>5373</v>
      </c>
      <c r="H34" s="93" t="s">
        <v>5374</v>
      </c>
      <c r="I34" s="96" t="s">
        <v>5375</v>
      </c>
      <c r="J34" s="93" t="s">
        <v>5376</v>
      </c>
      <c r="K34" s="96" t="s">
        <v>5377</v>
      </c>
      <c r="L34" s="93" t="s">
        <v>5378</v>
      </c>
      <c r="M34" s="96" t="s">
        <v>5379</v>
      </c>
      <c r="N34" s="93" t="s">
        <v>5380</v>
      </c>
      <c r="O34" s="96" t="s">
        <v>5381</v>
      </c>
      <c r="P34" s="110" t="s">
        <v>5382</v>
      </c>
      <c r="Q34" s="122" t="s">
        <v>5383</v>
      </c>
      <c r="R34" s="136" t="s">
        <v>5384</v>
      </c>
      <c r="S34" s="122" t="s">
        <v>5385</v>
      </c>
      <c r="T34" s="110" t="s">
        <v>5386</v>
      </c>
      <c r="U34" s="122" t="s">
        <v>5387</v>
      </c>
      <c r="V34" s="110" t="s">
        <v>5388</v>
      </c>
      <c r="W34" s="122" t="s">
        <v>5389</v>
      </c>
      <c r="X34" s="110" t="s">
        <v>5390</v>
      </c>
      <c r="Y34" s="122" t="s">
        <v>5391</v>
      </c>
      <c r="Z34" s="110" t="s">
        <v>5392</v>
      </c>
      <c r="AA34" s="122" t="s">
        <v>5393</v>
      </c>
      <c r="AB34" s="110" t="s">
        <v>5394</v>
      </c>
      <c r="AC34" s="138" t="s">
        <v>5395</v>
      </c>
      <c r="AD34" s="740" t="s">
        <v>5396</v>
      </c>
      <c r="AE34" s="96" t="s">
        <v>5397</v>
      </c>
      <c r="AF34" s="93" t="s">
        <v>5398</v>
      </c>
      <c r="AG34" s="96" t="s">
        <v>5399</v>
      </c>
      <c r="AH34" s="740" t="s">
        <v>5400</v>
      </c>
      <c r="AI34" s="96" t="s">
        <v>5401</v>
      </c>
      <c r="AJ34" s="93" t="s">
        <v>5402</v>
      </c>
      <c r="AK34" s="96" t="s">
        <v>5403</v>
      </c>
      <c r="AL34" s="740" t="s">
        <v>5404</v>
      </c>
      <c r="AM34" s="96" t="s">
        <v>5405</v>
      </c>
      <c r="AN34" s="773" t="s">
        <v>5406</v>
      </c>
      <c r="AO34" s="240" t="s">
        <v>5407</v>
      </c>
      <c r="AP34" s="1766" t="s">
        <v>5408</v>
      </c>
      <c r="AQ34" s="1766" t="s">
        <v>5409</v>
      </c>
      <c r="AR34" s="1766" t="s">
        <v>5410</v>
      </c>
      <c r="AS34" s="185" t="s">
        <v>5411</v>
      </c>
      <c r="AT34" s="185" t="s">
        <v>5412</v>
      </c>
      <c r="AU34" s="1471"/>
      <c r="AV34" s="806"/>
      <c r="AW34" s="806"/>
      <c r="AX34" s="806"/>
      <c r="AY34" s="806"/>
      <c r="AZ34" s="806"/>
      <c r="BA34" s="806"/>
      <c r="BB34" s="806"/>
      <c r="BC34" s="806"/>
      <c r="BD34" s="290"/>
      <c r="BE34" s="290"/>
      <c r="BF34" s="290"/>
      <c r="BG34" s="290"/>
      <c r="BH34" s="290"/>
      <c r="CC34" s="1518"/>
    </row>
    <row r="35" spans="1:115" ht="16.350000000000001" customHeight="1" x14ac:dyDescent="0.25">
      <c r="A35" s="7257" t="s">
        <v>4291</v>
      </c>
      <c r="B35" s="87" t="s">
        <v>556</v>
      </c>
      <c r="C35" s="1762" t="s">
        <v>5369</v>
      </c>
      <c r="D35" s="1761" t="s">
        <v>5370</v>
      </c>
      <c r="E35" s="399" t="s">
        <v>5371</v>
      </c>
      <c r="F35" s="110" t="s">
        <v>5372</v>
      </c>
      <c r="G35" s="144" t="s">
        <v>5373</v>
      </c>
      <c r="H35" s="110" t="s">
        <v>5374</v>
      </c>
      <c r="I35" s="122" t="s">
        <v>5375</v>
      </c>
      <c r="J35" s="110" t="s">
        <v>5376</v>
      </c>
      <c r="K35" s="122" t="s">
        <v>5377</v>
      </c>
      <c r="L35" s="110" t="s">
        <v>5378</v>
      </c>
      <c r="M35" s="122" t="s">
        <v>5379</v>
      </c>
      <c r="N35" s="110" t="s">
        <v>5380</v>
      </c>
      <c r="O35" s="122" t="s">
        <v>5381</v>
      </c>
      <c r="P35" s="110" t="s">
        <v>5382</v>
      </c>
      <c r="Q35" s="122" t="s">
        <v>5383</v>
      </c>
      <c r="R35" s="136" t="s">
        <v>5384</v>
      </c>
      <c r="S35" s="122" t="s">
        <v>5385</v>
      </c>
      <c r="T35" s="110" t="s">
        <v>5386</v>
      </c>
      <c r="U35" s="122" t="s">
        <v>5387</v>
      </c>
      <c r="V35" s="110" t="s">
        <v>5388</v>
      </c>
      <c r="W35" s="122" t="s">
        <v>5389</v>
      </c>
      <c r="X35" s="110" t="s">
        <v>5390</v>
      </c>
      <c r="Y35" s="122" t="s">
        <v>5391</v>
      </c>
      <c r="Z35" s="110" t="s">
        <v>5392</v>
      </c>
      <c r="AA35" s="122" t="s">
        <v>5393</v>
      </c>
      <c r="AB35" s="110" t="s">
        <v>5394</v>
      </c>
      <c r="AC35" s="122" t="s">
        <v>5395</v>
      </c>
      <c r="AD35" s="136" t="s">
        <v>5396</v>
      </c>
      <c r="AE35" s="122" t="s">
        <v>5397</v>
      </c>
      <c r="AF35" s="110" t="s">
        <v>5398</v>
      </c>
      <c r="AG35" s="122" t="s">
        <v>5399</v>
      </c>
      <c r="AH35" s="136" t="s">
        <v>5400</v>
      </c>
      <c r="AI35" s="122" t="s">
        <v>5401</v>
      </c>
      <c r="AJ35" s="110" t="s">
        <v>5402</v>
      </c>
      <c r="AK35" s="122" t="s">
        <v>5403</v>
      </c>
      <c r="AL35" s="136" t="s">
        <v>5404</v>
      </c>
      <c r="AM35" s="122" t="s">
        <v>5405</v>
      </c>
      <c r="AN35" s="112" t="s">
        <v>5406</v>
      </c>
      <c r="AO35" s="197" t="s">
        <v>5407</v>
      </c>
      <c r="AP35" s="1765" t="s">
        <v>5408</v>
      </c>
      <c r="AQ35" s="1765" t="s">
        <v>5409</v>
      </c>
      <c r="AR35" s="1765" t="s">
        <v>5410</v>
      </c>
      <c r="AS35" s="186" t="s">
        <v>5411</v>
      </c>
      <c r="AT35" s="186" t="s">
        <v>5412</v>
      </c>
      <c r="AU35" s="1471"/>
      <c r="AV35" s="806"/>
      <c r="AW35" s="806"/>
      <c r="AX35" s="806"/>
      <c r="AY35" s="806"/>
      <c r="AZ35" s="806"/>
      <c r="BA35" s="806"/>
      <c r="BB35" s="806"/>
      <c r="BC35" s="806"/>
      <c r="BD35" s="290"/>
      <c r="BE35" s="290"/>
      <c r="BF35" s="290"/>
      <c r="BG35" s="290"/>
      <c r="BH35" s="290"/>
      <c r="CC35" s="1518"/>
      <c r="DC35" s="3219">
        <v>0</v>
      </c>
      <c r="DE35" s="3219">
        <v>0</v>
      </c>
      <c r="DG35" s="3219">
        <v>0</v>
      </c>
      <c r="DI35" s="3219">
        <v>0</v>
      </c>
      <c r="DK35" s="3219">
        <v>0</v>
      </c>
    </row>
    <row r="36" spans="1:115" ht="16.350000000000001" customHeight="1" x14ac:dyDescent="0.25">
      <c r="A36" s="7257" t="s">
        <v>4292</v>
      </c>
      <c r="B36" s="87" t="s">
        <v>557</v>
      </c>
      <c r="C36" s="2820" t="s">
        <v>5369</v>
      </c>
      <c r="D36" s="1761" t="s">
        <v>5370</v>
      </c>
      <c r="E36" s="399" t="s">
        <v>5371</v>
      </c>
      <c r="F36" s="727" t="s">
        <v>5372</v>
      </c>
      <c r="G36" s="776" t="s">
        <v>5373</v>
      </c>
      <c r="H36" s="727" t="s">
        <v>5374</v>
      </c>
      <c r="I36" s="792" t="s">
        <v>5375</v>
      </c>
      <c r="J36" s="727" t="s">
        <v>5376</v>
      </c>
      <c r="K36" s="792" t="s">
        <v>5377</v>
      </c>
      <c r="L36" s="110" t="s">
        <v>5378</v>
      </c>
      <c r="M36" s="122" t="s">
        <v>5379</v>
      </c>
      <c r="N36" s="110" t="s">
        <v>5380</v>
      </c>
      <c r="O36" s="122" t="s">
        <v>5381</v>
      </c>
      <c r="P36" s="110" t="s">
        <v>5382</v>
      </c>
      <c r="Q36" s="122" t="s">
        <v>5383</v>
      </c>
      <c r="R36" s="136" t="s">
        <v>5384</v>
      </c>
      <c r="S36" s="122" t="s">
        <v>5385</v>
      </c>
      <c r="T36" s="110" t="s">
        <v>5386</v>
      </c>
      <c r="U36" s="122" t="s">
        <v>5387</v>
      </c>
      <c r="V36" s="110" t="s">
        <v>5388</v>
      </c>
      <c r="W36" s="122" t="s">
        <v>5389</v>
      </c>
      <c r="X36" s="110" t="s">
        <v>5390</v>
      </c>
      <c r="Y36" s="122" t="s">
        <v>5391</v>
      </c>
      <c r="Z36" s="110" t="s">
        <v>5392</v>
      </c>
      <c r="AA36" s="122" t="s">
        <v>5393</v>
      </c>
      <c r="AB36" s="110" t="s">
        <v>5394</v>
      </c>
      <c r="AC36" s="122" t="s">
        <v>5395</v>
      </c>
      <c r="AD36" s="136" t="s">
        <v>5396</v>
      </c>
      <c r="AE36" s="122" t="s">
        <v>5397</v>
      </c>
      <c r="AF36" s="110" t="s">
        <v>5398</v>
      </c>
      <c r="AG36" s="122" t="s">
        <v>5399</v>
      </c>
      <c r="AH36" s="136" t="s">
        <v>5400</v>
      </c>
      <c r="AI36" s="122" t="s">
        <v>5401</v>
      </c>
      <c r="AJ36" s="110" t="s">
        <v>5402</v>
      </c>
      <c r="AK36" s="122" t="s">
        <v>5403</v>
      </c>
      <c r="AL36" s="136" t="s">
        <v>5404</v>
      </c>
      <c r="AM36" s="122" t="s">
        <v>5405</v>
      </c>
      <c r="AN36" s="112" t="s">
        <v>5406</v>
      </c>
      <c r="AO36" s="197" t="s">
        <v>5407</v>
      </c>
      <c r="AP36" s="1765" t="s">
        <v>5408</v>
      </c>
      <c r="AQ36" s="1765" t="s">
        <v>5409</v>
      </c>
      <c r="AR36" s="1765" t="s">
        <v>5410</v>
      </c>
      <c r="AS36" s="186" t="s">
        <v>5411</v>
      </c>
      <c r="AT36" s="186" t="s">
        <v>5412</v>
      </c>
      <c r="AU36" s="1471"/>
      <c r="AV36" s="806"/>
      <c r="AW36" s="806"/>
      <c r="AX36" s="806"/>
      <c r="AY36" s="806"/>
      <c r="AZ36" s="806"/>
      <c r="BA36" s="806"/>
      <c r="BB36" s="806"/>
      <c r="BC36" s="806"/>
      <c r="BD36" s="290"/>
      <c r="BE36" s="290"/>
      <c r="BF36" s="290"/>
      <c r="BG36" s="290"/>
      <c r="BH36" s="290"/>
      <c r="CC36" s="1518"/>
      <c r="DC36" s="3219">
        <v>0</v>
      </c>
      <c r="DE36" s="3219">
        <v>0</v>
      </c>
      <c r="DG36" s="3219">
        <v>0</v>
      </c>
      <c r="DI36" s="3219">
        <v>0</v>
      </c>
      <c r="DK36" s="3219">
        <v>0</v>
      </c>
    </row>
    <row r="37" spans="1:115" ht="16.350000000000001" customHeight="1" x14ac:dyDescent="0.25">
      <c r="A37" s="7259" t="s">
        <v>4293</v>
      </c>
      <c r="B37" s="87" t="s">
        <v>3674</v>
      </c>
      <c r="C37" s="280" t="s">
        <v>5369</v>
      </c>
      <c r="D37" s="1761" t="s">
        <v>5370</v>
      </c>
      <c r="E37" s="399" t="s">
        <v>5371</v>
      </c>
      <c r="F37" s="1855" t="s">
        <v>5372</v>
      </c>
      <c r="G37" s="3651" t="s">
        <v>5373</v>
      </c>
      <c r="H37" s="1855" t="s">
        <v>5374</v>
      </c>
      <c r="I37" s="1856" t="s">
        <v>5375</v>
      </c>
      <c r="J37" s="1855" t="s">
        <v>5376</v>
      </c>
      <c r="K37" s="1856" t="s">
        <v>5377</v>
      </c>
      <c r="L37" s="1842" t="s">
        <v>5378</v>
      </c>
      <c r="M37" s="1844" t="s">
        <v>5379</v>
      </c>
      <c r="N37" s="1842" t="s">
        <v>5380</v>
      </c>
      <c r="O37" s="1844" t="s">
        <v>5381</v>
      </c>
      <c r="P37" s="1842" t="s">
        <v>5382</v>
      </c>
      <c r="Q37" s="1844" t="s">
        <v>5383</v>
      </c>
      <c r="R37" s="1853" t="s">
        <v>5384</v>
      </c>
      <c r="S37" s="1844" t="s">
        <v>5385</v>
      </c>
      <c r="T37" s="1842" t="s">
        <v>5386</v>
      </c>
      <c r="U37" s="1844" t="s">
        <v>5387</v>
      </c>
      <c r="V37" s="1842" t="s">
        <v>5388</v>
      </c>
      <c r="W37" s="1844" t="s">
        <v>5389</v>
      </c>
      <c r="X37" s="1842" t="s">
        <v>5390</v>
      </c>
      <c r="Y37" s="1844" t="s">
        <v>5391</v>
      </c>
      <c r="Z37" s="1842" t="s">
        <v>5392</v>
      </c>
      <c r="AA37" s="1844" t="s">
        <v>5393</v>
      </c>
      <c r="AB37" s="1842" t="s">
        <v>5394</v>
      </c>
      <c r="AC37" s="1844" t="s">
        <v>5395</v>
      </c>
      <c r="AD37" s="1853" t="s">
        <v>5396</v>
      </c>
      <c r="AE37" s="1844" t="s">
        <v>5397</v>
      </c>
      <c r="AF37" s="1842" t="s">
        <v>5398</v>
      </c>
      <c r="AG37" s="1844" t="s">
        <v>5399</v>
      </c>
      <c r="AH37" s="1853" t="s">
        <v>5400</v>
      </c>
      <c r="AI37" s="1844" t="s">
        <v>5401</v>
      </c>
      <c r="AJ37" s="1842" t="s">
        <v>5402</v>
      </c>
      <c r="AK37" s="1844" t="s">
        <v>5403</v>
      </c>
      <c r="AL37" s="1853" t="s">
        <v>5404</v>
      </c>
      <c r="AM37" s="1844" t="s">
        <v>5405</v>
      </c>
      <c r="AN37" s="3649" t="s">
        <v>5406</v>
      </c>
      <c r="AO37" s="1834" t="s">
        <v>5407</v>
      </c>
      <c r="AP37" s="3519" t="s">
        <v>5408</v>
      </c>
      <c r="AQ37" s="3519" t="s">
        <v>5409</v>
      </c>
      <c r="AR37" s="3519" t="s">
        <v>5410</v>
      </c>
      <c r="AS37" s="2925" t="s">
        <v>5411</v>
      </c>
      <c r="AT37" s="2925" t="s">
        <v>5412</v>
      </c>
      <c r="AU37" s="1471"/>
      <c r="AV37" s="806"/>
      <c r="AW37" s="806"/>
      <c r="AX37" s="806"/>
      <c r="AY37" s="806"/>
      <c r="AZ37" s="806"/>
      <c r="BA37" s="806"/>
      <c r="BB37" s="806"/>
      <c r="BC37" s="806"/>
      <c r="BD37" s="290"/>
      <c r="BE37" s="290"/>
      <c r="BF37" s="290"/>
      <c r="BG37" s="290"/>
      <c r="BH37" s="290"/>
      <c r="CC37" s="1518"/>
      <c r="DC37" s="3219">
        <v>0</v>
      </c>
      <c r="DE37" s="3219">
        <v>0</v>
      </c>
      <c r="DG37" s="3219">
        <v>0</v>
      </c>
      <c r="DI37" s="3219">
        <v>0</v>
      </c>
      <c r="DK37" s="3219">
        <v>0</v>
      </c>
    </row>
    <row r="38" spans="1:115" ht="16.350000000000001" customHeight="1" x14ac:dyDescent="0.25">
      <c r="A38" s="7257" t="s">
        <v>4294</v>
      </c>
      <c r="B38" s="2098" t="s">
        <v>558</v>
      </c>
      <c r="C38" s="275" t="s">
        <v>5369</v>
      </c>
      <c r="D38" s="276" t="s">
        <v>5370</v>
      </c>
      <c r="E38" s="184" t="s">
        <v>5371</v>
      </c>
      <c r="F38" s="110" t="s">
        <v>5372</v>
      </c>
      <c r="G38" s="144" t="s">
        <v>5373</v>
      </c>
      <c r="H38" s="110" t="s">
        <v>5374</v>
      </c>
      <c r="I38" s="122" t="s">
        <v>5375</v>
      </c>
      <c r="J38" s="110" t="s">
        <v>5376</v>
      </c>
      <c r="K38" s="122" t="s">
        <v>5377</v>
      </c>
      <c r="L38" s="110" t="s">
        <v>5378</v>
      </c>
      <c r="M38" s="122" t="s">
        <v>5379</v>
      </c>
      <c r="N38" s="110" t="s">
        <v>5380</v>
      </c>
      <c r="O38" s="122" t="s">
        <v>5381</v>
      </c>
      <c r="P38" s="110" t="s">
        <v>5382</v>
      </c>
      <c r="Q38" s="122" t="s">
        <v>5383</v>
      </c>
      <c r="R38" s="136" t="s">
        <v>5384</v>
      </c>
      <c r="S38" s="122" t="s">
        <v>5385</v>
      </c>
      <c r="T38" s="110" t="s">
        <v>5386</v>
      </c>
      <c r="U38" s="122" t="s">
        <v>5387</v>
      </c>
      <c r="V38" s="110" t="s">
        <v>5388</v>
      </c>
      <c r="W38" s="122" t="s">
        <v>5389</v>
      </c>
      <c r="X38" s="110" t="s">
        <v>5390</v>
      </c>
      <c r="Y38" s="122" t="s">
        <v>5391</v>
      </c>
      <c r="Z38" s="110" t="s">
        <v>5392</v>
      </c>
      <c r="AA38" s="122" t="s">
        <v>5393</v>
      </c>
      <c r="AB38" s="110" t="s">
        <v>5394</v>
      </c>
      <c r="AC38" s="122" t="s">
        <v>5395</v>
      </c>
      <c r="AD38" s="136" t="s">
        <v>5396</v>
      </c>
      <c r="AE38" s="122" t="s">
        <v>5397</v>
      </c>
      <c r="AF38" s="110" t="s">
        <v>5398</v>
      </c>
      <c r="AG38" s="122" t="s">
        <v>5399</v>
      </c>
      <c r="AH38" s="136" t="s">
        <v>5400</v>
      </c>
      <c r="AI38" s="122" t="s">
        <v>5401</v>
      </c>
      <c r="AJ38" s="110" t="s">
        <v>5402</v>
      </c>
      <c r="AK38" s="122" t="s">
        <v>5403</v>
      </c>
      <c r="AL38" s="136" t="s">
        <v>5404</v>
      </c>
      <c r="AM38" s="122" t="s">
        <v>5405</v>
      </c>
      <c r="AN38" s="112" t="s">
        <v>5406</v>
      </c>
      <c r="AO38" s="197" t="s">
        <v>5407</v>
      </c>
      <c r="AP38" s="1766" t="s">
        <v>5408</v>
      </c>
      <c r="AQ38" s="1766" t="s">
        <v>5409</v>
      </c>
      <c r="AR38" s="1766" t="s">
        <v>5410</v>
      </c>
      <c r="AS38" s="185" t="s">
        <v>5411</v>
      </c>
      <c r="AT38" s="185" t="s">
        <v>5412</v>
      </c>
      <c r="AU38" s="1471"/>
      <c r="AV38" s="806"/>
      <c r="AW38" s="806"/>
      <c r="AX38" s="806"/>
      <c r="AY38" s="806"/>
      <c r="AZ38" s="806"/>
      <c r="BA38" s="806"/>
      <c r="BB38" s="806"/>
      <c r="BC38" s="806"/>
      <c r="BD38" s="290"/>
      <c r="BE38" s="290"/>
      <c r="BF38" s="290"/>
      <c r="BG38" s="290"/>
      <c r="BH38" s="290"/>
      <c r="DC38" s="3219">
        <v>0</v>
      </c>
      <c r="DE38" s="3219">
        <v>0</v>
      </c>
      <c r="DG38" s="3219">
        <v>0</v>
      </c>
      <c r="DI38" s="3219">
        <v>0</v>
      </c>
      <c r="DK38" s="3219">
        <v>0</v>
      </c>
    </row>
    <row r="39" spans="1:115" ht="16.350000000000001" customHeight="1" x14ac:dyDescent="0.25">
      <c r="A39" s="7257" t="s">
        <v>4295</v>
      </c>
      <c r="B39" s="2098" t="s">
        <v>559</v>
      </c>
      <c r="C39" s="275" t="s">
        <v>5369</v>
      </c>
      <c r="D39" s="276" t="s">
        <v>5370</v>
      </c>
      <c r="E39" s="184" t="s">
        <v>5371</v>
      </c>
      <c r="F39" s="110" t="s">
        <v>5372</v>
      </c>
      <c r="G39" s="144" t="s">
        <v>5373</v>
      </c>
      <c r="H39" s="110" t="s">
        <v>5374</v>
      </c>
      <c r="I39" s="122" t="s">
        <v>5375</v>
      </c>
      <c r="J39" s="110" t="s">
        <v>5376</v>
      </c>
      <c r="K39" s="122" t="s">
        <v>5377</v>
      </c>
      <c r="L39" s="110" t="s">
        <v>5378</v>
      </c>
      <c r="M39" s="122" t="s">
        <v>5379</v>
      </c>
      <c r="N39" s="110" t="s">
        <v>5380</v>
      </c>
      <c r="O39" s="122" t="s">
        <v>5381</v>
      </c>
      <c r="P39" s="110" t="s">
        <v>5382</v>
      </c>
      <c r="Q39" s="122" t="s">
        <v>5383</v>
      </c>
      <c r="R39" s="136" t="s">
        <v>5384</v>
      </c>
      <c r="S39" s="122" t="s">
        <v>5385</v>
      </c>
      <c r="T39" s="110" t="s">
        <v>5386</v>
      </c>
      <c r="U39" s="122" t="s">
        <v>5387</v>
      </c>
      <c r="V39" s="110" t="s">
        <v>5388</v>
      </c>
      <c r="W39" s="122" t="s">
        <v>5389</v>
      </c>
      <c r="X39" s="110" t="s">
        <v>5390</v>
      </c>
      <c r="Y39" s="122" t="s">
        <v>5391</v>
      </c>
      <c r="Z39" s="110" t="s">
        <v>5392</v>
      </c>
      <c r="AA39" s="122" t="s">
        <v>5393</v>
      </c>
      <c r="AB39" s="110" t="s">
        <v>5394</v>
      </c>
      <c r="AC39" s="122" t="s">
        <v>5395</v>
      </c>
      <c r="AD39" s="136" t="s">
        <v>5396</v>
      </c>
      <c r="AE39" s="122" t="s">
        <v>5397</v>
      </c>
      <c r="AF39" s="110" t="s">
        <v>5398</v>
      </c>
      <c r="AG39" s="122" t="s">
        <v>5399</v>
      </c>
      <c r="AH39" s="136" t="s">
        <v>5400</v>
      </c>
      <c r="AI39" s="122" t="s">
        <v>5401</v>
      </c>
      <c r="AJ39" s="110" t="s">
        <v>5402</v>
      </c>
      <c r="AK39" s="122" t="s">
        <v>5403</v>
      </c>
      <c r="AL39" s="136" t="s">
        <v>5404</v>
      </c>
      <c r="AM39" s="122" t="s">
        <v>5405</v>
      </c>
      <c r="AN39" s="112" t="s">
        <v>5406</v>
      </c>
      <c r="AO39" s="197" t="s">
        <v>5407</v>
      </c>
      <c r="AP39" s="1766" t="s">
        <v>5408</v>
      </c>
      <c r="AQ39" s="1766" t="s">
        <v>5409</v>
      </c>
      <c r="AR39" s="1766" t="s">
        <v>5410</v>
      </c>
      <c r="AS39" s="185" t="s">
        <v>5411</v>
      </c>
      <c r="AT39" s="185" t="s">
        <v>5412</v>
      </c>
      <c r="AU39" s="1471"/>
      <c r="AV39" s="806"/>
      <c r="AW39" s="806"/>
      <c r="AX39" s="806"/>
      <c r="AY39" s="806"/>
      <c r="AZ39" s="806"/>
      <c r="BA39" s="806"/>
      <c r="BB39" s="806"/>
      <c r="BC39" s="806"/>
      <c r="BD39" s="290"/>
      <c r="BE39" s="290"/>
      <c r="BF39" s="290"/>
      <c r="BG39" s="290"/>
      <c r="BH39" s="290"/>
    </row>
    <row r="40" spans="1:115" ht="16.350000000000001" customHeight="1" x14ac:dyDescent="0.25">
      <c r="A40" s="7257" t="s">
        <v>4296</v>
      </c>
      <c r="B40" s="2098" t="s">
        <v>616</v>
      </c>
      <c r="C40" s="275" t="s">
        <v>5369</v>
      </c>
      <c r="D40" s="276" t="s">
        <v>5370</v>
      </c>
      <c r="E40" s="184" t="s">
        <v>5371</v>
      </c>
      <c r="F40" s="110" t="s">
        <v>5372</v>
      </c>
      <c r="G40" s="144" t="s">
        <v>5373</v>
      </c>
      <c r="H40" s="110" t="s">
        <v>5374</v>
      </c>
      <c r="I40" s="122" t="s">
        <v>5375</v>
      </c>
      <c r="J40" s="110" t="s">
        <v>5376</v>
      </c>
      <c r="K40" s="122" t="s">
        <v>5377</v>
      </c>
      <c r="L40" s="110" t="s">
        <v>5378</v>
      </c>
      <c r="M40" s="122" t="s">
        <v>5379</v>
      </c>
      <c r="N40" s="110" t="s">
        <v>5380</v>
      </c>
      <c r="O40" s="122" t="s">
        <v>5381</v>
      </c>
      <c r="P40" s="110" t="s">
        <v>5382</v>
      </c>
      <c r="Q40" s="122" t="s">
        <v>5383</v>
      </c>
      <c r="R40" s="136" t="s">
        <v>5384</v>
      </c>
      <c r="S40" s="122" t="s">
        <v>5385</v>
      </c>
      <c r="T40" s="110" t="s">
        <v>5386</v>
      </c>
      <c r="U40" s="122" t="s">
        <v>5387</v>
      </c>
      <c r="V40" s="110" t="s">
        <v>5388</v>
      </c>
      <c r="W40" s="122" t="s">
        <v>5389</v>
      </c>
      <c r="X40" s="110" t="s">
        <v>5390</v>
      </c>
      <c r="Y40" s="122" t="s">
        <v>5391</v>
      </c>
      <c r="Z40" s="110" t="s">
        <v>5392</v>
      </c>
      <c r="AA40" s="122" t="s">
        <v>5393</v>
      </c>
      <c r="AB40" s="110" t="s">
        <v>5394</v>
      </c>
      <c r="AC40" s="122" t="s">
        <v>5395</v>
      </c>
      <c r="AD40" s="136" t="s">
        <v>5396</v>
      </c>
      <c r="AE40" s="122" t="s">
        <v>5397</v>
      </c>
      <c r="AF40" s="110" t="s">
        <v>5398</v>
      </c>
      <c r="AG40" s="122" t="s">
        <v>5399</v>
      </c>
      <c r="AH40" s="136" t="s">
        <v>5400</v>
      </c>
      <c r="AI40" s="122" t="s">
        <v>5401</v>
      </c>
      <c r="AJ40" s="110" t="s">
        <v>5402</v>
      </c>
      <c r="AK40" s="122" t="s">
        <v>5403</v>
      </c>
      <c r="AL40" s="136" t="s">
        <v>5404</v>
      </c>
      <c r="AM40" s="122" t="s">
        <v>5405</v>
      </c>
      <c r="AN40" s="112" t="s">
        <v>5406</v>
      </c>
      <c r="AO40" s="197" t="s">
        <v>5407</v>
      </c>
      <c r="AP40" s="1766" t="s">
        <v>5408</v>
      </c>
      <c r="AQ40" s="1766" t="s">
        <v>5409</v>
      </c>
      <c r="AR40" s="1766" t="s">
        <v>5410</v>
      </c>
      <c r="AS40" s="185" t="s">
        <v>5411</v>
      </c>
      <c r="AT40" s="185" t="s">
        <v>5412</v>
      </c>
      <c r="AU40" s="1471"/>
      <c r="AV40" s="806"/>
      <c r="AW40" s="806"/>
      <c r="AX40" s="806"/>
      <c r="AY40" s="806"/>
      <c r="AZ40" s="806"/>
      <c r="BA40" s="806"/>
      <c r="BB40" s="806"/>
      <c r="BC40" s="806"/>
      <c r="BD40" s="290"/>
      <c r="BE40" s="290"/>
      <c r="BF40" s="290"/>
      <c r="BG40" s="290"/>
      <c r="BH40" s="290"/>
    </row>
    <row r="41" spans="1:115" ht="16.350000000000001" customHeight="1" x14ac:dyDescent="0.25">
      <c r="A41" s="7257" t="s">
        <v>4297</v>
      </c>
      <c r="B41" s="2098" t="s">
        <v>60</v>
      </c>
      <c r="C41" s="275" t="s">
        <v>5369</v>
      </c>
      <c r="D41" s="276" t="s">
        <v>5370</v>
      </c>
      <c r="E41" s="184" t="s">
        <v>5371</v>
      </c>
      <c r="F41" s="110" t="s">
        <v>5372</v>
      </c>
      <c r="G41" s="144" t="s">
        <v>5373</v>
      </c>
      <c r="H41" s="110" t="s">
        <v>5374</v>
      </c>
      <c r="I41" s="122" t="s">
        <v>5375</v>
      </c>
      <c r="J41" s="110" t="s">
        <v>5376</v>
      </c>
      <c r="K41" s="122" t="s">
        <v>5377</v>
      </c>
      <c r="L41" s="110" t="s">
        <v>5378</v>
      </c>
      <c r="M41" s="122" t="s">
        <v>5379</v>
      </c>
      <c r="N41" s="110" t="s">
        <v>5380</v>
      </c>
      <c r="O41" s="122" t="s">
        <v>5381</v>
      </c>
      <c r="P41" s="110" t="s">
        <v>5382</v>
      </c>
      <c r="Q41" s="122" t="s">
        <v>5383</v>
      </c>
      <c r="R41" s="136" t="s">
        <v>5384</v>
      </c>
      <c r="S41" s="122" t="s">
        <v>5385</v>
      </c>
      <c r="T41" s="110" t="s">
        <v>5386</v>
      </c>
      <c r="U41" s="122" t="s">
        <v>5387</v>
      </c>
      <c r="V41" s="110" t="s">
        <v>5388</v>
      </c>
      <c r="W41" s="122" t="s">
        <v>5389</v>
      </c>
      <c r="X41" s="110" t="s">
        <v>5390</v>
      </c>
      <c r="Y41" s="122" t="s">
        <v>5391</v>
      </c>
      <c r="Z41" s="110" t="s">
        <v>5392</v>
      </c>
      <c r="AA41" s="122" t="s">
        <v>5393</v>
      </c>
      <c r="AB41" s="110" t="s">
        <v>5394</v>
      </c>
      <c r="AC41" s="122" t="s">
        <v>5395</v>
      </c>
      <c r="AD41" s="136" t="s">
        <v>5396</v>
      </c>
      <c r="AE41" s="122" t="s">
        <v>5397</v>
      </c>
      <c r="AF41" s="110" t="s">
        <v>5398</v>
      </c>
      <c r="AG41" s="122" t="s">
        <v>5399</v>
      </c>
      <c r="AH41" s="136" t="s">
        <v>5400</v>
      </c>
      <c r="AI41" s="122" t="s">
        <v>5401</v>
      </c>
      <c r="AJ41" s="110" t="s">
        <v>5402</v>
      </c>
      <c r="AK41" s="122" t="s">
        <v>5403</v>
      </c>
      <c r="AL41" s="136" t="s">
        <v>5404</v>
      </c>
      <c r="AM41" s="122" t="s">
        <v>5405</v>
      </c>
      <c r="AN41" s="112" t="s">
        <v>5406</v>
      </c>
      <c r="AO41" s="197" t="s">
        <v>5407</v>
      </c>
      <c r="AP41" s="1766" t="s">
        <v>5408</v>
      </c>
      <c r="AQ41" s="1766" t="s">
        <v>5409</v>
      </c>
      <c r="AR41" s="1766" t="s">
        <v>5410</v>
      </c>
      <c r="AS41" s="185" t="s">
        <v>5411</v>
      </c>
      <c r="AT41" s="185" t="s">
        <v>5412</v>
      </c>
      <c r="AU41" s="1471"/>
      <c r="AV41" s="806"/>
      <c r="AW41" s="806"/>
      <c r="AX41" s="806"/>
      <c r="AY41" s="806"/>
      <c r="AZ41" s="806"/>
      <c r="BA41" s="806"/>
      <c r="BB41" s="806"/>
      <c r="BC41" s="806"/>
      <c r="BD41" s="290"/>
      <c r="BE41" s="290"/>
      <c r="BF41" s="290"/>
      <c r="BG41" s="290"/>
      <c r="BH41" s="290"/>
    </row>
    <row r="42" spans="1:115" ht="16.350000000000001" customHeight="1" x14ac:dyDescent="0.25">
      <c r="A42" s="7257" t="s">
        <v>4298</v>
      </c>
      <c r="B42" s="2098" t="s">
        <v>2593</v>
      </c>
      <c r="C42" s="275" t="s">
        <v>5369</v>
      </c>
      <c r="D42" s="276" t="s">
        <v>5370</v>
      </c>
      <c r="E42" s="184" t="s">
        <v>5371</v>
      </c>
      <c r="F42" s="110" t="s">
        <v>5372</v>
      </c>
      <c r="G42" s="144" t="s">
        <v>5373</v>
      </c>
      <c r="H42" s="110" t="s">
        <v>5374</v>
      </c>
      <c r="I42" s="122" t="s">
        <v>5375</v>
      </c>
      <c r="J42" s="110" t="s">
        <v>5376</v>
      </c>
      <c r="K42" s="122" t="s">
        <v>5377</v>
      </c>
      <c r="L42" s="110" t="s">
        <v>5378</v>
      </c>
      <c r="M42" s="122" t="s">
        <v>5379</v>
      </c>
      <c r="N42" s="110" t="s">
        <v>5380</v>
      </c>
      <c r="O42" s="122" t="s">
        <v>5381</v>
      </c>
      <c r="P42" s="110" t="s">
        <v>5382</v>
      </c>
      <c r="Q42" s="122" t="s">
        <v>5383</v>
      </c>
      <c r="R42" s="136" t="s">
        <v>5384</v>
      </c>
      <c r="S42" s="122" t="s">
        <v>5385</v>
      </c>
      <c r="T42" s="110" t="s">
        <v>5386</v>
      </c>
      <c r="U42" s="122" t="s">
        <v>5387</v>
      </c>
      <c r="V42" s="110" t="s">
        <v>5388</v>
      </c>
      <c r="W42" s="122" t="s">
        <v>5389</v>
      </c>
      <c r="X42" s="110" t="s">
        <v>5390</v>
      </c>
      <c r="Y42" s="122" t="s">
        <v>5391</v>
      </c>
      <c r="Z42" s="110" t="s">
        <v>5392</v>
      </c>
      <c r="AA42" s="122" t="s">
        <v>5393</v>
      </c>
      <c r="AB42" s="110" t="s">
        <v>5394</v>
      </c>
      <c r="AC42" s="122" t="s">
        <v>5395</v>
      </c>
      <c r="AD42" s="136" t="s">
        <v>5396</v>
      </c>
      <c r="AE42" s="122" t="s">
        <v>5397</v>
      </c>
      <c r="AF42" s="110" t="s">
        <v>5398</v>
      </c>
      <c r="AG42" s="122" t="s">
        <v>5399</v>
      </c>
      <c r="AH42" s="136" t="s">
        <v>5400</v>
      </c>
      <c r="AI42" s="122" t="s">
        <v>5401</v>
      </c>
      <c r="AJ42" s="110" t="s">
        <v>5402</v>
      </c>
      <c r="AK42" s="122" t="s">
        <v>5403</v>
      </c>
      <c r="AL42" s="136" t="s">
        <v>5404</v>
      </c>
      <c r="AM42" s="122" t="s">
        <v>5405</v>
      </c>
      <c r="AN42" s="112" t="s">
        <v>5406</v>
      </c>
      <c r="AO42" s="197" t="s">
        <v>5407</v>
      </c>
      <c r="AP42" s="1767" t="s">
        <v>5408</v>
      </c>
      <c r="AQ42" s="1767" t="s">
        <v>5409</v>
      </c>
      <c r="AR42" s="1767" t="s">
        <v>5410</v>
      </c>
      <c r="AS42" s="401" t="s">
        <v>5411</v>
      </c>
      <c r="AT42" s="401" t="s">
        <v>5412</v>
      </c>
      <c r="AU42" s="1471"/>
      <c r="AV42" s="806"/>
      <c r="AW42" s="806"/>
      <c r="AX42" s="806"/>
      <c r="AY42" s="806"/>
      <c r="AZ42" s="806"/>
      <c r="BA42" s="806"/>
      <c r="BB42" s="806"/>
      <c r="BC42" s="806"/>
      <c r="BD42" s="290"/>
      <c r="BE42" s="290"/>
      <c r="BF42" s="290"/>
      <c r="BG42" s="290"/>
      <c r="BH42" s="290"/>
    </row>
    <row r="43" spans="1:115" ht="16.350000000000001" customHeight="1" x14ac:dyDescent="0.25">
      <c r="A43" s="7257" t="s">
        <v>4299</v>
      </c>
      <c r="B43" s="2098" t="s">
        <v>62</v>
      </c>
      <c r="C43" s="275" t="s">
        <v>5369</v>
      </c>
      <c r="D43" s="276" t="s">
        <v>5370</v>
      </c>
      <c r="E43" s="184" t="s">
        <v>5371</v>
      </c>
      <c r="F43" s="110" t="s">
        <v>5372</v>
      </c>
      <c r="G43" s="144" t="s">
        <v>5373</v>
      </c>
      <c r="H43" s="110" t="s">
        <v>5374</v>
      </c>
      <c r="I43" s="122" t="s">
        <v>5375</v>
      </c>
      <c r="J43" s="110" t="s">
        <v>5376</v>
      </c>
      <c r="K43" s="122" t="s">
        <v>5377</v>
      </c>
      <c r="L43" s="110" t="s">
        <v>5378</v>
      </c>
      <c r="M43" s="122" t="s">
        <v>5379</v>
      </c>
      <c r="N43" s="110" t="s">
        <v>5380</v>
      </c>
      <c r="O43" s="122" t="s">
        <v>5381</v>
      </c>
      <c r="P43" s="110" t="s">
        <v>5382</v>
      </c>
      <c r="Q43" s="122" t="s">
        <v>5383</v>
      </c>
      <c r="R43" s="136" t="s">
        <v>5384</v>
      </c>
      <c r="S43" s="122" t="s">
        <v>5385</v>
      </c>
      <c r="T43" s="110" t="s">
        <v>5386</v>
      </c>
      <c r="U43" s="122" t="s">
        <v>5387</v>
      </c>
      <c r="V43" s="110" t="s">
        <v>5388</v>
      </c>
      <c r="W43" s="122" t="s">
        <v>5389</v>
      </c>
      <c r="X43" s="110" t="s">
        <v>5390</v>
      </c>
      <c r="Y43" s="122" t="s">
        <v>5391</v>
      </c>
      <c r="Z43" s="110" t="s">
        <v>5392</v>
      </c>
      <c r="AA43" s="122" t="s">
        <v>5393</v>
      </c>
      <c r="AB43" s="110" t="s">
        <v>5394</v>
      </c>
      <c r="AC43" s="122" t="s">
        <v>5395</v>
      </c>
      <c r="AD43" s="136" t="s">
        <v>5396</v>
      </c>
      <c r="AE43" s="122" t="s">
        <v>5397</v>
      </c>
      <c r="AF43" s="110" t="s">
        <v>5398</v>
      </c>
      <c r="AG43" s="122" t="s">
        <v>5399</v>
      </c>
      <c r="AH43" s="136" t="s">
        <v>5400</v>
      </c>
      <c r="AI43" s="122" t="s">
        <v>5401</v>
      </c>
      <c r="AJ43" s="110" t="s">
        <v>5402</v>
      </c>
      <c r="AK43" s="122" t="s">
        <v>5403</v>
      </c>
      <c r="AL43" s="136" t="s">
        <v>5404</v>
      </c>
      <c r="AM43" s="122" t="s">
        <v>5405</v>
      </c>
      <c r="AN43" s="112" t="s">
        <v>5406</v>
      </c>
      <c r="AO43" s="197" t="s">
        <v>5407</v>
      </c>
      <c r="AP43" s="1767" t="s">
        <v>5408</v>
      </c>
      <c r="AQ43" s="1767" t="s">
        <v>5409</v>
      </c>
      <c r="AR43" s="1767" t="s">
        <v>5410</v>
      </c>
      <c r="AS43" s="401" t="s">
        <v>5411</v>
      </c>
      <c r="AT43" s="401" t="s">
        <v>5412</v>
      </c>
      <c r="AU43" s="1471"/>
      <c r="AV43" s="806"/>
      <c r="AW43" s="806"/>
      <c r="AX43" s="806"/>
      <c r="AY43" s="806"/>
      <c r="AZ43" s="806"/>
      <c r="BA43" s="806"/>
      <c r="BB43" s="806"/>
      <c r="BC43" s="806"/>
      <c r="BD43" s="290"/>
      <c r="BE43" s="290"/>
      <c r="BF43" s="290"/>
      <c r="BG43" s="290"/>
      <c r="BH43" s="290"/>
    </row>
    <row r="44" spans="1:115" ht="16.350000000000001" customHeight="1" x14ac:dyDescent="0.25">
      <c r="A44" s="7257" t="s">
        <v>4300</v>
      </c>
      <c r="B44" s="2098" t="s">
        <v>2594</v>
      </c>
      <c r="C44" s="275" t="s">
        <v>5369</v>
      </c>
      <c r="D44" s="276" t="s">
        <v>5370</v>
      </c>
      <c r="E44" s="184" t="s">
        <v>5371</v>
      </c>
      <c r="F44" s="110" t="s">
        <v>5372</v>
      </c>
      <c r="G44" s="144" t="s">
        <v>5373</v>
      </c>
      <c r="H44" s="110" t="s">
        <v>5374</v>
      </c>
      <c r="I44" s="122" t="s">
        <v>5375</v>
      </c>
      <c r="J44" s="110" t="s">
        <v>5376</v>
      </c>
      <c r="K44" s="122" t="s">
        <v>5377</v>
      </c>
      <c r="L44" s="110" t="s">
        <v>5378</v>
      </c>
      <c r="M44" s="122" t="s">
        <v>5379</v>
      </c>
      <c r="N44" s="110" t="s">
        <v>5380</v>
      </c>
      <c r="O44" s="122" t="s">
        <v>5381</v>
      </c>
      <c r="P44" s="110" t="s">
        <v>5382</v>
      </c>
      <c r="Q44" s="122" t="s">
        <v>5383</v>
      </c>
      <c r="R44" s="136" t="s">
        <v>5384</v>
      </c>
      <c r="S44" s="122" t="s">
        <v>5385</v>
      </c>
      <c r="T44" s="110" t="s">
        <v>5386</v>
      </c>
      <c r="U44" s="122" t="s">
        <v>5387</v>
      </c>
      <c r="V44" s="110" t="s">
        <v>5388</v>
      </c>
      <c r="W44" s="122" t="s">
        <v>5389</v>
      </c>
      <c r="X44" s="110" t="s">
        <v>5390</v>
      </c>
      <c r="Y44" s="122" t="s">
        <v>5391</v>
      </c>
      <c r="Z44" s="110" t="s">
        <v>5392</v>
      </c>
      <c r="AA44" s="122" t="s">
        <v>5393</v>
      </c>
      <c r="AB44" s="110" t="s">
        <v>5394</v>
      </c>
      <c r="AC44" s="122" t="s">
        <v>5395</v>
      </c>
      <c r="AD44" s="136" t="s">
        <v>5396</v>
      </c>
      <c r="AE44" s="122" t="s">
        <v>5397</v>
      </c>
      <c r="AF44" s="110" t="s">
        <v>5398</v>
      </c>
      <c r="AG44" s="122" t="s">
        <v>5399</v>
      </c>
      <c r="AH44" s="136" t="s">
        <v>5400</v>
      </c>
      <c r="AI44" s="122" t="s">
        <v>5401</v>
      </c>
      <c r="AJ44" s="110" t="s">
        <v>5402</v>
      </c>
      <c r="AK44" s="122" t="s">
        <v>5403</v>
      </c>
      <c r="AL44" s="136" t="s">
        <v>5404</v>
      </c>
      <c r="AM44" s="122" t="s">
        <v>5405</v>
      </c>
      <c r="AN44" s="112" t="s">
        <v>5406</v>
      </c>
      <c r="AO44" s="197" t="s">
        <v>5407</v>
      </c>
      <c r="AP44" s="1767" t="s">
        <v>5408</v>
      </c>
      <c r="AQ44" s="1767" t="s">
        <v>5409</v>
      </c>
      <c r="AR44" s="1767" t="s">
        <v>5410</v>
      </c>
      <c r="AS44" s="401" t="s">
        <v>5411</v>
      </c>
      <c r="AT44" s="401" t="s">
        <v>5412</v>
      </c>
      <c r="AU44" s="1471"/>
      <c r="AV44" s="806"/>
      <c r="AW44" s="806"/>
      <c r="AX44" s="806"/>
      <c r="AY44" s="806"/>
      <c r="AZ44" s="806"/>
      <c r="BA44" s="806"/>
      <c r="BB44" s="806"/>
      <c r="BC44" s="806"/>
      <c r="BD44" s="290"/>
      <c r="BE44" s="290"/>
      <c r="BF44" s="290"/>
      <c r="BG44" s="290"/>
      <c r="BH44" s="290"/>
    </row>
    <row r="45" spans="1:115" ht="16.350000000000001" customHeight="1" x14ac:dyDescent="0.25">
      <c r="A45" s="7257" t="s">
        <v>4301</v>
      </c>
      <c r="B45" s="3793" t="s">
        <v>3585</v>
      </c>
      <c r="C45" s="249" t="s">
        <v>5369</v>
      </c>
      <c r="D45" s="277" t="s">
        <v>5370</v>
      </c>
      <c r="E45" s="406" t="s">
        <v>5371</v>
      </c>
      <c r="F45" s="125" t="s">
        <v>5372</v>
      </c>
      <c r="G45" s="127" t="s">
        <v>5373</v>
      </c>
      <c r="H45" s="125" t="s">
        <v>5374</v>
      </c>
      <c r="I45" s="101" t="s">
        <v>5375</v>
      </c>
      <c r="J45" s="125" t="s">
        <v>5376</v>
      </c>
      <c r="K45" s="101" t="s">
        <v>5377</v>
      </c>
      <c r="L45" s="125" t="s">
        <v>5378</v>
      </c>
      <c r="M45" s="101" t="s">
        <v>5379</v>
      </c>
      <c r="N45" s="125" t="s">
        <v>5380</v>
      </c>
      <c r="O45" s="101" t="s">
        <v>5381</v>
      </c>
      <c r="P45" s="125" t="s">
        <v>5382</v>
      </c>
      <c r="Q45" s="101" t="s">
        <v>5383</v>
      </c>
      <c r="R45" s="102" t="s">
        <v>5384</v>
      </c>
      <c r="S45" s="101" t="s">
        <v>5385</v>
      </c>
      <c r="T45" s="125" t="s">
        <v>5386</v>
      </c>
      <c r="U45" s="101" t="s">
        <v>5387</v>
      </c>
      <c r="V45" s="125" t="s">
        <v>5388</v>
      </c>
      <c r="W45" s="101" t="s">
        <v>5389</v>
      </c>
      <c r="X45" s="125" t="s">
        <v>5390</v>
      </c>
      <c r="Y45" s="101" t="s">
        <v>5391</v>
      </c>
      <c r="Z45" s="125" t="s">
        <v>5392</v>
      </c>
      <c r="AA45" s="101" t="s">
        <v>5393</v>
      </c>
      <c r="AB45" s="125" t="s">
        <v>5394</v>
      </c>
      <c r="AC45" s="101" t="s">
        <v>5395</v>
      </c>
      <c r="AD45" s="102" t="s">
        <v>5396</v>
      </c>
      <c r="AE45" s="101" t="s">
        <v>5397</v>
      </c>
      <c r="AF45" s="125" t="s">
        <v>5398</v>
      </c>
      <c r="AG45" s="101" t="s">
        <v>5399</v>
      </c>
      <c r="AH45" s="102" t="s">
        <v>5400</v>
      </c>
      <c r="AI45" s="101" t="s">
        <v>5401</v>
      </c>
      <c r="AJ45" s="125" t="s">
        <v>5402</v>
      </c>
      <c r="AK45" s="101" t="s">
        <v>5403</v>
      </c>
      <c r="AL45" s="102" t="s">
        <v>5404</v>
      </c>
      <c r="AM45" s="101" t="s">
        <v>5405</v>
      </c>
      <c r="AN45" s="173" t="s">
        <v>5406</v>
      </c>
      <c r="AO45" s="198" t="s">
        <v>5407</v>
      </c>
      <c r="AP45" s="1768" t="s">
        <v>5408</v>
      </c>
      <c r="AQ45" s="1768" t="s">
        <v>5409</v>
      </c>
      <c r="AR45" s="1768" t="s">
        <v>5410</v>
      </c>
      <c r="AS45" s="187" t="s">
        <v>5411</v>
      </c>
      <c r="AT45" s="187" t="s">
        <v>5412</v>
      </c>
      <c r="AU45" s="1471"/>
      <c r="AV45" s="806"/>
      <c r="AW45" s="806"/>
      <c r="AX45" s="806"/>
      <c r="AY45" s="806"/>
      <c r="AZ45" s="806"/>
      <c r="BA45" s="806"/>
      <c r="BB45" s="806"/>
      <c r="BC45" s="806"/>
      <c r="BD45" s="290"/>
      <c r="BE45" s="290"/>
      <c r="BF45" s="290"/>
      <c r="BG45" s="290"/>
      <c r="BH45" s="290"/>
    </row>
    <row r="46" spans="1:115" ht="31.35" customHeight="1" x14ac:dyDescent="0.25">
      <c r="B46" s="133" t="s">
        <v>2595</v>
      </c>
      <c r="C46" s="133"/>
      <c r="D46" s="133"/>
      <c r="E46" s="133"/>
      <c r="F46" s="133"/>
      <c r="G46" s="133"/>
      <c r="H46" s="133"/>
      <c r="I46" s="133"/>
      <c r="J46" s="72"/>
      <c r="K46" s="72"/>
      <c r="L46" s="72"/>
      <c r="M46" s="72"/>
      <c r="N46" s="72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153"/>
      <c r="AQ46" s="154"/>
      <c r="AR46" s="407"/>
      <c r="AS46" s="408"/>
      <c r="AT46" s="290"/>
      <c r="AU46" s="290"/>
      <c r="AV46" s="290"/>
      <c r="AW46" s="290"/>
      <c r="AX46" s="290"/>
      <c r="AY46" s="290"/>
      <c r="AZ46" s="290"/>
      <c r="BA46" s="290"/>
      <c r="BB46" s="290"/>
      <c r="BC46" s="290"/>
      <c r="BD46" s="290"/>
      <c r="BE46" s="290"/>
      <c r="BF46" s="290"/>
      <c r="BG46" s="290"/>
      <c r="BH46" s="290"/>
    </row>
    <row r="47" spans="1:115" ht="16.350000000000001" customHeight="1" x14ac:dyDescent="0.3">
      <c r="B47" s="8977" t="s">
        <v>0</v>
      </c>
      <c r="C47" s="8987" t="s">
        <v>1</v>
      </c>
      <c r="D47" s="8989" t="s">
        <v>560</v>
      </c>
      <c r="E47" s="8990"/>
      <c r="F47" s="8990"/>
      <c r="G47" s="8991"/>
      <c r="H47" s="8756" t="s">
        <v>561</v>
      </c>
      <c r="I47" s="8578"/>
      <c r="J47" s="8578"/>
      <c r="K47" s="8992"/>
      <c r="L47" s="8946" t="s">
        <v>362</v>
      </c>
      <c r="M47" s="8946" t="s">
        <v>361</v>
      </c>
      <c r="N47" s="8946" t="s">
        <v>3697</v>
      </c>
      <c r="O47" s="2553"/>
      <c r="P47" s="2553"/>
      <c r="Q47" s="2553"/>
      <c r="R47" s="2553"/>
      <c r="S47" s="2553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409"/>
      <c r="AS47" s="291"/>
      <c r="AT47" s="290"/>
      <c r="AU47" s="290"/>
      <c r="AV47" s="290"/>
      <c r="AW47" s="290"/>
      <c r="AX47" s="290"/>
      <c r="AY47" s="290"/>
      <c r="AZ47" s="290"/>
      <c r="BA47" s="290"/>
      <c r="BB47" s="290"/>
      <c r="BC47" s="290"/>
      <c r="BD47" s="290"/>
      <c r="BE47" s="290"/>
      <c r="BF47" s="290"/>
      <c r="BG47" s="290"/>
      <c r="BH47" s="290"/>
    </row>
    <row r="48" spans="1:115" ht="27.75" customHeight="1" x14ac:dyDescent="0.25">
      <c r="B48" s="8978"/>
      <c r="C48" s="8988"/>
      <c r="D48" s="306" t="s">
        <v>32</v>
      </c>
      <c r="E48" s="306" t="s">
        <v>33</v>
      </c>
      <c r="F48" s="2174" t="s">
        <v>40</v>
      </c>
      <c r="G48" s="2112" t="s">
        <v>562</v>
      </c>
      <c r="H48" s="306" t="s">
        <v>32</v>
      </c>
      <c r="I48" s="306" t="s">
        <v>33</v>
      </c>
      <c r="J48" s="2174" t="s">
        <v>40</v>
      </c>
      <c r="K48" s="2554" t="s">
        <v>562</v>
      </c>
      <c r="L48" s="8947"/>
      <c r="M48" s="8947"/>
      <c r="N48" s="8947"/>
      <c r="O48" s="411"/>
      <c r="P48" s="410"/>
      <c r="Q48" s="410"/>
      <c r="R48" s="410"/>
      <c r="S48" s="410"/>
      <c r="T48" s="410"/>
      <c r="U48" s="410"/>
      <c r="V48" s="410"/>
      <c r="W48" s="410"/>
      <c r="X48" s="410"/>
      <c r="Y48" s="410"/>
      <c r="Z48" s="410"/>
      <c r="AA48" s="410"/>
      <c r="AB48" s="410"/>
      <c r="AC48" s="410"/>
      <c r="AD48" s="410"/>
      <c r="AE48" s="410"/>
      <c r="AF48" s="410"/>
      <c r="AG48" s="410"/>
      <c r="AH48" s="410"/>
      <c r="AI48" s="410"/>
      <c r="AJ48" s="410"/>
      <c r="AK48" s="410"/>
      <c r="AL48" s="410"/>
      <c r="AM48" s="410"/>
      <c r="AN48" s="410"/>
      <c r="AO48" s="410"/>
      <c r="AP48" s="410"/>
      <c r="AQ48" s="410"/>
      <c r="AR48" s="412"/>
      <c r="AS48" s="412"/>
      <c r="AT48" s="290"/>
      <c r="AU48" s="290"/>
      <c r="AV48" s="290"/>
      <c r="AW48" s="290"/>
      <c r="AX48" s="290"/>
      <c r="AY48" s="290"/>
      <c r="AZ48" s="290"/>
      <c r="BA48" s="290"/>
      <c r="BB48" s="290"/>
      <c r="BC48" s="290"/>
      <c r="BD48" s="290"/>
      <c r="BE48" s="290"/>
      <c r="BF48" s="290"/>
      <c r="BG48" s="290"/>
      <c r="BH48" s="290"/>
    </row>
    <row r="49" spans="1:111" ht="16.350000000000001" customHeight="1" x14ac:dyDescent="0.25">
      <c r="A49" s="7257" t="s">
        <v>4302</v>
      </c>
      <c r="B49" s="317" t="s">
        <v>2590</v>
      </c>
      <c r="C49" s="141" t="s">
        <v>5369</v>
      </c>
      <c r="D49" s="106" t="s">
        <v>5370</v>
      </c>
      <c r="E49" s="89" t="s">
        <v>5371</v>
      </c>
      <c r="F49" s="89" t="s">
        <v>5372</v>
      </c>
      <c r="G49" s="304" t="s">
        <v>5373</v>
      </c>
      <c r="H49" s="106" t="s">
        <v>5374</v>
      </c>
      <c r="I49" s="89" t="s">
        <v>5375</v>
      </c>
      <c r="J49" s="89" t="s">
        <v>5376</v>
      </c>
      <c r="K49" s="2555" t="s">
        <v>5377</v>
      </c>
      <c r="L49" s="2556" t="s">
        <v>5378</v>
      </c>
      <c r="M49" s="2556" t="s">
        <v>5379</v>
      </c>
      <c r="N49" s="2556"/>
      <c r="O49" s="1471"/>
      <c r="P49" s="410"/>
      <c r="Q49" s="410"/>
      <c r="R49" s="410"/>
      <c r="S49" s="410"/>
      <c r="T49" s="410"/>
      <c r="U49" s="410"/>
      <c r="V49" s="410"/>
      <c r="W49" s="410"/>
      <c r="X49" s="410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2"/>
      <c r="AS49" s="412"/>
      <c r="AT49" s="290"/>
      <c r="AU49" s="290"/>
      <c r="AV49" s="290"/>
      <c r="AW49" s="290"/>
      <c r="AX49" s="290"/>
      <c r="AY49" s="290"/>
      <c r="AZ49" s="290"/>
      <c r="BA49" s="290"/>
      <c r="BB49" s="290"/>
      <c r="BC49" s="290"/>
      <c r="BD49" s="290"/>
      <c r="BE49" s="290"/>
      <c r="BF49" s="290"/>
      <c r="BG49" s="290"/>
      <c r="BH49" s="290"/>
      <c r="DB49" s="3219">
        <v>0</v>
      </c>
      <c r="DC49" s="3219">
        <v>0</v>
      </c>
      <c r="DD49" s="3219">
        <v>0</v>
      </c>
      <c r="DE49" s="3219">
        <v>0</v>
      </c>
      <c r="DF49" s="3219">
        <v>0</v>
      </c>
      <c r="DG49" s="3219">
        <v>0</v>
      </c>
    </row>
    <row r="50" spans="1:111" ht="16.350000000000001" customHeight="1" x14ac:dyDescent="0.25">
      <c r="A50" s="7257" t="s">
        <v>4303</v>
      </c>
      <c r="B50" s="318" t="s">
        <v>2591</v>
      </c>
      <c r="C50" s="142" t="s">
        <v>5369</v>
      </c>
      <c r="D50" s="125" t="s">
        <v>5370</v>
      </c>
      <c r="E50" s="83" t="s">
        <v>5371</v>
      </c>
      <c r="F50" s="83" t="s">
        <v>5372</v>
      </c>
      <c r="G50" s="127" t="s">
        <v>5373</v>
      </c>
      <c r="H50" s="125" t="s">
        <v>5374</v>
      </c>
      <c r="I50" s="83" t="s">
        <v>5375</v>
      </c>
      <c r="J50" s="83" t="s">
        <v>5376</v>
      </c>
      <c r="K50" s="2502" t="s">
        <v>5377</v>
      </c>
      <c r="L50" s="2479" t="s">
        <v>5378</v>
      </c>
      <c r="M50" s="2479" t="s">
        <v>5379</v>
      </c>
      <c r="N50" s="2479" t="s">
        <v>5380</v>
      </c>
      <c r="O50" s="1471"/>
      <c r="P50" s="410"/>
      <c r="Q50" s="410"/>
      <c r="R50" s="410"/>
      <c r="S50" s="410"/>
      <c r="T50" s="410"/>
      <c r="U50" s="410"/>
      <c r="V50" s="410"/>
      <c r="W50" s="410"/>
      <c r="X50" s="410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2"/>
      <c r="AS50" s="412"/>
      <c r="AT50" s="290"/>
      <c r="AU50" s="290"/>
      <c r="AV50" s="290"/>
      <c r="AW50" s="290"/>
      <c r="AX50" s="290"/>
      <c r="AY50" s="290"/>
      <c r="AZ50" s="290"/>
      <c r="BA50" s="290"/>
      <c r="BB50" s="290"/>
      <c r="BC50" s="290"/>
      <c r="BD50" s="290"/>
      <c r="BE50" s="290"/>
      <c r="BF50" s="290"/>
      <c r="BG50" s="290"/>
      <c r="BH50" s="290"/>
      <c r="DC50" s="3219">
        <v>0</v>
      </c>
      <c r="DE50" s="3219">
        <v>0</v>
      </c>
      <c r="DG50" s="3219">
        <v>0</v>
      </c>
    </row>
    <row r="51" spans="1:111" ht="31.35" customHeight="1" x14ac:dyDescent="0.25">
      <c r="B51" s="2162" t="s">
        <v>2573</v>
      </c>
      <c r="C51" s="2162"/>
      <c r="D51" s="2162"/>
      <c r="E51" s="2162"/>
      <c r="F51" s="2162"/>
      <c r="G51" s="2162"/>
      <c r="H51" s="414"/>
      <c r="I51" s="414"/>
      <c r="J51" s="414"/>
      <c r="K51" s="414"/>
      <c r="L51" s="414"/>
      <c r="M51" s="414"/>
      <c r="N51" s="414"/>
      <c r="O51" s="414"/>
      <c r="P51" s="415"/>
      <c r="Q51" s="2162"/>
      <c r="R51" s="414"/>
      <c r="S51" s="414"/>
      <c r="T51" s="415"/>
      <c r="U51" s="2162"/>
      <c r="V51" s="414"/>
      <c r="W51" s="415"/>
      <c r="X51" s="2557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413"/>
      <c r="AN51" s="416"/>
      <c r="AO51" s="416"/>
      <c r="AR51" s="290"/>
      <c r="AS51" s="290"/>
      <c r="AT51" s="290"/>
      <c r="AU51" s="290"/>
      <c r="AV51" s="290"/>
      <c r="AW51" s="290"/>
      <c r="AX51" s="290"/>
      <c r="AY51" s="290"/>
      <c r="AZ51" s="290"/>
      <c r="BA51" s="290"/>
      <c r="BB51" s="290"/>
      <c r="BC51" s="290"/>
      <c r="BD51" s="290"/>
      <c r="BE51" s="290"/>
      <c r="BF51" s="290"/>
      <c r="BG51" s="290"/>
      <c r="BH51" s="290"/>
    </row>
    <row r="52" spans="1:111" ht="16.350000000000001" customHeight="1" x14ac:dyDescent="0.25">
      <c r="B52" s="8982" t="s">
        <v>563</v>
      </c>
      <c r="C52" s="8983" t="s">
        <v>24</v>
      </c>
      <c r="D52" s="8984"/>
      <c r="E52" s="8985"/>
      <c r="F52" s="8941" t="s">
        <v>55</v>
      </c>
      <c r="G52" s="8942"/>
      <c r="H52" s="8942"/>
      <c r="I52" s="8942"/>
      <c r="J52" s="8942"/>
      <c r="K52" s="8942"/>
      <c r="L52" s="8942"/>
      <c r="M52" s="8942"/>
      <c r="N52" s="8942"/>
      <c r="O52" s="8942"/>
      <c r="P52" s="8942"/>
      <c r="Q52" s="8942"/>
      <c r="R52" s="8942"/>
      <c r="S52" s="8942"/>
      <c r="T52" s="8942"/>
      <c r="U52" s="8942"/>
      <c r="V52" s="8942"/>
      <c r="W52" s="8943"/>
      <c r="X52" s="8554" t="s">
        <v>362</v>
      </c>
      <c r="Y52" s="8554" t="s">
        <v>361</v>
      </c>
      <c r="Z52" s="290"/>
      <c r="AA52" s="290"/>
      <c r="AB52" s="290"/>
      <c r="AC52" s="290"/>
      <c r="AD52" s="290"/>
      <c r="AE52" s="290"/>
      <c r="AF52" s="290"/>
      <c r="AG52" s="290"/>
      <c r="AH52" s="290"/>
      <c r="AI52" s="290"/>
      <c r="AJ52" s="290"/>
      <c r="AK52" s="290"/>
    </row>
    <row r="53" spans="1:111" ht="16.350000000000001" customHeight="1" x14ac:dyDescent="0.25">
      <c r="B53" s="8619"/>
      <c r="C53" s="8981"/>
      <c r="D53" s="8598"/>
      <c r="E53" s="8615"/>
      <c r="F53" s="8975" t="s">
        <v>3541</v>
      </c>
      <c r="G53" s="8975" t="s">
        <v>1620</v>
      </c>
      <c r="H53" s="8952" t="s">
        <v>1415</v>
      </c>
      <c r="I53" s="8950" t="s">
        <v>32</v>
      </c>
      <c r="J53" s="8950" t="s">
        <v>33</v>
      </c>
      <c r="K53" s="8952" t="s">
        <v>40</v>
      </c>
      <c r="L53" s="8952" t="s">
        <v>82</v>
      </c>
      <c r="M53" s="8952" t="s">
        <v>83</v>
      </c>
      <c r="N53" s="8952" t="s">
        <v>400</v>
      </c>
      <c r="O53" s="8952" t="s">
        <v>124</v>
      </c>
      <c r="P53" s="8952" t="s">
        <v>125</v>
      </c>
      <c r="Q53" s="8952" t="s">
        <v>126</v>
      </c>
      <c r="R53" s="8952" t="s">
        <v>127</v>
      </c>
      <c r="S53" s="8952" t="s">
        <v>128</v>
      </c>
      <c r="T53" s="8952" t="s">
        <v>129</v>
      </c>
      <c r="U53" s="8952" t="s">
        <v>130</v>
      </c>
      <c r="V53" s="8952" t="s">
        <v>131</v>
      </c>
      <c r="W53" s="8952" t="s">
        <v>1919</v>
      </c>
      <c r="X53" s="8608"/>
      <c r="Y53" s="8608"/>
      <c r="Z53" s="290"/>
      <c r="AA53" s="290"/>
      <c r="AB53" s="290"/>
      <c r="AC53" s="290"/>
      <c r="AD53" s="290"/>
      <c r="AE53" s="290"/>
      <c r="AF53" s="290"/>
      <c r="AG53" s="290"/>
      <c r="AH53" s="290"/>
      <c r="AI53" s="290"/>
      <c r="AJ53" s="290"/>
      <c r="AK53" s="290"/>
    </row>
    <row r="54" spans="1:111" ht="16.350000000000001" customHeight="1" x14ac:dyDescent="0.25">
      <c r="B54" s="8978"/>
      <c r="C54" s="2170" t="s">
        <v>42</v>
      </c>
      <c r="D54" s="2070" t="s">
        <v>17</v>
      </c>
      <c r="E54" s="2170" t="s">
        <v>18</v>
      </c>
      <c r="F54" s="8976"/>
      <c r="G54" s="8976"/>
      <c r="H54" s="8953"/>
      <c r="I54" s="8951"/>
      <c r="J54" s="8951"/>
      <c r="K54" s="8953"/>
      <c r="L54" s="8953"/>
      <c r="M54" s="8953"/>
      <c r="N54" s="8953"/>
      <c r="O54" s="8953"/>
      <c r="P54" s="8953"/>
      <c r="Q54" s="8953"/>
      <c r="R54" s="8953"/>
      <c r="S54" s="8953"/>
      <c r="T54" s="8953"/>
      <c r="U54" s="8953"/>
      <c r="V54" s="8953"/>
      <c r="W54" s="8953"/>
      <c r="X54" s="8948"/>
      <c r="Y54" s="8948"/>
      <c r="Z54" s="290"/>
      <c r="AA54" s="290"/>
      <c r="AB54" s="290"/>
      <c r="AC54" s="290"/>
      <c r="AD54" s="290"/>
      <c r="AE54" s="290"/>
      <c r="AF54" s="290"/>
      <c r="AG54" s="290"/>
      <c r="AH54" s="290"/>
      <c r="AI54" s="290"/>
      <c r="AJ54" s="290"/>
      <c r="AK54" s="290"/>
    </row>
    <row r="55" spans="1:111" ht="16.350000000000001" customHeight="1" x14ac:dyDescent="0.25">
      <c r="A55" s="7267"/>
      <c r="B55" s="2972" t="s">
        <v>564</v>
      </c>
      <c r="C55" s="2971">
        <f>SUM(C56:C57)</f>
        <v>0</v>
      </c>
      <c r="D55" s="2966">
        <f>SUM(D56:D57)</f>
        <v>0</v>
      </c>
      <c r="E55" s="2975">
        <f t="shared" ref="E55:W55" si="1">SUM(E56:E57)</f>
        <v>0</v>
      </c>
      <c r="F55" s="2969">
        <f t="shared" si="1"/>
        <v>0</v>
      </c>
      <c r="G55" s="3203">
        <f t="shared" si="1"/>
        <v>0</v>
      </c>
      <c r="H55" s="3204">
        <f t="shared" si="1"/>
        <v>0</v>
      </c>
      <c r="I55" s="3203">
        <f t="shared" si="1"/>
        <v>0</v>
      </c>
      <c r="J55" s="3203">
        <f t="shared" si="1"/>
        <v>0</v>
      </c>
      <c r="K55" s="2970">
        <f t="shared" si="1"/>
        <v>0</v>
      </c>
      <c r="L55" s="2969">
        <f t="shared" si="1"/>
        <v>0</v>
      </c>
      <c r="M55" s="2970">
        <f t="shared" si="1"/>
        <v>0</v>
      </c>
      <c r="N55" s="2969">
        <f t="shared" si="1"/>
        <v>0</v>
      </c>
      <c r="O55" s="2970">
        <f t="shared" si="1"/>
        <v>0</v>
      </c>
      <c r="P55" s="2969">
        <f t="shared" si="1"/>
        <v>0</v>
      </c>
      <c r="Q55" s="2970">
        <f t="shared" si="1"/>
        <v>0</v>
      </c>
      <c r="R55" s="2969">
        <f t="shared" si="1"/>
        <v>0</v>
      </c>
      <c r="S55" s="2970">
        <f t="shared" si="1"/>
        <v>0</v>
      </c>
      <c r="T55" s="2969">
        <f t="shared" si="1"/>
        <v>0</v>
      </c>
      <c r="U55" s="2970">
        <f t="shared" si="1"/>
        <v>0</v>
      </c>
      <c r="V55" s="2969">
        <f t="shared" si="1"/>
        <v>0</v>
      </c>
      <c r="W55" s="2969">
        <f t="shared" si="1"/>
        <v>0</v>
      </c>
      <c r="X55" s="2969">
        <f>SUM(X56:X57)</f>
        <v>0</v>
      </c>
      <c r="Y55" s="2969">
        <f>SUM(Y56:Y57)</f>
        <v>0</v>
      </c>
      <c r="Z55" s="1471"/>
      <c r="AA55" s="290"/>
      <c r="AB55" s="290"/>
      <c r="AC55" s="290"/>
      <c r="AD55" s="290"/>
      <c r="AE55" s="290"/>
      <c r="AF55" s="290"/>
      <c r="AG55" s="290"/>
      <c r="AH55" s="290"/>
      <c r="AI55" s="290"/>
      <c r="AJ55" s="290"/>
      <c r="AK55" s="290"/>
    </row>
    <row r="56" spans="1:111" ht="16.350000000000001" customHeight="1" x14ac:dyDescent="0.25">
      <c r="A56" s="7257" t="s">
        <v>4304</v>
      </c>
      <c r="B56" s="3794" t="s">
        <v>2590</v>
      </c>
      <c r="C56" s="2967" t="s">
        <v>5369</v>
      </c>
      <c r="D56" s="2973" t="s">
        <v>5370</v>
      </c>
      <c r="E56" s="2965" t="s">
        <v>5371</v>
      </c>
      <c r="F56" s="2974" t="s">
        <v>5372</v>
      </c>
      <c r="G56" s="234" t="s">
        <v>5373</v>
      </c>
      <c r="H56" s="2974" t="s">
        <v>5374</v>
      </c>
      <c r="I56" s="234" t="s">
        <v>5375</v>
      </c>
      <c r="J56" s="2974" t="s">
        <v>5376</v>
      </c>
      <c r="K56" s="234" t="s">
        <v>5377</v>
      </c>
      <c r="L56" s="2974" t="s">
        <v>5378</v>
      </c>
      <c r="M56" s="234" t="s">
        <v>5379</v>
      </c>
      <c r="N56" s="2974" t="s">
        <v>5380</v>
      </c>
      <c r="O56" s="234" t="s">
        <v>5381</v>
      </c>
      <c r="P56" s="2974" t="s">
        <v>5382</v>
      </c>
      <c r="Q56" s="234" t="s">
        <v>5383</v>
      </c>
      <c r="R56" s="2974" t="s">
        <v>5384</v>
      </c>
      <c r="S56" s="234" t="s">
        <v>5385</v>
      </c>
      <c r="T56" s="2974" t="s">
        <v>5386</v>
      </c>
      <c r="U56" s="234" t="s">
        <v>5387</v>
      </c>
      <c r="V56" s="2974" t="s">
        <v>5388</v>
      </c>
      <c r="W56" s="2974" t="s">
        <v>5389</v>
      </c>
      <c r="X56" s="2974" t="s">
        <v>5390</v>
      </c>
      <c r="Y56" s="2974" t="s">
        <v>5434</v>
      </c>
      <c r="Z56" s="1471"/>
      <c r="AA56" s="806"/>
      <c r="AB56" s="806"/>
      <c r="AC56" s="806"/>
      <c r="AD56" s="806"/>
      <c r="AE56" s="806"/>
      <c r="AF56" s="806"/>
      <c r="AG56" s="806"/>
      <c r="AH56" s="806"/>
      <c r="AI56" s="806"/>
      <c r="AJ56" s="290"/>
      <c r="AK56" s="290"/>
      <c r="CA56" s="6952"/>
      <c r="CC56" s="1518" t="s">
        <v>5434</v>
      </c>
      <c r="DB56" s="3219">
        <v>0</v>
      </c>
      <c r="DC56" s="3219">
        <v>1</v>
      </c>
      <c r="DD56" s="3219">
        <v>0</v>
      </c>
      <c r="DE56" s="3219">
        <v>0</v>
      </c>
    </row>
    <row r="57" spans="1:111" ht="16.350000000000001" customHeight="1" x14ac:dyDescent="0.25">
      <c r="A57" s="7257" t="s">
        <v>4305</v>
      </c>
      <c r="B57" s="3281" t="s">
        <v>63</v>
      </c>
      <c r="C57" s="417" t="s">
        <v>5369</v>
      </c>
      <c r="D57" s="418" t="s">
        <v>5370</v>
      </c>
      <c r="E57" s="419" t="s">
        <v>5371</v>
      </c>
      <c r="F57" s="86" t="s">
        <v>5372</v>
      </c>
      <c r="G57" s="173" t="s">
        <v>5373</v>
      </c>
      <c r="H57" s="86" t="s">
        <v>5374</v>
      </c>
      <c r="I57" s="173" t="s">
        <v>5375</v>
      </c>
      <c r="J57" s="86" t="s">
        <v>5376</v>
      </c>
      <c r="K57" s="173" t="s">
        <v>5377</v>
      </c>
      <c r="L57" s="86" t="s">
        <v>5378</v>
      </c>
      <c r="M57" s="173" t="s">
        <v>5379</v>
      </c>
      <c r="N57" s="86" t="s">
        <v>5380</v>
      </c>
      <c r="O57" s="173" t="s">
        <v>5381</v>
      </c>
      <c r="P57" s="86" t="s">
        <v>5382</v>
      </c>
      <c r="Q57" s="173" t="s">
        <v>5383</v>
      </c>
      <c r="R57" s="86" t="s">
        <v>5384</v>
      </c>
      <c r="S57" s="173" t="s">
        <v>5385</v>
      </c>
      <c r="T57" s="86" t="s">
        <v>5386</v>
      </c>
      <c r="U57" s="173" t="s">
        <v>5387</v>
      </c>
      <c r="V57" s="86" t="s">
        <v>5388</v>
      </c>
      <c r="W57" s="1952" t="s">
        <v>5389</v>
      </c>
      <c r="X57" s="86" t="s">
        <v>5390</v>
      </c>
      <c r="Y57" s="1952" t="s">
        <v>5391</v>
      </c>
      <c r="Z57" s="1471"/>
      <c r="AA57" s="806"/>
      <c r="AB57" s="806"/>
      <c r="AC57" s="806"/>
      <c r="AD57" s="806"/>
      <c r="AE57" s="806"/>
      <c r="AF57" s="806"/>
      <c r="AG57" s="806"/>
      <c r="AH57" s="806"/>
      <c r="AI57" s="806"/>
      <c r="AJ57" s="290"/>
      <c r="AK57" s="290"/>
      <c r="DC57" s="3219">
        <v>0</v>
      </c>
      <c r="DD57" s="3219">
        <v>0</v>
      </c>
      <c r="DE57" s="3219">
        <v>0</v>
      </c>
    </row>
    <row r="58" spans="1:111" ht="16.350000000000001" customHeight="1" x14ac:dyDescent="0.25">
      <c r="A58" s="7267"/>
      <c r="B58" s="2968" t="s">
        <v>64</v>
      </c>
      <c r="C58" s="2964">
        <f>SUM(C59:C60)</f>
        <v>0</v>
      </c>
      <c r="D58" s="2981">
        <f>SUM(D59:D60)</f>
        <v>0</v>
      </c>
      <c r="E58" s="2975">
        <f t="shared" ref="E58:W58" si="2">SUM(E59:E60)</f>
        <v>0</v>
      </c>
      <c r="F58" s="2969">
        <f t="shared" si="2"/>
        <v>0</v>
      </c>
      <c r="G58" s="2970">
        <f t="shared" si="2"/>
        <v>0</v>
      </c>
      <c r="H58" s="2969">
        <f t="shared" si="2"/>
        <v>0</v>
      </c>
      <c r="I58" s="2970">
        <f t="shared" si="2"/>
        <v>0</v>
      </c>
      <c r="J58" s="2969">
        <f t="shared" si="2"/>
        <v>0</v>
      </c>
      <c r="K58" s="2970">
        <f t="shared" si="2"/>
        <v>0</v>
      </c>
      <c r="L58" s="2969">
        <f t="shared" si="2"/>
        <v>0</v>
      </c>
      <c r="M58" s="2970">
        <f t="shared" si="2"/>
        <v>0</v>
      </c>
      <c r="N58" s="2969">
        <f t="shared" si="2"/>
        <v>0</v>
      </c>
      <c r="O58" s="2970">
        <f t="shared" si="2"/>
        <v>0</v>
      </c>
      <c r="P58" s="2969">
        <f t="shared" si="2"/>
        <v>0</v>
      </c>
      <c r="Q58" s="2970">
        <f t="shared" si="2"/>
        <v>0</v>
      </c>
      <c r="R58" s="2969">
        <f t="shared" si="2"/>
        <v>0</v>
      </c>
      <c r="S58" s="2970">
        <f t="shared" si="2"/>
        <v>0</v>
      </c>
      <c r="T58" s="2969">
        <f t="shared" si="2"/>
        <v>0</v>
      </c>
      <c r="U58" s="2970">
        <f t="shared" si="2"/>
        <v>0</v>
      </c>
      <c r="V58" s="2969">
        <f t="shared" si="2"/>
        <v>0</v>
      </c>
      <c r="W58" s="2969">
        <f t="shared" si="2"/>
        <v>0</v>
      </c>
      <c r="X58" s="2969">
        <f>SUM(X59:X60)</f>
        <v>0</v>
      </c>
      <c r="Y58" s="2969">
        <f>SUM(Y59:Y60)</f>
        <v>0</v>
      </c>
      <c r="Z58" s="1471"/>
      <c r="AA58" s="290"/>
      <c r="AB58" s="290"/>
      <c r="AC58" s="290"/>
      <c r="AD58" s="290"/>
      <c r="AE58" s="290"/>
      <c r="AF58" s="290"/>
      <c r="AG58" s="290"/>
      <c r="AH58" s="290"/>
      <c r="AI58" s="290"/>
      <c r="AJ58" s="290"/>
      <c r="AK58" s="290"/>
    </row>
    <row r="59" spans="1:111" ht="16.350000000000001" customHeight="1" x14ac:dyDescent="0.25">
      <c r="A59" s="7257" t="s">
        <v>4306</v>
      </c>
      <c r="B59" s="3794" t="s">
        <v>2590</v>
      </c>
      <c r="C59" s="2967" t="s">
        <v>5369</v>
      </c>
      <c r="D59" s="2973" t="s">
        <v>5370</v>
      </c>
      <c r="E59" s="2965" t="s">
        <v>5371</v>
      </c>
      <c r="F59" s="2974" t="s">
        <v>5372</v>
      </c>
      <c r="G59" s="234" t="s">
        <v>5373</v>
      </c>
      <c r="H59" s="2974" t="s">
        <v>5374</v>
      </c>
      <c r="I59" s="234" t="s">
        <v>5375</v>
      </c>
      <c r="J59" s="2974" t="s">
        <v>5376</v>
      </c>
      <c r="K59" s="234" t="s">
        <v>5377</v>
      </c>
      <c r="L59" s="2974" t="s">
        <v>5378</v>
      </c>
      <c r="M59" s="234" t="s">
        <v>5379</v>
      </c>
      <c r="N59" s="2974" t="s">
        <v>5380</v>
      </c>
      <c r="O59" s="234" t="s">
        <v>5381</v>
      </c>
      <c r="P59" s="2974" t="s">
        <v>5382</v>
      </c>
      <c r="Q59" s="234" t="s">
        <v>5383</v>
      </c>
      <c r="R59" s="2974" t="s">
        <v>5384</v>
      </c>
      <c r="S59" s="234" t="s">
        <v>5385</v>
      </c>
      <c r="T59" s="2974" t="s">
        <v>5386</v>
      </c>
      <c r="U59" s="234" t="s">
        <v>5387</v>
      </c>
      <c r="V59" s="2974" t="s">
        <v>5388</v>
      </c>
      <c r="W59" s="2974" t="s">
        <v>5389</v>
      </c>
      <c r="X59" s="2974" t="s">
        <v>5390</v>
      </c>
      <c r="Y59" s="2974" t="s">
        <v>5391</v>
      </c>
      <c r="Z59" s="1471"/>
      <c r="AA59" s="806"/>
      <c r="AB59" s="806"/>
      <c r="AC59" s="806"/>
      <c r="AD59" s="806"/>
      <c r="AE59" s="806"/>
      <c r="AF59" s="806"/>
      <c r="AG59" s="806"/>
      <c r="AH59" s="806"/>
      <c r="AI59" s="806"/>
      <c r="AJ59" s="290"/>
      <c r="AK59" s="290"/>
      <c r="DC59" s="3219">
        <v>0</v>
      </c>
      <c r="DD59" s="3219">
        <v>0</v>
      </c>
      <c r="DE59" s="3219">
        <v>0</v>
      </c>
    </row>
    <row r="60" spans="1:111" ht="16.350000000000001" customHeight="1" x14ac:dyDescent="0.25">
      <c r="A60" s="7257" t="s">
        <v>4307</v>
      </c>
      <c r="B60" s="3281" t="s">
        <v>63</v>
      </c>
      <c r="C60" s="417" t="s">
        <v>5369</v>
      </c>
      <c r="D60" s="418" t="s">
        <v>5370</v>
      </c>
      <c r="E60" s="418" t="s">
        <v>5371</v>
      </c>
      <c r="F60" s="86" t="s">
        <v>5372</v>
      </c>
      <c r="G60" s="173" t="s">
        <v>5373</v>
      </c>
      <c r="H60" s="86" t="s">
        <v>5374</v>
      </c>
      <c r="I60" s="173" t="s">
        <v>5375</v>
      </c>
      <c r="J60" s="86" t="s">
        <v>5376</v>
      </c>
      <c r="K60" s="173" t="s">
        <v>5377</v>
      </c>
      <c r="L60" s="86" t="s">
        <v>5378</v>
      </c>
      <c r="M60" s="173" t="s">
        <v>5379</v>
      </c>
      <c r="N60" s="86" t="s">
        <v>5380</v>
      </c>
      <c r="O60" s="173" t="s">
        <v>5381</v>
      </c>
      <c r="P60" s="86" t="s">
        <v>5382</v>
      </c>
      <c r="Q60" s="173" t="s">
        <v>5383</v>
      </c>
      <c r="R60" s="86" t="s">
        <v>5384</v>
      </c>
      <c r="S60" s="173" t="s">
        <v>5385</v>
      </c>
      <c r="T60" s="86" t="s">
        <v>5386</v>
      </c>
      <c r="U60" s="173" t="s">
        <v>5387</v>
      </c>
      <c r="V60" s="86" t="s">
        <v>5388</v>
      </c>
      <c r="W60" s="1952" t="s">
        <v>5389</v>
      </c>
      <c r="X60" s="86" t="s">
        <v>5390</v>
      </c>
      <c r="Y60" s="1952" t="s">
        <v>5391</v>
      </c>
      <c r="Z60" s="1471"/>
      <c r="AA60" s="806"/>
      <c r="AB60" s="806"/>
      <c r="AC60" s="806"/>
      <c r="AD60" s="806"/>
      <c r="AE60" s="806"/>
      <c r="AF60" s="806"/>
      <c r="AG60" s="806"/>
      <c r="AH60" s="806"/>
      <c r="AI60" s="806"/>
      <c r="AJ60" s="290"/>
      <c r="AK60" s="290"/>
      <c r="DC60" s="3219">
        <v>0</v>
      </c>
      <c r="DD60" s="3219">
        <v>0</v>
      </c>
      <c r="DE60" s="3219">
        <v>0</v>
      </c>
    </row>
    <row r="61" spans="1:111" ht="31.35" customHeight="1" x14ac:dyDescent="0.25">
      <c r="B61" s="2162" t="s">
        <v>2574</v>
      </c>
      <c r="C61" s="72"/>
      <c r="D61" s="72"/>
      <c r="E61" s="72"/>
      <c r="F61" s="2109"/>
      <c r="G61" s="2109"/>
      <c r="H61" s="2109"/>
      <c r="I61" s="288"/>
      <c r="J61" s="288"/>
      <c r="K61" s="422"/>
      <c r="L61" s="422"/>
      <c r="M61" s="422"/>
      <c r="N61" s="422"/>
      <c r="O61" s="422"/>
      <c r="P61" s="422"/>
      <c r="Q61" s="422"/>
      <c r="R61" s="422"/>
      <c r="S61" s="422"/>
      <c r="T61" s="422"/>
      <c r="U61" s="422"/>
      <c r="V61" s="422"/>
      <c r="W61" s="426"/>
      <c r="X61" s="426"/>
      <c r="Y61" s="420"/>
      <c r="Z61" s="420"/>
      <c r="AA61" s="420"/>
      <c r="AB61" s="420"/>
      <c r="AC61" s="420"/>
      <c r="AD61" s="420"/>
      <c r="AE61" s="420"/>
      <c r="AF61" s="420"/>
      <c r="AG61" s="420"/>
      <c r="AH61" s="420"/>
      <c r="AI61" s="420"/>
      <c r="AJ61" s="420"/>
      <c r="AK61" s="420"/>
      <c r="AL61" s="420"/>
      <c r="AM61" s="420"/>
      <c r="AN61" s="420"/>
      <c r="AO61" s="420"/>
      <c r="AP61" s="420"/>
      <c r="AQ61" s="421"/>
      <c r="AR61" s="421"/>
      <c r="AS61" s="421"/>
    </row>
    <row r="62" spans="1:111" ht="16.350000000000001" customHeight="1" x14ac:dyDescent="0.25">
      <c r="B62" s="428" t="s">
        <v>0</v>
      </c>
      <c r="C62" s="428" t="s">
        <v>24</v>
      </c>
      <c r="D62" s="429"/>
      <c r="E62" s="108"/>
      <c r="F62" s="108"/>
      <c r="G62" s="108"/>
      <c r="H62" s="108"/>
      <c r="I62" s="288"/>
      <c r="J62" s="288"/>
      <c r="K62" s="422"/>
      <c r="L62" s="422"/>
      <c r="M62" s="430"/>
      <c r="N62" s="430"/>
      <c r="O62" s="422"/>
      <c r="P62" s="422"/>
      <c r="Q62" s="422"/>
      <c r="R62" s="422"/>
      <c r="S62" s="422"/>
      <c r="T62" s="422"/>
      <c r="U62" s="422"/>
      <c r="V62" s="422"/>
      <c r="W62" s="426"/>
      <c r="X62" s="426"/>
      <c r="Y62" s="420"/>
      <c r="Z62" s="420"/>
      <c r="AA62" s="420"/>
      <c r="AB62" s="420"/>
      <c r="AC62" s="420"/>
      <c r="AD62" s="420"/>
      <c r="AE62" s="420"/>
      <c r="AF62" s="420"/>
      <c r="AG62" s="420"/>
      <c r="AH62" s="420"/>
      <c r="AI62" s="420"/>
      <c r="AJ62" s="420"/>
      <c r="AK62" s="420"/>
      <c r="AL62" s="420"/>
      <c r="AM62" s="420"/>
      <c r="AN62" s="420"/>
      <c r="AO62" s="420"/>
      <c r="AP62" s="420"/>
      <c r="AQ62" s="421"/>
      <c r="AR62" s="421"/>
      <c r="AS62" s="421"/>
    </row>
    <row r="63" spans="1:111" ht="16.350000000000001" customHeight="1" x14ac:dyDescent="0.25">
      <c r="A63" s="7257" t="s">
        <v>4308</v>
      </c>
      <c r="B63" s="316" t="s">
        <v>2590</v>
      </c>
      <c r="C63" s="431" t="s">
        <v>5369</v>
      </c>
      <c r="D63" s="429"/>
      <c r="E63" s="108"/>
      <c r="F63" s="108"/>
      <c r="G63" s="108"/>
      <c r="H63" s="108"/>
      <c r="I63" s="140"/>
      <c r="J63" s="153"/>
      <c r="K63" s="426"/>
      <c r="L63" s="426"/>
      <c r="M63" s="432"/>
      <c r="N63" s="432"/>
      <c r="O63" s="426"/>
      <c r="P63" s="426"/>
      <c r="Q63" s="426"/>
      <c r="R63" s="426"/>
      <c r="S63" s="426"/>
      <c r="T63" s="426"/>
      <c r="U63" s="426"/>
      <c r="V63" s="426"/>
      <c r="W63" s="426"/>
      <c r="X63" s="426"/>
      <c r="Y63" s="420"/>
      <c r="Z63" s="420"/>
      <c r="AA63" s="420"/>
      <c r="AB63" s="420"/>
      <c r="AC63" s="420"/>
      <c r="AD63" s="420"/>
      <c r="AE63" s="420"/>
      <c r="AF63" s="420"/>
      <c r="AG63" s="420"/>
      <c r="AH63" s="420"/>
      <c r="AI63" s="420"/>
      <c r="AJ63" s="420"/>
      <c r="AK63" s="420"/>
      <c r="AL63" s="420"/>
      <c r="AM63" s="420"/>
      <c r="AN63" s="420"/>
      <c r="AO63" s="420"/>
      <c r="AP63" s="420"/>
      <c r="AQ63" s="421"/>
      <c r="AR63" s="421"/>
      <c r="AS63" s="421"/>
    </row>
    <row r="64" spans="1:111" ht="16.350000000000001" customHeight="1" x14ac:dyDescent="0.25">
      <c r="A64" s="7257" t="s">
        <v>4309</v>
      </c>
      <c r="B64" s="318" t="s">
        <v>2600</v>
      </c>
      <c r="C64" s="188" t="s">
        <v>5369</v>
      </c>
      <c r="D64" s="133"/>
      <c r="E64" s="189"/>
      <c r="F64" s="133"/>
      <c r="G64" s="433"/>
      <c r="H64" s="434"/>
      <c r="I64" s="140"/>
      <c r="J64" s="140"/>
      <c r="K64" s="426"/>
      <c r="L64" s="426"/>
      <c r="M64" s="426"/>
      <c r="N64" s="426"/>
      <c r="O64" s="426"/>
      <c r="P64" s="426"/>
      <c r="Q64" s="426"/>
      <c r="R64" s="426"/>
      <c r="S64" s="426"/>
      <c r="T64" s="426"/>
      <c r="U64" s="426"/>
      <c r="V64" s="426"/>
      <c r="W64" s="426"/>
      <c r="X64" s="426"/>
      <c r="Y64" s="420"/>
      <c r="Z64" s="420"/>
      <c r="AA64" s="420"/>
      <c r="AB64" s="420"/>
      <c r="AC64" s="420"/>
      <c r="AD64" s="420"/>
      <c r="AE64" s="420"/>
      <c r="AF64" s="420"/>
      <c r="AG64" s="420"/>
      <c r="AH64" s="420"/>
      <c r="AI64" s="420"/>
      <c r="AJ64" s="420"/>
      <c r="AK64" s="420"/>
      <c r="AL64" s="420"/>
      <c r="AM64" s="420"/>
      <c r="AN64" s="420"/>
      <c r="AO64" s="420"/>
      <c r="AP64" s="420"/>
      <c r="AQ64" s="421"/>
      <c r="AR64" s="421"/>
      <c r="AS64" s="421"/>
    </row>
    <row r="65" spans="1:109" ht="24" customHeight="1" x14ac:dyDescent="0.3">
      <c r="B65" s="7270" t="s">
        <v>3407</v>
      </c>
      <c r="C65" s="3098"/>
      <c r="D65" s="133"/>
      <c r="E65" s="133"/>
      <c r="F65" s="133"/>
      <c r="G65" s="133"/>
      <c r="H65" s="133"/>
      <c r="I65" s="140"/>
      <c r="J65" s="140"/>
      <c r="K65" s="3111"/>
      <c r="L65" s="3111"/>
      <c r="M65" s="3111"/>
      <c r="N65" s="3111"/>
      <c r="O65" s="3111"/>
      <c r="P65" s="3111"/>
      <c r="Q65" s="3111"/>
      <c r="R65" s="3111"/>
      <c r="S65" s="3111"/>
      <c r="T65" s="3111"/>
      <c r="U65" s="3112"/>
      <c r="V65" s="3112"/>
      <c r="W65" s="3112"/>
      <c r="X65" s="3113"/>
      <c r="Y65" s="3114"/>
      <c r="Z65" s="3114"/>
      <c r="AA65" s="3114"/>
      <c r="AB65" s="3114"/>
      <c r="AC65" s="3114"/>
      <c r="AD65" s="3114"/>
      <c r="AE65" s="3114"/>
      <c r="AF65" s="3114"/>
      <c r="AG65" s="3115"/>
      <c r="AH65" s="3114"/>
      <c r="AI65" s="3116"/>
      <c r="AJ65" s="3114"/>
      <c r="AK65" s="3114"/>
      <c r="AL65" s="3114"/>
      <c r="AM65" s="3114"/>
      <c r="AN65" s="3114"/>
      <c r="AO65" s="3114"/>
      <c r="AP65" s="3114"/>
      <c r="AQ65" s="3117"/>
      <c r="AR65" s="3117"/>
      <c r="AS65" s="3117"/>
    </row>
    <row r="66" spans="1:109" ht="16.350000000000001" customHeight="1" x14ac:dyDescent="0.25">
      <c r="B66" s="7271" t="s">
        <v>0</v>
      </c>
      <c r="C66" s="7271" t="s">
        <v>24</v>
      </c>
      <c r="D66" s="133"/>
      <c r="E66" s="133"/>
      <c r="F66" s="133"/>
      <c r="G66" s="133"/>
      <c r="H66" s="133"/>
      <c r="I66" s="140"/>
      <c r="J66" s="140"/>
      <c r="K66" s="3111"/>
      <c r="L66" s="3111"/>
      <c r="M66" s="3111"/>
      <c r="N66" s="3111"/>
      <c r="O66" s="3111"/>
      <c r="P66" s="3111"/>
      <c r="Q66" s="3111"/>
      <c r="R66" s="3111"/>
      <c r="S66" s="3111"/>
      <c r="T66" s="3111"/>
      <c r="U66" s="3112"/>
      <c r="V66" s="3112"/>
      <c r="W66" s="3112"/>
      <c r="X66" s="3113"/>
      <c r="Y66" s="3114"/>
      <c r="Z66" s="3114"/>
      <c r="AA66" s="3114"/>
      <c r="AB66" s="3114"/>
      <c r="AC66" s="3114"/>
      <c r="AD66" s="3114"/>
      <c r="AE66" s="3114"/>
      <c r="AF66" s="3114"/>
      <c r="AG66" s="3115"/>
      <c r="AH66" s="3114"/>
      <c r="AI66" s="3116"/>
      <c r="AJ66" s="3114"/>
      <c r="AK66" s="3114"/>
      <c r="AL66" s="3114"/>
      <c r="AM66" s="3114"/>
      <c r="AN66" s="3114"/>
      <c r="AO66" s="3114"/>
      <c r="AP66" s="3114"/>
      <c r="AQ66" s="3117"/>
      <c r="AR66" s="3117"/>
      <c r="AS66" s="3117"/>
    </row>
    <row r="67" spans="1:109" ht="16.350000000000001" customHeight="1" x14ac:dyDescent="0.25">
      <c r="A67" s="7259" t="s">
        <v>4310</v>
      </c>
      <c r="B67" s="7272" t="s">
        <v>2597</v>
      </c>
      <c r="C67" s="7273" t="s">
        <v>5369</v>
      </c>
      <c r="D67" s="133"/>
      <c r="E67" s="133"/>
      <c r="F67" s="133"/>
      <c r="G67" s="133"/>
      <c r="H67" s="133"/>
      <c r="I67" s="140"/>
      <c r="J67" s="140"/>
      <c r="K67" s="3111"/>
      <c r="L67" s="3111"/>
      <c r="M67" s="3111"/>
      <c r="N67" s="3111"/>
      <c r="O67" s="3111"/>
      <c r="P67" s="3111"/>
      <c r="Q67" s="3111"/>
      <c r="R67" s="3111"/>
      <c r="S67" s="3111"/>
      <c r="T67" s="3111"/>
      <c r="U67" s="3112"/>
      <c r="V67" s="3112"/>
      <c r="W67" s="3112"/>
      <c r="X67" s="3113"/>
      <c r="Y67" s="3114"/>
      <c r="Z67" s="3114"/>
      <c r="AA67" s="3114"/>
      <c r="AB67" s="3114"/>
      <c r="AC67" s="3114"/>
      <c r="AD67" s="3114"/>
      <c r="AE67" s="3114"/>
      <c r="AF67" s="3114"/>
      <c r="AG67" s="3115"/>
      <c r="AH67" s="3114"/>
      <c r="AI67" s="3116"/>
      <c r="AJ67" s="3114"/>
      <c r="AK67" s="3114"/>
      <c r="AL67" s="3114"/>
      <c r="AM67" s="3114"/>
      <c r="AN67" s="3114"/>
      <c r="AO67" s="3114"/>
      <c r="AP67" s="3114"/>
      <c r="AQ67" s="3117"/>
      <c r="AR67" s="3117"/>
      <c r="AS67" s="3117"/>
    </row>
    <row r="68" spans="1:109" ht="16.350000000000001" customHeight="1" x14ac:dyDescent="0.25">
      <c r="A68" s="7259" t="s">
        <v>4311</v>
      </c>
      <c r="B68" s="7274" t="s">
        <v>60</v>
      </c>
      <c r="C68" s="7275" t="s">
        <v>5369</v>
      </c>
      <c r="D68" s="133"/>
      <c r="E68" s="133"/>
      <c r="F68" s="133"/>
      <c r="G68" s="133"/>
      <c r="H68" s="133"/>
      <c r="I68" s="140"/>
      <c r="J68" s="140"/>
      <c r="K68" s="3111"/>
      <c r="L68" s="3111"/>
      <c r="M68" s="3111"/>
      <c r="N68" s="3111"/>
      <c r="O68" s="3111"/>
      <c r="P68" s="3111"/>
      <c r="Q68" s="3111"/>
      <c r="R68" s="3111"/>
      <c r="S68" s="3111"/>
      <c r="T68" s="3111"/>
      <c r="U68" s="3112"/>
      <c r="V68" s="3112"/>
      <c r="W68" s="3112"/>
      <c r="X68" s="3113"/>
      <c r="Y68" s="3114"/>
      <c r="Z68" s="3114"/>
      <c r="AA68" s="3114"/>
      <c r="AB68" s="3114"/>
      <c r="AC68" s="3114"/>
      <c r="AD68" s="3114"/>
      <c r="AE68" s="3114"/>
      <c r="AF68" s="3114"/>
      <c r="AG68" s="3115"/>
      <c r="AH68" s="3114"/>
      <c r="AI68" s="3116"/>
      <c r="AJ68" s="3114"/>
      <c r="AK68" s="3114"/>
      <c r="AL68" s="3114"/>
      <c r="AM68" s="3114"/>
      <c r="AN68" s="3114"/>
      <c r="AO68" s="3114"/>
      <c r="AP68" s="3114"/>
      <c r="AQ68" s="3117"/>
      <c r="AR68" s="3117"/>
      <c r="AS68" s="3117"/>
    </row>
    <row r="69" spans="1:109" ht="16.350000000000001" customHeight="1" x14ac:dyDescent="0.25">
      <c r="A69" s="7259" t="s">
        <v>4312</v>
      </c>
      <c r="B69" s="7274" t="s">
        <v>1568</v>
      </c>
      <c r="C69" s="7275" t="s">
        <v>5369</v>
      </c>
      <c r="D69" s="133"/>
      <c r="E69" s="133"/>
      <c r="F69" s="133"/>
      <c r="G69" s="133"/>
      <c r="H69" s="133"/>
      <c r="I69" s="140"/>
      <c r="J69" s="140"/>
      <c r="K69" s="3111"/>
      <c r="L69" s="3111"/>
      <c r="M69" s="3111"/>
      <c r="N69" s="3111"/>
      <c r="O69" s="3111"/>
      <c r="P69" s="3111"/>
      <c r="Q69" s="3111"/>
      <c r="R69" s="3111"/>
      <c r="S69" s="3111"/>
      <c r="T69" s="3111"/>
      <c r="U69" s="3112"/>
      <c r="V69" s="3112"/>
      <c r="W69" s="3112"/>
      <c r="X69" s="3113"/>
      <c r="Y69" s="3114"/>
      <c r="Z69" s="3114"/>
      <c r="AA69" s="3114"/>
      <c r="AB69" s="3114"/>
      <c r="AC69" s="3114"/>
      <c r="AD69" s="3114"/>
      <c r="AE69" s="3114"/>
      <c r="AF69" s="3114"/>
      <c r="AG69" s="3115"/>
      <c r="AH69" s="3114"/>
      <c r="AI69" s="3116"/>
      <c r="AJ69" s="3114"/>
      <c r="AK69" s="3114"/>
      <c r="AL69" s="3114"/>
      <c r="AM69" s="3114"/>
      <c r="AN69" s="3114"/>
      <c r="AO69" s="3114"/>
      <c r="AP69" s="3114"/>
      <c r="AQ69" s="3117"/>
      <c r="AR69" s="3117"/>
      <c r="AS69" s="3117"/>
    </row>
    <row r="70" spans="1:109" ht="16.350000000000001" customHeight="1" x14ac:dyDescent="0.25">
      <c r="A70" s="7259" t="s">
        <v>4313</v>
      </c>
      <c r="B70" s="7274" t="s">
        <v>1016</v>
      </c>
      <c r="C70" s="7275" t="s">
        <v>5369</v>
      </c>
      <c r="D70" s="133"/>
      <c r="E70" s="133"/>
      <c r="F70" s="133"/>
      <c r="G70" s="133"/>
      <c r="H70" s="133"/>
      <c r="I70" s="140"/>
      <c r="J70" s="140"/>
      <c r="K70" s="3111"/>
      <c r="L70" s="3111"/>
      <c r="M70" s="3111"/>
      <c r="N70" s="3111"/>
      <c r="O70" s="3111"/>
      <c r="P70" s="3111"/>
      <c r="Q70" s="3111"/>
      <c r="R70" s="3111"/>
      <c r="S70" s="3111"/>
      <c r="T70" s="3111"/>
      <c r="U70" s="3112"/>
      <c r="V70" s="3112"/>
      <c r="W70" s="3112"/>
      <c r="X70" s="3113"/>
      <c r="Y70" s="3114"/>
      <c r="Z70" s="3114"/>
      <c r="AA70" s="3114"/>
      <c r="AB70" s="3114"/>
      <c r="AC70" s="3114"/>
      <c r="AD70" s="3114"/>
      <c r="AE70" s="3114"/>
      <c r="AF70" s="3114"/>
      <c r="AG70" s="3115"/>
      <c r="AH70" s="3114"/>
      <c r="AI70" s="3116"/>
      <c r="AJ70" s="3114"/>
      <c r="AK70" s="3114"/>
      <c r="AL70" s="3114"/>
      <c r="AM70" s="3114"/>
      <c r="AN70" s="3114"/>
      <c r="AO70" s="3114"/>
      <c r="AP70" s="3114"/>
      <c r="AQ70" s="3117"/>
      <c r="AR70" s="3117"/>
      <c r="AS70" s="3117"/>
    </row>
    <row r="71" spans="1:109" ht="16.350000000000001" customHeight="1" x14ac:dyDescent="0.25">
      <c r="A71" s="7259" t="s">
        <v>4314</v>
      </c>
      <c r="B71" s="7274" t="s">
        <v>62</v>
      </c>
      <c r="C71" s="7275" t="s">
        <v>5369</v>
      </c>
      <c r="D71" s="133"/>
      <c r="E71" s="133"/>
      <c r="F71" s="133"/>
      <c r="G71" s="133"/>
      <c r="H71" s="133"/>
      <c r="I71" s="140"/>
      <c r="J71" s="140"/>
      <c r="K71" s="3111"/>
      <c r="L71" s="3111"/>
      <c r="M71" s="3111"/>
      <c r="N71" s="3111"/>
      <c r="O71" s="3111"/>
      <c r="P71" s="3111"/>
      <c r="Q71" s="3111"/>
      <c r="R71" s="3111"/>
      <c r="S71" s="3111"/>
      <c r="T71" s="3111"/>
      <c r="U71" s="3112"/>
      <c r="V71" s="3112"/>
      <c r="W71" s="3112"/>
      <c r="X71" s="3113"/>
      <c r="Y71" s="3114"/>
      <c r="Z71" s="3114"/>
      <c r="AA71" s="3114"/>
      <c r="AB71" s="3114"/>
      <c r="AC71" s="3114"/>
      <c r="AD71" s="3114"/>
      <c r="AE71" s="3114"/>
      <c r="AF71" s="3114"/>
      <c r="AG71" s="3115"/>
      <c r="AH71" s="3114"/>
      <c r="AI71" s="3116"/>
      <c r="AJ71" s="3114"/>
      <c r="AK71" s="3114"/>
      <c r="AL71" s="3114"/>
      <c r="AM71" s="3114"/>
      <c r="AN71" s="3114"/>
      <c r="AO71" s="3114"/>
      <c r="AP71" s="3114"/>
      <c r="AQ71" s="3117"/>
      <c r="AR71" s="3117"/>
      <c r="AS71" s="3117"/>
    </row>
    <row r="72" spans="1:109" ht="16.350000000000001" customHeight="1" x14ac:dyDescent="0.25">
      <c r="A72" s="7259" t="s">
        <v>4315</v>
      </c>
      <c r="B72" s="7274" t="s">
        <v>2794</v>
      </c>
      <c r="C72" s="7275" t="s">
        <v>5369</v>
      </c>
      <c r="D72" s="133"/>
      <c r="E72" s="133"/>
      <c r="F72" s="133"/>
      <c r="G72" s="133"/>
      <c r="H72" s="133"/>
      <c r="I72" s="140"/>
      <c r="J72" s="140"/>
      <c r="K72" s="3111"/>
      <c r="L72" s="3111"/>
      <c r="M72" s="3111"/>
      <c r="N72" s="3111"/>
      <c r="O72" s="3111"/>
      <c r="P72" s="3111"/>
      <c r="Q72" s="3111"/>
      <c r="R72" s="3111"/>
      <c r="S72" s="3111"/>
      <c r="T72" s="3111"/>
      <c r="U72" s="3112"/>
      <c r="V72" s="3112"/>
      <c r="W72" s="3112"/>
      <c r="X72" s="3113"/>
      <c r="Y72" s="3114"/>
      <c r="Z72" s="3114"/>
      <c r="AA72" s="3114"/>
      <c r="AB72" s="3114"/>
      <c r="AC72" s="3114"/>
      <c r="AD72" s="3114"/>
      <c r="AE72" s="3114"/>
      <c r="AF72" s="3114"/>
      <c r="AG72" s="3115"/>
      <c r="AH72" s="3114"/>
      <c r="AI72" s="3116"/>
      <c r="AJ72" s="3114"/>
      <c r="AK72" s="3114"/>
      <c r="AL72" s="3114"/>
      <c r="AM72" s="3114"/>
      <c r="AN72" s="3114"/>
      <c r="AO72" s="3114"/>
      <c r="AP72" s="3114"/>
      <c r="AQ72" s="3117"/>
      <c r="AR72" s="3117"/>
      <c r="AS72" s="3117"/>
    </row>
    <row r="73" spans="1:109" ht="16.350000000000001" customHeight="1" x14ac:dyDescent="0.25">
      <c r="A73" s="7259" t="s">
        <v>4316</v>
      </c>
      <c r="B73" s="7274" t="s">
        <v>1511</v>
      </c>
      <c r="C73" s="7275" t="s">
        <v>5369</v>
      </c>
      <c r="D73" s="133"/>
      <c r="E73" s="133"/>
      <c r="F73" s="133"/>
      <c r="G73" s="133"/>
      <c r="H73" s="133"/>
      <c r="I73" s="140"/>
      <c r="J73" s="140"/>
      <c r="K73" s="3111"/>
      <c r="L73" s="3111"/>
      <c r="M73" s="3111"/>
      <c r="N73" s="3111"/>
      <c r="O73" s="3111"/>
      <c r="P73" s="3111"/>
      <c r="Q73" s="3111"/>
      <c r="R73" s="3111"/>
      <c r="S73" s="3111"/>
      <c r="T73" s="3111"/>
      <c r="U73" s="3112"/>
      <c r="V73" s="3112"/>
      <c r="W73" s="3112"/>
      <c r="X73" s="3113"/>
      <c r="Y73" s="3114"/>
      <c r="Z73" s="3114"/>
      <c r="AA73" s="3114"/>
      <c r="AB73" s="3114"/>
      <c r="AC73" s="3114"/>
      <c r="AD73" s="3114"/>
      <c r="AE73" s="3114"/>
      <c r="AF73" s="3114"/>
      <c r="AG73" s="3115"/>
      <c r="AH73" s="3114"/>
      <c r="AI73" s="3116"/>
      <c r="AJ73" s="3114"/>
      <c r="AK73" s="3114"/>
      <c r="AL73" s="3114"/>
      <c r="AM73" s="3114"/>
      <c r="AN73" s="3114"/>
      <c r="AO73" s="3114"/>
      <c r="AP73" s="3114"/>
      <c r="AQ73" s="3117"/>
      <c r="AR73" s="3117"/>
      <c r="AS73" s="3117"/>
    </row>
    <row r="74" spans="1:109" ht="16.350000000000001" customHeight="1" x14ac:dyDescent="0.25">
      <c r="A74" s="7259" t="s">
        <v>4317</v>
      </c>
      <c r="B74" s="7276" t="s">
        <v>1265</v>
      </c>
      <c r="C74" s="7277" t="s">
        <v>5369</v>
      </c>
      <c r="D74" s="133"/>
      <c r="E74" s="133"/>
      <c r="F74" s="133"/>
      <c r="G74" s="133"/>
      <c r="H74" s="133"/>
      <c r="I74" s="140"/>
      <c r="J74" s="140"/>
      <c r="K74" s="3111"/>
      <c r="L74" s="3111"/>
      <c r="M74" s="3111"/>
      <c r="N74" s="3111"/>
      <c r="O74" s="3111"/>
      <c r="P74" s="3111"/>
      <c r="Q74" s="3111"/>
      <c r="R74" s="3111"/>
      <c r="S74" s="3111"/>
      <c r="T74" s="3111"/>
      <c r="U74" s="3112"/>
      <c r="V74" s="3112"/>
      <c r="W74" s="3112"/>
      <c r="X74" s="3113"/>
      <c r="Y74" s="3114"/>
      <c r="Z74" s="3114"/>
      <c r="AA74" s="3114"/>
      <c r="AB74" s="3114"/>
      <c r="AC74" s="3114"/>
      <c r="AD74" s="3114"/>
      <c r="AE74" s="3114"/>
      <c r="AF74" s="3114"/>
      <c r="AG74" s="3115"/>
      <c r="AH74" s="3114"/>
      <c r="AI74" s="3116"/>
      <c r="AJ74" s="3114"/>
      <c r="AK74" s="3114"/>
      <c r="AL74" s="3114"/>
      <c r="AM74" s="3114"/>
      <c r="AN74" s="3114"/>
      <c r="AO74" s="3114"/>
      <c r="AP74" s="3114"/>
      <c r="AQ74" s="3117"/>
      <c r="AR74" s="3117"/>
      <c r="AS74" s="3117"/>
    </row>
    <row r="75" spans="1:109" ht="31.35" customHeight="1" x14ac:dyDescent="0.25">
      <c r="B75" s="133" t="s">
        <v>3408</v>
      </c>
      <c r="C75" s="133"/>
      <c r="D75" s="435"/>
      <c r="E75" s="435"/>
      <c r="F75" s="140"/>
      <c r="G75" s="140"/>
      <c r="H75" s="140"/>
      <c r="I75" s="140"/>
      <c r="J75" s="140"/>
      <c r="K75" s="2677"/>
      <c r="L75" s="2677"/>
      <c r="M75" s="2677"/>
      <c r="N75" s="2677"/>
      <c r="O75" s="2677"/>
      <c r="P75" s="2677"/>
      <c r="Q75" s="2677"/>
      <c r="R75" s="2677"/>
      <c r="S75" s="2677"/>
      <c r="T75" s="2677"/>
      <c r="U75" s="426"/>
      <c r="V75" s="426"/>
      <c r="W75" s="426"/>
      <c r="X75" s="436"/>
      <c r="Y75" s="420"/>
      <c r="Z75" s="420"/>
      <c r="AA75" s="420"/>
      <c r="AB75" s="420"/>
      <c r="AC75" s="420"/>
      <c r="AD75" s="420"/>
      <c r="AE75" s="420"/>
      <c r="AF75" s="420"/>
      <c r="AG75" s="423"/>
      <c r="AH75" s="420"/>
      <c r="AI75" s="437"/>
      <c r="AJ75" s="420"/>
      <c r="AK75" s="420"/>
      <c r="AL75" s="420"/>
      <c r="AM75" s="420"/>
      <c r="AN75" s="420"/>
      <c r="AO75" s="420"/>
      <c r="AP75" s="420"/>
      <c r="AQ75" s="421"/>
      <c r="AR75" s="421"/>
      <c r="AS75" s="421"/>
    </row>
    <row r="76" spans="1:109" ht="19.95" customHeight="1" x14ac:dyDescent="0.25">
      <c r="B76" s="9000" t="s">
        <v>30</v>
      </c>
      <c r="C76" s="9002" t="s">
        <v>24</v>
      </c>
      <c r="D76" s="8735" t="s">
        <v>2634</v>
      </c>
      <c r="E76" s="8703"/>
      <c r="F76" s="8703"/>
      <c r="G76" s="8703"/>
      <c r="H76" s="8703"/>
      <c r="I76" s="8703"/>
      <c r="J76" s="8703"/>
      <c r="K76" s="8703"/>
      <c r="L76" s="8703"/>
      <c r="M76" s="8703"/>
      <c r="N76" s="8703"/>
      <c r="O76" s="8703"/>
      <c r="P76" s="8703"/>
      <c r="Q76" s="8703"/>
      <c r="R76" s="8703"/>
      <c r="S76" s="8703"/>
      <c r="T76" s="8736"/>
      <c r="U76" s="8606" t="s">
        <v>362</v>
      </c>
      <c r="V76" s="8557" t="s">
        <v>2635</v>
      </c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420"/>
      <c r="AQ76" s="420"/>
      <c r="AR76" s="420"/>
      <c r="AS76" s="420"/>
      <c r="AT76" s="420"/>
      <c r="AU76" s="420"/>
      <c r="AV76" s="420"/>
      <c r="AW76" s="420"/>
      <c r="AX76" s="423"/>
      <c r="AY76" s="420"/>
      <c r="AZ76" s="420"/>
      <c r="BA76" s="420"/>
      <c r="BB76" s="420"/>
      <c r="BC76" s="420"/>
      <c r="BD76" s="420"/>
      <c r="BE76" s="420"/>
      <c r="BF76" s="420"/>
      <c r="BG76" s="420"/>
      <c r="BH76" s="421"/>
      <c r="BI76" s="421"/>
      <c r="BJ76" s="421"/>
    </row>
    <row r="77" spans="1:109" ht="16.350000000000001" customHeight="1" x14ac:dyDescent="0.25">
      <c r="B77" s="9001"/>
      <c r="C77" s="8948"/>
      <c r="D77" s="2999" t="s">
        <v>1416</v>
      </c>
      <c r="E77" s="3000" t="s">
        <v>3544</v>
      </c>
      <c r="F77" s="3000" t="s">
        <v>32</v>
      </c>
      <c r="G77" s="3380" t="s">
        <v>33</v>
      </c>
      <c r="H77" s="3263" t="s">
        <v>40</v>
      </c>
      <c r="I77" s="3263" t="s">
        <v>115</v>
      </c>
      <c r="J77" s="3263" t="s">
        <v>116</v>
      </c>
      <c r="K77" s="3000" t="s">
        <v>400</v>
      </c>
      <c r="L77" s="3000" t="s">
        <v>124</v>
      </c>
      <c r="M77" s="2993" t="s">
        <v>125</v>
      </c>
      <c r="N77" s="3000" t="s">
        <v>126</v>
      </c>
      <c r="O77" s="3000" t="s">
        <v>127</v>
      </c>
      <c r="P77" s="3000" t="s">
        <v>128</v>
      </c>
      <c r="Q77" s="3000" t="s">
        <v>129</v>
      </c>
      <c r="R77" s="3000" t="s">
        <v>130</v>
      </c>
      <c r="S77" s="3000" t="s">
        <v>131</v>
      </c>
      <c r="T77" s="3038" t="s">
        <v>1919</v>
      </c>
      <c r="U77" s="8702"/>
      <c r="V77" s="8558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420"/>
      <c r="AQ77" s="420"/>
      <c r="AR77" s="420"/>
      <c r="AS77" s="420"/>
      <c r="AT77" s="420"/>
      <c r="AU77" s="420"/>
      <c r="AV77" s="420"/>
      <c r="AW77" s="420"/>
      <c r="AX77" s="438"/>
      <c r="AY77" s="439"/>
      <c r="AZ77" s="439"/>
      <c r="BA77" s="420"/>
      <c r="BB77" s="420"/>
      <c r="BC77" s="420"/>
      <c r="BD77" s="420"/>
      <c r="BE77" s="420"/>
      <c r="BF77" s="420"/>
      <c r="BG77" s="420"/>
      <c r="BH77" s="421"/>
      <c r="BI77" s="421"/>
      <c r="BJ77" s="421"/>
    </row>
    <row r="78" spans="1:109" ht="25.5" customHeight="1" x14ac:dyDescent="0.25">
      <c r="A78" s="7257" t="s">
        <v>4318</v>
      </c>
      <c r="B78" s="440" t="s">
        <v>617</v>
      </c>
      <c r="C78" s="81" t="s">
        <v>5369</v>
      </c>
      <c r="D78" s="3021" t="s">
        <v>5370</v>
      </c>
      <c r="E78" s="3022" t="s">
        <v>5371</v>
      </c>
      <c r="F78" s="3022" t="s">
        <v>5372</v>
      </c>
      <c r="G78" s="3022" t="s">
        <v>5373</v>
      </c>
      <c r="H78" s="3022" t="s">
        <v>5374</v>
      </c>
      <c r="I78" s="3022" t="s">
        <v>5375</v>
      </c>
      <c r="J78" s="3022" t="s">
        <v>5376</v>
      </c>
      <c r="K78" s="3022" t="s">
        <v>5377</v>
      </c>
      <c r="L78" s="3022" t="s">
        <v>5378</v>
      </c>
      <c r="M78" s="3022" t="s">
        <v>5379</v>
      </c>
      <c r="N78" s="3022" t="s">
        <v>5380</v>
      </c>
      <c r="O78" s="3022" t="s">
        <v>5381</v>
      </c>
      <c r="P78" s="3022" t="s">
        <v>5382</v>
      </c>
      <c r="Q78" s="3022" t="s">
        <v>5383</v>
      </c>
      <c r="R78" s="3022" t="s">
        <v>5384</v>
      </c>
      <c r="S78" s="3022" t="s">
        <v>5385</v>
      </c>
      <c r="T78" s="3023" t="s">
        <v>5386</v>
      </c>
      <c r="U78" s="2992" t="s">
        <v>5387</v>
      </c>
      <c r="V78" s="2674" t="s">
        <v>5388</v>
      </c>
      <c r="W78" s="105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426"/>
      <c r="BB78" s="426"/>
      <c r="BC78" s="426"/>
      <c r="BD78" s="426"/>
      <c r="BE78" s="426"/>
      <c r="BF78" s="426"/>
      <c r="BG78" s="426"/>
      <c r="BH78" s="421"/>
      <c r="BI78" s="421"/>
      <c r="BJ78" s="421"/>
      <c r="CB78" s="1429" t="s">
        <v>5435</v>
      </c>
      <c r="CD78" s="1429" t="s">
        <v>5436</v>
      </c>
      <c r="DB78" s="3219">
        <v>1</v>
      </c>
      <c r="DC78" s="3219">
        <v>0</v>
      </c>
      <c r="DD78" s="3219">
        <v>1</v>
      </c>
      <c r="DE78" s="3219">
        <v>0</v>
      </c>
    </row>
    <row r="79" spans="1:109" ht="31.35" customHeight="1" x14ac:dyDescent="0.25">
      <c r="B79" s="8986" t="s">
        <v>3409</v>
      </c>
      <c r="C79" s="8986"/>
      <c r="D79" s="8986"/>
      <c r="E79" s="8986"/>
      <c r="F79" s="8986"/>
      <c r="G79" s="8986"/>
      <c r="H79" s="8986"/>
      <c r="I79" s="72"/>
      <c r="J79" s="72"/>
      <c r="K79" s="72"/>
      <c r="L79" s="72"/>
      <c r="M79" s="72"/>
      <c r="N79" s="72"/>
      <c r="O79" s="140"/>
      <c r="P79" s="140"/>
      <c r="Q79" s="140"/>
      <c r="R79" s="190"/>
      <c r="S79" s="190"/>
      <c r="T79" s="190"/>
      <c r="U79" s="190"/>
      <c r="V79" s="190"/>
      <c r="W79" s="190"/>
      <c r="X79" s="140"/>
      <c r="Y79" s="190"/>
      <c r="Z79" s="190"/>
      <c r="AA79" s="448"/>
      <c r="AB79" s="1520"/>
      <c r="AC79" s="1520"/>
      <c r="AD79" s="1520"/>
      <c r="AE79" s="1520"/>
      <c r="AF79" s="1521"/>
      <c r="AG79" s="1521"/>
      <c r="AH79" s="1521"/>
      <c r="AI79" s="453"/>
      <c r="AJ79" s="421"/>
      <c r="AK79" s="421"/>
      <c r="AL79" s="421"/>
      <c r="AM79" s="421"/>
      <c r="AN79" s="421"/>
      <c r="AO79" s="421"/>
      <c r="AP79" s="421"/>
      <c r="AQ79" s="421"/>
      <c r="AR79" s="421"/>
      <c r="AS79" s="421"/>
    </row>
    <row r="80" spans="1:109" ht="16.350000000000001" customHeight="1" x14ac:dyDescent="0.25">
      <c r="B80" s="9021" t="s">
        <v>0</v>
      </c>
      <c r="C80" s="9024" t="s">
        <v>618</v>
      </c>
      <c r="D80" s="9024" t="s">
        <v>24</v>
      </c>
      <c r="E80" s="9025"/>
      <c r="F80" s="8959"/>
      <c r="G80" s="9026" t="s">
        <v>55</v>
      </c>
      <c r="H80" s="9027"/>
      <c r="I80" s="9027"/>
      <c r="J80" s="9027"/>
      <c r="K80" s="9027"/>
      <c r="L80" s="9027"/>
      <c r="M80" s="9027"/>
      <c r="N80" s="9027"/>
      <c r="O80" s="9027"/>
      <c r="P80" s="9027"/>
      <c r="Q80" s="9027"/>
      <c r="R80" s="9027"/>
      <c r="S80" s="9027"/>
      <c r="T80" s="9027"/>
      <c r="U80" s="9027"/>
      <c r="V80" s="9027"/>
      <c r="W80" s="9027"/>
      <c r="X80" s="9027"/>
      <c r="Y80" s="9027"/>
      <c r="Z80" s="9027"/>
      <c r="AA80" s="9027"/>
      <c r="AB80" s="9027"/>
      <c r="AC80" s="9027"/>
      <c r="AD80" s="9027"/>
      <c r="AE80" s="9027"/>
      <c r="AF80" s="9027"/>
      <c r="AG80" s="9027"/>
      <c r="AH80" s="9027"/>
      <c r="AI80" s="9027"/>
      <c r="AJ80" s="9028"/>
      <c r="AK80" s="8993" t="s">
        <v>78</v>
      </c>
      <c r="AL80" s="8554" t="s">
        <v>527</v>
      </c>
      <c r="AM80" s="8557" t="s">
        <v>362</v>
      </c>
      <c r="AN80" s="8959" t="s">
        <v>361</v>
      </c>
      <c r="AO80" s="8959" t="s">
        <v>3697</v>
      </c>
      <c r="AP80" s="420"/>
      <c r="AQ80" s="420"/>
      <c r="AR80" s="420"/>
      <c r="AS80" s="420"/>
      <c r="AT80" s="421"/>
      <c r="AU80" s="421"/>
    </row>
    <row r="81" spans="1:115" ht="16.350000000000001" customHeight="1" x14ac:dyDescent="0.25">
      <c r="B81" s="9022"/>
      <c r="C81" s="8621"/>
      <c r="D81" s="8981"/>
      <c r="E81" s="8598"/>
      <c r="F81" s="8615"/>
      <c r="G81" s="8996" t="s">
        <v>565</v>
      </c>
      <c r="H81" s="8997"/>
      <c r="I81" s="8996" t="s">
        <v>2519</v>
      </c>
      <c r="J81" s="8997"/>
      <c r="K81" s="8562" t="s">
        <v>1415</v>
      </c>
      <c r="L81" s="8954"/>
      <c r="M81" s="8562" t="s">
        <v>32</v>
      </c>
      <c r="N81" s="8954"/>
      <c r="O81" s="8998" t="s">
        <v>3543</v>
      </c>
      <c r="P81" s="8999"/>
      <c r="Q81" s="8998" t="s">
        <v>3542</v>
      </c>
      <c r="R81" s="8999"/>
      <c r="S81" s="8562" t="s">
        <v>40</v>
      </c>
      <c r="T81" s="8954"/>
      <c r="U81" s="8562" t="s">
        <v>82</v>
      </c>
      <c r="V81" s="8954"/>
      <c r="W81" s="8562" t="s">
        <v>83</v>
      </c>
      <c r="X81" s="8954"/>
      <c r="Y81" s="8562" t="s">
        <v>400</v>
      </c>
      <c r="Z81" s="8954"/>
      <c r="AA81" s="8562" t="s">
        <v>124</v>
      </c>
      <c r="AB81" s="8954"/>
      <c r="AC81" s="8562" t="s">
        <v>125</v>
      </c>
      <c r="AD81" s="8954"/>
      <c r="AE81" s="8562" t="s">
        <v>126</v>
      </c>
      <c r="AF81" s="8954"/>
      <c r="AG81" s="8562" t="s">
        <v>127</v>
      </c>
      <c r="AH81" s="8954"/>
      <c r="AI81" s="8562" t="s">
        <v>128</v>
      </c>
      <c r="AJ81" s="8954"/>
      <c r="AK81" s="8994"/>
      <c r="AL81" s="8608"/>
      <c r="AM81" s="8581"/>
      <c r="AN81" s="8622"/>
      <c r="AO81" s="8622"/>
      <c r="AP81" s="314"/>
      <c r="AQ81" s="314"/>
      <c r="AR81" s="314"/>
      <c r="AS81" s="314"/>
      <c r="AT81" s="441"/>
      <c r="AU81" s="441"/>
    </row>
    <row r="82" spans="1:115" ht="24.75" customHeight="1" x14ac:dyDescent="0.25">
      <c r="B82" s="9023"/>
      <c r="C82" s="8981"/>
      <c r="D82" s="424" t="s">
        <v>42</v>
      </c>
      <c r="E82" s="461" t="s">
        <v>17</v>
      </c>
      <c r="F82" s="462" t="s">
        <v>18</v>
      </c>
      <c r="G82" s="424" t="s">
        <v>17</v>
      </c>
      <c r="H82" s="462" t="s">
        <v>18</v>
      </c>
      <c r="I82" s="320" t="s">
        <v>17</v>
      </c>
      <c r="J82" s="462" t="s">
        <v>18</v>
      </c>
      <c r="K82" s="424" t="s">
        <v>17</v>
      </c>
      <c r="L82" s="462" t="s">
        <v>18</v>
      </c>
      <c r="M82" s="424" t="s">
        <v>17</v>
      </c>
      <c r="N82" s="462" t="s">
        <v>18</v>
      </c>
      <c r="O82" s="424" t="s">
        <v>17</v>
      </c>
      <c r="P82" s="462" t="s">
        <v>18</v>
      </c>
      <c r="Q82" s="424" t="s">
        <v>17</v>
      </c>
      <c r="R82" s="462" t="s">
        <v>18</v>
      </c>
      <c r="S82" s="424" t="s">
        <v>17</v>
      </c>
      <c r="T82" s="462" t="s">
        <v>18</v>
      </c>
      <c r="U82" s="424" t="s">
        <v>17</v>
      </c>
      <c r="V82" s="462" t="s">
        <v>18</v>
      </c>
      <c r="W82" s="424" t="s">
        <v>17</v>
      </c>
      <c r="X82" s="462" t="s">
        <v>18</v>
      </c>
      <c r="Y82" s="424" t="s">
        <v>17</v>
      </c>
      <c r="Z82" s="462" t="s">
        <v>18</v>
      </c>
      <c r="AA82" s="424" t="s">
        <v>17</v>
      </c>
      <c r="AB82" s="462" t="s">
        <v>18</v>
      </c>
      <c r="AC82" s="424" t="s">
        <v>17</v>
      </c>
      <c r="AD82" s="462" t="s">
        <v>18</v>
      </c>
      <c r="AE82" s="424" t="s">
        <v>17</v>
      </c>
      <c r="AF82" s="462" t="s">
        <v>18</v>
      </c>
      <c r="AG82" s="424" t="s">
        <v>17</v>
      </c>
      <c r="AH82" s="462" t="s">
        <v>18</v>
      </c>
      <c r="AI82" s="424" t="s">
        <v>17</v>
      </c>
      <c r="AJ82" s="322" t="s">
        <v>18</v>
      </c>
      <c r="AK82" s="8995"/>
      <c r="AL82" s="8948"/>
      <c r="AM82" s="8949"/>
      <c r="AN82" s="8615"/>
      <c r="AO82" s="8615"/>
      <c r="AP82" s="314"/>
      <c r="AQ82" s="314"/>
      <c r="AR82" s="314"/>
      <c r="AS82" s="314"/>
      <c r="AT82" s="441"/>
      <c r="AU82" s="441"/>
    </row>
    <row r="83" spans="1:115" ht="16.350000000000001" customHeight="1" x14ac:dyDescent="0.25">
      <c r="A83" s="7257" t="s">
        <v>4319</v>
      </c>
      <c r="B83" s="1522" t="s">
        <v>619</v>
      </c>
      <c r="C83" s="1523" t="s">
        <v>416</v>
      </c>
      <c r="D83" s="1524" t="s">
        <v>5369</v>
      </c>
      <c r="E83" s="1525" t="s">
        <v>5370</v>
      </c>
      <c r="F83" s="1526" t="s">
        <v>5371</v>
      </c>
      <c r="G83" s="1527" t="s">
        <v>5372</v>
      </c>
      <c r="H83" s="442" t="s">
        <v>5373</v>
      </c>
      <c r="I83" s="1528" t="s">
        <v>5374</v>
      </c>
      <c r="J83" s="442" t="s">
        <v>5375</v>
      </c>
      <c r="K83" s="1527" t="s">
        <v>5376</v>
      </c>
      <c r="L83" s="1529" t="s">
        <v>5377</v>
      </c>
      <c r="M83" s="1527" t="s">
        <v>5378</v>
      </c>
      <c r="N83" s="1529" t="s">
        <v>5379</v>
      </c>
      <c r="O83" s="1527" t="s">
        <v>5380</v>
      </c>
      <c r="P83" s="1529" t="s">
        <v>5381</v>
      </c>
      <c r="Q83" s="1527" t="s">
        <v>5382</v>
      </c>
      <c r="R83" s="1529" t="s">
        <v>5383</v>
      </c>
      <c r="S83" s="1527" t="s">
        <v>5384</v>
      </c>
      <c r="T83" s="1529" t="s">
        <v>5385</v>
      </c>
      <c r="U83" s="1527" t="s">
        <v>5386</v>
      </c>
      <c r="V83" s="1529" t="s">
        <v>5387</v>
      </c>
      <c r="W83" s="1527" t="s">
        <v>5388</v>
      </c>
      <c r="X83" s="1529" t="s">
        <v>5389</v>
      </c>
      <c r="Y83" s="1527" t="s">
        <v>5390</v>
      </c>
      <c r="Z83" s="1529" t="s">
        <v>5391</v>
      </c>
      <c r="AA83" s="1527" t="s">
        <v>5392</v>
      </c>
      <c r="AB83" s="1529" t="s">
        <v>5393</v>
      </c>
      <c r="AC83" s="1527" t="s">
        <v>5394</v>
      </c>
      <c r="AD83" s="1529" t="s">
        <v>5395</v>
      </c>
      <c r="AE83" s="1527" t="s">
        <v>5396</v>
      </c>
      <c r="AF83" s="1529" t="s">
        <v>5397</v>
      </c>
      <c r="AG83" s="1527" t="s">
        <v>5398</v>
      </c>
      <c r="AH83" s="1529" t="s">
        <v>5399</v>
      </c>
      <c r="AI83" s="1527" t="s">
        <v>5400</v>
      </c>
      <c r="AJ83" s="1530" t="s">
        <v>5401</v>
      </c>
      <c r="AK83" s="286" t="s">
        <v>5402</v>
      </c>
      <c r="AL83" s="2561" t="s">
        <v>5403</v>
      </c>
      <c r="AM83" s="2558" t="s">
        <v>5404</v>
      </c>
      <c r="AN83" s="442" t="s">
        <v>5405</v>
      </c>
      <c r="AO83" s="442" t="s">
        <v>5406</v>
      </c>
      <c r="AP83" s="314"/>
      <c r="AQ83" s="314"/>
      <c r="AR83" s="314"/>
      <c r="AS83" s="314"/>
      <c r="AT83" s="441"/>
      <c r="AU83" s="441"/>
      <c r="DB83" s="3219">
        <v>0</v>
      </c>
      <c r="DC83" s="3219">
        <v>0</v>
      </c>
      <c r="DD83" s="3219">
        <v>0</v>
      </c>
      <c r="DE83" s="3219">
        <v>0</v>
      </c>
      <c r="DF83" s="3219">
        <v>0</v>
      </c>
      <c r="DG83" s="3219">
        <v>0</v>
      </c>
      <c r="DH83" s="3219">
        <v>0</v>
      </c>
      <c r="DI83" s="3219">
        <v>0</v>
      </c>
      <c r="DJ83" s="3219">
        <v>0</v>
      </c>
      <c r="DK83" s="3219">
        <v>0</v>
      </c>
    </row>
    <row r="84" spans="1:115" ht="16.350000000000001" customHeight="1" x14ac:dyDescent="0.25">
      <c r="A84" s="7257" t="s">
        <v>4320</v>
      </c>
      <c r="B84" s="9019" t="s">
        <v>26</v>
      </c>
      <c r="C84" s="3280" t="s">
        <v>566</v>
      </c>
      <c r="D84" s="248" t="s">
        <v>5369</v>
      </c>
      <c r="E84" s="271" t="s">
        <v>5370</v>
      </c>
      <c r="F84" s="271" t="s">
        <v>5371</v>
      </c>
      <c r="G84" s="191" t="s">
        <v>5372</v>
      </c>
      <c r="H84" s="192" t="s">
        <v>5373</v>
      </c>
      <c r="I84" s="229" t="s">
        <v>5374</v>
      </c>
      <c r="J84" s="192" t="s">
        <v>5375</v>
      </c>
      <c r="K84" s="191" t="s">
        <v>5376</v>
      </c>
      <c r="L84" s="193" t="s">
        <v>5377</v>
      </c>
      <c r="M84" s="191" t="s">
        <v>5378</v>
      </c>
      <c r="N84" s="193" t="s">
        <v>5379</v>
      </c>
      <c r="O84" s="191" t="s">
        <v>5380</v>
      </c>
      <c r="P84" s="193" t="s">
        <v>5381</v>
      </c>
      <c r="Q84" s="191" t="s">
        <v>5382</v>
      </c>
      <c r="R84" s="193" t="s">
        <v>5383</v>
      </c>
      <c r="S84" s="191" t="s">
        <v>5384</v>
      </c>
      <c r="T84" s="193" t="s">
        <v>5385</v>
      </c>
      <c r="U84" s="191" t="s">
        <v>5386</v>
      </c>
      <c r="V84" s="193" t="s">
        <v>5387</v>
      </c>
      <c r="W84" s="191" t="s">
        <v>5388</v>
      </c>
      <c r="X84" s="193" t="s">
        <v>5389</v>
      </c>
      <c r="Y84" s="191" t="s">
        <v>5390</v>
      </c>
      <c r="Z84" s="193" t="s">
        <v>5391</v>
      </c>
      <c r="AA84" s="191" t="s">
        <v>5392</v>
      </c>
      <c r="AB84" s="193" t="s">
        <v>5393</v>
      </c>
      <c r="AC84" s="191" t="s">
        <v>5394</v>
      </c>
      <c r="AD84" s="193" t="s">
        <v>5395</v>
      </c>
      <c r="AE84" s="191" t="s">
        <v>5396</v>
      </c>
      <c r="AF84" s="193" t="s">
        <v>5397</v>
      </c>
      <c r="AG84" s="191" t="s">
        <v>5398</v>
      </c>
      <c r="AH84" s="193" t="s">
        <v>5399</v>
      </c>
      <c r="AI84" s="191" t="s">
        <v>5400</v>
      </c>
      <c r="AJ84" s="1064" t="s">
        <v>5401</v>
      </c>
      <c r="AK84" s="443" t="s">
        <v>5402</v>
      </c>
      <c r="AL84" s="2562" t="s">
        <v>5403</v>
      </c>
      <c r="AM84" s="2442" t="s">
        <v>5404</v>
      </c>
      <c r="AN84" s="192" t="s">
        <v>5405</v>
      </c>
      <c r="AO84" s="192" t="s">
        <v>5406</v>
      </c>
      <c r="AP84" s="314"/>
      <c r="AQ84" s="314"/>
      <c r="AR84" s="314"/>
      <c r="AS84" s="314"/>
      <c r="AT84" s="441"/>
      <c r="AU84" s="441"/>
    </row>
    <row r="85" spans="1:115" ht="25.35" customHeight="1" x14ac:dyDescent="0.25">
      <c r="A85" s="7257" t="s">
        <v>4321</v>
      </c>
      <c r="B85" s="9019"/>
      <c r="C85" s="2096" t="s">
        <v>567</v>
      </c>
      <c r="D85" s="265" t="s">
        <v>5369</v>
      </c>
      <c r="E85" s="271" t="s">
        <v>5370</v>
      </c>
      <c r="F85" s="271" t="s">
        <v>5371</v>
      </c>
      <c r="G85" s="1512" t="s">
        <v>5372</v>
      </c>
      <c r="H85" s="194" t="s">
        <v>5373</v>
      </c>
      <c r="I85" s="1472" t="s">
        <v>5374</v>
      </c>
      <c r="J85" s="194" t="s">
        <v>5375</v>
      </c>
      <c r="K85" s="1512" t="s">
        <v>5376</v>
      </c>
      <c r="L85" s="1473" t="s">
        <v>5377</v>
      </c>
      <c r="M85" s="1512" t="s">
        <v>5378</v>
      </c>
      <c r="N85" s="1473" t="s">
        <v>5379</v>
      </c>
      <c r="O85" s="1512" t="s">
        <v>5380</v>
      </c>
      <c r="P85" s="1473" t="s">
        <v>5381</v>
      </c>
      <c r="Q85" s="1512" t="s">
        <v>5382</v>
      </c>
      <c r="R85" s="1473" t="s">
        <v>5383</v>
      </c>
      <c r="S85" s="1512" t="s">
        <v>5384</v>
      </c>
      <c r="T85" s="1473" t="s">
        <v>5385</v>
      </c>
      <c r="U85" s="1512" t="s">
        <v>5386</v>
      </c>
      <c r="V85" s="1473" t="s">
        <v>5387</v>
      </c>
      <c r="W85" s="1512" t="s">
        <v>5388</v>
      </c>
      <c r="X85" s="1473" t="s">
        <v>5389</v>
      </c>
      <c r="Y85" s="1512" t="s">
        <v>5390</v>
      </c>
      <c r="Z85" s="1473" t="s">
        <v>5391</v>
      </c>
      <c r="AA85" s="1512" t="s">
        <v>5392</v>
      </c>
      <c r="AB85" s="1473" t="s">
        <v>5393</v>
      </c>
      <c r="AC85" s="1512" t="s">
        <v>5394</v>
      </c>
      <c r="AD85" s="1473" t="s">
        <v>5395</v>
      </c>
      <c r="AE85" s="1512" t="s">
        <v>5396</v>
      </c>
      <c r="AF85" s="1473" t="s">
        <v>5397</v>
      </c>
      <c r="AG85" s="1512" t="s">
        <v>5398</v>
      </c>
      <c r="AH85" s="1473" t="s">
        <v>5399</v>
      </c>
      <c r="AI85" s="1512" t="s">
        <v>5400</v>
      </c>
      <c r="AJ85" s="1531" t="s">
        <v>5401</v>
      </c>
      <c r="AK85" s="444" t="s">
        <v>5402</v>
      </c>
      <c r="AL85" s="2563" t="s">
        <v>5403</v>
      </c>
      <c r="AM85" s="2559" t="s">
        <v>5404</v>
      </c>
      <c r="AN85" s="194" t="s">
        <v>5405</v>
      </c>
      <c r="AO85" s="194" t="s">
        <v>5406</v>
      </c>
      <c r="AP85" s="314"/>
      <c r="AQ85" s="314"/>
      <c r="AR85" s="314"/>
      <c r="AS85" s="314"/>
      <c r="AT85" s="441"/>
      <c r="AU85" s="441"/>
    </row>
    <row r="86" spans="1:115" ht="16.350000000000001" customHeight="1" x14ac:dyDescent="0.25">
      <c r="A86" s="7257" t="s">
        <v>4322</v>
      </c>
      <c r="B86" s="3275" t="s">
        <v>60</v>
      </c>
      <c r="C86" s="1532" t="s">
        <v>568</v>
      </c>
      <c r="D86" s="1524" t="s">
        <v>5369</v>
      </c>
      <c r="E86" s="1525" t="s">
        <v>5370</v>
      </c>
      <c r="F86" s="1526" t="s">
        <v>5371</v>
      </c>
      <c r="G86" s="1533" t="s">
        <v>5372</v>
      </c>
      <c r="H86" s="446" t="s">
        <v>5373</v>
      </c>
      <c r="I86" s="1534" t="s">
        <v>5374</v>
      </c>
      <c r="J86" s="446" t="s">
        <v>5375</v>
      </c>
      <c r="K86" s="1533" t="s">
        <v>5376</v>
      </c>
      <c r="L86" s="1535" t="s">
        <v>5377</v>
      </c>
      <c r="M86" s="1533" t="s">
        <v>5378</v>
      </c>
      <c r="N86" s="1535" t="s">
        <v>5379</v>
      </c>
      <c r="O86" s="1533" t="s">
        <v>5380</v>
      </c>
      <c r="P86" s="1535" t="s">
        <v>5381</v>
      </c>
      <c r="Q86" s="1533" t="s">
        <v>5382</v>
      </c>
      <c r="R86" s="1535" t="s">
        <v>5383</v>
      </c>
      <c r="S86" s="1533" t="s">
        <v>5384</v>
      </c>
      <c r="T86" s="1535" t="s">
        <v>5385</v>
      </c>
      <c r="U86" s="1533" t="s">
        <v>5386</v>
      </c>
      <c r="V86" s="1535" t="s">
        <v>5387</v>
      </c>
      <c r="W86" s="1533" t="s">
        <v>5388</v>
      </c>
      <c r="X86" s="1535" t="s">
        <v>5389</v>
      </c>
      <c r="Y86" s="1533" t="s">
        <v>5390</v>
      </c>
      <c r="Z86" s="1535" t="s">
        <v>5391</v>
      </c>
      <c r="AA86" s="1533" t="s">
        <v>5392</v>
      </c>
      <c r="AB86" s="1535" t="s">
        <v>5393</v>
      </c>
      <c r="AC86" s="1533" t="s">
        <v>5394</v>
      </c>
      <c r="AD86" s="1535" t="s">
        <v>5395</v>
      </c>
      <c r="AE86" s="1533" t="s">
        <v>5396</v>
      </c>
      <c r="AF86" s="1535" t="s">
        <v>5397</v>
      </c>
      <c r="AG86" s="1533" t="s">
        <v>5398</v>
      </c>
      <c r="AH86" s="1535" t="s">
        <v>5399</v>
      </c>
      <c r="AI86" s="1533" t="s">
        <v>5400</v>
      </c>
      <c r="AJ86" s="1536" t="s">
        <v>5401</v>
      </c>
      <c r="AK86" s="445" t="s">
        <v>5402</v>
      </c>
      <c r="AL86" s="2564" t="s">
        <v>5403</v>
      </c>
      <c r="AM86" s="2560" t="s">
        <v>5404</v>
      </c>
      <c r="AN86" s="446" t="s">
        <v>5405</v>
      </c>
      <c r="AO86" s="446" t="s">
        <v>5406</v>
      </c>
      <c r="AP86" s="314"/>
      <c r="AQ86" s="314"/>
      <c r="AR86" s="314"/>
      <c r="AS86" s="314"/>
      <c r="AT86" s="441"/>
      <c r="AU86" s="441"/>
    </row>
    <row r="87" spans="1:115" ht="31.35" customHeight="1" x14ac:dyDescent="0.25">
      <c r="B87" s="133" t="s">
        <v>3410</v>
      </c>
      <c r="C87" s="140"/>
      <c r="D87" s="153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90"/>
      <c r="S87" s="190"/>
      <c r="T87" s="190"/>
      <c r="U87" s="190"/>
      <c r="V87" s="190"/>
      <c r="W87" s="190"/>
      <c r="X87" s="140"/>
      <c r="Y87" s="190"/>
      <c r="Z87" s="190"/>
      <c r="AA87" s="447"/>
      <c r="AB87" s="448"/>
      <c r="AC87" s="449"/>
      <c r="AD87" s="449"/>
      <c r="AE87" s="449"/>
      <c r="AF87" s="449"/>
      <c r="AG87" s="449"/>
      <c r="AH87" s="441"/>
      <c r="AI87" s="153"/>
      <c r="AJ87" s="314"/>
      <c r="AK87" s="314"/>
      <c r="AL87" s="314"/>
      <c r="AM87" s="314"/>
      <c r="AN87" s="314"/>
      <c r="AO87" s="314"/>
      <c r="AP87" s="314"/>
      <c r="AQ87" s="314"/>
      <c r="AR87" s="441"/>
      <c r="AS87" s="441"/>
    </row>
    <row r="88" spans="1:115" ht="16.350000000000001" customHeight="1" x14ac:dyDescent="0.25">
      <c r="B88" s="9019" t="s">
        <v>30</v>
      </c>
      <c r="C88" s="9020" t="s">
        <v>24</v>
      </c>
      <c r="D88" s="9020" t="s">
        <v>620</v>
      </c>
      <c r="E88" s="8934" t="s">
        <v>621</v>
      </c>
      <c r="F88" s="8954" t="s">
        <v>2197</v>
      </c>
      <c r="G88" s="9020" t="s">
        <v>2196</v>
      </c>
      <c r="H88" s="140"/>
      <c r="I88" s="313"/>
      <c r="J88" s="313"/>
      <c r="K88" s="313"/>
      <c r="L88" s="313"/>
      <c r="M88" s="313"/>
      <c r="N88" s="313"/>
      <c r="O88" s="313"/>
      <c r="P88" s="313"/>
      <c r="Q88" s="450"/>
      <c r="R88" s="450"/>
      <c r="S88" s="450"/>
      <c r="T88" s="450"/>
      <c r="U88" s="450"/>
      <c r="V88" s="450"/>
      <c r="W88" s="450"/>
      <c r="X88" s="313"/>
      <c r="Y88" s="450"/>
      <c r="Z88" s="441"/>
      <c r="AA88" s="441"/>
      <c r="AB88" s="441"/>
      <c r="AC88" s="441"/>
      <c r="AD88" s="441"/>
      <c r="AE88" s="441"/>
      <c r="AF88" s="441"/>
      <c r="AG88" s="441"/>
      <c r="AH88" s="441"/>
      <c r="AI88" s="314"/>
      <c r="AJ88" s="314"/>
      <c r="AK88" s="314"/>
      <c r="AL88" s="314"/>
      <c r="AM88" s="314"/>
      <c r="AN88" s="314"/>
      <c r="AO88" s="314"/>
      <c r="AP88" s="314"/>
      <c r="AQ88" s="314"/>
      <c r="AR88" s="441"/>
      <c r="AS88" s="441"/>
    </row>
    <row r="89" spans="1:115" ht="45.75" customHeight="1" x14ac:dyDescent="0.25">
      <c r="B89" s="9019"/>
      <c r="C89" s="9020"/>
      <c r="D89" s="9020"/>
      <c r="E89" s="8934"/>
      <c r="F89" s="8954"/>
      <c r="G89" s="9020"/>
      <c r="H89" s="140"/>
      <c r="I89" s="313"/>
      <c r="J89" s="313"/>
      <c r="K89" s="313"/>
      <c r="L89" s="313"/>
      <c r="M89" s="313"/>
      <c r="N89" s="313"/>
      <c r="O89" s="313"/>
      <c r="P89" s="313"/>
      <c r="Q89" s="450"/>
      <c r="R89" s="450"/>
      <c r="S89" s="450"/>
      <c r="T89" s="450"/>
      <c r="U89" s="450"/>
      <c r="V89" s="450"/>
      <c r="W89" s="450"/>
      <c r="X89" s="313"/>
      <c r="Y89" s="450"/>
      <c r="Z89" s="441"/>
      <c r="AA89" s="441"/>
      <c r="AB89" s="441"/>
      <c r="AC89" s="441"/>
      <c r="AD89" s="441"/>
      <c r="AE89" s="441"/>
      <c r="AF89" s="441"/>
      <c r="AG89" s="441"/>
      <c r="AH89" s="441"/>
      <c r="AI89" s="314"/>
      <c r="AJ89" s="314"/>
      <c r="AK89" s="314"/>
      <c r="AL89" s="314"/>
      <c r="AM89" s="314"/>
      <c r="AN89" s="314"/>
      <c r="AO89" s="314"/>
      <c r="AP89" s="314"/>
      <c r="AQ89" s="314"/>
      <c r="AR89" s="441"/>
      <c r="AS89" s="441"/>
    </row>
    <row r="90" spans="1:115" ht="16.350000000000001" customHeight="1" x14ac:dyDescent="0.25">
      <c r="A90" s="7267"/>
      <c r="B90" s="9003" t="s">
        <v>569</v>
      </c>
      <c r="C90" s="9004"/>
      <c r="D90" s="9004"/>
      <c r="E90" s="9004"/>
      <c r="F90" s="9004"/>
      <c r="G90" s="9005"/>
      <c r="H90" s="140"/>
      <c r="I90" s="313"/>
      <c r="J90" s="313"/>
      <c r="K90" s="313"/>
      <c r="L90" s="313"/>
      <c r="M90" s="313"/>
      <c r="N90" s="313"/>
      <c r="O90" s="313"/>
      <c r="P90" s="313"/>
      <c r="Q90" s="450"/>
      <c r="R90" s="450"/>
      <c r="S90" s="450"/>
      <c r="T90" s="450"/>
      <c r="U90" s="450"/>
      <c r="V90" s="450"/>
      <c r="W90" s="450"/>
      <c r="X90" s="313"/>
      <c r="Y90" s="450"/>
      <c r="Z90" s="441"/>
      <c r="AA90" s="441"/>
      <c r="AB90" s="441"/>
      <c r="AC90" s="441"/>
      <c r="AD90" s="441"/>
      <c r="AE90" s="441"/>
      <c r="AF90" s="441"/>
      <c r="AG90" s="441"/>
      <c r="AH90" s="441"/>
      <c r="AI90" s="314"/>
      <c r="AJ90" s="314"/>
      <c r="AK90" s="314"/>
      <c r="AL90" s="314"/>
      <c r="AM90" s="314"/>
      <c r="AN90" s="314"/>
      <c r="AO90" s="314"/>
      <c r="AP90" s="314"/>
      <c r="AQ90" s="314"/>
      <c r="AR90" s="441"/>
      <c r="AS90" s="441"/>
    </row>
    <row r="91" spans="1:115" ht="16.350000000000001" customHeight="1" x14ac:dyDescent="0.25">
      <c r="A91" s="7257" t="s">
        <v>4323</v>
      </c>
      <c r="B91" s="1537" t="s">
        <v>570</v>
      </c>
      <c r="C91" s="1639" t="s">
        <v>5369</v>
      </c>
      <c r="D91" s="1538" t="s">
        <v>5370</v>
      </c>
      <c r="E91" s="1645" t="s">
        <v>5371</v>
      </c>
      <c r="F91" s="1594" t="s">
        <v>5372</v>
      </c>
      <c r="G91" s="1538" t="s">
        <v>5373</v>
      </c>
      <c r="H91" s="140"/>
      <c r="I91" s="313"/>
      <c r="J91" s="313"/>
      <c r="K91" s="313"/>
      <c r="L91" s="313"/>
      <c r="M91" s="313"/>
      <c r="N91" s="313"/>
      <c r="O91" s="313"/>
      <c r="P91" s="313"/>
      <c r="Q91" s="450"/>
      <c r="R91" s="450"/>
      <c r="S91" s="450"/>
      <c r="T91" s="450"/>
      <c r="U91" s="450"/>
      <c r="V91" s="450"/>
      <c r="W91" s="450"/>
      <c r="X91" s="313"/>
      <c r="Y91" s="450"/>
      <c r="Z91" s="441"/>
      <c r="AA91" s="441"/>
      <c r="AB91" s="441"/>
      <c r="AC91" s="441"/>
      <c r="AD91" s="441"/>
      <c r="AE91" s="441"/>
      <c r="AF91" s="441"/>
      <c r="AG91" s="441"/>
      <c r="AH91" s="441"/>
      <c r="AI91" s="314"/>
      <c r="AJ91" s="314"/>
      <c r="AK91" s="314"/>
      <c r="AL91" s="314"/>
      <c r="AM91" s="314"/>
      <c r="AN91" s="314"/>
      <c r="AO91" s="314"/>
      <c r="AP91" s="314"/>
      <c r="AQ91" s="314"/>
      <c r="AR91" s="441"/>
      <c r="AS91" s="441"/>
    </row>
    <row r="92" spans="1:115" ht="16.350000000000001" customHeight="1" x14ac:dyDescent="0.25">
      <c r="A92" s="7257" t="s">
        <v>4324</v>
      </c>
      <c r="B92" s="2091" t="s">
        <v>571</v>
      </c>
      <c r="C92" s="1640" t="s">
        <v>5369</v>
      </c>
      <c r="D92" s="123" t="s">
        <v>5370</v>
      </c>
      <c r="E92" s="1646" t="s">
        <v>5371</v>
      </c>
      <c r="F92" s="1644" t="s">
        <v>5372</v>
      </c>
      <c r="G92" s="123" t="s">
        <v>5373</v>
      </c>
      <c r="H92" s="140"/>
      <c r="I92" s="313"/>
      <c r="J92" s="313"/>
      <c r="K92" s="313"/>
      <c r="L92" s="313"/>
      <c r="M92" s="313"/>
      <c r="N92" s="313"/>
      <c r="O92" s="313"/>
      <c r="P92" s="313"/>
      <c r="Q92" s="450"/>
      <c r="R92" s="450"/>
      <c r="S92" s="450"/>
      <c r="T92" s="450"/>
      <c r="U92" s="450"/>
      <c r="V92" s="450"/>
      <c r="W92" s="450"/>
      <c r="X92" s="313"/>
      <c r="Y92" s="450"/>
      <c r="Z92" s="441"/>
      <c r="AA92" s="441"/>
      <c r="AB92" s="441"/>
      <c r="AC92" s="441"/>
      <c r="AD92" s="441"/>
      <c r="AE92" s="441"/>
      <c r="AF92" s="441"/>
      <c r="AG92" s="441"/>
      <c r="AH92" s="441"/>
      <c r="AI92" s="314"/>
      <c r="AJ92" s="314"/>
      <c r="AK92" s="314"/>
      <c r="AL92" s="314"/>
      <c r="AM92" s="314"/>
      <c r="AN92" s="314"/>
      <c r="AO92" s="314"/>
      <c r="AP92" s="314"/>
      <c r="AQ92" s="314"/>
      <c r="AR92" s="441"/>
      <c r="AS92" s="441"/>
    </row>
    <row r="93" spans="1:115" ht="16.350000000000001" customHeight="1" x14ac:dyDescent="0.25">
      <c r="A93" s="7257" t="s">
        <v>4325</v>
      </c>
      <c r="B93" s="2091" t="s">
        <v>572</v>
      </c>
      <c r="C93" s="1640" t="s">
        <v>5369</v>
      </c>
      <c r="D93" s="123" t="s">
        <v>5370</v>
      </c>
      <c r="E93" s="1646" t="s">
        <v>5371</v>
      </c>
      <c r="F93" s="1644" t="s">
        <v>5372</v>
      </c>
      <c r="G93" s="123" t="s">
        <v>5373</v>
      </c>
      <c r="H93" s="140"/>
      <c r="I93" s="313"/>
      <c r="J93" s="313"/>
      <c r="K93" s="313"/>
      <c r="L93" s="313"/>
      <c r="M93" s="313"/>
      <c r="N93" s="313"/>
      <c r="O93" s="313"/>
      <c r="P93" s="313"/>
      <c r="Q93" s="450"/>
      <c r="R93" s="450"/>
      <c r="S93" s="450"/>
      <c r="T93" s="450"/>
      <c r="U93" s="450"/>
      <c r="V93" s="450"/>
      <c r="W93" s="450"/>
      <c r="X93" s="313"/>
      <c r="Y93" s="450"/>
      <c r="Z93" s="441"/>
      <c r="AA93" s="441"/>
      <c r="AB93" s="441"/>
      <c r="AC93" s="441"/>
      <c r="AD93" s="441"/>
      <c r="AE93" s="441"/>
      <c r="AF93" s="441"/>
      <c r="AG93" s="441"/>
      <c r="AH93" s="441"/>
      <c r="AI93" s="314"/>
      <c r="AJ93" s="314"/>
      <c r="AK93" s="314"/>
      <c r="AL93" s="314"/>
      <c r="AM93" s="314"/>
      <c r="AN93" s="314"/>
      <c r="AO93" s="314"/>
      <c r="AP93" s="314"/>
      <c r="AQ93" s="314"/>
      <c r="AR93" s="441"/>
      <c r="AS93" s="441"/>
    </row>
    <row r="94" spans="1:115" ht="16.350000000000001" customHeight="1" x14ac:dyDescent="0.25">
      <c r="A94" s="7257" t="s">
        <v>4326</v>
      </c>
      <c r="B94" s="2091" t="s">
        <v>573</v>
      </c>
      <c r="C94" s="1640" t="s">
        <v>5369</v>
      </c>
      <c r="D94" s="123" t="s">
        <v>5370</v>
      </c>
      <c r="E94" s="1646" t="s">
        <v>5371</v>
      </c>
      <c r="F94" s="1644" t="s">
        <v>5372</v>
      </c>
      <c r="G94" s="123" t="s">
        <v>5373</v>
      </c>
      <c r="H94" s="140"/>
      <c r="I94" s="313"/>
      <c r="J94" s="313"/>
      <c r="K94" s="313"/>
      <c r="L94" s="313"/>
      <c r="M94" s="313"/>
      <c r="N94" s="313"/>
      <c r="O94" s="313"/>
      <c r="P94" s="313"/>
      <c r="Q94" s="450"/>
      <c r="R94" s="450"/>
      <c r="S94" s="450"/>
      <c r="T94" s="450"/>
      <c r="U94" s="450"/>
      <c r="V94" s="450"/>
      <c r="W94" s="450"/>
      <c r="X94" s="313"/>
      <c r="Y94" s="450"/>
      <c r="Z94" s="441"/>
      <c r="AA94" s="441"/>
      <c r="AB94" s="441"/>
      <c r="AC94" s="441"/>
      <c r="AD94" s="441"/>
      <c r="AE94" s="441"/>
      <c r="AF94" s="441"/>
      <c r="AG94" s="441"/>
      <c r="AH94" s="441"/>
      <c r="AI94" s="314"/>
      <c r="AJ94" s="314"/>
      <c r="AK94" s="314"/>
      <c r="AL94" s="314"/>
      <c r="AM94" s="314"/>
      <c r="AN94" s="314"/>
      <c r="AO94" s="314"/>
      <c r="AP94" s="314"/>
      <c r="AQ94" s="314"/>
      <c r="AR94" s="441"/>
      <c r="AS94" s="441"/>
    </row>
    <row r="95" spans="1:115" ht="16.350000000000001" customHeight="1" x14ac:dyDescent="0.25">
      <c r="A95" s="7257" t="s">
        <v>4327</v>
      </c>
      <c r="B95" s="1539" t="s">
        <v>574</v>
      </c>
      <c r="C95" s="2142" t="s">
        <v>5369</v>
      </c>
      <c r="D95" s="91" t="s">
        <v>5370</v>
      </c>
      <c r="E95" s="1647" t="s">
        <v>5371</v>
      </c>
      <c r="F95" s="143" t="s">
        <v>5372</v>
      </c>
      <c r="G95" s="91" t="s">
        <v>5373</v>
      </c>
      <c r="H95" s="140"/>
      <c r="I95" s="313"/>
      <c r="J95" s="313"/>
      <c r="K95" s="313"/>
      <c r="L95" s="313"/>
      <c r="M95" s="313"/>
      <c r="N95" s="313"/>
      <c r="O95" s="313"/>
      <c r="P95" s="313"/>
      <c r="Q95" s="450"/>
      <c r="R95" s="450"/>
      <c r="S95" s="450"/>
      <c r="T95" s="450"/>
      <c r="U95" s="450"/>
      <c r="V95" s="450"/>
      <c r="W95" s="450"/>
      <c r="X95" s="313"/>
      <c r="Y95" s="450"/>
      <c r="Z95" s="441"/>
      <c r="AA95" s="441"/>
      <c r="AB95" s="441"/>
      <c r="AC95" s="441"/>
      <c r="AD95" s="441"/>
      <c r="AE95" s="441"/>
      <c r="AF95" s="441"/>
      <c r="AG95" s="441"/>
      <c r="AH95" s="441"/>
      <c r="AI95" s="314"/>
      <c r="AJ95" s="314"/>
      <c r="AK95" s="314"/>
      <c r="AL95" s="314"/>
      <c r="AM95" s="314"/>
      <c r="AN95" s="314"/>
      <c r="AO95" s="314"/>
      <c r="AP95" s="314"/>
      <c r="AQ95" s="314"/>
      <c r="AR95" s="441"/>
      <c r="AS95" s="441"/>
    </row>
    <row r="96" spans="1:115" ht="16.350000000000001" customHeight="1" x14ac:dyDescent="0.25">
      <c r="A96" s="7267"/>
      <c r="B96" s="9003" t="s">
        <v>575</v>
      </c>
      <c r="C96" s="9004"/>
      <c r="D96" s="9004"/>
      <c r="E96" s="9004"/>
      <c r="F96" s="9004"/>
      <c r="G96" s="9005"/>
      <c r="H96" s="140"/>
      <c r="I96" s="313"/>
      <c r="J96" s="313"/>
      <c r="K96" s="313"/>
      <c r="L96" s="313"/>
      <c r="M96" s="313"/>
      <c r="N96" s="313"/>
      <c r="O96" s="313"/>
      <c r="P96" s="313"/>
      <c r="Q96" s="450"/>
      <c r="R96" s="450"/>
      <c r="S96" s="450"/>
      <c r="T96" s="450"/>
      <c r="U96" s="450"/>
      <c r="V96" s="450"/>
      <c r="W96" s="450"/>
      <c r="X96" s="313"/>
      <c r="Y96" s="450"/>
      <c r="Z96" s="441"/>
      <c r="AA96" s="441"/>
      <c r="AB96" s="441"/>
      <c r="AC96" s="441"/>
      <c r="AD96" s="441"/>
      <c r="AE96" s="441"/>
      <c r="AF96" s="441"/>
      <c r="AG96" s="441"/>
      <c r="AH96" s="441"/>
      <c r="AI96" s="314"/>
      <c r="AJ96" s="314"/>
      <c r="AK96" s="314"/>
      <c r="AL96" s="314"/>
      <c r="AM96" s="314"/>
      <c r="AN96" s="314"/>
      <c r="AO96" s="314"/>
      <c r="AP96" s="314"/>
      <c r="AQ96" s="314"/>
      <c r="AR96" s="441"/>
      <c r="AS96" s="441"/>
    </row>
    <row r="97" spans="1:131" ht="16.350000000000001" customHeight="1" x14ac:dyDescent="0.25">
      <c r="A97" s="7257" t="s">
        <v>4328</v>
      </c>
      <c r="B97" s="3289" t="s">
        <v>576</v>
      </c>
      <c r="C97" s="1641" t="s">
        <v>5369</v>
      </c>
      <c r="D97" s="80" t="s">
        <v>5370</v>
      </c>
      <c r="E97" s="1645" t="s">
        <v>5371</v>
      </c>
      <c r="F97" s="1594" t="s">
        <v>5372</v>
      </c>
      <c r="G97" s="80" t="s">
        <v>5373</v>
      </c>
      <c r="H97" s="140"/>
      <c r="I97" s="313"/>
      <c r="J97" s="313"/>
      <c r="K97" s="313"/>
      <c r="L97" s="313"/>
      <c r="M97" s="313"/>
      <c r="N97" s="313"/>
      <c r="O97" s="313"/>
      <c r="P97" s="313"/>
      <c r="Q97" s="450"/>
      <c r="R97" s="450"/>
      <c r="S97" s="450"/>
      <c r="T97" s="450"/>
      <c r="U97" s="450"/>
      <c r="V97" s="450"/>
      <c r="W97" s="450"/>
      <c r="X97" s="313"/>
      <c r="Y97" s="450"/>
      <c r="Z97" s="441"/>
      <c r="AA97" s="441"/>
      <c r="AB97" s="441"/>
      <c r="AC97" s="441"/>
      <c r="AD97" s="441"/>
      <c r="AE97" s="441"/>
      <c r="AF97" s="441"/>
      <c r="AG97" s="441"/>
      <c r="AH97" s="441"/>
      <c r="AI97" s="441"/>
      <c r="AJ97" s="441"/>
      <c r="AK97" s="441"/>
      <c r="AL97" s="441"/>
      <c r="AM97" s="441"/>
      <c r="AN97" s="441"/>
      <c r="AO97" s="441"/>
      <c r="AP97" s="441"/>
      <c r="AQ97" s="441"/>
      <c r="AR97" s="441"/>
      <c r="AS97" s="441"/>
    </row>
    <row r="98" spans="1:131" ht="16.350000000000001" customHeight="1" x14ac:dyDescent="0.25">
      <c r="A98" s="7257" t="s">
        <v>4329</v>
      </c>
      <c r="B98" s="2959" t="s">
        <v>577</v>
      </c>
      <c r="C98" s="1642" t="s">
        <v>5369</v>
      </c>
      <c r="D98" s="123" t="s">
        <v>5370</v>
      </c>
      <c r="E98" s="1646" t="s">
        <v>5371</v>
      </c>
      <c r="F98" s="1644" t="s">
        <v>5372</v>
      </c>
      <c r="G98" s="123" t="s">
        <v>5373</v>
      </c>
      <c r="H98" s="140"/>
      <c r="I98" s="313"/>
      <c r="J98" s="313"/>
      <c r="K98" s="313"/>
      <c r="L98" s="313"/>
      <c r="M98" s="313"/>
      <c r="N98" s="313"/>
      <c r="O98" s="313"/>
      <c r="P98" s="313"/>
      <c r="Q98" s="450"/>
      <c r="R98" s="450"/>
      <c r="S98" s="450"/>
      <c r="T98" s="450"/>
      <c r="U98" s="450"/>
      <c r="V98" s="450"/>
      <c r="W98" s="450"/>
      <c r="X98" s="313"/>
      <c r="Y98" s="450"/>
      <c r="Z98" s="441"/>
      <c r="AA98" s="441"/>
      <c r="AB98" s="441"/>
      <c r="AC98" s="441"/>
      <c r="AD98" s="441"/>
      <c r="AE98" s="441"/>
      <c r="AF98" s="441"/>
      <c r="AG98" s="441"/>
      <c r="AH98" s="441"/>
      <c r="AI98" s="441"/>
      <c r="AJ98" s="441"/>
      <c r="AK98" s="441"/>
      <c r="AL98" s="441"/>
      <c r="AM98" s="441"/>
      <c r="AN98" s="441"/>
      <c r="AO98" s="441"/>
      <c r="AP98" s="441"/>
      <c r="AQ98" s="441"/>
      <c r="AR98" s="441"/>
      <c r="AS98" s="441"/>
    </row>
    <row r="99" spans="1:131" ht="24.75" customHeight="1" x14ac:dyDescent="0.25">
      <c r="A99" s="7257" t="s">
        <v>4330</v>
      </c>
      <c r="B99" s="427" t="s">
        <v>578</v>
      </c>
      <c r="C99" s="1643" t="s">
        <v>5369</v>
      </c>
      <c r="D99" s="1540" t="s">
        <v>5370</v>
      </c>
      <c r="E99" s="1647" t="s">
        <v>5371</v>
      </c>
      <c r="F99" s="337" t="s">
        <v>5372</v>
      </c>
      <c r="G99" s="1540" t="s">
        <v>5373</v>
      </c>
      <c r="H99" s="140"/>
      <c r="I99" s="313"/>
      <c r="J99" s="313"/>
      <c r="K99" s="313"/>
      <c r="L99" s="313"/>
      <c r="M99" s="313"/>
      <c r="N99" s="313"/>
      <c r="O99" s="313"/>
      <c r="P99" s="313"/>
      <c r="Q99" s="450"/>
      <c r="R99" s="450"/>
      <c r="S99" s="450"/>
      <c r="T99" s="450"/>
      <c r="U99" s="450"/>
      <c r="V99" s="450"/>
      <c r="W99" s="450"/>
      <c r="X99" s="313"/>
      <c r="Y99" s="450"/>
      <c r="Z99" s="441"/>
      <c r="AA99" s="441"/>
      <c r="AB99" s="441"/>
      <c r="AC99" s="441"/>
      <c r="AD99" s="441"/>
      <c r="AE99" s="441"/>
      <c r="AF99" s="441"/>
      <c r="AG99" s="441"/>
      <c r="AH99" s="441"/>
      <c r="AI99" s="441"/>
      <c r="AJ99" s="441"/>
      <c r="AK99" s="441"/>
      <c r="AL99" s="441"/>
      <c r="AM99" s="441"/>
      <c r="AN99" s="441"/>
      <c r="AO99" s="441"/>
      <c r="AP99" s="441"/>
      <c r="AQ99" s="441"/>
      <c r="AR99" s="441"/>
      <c r="AS99" s="441"/>
    </row>
    <row r="100" spans="1:131" s="290" customFormat="1" ht="31.35" customHeight="1" x14ac:dyDescent="0.25">
      <c r="B100" s="9006" t="s">
        <v>3411</v>
      </c>
      <c r="C100" s="9006"/>
      <c r="D100" s="9006"/>
      <c r="E100" s="9006"/>
      <c r="F100" s="9006"/>
      <c r="G100" s="9007"/>
      <c r="H100" s="451"/>
      <c r="I100" s="451"/>
      <c r="J100" s="451"/>
      <c r="K100" s="451"/>
      <c r="L100" s="451"/>
      <c r="M100" s="451"/>
      <c r="N100" s="451"/>
      <c r="O100" s="451"/>
      <c r="P100" s="451"/>
      <c r="Q100" s="451"/>
      <c r="R100" s="452"/>
      <c r="S100" s="452"/>
      <c r="T100" s="452"/>
      <c r="U100" s="452"/>
      <c r="V100" s="452"/>
      <c r="W100" s="452"/>
      <c r="X100" s="451"/>
      <c r="Y100" s="452"/>
      <c r="Z100" s="452"/>
      <c r="AA100" s="452"/>
      <c r="AB100" s="452"/>
      <c r="AC100" s="452"/>
      <c r="AD100" s="452"/>
      <c r="AE100" s="452"/>
      <c r="AF100" s="452"/>
      <c r="AG100" s="452"/>
      <c r="AH100" s="452"/>
      <c r="AI100" s="452"/>
      <c r="AJ100" s="452"/>
      <c r="AK100" s="452"/>
      <c r="AL100" s="452"/>
      <c r="AM100" s="452"/>
      <c r="AN100" s="452"/>
      <c r="AO100" s="452"/>
      <c r="AP100" s="452"/>
      <c r="AQ100" s="452"/>
      <c r="AR100" s="452"/>
      <c r="AS100" s="452"/>
      <c r="CB100" s="1429"/>
      <c r="CC100" s="1429"/>
      <c r="CD100" s="1429"/>
      <c r="CE100" s="1429"/>
      <c r="CF100" s="1429"/>
      <c r="CG100" s="1429"/>
      <c r="CH100" s="1429"/>
      <c r="CI100" s="1429"/>
      <c r="CJ100" s="1429"/>
      <c r="CK100" s="1429"/>
      <c r="CL100" s="1429"/>
      <c r="CM100" s="1429"/>
      <c r="CN100" s="1429"/>
      <c r="CO100" s="1429"/>
      <c r="CP100" s="1429"/>
      <c r="CQ100" s="1429"/>
      <c r="CR100" s="1429"/>
      <c r="CS100" s="1429"/>
      <c r="CT100" s="1429"/>
      <c r="CU100" s="1429"/>
      <c r="CV100" s="1429"/>
      <c r="CW100" s="1429"/>
      <c r="CX100" s="1429"/>
      <c r="CY100" s="1429"/>
      <c r="CZ100" s="1429"/>
      <c r="DA100" s="1429"/>
      <c r="DB100" s="3219"/>
      <c r="DC100" s="3219"/>
      <c r="DD100" s="3219"/>
      <c r="DE100" s="3219"/>
      <c r="DF100" s="3219"/>
      <c r="DG100" s="3219"/>
      <c r="DH100" s="3219"/>
      <c r="DI100" s="3219"/>
      <c r="DJ100" s="3219"/>
      <c r="DK100" s="3219"/>
      <c r="DL100" s="3219"/>
      <c r="DM100" s="3219"/>
      <c r="DN100" s="3219"/>
      <c r="DO100" s="3219"/>
      <c r="DP100" s="3219"/>
      <c r="DQ100" s="3219"/>
      <c r="DR100" s="3219"/>
      <c r="DS100" s="3219"/>
      <c r="DT100" s="3219"/>
      <c r="DU100" s="3219"/>
      <c r="DV100" s="3219"/>
      <c r="DW100" s="3219"/>
      <c r="DX100" s="3219"/>
      <c r="DY100" s="3219"/>
      <c r="DZ100" s="3219"/>
      <c r="EA100" s="3219"/>
    </row>
    <row r="101" spans="1:131" ht="16.350000000000001" customHeight="1" x14ac:dyDescent="0.25">
      <c r="B101" s="9008" t="s">
        <v>579</v>
      </c>
      <c r="C101" s="9011" t="s">
        <v>580</v>
      </c>
      <c r="D101" s="9012"/>
      <c r="E101" s="9013"/>
      <c r="F101" s="8964" t="s">
        <v>2707</v>
      </c>
      <c r="G101" s="9017"/>
      <c r="H101" s="8964" t="s">
        <v>2709</v>
      </c>
      <c r="I101" s="8965"/>
      <c r="J101" s="8960" t="s">
        <v>3586</v>
      </c>
      <c r="K101" s="8961"/>
      <c r="L101" s="8968" t="s">
        <v>581</v>
      </c>
      <c r="M101" s="8971" t="s">
        <v>612</v>
      </c>
      <c r="N101" s="8972"/>
      <c r="O101" s="8971" t="s">
        <v>613</v>
      </c>
      <c r="P101" s="8972"/>
      <c r="Q101" s="140"/>
      <c r="R101" s="190"/>
      <c r="S101" s="190"/>
      <c r="T101" s="190"/>
      <c r="U101" s="190"/>
      <c r="V101" s="190"/>
      <c r="W101" s="190"/>
      <c r="X101" s="140"/>
      <c r="Y101" s="190"/>
      <c r="Z101" s="195"/>
      <c r="AA101" s="453"/>
      <c r="AB101" s="453"/>
      <c r="AC101" s="453"/>
      <c r="AD101" s="453"/>
      <c r="AE101" s="453"/>
      <c r="AF101" s="453"/>
      <c r="AG101" s="453"/>
      <c r="AH101" s="453"/>
      <c r="AI101" s="453"/>
      <c r="AJ101" s="453"/>
      <c r="AK101" s="441"/>
      <c r="AL101" s="441"/>
      <c r="AM101" s="441"/>
      <c r="AN101" s="441"/>
      <c r="AO101" s="441"/>
      <c r="AP101" s="441"/>
      <c r="AQ101" s="441"/>
      <c r="AR101" s="441"/>
      <c r="AS101" s="441"/>
      <c r="AT101" s="441"/>
    </row>
    <row r="102" spans="1:131" ht="39" customHeight="1" x14ac:dyDescent="0.25">
      <c r="B102" s="9009"/>
      <c r="C102" s="9014"/>
      <c r="D102" s="9015"/>
      <c r="E102" s="9016"/>
      <c r="F102" s="8966"/>
      <c r="G102" s="9018"/>
      <c r="H102" s="8966"/>
      <c r="I102" s="8967"/>
      <c r="J102" s="8962"/>
      <c r="K102" s="8963"/>
      <c r="L102" s="8969"/>
      <c r="M102" s="8973"/>
      <c r="N102" s="8974"/>
      <c r="O102" s="8973"/>
      <c r="P102" s="8974"/>
      <c r="Q102" s="140"/>
      <c r="R102" s="190"/>
      <c r="S102" s="190"/>
      <c r="T102" s="190"/>
      <c r="U102" s="190"/>
      <c r="V102" s="190"/>
      <c r="W102" s="190"/>
      <c r="X102" s="140"/>
      <c r="Y102" s="190"/>
      <c r="Z102" s="450"/>
      <c r="AA102" s="441"/>
      <c r="AB102" s="441"/>
      <c r="AC102" s="441"/>
      <c r="AD102" s="441"/>
      <c r="AE102" s="441"/>
      <c r="AF102" s="441"/>
      <c r="AG102" s="441"/>
      <c r="AH102" s="441"/>
      <c r="AI102" s="441"/>
      <c r="AJ102" s="441"/>
      <c r="AK102" s="441"/>
      <c r="AL102" s="441"/>
      <c r="AM102" s="441"/>
      <c r="AN102" s="441"/>
      <c r="AO102" s="441"/>
      <c r="AP102" s="441"/>
      <c r="AQ102" s="441"/>
      <c r="AR102" s="441"/>
      <c r="AS102" s="441"/>
      <c r="AT102" s="441"/>
    </row>
    <row r="103" spans="1:131" ht="40.5" customHeight="1" x14ac:dyDescent="0.25">
      <c r="B103" s="9010"/>
      <c r="C103" s="2357" t="s">
        <v>582</v>
      </c>
      <c r="D103" s="2357" t="s">
        <v>2708</v>
      </c>
      <c r="E103" s="2360" t="s">
        <v>583</v>
      </c>
      <c r="F103" s="7236" t="s">
        <v>2153</v>
      </c>
      <c r="G103" s="7237" t="s">
        <v>2152</v>
      </c>
      <c r="H103" s="7236" t="s">
        <v>2063</v>
      </c>
      <c r="I103" s="7247" t="s">
        <v>622</v>
      </c>
      <c r="J103" s="7232" t="s">
        <v>2153</v>
      </c>
      <c r="K103" s="2784" t="s">
        <v>2152</v>
      </c>
      <c r="L103" s="8970"/>
      <c r="M103" s="1597" t="s">
        <v>582</v>
      </c>
      <c r="N103" s="1598" t="s">
        <v>583</v>
      </c>
      <c r="O103" s="1597" t="s">
        <v>2063</v>
      </c>
      <c r="P103" s="1598" t="s">
        <v>622</v>
      </c>
      <c r="Q103" s="140"/>
      <c r="R103" s="190"/>
      <c r="S103" s="190"/>
      <c r="T103" s="190"/>
      <c r="U103" s="190"/>
      <c r="V103" s="190"/>
      <c r="W103" s="190"/>
      <c r="X103" s="140"/>
      <c r="Y103" s="190"/>
      <c r="Z103" s="450"/>
      <c r="AA103" s="441"/>
      <c r="AB103" s="441"/>
      <c r="AC103" s="441"/>
      <c r="AD103" s="441"/>
      <c r="AE103" s="441"/>
      <c r="AF103" s="441"/>
      <c r="AG103" s="441"/>
      <c r="AH103" s="441"/>
      <c r="AI103" s="441"/>
      <c r="AJ103" s="441"/>
      <c r="AK103" s="441"/>
      <c r="AL103" s="441"/>
      <c r="AM103" s="441"/>
      <c r="AN103" s="441"/>
      <c r="AO103" s="441"/>
      <c r="AP103" s="441"/>
      <c r="AQ103" s="441"/>
      <c r="AR103" s="441"/>
      <c r="AS103" s="441"/>
      <c r="AT103" s="441"/>
    </row>
    <row r="104" spans="1:131" ht="16.350000000000001" customHeight="1" x14ac:dyDescent="0.25">
      <c r="A104" s="7257" t="s">
        <v>4331</v>
      </c>
      <c r="B104" s="1599" t="s">
        <v>584</v>
      </c>
      <c r="C104" s="7054" t="s">
        <v>5369</v>
      </c>
      <c r="D104" s="2358" t="s">
        <v>5370</v>
      </c>
      <c r="E104" s="1985" t="s">
        <v>5371</v>
      </c>
      <c r="F104" s="7238" t="s">
        <v>5372</v>
      </c>
      <c r="G104" s="7239" t="s">
        <v>5373</v>
      </c>
      <c r="H104" s="7238" t="s">
        <v>5374</v>
      </c>
      <c r="I104" s="7248" t="s">
        <v>5375</v>
      </c>
      <c r="J104" s="7233" t="s">
        <v>5376</v>
      </c>
      <c r="K104" s="2785" t="s">
        <v>5377</v>
      </c>
      <c r="L104" s="2789" t="s">
        <v>5378</v>
      </c>
      <c r="M104" s="1600" t="s">
        <v>5379</v>
      </c>
      <c r="N104" s="1601" t="s">
        <v>5380</v>
      </c>
      <c r="O104" s="1600" t="s">
        <v>5381</v>
      </c>
      <c r="P104" s="1601" t="s">
        <v>5382</v>
      </c>
      <c r="Q104" s="140" t="str">
        <f>CC104&amp;CD104&amp;CE104&amp;CF104</f>
        <v/>
      </c>
      <c r="R104" s="190"/>
      <c r="S104" s="190"/>
      <c r="T104" s="190"/>
      <c r="U104" s="190"/>
      <c r="V104" s="190"/>
      <c r="W104" s="190"/>
      <c r="X104" s="140"/>
      <c r="Y104" s="190"/>
      <c r="Z104" s="450"/>
      <c r="AA104" s="441"/>
      <c r="AB104" s="441"/>
      <c r="AC104" s="441"/>
      <c r="AD104" s="441"/>
      <c r="AE104" s="441"/>
      <c r="AF104" s="441"/>
      <c r="AG104" s="441"/>
      <c r="AH104" s="441"/>
      <c r="AI104" s="441"/>
      <c r="AJ104" s="441"/>
      <c r="AK104" s="441"/>
      <c r="AL104" s="441"/>
      <c r="AM104" s="441"/>
      <c r="AN104" s="441"/>
      <c r="AO104" s="441"/>
      <c r="AP104" s="441"/>
      <c r="AQ104" s="441"/>
      <c r="AR104" s="441"/>
      <c r="AS104" s="441"/>
      <c r="AT104" s="441"/>
    </row>
    <row r="105" spans="1:131" ht="16.350000000000001" customHeight="1" x14ac:dyDescent="0.25">
      <c r="A105" s="7257" t="s">
        <v>4332</v>
      </c>
      <c r="B105" s="1590" t="s">
        <v>585</v>
      </c>
      <c r="C105" s="7055" t="s">
        <v>5369</v>
      </c>
      <c r="D105" s="2359" t="s">
        <v>5370</v>
      </c>
      <c r="E105" s="2361" t="s">
        <v>5371</v>
      </c>
      <c r="F105" s="7240" t="s">
        <v>5372</v>
      </c>
      <c r="G105" s="7241" t="s">
        <v>5373</v>
      </c>
      <c r="H105" s="7240" t="s">
        <v>5374</v>
      </c>
      <c r="I105" s="7249" t="s">
        <v>5375</v>
      </c>
      <c r="J105" s="7234" t="s">
        <v>5376</v>
      </c>
      <c r="K105" s="2786" t="s">
        <v>5377</v>
      </c>
      <c r="L105" s="2790" t="s">
        <v>5378</v>
      </c>
      <c r="M105" s="1602" t="s">
        <v>5379</v>
      </c>
      <c r="N105" s="1603" t="s">
        <v>5380</v>
      </c>
      <c r="O105" s="1602" t="s">
        <v>5381</v>
      </c>
      <c r="P105" s="1603" t="s">
        <v>5382</v>
      </c>
      <c r="Q105" s="140"/>
      <c r="R105" s="190"/>
      <c r="S105" s="190"/>
      <c r="T105" s="190"/>
      <c r="U105" s="190"/>
      <c r="V105" s="190"/>
      <c r="W105" s="190"/>
      <c r="X105" s="140"/>
      <c r="Y105" s="190"/>
      <c r="Z105" s="450"/>
      <c r="AA105" s="441"/>
      <c r="AB105" s="441"/>
      <c r="AC105" s="441"/>
      <c r="AD105" s="441"/>
      <c r="AE105" s="441"/>
      <c r="AF105" s="441"/>
      <c r="AG105" s="441"/>
      <c r="AH105" s="441"/>
      <c r="AI105" s="441"/>
      <c r="AJ105" s="441"/>
      <c r="AK105" s="441"/>
      <c r="AL105" s="441"/>
      <c r="AM105" s="441"/>
      <c r="AN105" s="441"/>
      <c r="AO105" s="441"/>
      <c r="AP105" s="441"/>
      <c r="AQ105" s="441"/>
      <c r="AR105" s="441"/>
      <c r="AS105" s="441"/>
      <c r="AT105" s="441"/>
    </row>
    <row r="106" spans="1:131" ht="16.350000000000001" customHeight="1" x14ac:dyDescent="0.25">
      <c r="A106" s="7257" t="s">
        <v>4333</v>
      </c>
      <c r="B106" s="1590" t="s">
        <v>586</v>
      </c>
      <c r="C106" s="7056" t="s">
        <v>5369</v>
      </c>
      <c r="D106" s="1981" t="s">
        <v>5370</v>
      </c>
      <c r="E106" s="1983" t="s">
        <v>5371</v>
      </c>
      <c r="F106" s="7242" t="s">
        <v>5372</v>
      </c>
      <c r="G106" s="7243" t="s">
        <v>5373</v>
      </c>
      <c r="H106" s="7250" t="s">
        <v>5374</v>
      </c>
      <c r="I106" s="7251" t="s">
        <v>5375</v>
      </c>
      <c r="J106" s="7246" t="s">
        <v>5376</v>
      </c>
      <c r="K106" s="2787" t="s">
        <v>5377</v>
      </c>
      <c r="L106" s="2791" t="s">
        <v>5378</v>
      </c>
      <c r="M106" s="1591" t="s">
        <v>5379</v>
      </c>
      <c r="N106" s="1592" t="s">
        <v>5380</v>
      </c>
      <c r="O106" s="1591" t="s">
        <v>5381</v>
      </c>
      <c r="P106" s="1592" t="s">
        <v>5382</v>
      </c>
      <c r="Q106" s="140"/>
      <c r="R106" s="190"/>
      <c r="S106" s="190"/>
      <c r="T106" s="190"/>
      <c r="U106" s="190"/>
      <c r="V106" s="190"/>
      <c r="W106" s="190"/>
      <c r="X106" s="140"/>
      <c r="Y106" s="190"/>
      <c r="Z106" s="450"/>
      <c r="AA106" s="441"/>
      <c r="AB106" s="441"/>
      <c r="AC106" s="441"/>
      <c r="AD106" s="441"/>
      <c r="AE106" s="441"/>
      <c r="AF106" s="441"/>
      <c r="AG106" s="441"/>
      <c r="AH106" s="441"/>
      <c r="AI106" s="441"/>
      <c r="AJ106" s="441"/>
      <c r="AK106" s="441"/>
      <c r="AL106" s="441"/>
      <c r="AM106" s="441"/>
      <c r="AN106" s="441"/>
      <c r="AO106" s="441"/>
      <c r="AP106" s="441"/>
      <c r="AQ106" s="441"/>
      <c r="AR106" s="441"/>
      <c r="AS106" s="441"/>
      <c r="AT106" s="441"/>
    </row>
    <row r="107" spans="1:131" ht="16.350000000000001" customHeight="1" x14ac:dyDescent="0.25">
      <c r="A107" s="7267"/>
      <c r="B107" s="1604" t="s">
        <v>24</v>
      </c>
      <c r="C107" s="1984">
        <f>SUM(D107:E107)</f>
        <v>0</v>
      </c>
      <c r="D107" s="1984">
        <f t="shared" ref="D107:L107" si="3">SUM(D104:D106)</f>
        <v>0</v>
      </c>
      <c r="E107" s="2362">
        <f t="shared" si="3"/>
        <v>0</v>
      </c>
      <c r="F107" s="7244">
        <f t="shared" si="3"/>
        <v>0</v>
      </c>
      <c r="G107" s="7245">
        <f t="shared" si="3"/>
        <v>0</v>
      </c>
      <c r="H107" s="7244">
        <f t="shared" si="3"/>
        <v>0</v>
      </c>
      <c r="I107" s="7252">
        <f t="shared" si="3"/>
        <v>0</v>
      </c>
      <c r="J107" s="7235">
        <f t="shared" si="3"/>
        <v>0</v>
      </c>
      <c r="K107" s="2788">
        <f t="shared" si="3"/>
        <v>0</v>
      </c>
      <c r="L107" s="2792">
        <f t="shared" si="3"/>
        <v>0</v>
      </c>
      <c r="M107" s="1605" t="str">
        <f>+M104</f>
        <v>COL11</v>
      </c>
      <c r="N107" s="1606" t="str">
        <f>+N104</f>
        <v>COL12</v>
      </c>
      <c r="O107" s="1605" t="str">
        <f>+O104</f>
        <v>COL13</v>
      </c>
      <c r="P107" s="1606" t="str">
        <f>+P104</f>
        <v>COL14</v>
      </c>
      <c r="Q107" s="140"/>
      <c r="R107" s="190"/>
      <c r="S107" s="190"/>
      <c r="T107" s="190"/>
      <c r="U107" s="190"/>
      <c r="V107" s="190"/>
      <c r="W107" s="190"/>
      <c r="X107" s="140"/>
      <c r="Y107" s="190"/>
      <c r="Z107" s="450"/>
      <c r="AA107" s="441"/>
      <c r="AB107" s="441"/>
      <c r="AC107" s="441"/>
      <c r="AD107" s="441"/>
      <c r="AE107" s="441"/>
      <c r="AF107" s="441"/>
      <c r="AG107" s="441"/>
      <c r="AH107" s="441"/>
      <c r="AI107" s="441"/>
      <c r="AJ107" s="441"/>
      <c r="AK107" s="441"/>
      <c r="AL107" s="441"/>
      <c r="AM107" s="441"/>
      <c r="AN107" s="441"/>
      <c r="AO107" s="441"/>
      <c r="AP107" s="441"/>
      <c r="AQ107" s="441"/>
      <c r="AR107" s="441"/>
      <c r="AS107" s="441"/>
      <c r="AT107" s="441"/>
    </row>
    <row r="108" spans="1:131" ht="31.35" customHeight="1" x14ac:dyDescent="0.25">
      <c r="B108" s="133" t="s">
        <v>3412</v>
      </c>
      <c r="C108" s="2189"/>
      <c r="D108" s="1541"/>
      <c r="E108" s="1542"/>
      <c r="F108" s="1543"/>
      <c r="G108" s="1543"/>
      <c r="H108" s="1544"/>
      <c r="I108" s="1544"/>
      <c r="J108" s="1545"/>
      <c r="K108" s="199"/>
      <c r="L108" s="1545"/>
      <c r="M108" s="199"/>
      <c r="N108" s="140"/>
      <c r="O108" s="140"/>
      <c r="P108" s="140"/>
      <c r="Q108" s="140"/>
      <c r="R108" s="190"/>
      <c r="S108" s="190"/>
      <c r="T108" s="190"/>
      <c r="U108" s="190"/>
      <c r="V108" s="190"/>
      <c r="W108" s="190"/>
      <c r="X108" s="140"/>
      <c r="Y108" s="450"/>
      <c r="Z108" s="450"/>
      <c r="AA108" s="441"/>
      <c r="AB108" s="441"/>
      <c r="AC108" s="441"/>
      <c r="AD108" s="441"/>
      <c r="AE108" s="441"/>
      <c r="AF108" s="441"/>
      <c r="AG108" s="441"/>
      <c r="AH108" s="441"/>
      <c r="AI108" s="441"/>
      <c r="AJ108" s="441"/>
      <c r="AK108" s="441"/>
      <c r="AL108" s="441"/>
      <c r="AM108" s="441"/>
      <c r="AN108" s="441"/>
      <c r="AO108" s="441"/>
      <c r="AP108" s="441"/>
      <c r="AQ108" s="441"/>
      <c r="AR108" s="441"/>
      <c r="AS108" s="441"/>
    </row>
    <row r="109" spans="1:131" ht="31.35" customHeight="1" x14ac:dyDescent="0.25">
      <c r="B109" s="9036" t="s">
        <v>587</v>
      </c>
      <c r="C109" s="9034" t="s">
        <v>588</v>
      </c>
      <c r="D109" s="9031" t="s">
        <v>589</v>
      </c>
      <c r="E109" s="9032"/>
      <c r="F109" s="9032"/>
      <c r="G109" s="9032"/>
      <c r="H109" s="9032"/>
      <c r="I109" s="9032"/>
      <c r="J109" s="9032"/>
      <c r="K109" s="9032"/>
      <c r="L109" s="9032"/>
      <c r="M109" s="9033"/>
      <c r="N109" s="9034" t="s">
        <v>590</v>
      </c>
      <c r="O109" s="140"/>
      <c r="P109" s="1542"/>
      <c r="Q109" s="1542"/>
      <c r="R109" s="1542"/>
      <c r="S109" s="190"/>
      <c r="T109" s="190"/>
      <c r="U109" s="190"/>
      <c r="V109" s="190"/>
      <c r="W109" s="190"/>
      <c r="X109" s="190"/>
      <c r="Y109" s="190"/>
      <c r="Z109" s="190"/>
      <c r="AA109" s="450"/>
      <c r="AB109" s="441"/>
      <c r="AC109" s="441"/>
      <c r="AD109" s="441"/>
      <c r="AE109" s="441"/>
      <c r="AF109" s="441"/>
      <c r="AG109" s="441"/>
      <c r="AH109" s="441"/>
      <c r="AI109" s="441"/>
      <c r="AJ109" s="441"/>
      <c r="AK109" s="441"/>
      <c r="AL109" s="441"/>
      <c r="AM109" s="441"/>
      <c r="AN109" s="441"/>
      <c r="AO109" s="441"/>
      <c r="AP109" s="441"/>
      <c r="AQ109" s="441"/>
      <c r="AR109" s="441"/>
      <c r="AS109" s="441"/>
      <c r="AT109" s="441"/>
      <c r="AU109" s="441"/>
    </row>
    <row r="110" spans="1:131" ht="35.25" customHeight="1" x14ac:dyDescent="0.25">
      <c r="B110" s="9037"/>
      <c r="C110" s="9035"/>
      <c r="D110" s="1987" t="s">
        <v>66</v>
      </c>
      <c r="E110" s="1953" t="s">
        <v>591</v>
      </c>
      <c r="F110" s="1953" t="s">
        <v>592</v>
      </c>
      <c r="G110" s="1953" t="s">
        <v>593</v>
      </c>
      <c r="H110" s="1953" t="s">
        <v>46</v>
      </c>
      <c r="I110" s="1969" t="s">
        <v>2268</v>
      </c>
      <c r="J110" s="1969" t="s">
        <v>378</v>
      </c>
      <c r="K110" s="1953" t="s">
        <v>67</v>
      </c>
      <c r="L110" s="1969" t="s">
        <v>2113</v>
      </c>
      <c r="M110" s="3295" t="s">
        <v>135</v>
      </c>
      <c r="N110" s="9035"/>
      <c r="O110" s="140"/>
      <c r="P110" s="1542"/>
      <c r="Q110" s="1542"/>
      <c r="R110" s="1542"/>
      <c r="S110" s="190"/>
      <c r="T110" s="190"/>
      <c r="U110" s="190"/>
      <c r="V110" s="190"/>
      <c r="W110" s="190"/>
      <c r="X110" s="190"/>
      <c r="Y110" s="190"/>
      <c r="Z110" s="190"/>
      <c r="AA110" s="450"/>
      <c r="AB110" s="441"/>
      <c r="AC110" s="441"/>
      <c r="AD110" s="441"/>
      <c r="AE110" s="441"/>
      <c r="AF110" s="441"/>
      <c r="AG110" s="441"/>
      <c r="AH110" s="441"/>
      <c r="AI110" s="441"/>
      <c r="AJ110" s="441"/>
      <c r="AK110" s="441"/>
      <c r="AL110" s="441"/>
      <c r="AM110" s="441"/>
      <c r="AN110" s="441"/>
      <c r="AO110" s="441"/>
      <c r="AP110" s="441"/>
      <c r="AQ110" s="441"/>
      <c r="AR110" s="441"/>
      <c r="AS110" s="441"/>
      <c r="AT110" s="441"/>
      <c r="AU110" s="441"/>
    </row>
    <row r="111" spans="1:131" ht="16.350000000000001" customHeight="1" x14ac:dyDescent="0.25">
      <c r="A111" s="7257" t="s">
        <v>4334</v>
      </c>
      <c r="B111" s="76" t="s">
        <v>113</v>
      </c>
      <c r="C111" s="454" t="s">
        <v>5369</v>
      </c>
      <c r="D111" s="1979" t="s">
        <v>5370</v>
      </c>
      <c r="E111" s="1980" t="s">
        <v>5371</v>
      </c>
      <c r="F111" s="1980" t="s">
        <v>5372</v>
      </c>
      <c r="G111" s="1980" t="s">
        <v>5373</v>
      </c>
      <c r="H111" s="1980" t="s">
        <v>5374</v>
      </c>
      <c r="I111" s="1980" t="s">
        <v>5375</v>
      </c>
      <c r="J111" s="1980" t="s">
        <v>5376</v>
      </c>
      <c r="K111" s="1980" t="s">
        <v>5377</v>
      </c>
      <c r="L111" s="1980" t="s">
        <v>5378</v>
      </c>
      <c r="M111" s="1985" t="s">
        <v>5379</v>
      </c>
      <c r="N111" s="455" t="s">
        <v>5380</v>
      </c>
      <c r="O111" s="140"/>
      <c r="P111" s="1542"/>
      <c r="Q111" s="1542"/>
      <c r="R111" s="1542"/>
      <c r="S111" s="190"/>
      <c r="T111" s="190"/>
      <c r="U111" s="190"/>
      <c r="V111" s="190"/>
      <c r="W111" s="190"/>
      <c r="X111" s="190"/>
      <c r="Y111" s="190"/>
      <c r="Z111" s="190"/>
      <c r="AA111" s="450"/>
      <c r="AB111" s="441"/>
      <c r="AC111" s="441"/>
      <c r="AD111" s="441"/>
      <c r="AE111" s="441"/>
      <c r="AF111" s="441"/>
      <c r="AG111" s="441"/>
      <c r="AH111" s="441"/>
      <c r="AI111" s="441"/>
      <c r="AJ111" s="441"/>
      <c r="AK111" s="441"/>
      <c r="AL111" s="441"/>
      <c r="AM111" s="441"/>
      <c r="AN111" s="441"/>
      <c r="AO111" s="441"/>
      <c r="AP111" s="441"/>
      <c r="AQ111" s="441"/>
      <c r="AR111" s="441"/>
      <c r="AS111" s="441"/>
      <c r="AT111" s="441"/>
      <c r="AU111" s="441"/>
    </row>
    <row r="112" spans="1:131" ht="16.350000000000001" customHeight="1" x14ac:dyDescent="0.25">
      <c r="A112" s="7257" t="s">
        <v>4335</v>
      </c>
      <c r="B112" s="109" t="s">
        <v>594</v>
      </c>
      <c r="C112" s="456" t="s">
        <v>5369</v>
      </c>
      <c r="D112" s="1988" t="s">
        <v>5370</v>
      </c>
      <c r="E112" s="1982" t="s">
        <v>5371</v>
      </c>
      <c r="F112" s="1982" t="s">
        <v>5372</v>
      </c>
      <c r="G112" s="1982" t="s">
        <v>5373</v>
      </c>
      <c r="H112" s="1982" t="s">
        <v>5374</v>
      </c>
      <c r="I112" s="1982" t="s">
        <v>5375</v>
      </c>
      <c r="J112" s="1982" t="s">
        <v>5376</v>
      </c>
      <c r="K112" s="1982" t="s">
        <v>5377</v>
      </c>
      <c r="L112" s="1982" t="s">
        <v>5378</v>
      </c>
      <c r="M112" s="1983" t="s">
        <v>5379</v>
      </c>
      <c r="N112" s="457" t="s">
        <v>5380</v>
      </c>
      <c r="O112" s="199"/>
      <c r="P112" s="1542"/>
      <c r="Q112" s="1542"/>
      <c r="R112" s="1542"/>
      <c r="S112" s="190"/>
      <c r="T112" s="190"/>
      <c r="U112" s="190"/>
      <c r="V112" s="190"/>
      <c r="W112" s="190"/>
      <c r="X112" s="190"/>
      <c r="Y112" s="190"/>
      <c r="Z112" s="190"/>
      <c r="AA112" s="450"/>
      <c r="AB112" s="441"/>
      <c r="AC112" s="441"/>
      <c r="AD112" s="441"/>
      <c r="AE112" s="441"/>
      <c r="AF112" s="441"/>
      <c r="AG112" s="441"/>
      <c r="AH112" s="441"/>
      <c r="AI112" s="441"/>
      <c r="AJ112" s="441"/>
      <c r="AK112" s="441"/>
      <c r="AL112" s="441"/>
      <c r="AM112" s="441"/>
      <c r="AN112" s="441"/>
      <c r="AO112" s="441"/>
      <c r="AP112" s="441"/>
      <c r="AQ112" s="441"/>
      <c r="AR112" s="441"/>
      <c r="AS112" s="441"/>
      <c r="AT112" s="441"/>
      <c r="AU112" s="441"/>
    </row>
    <row r="113" spans="1:132" ht="16.350000000000001" customHeight="1" x14ac:dyDescent="0.25">
      <c r="A113" s="7257" t="s">
        <v>4336</v>
      </c>
      <c r="B113" s="81" t="s">
        <v>595</v>
      </c>
      <c r="C113" s="458" t="s">
        <v>5369</v>
      </c>
      <c r="D113" s="1981" t="s">
        <v>5370</v>
      </c>
      <c r="E113" s="1989" t="s">
        <v>5371</v>
      </c>
      <c r="F113" s="1989" t="s">
        <v>5372</v>
      </c>
      <c r="G113" s="1989" t="s">
        <v>5373</v>
      </c>
      <c r="H113" s="1989" t="s">
        <v>5374</v>
      </c>
      <c r="I113" s="1989" t="s">
        <v>5375</v>
      </c>
      <c r="J113" s="1989" t="s">
        <v>5376</v>
      </c>
      <c r="K113" s="1989" t="s">
        <v>5377</v>
      </c>
      <c r="L113" s="1989" t="s">
        <v>5378</v>
      </c>
      <c r="M113" s="1986" t="s">
        <v>5379</v>
      </c>
      <c r="N113" s="459" t="s">
        <v>5380</v>
      </c>
      <c r="O113" s="460"/>
      <c r="P113" s="1542"/>
      <c r="Q113" s="1542"/>
      <c r="R113" s="1542"/>
      <c r="S113" s="190"/>
      <c r="T113" s="190"/>
      <c r="U113" s="190"/>
      <c r="V113" s="190"/>
      <c r="W113" s="190"/>
      <c r="X113" s="190"/>
      <c r="Y113" s="190"/>
      <c r="Z113" s="190"/>
      <c r="AA113" s="450"/>
      <c r="AB113" s="441"/>
      <c r="AC113" s="441"/>
      <c r="AD113" s="441"/>
      <c r="AE113" s="441"/>
      <c r="AF113" s="441"/>
      <c r="AG113" s="441"/>
      <c r="AH113" s="441"/>
      <c r="AI113" s="441"/>
      <c r="AJ113" s="441"/>
      <c r="AK113" s="441"/>
      <c r="AL113" s="441"/>
      <c r="AM113" s="441"/>
      <c r="AN113" s="441"/>
      <c r="AO113" s="441"/>
      <c r="AP113" s="441"/>
      <c r="AQ113" s="441"/>
      <c r="AR113" s="441"/>
      <c r="AS113" s="441"/>
      <c r="AT113" s="441"/>
      <c r="AU113" s="441"/>
    </row>
    <row r="114" spans="1:132" ht="22.5" customHeight="1" x14ac:dyDescent="0.25">
      <c r="B114" s="72" t="s">
        <v>3413</v>
      </c>
      <c r="C114" s="1437"/>
      <c r="D114" s="1437"/>
      <c r="E114" s="1437"/>
      <c r="F114" s="1437"/>
      <c r="G114" s="1437"/>
      <c r="H114" s="1437"/>
      <c r="I114" s="1437"/>
      <c r="J114" s="1437"/>
      <c r="K114" s="1437"/>
      <c r="L114" s="1437"/>
      <c r="M114" s="1437"/>
      <c r="N114" s="1437"/>
      <c r="O114" s="1437"/>
      <c r="P114" s="1437"/>
      <c r="Q114" s="1437"/>
      <c r="R114" s="1437"/>
      <c r="S114" s="1437"/>
      <c r="T114" s="1437"/>
      <c r="U114" s="1437"/>
      <c r="V114" s="1437"/>
      <c r="W114" s="1437"/>
      <c r="X114" s="1437"/>
      <c r="Y114" s="1437"/>
      <c r="Z114" s="1437"/>
      <c r="AA114" s="1437"/>
      <c r="AB114" s="1437"/>
      <c r="AC114" s="1437"/>
      <c r="AD114" s="1437"/>
      <c r="AE114" s="1437"/>
      <c r="AF114" s="1437"/>
      <c r="AG114" s="1437"/>
      <c r="AH114" s="1437"/>
      <c r="AI114" s="1437"/>
      <c r="AJ114" s="1437"/>
      <c r="AK114" s="1437"/>
      <c r="AL114" s="1437"/>
      <c r="AM114" s="1437"/>
      <c r="AN114" s="1437"/>
      <c r="AO114" s="1437"/>
      <c r="AP114" s="2916"/>
      <c r="AQ114" s="2916"/>
      <c r="AR114" s="448"/>
      <c r="AS114" s="448"/>
      <c r="AT114" s="448"/>
      <c r="AU114" s="448"/>
    </row>
    <row r="115" spans="1:132" ht="16.350000000000001" customHeight="1" x14ac:dyDescent="0.25">
      <c r="B115" s="9048" t="s">
        <v>2801</v>
      </c>
      <c r="C115" s="8682" t="s">
        <v>1</v>
      </c>
      <c r="D115" s="8559"/>
      <c r="E115" s="8606"/>
      <c r="F115" s="8937" t="s">
        <v>55</v>
      </c>
      <c r="G115" s="8935"/>
      <c r="H115" s="8935"/>
      <c r="I115" s="8935"/>
      <c r="J115" s="8935"/>
      <c r="K115" s="8935"/>
      <c r="L115" s="8935"/>
      <c r="M115" s="8935"/>
      <c r="N115" s="8935"/>
      <c r="O115" s="8935"/>
      <c r="P115" s="8935"/>
      <c r="Q115" s="8935"/>
      <c r="R115" s="8935"/>
      <c r="S115" s="8935"/>
      <c r="T115" s="8935"/>
      <c r="U115" s="8935"/>
      <c r="V115" s="8935"/>
      <c r="W115" s="8935"/>
      <c r="X115" s="8935"/>
      <c r="Y115" s="8935"/>
      <c r="Z115" s="8935"/>
      <c r="AA115" s="8935"/>
      <c r="AB115" s="8935"/>
      <c r="AC115" s="8935"/>
      <c r="AD115" s="8935"/>
      <c r="AE115" s="8935"/>
      <c r="AF115" s="8935"/>
      <c r="AG115" s="8935"/>
      <c r="AH115" s="8935"/>
      <c r="AI115" s="8935"/>
      <c r="AJ115" s="8935"/>
      <c r="AK115" s="8935"/>
      <c r="AL115" s="8935"/>
      <c r="AM115" s="8935"/>
      <c r="AN115" s="8935"/>
      <c r="AO115" s="8936"/>
      <c r="AP115" s="8581" t="s">
        <v>360</v>
      </c>
      <c r="AQ115" s="8620" t="s">
        <v>112</v>
      </c>
      <c r="AR115" s="8938" t="s">
        <v>2956</v>
      </c>
      <c r="AS115" s="8938" t="s">
        <v>2615</v>
      </c>
      <c r="AT115" s="448"/>
      <c r="AU115" s="448"/>
    </row>
    <row r="116" spans="1:132" ht="27" customHeight="1" x14ac:dyDescent="0.25">
      <c r="B116" s="9049"/>
      <c r="C116" s="8683"/>
      <c r="D116" s="8701"/>
      <c r="E116" s="8702"/>
      <c r="F116" s="8630" t="s">
        <v>3540</v>
      </c>
      <c r="G116" s="8945"/>
      <c r="H116" s="8937" t="s">
        <v>1620</v>
      </c>
      <c r="I116" s="8945"/>
      <c r="J116" s="8937" t="s">
        <v>1415</v>
      </c>
      <c r="K116" s="8945"/>
      <c r="L116" s="8937" t="s">
        <v>32</v>
      </c>
      <c r="M116" s="8945"/>
      <c r="N116" s="8937" t="s">
        <v>33</v>
      </c>
      <c r="O116" s="8945"/>
      <c r="P116" s="8937" t="s">
        <v>40</v>
      </c>
      <c r="Q116" s="8945"/>
      <c r="R116" s="8935" t="s">
        <v>82</v>
      </c>
      <c r="S116" s="8945"/>
      <c r="T116" s="8937" t="s">
        <v>83</v>
      </c>
      <c r="U116" s="8945"/>
      <c r="V116" s="8937" t="s">
        <v>400</v>
      </c>
      <c r="W116" s="8945"/>
      <c r="X116" s="8937" t="s">
        <v>124</v>
      </c>
      <c r="Y116" s="8945"/>
      <c r="Z116" s="8937" t="s">
        <v>125</v>
      </c>
      <c r="AA116" s="8945"/>
      <c r="AB116" s="8937" t="s">
        <v>126</v>
      </c>
      <c r="AC116" s="8945"/>
      <c r="AD116" s="8937" t="s">
        <v>127</v>
      </c>
      <c r="AE116" s="8945"/>
      <c r="AF116" s="8937" t="s">
        <v>128</v>
      </c>
      <c r="AG116" s="8945"/>
      <c r="AH116" s="8937" t="s">
        <v>129</v>
      </c>
      <c r="AI116" s="8945"/>
      <c r="AJ116" s="8937" t="s">
        <v>130</v>
      </c>
      <c r="AK116" s="8945"/>
      <c r="AL116" s="8937" t="s">
        <v>131</v>
      </c>
      <c r="AM116" s="8945"/>
      <c r="AN116" s="8935" t="s">
        <v>1919</v>
      </c>
      <c r="AO116" s="8936"/>
      <c r="AP116" s="8581"/>
      <c r="AQ116" s="8620"/>
      <c r="AR116" s="8622"/>
      <c r="AS116" s="8622"/>
      <c r="AT116" s="448"/>
      <c r="AU116" s="448"/>
    </row>
    <row r="117" spans="1:132" ht="24" customHeight="1" x14ac:dyDescent="0.25">
      <c r="B117" s="9050"/>
      <c r="C117" s="2917" t="s">
        <v>42</v>
      </c>
      <c r="D117" s="2918" t="s">
        <v>17</v>
      </c>
      <c r="E117" s="2102" t="s">
        <v>18</v>
      </c>
      <c r="F117" s="2919" t="s">
        <v>17</v>
      </c>
      <c r="G117" s="2920" t="s">
        <v>18</v>
      </c>
      <c r="H117" s="2919" t="s">
        <v>17</v>
      </c>
      <c r="I117" s="2920" t="s">
        <v>18</v>
      </c>
      <c r="J117" s="2919" t="s">
        <v>17</v>
      </c>
      <c r="K117" s="2920" t="s">
        <v>18</v>
      </c>
      <c r="L117" s="2919" t="s">
        <v>17</v>
      </c>
      <c r="M117" s="2920" t="s">
        <v>18</v>
      </c>
      <c r="N117" s="2919" t="s">
        <v>17</v>
      </c>
      <c r="O117" s="2920" t="s">
        <v>18</v>
      </c>
      <c r="P117" s="2919" t="s">
        <v>17</v>
      </c>
      <c r="Q117" s="2920" t="s">
        <v>18</v>
      </c>
      <c r="R117" s="2919" t="s">
        <v>17</v>
      </c>
      <c r="S117" s="2920" t="s">
        <v>18</v>
      </c>
      <c r="T117" s="2919" t="s">
        <v>17</v>
      </c>
      <c r="U117" s="2920" t="s">
        <v>18</v>
      </c>
      <c r="V117" s="2919" t="s">
        <v>17</v>
      </c>
      <c r="W117" s="2920" t="s">
        <v>18</v>
      </c>
      <c r="X117" s="2919" t="s">
        <v>17</v>
      </c>
      <c r="Y117" s="2920" t="s">
        <v>18</v>
      </c>
      <c r="Z117" s="2919" t="s">
        <v>17</v>
      </c>
      <c r="AA117" s="2920" t="s">
        <v>18</v>
      </c>
      <c r="AB117" s="2919" t="s">
        <v>17</v>
      </c>
      <c r="AC117" s="2920" t="s">
        <v>18</v>
      </c>
      <c r="AD117" s="2919" t="s">
        <v>17</v>
      </c>
      <c r="AE117" s="2920" t="s">
        <v>18</v>
      </c>
      <c r="AF117" s="2919" t="s">
        <v>17</v>
      </c>
      <c r="AG117" s="2920" t="s">
        <v>18</v>
      </c>
      <c r="AH117" s="2919" t="s">
        <v>17</v>
      </c>
      <c r="AI117" s="2920" t="s">
        <v>18</v>
      </c>
      <c r="AJ117" s="2919" t="s">
        <v>17</v>
      </c>
      <c r="AK117" s="2920" t="s">
        <v>18</v>
      </c>
      <c r="AL117" s="2919" t="s">
        <v>17</v>
      </c>
      <c r="AM117" s="2920" t="s">
        <v>18</v>
      </c>
      <c r="AN117" s="2919" t="s">
        <v>17</v>
      </c>
      <c r="AO117" s="2921" t="s">
        <v>18</v>
      </c>
      <c r="AP117" s="8759"/>
      <c r="AQ117" s="8944"/>
      <c r="AR117" s="8615"/>
      <c r="AS117" s="8615"/>
      <c r="AT117" s="448"/>
      <c r="AU117" s="448"/>
    </row>
    <row r="118" spans="1:132" ht="24" customHeight="1" x14ac:dyDescent="0.25">
      <c r="A118" s="7278" t="s">
        <v>4337</v>
      </c>
      <c r="B118" s="3767" t="s">
        <v>2809</v>
      </c>
      <c r="C118" s="2922" t="s">
        <v>5369</v>
      </c>
      <c r="D118" s="2923" t="s">
        <v>5370</v>
      </c>
      <c r="E118" s="2924" t="s">
        <v>5371</v>
      </c>
      <c r="F118" s="2462" t="s">
        <v>5372</v>
      </c>
      <c r="G118" s="2814" t="s">
        <v>5373</v>
      </c>
      <c r="H118" s="2462" t="s">
        <v>5374</v>
      </c>
      <c r="I118" s="2450" t="s">
        <v>5375</v>
      </c>
      <c r="J118" s="2462" t="s">
        <v>5376</v>
      </c>
      <c r="K118" s="2450" t="s">
        <v>5377</v>
      </c>
      <c r="L118" s="2462" t="s">
        <v>5378</v>
      </c>
      <c r="M118" s="2450" t="s">
        <v>5379</v>
      </c>
      <c r="N118" s="2462" t="s">
        <v>5380</v>
      </c>
      <c r="O118" s="2450" t="s">
        <v>5381</v>
      </c>
      <c r="P118" s="2462" t="s">
        <v>5382</v>
      </c>
      <c r="Q118" s="2450" t="s">
        <v>5383</v>
      </c>
      <c r="R118" s="2439" t="s">
        <v>5384</v>
      </c>
      <c r="S118" s="2450" t="s">
        <v>5385</v>
      </c>
      <c r="T118" s="2462" t="s">
        <v>5386</v>
      </c>
      <c r="U118" s="2450" t="s">
        <v>5387</v>
      </c>
      <c r="V118" s="2462" t="s">
        <v>5388</v>
      </c>
      <c r="W118" s="2450" t="s">
        <v>5389</v>
      </c>
      <c r="X118" s="2462" t="s">
        <v>5390</v>
      </c>
      <c r="Y118" s="2450" t="s">
        <v>5391</v>
      </c>
      <c r="Z118" s="2462" t="s">
        <v>5392</v>
      </c>
      <c r="AA118" s="2450" t="s">
        <v>5393</v>
      </c>
      <c r="AB118" s="2462" t="s">
        <v>5394</v>
      </c>
      <c r="AC118" s="2450" t="s">
        <v>5395</v>
      </c>
      <c r="AD118" s="2462" t="s">
        <v>5396</v>
      </c>
      <c r="AE118" s="2450" t="s">
        <v>5397</v>
      </c>
      <c r="AF118" s="2462" t="s">
        <v>5398</v>
      </c>
      <c r="AG118" s="2450" t="s">
        <v>5399</v>
      </c>
      <c r="AH118" s="2462" t="s">
        <v>5400</v>
      </c>
      <c r="AI118" s="2450" t="s">
        <v>5401</v>
      </c>
      <c r="AJ118" s="2462" t="s">
        <v>5402</v>
      </c>
      <c r="AK118" s="2450" t="s">
        <v>5403</v>
      </c>
      <c r="AL118" s="2462" t="s">
        <v>5404</v>
      </c>
      <c r="AM118" s="2450" t="s">
        <v>5405</v>
      </c>
      <c r="AN118" s="234" t="s">
        <v>5406</v>
      </c>
      <c r="AO118" s="2451" t="s">
        <v>5407</v>
      </c>
      <c r="AP118" s="2925" t="s">
        <v>5408</v>
      </c>
      <c r="AQ118" s="2925" t="s">
        <v>5409</v>
      </c>
      <c r="AR118" s="395" t="s">
        <v>5410</v>
      </c>
      <c r="AS118" s="395" t="s">
        <v>5411</v>
      </c>
      <c r="AT118" s="448"/>
      <c r="AU118" s="448"/>
      <c r="CC118" s="1429" t="s">
        <v>5437</v>
      </c>
      <c r="CI118" s="1429">
        <v>0</v>
      </c>
      <c r="CJ118" s="1429">
        <v>0</v>
      </c>
      <c r="DA118" s="1429">
        <v>0</v>
      </c>
      <c r="DB118" s="3219">
        <v>0</v>
      </c>
      <c r="DC118" s="3219">
        <v>1</v>
      </c>
      <c r="DD118" s="3219">
        <v>0</v>
      </c>
      <c r="DE118" s="3219">
        <v>0</v>
      </c>
      <c r="DF118" s="3219">
        <v>0</v>
      </c>
      <c r="DG118" s="3219">
        <v>0</v>
      </c>
      <c r="DH118" s="3219">
        <v>0</v>
      </c>
    </row>
    <row r="119" spans="1:132" ht="16.350000000000001" customHeight="1" x14ac:dyDescent="0.25">
      <c r="A119" s="7278" t="s">
        <v>4338</v>
      </c>
      <c r="B119" s="3768" t="s">
        <v>3415</v>
      </c>
      <c r="C119" s="2922" t="s">
        <v>5369</v>
      </c>
      <c r="D119" s="2923" t="s">
        <v>5370</v>
      </c>
      <c r="E119" s="2924" t="s">
        <v>5371</v>
      </c>
      <c r="F119" s="2822" t="s">
        <v>5372</v>
      </c>
      <c r="G119" s="2826" t="s">
        <v>5373</v>
      </c>
      <c r="H119" s="2822" t="s">
        <v>5374</v>
      </c>
      <c r="I119" s="2824" t="s">
        <v>5375</v>
      </c>
      <c r="J119" s="2822" t="s">
        <v>5376</v>
      </c>
      <c r="K119" s="2824" t="s">
        <v>5377</v>
      </c>
      <c r="L119" s="2822" t="s">
        <v>5378</v>
      </c>
      <c r="M119" s="2824" t="s">
        <v>5379</v>
      </c>
      <c r="N119" s="2822" t="s">
        <v>5380</v>
      </c>
      <c r="O119" s="2824" t="s">
        <v>5381</v>
      </c>
      <c r="P119" s="2822" t="s">
        <v>5382</v>
      </c>
      <c r="Q119" s="2824" t="s">
        <v>5383</v>
      </c>
      <c r="R119" s="2852" t="s">
        <v>5384</v>
      </c>
      <c r="S119" s="2824" t="s">
        <v>5385</v>
      </c>
      <c r="T119" s="2822" t="s">
        <v>5386</v>
      </c>
      <c r="U119" s="2824" t="s">
        <v>5387</v>
      </c>
      <c r="V119" s="2822" t="s">
        <v>5388</v>
      </c>
      <c r="W119" s="2824" t="s">
        <v>5389</v>
      </c>
      <c r="X119" s="2822" t="s">
        <v>5390</v>
      </c>
      <c r="Y119" s="2824" t="s">
        <v>5391</v>
      </c>
      <c r="Z119" s="2822" t="s">
        <v>5392</v>
      </c>
      <c r="AA119" s="2824" t="s">
        <v>5393</v>
      </c>
      <c r="AB119" s="2822" t="s">
        <v>5394</v>
      </c>
      <c r="AC119" s="2824" t="s">
        <v>5395</v>
      </c>
      <c r="AD119" s="2822" t="s">
        <v>5396</v>
      </c>
      <c r="AE119" s="2824" t="s">
        <v>5397</v>
      </c>
      <c r="AF119" s="2822" t="s">
        <v>5398</v>
      </c>
      <c r="AG119" s="2824" t="s">
        <v>5399</v>
      </c>
      <c r="AH119" s="2822" t="s">
        <v>5400</v>
      </c>
      <c r="AI119" s="2824" t="s">
        <v>5401</v>
      </c>
      <c r="AJ119" s="2822" t="s">
        <v>5402</v>
      </c>
      <c r="AK119" s="2824" t="s">
        <v>5403</v>
      </c>
      <c r="AL119" s="2822" t="s">
        <v>5404</v>
      </c>
      <c r="AM119" s="2824" t="s">
        <v>5405</v>
      </c>
      <c r="AN119" s="2823" t="s">
        <v>5406</v>
      </c>
      <c r="AO119" s="2889" t="s">
        <v>5407</v>
      </c>
      <c r="AP119" s="2926" t="s">
        <v>5408</v>
      </c>
      <c r="AQ119" s="2926" t="s">
        <v>5409</v>
      </c>
      <c r="AR119" s="186" t="s">
        <v>5410</v>
      </c>
      <c r="AS119" s="186" t="s">
        <v>5411</v>
      </c>
      <c r="AT119" s="448"/>
      <c r="AU119" s="448"/>
      <c r="CH119" s="1429">
        <v>0</v>
      </c>
      <c r="CI119" s="1429">
        <v>0</v>
      </c>
      <c r="CJ119" s="1429">
        <v>0</v>
      </c>
    </row>
    <row r="120" spans="1:132" ht="16.350000000000001" customHeight="1" x14ac:dyDescent="0.25">
      <c r="A120" s="7278" t="s">
        <v>4339</v>
      </c>
      <c r="B120" s="2927" t="s">
        <v>2802</v>
      </c>
      <c r="C120" s="2928" t="s">
        <v>5369</v>
      </c>
      <c r="D120" s="2745" t="s">
        <v>5370</v>
      </c>
      <c r="E120" s="2929" t="s">
        <v>5371</v>
      </c>
      <c r="F120" s="2825" t="s">
        <v>5372</v>
      </c>
      <c r="G120" s="2479" t="s">
        <v>5373</v>
      </c>
      <c r="H120" s="2825" t="s">
        <v>5374</v>
      </c>
      <c r="I120" s="2821" t="s">
        <v>5375</v>
      </c>
      <c r="J120" s="2825" t="s">
        <v>5376</v>
      </c>
      <c r="K120" s="2821" t="s">
        <v>5377</v>
      </c>
      <c r="L120" s="2825" t="s">
        <v>5378</v>
      </c>
      <c r="M120" s="2821" t="s">
        <v>5379</v>
      </c>
      <c r="N120" s="2825" t="s">
        <v>5380</v>
      </c>
      <c r="O120" s="2821" t="s">
        <v>5381</v>
      </c>
      <c r="P120" s="2825" t="s">
        <v>5382</v>
      </c>
      <c r="Q120" s="2821" t="s">
        <v>5383</v>
      </c>
      <c r="R120" s="2477" t="s">
        <v>5384</v>
      </c>
      <c r="S120" s="2821" t="s">
        <v>5385</v>
      </c>
      <c r="T120" s="2825" t="s">
        <v>5386</v>
      </c>
      <c r="U120" s="2821" t="s">
        <v>5387</v>
      </c>
      <c r="V120" s="2825" t="s">
        <v>5388</v>
      </c>
      <c r="W120" s="2821" t="s">
        <v>5389</v>
      </c>
      <c r="X120" s="2825" t="s">
        <v>5390</v>
      </c>
      <c r="Y120" s="2821" t="s">
        <v>5391</v>
      </c>
      <c r="Z120" s="2825" t="s">
        <v>5392</v>
      </c>
      <c r="AA120" s="2821" t="s">
        <v>5393</v>
      </c>
      <c r="AB120" s="2825" t="s">
        <v>5394</v>
      </c>
      <c r="AC120" s="2821" t="s">
        <v>5395</v>
      </c>
      <c r="AD120" s="2825" t="s">
        <v>5396</v>
      </c>
      <c r="AE120" s="2821" t="s">
        <v>5397</v>
      </c>
      <c r="AF120" s="2825" t="s">
        <v>5398</v>
      </c>
      <c r="AG120" s="2821" t="s">
        <v>5399</v>
      </c>
      <c r="AH120" s="2825" t="s">
        <v>5400</v>
      </c>
      <c r="AI120" s="2821" t="s">
        <v>5401</v>
      </c>
      <c r="AJ120" s="2825" t="s">
        <v>5402</v>
      </c>
      <c r="AK120" s="2821" t="s">
        <v>5403</v>
      </c>
      <c r="AL120" s="2825" t="s">
        <v>5404</v>
      </c>
      <c r="AM120" s="2821" t="s">
        <v>5405</v>
      </c>
      <c r="AN120" s="2480" t="s">
        <v>5406</v>
      </c>
      <c r="AO120" s="2830" t="s">
        <v>5407</v>
      </c>
      <c r="AP120" s="2482" t="s">
        <v>5408</v>
      </c>
      <c r="AQ120" s="2482" t="s">
        <v>5409</v>
      </c>
      <c r="AR120" s="3766" t="s">
        <v>5410</v>
      </c>
      <c r="AS120" s="2482" t="s">
        <v>5411</v>
      </c>
      <c r="AT120" s="448"/>
      <c r="AU120" s="448"/>
    </row>
    <row r="121" spans="1:132" ht="21" customHeight="1" x14ac:dyDescent="0.25">
      <c r="B121" s="133" t="s">
        <v>3414</v>
      </c>
      <c r="C121" s="171"/>
      <c r="D121" s="171"/>
      <c r="E121" s="140"/>
      <c r="F121" s="171"/>
      <c r="G121" s="140"/>
      <c r="H121" s="140"/>
      <c r="I121" s="140"/>
      <c r="J121" s="140"/>
      <c r="K121" s="140"/>
      <c r="L121" s="140"/>
      <c r="M121" s="105"/>
      <c r="N121" s="105"/>
      <c r="O121" s="105"/>
      <c r="P121" s="105"/>
      <c r="AR121" s="3213"/>
      <c r="AS121" s="3213"/>
    </row>
    <row r="122" spans="1:132" ht="15" customHeight="1" x14ac:dyDescent="0.25">
      <c r="A122" s="7279"/>
      <c r="B122" s="9046" t="s">
        <v>2112</v>
      </c>
      <c r="C122" s="9042"/>
      <c r="D122" s="9044" t="s">
        <v>24</v>
      </c>
      <c r="E122" s="9039" t="s">
        <v>2</v>
      </c>
      <c r="F122" s="9040"/>
      <c r="G122" s="9040"/>
      <c r="H122" s="9040"/>
      <c r="I122" s="9041"/>
      <c r="J122" s="9029" t="s">
        <v>78</v>
      </c>
      <c r="K122" s="8599" t="s">
        <v>362</v>
      </c>
      <c r="L122" s="9042" t="s">
        <v>361</v>
      </c>
      <c r="AS122" s="3213"/>
      <c r="AT122" s="3213"/>
      <c r="BW122" s="165"/>
      <c r="CB122" s="1438"/>
      <c r="DB122" s="1429"/>
      <c r="EB122" s="3222"/>
    </row>
    <row r="123" spans="1:132" ht="30.6" x14ac:dyDescent="0.25">
      <c r="A123" s="7279"/>
      <c r="B123" s="9047"/>
      <c r="C123" s="9043"/>
      <c r="D123" s="9045"/>
      <c r="E123" s="2693" t="s">
        <v>331</v>
      </c>
      <c r="F123" s="2694" t="s">
        <v>330</v>
      </c>
      <c r="G123" s="2694" t="s">
        <v>329</v>
      </c>
      <c r="H123" s="2694" t="s">
        <v>332</v>
      </c>
      <c r="I123" s="3274" t="s">
        <v>596</v>
      </c>
      <c r="J123" s="9030"/>
      <c r="K123" s="8651"/>
      <c r="L123" s="9043"/>
      <c r="AS123" s="3213"/>
      <c r="AT123" s="3213"/>
      <c r="BW123" s="165"/>
      <c r="CB123" s="1438"/>
      <c r="DB123" s="1429"/>
      <c r="EB123" s="3222"/>
    </row>
    <row r="124" spans="1:132" ht="28.2" customHeight="1" x14ac:dyDescent="0.25">
      <c r="A124" s="7257" t="s">
        <v>4340</v>
      </c>
      <c r="B124" s="9038" t="s">
        <v>597</v>
      </c>
      <c r="C124" s="3760" t="s">
        <v>2664</v>
      </c>
      <c r="D124" s="2683" t="s">
        <v>5369</v>
      </c>
      <c r="E124" s="2695" t="s">
        <v>5370</v>
      </c>
      <c r="F124" s="2696" t="s">
        <v>5371</v>
      </c>
      <c r="G124" s="2696" t="s">
        <v>5372</v>
      </c>
      <c r="H124" s="2696" t="s">
        <v>5373</v>
      </c>
      <c r="I124" s="4966" t="s">
        <v>5374</v>
      </c>
      <c r="J124" s="4962" t="s">
        <v>5375</v>
      </c>
      <c r="K124" s="2706" t="s">
        <v>5376</v>
      </c>
      <c r="L124" s="2684" t="s">
        <v>5377</v>
      </c>
      <c r="M124" s="1430"/>
      <c r="AS124" s="3213"/>
      <c r="AT124" s="3213"/>
      <c r="BW124" s="165"/>
      <c r="CB124" s="1438"/>
      <c r="DB124" s="1429">
        <v>0</v>
      </c>
      <c r="DD124" s="3219">
        <v>0</v>
      </c>
      <c r="DE124" s="3219">
        <v>0</v>
      </c>
      <c r="DF124" s="3219">
        <v>0</v>
      </c>
      <c r="DG124" s="3219">
        <v>0</v>
      </c>
      <c r="EB124" s="3222"/>
    </row>
    <row r="125" spans="1:132" ht="26.4" customHeight="1" x14ac:dyDescent="0.25">
      <c r="A125" s="7257" t="s">
        <v>4341</v>
      </c>
      <c r="B125" s="8620"/>
      <c r="C125" s="3761" t="s">
        <v>2660</v>
      </c>
      <c r="D125" s="2685" t="s">
        <v>5369</v>
      </c>
      <c r="E125" s="2697" t="s">
        <v>5370</v>
      </c>
      <c r="F125" s="2698" t="s">
        <v>5371</v>
      </c>
      <c r="G125" s="2698" t="s">
        <v>5372</v>
      </c>
      <c r="H125" s="2698" t="s">
        <v>5373</v>
      </c>
      <c r="I125" s="4967" t="s">
        <v>5374</v>
      </c>
      <c r="J125" s="4962" t="s">
        <v>5375</v>
      </c>
      <c r="K125" s="2707" t="s">
        <v>5376</v>
      </c>
      <c r="L125" s="2686" t="s">
        <v>5377</v>
      </c>
      <c r="M125" s="1430"/>
      <c r="AS125" s="3213"/>
      <c r="AT125" s="3213"/>
      <c r="BW125" s="165"/>
      <c r="CB125" s="1438"/>
      <c r="DB125" s="1429"/>
      <c r="DE125" s="3219">
        <v>0</v>
      </c>
      <c r="DG125" s="3219">
        <v>0</v>
      </c>
      <c r="EB125" s="3222"/>
    </row>
    <row r="126" spans="1:132" ht="29.4" customHeight="1" x14ac:dyDescent="0.25">
      <c r="A126" s="7259" t="s">
        <v>4342</v>
      </c>
      <c r="B126" s="8948"/>
      <c r="C126" s="3762" t="s">
        <v>2661</v>
      </c>
      <c r="D126" s="2469" t="s">
        <v>5369</v>
      </c>
      <c r="E126" s="2699" t="s">
        <v>5370</v>
      </c>
      <c r="F126" s="2700" t="s">
        <v>5371</v>
      </c>
      <c r="G126" s="2700" t="s">
        <v>5372</v>
      </c>
      <c r="H126" s="2700" t="s">
        <v>5373</v>
      </c>
      <c r="I126" s="4968" t="s">
        <v>5374</v>
      </c>
      <c r="J126" s="4962" t="s">
        <v>5375</v>
      </c>
      <c r="K126" s="2708" t="s">
        <v>5376</v>
      </c>
      <c r="L126" s="2687" t="s">
        <v>5377</v>
      </c>
      <c r="M126" s="1430"/>
      <c r="AS126" s="3213"/>
      <c r="AT126" s="3213"/>
      <c r="BW126" s="165"/>
      <c r="CB126" s="1438"/>
      <c r="DB126" s="1429"/>
      <c r="DE126" s="3219">
        <v>0</v>
      </c>
      <c r="DG126" s="3219">
        <v>0</v>
      </c>
      <c r="EB126" s="3222"/>
    </row>
    <row r="127" spans="1:132" ht="24.6" customHeight="1" x14ac:dyDescent="0.25">
      <c r="A127" s="7259" t="s">
        <v>4343</v>
      </c>
      <c r="B127" s="9038" t="s">
        <v>2665</v>
      </c>
      <c r="C127" s="3762" t="s">
        <v>2662</v>
      </c>
      <c r="D127" s="2683" t="s">
        <v>5369</v>
      </c>
      <c r="E127" s="4960" t="s">
        <v>5370</v>
      </c>
      <c r="F127" s="4961" t="s">
        <v>5371</v>
      </c>
      <c r="G127" s="4961" t="s">
        <v>5372</v>
      </c>
      <c r="H127" s="4961" t="s">
        <v>5373</v>
      </c>
      <c r="I127" s="4969" t="s">
        <v>5374</v>
      </c>
      <c r="J127" s="4963" t="s">
        <v>5375</v>
      </c>
      <c r="K127" s="2709" t="s">
        <v>5376</v>
      </c>
      <c r="L127" s="2691" t="s">
        <v>5377</v>
      </c>
      <c r="M127" s="1430"/>
      <c r="BW127" s="165"/>
      <c r="CB127" s="1438"/>
      <c r="DB127" s="1429"/>
      <c r="DC127" s="3219">
        <v>0</v>
      </c>
      <c r="DE127" s="3219">
        <v>0</v>
      </c>
      <c r="DG127" s="3219">
        <v>0</v>
      </c>
      <c r="EB127" s="3222"/>
    </row>
    <row r="128" spans="1:132" ht="24.6" customHeight="1" x14ac:dyDescent="0.25">
      <c r="A128" s="7259" t="s">
        <v>4344</v>
      </c>
      <c r="B128" s="8948"/>
      <c r="C128" s="3762" t="s">
        <v>2663</v>
      </c>
      <c r="D128" s="2692" t="s">
        <v>5369</v>
      </c>
      <c r="E128" s="4958" t="s">
        <v>5370</v>
      </c>
      <c r="F128" s="4959" t="s">
        <v>5371</v>
      </c>
      <c r="G128" s="4959" t="s">
        <v>5372</v>
      </c>
      <c r="H128" s="4959" t="s">
        <v>5373</v>
      </c>
      <c r="I128" s="4970" t="s">
        <v>5374</v>
      </c>
      <c r="J128" s="4971" t="s">
        <v>5375</v>
      </c>
      <c r="K128" s="2708" t="s">
        <v>5376</v>
      </c>
      <c r="L128" s="2687" t="s">
        <v>5377</v>
      </c>
      <c r="M128" s="1430"/>
      <c r="BW128" s="165"/>
      <c r="CB128" s="1438"/>
      <c r="DB128" s="1429"/>
      <c r="EB128" s="3222"/>
    </row>
    <row r="129" spans="1:132" ht="18.600000000000001" customHeight="1" x14ac:dyDescent="0.25">
      <c r="A129" s="7257" t="s">
        <v>4345</v>
      </c>
      <c r="B129" s="8620" t="s">
        <v>598</v>
      </c>
      <c r="C129" s="3763" t="s">
        <v>2590</v>
      </c>
      <c r="D129" s="2688" t="s">
        <v>5369</v>
      </c>
      <c r="E129" s="2689" t="s">
        <v>5370</v>
      </c>
      <c r="F129" s="2703" t="s">
        <v>5371</v>
      </c>
      <c r="G129" s="2703" t="s">
        <v>5372</v>
      </c>
      <c r="H129" s="2703" t="s">
        <v>5373</v>
      </c>
      <c r="I129" s="4972" t="s">
        <v>5374</v>
      </c>
      <c r="J129" s="4957" t="s">
        <v>5375</v>
      </c>
      <c r="K129" s="2710" t="s">
        <v>5376</v>
      </c>
      <c r="L129" s="2690" t="s">
        <v>5377</v>
      </c>
      <c r="M129" s="1430"/>
      <c r="BW129" s="165"/>
      <c r="CB129" s="1438"/>
      <c r="DB129" s="1429"/>
      <c r="DC129" s="3219">
        <v>0</v>
      </c>
      <c r="DE129" s="3219">
        <v>0</v>
      </c>
      <c r="DG129" s="3219">
        <v>0</v>
      </c>
      <c r="EB129" s="3222"/>
    </row>
    <row r="130" spans="1:132" ht="18.600000000000001" customHeight="1" x14ac:dyDescent="0.25">
      <c r="A130" s="7257" t="s">
        <v>4346</v>
      </c>
      <c r="B130" s="8555"/>
      <c r="C130" s="98" t="s">
        <v>599</v>
      </c>
      <c r="D130" s="2688" t="s">
        <v>5369</v>
      </c>
      <c r="E130" s="2689" t="s">
        <v>5370</v>
      </c>
      <c r="F130" s="2703" t="s">
        <v>5371</v>
      </c>
      <c r="G130" s="2703" t="s">
        <v>5372</v>
      </c>
      <c r="H130" s="2703" t="s">
        <v>5373</v>
      </c>
      <c r="I130" s="4973" t="s">
        <v>5374</v>
      </c>
      <c r="J130" s="4957" t="s">
        <v>5375</v>
      </c>
      <c r="K130" s="2710" t="s">
        <v>5376</v>
      </c>
      <c r="L130" s="1546" t="s">
        <v>5377</v>
      </c>
      <c r="M130" s="1430"/>
      <c r="BW130" s="165"/>
      <c r="CB130" s="1438"/>
      <c r="DB130" s="1429"/>
      <c r="EB130" s="3222"/>
    </row>
    <row r="131" spans="1:132" ht="16.95" customHeight="1" x14ac:dyDescent="0.25">
      <c r="A131" s="7257" t="s">
        <v>4347</v>
      </c>
      <c r="B131" s="8555"/>
      <c r="C131" s="135" t="s">
        <v>2592</v>
      </c>
      <c r="D131" s="2688" t="s">
        <v>5369</v>
      </c>
      <c r="E131" s="2704" t="s">
        <v>5370</v>
      </c>
      <c r="F131" s="2705" t="s">
        <v>5371</v>
      </c>
      <c r="G131" s="2705" t="s">
        <v>5372</v>
      </c>
      <c r="H131" s="2705" t="s">
        <v>5373</v>
      </c>
      <c r="I131" s="4974" t="s">
        <v>5374</v>
      </c>
      <c r="J131" s="4964" t="s">
        <v>5375</v>
      </c>
      <c r="K131" s="2707" t="s">
        <v>5376</v>
      </c>
      <c r="L131" s="517" t="s">
        <v>5377</v>
      </c>
      <c r="M131" s="1430"/>
      <c r="BW131" s="165"/>
      <c r="CB131" s="1438"/>
      <c r="DB131" s="1429"/>
      <c r="EB131" s="3222"/>
    </row>
    <row r="132" spans="1:132" ht="17.399999999999999" customHeight="1" x14ac:dyDescent="0.25">
      <c r="A132" s="7257" t="s">
        <v>4348</v>
      </c>
      <c r="B132" s="8988"/>
      <c r="C132" s="534" t="s">
        <v>26</v>
      </c>
      <c r="D132" s="3233" t="s">
        <v>5369</v>
      </c>
      <c r="E132" s="2701" t="s">
        <v>5370</v>
      </c>
      <c r="F132" s="2702" t="s">
        <v>5371</v>
      </c>
      <c r="G132" s="2702" t="s">
        <v>5372</v>
      </c>
      <c r="H132" s="2702" t="s">
        <v>5373</v>
      </c>
      <c r="I132" s="4975" t="s">
        <v>5374</v>
      </c>
      <c r="J132" s="4965" t="s">
        <v>5375</v>
      </c>
      <c r="K132" s="2708" t="s">
        <v>5376</v>
      </c>
      <c r="L132" s="516" t="s">
        <v>5377</v>
      </c>
      <c r="M132" s="1430"/>
      <c r="BW132" s="165"/>
      <c r="CB132" s="1438"/>
      <c r="DB132" s="1429"/>
      <c r="DC132" s="3219">
        <v>0</v>
      </c>
      <c r="DE132" s="3219">
        <v>0</v>
      </c>
      <c r="DG132" s="3219">
        <v>0</v>
      </c>
      <c r="EB132" s="3222"/>
    </row>
    <row r="133" spans="1:132" ht="17.399999999999999" customHeight="1" x14ac:dyDescent="0.3">
      <c r="B133" s="4469" t="s">
        <v>3761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 s="4258"/>
      <c r="AP133" s="4258"/>
    </row>
    <row r="134" spans="1:132" ht="18.600000000000001" customHeight="1" x14ac:dyDescent="0.25">
      <c r="A134" s="7279"/>
      <c r="B134" s="9073" t="s">
        <v>0</v>
      </c>
      <c r="C134" s="9073" t="s">
        <v>2267</v>
      </c>
      <c r="D134" s="9051" t="s">
        <v>42</v>
      </c>
      <c r="E134" s="9051" t="s">
        <v>17</v>
      </c>
      <c r="F134" s="9054" t="s">
        <v>18</v>
      </c>
      <c r="G134" s="9076" t="s">
        <v>540</v>
      </c>
      <c r="H134" s="9077"/>
      <c r="I134" s="9077"/>
      <c r="J134" s="9077"/>
      <c r="K134" s="9077"/>
      <c r="L134" s="9077"/>
      <c r="M134" s="9077"/>
      <c r="N134" s="9077"/>
      <c r="O134" s="9077"/>
      <c r="P134" s="9077"/>
      <c r="Q134" s="9077"/>
      <c r="R134" s="9077"/>
      <c r="S134" s="9077"/>
      <c r="T134" s="9077"/>
      <c r="U134" s="9077"/>
      <c r="V134" s="9077"/>
      <c r="W134" s="9077"/>
      <c r="X134" s="9077"/>
      <c r="Y134" s="9077"/>
      <c r="Z134" s="9077"/>
      <c r="AA134" s="9077"/>
      <c r="AB134" s="9077"/>
      <c r="AC134" s="9077"/>
      <c r="AD134" s="9077"/>
      <c r="AE134" s="9077"/>
      <c r="AF134" s="9077"/>
      <c r="AG134" s="9077"/>
      <c r="AH134" s="9077"/>
      <c r="AI134" s="9077"/>
      <c r="AJ134" s="9077"/>
      <c r="AK134" s="9077"/>
      <c r="AL134" s="9077"/>
      <c r="AM134" s="9077"/>
      <c r="AN134" s="9078"/>
      <c r="AO134" s="9051" t="s">
        <v>362</v>
      </c>
      <c r="AP134" s="9054" t="s">
        <v>361</v>
      </c>
    </row>
    <row r="135" spans="1:132" x14ac:dyDescent="0.25">
      <c r="A135" s="7279"/>
      <c r="B135" s="9074"/>
      <c r="C135" s="9074"/>
      <c r="D135" s="9052"/>
      <c r="E135" s="9052"/>
      <c r="F135" s="9055"/>
      <c r="G135" s="9057" t="s">
        <v>399</v>
      </c>
      <c r="H135" s="9058"/>
      <c r="I135" s="9057" t="s">
        <v>54</v>
      </c>
      <c r="J135" s="9058"/>
      <c r="K135" s="9057" t="s">
        <v>79</v>
      </c>
      <c r="L135" s="9058"/>
      <c r="M135" s="9057" t="s">
        <v>80</v>
      </c>
      <c r="N135" s="9058"/>
      <c r="O135" s="9057" t="s">
        <v>81</v>
      </c>
      <c r="P135" s="9058"/>
      <c r="Q135" s="9059" t="s">
        <v>115</v>
      </c>
      <c r="R135" s="9058"/>
      <c r="S135" s="9057" t="s">
        <v>116</v>
      </c>
      <c r="T135" s="9058"/>
      <c r="U135" s="9057" t="s">
        <v>117</v>
      </c>
      <c r="V135" s="9058"/>
      <c r="W135" s="9057" t="s">
        <v>118</v>
      </c>
      <c r="X135" s="9058"/>
      <c r="Y135" s="9057" t="s">
        <v>119</v>
      </c>
      <c r="Z135" s="9058"/>
      <c r="AA135" s="9057" t="s">
        <v>120</v>
      </c>
      <c r="AB135" s="9058"/>
      <c r="AC135" s="9057" t="s">
        <v>1414</v>
      </c>
      <c r="AD135" s="9058"/>
      <c r="AE135" s="9057" t="s">
        <v>1406</v>
      </c>
      <c r="AF135" s="9058"/>
      <c r="AG135" s="9057" t="s">
        <v>1397</v>
      </c>
      <c r="AH135" s="9058"/>
      <c r="AI135" s="9057" t="s">
        <v>1396</v>
      </c>
      <c r="AJ135" s="9058"/>
      <c r="AK135" s="9057" t="s">
        <v>1395</v>
      </c>
      <c r="AL135" s="9058"/>
      <c r="AM135" s="9057" t="s">
        <v>1405</v>
      </c>
      <c r="AN135" s="9060"/>
      <c r="AO135" s="9052"/>
      <c r="AP135" s="9055"/>
    </row>
    <row r="136" spans="1:132" x14ac:dyDescent="0.25">
      <c r="A136" s="7279"/>
      <c r="B136" s="9075"/>
      <c r="C136" s="9075"/>
      <c r="D136" s="9053"/>
      <c r="E136" s="9053"/>
      <c r="F136" s="9056"/>
      <c r="G136" s="4903" t="s">
        <v>708</v>
      </c>
      <c r="H136" s="4904" t="s">
        <v>18</v>
      </c>
      <c r="I136" s="4903" t="s">
        <v>708</v>
      </c>
      <c r="J136" s="4904" t="s">
        <v>18</v>
      </c>
      <c r="K136" s="4903" t="s">
        <v>708</v>
      </c>
      <c r="L136" s="4904" t="s">
        <v>18</v>
      </c>
      <c r="M136" s="4903" t="s">
        <v>708</v>
      </c>
      <c r="N136" s="4904" t="s">
        <v>18</v>
      </c>
      <c r="O136" s="4903" t="s">
        <v>708</v>
      </c>
      <c r="P136" s="4904" t="s">
        <v>18</v>
      </c>
      <c r="Q136" s="4903" t="s">
        <v>708</v>
      </c>
      <c r="R136" s="4904" t="s">
        <v>18</v>
      </c>
      <c r="S136" s="4903" t="s">
        <v>708</v>
      </c>
      <c r="T136" s="4904" t="s">
        <v>18</v>
      </c>
      <c r="U136" s="4903" t="s">
        <v>708</v>
      </c>
      <c r="V136" s="4904" t="s">
        <v>18</v>
      </c>
      <c r="W136" s="4903" t="s">
        <v>708</v>
      </c>
      <c r="X136" s="4904" t="s">
        <v>18</v>
      </c>
      <c r="Y136" s="4903" t="s">
        <v>708</v>
      </c>
      <c r="Z136" s="4904" t="s">
        <v>18</v>
      </c>
      <c r="AA136" s="4903" t="s">
        <v>708</v>
      </c>
      <c r="AB136" s="4904" t="s">
        <v>18</v>
      </c>
      <c r="AC136" s="4903" t="s">
        <v>708</v>
      </c>
      <c r="AD136" s="4904" t="s">
        <v>18</v>
      </c>
      <c r="AE136" s="4903" t="s">
        <v>708</v>
      </c>
      <c r="AF136" s="4904" t="s">
        <v>18</v>
      </c>
      <c r="AG136" s="4903" t="s">
        <v>708</v>
      </c>
      <c r="AH136" s="4904" t="s">
        <v>18</v>
      </c>
      <c r="AI136" s="4903" t="s">
        <v>708</v>
      </c>
      <c r="AJ136" s="4904" t="s">
        <v>18</v>
      </c>
      <c r="AK136" s="4903" t="s">
        <v>708</v>
      </c>
      <c r="AL136" s="4904" t="s">
        <v>18</v>
      </c>
      <c r="AM136" s="4903" t="s">
        <v>708</v>
      </c>
      <c r="AN136" s="4905" t="s">
        <v>18</v>
      </c>
      <c r="AO136" s="9053"/>
      <c r="AP136" s="9056"/>
    </row>
    <row r="137" spans="1:132" x14ac:dyDescent="0.25">
      <c r="A137" s="7257" t="s">
        <v>4349</v>
      </c>
      <c r="B137" s="9061" t="s">
        <v>2590</v>
      </c>
      <c r="C137" s="6936" t="s">
        <v>3921</v>
      </c>
      <c r="D137" s="4907" t="s">
        <v>5369</v>
      </c>
      <c r="E137" s="4908" t="s">
        <v>5370</v>
      </c>
      <c r="F137" s="4909" t="s">
        <v>5371</v>
      </c>
      <c r="G137" s="4910" t="s">
        <v>5372</v>
      </c>
      <c r="H137" s="4911" t="s">
        <v>5373</v>
      </c>
      <c r="I137" s="4910" t="s">
        <v>5374</v>
      </c>
      <c r="J137" s="4911" t="s">
        <v>5375</v>
      </c>
      <c r="K137" s="4910" t="s">
        <v>5376</v>
      </c>
      <c r="L137" s="4911" t="s">
        <v>5377</v>
      </c>
      <c r="M137" s="4910" t="s">
        <v>5378</v>
      </c>
      <c r="N137" s="4911" t="s">
        <v>5379</v>
      </c>
      <c r="O137" s="4910" t="s">
        <v>5380</v>
      </c>
      <c r="P137" s="4911" t="s">
        <v>5381</v>
      </c>
      <c r="Q137" s="4910" t="s">
        <v>5382</v>
      </c>
      <c r="R137" s="4911" t="s">
        <v>5383</v>
      </c>
      <c r="S137" s="4910" t="s">
        <v>5384</v>
      </c>
      <c r="T137" s="4911" t="s">
        <v>5385</v>
      </c>
      <c r="U137" s="4910" t="s">
        <v>5386</v>
      </c>
      <c r="V137" s="4911" t="s">
        <v>5387</v>
      </c>
      <c r="W137" s="4910" t="s">
        <v>5388</v>
      </c>
      <c r="X137" s="4911" t="s">
        <v>5389</v>
      </c>
      <c r="Y137" s="4910" t="s">
        <v>5390</v>
      </c>
      <c r="Z137" s="4911" t="s">
        <v>5391</v>
      </c>
      <c r="AA137" s="4910" t="s">
        <v>5392</v>
      </c>
      <c r="AB137" s="4911" t="s">
        <v>5393</v>
      </c>
      <c r="AC137" s="4910" t="s">
        <v>5394</v>
      </c>
      <c r="AD137" s="4911" t="s">
        <v>5395</v>
      </c>
      <c r="AE137" s="4910" t="s">
        <v>5396</v>
      </c>
      <c r="AF137" s="4911" t="s">
        <v>5397</v>
      </c>
      <c r="AG137" s="4910" t="s">
        <v>5398</v>
      </c>
      <c r="AH137" s="4911" t="s">
        <v>5399</v>
      </c>
      <c r="AI137" s="4910" t="s">
        <v>5400</v>
      </c>
      <c r="AJ137" s="4911" t="s">
        <v>5401</v>
      </c>
      <c r="AK137" s="4910" t="s">
        <v>5402</v>
      </c>
      <c r="AL137" s="4911" t="s">
        <v>5403</v>
      </c>
      <c r="AM137" s="4910" t="s">
        <v>5404</v>
      </c>
      <c r="AN137" s="4912" t="s">
        <v>5405</v>
      </c>
      <c r="AO137" s="4913" t="s">
        <v>5406</v>
      </c>
      <c r="AP137" s="4911" t="s">
        <v>5407</v>
      </c>
      <c r="AQ137" s="1430"/>
      <c r="DB137" s="3219">
        <v>0</v>
      </c>
      <c r="DC137" s="3219">
        <v>0</v>
      </c>
      <c r="DD137" s="3219">
        <v>0</v>
      </c>
      <c r="DE137" s="3219">
        <v>0</v>
      </c>
    </row>
    <row r="138" spans="1:132" x14ac:dyDescent="0.25">
      <c r="A138" s="7257" t="s">
        <v>4350</v>
      </c>
      <c r="B138" s="9062"/>
      <c r="C138" s="3225" t="s">
        <v>3922</v>
      </c>
      <c r="D138" s="4915" t="s">
        <v>5369</v>
      </c>
      <c r="E138" s="4916" t="s">
        <v>5370</v>
      </c>
      <c r="F138" s="4917" t="s">
        <v>5371</v>
      </c>
      <c r="G138" s="4918" t="s">
        <v>5372</v>
      </c>
      <c r="H138" s="3963" t="s">
        <v>5373</v>
      </c>
      <c r="I138" s="4918" t="s">
        <v>5374</v>
      </c>
      <c r="J138" s="3963" t="s">
        <v>5375</v>
      </c>
      <c r="K138" s="4918" t="s">
        <v>5376</v>
      </c>
      <c r="L138" s="3963" t="s">
        <v>5377</v>
      </c>
      <c r="M138" s="4918" t="s">
        <v>5378</v>
      </c>
      <c r="N138" s="3963" t="s">
        <v>5379</v>
      </c>
      <c r="O138" s="4918" t="s">
        <v>5380</v>
      </c>
      <c r="P138" s="3963" t="s">
        <v>5381</v>
      </c>
      <c r="Q138" s="4918" t="s">
        <v>5382</v>
      </c>
      <c r="R138" s="3963" t="s">
        <v>5383</v>
      </c>
      <c r="S138" s="4918" t="s">
        <v>5384</v>
      </c>
      <c r="T138" s="3963" t="s">
        <v>5385</v>
      </c>
      <c r="U138" s="4918" t="s">
        <v>5386</v>
      </c>
      <c r="V138" s="3963" t="s">
        <v>5387</v>
      </c>
      <c r="W138" s="4918" t="s">
        <v>5388</v>
      </c>
      <c r="X138" s="3963" t="s">
        <v>5389</v>
      </c>
      <c r="Y138" s="4918" t="s">
        <v>5390</v>
      </c>
      <c r="Z138" s="3963" t="s">
        <v>5391</v>
      </c>
      <c r="AA138" s="4918" t="s">
        <v>5392</v>
      </c>
      <c r="AB138" s="3963" t="s">
        <v>5393</v>
      </c>
      <c r="AC138" s="4918" t="s">
        <v>5394</v>
      </c>
      <c r="AD138" s="3963" t="s">
        <v>5395</v>
      </c>
      <c r="AE138" s="4918" t="s">
        <v>5396</v>
      </c>
      <c r="AF138" s="3963" t="s">
        <v>5397</v>
      </c>
      <c r="AG138" s="4918" t="s">
        <v>5398</v>
      </c>
      <c r="AH138" s="3963" t="s">
        <v>5399</v>
      </c>
      <c r="AI138" s="4918" t="s">
        <v>5400</v>
      </c>
      <c r="AJ138" s="3963" t="s">
        <v>5401</v>
      </c>
      <c r="AK138" s="4918" t="s">
        <v>5402</v>
      </c>
      <c r="AL138" s="3963" t="s">
        <v>5403</v>
      </c>
      <c r="AM138" s="4918" t="s">
        <v>5404</v>
      </c>
      <c r="AN138" s="4919" t="s">
        <v>5405</v>
      </c>
      <c r="AO138" s="3961" t="s">
        <v>5406</v>
      </c>
      <c r="AP138" s="3963" t="s">
        <v>5407</v>
      </c>
      <c r="AQ138" s="1430"/>
    </row>
    <row r="139" spans="1:132" x14ac:dyDescent="0.25">
      <c r="A139" s="7257" t="s">
        <v>4351</v>
      </c>
      <c r="B139" s="9062"/>
      <c r="C139" s="3225" t="s">
        <v>3923</v>
      </c>
      <c r="D139" s="4915" t="s">
        <v>5369</v>
      </c>
      <c r="E139" s="4916" t="s">
        <v>5370</v>
      </c>
      <c r="F139" s="4917" t="s">
        <v>5371</v>
      </c>
      <c r="G139" s="4920" t="s">
        <v>5372</v>
      </c>
      <c r="H139" s="4921" t="s">
        <v>5373</v>
      </c>
      <c r="I139" s="4920" t="s">
        <v>5374</v>
      </c>
      <c r="J139" s="4921" t="s">
        <v>5375</v>
      </c>
      <c r="K139" s="4920" t="s">
        <v>5376</v>
      </c>
      <c r="L139" s="4921" t="s">
        <v>5377</v>
      </c>
      <c r="M139" s="4920" t="s">
        <v>5378</v>
      </c>
      <c r="N139" s="4921" t="s">
        <v>5379</v>
      </c>
      <c r="O139" s="4920" t="s">
        <v>5380</v>
      </c>
      <c r="P139" s="4921" t="s">
        <v>5381</v>
      </c>
      <c r="Q139" s="4920" t="s">
        <v>5382</v>
      </c>
      <c r="R139" s="4921" t="s">
        <v>5383</v>
      </c>
      <c r="S139" s="4920" t="s">
        <v>5384</v>
      </c>
      <c r="T139" s="4921" t="s">
        <v>5385</v>
      </c>
      <c r="U139" s="4920" t="s">
        <v>5386</v>
      </c>
      <c r="V139" s="4921" t="s">
        <v>5387</v>
      </c>
      <c r="W139" s="4920" t="s">
        <v>5388</v>
      </c>
      <c r="X139" s="4921" t="s">
        <v>5389</v>
      </c>
      <c r="Y139" s="4920" t="s">
        <v>5390</v>
      </c>
      <c r="Z139" s="4921" t="s">
        <v>5391</v>
      </c>
      <c r="AA139" s="4920" t="s">
        <v>5392</v>
      </c>
      <c r="AB139" s="4921" t="s">
        <v>5393</v>
      </c>
      <c r="AC139" s="4920" t="s">
        <v>5394</v>
      </c>
      <c r="AD139" s="4921" t="s">
        <v>5395</v>
      </c>
      <c r="AE139" s="4920" t="s">
        <v>5396</v>
      </c>
      <c r="AF139" s="4921" t="s">
        <v>5397</v>
      </c>
      <c r="AG139" s="4920" t="s">
        <v>5398</v>
      </c>
      <c r="AH139" s="4921" t="s">
        <v>5399</v>
      </c>
      <c r="AI139" s="4920" t="s">
        <v>5400</v>
      </c>
      <c r="AJ139" s="4921" t="s">
        <v>5401</v>
      </c>
      <c r="AK139" s="4920" t="s">
        <v>5402</v>
      </c>
      <c r="AL139" s="4921" t="s">
        <v>5403</v>
      </c>
      <c r="AM139" s="4920" t="s">
        <v>5404</v>
      </c>
      <c r="AN139" s="4922" t="s">
        <v>5405</v>
      </c>
      <c r="AO139" s="4923" t="s">
        <v>5406</v>
      </c>
      <c r="AP139" s="4921" t="s">
        <v>5407</v>
      </c>
      <c r="AQ139" s="1430"/>
    </row>
    <row r="140" spans="1:132" x14ac:dyDescent="0.25">
      <c r="A140" s="7257" t="s">
        <v>4352</v>
      </c>
      <c r="B140" s="9062"/>
      <c r="C140" s="3225" t="s">
        <v>3924</v>
      </c>
      <c r="D140" s="4915" t="s">
        <v>5369</v>
      </c>
      <c r="E140" s="4916" t="s">
        <v>5370</v>
      </c>
      <c r="F140" s="4917" t="s">
        <v>5371</v>
      </c>
      <c r="G140" s="4920" t="s">
        <v>5372</v>
      </c>
      <c r="H140" s="4921" t="s">
        <v>5373</v>
      </c>
      <c r="I140" s="4920" t="s">
        <v>5374</v>
      </c>
      <c r="J140" s="4921" t="s">
        <v>5375</v>
      </c>
      <c r="K140" s="4920" t="s">
        <v>5376</v>
      </c>
      <c r="L140" s="4921" t="s">
        <v>5377</v>
      </c>
      <c r="M140" s="4920" t="s">
        <v>5378</v>
      </c>
      <c r="N140" s="4921" t="s">
        <v>5379</v>
      </c>
      <c r="O140" s="4920" t="s">
        <v>5380</v>
      </c>
      <c r="P140" s="4921" t="s">
        <v>5381</v>
      </c>
      <c r="Q140" s="4920" t="s">
        <v>5382</v>
      </c>
      <c r="R140" s="4921" t="s">
        <v>5383</v>
      </c>
      <c r="S140" s="4920" t="s">
        <v>5384</v>
      </c>
      <c r="T140" s="4921" t="s">
        <v>5385</v>
      </c>
      <c r="U140" s="4920" t="s">
        <v>5386</v>
      </c>
      <c r="V140" s="4921" t="s">
        <v>5387</v>
      </c>
      <c r="W140" s="4920" t="s">
        <v>5388</v>
      </c>
      <c r="X140" s="4921" t="s">
        <v>5389</v>
      </c>
      <c r="Y140" s="4920" t="s">
        <v>5390</v>
      </c>
      <c r="Z140" s="4921" t="s">
        <v>5391</v>
      </c>
      <c r="AA140" s="4920" t="s">
        <v>5392</v>
      </c>
      <c r="AB140" s="4921" t="s">
        <v>5393</v>
      </c>
      <c r="AC140" s="4920" t="s">
        <v>5394</v>
      </c>
      <c r="AD140" s="4921" t="s">
        <v>5395</v>
      </c>
      <c r="AE140" s="4920" t="s">
        <v>5396</v>
      </c>
      <c r="AF140" s="4921" t="s">
        <v>5397</v>
      </c>
      <c r="AG140" s="4920" t="s">
        <v>5398</v>
      </c>
      <c r="AH140" s="4921" t="s">
        <v>5399</v>
      </c>
      <c r="AI140" s="4920" t="s">
        <v>5400</v>
      </c>
      <c r="AJ140" s="4921" t="s">
        <v>5401</v>
      </c>
      <c r="AK140" s="4920" t="s">
        <v>5402</v>
      </c>
      <c r="AL140" s="4921" t="s">
        <v>5403</v>
      </c>
      <c r="AM140" s="4920" t="s">
        <v>5404</v>
      </c>
      <c r="AN140" s="4922" t="s">
        <v>5405</v>
      </c>
      <c r="AO140" s="4923" t="s">
        <v>5406</v>
      </c>
      <c r="AP140" s="4921" t="s">
        <v>5407</v>
      </c>
      <c r="AQ140" s="1430"/>
    </row>
    <row r="141" spans="1:132" x14ac:dyDescent="0.25">
      <c r="A141" s="7257" t="s">
        <v>4353</v>
      </c>
      <c r="B141" s="9062"/>
      <c r="C141" s="3225" t="s">
        <v>3925</v>
      </c>
      <c r="D141" s="4915" t="s">
        <v>5369</v>
      </c>
      <c r="E141" s="4916" t="s">
        <v>5370</v>
      </c>
      <c r="F141" s="4917" t="s">
        <v>5371</v>
      </c>
      <c r="G141" s="4920" t="s">
        <v>5372</v>
      </c>
      <c r="H141" s="4921" t="s">
        <v>5373</v>
      </c>
      <c r="I141" s="4920" t="s">
        <v>5374</v>
      </c>
      <c r="J141" s="4921" t="s">
        <v>5375</v>
      </c>
      <c r="K141" s="4920" t="s">
        <v>5376</v>
      </c>
      <c r="L141" s="4921" t="s">
        <v>5377</v>
      </c>
      <c r="M141" s="4920" t="s">
        <v>5378</v>
      </c>
      <c r="N141" s="4921" t="s">
        <v>5379</v>
      </c>
      <c r="O141" s="4920" t="s">
        <v>5380</v>
      </c>
      <c r="P141" s="4921" t="s">
        <v>5381</v>
      </c>
      <c r="Q141" s="4920" t="s">
        <v>5382</v>
      </c>
      <c r="R141" s="4921" t="s">
        <v>5383</v>
      </c>
      <c r="S141" s="4920" t="s">
        <v>5384</v>
      </c>
      <c r="T141" s="4921" t="s">
        <v>5385</v>
      </c>
      <c r="U141" s="4920" t="s">
        <v>5386</v>
      </c>
      <c r="V141" s="4921" t="s">
        <v>5387</v>
      </c>
      <c r="W141" s="4920" t="s">
        <v>5388</v>
      </c>
      <c r="X141" s="4921" t="s">
        <v>5389</v>
      </c>
      <c r="Y141" s="4920" t="s">
        <v>5390</v>
      </c>
      <c r="Z141" s="4921" t="s">
        <v>5391</v>
      </c>
      <c r="AA141" s="4920" t="s">
        <v>5392</v>
      </c>
      <c r="AB141" s="4921" t="s">
        <v>5393</v>
      </c>
      <c r="AC141" s="4920" t="s">
        <v>5394</v>
      </c>
      <c r="AD141" s="4921" t="s">
        <v>5395</v>
      </c>
      <c r="AE141" s="4920" t="s">
        <v>5396</v>
      </c>
      <c r="AF141" s="4921" t="s">
        <v>5397</v>
      </c>
      <c r="AG141" s="4920" t="s">
        <v>5398</v>
      </c>
      <c r="AH141" s="4921" t="s">
        <v>5399</v>
      </c>
      <c r="AI141" s="4920" t="s">
        <v>5400</v>
      </c>
      <c r="AJ141" s="4921" t="s">
        <v>5401</v>
      </c>
      <c r="AK141" s="4920" t="s">
        <v>5402</v>
      </c>
      <c r="AL141" s="4921" t="s">
        <v>5403</v>
      </c>
      <c r="AM141" s="4920" t="s">
        <v>5404</v>
      </c>
      <c r="AN141" s="4922" t="s">
        <v>5405</v>
      </c>
      <c r="AO141" s="4923" t="s">
        <v>5406</v>
      </c>
      <c r="AP141" s="4921" t="s">
        <v>5407</v>
      </c>
      <c r="AQ141" s="1430"/>
    </row>
    <row r="142" spans="1:132" x14ac:dyDescent="0.25">
      <c r="A142" s="7257" t="s">
        <v>4354</v>
      </c>
      <c r="B142" s="9062"/>
      <c r="C142" s="3225" t="s">
        <v>3926</v>
      </c>
      <c r="D142" s="4915" t="s">
        <v>5369</v>
      </c>
      <c r="E142" s="4916" t="s">
        <v>5370</v>
      </c>
      <c r="F142" s="4917" t="s">
        <v>5371</v>
      </c>
      <c r="G142" s="4925" t="s">
        <v>5372</v>
      </c>
      <c r="H142" s="4926" t="s">
        <v>5373</v>
      </c>
      <c r="I142" s="4925" t="s">
        <v>5374</v>
      </c>
      <c r="J142" s="4926" t="s">
        <v>5375</v>
      </c>
      <c r="K142" s="4925" t="s">
        <v>5376</v>
      </c>
      <c r="L142" s="4926" t="s">
        <v>5377</v>
      </c>
      <c r="M142" s="4925" t="s">
        <v>5378</v>
      </c>
      <c r="N142" s="4926" t="s">
        <v>5379</v>
      </c>
      <c r="O142" s="4925" t="s">
        <v>5380</v>
      </c>
      <c r="P142" s="4926" t="s">
        <v>5381</v>
      </c>
      <c r="Q142" s="4925" t="s">
        <v>5382</v>
      </c>
      <c r="R142" s="4926" t="s">
        <v>5383</v>
      </c>
      <c r="S142" s="4925" t="s">
        <v>5384</v>
      </c>
      <c r="T142" s="4926" t="s">
        <v>5385</v>
      </c>
      <c r="U142" s="4925" t="s">
        <v>5386</v>
      </c>
      <c r="V142" s="4926" t="s">
        <v>5387</v>
      </c>
      <c r="W142" s="4925" t="s">
        <v>5388</v>
      </c>
      <c r="X142" s="4926" t="s">
        <v>5389</v>
      </c>
      <c r="Y142" s="4925" t="s">
        <v>5390</v>
      </c>
      <c r="Z142" s="4926" t="s">
        <v>5391</v>
      </c>
      <c r="AA142" s="4925" t="s">
        <v>5392</v>
      </c>
      <c r="AB142" s="4926" t="s">
        <v>5393</v>
      </c>
      <c r="AC142" s="4925" t="s">
        <v>5394</v>
      </c>
      <c r="AD142" s="4926" t="s">
        <v>5395</v>
      </c>
      <c r="AE142" s="4925" t="s">
        <v>5396</v>
      </c>
      <c r="AF142" s="4926" t="s">
        <v>5397</v>
      </c>
      <c r="AG142" s="4925" t="s">
        <v>5398</v>
      </c>
      <c r="AH142" s="4926" t="s">
        <v>5399</v>
      </c>
      <c r="AI142" s="4925" t="s">
        <v>5400</v>
      </c>
      <c r="AJ142" s="4926" t="s">
        <v>5401</v>
      </c>
      <c r="AK142" s="4925" t="s">
        <v>5402</v>
      </c>
      <c r="AL142" s="4926" t="s">
        <v>5403</v>
      </c>
      <c r="AM142" s="4925" t="s">
        <v>5404</v>
      </c>
      <c r="AN142" s="4927" t="s">
        <v>5405</v>
      </c>
      <c r="AO142" s="4928" t="s">
        <v>5406</v>
      </c>
      <c r="AP142" s="4926" t="s">
        <v>5407</v>
      </c>
      <c r="AQ142" s="1430"/>
    </row>
    <row r="143" spans="1:132" x14ac:dyDescent="0.25">
      <c r="A143" s="7257" t="s">
        <v>4355</v>
      </c>
      <c r="B143" s="9062"/>
      <c r="C143" s="3225" t="s">
        <v>3927</v>
      </c>
      <c r="D143" s="4915" t="s">
        <v>5369</v>
      </c>
      <c r="E143" s="4916" t="s">
        <v>5370</v>
      </c>
      <c r="F143" s="4917" t="s">
        <v>5371</v>
      </c>
      <c r="G143" s="4925" t="s">
        <v>5372</v>
      </c>
      <c r="H143" s="4929" t="s">
        <v>5373</v>
      </c>
      <c r="I143" s="4925" t="s">
        <v>5374</v>
      </c>
      <c r="J143" s="4929" t="s">
        <v>5375</v>
      </c>
      <c r="K143" s="4925" t="s">
        <v>5376</v>
      </c>
      <c r="L143" s="4929" t="s">
        <v>5377</v>
      </c>
      <c r="M143" s="4925" t="s">
        <v>5378</v>
      </c>
      <c r="N143" s="4929" t="s">
        <v>5379</v>
      </c>
      <c r="O143" s="4925" t="s">
        <v>5380</v>
      </c>
      <c r="P143" s="4929" t="s">
        <v>5381</v>
      </c>
      <c r="Q143" s="4925" t="s">
        <v>5382</v>
      </c>
      <c r="R143" s="4929" t="s">
        <v>5383</v>
      </c>
      <c r="S143" s="4925" t="s">
        <v>5384</v>
      </c>
      <c r="T143" s="4929" t="s">
        <v>5385</v>
      </c>
      <c r="U143" s="4925" t="s">
        <v>5386</v>
      </c>
      <c r="V143" s="4929" t="s">
        <v>5387</v>
      </c>
      <c r="W143" s="4925" t="s">
        <v>5388</v>
      </c>
      <c r="X143" s="4929" t="s">
        <v>5389</v>
      </c>
      <c r="Y143" s="4925" t="s">
        <v>5390</v>
      </c>
      <c r="Z143" s="4929" t="s">
        <v>5391</v>
      </c>
      <c r="AA143" s="4925" t="s">
        <v>5392</v>
      </c>
      <c r="AB143" s="4929" t="s">
        <v>5393</v>
      </c>
      <c r="AC143" s="4925" t="s">
        <v>5394</v>
      </c>
      <c r="AD143" s="4929" t="s">
        <v>5395</v>
      </c>
      <c r="AE143" s="4925" t="s">
        <v>5396</v>
      </c>
      <c r="AF143" s="4929" t="s">
        <v>5397</v>
      </c>
      <c r="AG143" s="4925" t="s">
        <v>5398</v>
      </c>
      <c r="AH143" s="4929" t="s">
        <v>5399</v>
      </c>
      <c r="AI143" s="4925" t="s">
        <v>5400</v>
      </c>
      <c r="AJ143" s="4929" t="s">
        <v>5401</v>
      </c>
      <c r="AK143" s="4925" t="s">
        <v>5402</v>
      </c>
      <c r="AL143" s="4929" t="s">
        <v>5403</v>
      </c>
      <c r="AM143" s="4925" t="s">
        <v>5404</v>
      </c>
      <c r="AN143" s="4927" t="s">
        <v>5405</v>
      </c>
      <c r="AO143" s="4928" t="s">
        <v>5406</v>
      </c>
      <c r="AP143" s="4929" t="s">
        <v>5407</v>
      </c>
      <c r="AQ143" s="1430"/>
    </row>
    <row r="144" spans="1:132" x14ac:dyDescent="0.25">
      <c r="A144" s="7257" t="s">
        <v>4356</v>
      </c>
      <c r="B144" s="9063"/>
      <c r="C144" s="3233" t="s">
        <v>3928</v>
      </c>
      <c r="D144" s="4930" t="s">
        <v>5369</v>
      </c>
      <c r="E144" s="4931" t="s">
        <v>5370</v>
      </c>
      <c r="F144" s="4932" t="s">
        <v>5371</v>
      </c>
      <c r="G144" s="4933" t="s">
        <v>5372</v>
      </c>
      <c r="H144" s="3981" t="s">
        <v>5373</v>
      </c>
      <c r="I144" s="4933" t="s">
        <v>5374</v>
      </c>
      <c r="J144" s="3981" t="s">
        <v>5375</v>
      </c>
      <c r="K144" s="4933" t="s">
        <v>5376</v>
      </c>
      <c r="L144" s="3981" t="s">
        <v>5377</v>
      </c>
      <c r="M144" s="4933" t="s">
        <v>5378</v>
      </c>
      <c r="N144" s="3981" t="s">
        <v>5379</v>
      </c>
      <c r="O144" s="4933" t="s">
        <v>5380</v>
      </c>
      <c r="P144" s="3981" t="s">
        <v>5381</v>
      </c>
      <c r="Q144" s="4933" t="s">
        <v>5382</v>
      </c>
      <c r="R144" s="3981" t="s">
        <v>5383</v>
      </c>
      <c r="S144" s="4933" t="s">
        <v>5384</v>
      </c>
      <c r="T144" s="3981" t="s">
        <v>5385</v>
      </c>
      <c r="U144" s="4933" t="s">
        <v>5386</v>
      </c>
      <c r="V144" s="3981" t="s">
        <v>5387</v>
      </c>
      <c r="W144" s="4933" t="s">
        <v>5388</v>
      </c>
      <c r="X144" s="3981" t="s">
        <v>5389</v>
      </c>
      <c r="Y144" s="4933" t="s">
        <v>5390</v>
      </c>
      <c r="Z144" s="3981" t="s">
        <v>5391</v>
      </c>
      <c r="AA144" s="4933" t="s">
        <v>5392</v>
      </c>
      <c r="AB144" s="3981" t="s">
        <v>5393</v>
      </c>
      <c r="AC144" s="4933" t="s">
        <v>5394</v>
      </c>
      <c r="AD144" s="3981" t="s">
        <v>5395</v>
      </c>
      <c r="AE144" s="4933" t="s">
        <v>5396</v>
      </c>
      <c r="AF144" s="3981" t="s">
        <v>5397</v>
      </c>
      <c r="AG144" s="4933" t="s">
        <v>5398</v>
      </c>
      <c r="AH144" s="3981" t="s">
        <v>5399</v>
      </c>
      <c r="AI144" s="4933" t="s">
        <v>5400</v>
      </c>
      <c r="AJ144" s="3981" t="s">
        <v>5401</v>
      </c>
      <c r="AK144" s="4933" t="s">
        <v>5402</v>
      </c>
      <c r="AL144" s="3981" t="s">
        <v>5403</v>
      </c>
      <c r="AM144" s="4933" t="s">
        <v>5404</v>
      </c>
      <c r="AN144" s="4934" t="s">
        <v>5405</v>
      </c>
      <c r="AO144" s="4935" t="s">
        <v>5406</v>
      </c>
      <c r="AP144" s="3981" t="s">
        <v>5407</v>
      </c>
      <c r="AQ144" s="1430"/>
    </row>
    <row r="145" spans="1:109" x14ac:dyDescent="0.25">
      <c r="A145" s="7257" t="s">
        <v>4357</v>
      </c>
      <c r="B145" s="9061" t="s">
        <v>2592</v>
      </c>
      <c r="C145" s="6936" t="s">
        <v>3929</v>
      </c>
      <c r="D145" s="4936" t="s">
        <v>5369</v>
      </c>
      <c r="E145" s="4937" t="s">
        <v>5370</v>
      </c>
      <c r="F145" s="4938" t="s">
        <v>5371</v>
      </c>
      <c r="G145" s="4910" t="s">
        <v>5372</v>
      </c>
      <c r="H145" s="4911" t="s">
        <v>5373</v>
      </c>
      <c r="I145" s="4910" t="s">
        <v>5374</v>
      </c>
      <c r="J145" s="4911" t="s">
        <v>5375</v>
      </c>
      <c r="K145" s="4910" t="s">
        <v>5376</v>
      </c>
      <c r="L145" s="4911" t="s">
        <v>5377</v>
      </c>
      <c r="M145" s="4910" t="s">
        <v>5378</v>
      </c>
      <c r="N145" s="4911" t="s">
        <v>5379</v>
      </c>
      <c r="O145" s="4910" t="s">
        <v>5380</v>
      </c>
      <c r="P145" s="4911" t="s">
        <v>5381</v>
      </c>
      <c r="Q145" s="4910" t="s">
        <v>5382</v>
      </c>
      <c r="R145" s="4911" t="s">
        <v>5383</v>
      </c>
      <c r="S145" s="4910" t="s">
        <v>5384</v>
      </c>
      <c r="T145" s="4911" t="s">
        <v>5385</v>
      </c>
      <c r="U145" s="4910" t="s">
        <v>5386</v>
      </c>
      <c r="V145" s="4911" t="s">
        <v>5387</v>
      </c>
      <c r="W145" s="4910" t="s">
        <v>5388</v>
      </c>
      <c r="X145" s="4911" t="s">
        <v>5389</v>
      </c>
      <c r="Y145" s="4910" t="s">
        <v>5390</v>
      </c>
      <c r="Z145" s="4911" t="s">
        <v>5391</v>
      </c>
      <c r="AA145" s="4910" t="s">
        <v>5392</v>
      </c>
      <c r="AB145" s="4911" t="s">
        <v>5393</v>
      </c>
      <c r="AC145" s="4910" t="s">
        <v>5394</v>
      </c>
      <c r="AD145" s="4911" t="s">
        <v>5395</v>
      </c>
      <c r="AE145" s="4910" t="s">
        <v>5396</v>
      </c>
      <c r="AF145" s="4911" t="s">
        <v>5397</v>
      </c>
      <c r="AG145" s="4910" t="s">
        <v>5398</v>
      </c>
      <c r="AH145" s="4911" t="s">
        <v>5399</v>
      </c>
      <c r="AI145" s="4910" t="s">
        <v>5400</v>
      </c>
      <c r="AJ145" s="4911" t="s">
        <v>5401</v>
      </c>
      <c r="AK145" s="4910" t="s">
        <v>5402</v>
      </c>
      <c r="AL145" s="4911" t="s">
        <v>5403</v>
      </c>
      <c r="AM145" s="4910" t="s">
        <v>5404</v>
      </c>
      <c r="AN145" s="4912" t="s">
        <v>5405</v>
      </c>
      <c r="AO145" s="4913" t="s">
        <v>5406</v>
      </c>
      <c r="AP145" s="4911" t="s">
        <v>5407</v>
      </c>
      <c r="AQ145" s="1430"/>
    </row>
    <row r="146" spans="1:109" x14ac:dyDescent="0.25">
      <c r="A146" s="7257" t="s">
        <v>4358</v>
      </c>
      <c r="B146" s="9062"/>
      <c r="C146" s="3225" t="s">
        <v>3923</v>
      </c>
      <c r="D146" s="4915" t="s">
        <v>5369</v>
      </c>
      <c r="E146" s="4916" t="s">
        <v>5370</v>
      </c>
      <c r="F146" s="4917" t="s">
        <v>5371</v>
      </c>
      <c r="G146" s="4920" t="s">
        <v>5372</v>
      </c>
      <c r="H146" s="4921" t="s">
        <v>5373</v>
      </c>
      <c r="I146" s="4920" t="s">
        <v>5374</v>
      </c>
      <c r="J146" s="4921" t="s">
        <v>5375</v>
      </c>
      <c r="K146" s="4920" t="s">
        <v>5376</v>
      </c>
      <c r="L146" s="4921" t="s">
        <v>5377</v>
      </c>
      <c r="M146" s="4920" t="s">
        <v>5378</v>
      </c>
      <c r="N146" s="4921" t="s">
        <v>5379</v>
      </c>
      <c r="O146" s="4920" t="s">
        <v>5380</v>
      </c>
      <c r="P146" s="4921" t="s">
        <v>5381</v>
      </c>
      <c r="Q146" s="4920" t="s">
        <v>5382</v>
      </c>
      <c r="R146" s="4921" t="s">
        <v>5383</v>
      </c>
      <c r="S146" s="4920" t="s">
        <v>5384</v>
      </c>
      <c r="T146" s="4921" t="s">
        <v>5385</v>
      </c>
      <c r="U146" s="4920" t="s">
        <v>5386</v>
      </c>
      <c r="V146" s="4921" t="s">
        <v>5387</v>
      </c>
      <c r="W146" s="4920" t="s">
        <v>5388</v>
      </c>
      <c r="X146" s="4921" t="s">
        <v>5389</v>
      </c>
      <c r="Y146" s="4920" t="s">
        <v>5390</v>
      </c>
      <c r="Z146" s="4921" t="s">
        <v>5391</v>
      </c>
      <c r="AA146" s="4920" t="s">
        <v>5392</v>
      </c>
      <c r="AB146" s="4921" t="s">
        <v>5393</v>
      </c>
      <c r="AC146" s="4920" t="s">
        <v>5394</v>
      </c>
      <c r="AD146" s="4921" t="s">
        <v>5395</v>
      </c>
      <c r="AE146" s="4920" t="s">
        <v>5396</v>
      </c>
      <c r="AF146" s="4921" t="s">
        <v>5397</v>
      </c>
      <c r="AG146" s="4920" t="s">
        <v>5398</v>
      </c>
      <c r="AH146" s="4921" t="s">
        <v>5399</v>
      </c>
      <c r="AI146" s="4920" t="s">
        <v>5400</v>
      </c>
      <c r="AJ146" s="4921" t="s">
        <v>5401</v>
      </c>
      <c r="AK146" s="4920" t="s">
        <v>5402</v>
      </c>
      <c r="AL146" s="4921" t="s">
        <v>5403</v>
      </c>
      <c r="AM146" s="4920" t="s">
        <v>5404</v>
      </c>
      <c r="AN146" s="4922" t="s">
        <v>5405</v>
      </c>
      <c r="AO146" s="4923" t="s">
        <v>5406</v>
      </c>
      <c r="AP146" s="4921" t="s">
        <v>5407</v>
      </c>
      <c r="AQ146" s="1430"/>
    </row>
    <row r="147" spans="1:109" x14ac:dyDescent="0.25">
      <c r="A147" s="7257" t="s">
        <v>4359</v>
      </c>
      <c r="B147" s="9062"/>
      <c r="C147" s="3225" t="s">
        <v>3924</v>
      </c>
      <c r="D147" s="4915" t="s">
        <v>5369</v>
      </c>
      <c r="E147" s="4916" t="s">
        <v>5370</v>
      </c>
      <c r="F147" s="4917" t="s">
        <v>5371</v>
      </c>
      <c r="G147" s="4920" t="s">
        <v>5372</v>
      </c>
      <c r="H147" s="4921" t="s">
        <v>5373</v>
      </c>
      <c r="I147" s="4920" t="s">
        <v>5374</v>
      </c>
      <c r="J147" s="4921" t="s">
        <v>5375</v>
      </c>
      <c r="K147" s="4920" t="s">
        <v>5376</v>
      </c>
      <c r="L147" s="4921" t="s">
        <v>5377</v>
      </c>
      <c r="M147" s="4920" t="s">
        <v>5378</v>
      </c>
      <c r="N147" s="4921" t="s">
        <v>5379</v>
      </c>
      <c r="O147" s="4920" t="s">
        <v>5380</v>
      </c>
      <c r="P147" s="4921" t="s">
        <v>5381</v>
      </c>
      <c r="Q147" s="4920" t="s">
        <v>5382</v>
      </c>
      <c r="R147" s="4921" t="s">
        <v>5383</v>
      </c>
      <c r="S147" s="4920" t="s">
        <v>5384</v>
      </c>
      <c r="T147" s="4921" t="s">
        <v>5385</v>
      </c>
      <c r="U147" s="4920" t="s">
        <v>5386</v>
      </c>
      <c r="V147" s="4921" t="s">
        <v>5387</v>
      </c>
      <c r="W147" s="4920" t="s">
        <v>5388</v>
      </c>
      <c r="X147" s="4921" t="s">
        <v>5389</v>
      </c>
      <c r="Y147" s="4920" t="s">
        <v>5390</v>
      </c>
      <c r="Z147" s="4921" t="s">
        <v>5391</v>
      </c>
      <c r="AA147" s="4920" t="s">
        <v>5392</v>
      </c>
      <c r="AB147" s="4921" t="s">
        <v>5393</v>
      </c>
      <c r="AC147" s="4920" t="s">
        <v>5394</v>
      </c>
      <c r="AD147" s="4921" t="s">
        <v>5395</v>
      </c>
      <c r="AE147" s="4920" t="s">
        <v>5396</v>
      </c>
      <c r="AF147" s="4921" t="s">
        <v>5397</v>
      </c>
      <c r="AG147" s="4920" t="s">
        <v>5398</v>
      </c>
      <c r="AH147" s="4921" t="s">
        <v>5399</v>
      </c>
      <c r="AI147" s="4920" t="s">
        <v>5400</v>
      </c>
      <c r="AJ147" s="4921" t="s">
        <v>5401</v>
      </c>
      <c r="AK147" s="4920" t="s">
        <v>5402</v>
      </c>
      <c r="AL147" s="4921" t="s">
        <v>5403</v>
      </c>
      <c r="AM147" s="4920" t="s">
        <v>5404</v>
      </c>
      <c r="AN147" s="4922" t="s">
        <v>5405</v>
      </c>
      <c r="AO147" s="4923" t="s">
        <v>5406</v>
      </c>
      <c r="AP147" s="4921" t="s">
        <v>5407</v>
      </c>
      <c r="AQ147" s="1430"/>
    </row>
    <row r="148" spans="1:109" x14ac:dyDescent="0.25">
      <c r="A148" s="7257" t="s">
        <v>4360</v>
      </c>
      <c r="B148" s="9062"/>
      <c r="C148" s="3225" t="s">
        <v>3925</v>
      </c>
      <c r="D148" s="4915" t="s">
        <v>5369</v>
      </c>
      <c r="E148" s="4916" t="s">
        <v>5370</v>
      </c>
      <c r="F148" s="4917" t="s">
        <v>5371</v>
      </c>
      <c r="G148" s="4920" t="s">
        <v>5372</v>
      </c>
      <c r="H148" s="4921" t="s">
        <v>5373</v>
      </c>
      <c r="I148" s="4920" t="s">
        <v>5374</v>
      </c>
      <c r="J148" s="4921" t="s">
        <v>5375</v>
      </c>
      <c r="K148" s="4920" t="s">
        <v>5376</v>
      </c>
      <c r="L148" s="4921" t="s">
        <v>5377</v>
      </c>
      <c r="M148" s="4920" t="s">
        <v>5378</v>
      </c>
      <c r="N148" s="4921" t="s">
        <v>5379</v>
      </c>
      <c r="O148" s="4920" t="s">
        <v>5380</v>
      </c>
      <c r="P148" s="4921" t="s">
        <v>5381</v>
      </c>
      <c r="Q148" s="4920" t="s">
        <v>5382</v>
      </c>
      <c r="R148" s="4921" t="s">
        <v>5383</v>
      </c>
      <c r="S148" s="4920" t="s">
        <v>5384</v>
      </c>
      <c r="T148" s="4921" t="s">
        <v>5385</v>
      </c>
      <c r="U148" s="4920" t="s">
        <v>5386</v>
      </c>
      <c r="V148" s="4921" t="s">
        <v>5387</v>
      </c>
      <c r="W148" s="4920" t="s">
        <v>5388</v>
      </c>
      <c r="X148" s="4921" t="s">
        <v>5389</v>
      </c>
      <c r="Y148" s="4920" t="s">
        <v>5390</v>
      </c>
      <c r="Z148" s="4921" t="s">
        <v>5391</v>
      </c>
      <c r="AA148" s="4920" t="s">
        <v>5392</v>
      </c>
      <c r="AB148" s="4921" t="s">
        <v>5393</v>
      </c>
      <c r="AC148" s="4920" t="s">
        <v>5394</v>
      </c>
      <c r="AD148" s="4921" t="s">
        <v>5395</v>
      </c>
      <c r="AE148" s="4920" t="s">
        <v>5396</v>
      </c>
      <c r="AF148" s="4921" t="s">
        <v>5397</v>
      </c>
      <c r="AG148" s="4920" t="s">
        <v>5398</v>
      </c>
      <c r="AH148" s="4921" t="s">
        <v>5399</v>
      </c>
      <c r="AI148" s="4920" t="s">
        <v>5400</v>
      </c>
      <c r="AJ148" s="4921" t="s">
        <v>5401</v>
      </c>
      <c r="AK148" s="4920" t="s">
        <v>5402</v>
      </c>
      <c r="AL148" s="4921" t="s">
        <v>5403</v>
      </c>
      <c r="AM148" s="4920" t="s">
        <v>5404</v>
      </c>
      <c r="AN148" s="4922" t="s">
        <v>5405</v>
      </c>
      <c r="AO148" s="4923" t="s">
        <v>5406</v>
      </c>
      <c r="AP148" s="4921" t="s">
        <v>5407</v>
      </c>
      <c r="AQ148" s="1430"/>
      <c r="DC148" s="3219">
        <v>0</v>
      </c>
      <c r="DE148" s="3219">
        <v>0</v>
      </c>
    </row>
    <row r="149" spans="1:109" x14ac:dyDescent="0.25">
      <c r="A149" s="7257" t="s">
        <v>4361</v>
      </c>
      <c r="B149" s="9062"/>
      <c r="C149" s="3225" t="s">
        <v>3926</v>
      </c>
      <c r="D149" s="4939" t="s">
        <v>5369</v>
      </c>
      <c r="E149" s="4940" t="s">
        <v>5370</v>
      </c>
      <c r="F149" s="4941" t="s">
        <v>5371</v>
      </c>
      <c r="G149" s="4925" t="s">
        <v>5372</v>
      </c>
      <c r="H149" s="4926" t="s">
        <v>5373</v>
      </c>
      <c r="I149" s="4925" t="s">
        <v>5374</v>
      </c>
      <c r="J149" s="4926" t="s">
        <v>5375</v>
      </c>
      <c r="K149" s="4925" t="s">
        <v>5376</v>
      </c>
      <c r="L149" s="4926" t="s">
        <v>5377</v>
      </c>
      <c r="M149" s="4925" t="s">
        <v>5378</v>
      </c>
      <c r="N149" s="4926" t="s">
        <v>5379</v>
      </c>
      <c r="O149" s="4925" t="s">
        <v>5380</v>
      </c>
      <c r="P149" s="4926" t="s">
        <v>5381</v>
      </c>
      <c r="Q149" s="4925" t="s">
        <v>5382</v>
      </c>
      <c r="R149" s="4926" t="s">
        <v>5383</v>
      </c>
      <c r="S149" s="4925" t="s">
        <v>5384</v>
      </c>
      <c r="T149" s="4926" t="s">
        <v>5385</v>
      </c>
      <c r="U149" s="4925" t="s">
        <v>5386</v>
      </c>
      <c r="V149" s="4926" t="s">
        <v>5387</v>
      </c>
      <c r="W149" s="4925" t="s">
        <v>5388</v>
      </c>
      <c r="X149" s="4926" t="s">
        <v>5389</v>
      </c>
      <c r="Y149" s="4925" t="s">
        <v>5390</v>
      </c>
      <c r="Z149" s="4926" t="s">
        <v>5391</v>
      </c>
      <c r="AA149" s="4925" t="s">
        <v>5392</v>
      </c>
      <c r="AB149" s="4926" t="s">
        <v>5393</v>
      </c>
      <c r="AC149" s="4925" t="s">
        <v>5394</v>
      </c>
      <c r="AD149" s="4926" t="s">
        <v>5395</v>
      </c>
      <c r="AE149" s="4925" t="s">
        <v>5396</v>
      </c>
      <c r="AF149" s="4926" t="s">
        <v>5397</v>
      </c>
      <c r="AG149" s="4925" t="s">
        <v>5398</v>
      </c>
      <c r="AH149" s="4926" t="s">
        <v>5399</v>
      </c>
      <c r="AI149" s="4925" t="s">
        <v>5400</v>
      </c>
      <c r="AJ149" s="4926" t="s">
        <v>5401</v>
      </c>
      <c r="AK149" s="4925" t="s">
        <v>5402</v>
      </c>
      <c r="AL149" s="4926" t="s">
        <v>5403</v>
      </c>
      <c r="AM149" s="4925" t="s">
        <v>5404</v>
      </c>
      <c r="AN149" s="4927" t="s">
        <v>5405</v>
      </c>
      <c r="AO149" s="4928" t="s">
        <v>5406</v>
      </c>
      <c r="AP149" s="4926" t="s">
        <v>5407</v>
      </c>
      <c r="AQ149" s="1430"/>
    </row>
    <row r="150" spans="1:109" x14ac:dyDescent="0.25">
      <c r="A150" s="7257" t="s">
        <v>4362</v>
      </c>
      <c r="B150" s="9063"/>
      <c r="C150" s="3233" t="s">
        <v>3928</v>
      </c>
      <c r="D150" s="4930" t="s">
        <v>5369</v>
      </c>
      <c r="E150" s="4931" t="s">
        <v>5370</v>
      </c>
      <c r="F150" s="4932" t="s">
        <v>5371</v>
      </c>
      <c r="G150" s="4933" t="s">
        <v>5372</v>
      </c>
      <c r="H150" s="3981" t="s">
        <v>5373</v>
      </c>
      <c r="I150" s="4933" t="s">
        <v>5374</v>
      </c>
      <c r="J150" s="3981" t="s">
        <v>5375</v>
      </c>
      <c r="K150" s="4933" t="s">
        <v>5376</v>
      </c>
      <c r="L150" s="3981" t="s">
        <v>5377</v>
      </c>
      <c r="M150" s="4933" t="s">
        <v>5378</v>
      </c>
      <c r="N150" s="3981" t="s">
        <v>5379</v>
      </c>
      <c r="O150" s="4933" t="s">
        <v>5380</v>
      </c>
      <c r="P150" s="3981" t="s">
        <v>5381</v>
      </c>
      <c r="Q150" s="4933" t="s">
        <v>5382</v>
      </c>
      <c r="R150" s="3981" t="s">
        <v>5383</v>
      </c>
      <c r="S150" s="4933" t="s">
        <v>5384</v>
      </c>
      <c r="T150" s="3981" t="s">
        <v>5385</v>
      </c>
      <c r="U150" s="4933" t="s">
        <v>5386</v>
      </c>
      <c r="V150" s="3981" t="s">
        <v>5387</v>
      </c>
      <c r="W150" s="4933" t="s">
        <v>5388</v>
      </c>
      <c r="X150" s="3981" t="s">
        <v>5389</v>
      </c>
      <c r="Y150" s="4933" t="s">
        <v>5390</v>
      </c>
      <c r="Z150" s="3981" t="s">
        <v>5391</v>
      </c>
      <c r="AA150" s="4933" t="s">
        <v>5392</v>
      </c>
      <c r="AB150" s="3981" t="s">
        <v>5393</v>
      </c>
      <c r="AC150" s="4933" t="s">
        <v>5394</v>
      </c>
      <c r="AD150" s="3981" t="s">
        <v>5395</v>
      </c>
      <c r="AE150" s="4933" t="s">
        <v>5396</v>
      </c>
      <c r="AF150" s="3981" t="s">
        <v>5397</v>
      </c>
      <c r="AG150" s="4933" t="s">
        <v>5398</v>
      </c>
      <c r="AH150" s="3981" t="s">
        <v>5399</v>
      </c>
      <c r="AI150" s="4933" t="s">
        <v>5400</v>
      </c>
      <c r="AJ150" s="3981" t="s">
        <v>5401</v>
      </c>
      <c r="AK150" s="4933" t="s">
        <v>5402</v>
      </c>
      <c r="AL150" s="3981" t="s">
        <v>5403</v>
      </c>
      <c r="AM150" s="4933" t="s">
        <v>5404</v>
      </c>
      <c r="AN150" s="4934" t="s">
        <v>5405</v>
      </c>
      <c r="AO150" s="4935" t="s">
        <v>5406</v>
      </c>
      <c r="AP150" s="3981" t="s">
        <v>5407</v>
      </c>
      <c r="AQ150" s="1430"/>
    </row>
    <row r="151" spans="1:109" ht="14.4" x14ac:dyDescent="0.3">
      <c r="B151" s="133" t="s">
        <v>3762</v>
      </c>
      <c r="C151" s="827"/>
      <c r="D151" s="827"/>
      <c r="E151" s="827"/>
      <c r="F151" s="827"/>
      <c r="G151" s="827"/>
      <c r="H151" s="827"/>
      <c r="I151" s="827"/>
      <c r="J151" s="827"/>
      <c r="K151" s="827"/>
      <c r="L151" s="827"/>
      <c r="M151" s="827"/>
      <c r="N151" s="827"/>
      <c r="O151" s="827"/>
      <c r="P151" s="827"/>
      <c r="Q151" s="1192"/>
    </row>
    <row r="152" spans="1:109" x14ac:dyDescent="0.25">
      <c r="B152" s="9064" t="s">
        <v>3763</v>
      </c>
      <c r="C152" s="9066" t="s">
        <v>24</v>
      </c>
      <c r="D152" s="9068" t="s">
        <v>540</v>
      </c>
      <c r="E152" s="9069"/>
      <c r="F152" s="9069"/>
      <c r="G152" s="9069"/>
      <c r="H152" s="9069"/>
      <c r="I152" s="9069"/>
      <c r="J152" s="9069"/>
      <c r="K152" s="9069"/>
      <c r="L152" s="9069"/>
      <c r="M152" s="9069"/>
      <c r="N152" s="9069"/>
      <c r="O152" s="9069"/>
      <c r="P152" s="9069"/>
      <c r="Q152" s="9069"/>
      <c r="R152" s="9069"/>
      <c r="S152" s="9069"/>
      <c r="T152" s="9070"/>
      <c r="U152" s="9071" t="s">
        <v>362</v>
      </c>
      <c r="V152" s="9072" t="s">
        <v>361</v>
      </c>
    </row>
    <row r="153" spans="1:109" x14ac:dyDescent="0.25">
      <c r="B153" s="9065"/>
      <c r="C153" s="9067"/>
      <c r="D153" s="6809" t="s">
        <v>1416</v>
      </c>
      <c r="E153" s="6810" t="s">
        <v>1415</v>
      </c>
      <c r="F153" s="6810" t="s">
        <v>48</v>
      </c>
      <c r="G153" s="6810" t="s">
        <v>33</v>
      </c>
      <c r="H153" s="6810" t="s">
        <v>50</v>
      </c>
      <c r="I153" s="6810" t="s">
        <v>115</v>
      </c>
      <c r="J153" s="6810" t="s">
        <v>3481</v>
      </c>
      <c r="K153" s="6810" t="s">
        <v>117</v>
      </c>
      <c r="L153" s="6810" t="s">
        <v>3483</v>
      </c>
      <c r="M153" s="6810" t="s">
        <v>119</v>
      </c>
      <c r="N153" s="6810" t="s">
        <v>3764</v>
      </c>
      <c r="O153" s="6810" t="s">
        <v>1414</v>
      </c>
      <c r="P153" s="6810" t="s">
        <v>1406</v>
      </c>
      <c r="Q153" s="6810" t="s">
        <v>1397</v>
      </c>
      <c r="R153" s="6810" t="s">
        <v>1396</v>
      </c>
      <c r="S153" s="6810" t="s">
        <v>1395</v>
      </c>
      <c r="T153" s="6808" t="s">
        <v>3765</v>
      </c>
      <c r="U153" s="9071"/>
      <c r="V153" s="9072"/>
    </row>
    <row r="154" spans="1:109" ht="21" x14ac:dyDescent="0.25">
      <c r="A154" s="7278" t="s">
        <v>4363</v>
      </c>
      <c r="B154" s="6811" t="s">
        <v>3930</v>
      </c>
      <c r="C154" s="6812" t="s">
        <v>5369</v>
      </c>
      <c r="D154" s="3158" t="s">
        <v>5370</v>
      </c>
      <c r="E154" s="2828" t="s">
        <v>5371</v>
      </c>
      <c r="F154" s="2828" t="s">
        <v>5372</v>
      </c>
      <c r="G154" s="2828" t="s">
        <v>5373</v>
      </c>
      <c r="H154" s="2828" t="s">
        <v>5374</v>
      </c>
      <c r="I154" s="2828" t="s">
        <v>5375</v>
      </c>
      <c r="J154" s="2828" t="s">
        <v>5376</v>
      </c>
      <c r="K154" s="2828" t="s">
        <v>5377</v>
      </c>
      <c r="L154" s="2828" t="s">
        <v>5378</v>
      </c>
      <c r="M154" s="2828" t="s">
        <v>5379</v>
      </c>
      <c r="N154" s="2828" t="s">
        <v>5380</v>
      </c>
      <c r="O154" s="2828" t="s">
        <v>5381</v>
      </c>
      <c r="P154" s="2828" t="s">
        <v>5382</v>
      </c>
      <c r="Q154" s="2828" t="s">
        <v>5383</v>
      </c>
      <c r="R154" s="2828" t="s">
        <v>5384</v>
      </c>
      <c r="S154" s="2828" t="s">
        <v>5385</v>
      </c>
      <c r="T154" s="2484" t="s">
        <v>5386</v>
      </c>
      <c r="U154" s="2477" t="s">
        <v>5387</v>
      </c>
      <c r="V154" s="3236" t="s">
        <v>5388</v>
      </c>
      <c r="W154" s="1430"/>
      <c r="DB154" s="3219">
        <v>0</v>
      </c>
      <c r="DC154" s="3219">
        <v>0</v>
      </c>
      <c r="DD154" s="3219">
        <v>0</v>
      </c>
      <c r="DE154" s="3219">
        <v>0</v>
      </c>
    </row>
    <row r="157" spans="1:109" x14ac:dyDescent="0.25">
      <c r="A157" s="165" t="s">
        <v>4068</v>
      </c>
    </row>
    <row r="158" spans="1:109" x14ac:dyDescent="0.25">
      <c r="A158" s="7259" t="s">
        <v>4293</v>
      </c>
    </row>
    <row r="159" spans="1:109" x14ac:dyDescent="0.25">
      <c r="A159" s="7259" t="s">
        <v>4310</v>
      </c>
    </row>
    <row r="160" spans="1:109" x14ac:dyDescent="0.25">
      <c r="A160" s="7259" t="s">
        <v>4311</v>
      </c>
    </row>
    <row r="161" spans="1:131" x14ac:dyDescent="0.25">
      <c r="A161" s="7259" t="s">
        <v>4312</v>
      </c>
    </row>
    <row r="162" spans="1:131" x14ac:dyDescent="0.25">
      <c r="A162" s="7259" t="s">
        <v>4313</v>
      </c>
    </row>
    <row r="163" spans="1:131" x14ac:dyDescent="0.25">
      <c r="A163" s="7259" t="s">
        <v>4314</v>
      </c>
    </row>
    <row r="164" spans="1:131" x14ac:dyDescent="0.25">
      <c r="A164" s="7259" t="s">
        <v>4315</v>
      </c>
    </row>
    <row r="165" spans="1:131" x14ac:dyDescent="0.25">
      <c r="A165" s="7259" t="s">
        <v>4316</v>
      </c>
    </row>
    <row r="166" spans="1:131" hidden="1" x14ac:dyDescent="0.25">
      <c r="A166" s="7259" t="s">
        <v>4317</v>
      </c>
    </row>
    <row r="167" spans="1:131" hidden="1" x14ac:dyDescent="0.25">
      <c r="A167" s="7259" t="s">
        <v>4342</v>
      </c>
    </row>
    <row r="168" spans="1:131" s="1418" customFormat="1" ht="18.75" hidden="1" customHeight="1" x14ac:dyDescent="0.25">
      <c r="A168" s="7259" t="s">
        <v>4343</v>
      </c>
      <c r="B168" s="165"/>
      <c r="C168" s="165"/>
      <c r="D168" s="165"/>
      <c r="E168" s="165"/>
      <c r="F168" s="165"/>
      <c r="G168" s="165"/>
      <c r="H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65"/>
      <c r="AF168" s="165"/>
      <c r="AG168" s="165"/>
      <c r="AH168" s="165"/>
      <c r="AI168" s="165"/>
      <c r="AJ168" s="165"/>
      <c r="AK168" s="165"/>
      <c r="AL168" s="165"/>
      <c r="AM168" s="165"/>
      <c r="AN168" s="165"/>
      <c r="AO168" s="165"/>
      <c r="AP168" s="165"/>
      <c r="AQ168" s="165"/>
      <c r="BW168" s="290"/>
      <c r="BX168" s="290"/>
      <c r="BY168" s="290"/>
      <c r="BZ168" s="290"/>
      <c r="CA168" s="290"/>
      <c r="CB168" s="1429"/>
      <c r="CC168" s="1429"/>
      <c r="CD168" s="1429"/>
      <c r="CE168" s="1429"/>
      <c r="CF168" s="1429"/>
      <c r="CG168" s="1429"/>
      <c r="CH168" s="1429"/>
      <c r="CI168" s="1429"/>
      <c r="CJ168" s="1429"/>
      <c r="CK168" s="1429"/>
      <c r="CL168" s="1429"/>
      <c r="CM168" s="1429"/>
      <c r="CN168" s="1429"/>
      <c r="CO168" s="1429"/>
      <c r="CP168" s="1429"/>
      <c r="CQ168" s="1429"/>
      <c r="CR168" s="1429"/>
      <c r="CS168" s="1429"/>
      <c r="CT168" s="1429"/>
      <c r="CU168" s="1429"/>
      <c r="CV168" s="1429"/>
      <c r="CW168" s="1429"/>
      <c r="CX168" s="1429"/>
      <c r="CY168" s="1429"/>
      <c r="CZ168" s="1429"/>
      <c r="DA168" s="1429"/>
      <c r="DB168" s="3219"/>
      <c r="DC168" s="3219"/>
      <c r="DD168" s="3219"/>
      <c r="DE168" s="3219"/>
      <c r="DF168" s="3219"/>
      <c r="DG168" s="3219"/>
      <c r="DH168" s="3219"/>
      <c r="DI168" s="3219"/>
      <c r="DJ168" s="3219"/>
      <c r="DK168" s="3219"/>
      <c r="DL168" s="3219"/>
      <c r="DM168" s="3219"/>
      <c r="DN168" s="3219"/>
      <c r="DO168" s="3219"/>
      <c r="DP168" s="3219"/>
      <c r="DQ168" s="3219"/>
      <c r="DR168" s="3219"/>
      <c r="DS168" s="3219"/>
      <c r="DT168" s="3219"/>
      <c r="DU168" s="3219"/>
      <c r="DV168" s="3219"/>
      <c r="DW168" s="3219"/>
      <c r="DX168" s="3219"/>
      <c r="DY168" s="3219"/>
      <c r="DZ168" s="3219"/>
      <c r="EA168" s="3219"/>
    </row>
    <row r="169" spans="1:131" hidden="1" x14ac:dyDescent="0.25">
      <c r="A169" s="7259" t="s">
        <v>4344</v>
      </c>
    </row>
    <row r="170" spans="1:131" hidden="1" x14ac:dyDescent="0.25"/>
    <row r="172" spans="1:131" x14ac:dyDescent="0.25">
      <c r="A172" s="165" t="s">
        <v>4069</v>
      </c>
    </row>
    <row r="173" spans="1:131" x14ac:dyDescent="0.25">
      <c r="A173" s="7662" t="s">
        <v>5069</v>
      </c>
    </row>
    <row r="174" spans="1:131" x14ac:dyDescent="0.25">
      <c r="A174" s="7662" t="s">
        <v>5070</v>
      </c>
    </row>
    <row r="175" spans="1:131" s="290" customFormat="1" x14ac:dyDescent="0.25">
      <c r="A175" s="7662" t="s">
        <v>5071</v>
      </c>
      <c r="CB175" s="1438"/>
      <c r="CC175" s="1438"/>
      <c r="CD175" s="1438"/>
      <c r="CE175" s="1438"/>
      <c r="CF175" s="1438"/>
      <c r="CG175" s="1438"/>
      <c r="CH175" s="1438"/>
      <c r="CI175" s="1438"/>
      <c r="CJ175" s="1438"/>
      <c r="CK175" s="1438"/>
      <c r="CL175" s="1438"/>
      <c r="CM175" s="1438"/>
      <c r="CN175" s="1438"/>
      <c r="CO175" s="1438"/>
      <c r="CP175" s="1438"/>
      <c r="CQ175" s="1438"/>
      <c r="CR175" s="1438"/>
      <c r="CS175" s="1438"/>
      <c r="CT175" s="1438"/>
      <c r="CU175" s="1438"/>
      <c r="CV175" s="1438"/>
      <c r="CW175" s="1438"/>
      <c r="CX175" s="1438"/>
      <c r="CY175" s="1438"/>
      <c r="CZ175" s="1438"/>
      <c r="DA175" s="1438"/>
      <c r="DB175" s="1438"/>
      <c r="DC175" s="1438"/>
      <c r="DD175" s="1438"/>
      <c r="DE175" s="1438"/>
      <c r="DF175" s="1438"/>
      <c r="DG175" s="1438"/>
      <c r="DH175" s="1438"/>
      <c r="DI175" s="1438"/>
      <c r="DJ175" s="1438"/>
      <c r="DK175" s="1438"/>
      <c r="DL175" s="1438"/>
      <c r="DM175" s="1438"/>
      <c r="DN175" s="1438"/>
      <c r="DO175" s="1438"/>
      <c r="DP175" s="1438"/>
      <c r="DQ175" s="1438"/>
      <c r="DR175" s="1438"/>
      <c r="DS175" s="1438"/>
      <c r="DT175" s="1438"/>
      <c r="DU175" s="1438"/>
      <c r="DV175" s="1438"/>
      <c r="DW175" s="1438"/>
      <c r="DX175" s="1438"/>
      <c r="DY175" s="1438"/>
      <c r="DZ175" s="1438"/>
      <c r="EA175" s="1438"/>
    </row>
    <row r="176" spans="1:131" x14ac:dyDescent="0.25">
      <c r="A176" s="7662" t="s">
        <v>5072</v>
      </c>
    </row>
    <row r="177" spans="1:18" x14ac:dyDescent="0.25">
      <c r="A177" s="7662" t="s">
        <v>5073</v>
      </c>
    </row>
    <row r="186" spans="1:18" hidden="1" x14ac:dyDescent="0.25">
      <c r="B186" s="1418">
        <f>SUM(C12:E12,C31:E45,C49:C50,C55,C58,C63:C64,C67:C74,C78,D83:D86,C91:C95,C97:C99,C107,C111:N113,C118:C120,D124:D132)</f>
        <v>0</v>
      </c>
      <c r="C186" s="1418">
        <f>SUM(DB13:EA154)</f>
        <v>4</v>
      </c>
      <c r="D186" s="1418"/>
      <c r="E186" s="1418"/>
      <c r="F186" s="1418"/>
      <c r="G186" s="1418"/>
      <c r="H186" s="1418"/>
      <c r="I186" s="1418"/>
      <c r="J186" s="1418"/>
      <c r="K186" s="1418"/>
      <c r="L186" s="1418"/>
      <c r="M186" s="1418"/>
      <c r="N186" s="1418"/>
      <c r="O186" s="1418"/>
      <c r="P186" s="1418"/>
      <c r="Q186" s="1418"/>
      <c r="R186" s="1418"/>
    </row>
  </sheetData>
  <protectedRanges>
    <protectedRange sqref="C67:C74" name="Rango2"/>
  </protectedRanges>
  <mergeCells count="201">
    <mergeCell ref="B137:B144"/>
    <mergeCell ref="B145:B150"/>
    <mergeCell ref="B152:B153"/>
    <mergeCell ref="C152:C153"/>
    <mergeCell ref="D152:T152"/>
    <mergeCell ref="U152:U153"/>
    <mergeCell ref="V152:V153"/>
    <mergeCell ref="B134:B136"/>
    <mergeCell ref="C134:C136"/>
    <mergeCell ref="D134:D136"/>
    <mergeCell ref="E134:E136"/>
    <mergeCell ref="F134:F136"/>
    <mergeCell ref="G134:AN134"/>
    <mergeCell ref="AO134:AO136"/>
    <mergeCell ref="AP134:AP136"/>
    <mergeCell ref="G135:H135"/>
    <mergeCell ref="I135:J135"/>
    <mergeCell ref="K135:L135"/>
    <mergeCell ref="M135:N135"/>
    <mergeCell ref="O135:P135"/>
    <mergeCell ref="Q135:R135"/>
    <mergeCell ref="S135:T135"/>
    <mergeCell ref="U135:V135"/>
    <mergeCell ref="W135:X135"/>
    <mergeCell ref="Y135:Z135"/>
    <mergeCell ref="AA135:AB135"/>
    <mergeCell ref="AC135:AD135"/>
    <mergeCell ref="AE135:AF135"/>
    <mergeCell ref="AG135:AH135"/>
    <mergeCell ref="AI135:AJ135"/>
    <mergeCell ref="AK135:AL135"/>
    <mergeCell ref="AM135:AN135"/>
    <mergeCell ref="J122:J123"/>
    <mergeCell ref="AO80:AO82"/>
    <mergeCell ref="AR115:AR117"/>
    <mergeCell ref="AS115:AS117"/>
    <mergeCell ref="D109:M109"/>
    <mergeCell ref="N109:N110"/>
    <mergeCell ref="B129:B132"/>
    <mergeCell ref="B109:B110"/>
    <mergeCell ref="C109:C110"/>
    <mergeCell ref="B124:B126"/>
    <mergeCell ref="B127:B128"/>
    <mergeCell ref="E122:I122"/>
    <mergeCell ref="K122:K123"/>
    <mergeCell ref="L122:L123"/>
    <mergeCell ref="D122:D123"/>
    <mergeCell ref="B122:C123"/>
    <mergeCell ref="B115:B117"/>
    <mergeCell ref="C115:E116"/>
    <mergeCell ref="B84:B85"/>
    <mergeCell ref="D88:D89"/>
    <mergeCell ref="E88:E89"/>
    <mergeCell ref="F88:F89"/>
    <mergeCell ref="G88:G89"/>
    <mergeCell ref="B90:G90"/>
    <mergeCell ref="B96:G96"/>
    <mergeCell ref="B100:G100"/>
    <mergeCell ref="B101:B103"/>
    <mergeCell ref="C101:E102"/>
    <mergeCell ref="F101:G102"/>
    <mergeCell ref="B88:B89"/>
    <mergeCell ref="C88:C89"/>
    <mergeCell ref="B80:B82"/>
    <mergeCell ref="C80:C82"/>
    <mergeCell ref="D80:F81"/>
    <mergeCell ref="G80:AJ80"/>
    <mergeCell ref="O101:P102"/>
    <mergeCell ref="B47:B48"/>
    <mergeCell ref="C47:C48"/>
    <mergeCell ref="D47:G47"/>
    <mergeCell ref="H47:K47"/>
    <mergeCell ref="N47:N48"/>
    <mergeCell ref="F53:F54"/>
    <mergeCell ref="I53:I54"/>
    <mergeCell ref="AK80:AK82"/>
    <mergeCell ref="Y81:Z81"/>
    <mergeCell ref="AA81:AB81"/>
    <mergeCell ref="AC81:AD81"/>
    <mergeCell ref="AE81:AF81"/>
    <mergeCell ref="AG81:AH81"/>
    <mergeCell ref="G81:H81"/>
    <mergeCell ref="I81:J81"/>
    <mergeCell ref="K81:L81"/>
    <mergeCell ref="M81:N81"/>
    <mergeCell ref="O81:P81"/>
    <mergeCell ref="Q81:R81"/>
    <mergeCell ref="S81:T81"/>
    <mergeCell ref="U81:V81"/>
    <mergeCell ref="W81:X81"/>
    <mergeCell ref="B76:B77"/>
    <mergeCell ref="C76:C77"/>
    <mergeCell ref="B52:B54"/>
    <mergeCell ref="C52:E53"/>
    <mergeCell ref="B79:H79"/>
    <mergeCell ref="L53:L54"/>
    <mergeCell ref="M53:M54"/>
    <mergeCell ref="N53:N54"/>
    <mergeCell ref="O53:O54"/>
    <mergeCell ref="P53:P54"/>
    <mergeCell ref="Q53:Q54"/>
    <mergeCell ref="AN29:AO29"/>
    <mergeCell ref="AJ29:AK29"/>
    <mergeCell ref="AL29:AM29"/>
    <mergeCell ref="AB29:AC29"/>
    <mergeCell ref="AD29:AE29"/>
    <mergeCell ref="AF29:AG29"/>
    <mergeCell ref="AH29:AI29"/>
    <mergeCell ref="B28:B30"/>
    <mergeCell ref="C28:E29"/>
    <mergeCell ref="AN80:AN82"/>
    <mergeCell ref="D76:T76"/>
    <mergeCell ref="J101:K102"/>
    <mergeCell ref="H101:I102"/>
    <mergeCell ref="L101:L103"/>
    <mergeCell ref="M101:N102"/>
    <mergeCell ref="G53:G54"/>
    <mergeCell ref="H53:H54"/>
    <mergeCell ref="B6:X6"/>
    <mergeCell ref="B9:B11"/>
    <mergeCell ref="C9:E10"/>
    <mergeCell ref="F9:AO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Z10:AA10"/>
    <mergeCell ref="AL80:AL82"/>
    <mergeCell ref="AS28:AS30"/>
    <mergeCell ref="AP9:AP11"/>
    <mergeCell ref="F28:AO28"/>
    <mergeCell ref="AP28:AP30"/>
    <mergeCell ref="T29:U29"/>
    <mergeCell ref="V29:W29"/>
    <mergeCell ref="X29:Y29"/>
    <mergeCell ref="F29:G29"/>
    <mergeCell ref="Z29:AA29"/>
    <mergeCell ref="H29:I29"/>
    <mergeCell ref="J29:K29"/>
    <mergeCell ref="L29:M29"/>
    <mergeCell ref="N29:O29"/>
    <mergeCell ref="P29:Q29"/>
    <mergeCell ref="R29:S29"/>
    <mergeCell ref="AS9:AS11"/>
    <mergeCell ref="AN10:AO10"/>
    <mergeCell ref="AB10:AC10"/>
    <mergeCell ref="AD10:AE10"/>
    <mergeCell ref="AF10:AG10"/>
    <mergeCell ref="AH10:AI10"/>
    <mergeCell ref="AJ10:AK10"/>
    <mergeCell ref="AL10:AM10"/>
    <mergeCell ref="AQ28:AQ30"/>
    <mergeCell ref="AH116:AI116"/>
    <mergeCell ref="AJ116:AK116"/>
    <mergeCell ref="L47:L48"/>
    <mergeCell ref="M47:M48"/>
    <mergeCell ref="X52:X54"/>
    <mergeCell ref="Y52:Y54"/>
    <mergeCell ref="AM80:AM82"/>
    <mergeCell ref="J53:J54"/>
    <mergeCell ref="V53:V54"/>
    <mergeCell ref="W53:W54"/>
    <mergeCell ref="K53:K54"/>
    <mergeCell ref="S53:S54"/>
    <mergeCell ref="T53:T54"/>
    <mergeCell ref="U53:U54"/>
    <mergeCell ref="AI81:AJ81"/>
    <mergeCell ref="AL116:AM116"/>
    <mergeCell ref="U76:U77"/>
    <mergeCell ref="V76:V77"/>
    <mergeCell ref="R53:R54"/>
    <mergeCell ref="AN116:AO116"/>
    <mergeCell ref="F115:AO115"/>
    <mergeCell ref="AT28:AT30"/>
    <mergeCell ref="AQ9:AQ11"/>
    <mergeCell ref="AR9:AR11"/>
    <mergeCell ref="AR28:AR30"/>
    <mergeCell ref="AT9:AT11"/>
    <mergeCell ref="F52:W52"/>
    <mergeCell ref="AP115:AP117"/>
    <mergeCell ref="AQ115:AQ117"/>
    <mergeCell ref="F116:G116"/>
    <mergeCell ref="H116:I116"/>
    <mergeCell ref="J116:K116"/>
    <mergeCell ref="L116:M116"/>
    <mergeCell ref="N116:O116"/>
    <mergeCell ref="P116:Q116"/>
    <mergeCell ref="R116:S116"/>
    <mergeCell ref="T116:U116"/>
    <mergeCell ref="V116:W116"/>
    <mergeCell ref="X116:Y116"/>
    <mergeCell ref="Z116:AA116"/>
    <mergeCell ref="AB116:AC116"/>
    <mergeCell ref="AD116:AE116"/>
    <mergeCell ref="AF116:AG116"/>
  </mergeCells>
  <conditionalFormatting sqref="A12:A26">
    <cfRule type="duplicateValues" dxfId="21" priority="9"/>
  </conditionalFormatting>
  <conditionalFormatting sqref="A31:A45">
    <cfRule type="duplicateValues" dxfId="20" priority="8"/>
  </conditionalFormatting>
  <conditionalFormatting sqref="A49:A60">
    <cfRule type="duplicateValues" dxfId="19" priority="7"/>
  </conditionalFormatting>
  <conditionalFormatting sqref="A63:A74">
    <cfRule type="duplicateValues" dxfId="18" priority="6"/>
  </conditionalFormatting>
  <conditionalFormatting sqref="A78:A99">
    <cfRule type="duplicateValues" dxfId="17" priority="5"/>
  </conditionalFormatting>
  <conditionalFormatting sqref="A104:A120">
    <cfRule type="duplicateValues" dxfId="16" priority="4"/>
  </conditionalFormatting>
  <conditionalFormatting sqref="A124:A132">
    <cfRule type="duplicateValues" dxfId="15" priority="3"/>
  </conditionalFormatting>
  <conditionalFormatting sqref="A137:A154">
    <cfRule type="duplicateValues" dxfId="14" priority="2"/>
  </conditionalFormatting>
  <conditionalFormatting sqref="A173:A177">
    <cfRule type="duplicateValues" dxfId="13" priority="1"/>
  </conditionalFormatting>
  <dataValidations count="1">
    <dataValidation operator="greaterThanOrEqual" allowBlank="1" showInputMessage="1" showErrorMessage="1" errorTitle="Error" error="Favor Ingrese sólo Números." sqref="A1:XFD1048576" xr:uid="{DCA3782E-E968-489C-A443-D605C22FC084}"/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EA444"/>
  <sheetViews>
    <sheetView showGridLines="0" zoomScaleNormal="100" workbookViewId="0"/>
  </sheetViews>
  <sheetFormatPr baseColWidth="10" defaultColWidth="11.44140625" defaultRowHeight="13.8" x14ac:dyDescent="0.25"/>
  <cols>
    <col min="1" max="1" width="16.5546875" style="4258" customWidth="1"/>
    <col min="2" max="2" width="31.5546875" style="4258" customWidth="1"/>
    <col min="3" max="3" width="37.44140625" style="4258" customWidth="1"/>
    <col min="4" max="4" width="12.109375" style="4258" customWidth="1"/>
    <col min="5" max="14" width="11.44140625" style="4258"/>
    <col min="15" max="15" width="12.6640625" style="4258" customWidth="1"/>
    <col min="16" max="17" width="11.44140625" style="4258"/>
    <col min="18" max="18" width="11.5546875" style="4258" customWidth="1"/>
    <col min="19" max="19" width="12.88671875" style="4258" customWidth="1"/>
    <col min="20" max="20" width="11.44140625" style="4258"/>
    <col min="21" max="21" width="10.88671875" style="4258" customWidth="1"/>
    <col min="22" max="22" width="12.44140625" style="4258" customWidth="1"/>
    <col min="23" max="23" width="12.33203125" style="4258" customWidth="1"/>
    <col min="24" max="24" width="11.44140625" style="4258"/>
    <col min="25" max="25" width="13" style="4258" customWidth="1"/>
    <col min="26" max="35" width="11.44140625" style="4258"/>
    <col min="36" max="36" width="10.6640625" style="4258" customWidth="1"/>
    <col min="37" max="37" width="11.5546875" style="4258" customWidth="1"/>
    <col min="38" max="38" width="10.44140625" style="4258" customWidth="1"/>
    <col min="39" max="46" width="11.44140625" style="4258"/>
    <col min="47" max="47" width="11.109375" style="4258" customWidth="1"/>
    <col min="48" max="49" width="11.44140625" style="4258"/>
    <col min="50" max="50" width="12.5546875" style="4258" customWidth="1"/>
    <col min="51" max="51" width="12.5546875" style="4470" customWidth="1"/>
    <col min="52" max="53" width="11.44140625" style="4470"/>
    <col min="54" max="67" width="11.44140625" style="4258"/>
    <col min="68" max="73" width="11.44140625" style="4258" customWidth="1"/>
    <col min="74" max="78" width="11.6640625" style="4258" customWidth="1"/>
    <col min="79" max="79" width="11.109375" style="4258" customWidth="1"/>
    <col min="80" max="105" width="11.109375" style="4295" hidden="1" customWidth="1"/>
    <col min="106" max="131" width="11.44140625" style="5899" hidden="1" customWidth="1"/>
    <col min="132" max="16384" width="11.44140625" style="4258"/>
  </cols>
  <sheetData>
    <row r="1" spans="1:115" ht="16.350000000000001" customHeight="1" x14ac:dyDescent="0.25">
      <c r="B1" s="3807" t="s">
        <v>207</v>
      </c>
    </row>
    <row r="2" spans="1:115" ht="16.350000000000001" customHeight="1" x14ac:dyDescent="0.25">
      <c r="B2" s="3807" t="str">
        <f>CONCATENATE("COMUNA: ",NOMBRE!B2," - ","( ",NOMBRE!C2,NOMBRE!D2,NOMBRE!E2,NOMBRE!F2,NOMBRE!G2," )")</f>
        <v>COMUNA:  - (  )</v>
      </c>
    </row>
    <row r="3" spans="1:115" ht="16.350000000000001" customHeight="1" x14ac:dyDescent="0.25">
      <c r="B3" s="3807" t="str">
        <f>CONCATENATE("ESTABLECIMIENTO/ESTRATEGIA: ",NOMBRE!B3," - ","( ",NOMBRE!C3,NOMBRE!D3,NOMBRE!E3,NOMBRE!F3,NOMBRE!G3,NOMBRE!H3," )")</f>
        <v>ESTABLECIMIENTO/ESTRATEGIA:  - (  )</v>
      </c>
    </row>
    <row r="4" spans="1:115" ht="16.350000000000001" customHeight="1" x14ac:dyDescent="0.25">
      <c r="B4" s="3807" t="str">
        <f>CONCATENATE("MES: ",NOMBRE!B6," - ","( ",NOMBRE!C6,NOMBRE!D6," )")</f>
        <v>MES:  - (  )</v>
      </c>
      <c r="AF4" s="6178"/>
      <c r="AG4" s="6178"/>
      <c r="AH4" s="6178"/>
      <c r="AI4" s="6178"/>
      <c r="AJ4" s="6178"/>
      <c r="AK4" s="6178"/>
      <c r="AL4" s="6178"/>
      <c r="AM4" s="6178"/>
      <c r="AN4" s="6178"/>
      <c r="AO4" s="6178"/>
      <c r="AP4" s="6178"/>
      <c r="AQ4" s="6178"/>
      <c r="AR4" s="6178"/>
      <c r="AS4" s="6178"/>
      <c r="AT4" s="6178"/>
      <c r="AU4" s="6178"/>
      <c r="AV4" s="6178"/>
      <c r="AW4" s="6178"/>
      <c r="AX4" s="6178"/>
    </row>
    <row r="5" spans="1:115" ht="16.350000000000001" customHeight="1" x14ac:dyDescent="0.25">
      <c r="B5" s="3807" t="str">
        <f>CONCATENATE("AÑO: ",NOMBRE!B7)</f>
        <v>AÑO: 2023</v>
      </c>
      <c r="AF5" s="6178"/>
      <c r="AG5" s="6178"/>
      <c r="AH5" s="6178"/>
      <c r="AI5" s="6178"/>
      <c r="AJ5" s="6178"/>
      <c r="AK5" s="6178"/>
      <c r="AL5" s="6178"/>
      <c r="AM5" s="6178"/>
      <c r="AN5" s="6178"/>
      <c r="AO5" s="6178"/>
      <c r="AP5" s="6178"/>
      <c r="AQ5" s="6178"/>
      <c r="AR5" s="6178"/>
      <c r="AS5" s="6178"/>
      <c r="AT5" s="6178"/>
      <c r="AU5" s="6178"/>
      <c r="AV5" s="6178"/>
      <c r="AW5" s="6178"/>
      <c r="AX5" s="6178"/>
    </row>
    <row r="6" spans="1:115" ht="16.2" x14ac:dyDescent="0.25">
      <c r="B6" s="9268" t="s">
        <v>895</v>
      </c>
      <c r="C6" s="9268"/>
      <c r="D6" s="9268"/>
      <c r="E6" s="9268"/>
      <c r="F6" s="9268"/>
      <c r="G6" s="9268"/>
      <c r="H6" s="9268"/>
      <c r="I6" s="9268"/>
      <c r="J6" s="9268"/>
      <c r="K6" s="9268"/>
      <c r="L6" s="9268"/>
      <c r="M6" s="9268"/>
      <c r="N6" s="9268"/>
      <c r="O6" s="9268"/>
      <c r="P6" s="9268"/>
      <c r="Q6" s="9268"/>
      <c r="R6" s="4265"/>
      <c r="S6" s="4265"/>
      <c r="T6" s="4265"/>
      <c r="U6" s="4265"/>
      <c r="V6" s="4265"/>
      <c r="W6" s="4265"/>
      <c r="X6" s="3807"/>
      <c r="Y6" s="4979"/>
      <c r="Z6" s="4979"/>
      <c r="AA6" s="4979"/>
      <c r="AB6" s="4979"/>
      <c r="AC6" s="4979"/>
      <c r="AD6" s="4979"/>
      <c r="AE6" s="4979"/>
      <c r="AF6" s="6179"/>
      <c r="AG6" s="6179"/>
      <c r="AH6" s="6179"/>
      <c r="AI6" s="6179"/>
      <c r="AJ6" s="6179"/>
      <c r="AK6" s="6179"/>
      <c r="AL6" s="6179"/>
      <c r="AM6" s="6179"/>
      <c r="AN6" s="6179"/>
      <c r="AO6" s="6179"/>
      <c r="AP6" s="6179"/>
      <c r="AQ6" s="6179"/>
      <c r="AR6" s="6179"/>
      <c r="AS6" s="6179"/>
      <c r="AT6" s="6179"/>
      <c r="AU6" s="6179"/>
      <c r="AV6" s="6179"/>
      <c r="AW6" s="6179"/>
      <c r="AX6" s="6178"/>
    </row>
    <row r="7" spans="1:115" ht="16.2" x14ac:dyDescent="0.3">
      <c r="B7" s="5838"/>
      <c r="C7" s="5838"/>
      <c r="D7" s="3804"/>
      <c r="E7" s="3804"/>
      <c r="F7" s="3804"/>
      <c r="G7" s="3804"/>
      <c r="H7" s="3804"/>
      <c r="I7" s="3804"/>
      <c r="J7" s="3804"/>
      <c r="K7" s="3804"/>
      <c r="L7" s="3804"/>
      <c r="M7" s="3804"/>
      <c r="N7" s="3804"/>
      <c r="O7" s="3804"/>
      <c r="P7" s="3804"/>
      <c r="Q7" s="3804"/>
      <c r="R7" s="4265"/>
      <c r="S7" s="4265"/>
      <c r="T7" s="4265"/>
      <c r="U7" s="4265"/>
      <c r="V7" s="4265"/>
      <c r="W7" s="4265"/>
      <c r="X7" s="3807"/>
      <c r="Y7" s="4979"/>
      <c r="Z7" s="4979"/>
      <c r="AA7" s="4979"/>
      <c r="AB7" s="4979"/>
      <c r="AC7" s="4979"/>
      <c r="AD7" s="4979"/>
      <c r="AE7" s="4979"/>
      <c r="AF7" s="6179"/>
      <c r="AG7" s="6179"/>
      <c r="AH7" s="6179"/>
      <c r="AI7" s="6179"/>
      <c r="AJ7" s="6179"/>
      <c r="AK7" s="6179"/>
      <c r="AL7" s="6179"/>
      <c r="AM7" s="6179"/>
      <c r="AN7" s="6179"/>
      <c r="AO7" s="6179"/>
      <c r="AP7" s="6179"/>
      <c r="AQ7" s="6179"/>
      <c r="AR7" s="6179"/>
      <c r="AS7" s="6179"/>
      <c r="AT7" s="6179"/>
      <c r="AU7" s="6179"/>
      <c r="AV7" s="6179"/>
      <c r="AW7" s="6179"/>
      <c r="AX7" s="6178"/>
    </row>
    <row r="8" spans="1:115" ht="31.35" customHeight="1" x14ac:dyDescent="0.25">
      <c r="B8" s="4268" t="s">
        <v>894</v>
      </c>
      <c r="C8" s="3940"/>
      <c r="D8" s="3940"/>
      <c r="E8" s="3940"/>
      <c r="F8" s="3940"/>
      <c r="G8" s="3940"/>
      <c r="H8" s="3940"/>
      <c r="I8" s="3940"/>
      <c r="J8" s="3940"/>
      <c r="R8" s="4264"/>
      <c r="S8" s="4264"/>
      <c r="T8" s="4264"/>
      <c r="U8" s="4264"/>
      <c r="V8" s="4264"/>
      <c r="W8" s="4264"/>
      <c r="X8" s="4264"/>
      <c r="Y8" s="5168"/>
      <c r="Z8" s="5168"/>
      <c r="AA8" s="5168"/>
      <c r="AB8" s="5168"/>
      <c r="AC8" s="5168"/>
      <c r="AD8" s="5168"/>
      <c r="AE8" s="4979"/>
      <c r="AF8" s="6179"/>
      <c r="AG8" s="6179"/>
      <c r="AH8" s="6179"/>
      <c r="AI8" s="6179"/>
      <c r="AJ8" s="6179"/>
      <c r="AK8" s="6179"/>
      <c r="AL8" s="6179"/>
      <c r="AM8" s="6179"/>
      <c r="AN8" s="6179"/>
      <c r="AO8" s="6179"/>
      <c r="AP8" s="6179"/>
      <c r="AQ8" s="6179"/>
      <c r="AR8" s="6179"/>
      <c r="AS8" s="6179"/>
      <c r="AT8" s="6179"/>
      <c r="AU8" s="6179"/>
      <c r="AV8" s="6179"/>
      <c r="AW8" s="6179"/>
      <c r="AX8" s="6178"/>
    </row>
    <row r="9" spans="1:115" ht="16.350000000000001" customHeight="1" x14ac:dyDescent="0.25">
      <c r="B9" s="9090" t="s">
        <v>805</v>
      </c>
      <c r="C9" s="9091"/>
      <c r="D9" s="9079" t="s">
        <v>1</v>
      </c>
      <c r="E9" s="9261" t="s">
        <v>55</v>
      </c>
      <c r="F9" s="9262"/>
      <c r="G9" s="9262"/>
      <c r="H9" s="9262"/>
      <c r="I9" s="9262"/>
      <c r="J9" s="9262"/>
      <c r="K9" s="9262"/>
      <c r="L9" s="9262"/>
      <c r="M9" s="9262"/>
      <c r="N9" s="9263"/>
      <c r="O9" s="9079" t="s">
        <v>3969</v>
      </c>
      <c r="P9" s="9079" t="s">
        <v>362</v>
      </c>
      <c r="Q9" s="9079" t="s">
        <v>361</v>
      </c>
      <c r="R9" s="9079" t="s">
        <v>3970</v>
      </c>
      <c r="S9" s="9079" t="s">
        <v>3971</v>
      </c>
      <c r="T9" s="4234"/>
      <c r="U9" s="4234"/>
      <c r="V9" s="4234"/>
      <c r="W9" s="5168"/>
      <c r="X9" s="5168"/>
      <c r="Y9" s="5168"/>
      <c r="Z9" s="5168"/>
      <c r="AA9" s="5168"/>
      <c r="AB9" s="5168"/>
      <c r="AC9" s="5168"/>
      <c r="AD9" s="4979"/>
      <c r="AE9" s="4979"/>
      <c r="AF9" s="6179"/>
      <c r="AG9" s="6179"/>
      <c r="AH9" s="6179"/>
      <c r="AI9" s="6179"/>
      <c r="AJ9" s="6179"/>
      <c r="AK9" s="6179"/>
      <c r="AL9" s="6179"/>
      <c r="AM9" s="6179"/>
      <c r="AN9" s="6179"/>
      <c r="AO9" s="6179"/>
      <c r="AP9" s="6180"/>
      <c r="AQ9" s="6180"/>
      <c r="AR9" s="6180"/>
      <c r="AS9" s="6180"/>
      <c r="AT9" s="6180"/>
      <c r="AU9" s="6180"/>
      <c r="AV9" s="6180"/>
      <c r="AW9" s="6180"/>
      <c r="AX9" s="6178"/>
      <c r="BZ9" s="4259"/>
    </row>
    <row r="10" spans="1:115" ht="25.35" customHeight="1" x14ac:dyDescent="0.25">
      <c r="B10" s="9122"/>
      <c r="C10" s="9116"/>
      <c r="D10" s="9080"/>
      <c r="E10" s="6181" t="s">
        <v>3545</v>
      </c>
      <c r="F10" s="5367" t="s">
        <v>80</v>
      </c>
      <c r="G10" s="5367" t="s">
        <v>81</v>
      </c>
      <c r="H10" s="5367" t="s">
        <v>82</v>
      </c>
      <c r="I10" s="5367" t="s">
        <v>83</v>
      </c>
      <c r="J10" s="5367" t="s">
        <v>400</v>
      </c>
      <c r="K10" s="5367" t="s">
        <v>124</v>
      </c>
      <c r="L10" s="5367" t="s">
        <v>125</v>
      </c>
      <c r="M10" s="5367" t="s">
        <v>126</v>
      </c>
      <c r="N10" s="6632" t="s">
        <v>1303</v>
      </c>
      <c r="O10" s="9080"/>
      <c r="P10" s="9080"/>
      <c r="Q10" s="9080"/>
      <c r="R10" s="9080"/>
      <c r="S10" s="9080"/>
      <c r="T10" s="4234"/>
      <c r="U10" s="6182"/>
      <c r="V10" s="4234"/>
      <c r="W10" s="4234"/>
      <c r="X10" s="4234"/>
      <c r="Y10" s="4234"/>
      <c r="Z10" s="4234"/>
      <c r="AA10" s="4234"/>
      <c r="AB10" s="4234"/>
      <c r="AC10" s="4234"/>
      <c r="AD10" s="3940"/>
      <c r="AE10" s="3940"/>
      <c r="AF10" s="6183"/>
      <c r="AG10" s="6183"/>
      <c r="AH10" s="6183"/>
      <c r="AI10" s="6183"/>
      <c r="AJ10" s="6183"/>
      <c r="AK10" s="6183"/>
      <c r="AL10" s="6183"/>
      <c r="AM10" s="6183"/>
      <c r="AN10" s="6183"/>
      <c r="AO10" s="6184"/>
      <c r="AP10" s="6184"/>
      <c r="AQ10" s="6184"/>
      <c r="AR10" s="6184"/>
      <c r="AS10" s="6184"/>
      <c r="AT10" s="6184"/>
      <c r="AU10" s="6184"/>
      <c r="AV10" s="6184"/>
      <c r="AW10" s="6184"/>
      <c r="AX10" s="6178"/>
      <c r="BZ10" s="4259"/>
    </row>
    <row r="11" spans="1:115" ht="16.350000000000001" customHeight="1" x14ac:dyDescent="0.25">
      <c r="A11" s="7257" t="s">
        <v>4364</v>
      </c>
      <c r="B11" s="9269" t="s">
        <v>893</v>
      </c>
      <c r="C11" s="9269"/>
      <c r="D11" s="6185" t="s">
        <v>5369</v>
      </c>
      <c r="E11" s="6186" t="s">
        <v>5370</v>
      </c>
      <c r="F11" s="6187" t="s">
        <v>5371</v>
      </c>
      <c r="G11" s="6187" t="s">
        <v>5372</v>
      </c>
      <c r="H11" s="6187" t="s">
        <v>5373</v>
      </c>
      <c r="I11" s="6187" t="s">
        <v>5374</v>
      </c>
      <c r="J11" s="6187" t="s">
        <v>5375</v>
      </c>
      <c r="K11" s="6187" t="s">
        <v>5376</v>
      </c>
      <c r="L11" s="6187" t="s">
        <v>5377</v>
      </c>
      <c r="M11" s="6188" t="s">
        <v>5378</v>
      </c>
      <c r="N11" s="6189" t="s">
        <v>5379</v>
      </c>
      <c r="O11" s="6190" t="s">
        <v>5380</v>
      </c>
      <c r="P11" s="6190" t="s">
        <v>5381</v>
      </c>
      <c r="Q11" s="6190" t="s">
        <v>5382</v>
      </c>
      <c r="R11" s="6190" t="s">
        <v>5383</v>
      </c>
      <c r="S11" s="6190" t="s">
        <v>5462</v>
      </c>
      <c r="T11" s="5717"/>
      <c r="U11" s="4291"/>
      <c r="V11" s="4291"/>
      <c r="W11" s="4291"/>
      <c r="X11" s="4291"/>
      <c r="Y11" s="4291"/>
      <c r="Z11" s="4291"/>
      <c r="AA11" s="4291"/>
      <c r="AB11" s="4291"/>
      <c r="AC11" s="4234"/>
      <c r="AD11" s="3940"/>
      <c r="AE11" s="3940"/>
      <c r="AF11" s="6183"/>
      <c r="AG11" s="6183"/>
      <c r="AH11" s="6183"/>
      <c r="AI11" s="6183"/>
      <c r="AJ11" s="6183"/>
      <c r="AK11" s="6184"/>
      <c r="AL11" s="6184"/>
      <c r="AM11" s="6184"/>
      <c r="AN11" s="6184"/>
      <c r="AO11" s="6184"/>
      <c r="AP11" s="6184"/>
      <c r="AQ11" s="6184"/>
      <c r="AR11" s="6184"/>
      <c r="AS11" s="6184"/>
      <c r="AT11" s="6184"/>
      <c r="AU11" s="6184"/>
      <c r="AV11" s="6184"/>
      <c r="AW11" s="6184"/>
      <c r="AX11" s="6178"/>
      <c r="BZ11" s="4259"/>
      <c r="CB11" s="4295" t="s">
        <v>5435</v>
      </c>
      <c r="CD11" s="4295" t="s">
        <v>5459</v>
      </c>
      <c r="CF11" s="4295" t="s">
        <v>5436</v>
      </c>
      <c r="CH11" s="4295" t="s">
        <v>5460</v>
      </c>
      <c r="CJ11" s="4295" t="s">
        <v>5461</v>
      </c>
      <c r="DB11" s="5899">
        <v>1</v>
      </c>
      <c r="DC11" s="5899">
        <v>0</v>
      </c>
      <c r="DD11" s="5899">
        <v>1</v>
      </c>
      <c r="DE11" s="5899">
        <v>0</v>
      </c>
      <c r="DF11" s="5899">
        <v>1</v>
      </c>
      <c r="DG11" s="5899">
        <v>0</v>
      </c>
      <c r="DH11" s="5899">
        <v>1</v>
      </c>
      <c r="DI11" s="5899">
        <v>0</v>
      </c>
      <c r="DJ11" s="5899">
        <v>1</v>
      </c>
      <c r="DK11" s="5899">
        <v>0</v>
      </c>
    </row>
    <row r="12" spans="1:115" ht="16.350000000000001" customHeight="1" x14ac:dyDescent="0.25">
      <c r="A12" s="7257" t="s">
        <v>4365</v>
      </c>
      <c r="B12" s="9272" t="s">
        <v>892</v>
      </c>
      <c r="C12" s="9272"/>
      <c r="D12" s="6192" t="s">
        <v>5369</v>
      </c>
      <c r="E12" s="4369" t="s">
        <v>5370</v>
      </c>
      <c r="F12" s="4370" t="s">
        <v>5371</v>
      </c>
      <c r="G12" s="4370" t="s">
        <v>5372</v>
      </c>
      <c r="H12" s="4370" t="s">
        <v>5373</v>
      </c>
      <c r="I12" s="4370" t="s">
        <v>5374</v>
      </c>
      <c r="J12" s="4370" t="s">
        <v>5375</v>
      </c>
      <c r="K12" s="4370" t="s">
        <v>5376</v>
      </c>
      <c r="L12" s="4370" t="s">
        <v>5377</v>
      </c>
      <c r="M12" s="4371" t="s">
        <v>5378</v>
      </c>
      <c r="N12" s="6193" t="s">
        <v>5379</v>
      </c>
      <c r="O12" s="4457" t="s">
        <v>5380</v>
      </c>
      <c r="P12" s="4457" t="s">
        <v>5381</v>
      </c>
      <c r="Q12" s="4457" t="s">
        <v>5382</v>
      </c>
      <c r="R12" s="4457" t="s">
        <v>5383</v>
      </c>
      <c r="S12" s="4457" t="s">
        <v>5384</v>
      </c>
      <c r="T12" s="5717"/>
      <c r="U12" s="4291"/>
      <c r="V12" s="4291"/>
      <c r="W12" s="4291"/>
      <c r="X12" s="4291"/>
      <c r="Y12" s="4291"/>
      <c r="Z12" s="4291"/>
      <c r="AA12" s="4291"/>
      <c r="AB12" s="4291"/>
      <c r="AC12" s="4234"/>
      <c r="AD12" s="3940"/>
      <c r="AE12" s="3940"/>
      <c r="AF12" s="6183"/>
      <c r="AG12" s="6183"/>
      <c r="AH12" s="6183"/>
      <c r="AI12" s="6183"/>
      <c r="AJ12" s="6183"/>
      <c r="AK12" s="6184"/>
      <c r="AL12" s="6184"/>
      <c r="AM12" s="6184"/>
      <c r="AN12" s="6184"/>
      <c r="AO12" s="6183"/>
      <c r="AP12" s="6183"/>
      <c r="AQ12" s="6184"/>
      <c r="AR12" s="6184"/>
      <c r="AS12" s="6184"/>
      <c r="AT12" s="6184"/>
      <c r="AU12" s="6184"/>
      <c r="AV12" s="6184"/>
      <c r="AW12" s="6184"/>
      <c r="AX12" s="6178"/>
      <c r="BZ12" s="4259"/>
      <c r="DC12" s="5899">
        <v>0</v>
      </c>
      <c r="DE12" s="5899">
        <v>0</v>
      </c>
      <c r="DG12" s="5899">
        <v>0</v>
      </c>
      <c r="DI12" s="5899">
        <v>0</v>
      </c>
      <c r="DK12" s="5899">
        <v>0</v>
      </c>
    </row>
    <row r="13" spans="1:115" ht="16.5" customHeight="1" x14ac:dyDescent="0.25">
      <c r="A13" s="7257" t="s">
        <v>4366</v>
      </c>
      <c r="B13" s="9099" t="s">
        <v>891</v>
      </c>
      <c r="C13" s="9097"/>
      <c r="D13" s="6192" t="s">
        <v>5369</v>
      </c>
      <c r="E13" s="4369" t="s">
        <v>5370</v>
      </c>
      <c r="F13" s="4370" t="s">
        <v>5371</v>
      </c>
      <c r="G13" s="4370" t="s">
        <v>5372</v>
      </c>
      <c r="H13" s="4370" t="s">
        <v>5373</v>
      </c>
      <c r="I13" s="4370" t="s">
        <v>5374</v>
      </c>
      <c r="J13" s="4370" t="s">
        <v>5375</v>
      </c>
      <c r="K13" s="4370" t="s">
        <v>5376</v>
      </c>
      <c r="L13" s="4370" t="s">
        <v>5377</v>
      </c>
      <c r="M13" s="4371" t="s">
        <v>5378</v>
      </c>
      <c r="N13" s="6193" t="s">
        <v>5379</v>
      </c>
      <c r="O13" s="4457" t="s">
        <v>5380</v>
      </c>
      <c r="P13" s="4457" t="s">
        <v>5381</v>
      </c>
      <c r="Q13" s="4457" t="s">
        <v>5382</v>
      </c>
      <c r="R13" s="4457" t="s">
        <v>5383</v>
      </c>
      <c r="S13" s="4457" t="s">
        <v>5384</v>
      </c>
      <c r="T13" s="5717"/>
      <c r="U13" s="4291"/>
      <c r="V13" s="4291"/>
      <c r="W13" s="4291"/>
      <c r="X13" s="4291"/>
      <c r="Y13" s="4291"/>
      <c r="Z13" s="4291"/>
      <c r="AA13" s="4291"/>
      <c r="AB13" s="4291"/>
      <c r="AC13" s="4234"/>
      <c r="AD13" s="3940"/>
      <c r="AE13" s="3940"/>
      <c r="AF13" s="6183"/>
      <c r="AG13" s="6183"/>
      <c r="AH13" s="6183"/>
      <c r="AI13" s="6183"/>
      <c r="AJ13" s="6183"/>
      <c r="AK13" s="6184"/>
      <c r="AL13" s="6184"/>
      <c r="AM13" s="6184"/>
      <c r="AN13" s="6184"/>
      <c r="AO13" s="6183"/>
      <c r="AP13" s="6183"/>
      <c r="AQ13" s="6183"/>
      <c r="AR13" s="6184"/>
      <c r="AS13" s="6184"/>
      <c r="AT13" s="6184"/>
      <c r="AU13" s="6184"/>
      <c r="AV13" s="6184"/>
      <c r="AW13" s="6184"/>
      <c r="AX13" s="6178"/>
      <c r="BZ13" s="4259"/>
      <c r="DC13" s="5899">
        <v>0</v>
      </c>
      <c r="DE13" s="5899">
        <v>0</v>
      </c>
      <c r="DG13" s="5899">
        <v>0</v>
      </c>
    </row>
    <row r="14" spans="1:115" ht="16.350000000000001" customHeight="1" x14ac:dyDescent="0.25">
      <c r="A14" s="7257" t="s">
        <v>4367</v>
      </c>
      <c r="B14" s="9273" t="s">
        <v>890</v>
      </c>
      <c r="C14" s="9274"/>
      <c r="D14" s="6194" t="s">
        <v>5369</v>
      </c>
      <c r="E14" s="4933" t="s">
        <v>5370</v>
      </c>
      <c r="F14" s="3926" t="s">
        <v>5371</v>
      </c>
      <c r="G14" s="3926" t="s">
        <v>5372</v>
      </c>
      <c r="H14" s="3926" t="s">
        <v>5373</v>
      </c>
      <c r="I14" s="3926" t="s">
        <v>5374</v>
      </c>
      <c r="J14" s="3926" t="s">
        <v>5375</v>
      </c>
      <c r="K14" s="3926" t="s">
        <v>5376</v>
      </c>
      <c r="L14" s="3926" t="s">
        <v>5377</v>
      </c>
      <c r="M14" s="5729" t="s">
        <v>5378</v>
      </c>
      <c r="N14" s="4422" t="s">
        <v>5379</v>
      </c>
      <c r="O14" s="5895" t="s">
        <v>5380</v>
      </c>
      <c r="P14" s="5895" t="s">
        <v>5381</v>
      </c>
      <c r="Q14" s="5895" t="s">
        <v>5382</v>
      </c>
      <c r="R14" s="5895" t="s">
        <v>5383</v>
      </c>
      <c r="S14" s="5895" t="s">
        <v>5384</v>
      </c>
      <c r="T14" s="5717"/>
      <c r="U14" s="4291"/>
      <c r="V14" s="4291"/>
      <c r="W14" s="4291"/>
      <c r="X14" s="4291"/>
      <c r="Y14" s="4291"/>
      <c r="Z14" s="4291"/>
      <c r="AA14" s="4291"/>
      <c r="AB14" s="4291"/>
      <c r="AC14" s="4234"/>
      <c r="AD14" s="3940"/>
      <c r="AE14" s="3940"/>
      <c r="AF14" s="6183"/>
      <c r="AG14" s="6183"/>
      <c r="AH14" s="6183"/>
      <c r="AI14" s="6183"/>
      <c r="AJ14" s="6183"/>
      <c r="AK14" s="6183"/>
      <c r="AL14" s="6183"/>
      <c r="AM14" s="6183"/>
      <c r="AN14" s="6183"/>
      <c r="AO14" s="6184"/>
      <c r="AP14" s="6184"/>
      <c r="AQ14" s="6184"/>
      <c r="AR14" s="6184"/>
      <c r="AS14" s="6184"/>
      <c r="AT14" s="6184"/>
      <c r="AU14" s="6184"/>
      <c r="AV14" s="6184"/>
      <c r="AW14" s="6184"/>
      <c r="AX14" s="6178"/>
      <c r="BZ14" s="4259"/>
      <c r="DC14" s="5899">
        <v>0</v>
      </c>
      <c r="DE14" s="5899">
        <v>0</v>
      </c>
      <c r="DG14" s="5899">
        <v>0</v>
      </c>
    </row>
    <row r="15" spans="1:115" ht="31.35" customHeight="1" x14ac:dyDescent="0.25">
      <c r="A15" s="7280"/>
      <c r="B15" s="4268" t="s">
        <v>889</v>
      </c>
      <c r="C15" s="4268"/>
      <c r="D15" s="4268"/>
      <c r="E15" s="4268"/>
      <c r="F15" s="4268"/>
      <c r="G15" s="4268"/>
      <c r="H15" s="4268"/>
      <c r="I15" s="4268"/>
      <c r="J15" s="4268"/>
      <c r="K15" s="4268"/>
      <c r="L15" s="4268"/>
      <c r="M15" s="4268"/>
      <c r="N15" s="4268"/>
      <c r="O15" s="4268"/>
      <c r="P15" s="3940"/>
      <c r="Q15" s="3940"/>
      <c r="R15" s="4234"/>
      <c r="S15" s="4234"/>
      <c r="T15" s="4234"/>
      <c r="U15" s="4234"/>
      <c r="V15" s="4234"/>
      <c r="W15" s="4234"/>
      <c r="X15" s="4234"/>
      <c r="Y15" s="4234"/>
      <c r="Z15" s="4234"/>
      <c r="AA15" s="4234"/>
      <c r="AB15" s="4234"/>
      <c r="AC15" s="4234"/>
      <c r="AD15" s="4234"/>
      <c r="AE15" s="3940"/>
      <c r="AF15" s="6183"/>
      <c r="AG15" s="6183"/>
      <c r="AH15" s="6183"/>
      <c r="AI15" s="6183"/>
      <c r="AJ15" s="6183"/>
      <c r="AK15" s="6183"/>
      <c r="AL15" s="6183"/>
      <c r="AM15" s="6183"/>
      <c r="AN15" s="6183"/>
      <c r="AO15" s="6183"/>
      <c r="AP15" s="6183"/>
      <c r="AQ15" s="6183"/>
      <c r="AR15" s="6183"/>
      <c r="AS15" s="6183"/>
      <c r="AT15" s="6183"/>
      <c r="AU15" s="6183"/>
      <c r="AV15" s="6183"/>
      <c r="AW15" s="6183"/>
      <c r="AX15" s="6178"/>
    </row>
    <row r="16" spans="1:115" ht="16.350000000000001" customHeight="1" x14ac:dyDescent="0.25">
      <c r="A16" s="7280"/>
      <c r="B16" s="9090" t="s">
        <v>888</v>
      </c>
      <c r="C16" s="9091"/>
      <c r="D16" s="9253" t="s">
        <v>887</v>
      </c>
      <c r="E16" s="9255" t="s">
        <v>886</v>
      </c>
      <c r="F16" s="9255" t="s">
        <v>362</v>
      </c>
      <c r="G16" s="8636" t="s">
        <v>361</v>
      </c>
      <c r="H16" s="3940"/>
      <c r="I16" s="3940"/>
      <c r="J16" s="3940"/>
      <c r="K16" s="3940"/>
      <c r="L16" s="3940"/>
      <c r="M16" s="3940"/>
      <c r="N16" s="3940"/>
      <c r="O16" s="3940"/>
      <c r="P16" s="3940"/>
      <c r="Q16" s="3940"/>
      <c r="R16" s="4234"/>
      <c r="S16" s="4234"/>
      <c r="T16" s="4234"/>
      <c r="U16" s="4234"/>
      <c r="V16" s="4234"/>
      <c r="W16" s="4234"/>
      <c r="X16" s="4234"/>
      <c r="Y16" s="4234"/>
      <c r="Z16" s="4234"/>
      <c r="AA16" s="4234"/>
      <c r="AB16" s="4234"/>
      <c r="AC16" s="4234"/>
      <c r="AD16" s="4234"/>
      <c r="AE16" s="3940"/>
      <c r="AF16" s="6183"/>
      <c r="AG16" s="6184"/>
      <c r="AH16" s="6184"/>
      <c r="AI16" s="6184"/>
      <c r="AJ16" s="6184"/>
      <c r="AK16" s="6184"/>
      <c r="AL16" s="6184"/>
      <c r="AM16" s="6184"/>
      <c r="AN16" s="6184"/>
      <c r="AO16" s="6184"/>
      <c r="AP16" s="6184"/>
      <c r="AQ16" s="6184"/>
      <c r="AR16" s="6184"/>
      <c r="AS16" s="6184"/>
      <c r="AT16" s="6184"/>
      <c r="AU16" s="6184"/>
      <c r="AV16" s="6184"/>
      <c r="AW16" s="6184"/>
      <c r="AX16" s="6178"/>
    </row>
    <row r="17" spans="1:111" ht="25.35" customHeight="1" x14ac:dyDescent="0.25">
      <c r="A17" s="7280"/>
      <c r="B17" s="9122"/>
      <c r="C17" s="9116"/>
      <c r="D17" s="9254"/>
      <c r="E17" s="9256"/>
      <c r="F17" s="9256"/>
      <c r="G17" s="9156"/>
      <c r="H17" s="4234"/>
      <c r="I17" s="4234"/>
      <c r="J17" s="4234"/>
      <c r="K17" s="4234"/>
      <c r="L17" s="4234"/>
      <c r="M17" s="4234"/>
      <c r="N17" s="4234"/>
      <c r="O17" s="4234"/>
      <c r="P17" s="4234"/>
      <c r="Q17" s="4234"/>
      <c r="R17" s="4234"/>
      <c r="S17" s="4234"/>
      <c r="T17" s="4234"/>
      <c r="U17" s="4234"/>
      <c r="V17" s="4234"/>
      <c r="W17" s="4234"/>
      <c r="X17" s="4234"/>
      <c r="Y17" s="4234"/>
      <c r="Z17" s="4234"/>
      <c r="AA17" s="4234"/>
      <c r="AB17" s="4234"/>
      <c r="AC17" s="4234"/>
      <c r="AD17" s="4234"/>
      <c r="AE17" s="3940"/>
      <c r="AF17" s="6183"/>
      <c r="AG17" s="6184"/>
      <c r="AH17" s="6184"/>
      <c r="AI17" s="6184"/>
      <c r="AJ17" s="6184"/>
      <c r="AK17" s="6184"/>
      <c r="AL17" s="6184"/>
      <c r="AM17" s="6184"/>
      <c r="AN17" s="6184"/>
      <c r="AO17" s="6184"/>
      <c r="AP17" s="6184"/>
      <c r="AQ17" s="6184"/>
      <c r="AR17" s="6184"/>
      <c r="AS17" s="6184"/>
      <c r="AT17" s="6184"/>
      <c r="AU17" s="6184"/>
      <c r="AV17" s="6184"/>
      <c r="AW17" s="6184"/>
      <c r="AX17" s="6178"/>
    </row>
    <row r="18" spans="1:111" ht="16.350000000000001" customHeight="1" x14ac:dyDescent="0.25">
      <c r="A18" s="7257" t="s">
        <v>4368</v>
      </c>
      <c r="B18" s="9270" t="s">
        <v>885</v>
      </c>
      <c r="C18" s="9271"/>
      <c r="D18" s="5983" t="s">
        <v>5369</v>
      </c>
      <c r="E18" s="6195" t="s">
        <v>5370</v>
      </c>
      <c r="F18" s="6195" t="s">
        <v>5371</v>
      </c>
      <c r="G18" s="3955" t="s">
        <v>5465</v>
      </c>
      <c r="H18" s="6196"/>
      <c r="I18" s="4291"/>
      <c r="J18" s="4291"/>
      <c r="K18" s="4291"/>
      <c r="L18" s="4291"/>
      <c r="M18" s="4291"/>
      <c r="N18" s="4291"/>
      <c r="O18" s="4291"/>
      <c r="P18" s="4291"/>
      <c r="Q18" s="4291"/>
      <c r="R18" s="4291"/>
      <c r="S18" s="4291"/>
      <c r="T18" s="4234"/>
      <c r="U18" s="4234"/>
      <c r="V18" s="4234"/>
      <c r="W18" s="4234"/>
      <c r="X18" s="4234"/>
      <c r="Y18" s="4234"/>
      <c r="Z18" s="4234"/>
      <c r="AA18" s="4234"/>
      <c r="AB18" s="4234"/>
      <c r="AC18" s="4234"/>
      <c r="AD18" s="4234"/>
      <c r="AE18" s="3940"/>
      <c r="AF18" s="6183"/>
      <c r="AG18" s="6184"/>
      <c r="AH18" s="6184"/>
      <c r="AI18" s="6184"/>
      <c r="AJ18" s="6184"/>
      <c r="AK18" s="6184"/>
      <c r="AL18" s="6184"/>
      <c r="AM18" s="6184"/>
      <c r="AN18" s="6184"/>
      <c r="AO18" s="6184"/>
      <c r="AP18" s="6184"/>
      <c r="AQ18" s="6184"/>
      <c r="AR18" s="6184"/>
      <c r="AS18" s="6184"/>
      <c r="AT18" s="6184"/>
      <c r="AU18" s="6184"/>
      <c r="AV18" s="6184"/>
      <c r="AW18" s="6184"/>
      <c r="AX18" s="6178"/>
      <c r="CB18" s="6197" t="s">
        <v>5463</v>
      </c>
      <c r="CC18" s="6197"/>
      <c r="CD18" s="6197" t="s">
        <v>5464</v>
      </c>
      <c r="CF18" s="4295" t="s">
        <v>5436</v>
      </c>
      <c r="DB18" s="5899">
        <v>1</v>
      </c>
      <c r="DC18" s="5899">
        <v>0</v>
      </c>
      <c r="DD18" s="5899">
        <v>1</v>
      </c>
      <c r="DE18" s="5899">
        <v>0</v>
      </c>
      <c r="DF18" s="5899">
        <v>1</v>
      </c>
      <c r="DG18" s="5899">
        <v>0</v>
      </c>
    </row>
    <row r="19" spans="1:111" ht="16.350000000000001" customHeight="1" x14ac:dyDescent="0.25">
      <c r="A19" s="7257" t="s">
        <v>4369</v>
      </c>
      <c r="B19" s="9275" t="s">
        <v>884</v>
      </c>
      <c r="C19" s="9276"/>
      <c r="D19" s="3986" t="s">
        <v>5369</v>
      </c>
      <c r="E19" s="6198" t="s">
        <v>5370</v>
      </c>
      <c r="F19" s="6198" t="s">
        <v>5371</v>
      </c>
      <c r="G19" s="3963" t="s">
        <v>5372</v>
      </c>
      <c r="H19" s="6196"/>
      <c r="I19" s="4291"/>
      <c r="J19" s="4291"/>
      <c r="K19" s="4291"/>
      <c r="L19" s="4291"/>
      <c r="M19" s="4291"/>
      <c r="N19" s="4291"/>
      <c r="O19" s="4291"/>
      <c r="P19" s="4291"/>
      <c r="Q19" s="4291"/>
      <c r="R19" s="4291"/>
      <c r="S19" s="4291"/>
      <c r="T19" s="4234"/>
      <c r="U19" s="4234"/>
      <c r="V19" s="4234"/>
      <c r="W19" s="4234"/>
      <c r="X19" s="4234"/>
      <c r="Y19" s="4234"/>
      <c r="Z19" s="4234"/>
      <c r="AA19" s="4234"/>
      <c r="AB19" s="4234"/>
      <c r="AC19" s="4234"/>
      <c r="AD19" s="4234"/>
      <c r="AE19" s="3940"/>
      <c r="AF19" s="6183"/>
      <c r="AG19" s="6184"/>
      <c r="AH19" s="6184"/>
      <c r="AI19" s="6184"/>
      <c r="AJ19" s="6184"/>
      <c r="AK19" s="6184"/>
      <c r="AL19" s="6184"/>
      <c r="AM19" s="6184"/>
      <c r="AN19" s="6184"/>
      <c r="AO19" s="6184"/>
      <c r="AP19" s="6184"/>
      <c r="AQ19" s="6184"/>
      <c r="AR19" s="6184"/>
      <c r="AS19" s="6184"/>
      <c r="AT19" s="6184"/>
      <c r="AU19" s="6184"/>
      <c r="AV19" s="6184"/>
      <c r="AW19" s="6184"/>
      <c r="AX19" s="6178"/>
      <c r="DC19" s="5899">
        <v>0</v>
      </c>
      <c r="DE19" s="5899">
        <v>0</v>
      </c>
      <c r="DG19" s="5899">
        <v>0</v>
      </c>
    </row>
    <row r="20" spans="1:111" ht="16.350000000000001" customHeight="1" x14ac:dyDescent="0.25">
      <c r="A20" s="7257" t="s">
        <v>4370</v>
      </c>
      <c r="B20" s="9225" t="s">
        <v>883</v>
      </c>
      <c r="C20" s="9226"/>
      <c r="D20" s="3968" t="s">
        <v>5369</v>
      </c>
      <c r="E20" s="3903" t="s">
        <v>5370</v>
      </c>
      <c r="F20" s="3903" t="s">
        <v>5371</v>
      </c>
      <c r="G20" s="3900" t="s">
        <v>5372</v>
      </c>
      <c r="H20" s="6196"/>
      <c r="I20" s="4291"/>
      <c r="J20" s="4291"/>
      <c r="K20" s="4291"/>
      <c r="L20" s="4291"/>
      <c r="M20" s="4291"/>
      <c r="N20" s="4291"/>
      <c r="O20" s="4291"/>
      <c r="P20" s="4291"/>
      <c r="Q20" s="4291"/>
      <c r="R20" s="4291"/>
      <c r="S20" s="4291"/>
      <c r="T20" s="4234"/>
      <c r="U20" s="4234"/>
      <c r="V20" s="4234"/>
      <c r="W20" s="4234"/>
      <c r="X20" s="4234"/>
      <c r="Y20" s="4234"/>
      <c r="Z20" s="4234"/>
      <c r="AA20" s="4234"/>
      <c r="AB20" s="4234"/>
      <c r="AC20" s="4234"/>
      <c r="AD20" s="4234"/>
      <c r="AE20" s="3940"/>
      <c r="AF20" s="6183"/>
      <c r="AG20" s="6184"/>
      <c r="AH20" s="6184"/>
      <c r="AI20" s="6184"/>
      <c r="AJ20" s="6184"/>
      <c r="AK20" s="6184"/>
      <c r="AL20" s="6184"/>
      <c r="AM20" s="6184"/>
      <c r="AN20" s="6184"/>
      <c r="AO20" s="6184"/>
      <c r="AP20" s="6184"/>
      <c r="AQ20" s="6184"/>
      <c r="AR20" s="6184"/>
      <c r="AS20" s="6184"/>
      <c r="AT20" s="6184"/>
      <c r="AU20" s="6184"/>
      <c r="AV20" s="6184"/>
      <c r="AW20" s="6184"/>
      <c r="AX20" s="6178"/>
      <c r="CB20" s="6197"/>
      <c r="CC20" s="6197"/>
      <c r="CD20" s="6197"/>
      <c r="DC20" s="5899">
        <v>0</v>
      </c>
      <c r="DE20" s="5899">
        <v>0</v>
      </c>
      <c r="DG20" s="5899">
        <v>0</v>
      </c>
    </row>
    <row r="21" spans="1:111" ht="24.75" customHeight="1" x14ac:dyDescent="0.25">
      <c r="A21" s="7257">
        <v>24100700</v>
      </c>
      <c r="B21" s="9225" t="s">
        <v>882</v>
      </c>
      <c r="C21" s="9226"/>
      <c r="D21" s="3968" t="s">
        <v>5369</v>
      </c>
      <c r="E21" s="3903" t="s">
        <v>5370</v>
      </c>
      <c r="F21" s="3903" t="s">
        <v>5371</v>
      </c>
      <c r="G21" s="3900" t="s">
        <v>5372</v>
      </c>
      <c r="H21" s="6196"/>
      <c r="I21" s="4291"/>
      <c r="J21" s="4291"/>
      <c r="K21" s="4291"/>
      <c r="L21" s="4291"/>
      <c r="M21" s="4291"/>
      <c r="N21" s="4291"/>
      <c r="O21" s="4291"/>
      <c r="P21" s="4291"/>
      <c r="Q21" s="4291"/>
      <c r="R21" s="4291"/>
      <c r="S21" s="4291"/>
      <c r="T21" s="4234"/>
      <c r="U21" s="4234"/>
      <c r="V21" s="4234"/>
      <c r="W21" s="4234"/>
      <c r="X21" s="4234"/>
      <c r="Y21" s="4234"/>
      <c r="Z21" s="4234"/>
      <c r="AA21" s="4234"/>
      <c r="AB21" s="4234"/>
      <c r="AC21" s="4234"/>
      <c r="AD21" s="4234"/>
      <c r="AE21" s="3940"/>
      <c r="AF21" s="6183"/>
      <c r="AG21" s="6184"/>
      <c r="AH21" s="6184"/>
      <c r="AI21" s="6184"/>
      <c r="AJ21" s="6184"/>
      <c r="AK21" s="6184"/>
      <c r="AL21" s="6184"/>
      <c r="AM21" s="6184"/>
      <c r="AN21" s="6184"/>
      <c r="AO21" s="6184"/>
      <c r="AP21" s="6184"/>
      <c r="AQ21" s="6184"/>
      <c r="AR21" s="6184"/>
      <c r="AS21" s="6184"/>
      <c r="AT21" s="6184"/>
      <c r="AU21" s="6184"/>
      <c r="AV21" s="6184"/>
      <c r="AW21" s="6184"/>
      <c r="AX21" s="6178"/>
      <c r="DC21" s="5899">
        <v>0</v>
      </c>
      <c r="DE21" s="5899">
        <v>0</v>
      </c>
      <c r="DG21" s="5899">
        <v>0</v>
      </c>
    </row>
    <row r="22" spans="1:111" ht="16.350000000000001" customHeight="1" x14ac:dyDescent="0.25">
      <c r="A22" s="7257" t="s">
        <v>4371</v>
      </c>
      <c r="B22" s="9225" t="s">
        <v>881</v>
      </c>
      <c r="C22" s="9226"/>
      <c r="D22" s="3968" t="s">
        <v>5369</v>
      </c>
      <c r="E22" s="3903" t="s">
        <v>5370</v>
      </c>
      <c r="F22" s="3903" t="s">
        <v>5371</v>
      </c>
      <c r="G22" s="3900" t="s">
        <v>5372</v>
      </c>
      <c r="H22" s="6196"/>
      <c r="I22" s="4291"/>
      <c r="J22" s="4291"/>
      <c r="K22" s="4291"/>
      <c r="L22" s="4291"/>
      <c r="M22" s="4291"/>
      <c r="N22" s="4291"/>
      <c r="O22" s="4291"/>
      <c r="P22" s="4291"/>
      <c r="Q22" s="4291"/>
      <c r="R22" s="4291"/>
      <c r="S22" s="4291"/>
      <c r="T22" s="4234"/>
      <c r="U22" s="4234"/>
      <c r="V22" s="4234"/>
      <c r="W22" s="4234"/>
      <c r="X22" s="4234"/>
      <c r="Y22" s="4234"/>
      <c r="Z22" s="4234"/>
      <c r="AA22" s="4234"/>
      <c r="AB22" s="4234"/>
      <c r="AC22" s="4234"/>
      <c r="AD22" s="4234"/>
      <c r="AE22" s="3940"/>
      <c r="AF22" s="6183"/>
      <c r="AG22" s="6184"/>
      <c r="AH22" s="6184"/>
      <c r="AI22" s="6184"/>
      <c r="AJ22" s="6184"/>
      <c r="AK22" s="6184"/>
      <c r="AL22" s="6184"/>
      <c r="AM22" s="6184"/>
      <c r="AN22" s="6184"/>
      <c r="AO22" s="6184"/>
      <c r="AP22" s="6184"/>
      <c r="AQ22" s="6184"/>
      <c r="AR22" s="6184"/>
      <c r="AS22" s="6184"/>
      <c r="AT22" s="6184"/>
      <c r="AU22" s="6184"/>
      <c r="AV22" s="6184"/>
      <c r="AW22" s="6184"/>
      <c r="AX22" s="6178"/>
      <c r="DC22" s="5899">
        <v>0</v>
      </c>
      <c r="DE22" s="5899">
        <v>0</v>
      </c>
      <c r="DG22" s="5899">
        <v>0</v>
      </c>
    </row>
    <row r="23" spans="1:111" ht="16.350000000000001" customHeight="1" x14ac:dyDescent="0.25">
      <c r="A23" s="7257">
        <v>24090050</v>
      </c>
      <c r="B23" s="9225" t="s">
        <v>734</v>
      </c>
      <c r="C23" s="9226"/>
      <c r="D23" s="3968" t="s">
        <v>5369</v>
      </c>
      <c r="E23" s="3903" t="s">
        <v>5370</v>
      </c>
      <c r="F23" s="3903" t="s">
        <v>5371</v>
      </c>
      <c r="G23" s="3900" t="s">
        <v>5372</v>
      </c>
      <c r="H23" s="6196"/>
      <c r="I23" s="4291"/>
      <c r="J23" s="4291"/>
      <c r="K23" s="4291"/>
      <c r="L23" s="4291"/>
      <c r="M23" s="4291"/>
      <c r="N23" s="4291"/>
      <c r="O23" s="4291"/>
      <c r="P23" s="4291"/>
      <c r="Q23" s="4291"/>
      <c r="R23" s="4291"/>
      <c r="S23" s="4291"/>
      <c r="T23" s="4234"/>
      <c r="U23" s="4234"/>
      <c r="V23" s="4234"/>
      <c r="W23" s="4234"/>
      <c r="X23" s="4234"/>
      <c r="Y23" s="4234"/>
      <c r="Z23" s="4234"/>
      <c r="AA23" s="4234"/>
      <c r="AB23" s="4234"/>
      <c r="AC23" s="4234"/>
      <c r="AD23" s="4234"/>
      <c r="AE23" s="3940"/>
      <c r="AF23" s="6183"/>
      <c r="AG23" s="6184"/>
      <c r="AH23" s="6184"/>
      <c r="AI23" s="6184"/>
      <c r="AJ23" s="6184"/>
      <c r="AK23" s="6184"/>
      <c r="AL23" s="6184"/>
      <c r="AM23" s="6184"/>
      <c r="AN23" s="6184"/>
      <c r="AO23" s="6184"/>
      <c r="AP23" s="6184"/>
      <c r="AQ23" s="6184"/>
      <c r="AR23" s="6184"/>
      <c r="AS23" s="6184"/>
      <c r="AT23" s="6184"/>
      <c r="AU23" s="6184"/>
      <c r="AV23" s="6184"/>
      <c r="AW23" s="6184"/>
      <c r="AX23" s="6178"/>
      <c r="DC23" s="5899">
        <v>0</v>
      </c>
      <c r="DE23" s="5899">
        <v>0</v>
      </c>
      <c r="DG23" s="5899">
        <v>0</v>
      </c>
    </row>
    <row r="24" spans="1:111" ht="16.350000000000001" customHeight="1" x14ac:dyDescent="0.25">
      <c r="A24" s="7257">
        <v>24090060</v>
      </c>
      <c r="B24" s="9225" t="s">
        <v>880</v>
      </c>
      <c r="C24" s="9226"/>
      <c r="D24" s="3968" t="s">
        <v>5369</v>
      </c>
      <c r="E24" s="3903" t="s">
        <v>5370</v>
      </c>
      <c r="F24" s="3903" t="s">
        <v>5371</v>
      </c>
      <c r="G24" s="3900" t="s">
        <v>5372</v>
      </c>
      <c r="H24" s="6196"/>
      <c r="I24" s="4291"/>
      <c r="J24" s="4291"/>
      <c r="K24" s="4291"/>
      <c r="L24" s="4291"/>
      <c r="M24" s="4291"/>
      <c r="N24" s="4291"/>
      <c r="O24" s="4291"/>
      <c r="P24" s="4291"/>
      <c r="Q24" s="4291"/>
      <c r="R24" s="4291"/>
      <c r="S24" s="4291"/>
      <c r="T24" s="4234"/>
      <c r="U24" s="4234"/>
      <c r="V24" s="4234"/>
      <c r="W24" s="4234"/>
      <c r="X24" s="4234"/>
      <c r="Y24" s="4234"/>
      <c r="Z24" s="4234"/>
      <c r="AA24" s="4234"/>
      <c r="AB24" s="4234"/>
      <c r="AC24" s="4234"/>
      <c r="AD24" s="4234"/>
      <c r="AE24" s="3940"/>
      <c r="AF24" s="6183"/>
      <c r="AG24" s="6184"/>
      <c r="AH24" s="6184"/>
      <c r="AI24" s="6184"/>
      <c r="AJ24" s="6184"/>
      <c r="AK24" s="6184"/>
      <c r="AL24" s="6184"/>
      <c r="AM24" s="6184"/>
      <c r="AN24" s="6184"/>
      <c r="AO24" s="6184"/>
      <c r="AP24" s="6184"/>
      <c r="AQ24" s="6184"/>
      <c r="AR24" s="6184"/>
      <c r="AS24" s="6184"/>
      <c r="AT24" s="6184"/>
      <c r="AU24" s="6184"/>
      <c r="AV24" s="6184"/>
      <c r="AW24" s="6184"/>
      <c r="AX24" s="6178"/>
      <c r="DC24" s="5899">
        <v>0</v>
      </c>
      <c r="DE24" s="5899">
        <v>0</v>
      </c>
      <c r="DG24" s="5899">
        <v>0</v>
      </c>
    </row>
    <row r="25" spans="1:111" ht="16.350000000000001" customHeight="1" x14ac:dyDescent="0.25">
      <c r="A25" s="7257" t="s">
        <v>4372</v>
      </c>
      <c r="B25" s="9225" t="s">
        <v>255</v>
      </c>
      <c r="C25" s="9226"/>
      <c r="D25" s="3968" t="s">
        <v>5369</v>
      </c>
      <c r="E25" s="3903" t="s">
        <v>5370</v>
      </c>
      <c r="F25" s="3903" t="s">
        <v>5371</v>
      </c>
      <c r="G25" s="3900" t="s">
        <v>5372</v>
      </c>
      <c r="H25" s="6196"/>
      <c r="I25" s="4291"/>
      <c r="J25" s="4291"/>
      <c r="K25" s="4291"/>
      <c r="L25" s="4291"/>
      <c r="M25" s="4291"/>
      <c r="N25" s="4291"/>
      <c r="O25" s="4291"/>
      <c r="P25" s="4291"/>
      <c r="Q25" s="4291"/>
      <c r="R25" s="4291"/>
      <c r="S25" s="4291"/>
      <c r="T25" s="4234"/>
      <c r="U25" s="4234"/>
      <c r="V25" s="4234"/>
      <c r="W25" s="4234"/>
      <c r="X25" s="4234"/>
      <c r="Y25" s="4234"/>
      <c r="Z25" s="4234"/>
      <c r="AA25" s="4234"/>
      <c r="AB25" s="4234"/>
      <c r="AC25" s="4234"/>
      <c r="AD25" s="4234"/>
      <c r="AE25" s="3940"/>
      <c r="AF25" s="6183"/>
      <c r="AG25" s="6184"/>
      <c r="AH25" s="6184"/>
      <c r="AI25" s="6184"/>
      <c r="AJ25" s="6184"/>
      <c r="AK25" s="6184"/>
      <c r="AL25" s="6184"/>
      <c r="AM25" s="6184"/>
      <c r="AN25" s="6184"/>
      <c r="AO25" s="6184"/>
      <c r="AP25" s="6184"/>
      <c r="AQ25" s="6184"/>
      <c r="AR25" s="6184"/>
      <c r="AS25" s="6184"/>
      <c r="AT25" s="6184"/>
      <c r="AU25" s="6184"/>
      <c r="AV25" s="6184"/>
      <c r="AW25" s="6184"/>
      <c r="AX25" s="6178"/>
      <c r="DC25" s="5899">
        <v>0</v>
      </c>
      <c r="DE25" s="5899">
        <v>0</v>
      </c>
      <c r="DG25" s="5899">
        <v>0</v>
      </c>
    </row>
    <row r="26" spans="1:111" ht="16.350000000000001" customHeight="1" x14ac:dyDescent="0.25">
      <c r="A26" s="7257" t="s">
        <v>4373</v>
      </c>
      <c r="B26" s="9225" t="s">
        <v>879</v>
      </c>
      <c r="C26" s="9226"/>
      <c r="D26" s="3968" t="s">
        <v>5369</v>
      </c>
      <c r="E26" s="3903" t="s">
        <v>5370</v>
      </c>
      <c r="F26" s="3903" t="s">
        <v>5371</v>
      </c>
      <c r="G26" s="3900" t="s">
        <v>5372</v>
      </c>
      <c r="H26" s="6196"/>
      <c r="I26" s="4291"/>
      <c r="J26" s="4291"/>
      <c r="K26" s="4291"/>
      <c r="L26" s="4291"/>
      <c r="M26" s="4291"/>
      <c r="N26" s="4291"/>
      <c r="O26" s="4291"/>
      <c r="P26" s="4291"/>
      <c r="Q26" s="4291"/>
      <c r="R26" s="4291"/>
      <c r="S26" s="4291"/>
      <c r="T26" s="4234"/>
      <c r="U26" s="4234"/>
      <c r="V26" s="4234"/>
      <c r="W26" s="4234"/>
      <c r="X26" s="4234"/>
      <c r="Y26" s="4234"/>
      <c r="Z26" s="4234"/>
      <c r="AA26" s="4234"/>
      <c r="AB26" s="4234"/>
      <c r="AC26" s="4234"/>
      <c r="AD26" s="4234"/>
      <c r="AE26" s="3940"/>
      <c r="AF26" s="6183"/>
      <c r="AG26" s="6184"/>
      <c r="AH26" s="6184"/>
      <c r="AI26" s="6184"/>
      <c r="AJ26" s="6184"/>
      <c r="AK26" s="6184"/>
      <c r="AL26" s="6184"/>
      <c r="AM26" s="6184"/>
      <c r="AN26" s="6184"/>
      <c r="AO26" s="6184"/>
      <c r="AP26" s="6184"/>
      <c r="AQ26" s="6184"/>
      <c r="AR26" s="6184"/>
      <c r="AS26" s="6184"/>
      <c r="AT26" s="6184"/>
      <c r="AU26" s="6184"/>
      <c r="AV26" s="6184"/>
      <c r="AW26" s="6184"/>
      <c r="AX26" s="6178"/>
      <c r="DC26" s="5899">
        <v>0</v>
      </c>
      <c r="DE26" s="5899">
        <v>0</v>
      </c>
      <c r="DG26" s="5899">
        <v>0</v>
      </c>
    </row>
    <row r="27" spans="1:111" ht="16.350000000000001" customHeight="1" x14ac:dyDescent="0.25">
      <c r="A27" s="7257" t="s">
        <v>4374</v>
      </c>
      <c r="B27" s="9225" t="s">
        <v>878</v>
      </c>
      <c r="C27" s="9226"/>
      <c r="D27" s="3968" t="s">
        <v>5369</v>
      </c>
      <c r="E27" s="3903" t="s">
        <v>5370</v>
      </c>
      <c r="F27" s="3903" t="s">
        <v>5371</v>
      </c>
      <c r="G27" s="3900" t="s">
        <v>5372</v>
      </c>
      <c r="H27" s="6196"/>
      <c r="I27" s="4291"/>
      <c r="J27" s="4291"/>
      <c r="K27" s="4291"/>
      <c r="L27" s="4291"/>
      <c r="M27" s="4291"/>
      <c r="N27" s="4291"/>
      <c r="O27" s="4291"/>
      <c r="P27" s="4291"/>
      <c r="Q27" s="4291"/>
      <c r="R27" s="4291"/>
      <c r="S27" s="4291"/>
      <c r="T27" s="4234"/>
      <c r="U27" s="4234"/>
      <c r="V27" s="4234"/>
      <c r="W27" s="4234"/>
      <c r="X27" s="4234"/>
      <c r="Y27" s="4234"/>
      <c r="Z27" s="4234"/>
      <c r="AA27" s="4234"/>
      <c r="AB27" s="4234"/>
      <c r="AC27" s="4234"/>
      <c r="AD27" s="4234"/>
      <c r="AE27" s="3940"/>
      <c r="AF27" s="6183"/>
      <c r="AG27" s="6184"/>
      <c r="AH27" s="6184"/>
      <c r="AI27" s="6184"/>
      <c r="AJ27" s="6184"/>
      <c r="AK27" s="6184"/>
      <c r="AL27" s="6184"/>
      <c r="AM27" s="6184"/>
      <c r="AN27" s="6184"/>
      <c r="AO27" s="6184"/>
      <c r="AP27" s="6184"/>
      <c r="AQ27" s="6184"/>
      <c r="AR27" s="6184"/>
      <c r="AS27" s="6184"/>
      <c r="AT27" s="6184"/>
      <c r="AU27" s="6184"/>
      <c r="AV27" s="6184"/>
      <c r="AW27" s="6184"/>
      <c r="AX27" s="6178"/>
      <c r="DC27" s="5899">
        <v>0</v>
      </c>
      <c r="DE27" s="5899">
        <v>0</v>
      </c>
      <c r="DG27" s="5899">
        <v>0</v>
      </c>
    </row>
    <row r="28" spans="1:111" ht="16.350000000000001" customHeight="1" x14ac:dyDescent="0.25">
      <c r="A28" s="7257" t="s">
        <v>4375</v>
      </c>
      <c r="B28" s="9225" t="s">
        <v>2114</v>
      </c>
      <c r="C28" s="9226"/>
      <c r="D28" s="4925" t="s">
        <v>5369</v>
      </c>
      <c r="E28" s="6199" t="s">
        <v>5370</v>
      </c>
      <c r="F28" s="6199" t="s">
        <v>5371</v>
      </c>
      <c r="G28" s="4929" t="s">
        <v>5372</v>
      </c>
      <c r="H28" s="6196"/>
      <c r="I28" s="4291"/>
      <c r="J28" s="4291"/>
      <c r="K28" s="4291"/>
      <c r="L28" s="4291"/>
      <c r="M28" s="4291"/>
      <c r="N28" s="4291"/>
      <c r="O28" s="4291"/>
      <c r="P28" s="4291"/>
      <c r="Q28" s="4291"/>
      <c r="R28" s="4291"/>
      <c r="S28" s="4291"/>
      <c r="T28" s="4234"/>
      <c r="U28" s="4234"/>
      <c r="V28" s="4234"/>
      <c r="W28" s="4234"/>
      <c r="X28" s="4234"/>
      <c r="Y28" s="4234"/>
      <c r="Z28" s="4234"/>
      <c r="AA28" s="4234"/>
      <c r="AB28" s="4234"/>
      <c r="AC28" s="4234"/>
      <c r="AD28" s="4234"/>
      <c r="AE28" s="3940"/>
      <c r="AF28" s="6200"/>
      <c r="AG28" s="6201"/>
      <c r="AH28" s="6201"/>
      <c r="AI28" s="6202"/>
      <c r="AJ28" s="6201"/>
      <c r="AK28" s="6201"/>
      <c r="AL28" s="6201"/>
      <c r="AM28" s="6201"/>
      <c r="AN28" s="6201"/>
      <c r="AO28" s="6201"/>
      <c r="AP28" s="6201"/>
      <c r="AQ28" s="6201"/>
      <c r="AR28" s="6201"/>
      <c r="AS28" s="6201"/>
      <c r="AT28" s="6201"/>
      <c r="AU28" s="6201"/>
      <c r="AV28" s="6201"/>
      <c r="AW28" s="6201"/>
      <c r="AX28" s="6203"/>
      <c r="DC28" s="5899">
        <v>0</v>
      </c>
      <c r="DE28" s="5899">
        <v>0</v>
      </c>
      <c r="DG28" s="5899">
        <v>0</v>
      </c>
    </row>
    <row r="29" spans="1:111" ht="16.350000000000001" customHeight="1" x14ac:dyDescent="0.25">
      <c r="A29" s="7257" t="s">
        <v>4376</v>
      </c>
      <c r="B29" s="9225" t="s">
        <v>2115</v>
      </c>
      <c r="C29" s="9226"/>
      <c r="D29" s="4925" t="s">
        <v>5369</v>
      </c>
      <c r="E29" s="6199" t="s">
        <v>5370</v>
      </c>
      <c r="F29" s="6199" t="s">
        <v>5371</v>
      </c>
      <c r="G29" s="4929" t="s">
        <v>5372</v>
      </c>
      <c r="H29" s="6196"/>
      <c r="I29" s="4291"/>
      <c r="J29" s="4291"/>
      <c r="K29" s="4291"/>
      <c r="L29" s="4291"/>
      <c r="M29" s="4291"/>
      <c r="N29" s="4291"/>
      <c r="O29" s="4291"/>
      <c r="P29" s="4291"/>
      <c r="Q29" s="4291"/>
      <c r="R29" s="4291"/>
      <c r="S29" s="4291"/>
      <c r="T29" s="4234"/>
      <c r="U29" s="4234"/>
      <c r="V29" s="4234"/>
      <c r="W29" s="4234"/>
      <c r="X29" s="4234"/>
      <c r="Y29" s="4234"/>
      <c r="Z29" s="4234"/>
      <c r="AA29" s="4234"/>
      <c r="AB29" s="4234"/>
      <c r="AC29" s="4234"/>
      <c r="AD29" s="4234"/>
      <c r="AE29" s="3940"/>
      <c r="AF29" s="6200"/>
      <c r="AG29" s="6201"/>
      <c r="AH29" s="6201"/>
      <c r="AI29" s="6202"/>
      <c r="AJ29" s="6201"/>
      <c r="AK29" s="6201"/>
      <c r="AL29" s="6201"/>
      <c r="AM29" s="6201"/>
      <c r="AN29" s="6201"/>
      <c r="AO29" s="6201"/>
      <c r="AP29" s="6201"/>
      <c r="AQ29" s="6201"/>
      <c r="AR29" s="6201"/>
      <c r="AS29" s="6201"/>
      <c r="AT29" s="6201"/>
      <c r="AU29" s="6201"/>
      <c r="AV29" s="6201"/>
      <c r="AW29" s="6201"/>
      <c r="AX29" s="6203"/>
      <c r="DC29" s="5899">
        <v>0</v>
      </c>
      <c r="DE29" s="5899">
        <v>0</v>
      </c>
      <c r="DG29" s="5899">
        <v>0</v>
      </c>
    </row>
    <row r="30" spans="1:111" ht="16.350000000000001" customHeight="1" x14ac:dyDescent="0.25">
      <c r="A30" s="7257" t="s">
        <v>4377</v>
      </c>
      <c r="B30" s="9225" t="s">
        <v>2116</v>
      </c>
      <c r="C30" s="9226"/>
      <c r="D30" s="4925" t="s">
        <v>5369</v>
      </c>
      <c r="E30" s="6199" t="s">
        <v>5370</v>
      </c>
      <c r="F30" s="6199" t="s">
        <v>5371</v>
      </c>
      <c r="G30" s="4929" t="s">
        <v>5372</v>
      </c>
      <c r="H30" s="6196"/>
      <c r="I30" s="4291"/>
      <c r="J30" s="4291"/>
      <c r="K30" s="4291"/>
      <c r="L30" s="4291"/>
      <c r="M30" s="4291"/>
      <c r="N30" s="4291"/>
      <c r="O30" s="4291"/>
      <c r="P30" s="4291"/>
      <c r="Q30" s="4291"/>
      <c r="R30" s="4291"/>
      <c r="S30" s="4291"/>
      <c r="T30" s="4234"/>
      <c r="U30" s="4234"/>
      <c r="V30" s="4234"/>
      <c r="W30" s="4234"/>
      <c r="X30" s="4234"/>
      <c r="Y30" s="4234"/>
      <c r="Z30" s="4234"/>
      <c r="AA30" s="4234"/>
      <c r="AB30" s="4234"/>
      <c r="AC30" s="4234"/>
      <c r="AD30" s="4234"/>
      <c r="AE30" s="3940"/>
      <c r="AF30" s="6200"/>
      <c r="AG30" s="6201"/>
      <c r="AH30" s="6201"/>
      <c r="AI30" s="6202"/>
      <c r="AJ30" s="6201"/>
      <c r="AK30" s="6201"/>
      <c r="AL30" s="6201"/>
      <c r="AM30" s="6201"/>
      <c r="AN30" s="6201"/>
      <c r="AO30" s="6201"/>
      <c r="AP30" s="6201"/>
      <c r="AQ30" s="6201"/>
      <c r="AR30" s="6201"/>
      <c r="AS30" s="6201"/>
      <c r="AT30" s="6201"/>
      <c r="AU30" s="6201"/>
      <c r="AV30" s="6201"/>
      <c r="AW30" s="6201"/>
      <c r="AX30" s="6203"/>
      <c r="DC30" s="5899">
        <v>0</v>
      </c>
      <c r="DE30" s="5899">
        <v>0</v>
      </c>
      <c r="DG30" s="5899">
        <v>0</v>
      </c>
    </row>
    <row r="31" spans="1:111" ht="16.350000000000001" customHeight="1" x14ac:dyDescent="0.25">
      <c r="A31" s="7257">
        <v>24100800</v>
      </c>
      <c r="B31" s="9094" t="s">
        <v>877</v>
      </c>
      <c r="C31" s="9252"/>
      <c r="D31" s="3979" t="s">
        <v>5369</v>
      </c>
      <c r="E31" s="6204" t="s">
        <v>5370</v>
      </c>
      <c r="F31" s="6204" t="s">
        <v>5371</v>
      </c>
      <c r="G31" s="3981" t="s">
        <v>5372</v>
      </c>
      <c r="H31" s="6196"/>
      <c r="I31" s="4291"/>
      <c r="J31" s="4291"/>
      <c r="K31" s="4291"/>
      <c r="L31" s="4291"/>
      <c r="M31" s="4291"/>
      <c r="N31" s="4291"/>
      <c r="O31" s="4291"/>
      <c r="P31" s="4291"/>
      <c r="Q31" s="4291"/>
      <c r="R31" s="4291"/>
      <c r="S31" s="4291"/>
      <c r="T31" s="4234"/>
      <c r="U31" s="5168"/>
      <c r="V31" s="5168"/>
      <c r="W31" s="5168"/>
      <c r="X31" s="5168"/>
      <c r="Y31" s="5168"/>
      <c r="Z31" s="5168"/>
      <c r="AA31" s="5168"/>
      <c r="AB31" s="5168"/>
      <c r="AC31" s="5168"/>
      <c r="AD31" s="5168"/>
      <c r="AE31" s="4979"/>
      <c r="AF31" s="6179"/>
      <c r="AG31" s="6179"/>
      <c r="AH31" s="6179"/>
      <c r="AI31" s="6205"/>
      <c r="AJ31" s="6179"/>
      <c r="AK31" s="6179"/>
      <c r="AL31" s="6179"/>
      <c r="AM31" s="6179"/>
      <c r="AN31" s="6179"/>
      <c r="AO31" s="6179"/>
      <c r="AP31" s="6179"/>
      <c r="AQ31" s="6179"/>
      <c r="AR31" s="6179"/>
      <c r="AS31" s="6179"/>
      <c r="AT31" s="6179"/>
      <c r="AU31" s="6179"/>
      <c r="AV31" s="6179"/>
      <c r="AW31" s="6179"/>
      <c r="AX31" s="6206"/>
      <c r="DC31" s="5899">
        <v>0</v>
      </c>
      <c r="DE31" s="5899">
        <v>0</v>
      </c>
      <c r="DG31" s="5899">
        <v>0</v>
      </c>
    </row>
    <row r="32" spans="1:111" ht="31.35" customHeight="1" x14ac:dyDescent="0.25">
      <c r="B32" s="7270" t="s">
        <v>3714</v>
      </c>
      <c r="C32" s="5479"/>
      <c r="D32" s="6207"/>
      <c r="E32" s="3914"/>
      <c r="F32" s="3914"/>
      <c r="G32" s="6208"/>
      <c r="H32" s="3914"/>
      <c r="I32" s="3914"/>
      <c r="J32" s="4234"/>
      <c r="K32" s="4234"/>
      <c r="L32" s="4234"/>
      <c r="M32" s="4234"/>
      <c r="N32" s="4234"/>
      <c r="O32" s="4234"/>
      <c r="P32" s="4234"/>
      <c r="Q32" s="4234"/>
      <c r="R32" s="5168"/>
      <c r="S32" s="5168"/>
      <c r="T32" s="5168"/>
      <c r="U32" s="5168"/>
      <c r="V32" s="5168"/>
      <c r="W32" s="5168"/>
      <c r="X32" s="5168"/>
      <c r="Y32" s="5168"/>
      <c r="Z32" s="5168"/>
      <c r="AA32" s="5168"/>
      <c r="AB32" s="5168"/>
      <c r="AC32" s="5168"/>
      <c r="AD32" s="5168"/>
      <c r="AE32" s="4979"/>
      <c r="AF32" s="6179"/>
      <c r="AG32" s="6179"/>
      <c r="AH32" s="6179"/>
      <c r="AI32" s="6205"/>
      <c r="AJ32" s="6179"/>
      <c r="AK32" s="6179"/>
      <c r="AL32" s="6179"/>
      <c r="AM32" s="6179"/>
      <c r="AN32" s="6179"/>
      <c r="AO32" s="6179"/>
      <c r="AP32" s="6179"/>
      <c r="AQ32" s="6179"/>
      <c r="AR32" s="6179"/>
      <c r="AS32" s="6179"/>
      <c r="AT32" s="6179"/>
      <c r="AU32" s="6179"/>
      <c r="AV32" s="6179"/>
      <c r="AW32" s="6179"/>
      <c r="AX32" s="6206"/>
    </row>
    <row r="33" spans="1:131" ht="16.350000000000001" customHeight="1" x14ac:dyDescent="0.25">
      <c r="B33" s="9090" t="s">
        <v>876</v>
      </c>
      <c r="C33" s="9091"/>
      <c r="D33" s="9079" t="s">
        <v>1</v>
      </c>
      <c r="E33" s="9151" t="s">
        <v>55</v>
      </c>
      <c r="F33" s="9152"/>
      <c r="G33" s="9152"/>
      <c r="H33" s="9152"/>
      <c r="I33" s="9152"/>
      <c r="J33" s="9152"/>
      <c r="K33" s="9152"/>
      <c r="L33" s="9152"/>
      <c r="M33" s="9152"/>
      <c r="N33" s="9152"/>
      <c r="O33" s="9152"/>
      <c r="P33" s="9152"/>
      <c r="Q33" s="9153"/>
      <c r="R33" s="9106" t="s">
        <v>3697</v>
      </c>
      <c r="S33" s="9134" t="s">
        <v>3730</v>
      </c>
      <c r="T33" s="8636" t="s">
        <v>362</v>
      </c>
      <c r="U33" s="8636" t="s">
        <v>361</v>
      </c>
      <c r="V33" s="8636" t="s">
        <v>3587</v>
      </c>
      <c r="W33" s="4979"/>
      <c r="X33" s="4979"/>
      <c r="Y33" s="4979"/>
      <c r="Z33" s="4979"/>
      <c r="AA33" s="4979"/>
      <c r="AB33" s="4979"/>
      <c r="AC33" s="4979"/>
      <c r="AD33" s="4979"/>
      <c r="AE33" s="4979"/>
      <c r="AF33" s="4979"/>
      <c r="AG33" s="4979"/>
      <c r="AH33" s="4979"/>
      <c r="AI33" s="6179"/>
      <c r="AJ33" s="6179"/>
      <c r="AK33" s="6179"/>
      <c r="AL33" s="6205"/>
      <c r="AM33" s="6179"/>
      <c r="AN33" s="6179"/>
      <c r="AO33" s="6180"/>
      <c r="AP33" s="6180"/>
      <c r="AQ33" s="6180"/>
      <c r="AR33" s="6180"/>
      <c r="AS33" s="6180"/>
      <c r="AT33" s="6180"/>
      <c r="AU33" s="6180"/>
      <c r="AV33" s="6180"/>
      <c r="AW33" s="6180"/>
      <c r="AX33" s="6180"/>
      <c r="AY33" s="6180"/>
      <c r="AZ33" s="6180"/>
      <c r="BA33" s="6209"/>
      <c r="DA33" s="5899"/>
      <c r="EA33" s="4259"/>
    </row>
    <row r="34" spans="1:131" ht="57" customHeight="1" x14ac:dyDescent="0.25">
      <c r="B34" s="9122"/>
      <c r="C34" s="9116"/>
      <c r="D34" s="9080"/>
      <c r="E34" s="6181" t="s">
        <v>3545</v>
      </c>
      <c r="F34" s="5367" t="s">
        <v>80</v>
      </c>
      <c r="G34" s="5367" t="s">
        <v>81</v>
      </c>
      <c r="H34" s="5367" t="s">
        <v>82</v>
      </c>
      <c r="I34" s="5367" t="s">
        <v>83</v>
      </c>
      <c r="J34" s="5367" t="s">
        <v>400</v>
      </c>
      <c r="K34" s="5367" t="s">
        <v>124</v>
      </c>
      <c r="L34" s="5367" t="s">
        <v>125</v>
      </c>
      <c r="M34" s="5367" t="s">
        <v>126</v>
      </c>
      <c r="N34" s="5578" t="s">
        <v>127</v>
      </c>
      <c r="O34" s="6210" t="s">
        <v>128</v>
      </c>
      <c r="P34" s="6211" t="s">
        <v>129</v>
      </c>
      <c r="Q34" s="6212" t="s">
        <v>3546</v>
      </c>
      <c r="R34" s="9107"/>
      <c r="S34" s="9135"/>
      <c r="T34" s="9117"/>
      <c r="U34" s="9117"/>
      <c r="V34" s="9117"/>
      <c r="W34" s="6213"/>
      <c r="X34" s="6054"/>
      <c r="Y34" s="4470"/>
      <c r="Z34" s="3940"/>
      <c r="AA34" s="3940"/>
      <c r="AB34" s="3940"/>
      <c r="AC34" s="3940"/>
      <c r="AD34" s="3940"/>
      <c r="AE34" s="3940"/>
      <c r="AF34" s="3940"/>
      <c r="AG34" s="3940"/>
      <c r="AH34" s="3940"/>
      <c r="AI34" s="6183"/>
      <c r="AJ34" s="6183"/>
      <c r="AK34" s="6183"/>
      <c r="AL34" s="6214"/>
      <c r="AM34" s="6183"/>
      <c r="AN34" s="6183"/>
      <c r="AO34" s="6183"/>
      <c r="AP34" s="6183"/>
      <c r="AQ34" s="6183"/>
      <c r="AR34" s="6183"/>
      <c r="AS34" s="6183"/>
      <c r="AT34" s="6184"/>
      <c r="AU34" s="6184"/>
      <c r="AV34" s="6184"/>
      <c r="AW34" s="6184"/>
      <c r="AX34" s="6184"/>
      <c r="AY34" s="6184"/>
      <c r="AZ34" s="6184"/>
      <c r="BA34" s="6209"/>
      <c r="DA34" s="5899"/>
      <c r="EA34" s="4259"/>
    </row>
    <row r="35" spans="1:131" ht="16.350000000000001" customHeight="1" x14ac:dyDescent="0.25">
      <c r="A35" s="7281"/>
      <c r="B35" s="9239" t="s">
        <v>875</v>
      </c>
      <c r="C35" s="9239"/>
      <c r="D35" s="7190">
        <f>SUM(E35:Q35)</f>
        <v>0</v>
      </c>
      <c r="E35" s="7190">
        <f>SUM(E36:E48)</f>
        <v>0</v>
      </c>
      <c r="F35" s="7190">
        <f>SUM(F36:F48)</f>
        <v>0</v>
      </c>
      <c r="G35" s="7190">
        <f t="shared" ref="G35:M35" si="0">SUM(G36:G48)</f>
        <v>0</v>
      </c>
      <c r="H35" s="7190">
        <f t="shared" si="0"/>
        <v>0</v>
      </c>
      <c r="I35" s="7190">
        <f t="shared" si="0"/>
        <v>0</v>
      </c>
      <c r="J35" s="7190">
        <f t="shared" si="0"/>
        <v>0</v>
      </c>
      <c r="K35" s="7190">
        <f t="shared" si="0"/>
        <v>0</v>
      </c>
      <c r="L35" s="7190">
        <f t="shared" si="0"/>
        <v>0</v>
      </c>
      <c r="M35" s="7190">
        <f t="shared" si="0"/>
        <v>0</v>
      </c>
      <c r="N35" s="7190">
        <f>SUM(N36:N48)</f>
        <v>0</v>
      </c>
      <c r="O35" s="7190">
        <f>SUM(O51:O55)</f>
        <v>0</v>
      </c>
      <c r="P35" s="7190">
        <f t="shared" ref="P35:Q35" si="1">SUM(P51:P55)</f>
        <v>0</v>
      </c>
      <c r="Q35" s="7192">
        <f t="shared" si="1"/>
        <v>0</v>
      </c>
      <c r="R35" s="7191">
        <f>SUM(R36:R48,R55)</f>
        <v>0</v>
      </c>
      <c r="S35" s="7190">
        <f>SUM(S36:S48,S55)</f>
        <v>0</v>
      </c>
      <c r="T35" s="7190">
        <f>SUM(T36:T48,T55)</f>
        <v>0</v>
      </c>
      <c r="U35" s="7190">
        <f>SUM(U36:U48,U55)</f>
        <v>0</v>
      </c>
      <c r="V35" s="7190"/>
      <c r="W35" s="6217"/>
      <c r="X35" s="6218"/>
      <c r="Y35" s="6218"/>
      <c r="Z35" s="3940"/>
      <c r="AA35" s="3940"/>
      <c r="AB35" s="3940"/>
      <c r="AC35" s="3940"/>
      <c r="AD35" s="3940"/>
      <c r="AE35" s="3940"/>
      <c r="AF35" s="3940"/>
      <c r="AG35" s="3940"/>
      <c r="AH35" s="3940"/>
      <c r="AI35" s="3940"/>
      <c r="AJ35" s="3940"/>
      <c r="AK35" s="3940"/>
      <c r="AL35" s="3940"/>
      <c r="AM35" s="6183"/>
      <c r="AN35" s="6183"/>
      <c r="AO35" s="6183"/>
      <c r="AP35" s="6183"/>
      <c r="AQ35" s="6183"/>
      <c r="AR35" s="6183"/>
      <c r="AS35" s="6183"/>
      <c r="AT35" s="6184"/>
      <c r="AU35" s="6184"/>
      <c r="AV35" s="6184"/>
      <c r="AW35" s="6184"/>
      <c r="AX35" s="6184"/>
      <c r="AY35" s="6184"/>
      <c r="AZ35" s="6184"/>
      <c r="DA35" s="5899"/>
      <c r="EA35" s="4259"/>
    </row>
    <row r="36" spans="1:131" ht="16.350000000000001" customHeight="1" x14ac:dyDescent="0.25">
      <c r="A36" s="7257" t="s">
        <v>4378</v>
      </c>
      <c r="B36" s="9229" t="s">
        <v>874</v>
      </c>
      <c r="C36" s="9230"/>
      <c r="D36" s="6219" t="s">
        <v>5369</v>
      </c>
      <c r="E36" s="6220" t="s">
        <v>5370</v>
      </c>
      <c r="F36" s="3833" t="s">
        <v>5371</v>
      </c>
      <c r="G36" s="3833" t="s">
        <v>5372</v>
      </c>
      <c r="H36" s="3833" t="s">
        <v>5373</v>
      </c>
      <c r="I36" s="3833" t="s">
        <v>5374</v>
      </c>
      <c r="J36" s="3833" t="s">
        <v>5375</v>
      </c>
      <c r="K36" s="3833" t="s">
        <v>5376</v>
      </c>
      <c r="L36" s="3833" t="s">
        <v>5377</v>
      </c>
      <c r="M36" s="3833" t="s">
        <v>5378</v>
      </c>
      <c r="N36" s="3833" t="s">
        <v>5379</v>
      </c>
      <c r="O36" s="6221" t="s">
        <v>5380</v>
      </c>
      <c r="P36" s="6222" t="s">
        <v>5381</v>
      </c>
      <c r="Q36" s="6223" t="s">
        <v>5382</v>
      </c>
      <c r="R36" s="6224" t="s">
        <v>5383</v>
      </c>
      <c r="S36" s="6224" t="s">
        <v>5384</v>
      </c>
      <c r="T36" s="6224" t="s">
        <v>5385</v>
      </c>
      <c r="U36" s="6224" t="s">
        <v>5386</v>
      </c>
      <c r="V36" s="6224" t="s">
        <v>5387</v>
      </c>
      <c r="W36" s="6196"/>
      <c r="X36" s="3940"/>
      <c r="Y36" s="3940"/>
      <c r="Z36" s="3940"/>
      <c r="AA36" s="3940"/>
      <c r="AB36" s="3940"/>
      <c r="AC36" s="3940"/>
      <c r="AD36" s="3940"/>
      <c r="AE36" s="3940"/>
      <c r="AF36" s="3940"/>
      <c r="AG36" s="3940"/>
      <c r="AH36" s="3940"/>
      <c r="AI36" s="3940"/>
      <c r="AJ36" s="3940"/>
      <c r="AK36" s="3940"/>
      <c r="AL36" s="3940"/>
      <c r="AM36" s="6183"/>
      <c r="AN36" s="6184"/>
      <c r="AO36" s="6184"/>
      <c r="AP36" s="6184"/>
      <c r="AQ36" s="6184"/>
      <c r="AR36" s="6184"/>
      <c r="AS36" s="6184"/>
      <c r="AT36" s="6184"/>
      <c r="AU36" s="6184"/>
      <c r="AV36" s="6184"/>
      <c r="AW36" s="6184"/>
      <c r="AX36" s="6184"/>
      <c r="AY36" s="6184"/>
      <c r="AZ36" s="6184"/>
      <c r="CF36" s="4295" t="s">
        <v>5466</v>
      </c>
      <c r="CH36" s="4295" t="s">
        <v>5436</v>
      </c>
      <c r="CJ36" s="4295" t="s">
        <v>5460</v>
      </c>
      <c r="DA36" s="5899"/>
      <c r="DC36" s="5899">
        <v>0</v>
      </c>
      <c r="DF36" s="5899">
        <v>1</v>
      </c>
      <c r="DG36" s="5899">
        <v>0</v>
      </c>
      <c r="DH36" s="5899">
        <v>1</v>
      </c>
      <c r="DI36" s="5899">
        <v>0</v>
      </c>
      <c r="DJ36" s="5899">
        <v>1</v>
      </c>
      <c r="DK36" s="5899">
        <v>0</v>
      </c>
      <c r="EA36" s="4259"/>
    </row>
    <row r="37" spans="1:131" ht="16.350000000000001" customHeight="1" x14ac:dyDescent="0.25">
      <c r="A37" s="7257" t="s">
        <v>4379</v>
      </c>
      <c r="B37" s="9231" t="s">
        <v>873</v>
      </c>
      <c r="C37" s="9232"/>
      <c r="D37" s="5433" t="s">
        <v>5369</v>
      </c>
      <c r="E37" s="4933" t="s">
        <v>5370</v>
      </c>
      <c r="F37" s="6225" t="s">
        <v>5371</v>
      </c>
      <c r="G37" s="6225" t="s">
        <v>5372</v>
      </c>
      <c r="H37" s="6225" t="s">
        <v>5373</v>
      </c>
      <c r="I37" s="6225" t="s">
        <v>5374</v>
      </c>
      <c r="J37" s="6225" t="s">
        <v>5375</v>
      </c>
      <c r="K37" s="6225" t="s">
        <v>5376</v>
      </c>
      <c r="L37" s="6225" t="s">
        <v>5377</v>
      </c>
      <c r="M37" s="6225" t="s">
        <v>5378</v>
      </c>
      <c r="N37" s="6225" t="s">
        <v>5379</v>
      </c>
      <c r="O37" s="6226" t="s">
        <v>5380</v>
      </c>
      <c r="P37" s="6227" t="s">
        <v>5381</v>
      </c>
      <c r="Q37" s="6228" t="s">
        <v>5382</v>
      </c>
      <c r="R37" s="4479" t="s">
        <v>5383</v>
      </c>
      <c r="S37" s="4479" t="s">
        <v>5384</v>
      </c>
      <c r="T37" s="4479" t="s">
        <v>5385</v>
      </c>
      <c r="U37" s="4479" t="s">
        <v>5386</v>
      </c>
      <c r="V37" s="4479" t="s">
        <v>5387</v>
      </c>
      <c r="W37" s="6196"/>
      <c r="X37" s="3940"/>
      <c r="Y37" s="3940"/>
      <c r="Z37" s="3940"/>
      <c r="AA37" s="3940"/>
      <c r="AB37" s="3940"/>
      <c r="AC37" s="3940"/>
      <c r="AD37" s="3940"/>
      <c r="AE37" s="3940"/>
      <c r="AF37" s="3940"/>
      <c r="AG37" s="3940"/>
      <c r="AH37" s="3940"/>
      <c r="AI37" s="3940"/>
      <c r="AJ37" s="3940"/>
      <c r="AK37" s="3940"/>
      <c r="AL37" s="3940"/>
      <c r="AM37" s="6183"/>
      <c r="AN37" s="6184"/>
      <c r="AO37" s="6184"/>
      <c r="AP37" s="6184"/>
      <c r="AQ37" s="6184"/>
      <c r="AR37" s="6184"/>
      <c r="AS37" s="6184"/>
      <c r="AT37" s="6184"/>
      <c r="AU37" s="6184"/>
      <c r="AV37" s="6184"/>
      <c r="AW37" s="6184"/>
      <c r="AX37" s="6184"/>
      <c r="AY37" s="6184"/>
      <c r="AZ37" s="6184"/>
      <c r="DA37" s="5899"/>
      <c r="DC37" s="5899">
        <v>0</v>
      </c>
      <c r="DG37" s="5899">
        <v>0</v>
      </c>
      <c r="DI37" s="5899">
        <v>0</v>
      </c>
      <c r="DK37" s="5899">
        <v>0</v>
      </c>
      <c r="EA37" s="4259"/>
    </row>
    <row r="38" spans="1:131" ht="18.75" customHeight="1" x14ac:dyDescent="0.25">
      <c r="A38" s="7257" t="s">
        <v>4380</v>
      </c>
      <c r="B38" s="9257" t="s">
        <v>872</v>
      </c>
      <c r="C38" s="6229" t="s">
        <v>871</v>
      </c>
      <c r="D38" s="6219" t="s">
        <v>5369</v>
      </c>
      <c r="E38" s="6220" t="s">
        <v>5370</v>
      </c>
      <c r="F38" s="3833" t="s">
        <v>5371</v>
      </c>
      <c r="G38" s="3833" t="s">
        <v>5372</v>
      </c>
      <c r="H38" s="3833" t="s">
        <v>5373</v>
      </c>
      <c r="I38" s="3833" t="s">
        <v>5374</v>
      </c>
      <c r="J38" s="3833" t="s">
        <v>5375</v>
      </c>
      <c r="K38" s="3833" t="s">
        <v>5376</v>
      </c>
      <c r="L38" s="3833" t="s">
        <v>5377</v>
      </c>
      <c r="M38" s="3833" t="s">
        <v>5378</v>
      </c>
      <c r="N38" s="3833" t="s">
        <v>5379</v>
      </c>
      <c r="O38" s="6221" t="s">
        <v>5380</v>
      </c>
      <c r="P38" s="6222" t="s">
        <v>5381</v>
      </c>
      <c r="Q38" s="6223" t="s">
        <v>5382</v>
      </c>
      <c r="R38" s="6224" t="s">
        <v>5383</v>
      </c>
      <c r="S38" s="6224" t="s">
        <v>5384</v>
      </c>
      <c r="T38" s="6224" t="s">
        <v>5385</v>
      </c>
      <c r="U38" s="6224" t="s">
        <v>5386</v>
      </c>
      <c r="V38" s="6224" t="s">
        <v>5387</v>
      </c>
      <c r="W38" s="6196"/>
      <c r="X38" s="3940"/>
      <c r="Y38" s="3940"/>
      <c r="Z38" s="3940"/>
      <c r="AA38" s="3940"/>
      <c r="AB38" s="3940"/>
      <c r="AC38" s="3940"/>
      <c r="AD38" s="3940"/>
      <c r="AE38" s="3940"/>
      <c r="AF38" s="3940"/>
      <c r="AG38" s="3940"/>
      <c r="AH38" s="3940"/>
      <c r="AI38" s="3940"/>
      <c r="AJ38" s="3940"/>
      <c r="AK38" s="3940"/>
      <c r="AL38" s="3940"/>
      <c r="AM38" s="6183"/>
      <c r="AN38" s="6184"/>
      <c r="AO38" s="6184"/>
      <c r="AP38" s="6184"/>
      <c r="AQ38" s="6184"/>
      <c r="AR38" s="6184"/>
      <c r="AS38" s="6184"/>
      <c r="AT38" s="6184"/>
      <c r="AU38" s="6184"/>
      <c r="AV38" s="6184"/>
      <c r="AW38" s="6184"/>
      <c r="AX38" s="6184"/>
      <c r="AY38" s="6184"/>
      <c r="AZ38" s="6184"/>
      <c r="DA38" s="5899"/>
      <c r="DC38" s="5899">
        <v>0</v>
      </c>
      <c r="DG38" s="5899">
        <v>0</v>
      </c>
      <c r="DI38" s="5899">
        <v>0</v>
      </c>
      <c r="DK38" s="5899">
        <v>0</v>
      </c>
      <c r="EA38" s="4259"/>
    </row>
    <row r="39" spans="1:131" ht="18.75" customHeight="1" x14ac:dyDescent="0.25">
      <c r="A39" s="7257" t="s">
        <v>4381</v>
      </c>
      <c r="B39" s="9257"/>
      <c r="C39" s="6230" t="s">
        <v>870</v>
      </c>
      <c r="D39" s="5394" t="s">
        <v>5369</v>
      </c>
      <c r="E39" s="4920" t="s">
        <v>5370</v>
      </c>
      <c r="F39" s="3903" t="s">
        <v>5371</v>
      </c>
      <c r="G39" s="3903" t="s">
        <v>5372</v>
      </c>
      <c r="H39" s="3903" t="s">
        <v>5373</v>
      </c>
      <c r="I39" s="3903" t="s">
        <v>5374</v>
      </c>
      <c r="J39" s="3903" t="s">
        <v>5375</v>
      </c>
      <c r="K39" s="3903" t="s">
        <v>5376</v>
      </c>
      <c r="L39" s="3903" t="s">
        <v>5377</v>
      </c>
      <c r="M39" s="3903" t="s">
        <v>5378</v>
      </c>
      <c r="N39" s="3903" t="s">
        <v>5379</v>
      </c>
      <c r="O39" s="6231" t="s">
        <v>5380</v>
      </c>
      <c r="P39" s="6232" t="s">
        <v>5381</v>
      </c>
      <c r="Q39" s="6233" t="s">
        <v>5382</v>
      </c>
      <c r="R39" s="5330" t="s">
        <v>5383</v>
      </c>
      <c r="S39" s="5330" t="s">
        <v>5384</v>
      </c>
      <c r="T39" s="5330" t="s">
        <v>5385</v>
      </c>
      <c r="U39" s="5330" t="s">
        <v>5386</v>
      </c>
      <c r="V39" s="5330" t="s">
        <v>5387</v>
      </c>
      <c r="W39" s="6196"/>
      <c r="X39" s="3940"/>
      <c r="Y39" s="3940"/>
      <c r="Z39" s="3940"/>
      <c r="AA39" s="3940"/>
      <c r="AB39" s="3940"/>
      <c r="AC39" s="3940"/>
      <c r="AD39" s="3940"/>
      <c r="AE39" s="3940"/>
      <c r="AF39" s="3940"/>
      <c r="AG39" s="3940"/>
      <c r="AH39" s="3940"/>
      <c r="AI39" s="3940"/>
      <c r="AJ39" s="3940"/>
      <c r="AK39" s="3940"/>
      <c r="AL39" s="3940"/>
      <c r="AM39" s="6183"/>
      <c r="AN39" s="6184"/>
      <c r="AO39" s="6184"/>
      <c r="AP39" s="6184"/>
      <c r="AQ39" s="6184"/>
      <c r="AR39" s="6184"/>
      <c r="AS39" s="6184"/>
      <c r="AT39" s="6184"/>
      <c r="AU39" s="6184"/>
      <c r="AV39" s="6184"/>
      <c r="AW39" s="6184"/>
      <c r="AX39" s="6184"/>
      <c r="AY39" s="6184"/>
      <c r="AZ39" s="6184"/>
      <c r="DA39" s="5899"/>
      <c r="DC39" s="5899">
        <v>0</v>
      </c>
      <c r="DG39" s="5899">
        <v>0</v>
      </c>
      <c r="DI39" s="5899">
        <v>0</v>
      </c>
      <c r="DK39" s="5899">
        <v>0</v>
      </c>
      <c r="EA39" s="4259"/>
    </row>
    <row r="40" spans="1:131" ht="18.75" customHeight="1" x14ac:dyDescent="0.25">
      <c r="A40" s="7257" t="s">
        <v>4382</v>
      </c>
      <c r="B40" s="9257"/>
      <c r="C40" s="6230" t="s">
        <v>869</v>
      </c>
      <c r="D40" s="5394" t="s">
        <v>5369</v>
      </c>
      <c r="E40" s="4920" t="s">
        <v>5370</v>
      </c>
      <c r="F40" s="3903" t="s">
        <v>5371</v>
      </c>
      <c r="G40" s="3903" t="s">
        <v>5372</v>
      </c>
      <c r="H40" s="3903" t="s">
        <v>5373</v>
      </c>
      <c r="I40" s="3903" t="s">
        <v>5374</v>
      </c>
      <c r="J40" s="3903" t="s">
        <v>5375</v>
      </c>
      <c r="K40" s="3903" t="s">
        <v>5376</v>
      </c>
      <c r="L40" s="3903" t="s">
        <v>5377</v>
      </c>
      <c r="M40" s="3903" t="s">
        <v>5378</v>
      </c>
      <c r="N40" s="3903" t="s">
        <v>5379</v>
      </c>
      <c r="O40" s="6231" t="s">
        <v>5380</v>
      </c>
      <c r="P40" s="6232" t="s">
        <v>5381</v>
      </c>
      <c r="Q40" s="6233" t="s">
        <v>5382</v>
      </c>
      <c r="R40" s="5330" t="s">
        <v>5383</v>
      </c>
      <c r="S40" s="5330" t="s">
        <v>5384</v>
      </c>
      <c r="T40" s="5330" t="s">
        <v>5385</v>
      </c>
      <c r="U40" s="5330" t="s">
        <v>5386</v>
      </c>
      <c r="V40" s="5330" t="s">
        <v>5387</v>
      </c>
      <c r="W40" s="6196"/>
      <c r="X40" s="3940"/>
      <c r="Y40" s="3940"/>
      <c r="Z40" s="3940"/>
      <c r="AA40" s="3940"/>
      <c r="AB40" s="3940"/>
      <c r="AC40" s="3940"/>
      <c r="AD40" s="3940"/>
      <c r="AE40" s="3940"/>
      <c r="AF40" s="3940"/>
      <c r="AG40" s="3940"/>
      <c r="AH40" s="3940"/>
      <c r="AI40" s="3940"/>
      <c r="AJ40" s="3940"/>
      <c r="AK40" s="3940"/>
      <c r="AL40" s="3940"/>
      <c r="AM40" s="6183"/>
      <c r="AN40" s="6184"/>
      <c r="AO40" s="6184"/>
      <c r="AP40" s="6184"/>
      <c r="AQ40" s="6184"/>
      <c r="AR40" s="6184"/>
      <c r="AS40" s="6184"/>
      <c r="AT40" s="6184"/>
      <c r="AU40" s="6184"/>
      <c r="AV40" s="6184"/>
      <c r="AW40" s="6184"/>
      <c r="AX40" s="6184"/>
      <c r="AY40" s="6184"/>
      <c r="AZ40" s="6184"/>
      <c r="DA40" s="5899"/>
      <c r="DC40" s="5899">
        <v>0</v>
      </c>
      <c r="DG40" s="5899">
        <v>0</v>
      </c>
      <c r="DI40" s="5899">
        <v>0</v>
      </c>
      <c r="DK40" s="5899">
        <v>0</v>
      </c>
      <c r="EA40" s="4259"/>
    </row>
    <row r="41" spans="1:131" ht="18.75" customHeight="1" x14ac:dyDescent="0.25">
      <c r="A41" s="7257" t="s">
        <v>4383</v>
      </c>
      <c r="B41" s="9257"/>
      <c r="C41" s="6230" t="s">
        <v>868</v>
      </c>
      <c r="D41" s="5394" t="s">
        <v>5369</v>
      </c>
      <c r="E41" s="4920" t="s">
        <v>5370</v>
      </c>
      <c r="F41" s="3903" t="s">
        <v>5371</v>
      </c>
      <c r="G41" s="3903" t="s">
        <v>5372</v>
      </c>
      <c r="H41" s="3903" t="s">
        <v>5373</v>
      </c>
      <c r="I41" s="3903" t="s">
        <v>5374</v>
      </c>
      <c r="J41" s="3903" t="s">
        <v>5375</v>
      </c>
      <c r="K41" s="3903" t="s">
        <v>5376</v>
      </c>
      <c r="L41" s="3903" t="s">
        <v>5377</v>
      </c>
      <c r="M41" s="3903" t="s">
        <v>5378</v>
      </c>
      <c r="N41" s="3903" t="s">
        <v>5379</v>
      </c>
      <c r="O41" s="6231" t="s">
        <v>5380</v>
      </c>
      <c r="P41" s="6232" t="s">
        <v>5381</v>
      </c>
      <c r="Q41" s="6233" t="s">
        <v>5382</v>
      </c>
      <c r="R41" s="5330" t="s">
        <v>5383</v>
      </c>
      <c r="S41" s="5330" t="s">
        <v>5384</v>
      </c>
      <c r="T41" s="5330" t="s">
        <v>5385</v>
      </c>
      <c r="U41" s="5330" t="s">
        <v>5386</v>
      </c>
      <c r="V41" s="5330" t="s">
        <v>5387</v>
      </c>
      <c r="W41" s="6196"/>
      <c r="X41" s="3940"/>
      <c r="Y41" s="3940"/>
      <c r="Z41" s="3940"/>
      <c r="AA41" s="3940"/>
      <c r="AB41" s="3940"/>
      <c r="AC41" s="3940"/>
      <c r="AD41" s="3940"/>
      <c r="AE41" s="3940"/>
      <c r="AF41" s="3940"/>
      <c r="AG41" s="3940"/>
      <c r="AH41" s="3940"/>
      <c r="AI41" s="3940"/>
      <c r="AJ41" s="3940"/>
      <c r="AK41" s="3940"/>
      <c r="AL41" s="3940"/>
      <c r="AM41" s="6183"/>
      <c r="AN41" s="6184"/>
      <c r="AO41" s="6184"/>
      <c r="AP41" s="6184"/>
      <c r="AQ41" s="6184"/>
      <c r="AR41" s="6184"/>
      <c r="AS41" s="6184"/>
      <c r="AT41" s="6184"/>
      <c r="AU41" s="6184"/>
      <c r="AV41" s="6184"/>
      <c r="AW41" s="6184"/>
      <c r="AX41" s="6184"/>
      <c r="AY41" s="6184"/>
      <c r="AZ41" s="6184"/>
      <c r="DA41" s="5899"/>
      <c r="DC41" s="5899">
        <v>0</v>
      </c>
      <c r="DG41" s="5899">
        <v>0</v>
      </c>
      <c r="DI41" s="5899">
        <v>0</v>
      </c>
      <c r="DK41" s="5899">
        <v>0</v>
      </c>
      <c r="EA41" s="4259"/>
    </row>
    <row r="42" spans="1:131" ht="18.75" customHeight="1" x14ac:dyDescent="0.25">
      <c r="A42" s="7257" t="s">
        <v>4384</v>
      </c>
      <c r="B42" s="9257"/>
      <c r="C42" s="6230" t="s">
        <v>867</v>
      </c>
      <c r="D42" s="5394" t="s">
        <v>5369</v>
      </c>
      <c r="E42" s="4920" t="s">
        <v>5370</v>
      </c>
      <c r="F42" s="3903" t="s">
        <v>5371</v>
      </c>
      <c r="G42" s="3903" t="s">
        <v>5372</v>
      </c>
      <c r="H42" s="3903" t="s">
        <v>5373</v>
      </c>
      <c r="I42" s="3903" t="s">
        <v>5374</v>
      </c>
      <c r="J42" s="3903" t="s">
        <v>5375</v>
      </c>
      <c r="K42" s="3903" t="s">
        <v>5376</v>
      </c>
      <c r="L42" s="3903" t="s">
        <v>5377</v>
      </c>
      <c r="M42" s="3903" t="s">
        <v>5378</v>
      </c>
      <c r="N42" s="3903" t="s">
        <v>5379</v>
      </c>
      <c r="O42" s="6231" t="s">
        <v>5380</v>
      </c>
      <c r="P42" s="6232" t="s">
        <v>5381</v>
      </c>
      <c r="Q42" s="6233" t="s">
        <v>5382</v>
      </c>
      <c r="R42" s="5330" t="s">
        <v>5383</v>
      </c>
      <c r="S42" s="5330" t="s">
        <v>5384</v>
      </c>
      <c r="T42" s="5330" t="s">
        <v>5385</v>
      </c>
      <c r="U42" s="5330" t="s">
        <v>5386</v>
      </c>
      <c r="V42" s="5330" t="s">
        <v>5387</v>
      </c>
      <c r="W42" s="6196"/>
      <c r="X42" s="3940"/>
      <c r="Y42" s="3940"/>
      <c r="Z42" s="3940"/>
      <c r="AA42" s="3940"/>
      <c r="AB42" s="3940"/>
      <c r="AC42" s="3940"/>
      <c r="AD42" s="3940"/>
      <c r="AE42" s="3940"/>
      <c r="AF42" s="3940"/>
      <c r="AG42" s="3940"/>
      <c r="AH42" s="3940"/>
      <c r="AI42" s="3940"/>
      <c r="AJ42" s="3940"/>
      <c r="AK42" s="3940"/>
      <c r="AL42" s="3940"/>
      <c r="AM42" s="6183"/>
      <c r="AN42" s="6184"/>
      <c r="AO42" s="6184"/>
      <c r="AP42" s="6184"/>
      <c r="AQ42" s="6184"/>
      <c r="AR42" s="6184"/>
      <c r="AS42" s="6184"/>
      <c r="AT42" s="6184"/>
      <c r="AU42" s="6184"/>
      <c r="AV42" s="6184"/>
      <c r="AW42" s="6184"/>
      <c r="AX42" s="6184"/>
      <c r="AY42" s="6184"/>
      <c r="AZ42" s="6184"/>
      <c r="DA42" s="5899"/>
      <c r="DC42" s="5899">
        <v>0</v>
      </c>
      <c r="DE42" s="5899">
        <v>0</v>
      </c>
      <c r="DG42" s="5899">
        <v>0</v>
      </c>
      <c r="DI42" s="5899">
        <v>0</v>
      </c>
      <c r="DK42" s="5899">
        <v>0</v>
      </c>
      <c r="EA42" s="4259"/>
    </row>
    <row r="43" spans="1:131" ht="18.75" customHeight="1" x14ac:dyDescent="0.25">
      <c r="A43" s="7257" t="s">
        <v>4385</v>
      </c>
      <c r="B43" s="9257"/>
      <c r="C43" s="6234" t="s">
        <v>866</v>
      </c>
      <c r="D43" s="6235" t="s">
        <v>5369</v>
      </c>
      <c r="E43" s="6236" t="s">
        <v>5370</v>
      </c>
      <c r="F43" s="5049" t="s">
        <v>5371</v>
      </c>
      <c r="G43" s="5049" t="s">
        <v>5372</v>
      </c>
      <c r="H43" s="5049" t="s">
        <v>5373</v>
      </c>
      <c r="I43" s="5049" t="s">
        <v>5374</v>
      </c>
      <c r="J43" s="5049" t="s">
        <v>5375</v>
      </c>
      <c r="K43" s="5049" t="s">
        <v>5376</v>
      </c>
      <c r="L43" s="5049" t="s">
        <v>5377</v>
      </c>
      <c r="M43" s="5049" t="s">
        <v>5378</v>
      </c>
      <c r="N43" s="5049" t="s">
        <v>5379</v>
      </c>
      <c r="O43" s="6237" t="s">
        <v>5380</v>
      </c>
      <c r="P43" s="6238" t="s">
        <v>5381</v>
      </c>
      <c r="Q43" s="6239" t="s">
        <v>5382</v>
      </c>
      <c r="R43" s="5044" t="s">
        <v>5383</v>
      </c>
      <c r="S43" s="5044" t="s">
        <v>5384</v>
      </c>
      <c r="T43" s="5044" t="s">
        <v>5385</v>
      </c>
      <c r="U43" s="5044" t="s">
        <v>5386</v>
      </c>
      <c r="V43" s="5044" t="s">
        <v>5387</v>
      </c>
      <c r="W43" s="6196"/>
      <c r="X43" s="3940"/>
      <c r="Y43" s="3940"/>
      <c r="Z43" s="3940"/>
      <c r="AA43" s="3940"/>
      <c r="AB43" s="3940"/>
      <c r="AC43" s="3940"/>
      <c r="AD43" s="3940"/>
      <c r="AE43" s="3940"/>
      <c r="AF43" s="3940"/>
      <c r="AG43" s="3940"/>
      <c r="AH43" s="3940"/>
      <c r="AI43" s="3940"/>
      <c r="AJ43" s="3940"/>
      <c r="AK43" s="3940"/>
      <c r="AL43" s="3940"/>
      <c r="AM43" s="6183"/>
      <c r="AN43" s="6184"/>
      <c r="AO43" s="6184"/>
      <c r="AP43" s="6184"/>
      <c r="AQ43" s="6184"/>
      <c r="AR43" s="6184"/>
      <c r="AS43" s="6184"/>
      <c r="AT43" s="6184"/>
      <c r="AU43" s="6184"/>
      <c r="AV43" s="6184"/>
      <c r="AW43" s="6184"/>
      <c r="AX43" s="6184"/>
      <c r="AY43" s="6184"/>
      <c r="AZ43" s="6184"/>
      <c r="DA43" s="5899"/>
      <c r="DC43" s="5899">
        <v>0</v>
      </c>
      <c r="DE43" s="5899">
        <v>0</v>
      </c>
      <c r="DG43" s="5899">
        <v>0</v>
      </c>
      <c r="DI43" s="5899">
        <v>0</v>
      </c>
      <c r="DK43" s="5899">
        <v>0</v>
      </c>
      <c r="EA43" s="4259"/>
    </row>
    <row r="44" spans="1:131" ht="18.75" customHeight="1" x14ac:dyDescent="0.25">
      <c r="A44" s="7259" t="s">
        <v>4386</v>
      </c>
      <c r="B44" s="9257"/>
      <c r="C44" s="7282" t="s">
        <v>3729</v>
      </c>
      <c r="D44" s="5187" t="s">
        <v>5369</v>
      </c>
      <c r="E44" s="5136" t="s">
        <v>5370</v>
      </c>
      <c r="F44" s="6240" t="s">
        <v>5371</v>
      </c>
      <c r="G44" s="6240" t="s">
        <v>5372</v>
      </c>
      <c r="H44" s="6240" t="s">
        <v>5373</v>
      </c>
      <c r="I44" s="6240" t="s">
        <v>5374</v>
      </c>
      <c r="J44" s="6240" t="s">
        <v>5375</v>
      </c>
      <c r="K44" s="6240" t="s">
        <v>5376</v>
      </c>
      <c r="L44" s="6240" t="s">
        <v>5377</v>
      </c>
      <c r="M44" s="6240" t="s">
        <v>5378</v>
      </c>
      <c r="N44" s="6240" t="s">
        <v>5379</v>
      </c>
      <c r="O44" s="6241" t="s">
        <v>5380</v>
      </c>
      <c r="P44" s="6242" t="s">
        <v>5381</v>
      </c>
      <c r="Q44" s="6243" t="s">
        <v>5382</v>
      </c>
      <c r="R44" s="5027" t="s">
        <v>5383</v>
      </c>
      <c r="S44" s="5027" t="s">
        <v>5384</v>
      </c>
      <c r="T44" s="5027" t="s">
        <v>5385</v>
      </c>
      <c r="U44" s="5027" t="s">
        <v>5386</v>
      </c>
      <c r="V44" s="5027" t="s">
        <v>5387</v>
      </c>
      <c r="W44" s="6196"/>
      <c r="X44" s="3940"/>
      <c r="Y44" s="3940"/>
      <c r="Z44" s="3940"/>
      <c r="AA44" s="3940"/>
      <c r="AB44" s="3940"/>
      <c r="AC44" s="3940"/>
      <c r="AD44" s="3940"/>
      <c r="AE44" s="3940"/>
      <c r="AF44" s="3940"/>
      <c r="AG44" s="3940"/>
      <c r="AH44" s="3940"/>
      <c r="AI44" s="3940"/>
      <c r="AJ44" s="3940"/>
      <c r="AK44" s="3940"/>
      <c r="AL44" s="3940"/>
      <c r="AM44" s="6244"/>
      <c r="AN44" s="6245"/>
      <c r="AO44" s="6245"/>
      <c r="AP44" s="6245"/>
      <c r="AQ44" s="6245"/>
      <c r="AR44" s="6245"/>
      <c r="AS44" s="6245"/>
      <c r="AT44" s="6245"/>
      <c r="AU44" s="6245"/>
      <c r="AV44" s="6245"/>
      <c r="AW44" s="6245"/>
      <c r="AX44" s="6245"/>
      <c r="AY44" s="6245"/>
      <c r="AZ44" s="6245"/>
      <c r="DA44" s="5899"/>
      <c r="DC44" s="5899">
        <v>0</v>
      </c>
      <c r="DE44" s="5899">
        <v>0</v>
      </c>
      <c r="DG44" s="5899">
        <v>0</v>
      </c>
      <c r="DI44" s="5899">
        <v>0</v>
      </c>
      <c r="DK44" s="5899">
        <v>0</v>
      </c>
      <c r="EA44" s="4259"/>
    </row>
    <row r="45" spans="1:131" ht="16.350000000000001" customHeight="1" x14ac:dyDescent="0.25">
      <c r="A45" s="7257" t="s">
        <v>4387</v>
      </c>
      <c r="B45" s="9240" t="s">
        <v>3758</v>
      </c>
      <c r="C45" s="6246" t="s">
        <v>69</v>
      </c>
      <c r="D45" s="6219" t="s">
        <v>5369</v>
      </c>
      <c r="E45" s="6220" t="s">
        <v>5370</v>
      </c>
      <c r="F45" s="3833" t="s">
        <v>5371</v>
      </c>
      <c r="G45" s="3833" t="s">
        <v>5372</v>
      </c>
      <c r="H45" s="3833" t="s">
        <v>5373</v>
      </c>
      <c r="I45" s="3833" t="s">
        <v>5374</v>
      </c>
      <c r="J45" s="3833" t="s">
        <v>5375</v>
      </c>
      <c r="K45" s="3833" t="s">
        <v>5376</v>
      </c>
      <c r="L45" s="3833" t="s">
        <v>5377</v>
      </c>
      <c r="M45" s="3833" t="s">
        <v>5378</v>
      </c>
      <c r="N45" s="3833" t="s">
        <v>5379</v>
      </c>
      <c r="O45" s="6221" t="s">
        <v>5380</v>
      </c>
      <c r="P45" s="6222" t="s">
        <v>5381</v>
      </c>
      <c r="Q45" s="6223" t="s">
        <v>5382</v>
      </c>
      <c r="R45" s="6224" t="s">
        <v>5383</v>
      </c>
      <c r="S45" s="6224" t="s">
        <v>5384</v>
      </c>
      <c r="T45" s="6224" t="s">
        <v>5385</v>
      </c>
      <c r="U45" s="6224" t="s">
        <v>5386</v>
      </c>
      <c r="V45" s="6224" t="s">
        <v>5387</v>
      </c>
      <c r="W45" s="6196"/>
      <c r="X45" s="3940"/>
      <c r="Y45" s="3940"/>
      <c r="Z45" s="3940"/>
      <c r="AA45" s="3940"/>
      <c r="AB45" s="3940"/>
      <c r="AC45" s="3940"/>
      <c r="AD45" s="3940"/>
      <c r="AE45" s="3940"/>
      <c r="AF45" s="3940"/>
      <c r="AG45" s="3940"/>
      <c r="AH45" s="3940"/>
      <c r="AI45" s="3940"/>
      <c r="AJ45" s="3940"/>
      <c r="AK45" s="3940"/>
      <c r="AL45" s="3940"/>
      <c r="AM45" s="6183"/>
      <c r="AN45" s="6184"/>
      <c r="AO45" s="6184"/>
      <c r="AP45" s="6184"/>
      <c r="AQ45" s="6184"/>
      <c r="AR45" s="6184"/>
      <c r="AS45" s="6184"/>
      <c r="AT45" s="6184"/>
      <c r="AU45" s="6184"/>
      <c r="AV45" s="6184"/>
      <c r="AW45" s="6184"/>
      <c r="AX45" s="6184"/>
      <c r="AY45" s="6184"/>
      <c r="AZ45" s="6184"/>
      <c r="DA45" s="5899"/>
      <c r="DC45" s="5899">
        <v>0</v>
      </c>
      <c r="DG45" s="5899">
        <v>0</v>
      </c>
      <c r="DI45" s="5899">
        <v>0</v>
      </c>
      <c r="DK45" s="5899">
        <v>0</v>
      </c>
      <c r="EA45" s="4259"/>
    </row>
    <row r="46" spans="1:131" ht="16.350000000000001" customHeight="1" x14ac:dyDescent="0.25">
      <c r="A46" s="7257" t="s">
        <v>4388</v>
      </c>
      <c r="B46" s="9241"/>
      <c r="C46" s="6247" t="s">
        <v>17</v>
      </c>
      <c r="D46" s="5433" t="s">
        <v>5369</v>
      </c>
      <c r="E46" s="4933" t="s">
        <v>5370</v>
      </c>
      <c r="F46" s="6225" t="s">
        <v>5371</v>
      </c>
      <c r="G46" s="6225" t="s">
        <v>5372</v>
      </c>
      <c r="H46" s="6225" t="s">
        <v>5373</v>
      </c>
      <c r="I46" s="6225" t="s">
        <v>5374</v>
      </c>
      <c r="J46" s="6225" t="s">
        <v>5375</v>
      </c>
      <c r="K46" s="6225" t="s">
        <v>5376</v>
      </c>
      <c r="L46" s="6225" t="s">
        <v>5377</v>
      </c>
      <c r="M46" s="6225" t="s">
        <v>5378</v>
      </c>
      <c r="N46" s="6225" t="s">
        <v>5379</v>
      </c>
      <c r="O46" s="6226" t="s">
        <v>5380</v>
      </c>
      <c r="P46" s="6227" t="s">
        <v>5381</v>
      </c>
      <c r="Q46" s="6228" t="s">
        <v>5382</v>
      </c>
      <c r="R46" s="4479" t="s">
        <v>5383</v>
      </c>
      <c r="S46" s="4479" t="s">
        <v>5384</v>
      </c>
      <c r="T46" s="4479" t="s">
        <v>5385</v>
      </c>
      <c r="U46" s="4479" t="s">
        <v>5386</v>
      </c>
      <c r="V46" s="4479" t="s">
        <v>5387</v>
      </c>
      <c r="W46" s="6196"/>
      <c r="X46" s="3940"/>
      <c r="Y46" s="3940"/>
      <c r="Z46" s="3940"/>
      <c r="AA46" s="3940"/>
      <c r="AB46" s="3940"/>
      <c r="AC46" s="3940"/>
      <c r="AD46" s="3940"/>
      <c r="AE46" s="3940"/>
      <c r="AF46" s="3940"/>
      <c r="AG46" s="3940"/>
      <c r="AH46" s="3940"/>
      <c r="AI46" s="3940"/>
      <c r="AJ46" s="3940"/>
      <c r="AK46" s="3940"/>
      <c r="AL46" s="3940"/>
      <c r="AM46" s="6183"/>
      <c r="AN46" s="6184"/>
      <c r="AO46" s="6184"/>
      <c r="AP46" s="6184"/>
      <c r="AQ46" s="6184"/>
      <c r="AR46" s="6184"/>
      <c r="AS46" s="6184"/>
      <c r="AT46" s="6184"/>
      <c r="AU46" s="6184"/>
      <c r="AV46" s="6184"/>
      <c r="AW46" s="6184"/>
      <c r="AX46" s="6184"/>
      <c r="AY46" s="6184"/>
      <c r="AZ46" s="6184"/>
      <c r="DA46" s="5899"/>
      <c r="DC46" s="5899">
        <v>0</v>
      </c>
      <c r="DG46" s="5899">
        <v>0</v>
      </c>
      <c r="DI46" s="5899">
        <v>0</v>
      </c>
      <c r="DK46" s="5899">
        <v>0</v>
      </c>
      <c r="EA46" s="4259"/>
    </row>
    <row r="47" spans="1:131" ht="16.350000000000001" customHeight="1" x14ac:dyDescent="0.25">
      <c r="A47" s="7257" t="s">
        <v>4389</v>
      </c>
      <c r="B47" s="9240" t="s">
        <v>865</v>
      </c>
      <c r="C47" s="6248" t="s">
        <v>69</v>
      </c>
      <c r="D47" s="6219" t="s">
        <v>5369</v>
      </c>
      <c r="E47" s="6220" t="s">
        <v>5370</v>
      </c>
      <c r="F47" s="3833" t="s">
        <v>5371</v>
      </c>
      <c r="G47" s="3833" t="s">
        <v>5372</v>
      </c>
      <c r="H47" s="3833" t="s">
        <v>5373</v>
      </c>
      <c r="I47" s="3833" t="s">
        <v>5374</v>
      </c>
      <c r="J47" s="3833" t="s">
        <v>5375</v>
      </c>
      <c r="K47" s="3833" t="s">
        <v>5376</v>
      </c>
      <c r="L47" s="3833" t="s">
        <v>5377</v>
      </c>
      <c r="M47" s="3833" t="s">
        <v>5378</v>
      </c>
      <c r="N47" s="3833" t="s">
        <v>5379</v>
      </c>
      <c r="O47" s="6221" t="s">
        <v>5380</v>
      </c>
      <c r="P47" s="6222" t="s">
        <v>5381</v>
      </c>
      <c r="Q47" s="6223" t="s">
        <v>5382</v>
      </c>
      <c r="R47" s="6224" t="s">
        <v>5383</v>
      </c>
      <c r="S47" s="6224" t="s">
        <v>5384</v>
      </c>
      <c r="T47" s="6224" t="s">
        <v>5385</v>
      </c>
      <c r="U47" s="6224" t="s">
        <v>5386</v>
      </c>
      <c r="V47" s="6224" t="s">
        <v>5387</v>
      </c>
      <c r="W47" s="6196"/>
      <c r="X47" s="3940"/>
      <c r="Y47" s="3940"/>
      <c r="Z47" s="3940"/>
      <c r="AA47" s="3940"/>
      <c r="AB47" s="3940"/>
      <c r="AC47" s="3940"/>
      <c r="AD47" s="3940"/>
      <c r="AE47" s="3940"/>
      <c r="AF47" s="3940"/>
      <c r="AG47" s="3940"/>
      <c r="AH47" s="3940"/>
      <c r="AI47" s="3940"/>
      <c r="AJ47" s="3940"/>
      <c r="AK47" s="3940"/>
      <c r="AL47" s="3940"/>
      <c r="AM47" s="6183"/>
      <c r="AN47" s="6184"/>
      <c r="AO47" s="6184"/>
      <c r="AP47" s="6184"/>
      <c r="AQ47" s="6184"/>
      <c r="AR47" s="6184"/>
      <c r="AS47" s="6184"/>
      <c r="AT47" s="6184"/>
      <c r="AU47" s="6184"/>
      <c r="AV47" s="6184"/>
      <c r="AW47" s="6184"/>
      <c r="AX47" s="6184"/>
      <c r="AY47" s="6184"/>
      <c r="AZ47" s="6184"/>
      <c r="DA47" s="5899"/>
      <c r="DC47" s="5899">
        <v>0</v>
      </c>
      <c r="DE47" s="5899">
        <v>0</v>
      </c>
      <c r="DG47" s="5899">
        <v>0</v>
      </c>
      <c r="DI47" s="5899">
        <v>0</v>
      </c>
      <c r="DK47" s="5899">
        <v>0</v>
      </c>
      <c r="EA47" s="4259"/>
    </row>
    <row r="48" spans="1:131" ht="16.350000000000001" customHeight="1" thickBot="1" x14ac:dyDescent="0.3">
      <c r="A48" s="7257" t="s">
        <v>4390</v>
      </c>
      <c r="B48" s="9242"/>
      <c r="C48" s="6249" t="s">
        <v>17</v>
      </c>
      <c r="D48" s="6250" t="s">
        <v>5369</v>
      </c>
      <c r="E48" s="6251" t="s">
        <v>5370</v>
      </c>
      <c r="F48" s="6252" t="s">
        <v>5371</v>
      </c>
      <c r="G48" s="6252" t="s">
        <v>5372</v>
      </c>
      <c r="H48" s="6252" t="s">
        <v>5373</v>
      </c>
      <c r="I48" s="6252" t="s">
        <v>5374</v>
      </c>
      <c r="J48" s="6252" t="s">
        <v>5375</v>
      </c>
      <c r="K48" s="6252" t="s">
        <v>5376</v>
      </c>
      <c r="L48" s="6252" t="s">
        <v>5377</v>
      </c>
      <c r="M48" s="6252" t="s">
        <v>5378</v>
      </c>
      <c r="N48" s="6252" t="s">
        <v>5379</v>
      </c>
      <c r="O48" s="6253" t="s">
        <v>5380</v>
      </c>
      <c r="P48" s="6254" t="s">
        <v>5381</v>
      </c>
      <c r="Q48" s="6255" t="s">
        <v>5382</v>
      </c>
      <c r="R48" s="6256" t="s">
        <v>5383</v>
      </c>
      <c r="S48" s="6256" t="s">
        <v>5384</v>
      </c>
      <c r="T48" s="6256" t="s">
        <v>5385</v>
      </c>
      <c r="U48" s="6256" t="s">
        <v>5386</v>
      </c>
      <c r="V48" s="6256" t="s">
        <v>5387</v>
      </c>
      <c r="W48" s="6196"/>
      <c r="X48" s="3940"/>
      <c r="Y48" s="3940"/>
      <c r="Z48" s="3940"/>
      <c r="AA48" s="3940"/>
      <c r="AB48" s="3940"/>
      <c r="AC48" s="3940"/>
      <c r="AD48" s="3940"/>
      <c r="AE48" s="3940"/>
      <c r="AF48" s="3940"/>
      <c r="AG48" s="3940"/>
      <c r="AH48" s="3940"/>
      <c r="AI48" s="3940"/>
      <c r="AJ48" s="3940"/>
      <c r="AK48" s="3940"/>
      <c r="AL48" s="3940"/>
      <c r="AM48" s="6183"/>
      <c r="AN48" s="6184"/>
      <c r="AO48" s="6184"/>
      <c r="AP48" s="6184"/>
      <c r="AQ48" s="6184"/>
      <c r="AR48" s="6184"/>
      <c r="AS48" s="6184"/>
      <c r="AT48" s="6184"/>
      <c r="AU48" s="6184"/>
      <c r="AV48" s="6184"/>
      <c r="AW48" s="6184"/>
      <c r="AX48" s="6184"/>
      <c r="AY48" s="6184"/>
      <c r="AZ48" s="3914"/>
      <c r="DA48" s="5899"/>
      <c r="DC48" s="5899">
        <v>0</v>
      </c>
      <c r="DE48" s="5899">
        <v>0</v>
      </c>
      <c r="DG48" s="5899">
        <v>0</v>
      </c>
      <c r="DI48" s="5899">
        <v>0</v>
      </c>
      <c r="DK48" s="5899">
        <v>0</v>
      </c>
      <c r="EA48" s="4259"/>
    </row>
    <row r="49" spans="1:131" ht="21" customHeight="1" thickTop="1" x14ac:dyDescent="0.25">
      <c r="A49" s="7257" t="s">
        <v>4391</v>
      </c>
      <c r="B49" s="9233" t="s">
        <v>864</v>
      </c>
      <c r="C49" s="9234"/>
      <c r="D49" s="5387" t="s">
        <v>5369</v>
      </c>
      <c r="E49" s="4017" t="s">
        <v>5370</v>
      </c>
      <c r="F49" s="6198" t="s">
        <v>5371</v>
      </c>
      <c r="G49" s="6198" t="s">
        <v>5372</v>
      </c>
      <c r="H49" s="6198" t="s">
        <v>5373</v>
      </c>
      <c r="I49" s="6198" t="s">
        <v>5374</v>
      </c>
      <c r="J49" s="6198" t="s">
        <v>5375</v>
      </c>
      <c r="K49" s="6198" t="s">
        <v>5376</v>
      </c>
      <c r="L49" s="6198" t="s">
        <v>5377</v>
      </c>
      <c r="M49" s="6198" t="s">
        <v>5378</v>
      </c>
      <c r="N49" s="6198" t="s">
        <v>5379</v>
      </c>
      <c r="O49" s="6257" t="s">
        <v>5380</v>
      </c>
      <c r="P49" s="6258" t="s">
        <v>5381</v>
      </c>
      <c r="Q49" s="6259" t="s">
        <v>5382</v>
      </c>
      <c r="R49" s="6260" t="s">
        <v>5383</v>
      </c>
      <c r="S49" s="6260" t="s">
        <v>5384</v>
      </c>
      <c r="T49" s="6260" t="s">
        <v>5385</v>
      </c>
      <c r="U49" s="6260" t="s">
        <v>5386</v>
      </c>
      <c r="V49" s="6260" t="s">
        <v>5387</v>
      </c>
      <c r="W49" s="6196"/>
      <c r="X49" s="3940"/>
      <c r="Y49" s="3940"/>
      <c r="Z49" s="3940"/>
      <c r="AA49" s="3940"/>
      <c r="AB49" s="3940"/>
      <c r="AC49" s="3940"/>
      <c r="AD49" s="3940"/>
      <c r="AE49" s="3940"/>
      <c r="AF49" s="3940"/>
      <c r="AG49" s="3940"/>
      <c r="AH49" s="3940"/>
      <c r="AI49" s="3940"/>
      <c r="AJ49" s="3940"/>
      <c r="AK49" s="3940"/>
      <c r="AL49" s="3940"/>
      <c r="AM49" s="6183"/>
      <c r="AN49" s="6184"/>
      <c r="AO49" s="6184"/>
      <c r="AP49" s="6184"/>
      <c r="AQ49" s="6184"/>
      <c r="AR49" s="6184"/>
      <c r="AS49" s="6184"/>
      <c r="AT49" s="6184"/>
      <c r="AU49" s="6184"/>
      <c r="AV49" s="6184"/>
      <c r="AW49" s="6184"/>
      <c r="AX49" s="6184"/>
      <c r="AY49" s="6184"/>
      <c r="AZ49" s="3914"/>
      <c r="DA49" s="5899"/>
      <c r="DC49" s="5899">
        <v>0</v>
      </c>
      <c r="DE49" s="5899">
        <v>0</v>
      </c>
      <c r="DG49" s="5899">
        <v>0</v>
      </c>
      <c r="DI49" s="5899">
        <v>0</v>
      </c>
      <c r="DK49" s="5899">
        <v>0</v>
      </c>
      <c r="EA49" s="4259"/>
    </row>
    <row r="50" spans="1:131" ht="20.25" customHeight="1" x14ac:dyDescent="0.25">
      <c r="A50" s="7257" t="s">
        <v>4392</v>
      </c>
      <c r="B50" s="9235" t="s">
        <v>863</v>
      </c>
      <c r="C50" s="9236"/>
      <c r="D50" s="4478" t="s">
        <v>5369</v>
      </c>
      <c r="E50" s="5948" t="s">
        <v>5370</v>
      </c>
      <c r="F50" s="5949" t="s">
        <v>5371</v>
      </c>
      <c r="G50" s="5949" t="s">
        <v>5372</v>
      </c>
      <c r="H50" s="5949" t="s">
        <v>5373</v>
      </c>
      <c r="I50" s="5949" t="s">
        <v>5374</v>
      </c>
      <c r="J50" s="5949" t="s">
        <v>5375</v>
      </c>
      <c r="K50" s="5949" t="s">
        <v>5376</v>
      </c>
      <c r="L50" s="5949" t="s">
        <v>5377</v>
      </c>
      <c r="M50" s="5949" t="s">
        <v>5378</v>
      </c>
      <c r="N50" s="5949" t="s">
        <v>5379</v>
      </c>
      <c r="O50" s="6261" t="s">
        <v>5380</v>
      </c>
      <c r="P50" s="6262" t="s">
        <v>5381</v>
      </c>
      <c r="Q50" s="6263" t="s">
        <v>5382</v>
      </c>
      <c r="R50" s="6264" t="s">
        <v>5383</v>
      </c>
      <c r="S50" s="6264" t="s">
        <v>5384</v>
      </c>
      <c r="T50" s="6264" t="s">
        <v>5385</v>
      </c>
      <c r="U50" s="6264" t="s">
        <v>5386</v>
      </c>
      <c r="V50" s="6264" t="s">
        <v>5387</v>
      </c>
      <c r="W50" s="6196"/>
      <c r="X50" s="3940"/>
      <c r="Y50" s="3940"/>
      <c r="Z50" s="3940"/>
      <c r="AA50" s="3940"/>
      <c r="AB50" s="3940"/>
      <c r="AC50" s="3940"/>
      <c r="AD50" s="3940"/>
      <c r="AE50" s="3940"/>
      <c r="AF50" s="3940"/>
      <c r="AG50" s="3940"/>
      <c r="AH50" s="3940"/>
      <c r="AI50" s="3940"/>
      <c r="AJ50" s="3940"/>
      <c r="AK50" s="3940"/>
      <c r="AL50" s="3940"/>
      <c r="AM50" s="6183"/>
      <c r="AN50" s="6184"/>
      <c r="AO50" s="6184"/>
      <c r="AP50" s="6184"/>
      <c r="AQ50" s="6184"/>
      <c r="AR50" s="6184"/>
      <c r="AS50" s="6184"/>
      <c r="AT50" s="6184"/>
      <c r="AU50" s="6184"/>
      <c r="AV50" s="6184"/>
      <c r="AW50" s="6184"/>
      <c r="AX50" s="6184"/>
      <c r="AY50" s="6184"/>
      <c r="AZ50" s="3914"/>
      <c r="DA50" s="5899"/>
      <c r="DC50" s="5899">
        <v>0</v>
      </c>
      <c r="DE50" s="5899">
        <v>0</v>
      </c>
      <c r="DG50" s="5899">
        <v>0</v>
      </c>
      <c r="DI50" s="5899">
        <v>0</v>
      </c>
      <c r="DK50" s="5899">
        <v>0</v>
      </c>
      <c r="EA50" s="4259"/>
    </row>
    <row r="51" spans="1:131" ht="20.25" customHeight="1" x14ac:dyDescent="0.25">
      <c r="A51" s="7257" t="s">
        <v>4393</v>
      </c>
      <c r="B51" s="9064" t="s">
        <v>3759</v>
      </c>
      <c r="C51" s="6804" t="s">
        <v>69</v>
      </c>
      <c r="D51" s="6219" t="s">
        <v>5369</v>
      </c>
      <c r="E51" s="6220" t="s">
        <v>5370</v>
      </c>
      <c r="F51" s="3833" t="s">
        <v>5371</v>
      </c>
      <c r="G51" s="3833" t="s">
        <v>5372</v>
      </c>
      <c r="H51" s="3833" t="s">
        <v>5373</v>
      </c>
      <c r="I51" s="3833" t="s">
        <v>5374</v>
      </c>
      <c r="J51" s="3833" t="s">
        <v>5375</v>
      </c>
      <c r="K51" s="3833" t="s">
        <v>5376</v>
      </c>
      <c r="L51" s="3833" t="s">
        <v>5377</v>
      </c>
      <c r="M51" s="3833" t="s">
        <v>5378</v>
      </c>
      <c r="N51" s="3833" t="s">
        <v>5379</v>
      </c>
      <c r="O51" s="6266" t="s">
        <v>5380</v>
      </c>
      <c r="P51" s="3833" t="s">
        <v>5381</v>
      </c>
      <c r="Q51" s="6267" t="s">
        <v>5382</v>
      </c>
      <c r="R51" s="6224" t="s">
        <v>5383</v>
      </c>
      <c r="S51" s="6224" t="s">
        <v>5384</v>
      </c>
      <c r="T51" s="6224" t="s">
        <v>5385</v>
      </c>
      <c r="U51" s="6224" t="s">
        <v>5386</v>
      </c>
      <c r="V51" s="6224" t="s">
        <v>5387</v>
      </c>
      <c r="W51" s="6196"/>
      <c r="X51" s="3940"/>
      <c r="Y51" s="3940"/>
      <c r="Z51" s="3940"/>
      <c r="AA51" s="3940"/>
      <c r="AB51" s="3940"/>
      <c r="AC51" s="3940"/>
      <c r="AD51" s="3940"/>
      <c r="AE51" s="3940"/>
      <c r="AF51" s="3940"/>
      <c r="AG51" s="3940"/>
      <c r="AH51" s="3940"/>
      <c r="AI51" s="3940"/>
      <c r="AJ51" s="3940"/>
      <c r="AK51" s="3940"/>
      <c r="AL51" s="3940"/>
      <c r="AM51" s="6802"/>
      <c r="AN51" s="6803"/>
      <c r="AO51" s="6803"/>
      <c r="AP51" s="6803"/>
      <c r="AQ51" s="6803"/>
      <c r="AR51" s="6803"/>
      <c r="AS51" s="6803"/>
      <c r="AT51" s="6803"/>
      <c r="AU51" s="6803"/>
      <c r="AV51" s="6803"/>
      <c r="AW51" s="6803"/>
      <c r="AX51" s="6803"/>
      <c r="AY51" s="6803"/>
      <c r="AZ51" s="3914"/>
      <c r="DA51" s="5899"/>
      <c r="DC51" s="5899">
        <v>0</v>
      </c>
      <c r="DE51" s="5899">
        <v>0</v>
      </c>
      <c r="DG51" s="5899">
        <v>0</v>
      </c>
      <c r="DI51" s="5899">
        <v>0</v>
      </c>
      <c r="DK51" s="5899">
        <v>0</v>
      </c>
      <c r="EA51" s="4259"/>
    </row>
    <row r="52" spans="1:131" ht="20.25" customHeight="1" x14ac:dyDescent="0.25">
      <c r="A52" s="7257" t="s">
        <v>4394</v>
      </c>
      <c r="B52" s="9065"/>
      <c r="C52" s="6805" t="s">
        <v>17</v>
      </c>
      <c r="D52" s="4478" t="s">
        <v>5369</v>
      </c>
      <c r="E52" s="5948" t="s">
        <v>5370</v>
      </c>
      <c r="F52" s="5949" t="s">
        <v>5371</v>
      </c>
      <c r="G52" s="5949" t="s">
        <v>5372</v>
      </c>
      <c r="H52" s="5949" t="s">
        <v>5373</v>
      </c>
      <c r="I52" s="5949" t="s">
        <v>5374</v>
      </c>
      <c r="J52" s="5949" t="s">
        <v>5375</v>
      </c>
      <c r="K52" s="5949" t="s">
        <v>5376</v>
      </c>
      <c r="L52" s="5949" t="s">
        <v>5377</v>
      </c>
      <c r="M52" s="5949" t="s">
        <v>5378</v>
      </c>
      <c r="N52" s="5949" t="s">
        <v>5379</v>
      </c>
      <c r="O52" s="5947" t="s">
        <v>5380</v>
      </c>
      <c r="P52" s="5949" t="s">
        <v>5381</v>
      </c>
      <c r="Q52" s="6269" t="s">
        <v>5382</v>
      </c>
      <c r="R52" s="6264" t="s">
        <v>5383</v>
      </c>
      <c r="S52" s="6264" t="s">
        <v>5384</v>
      </c>
      <c r="T52" s="6264" t="s">
        <v>5385</v>
      </c>
      <c r="U52" s="6264" t="s">
        <v>5386</v>
      </c>
      <c r="V52" s="6264" t="s">
        <v>5387</v>
      </c>
      <c r="W52" s="6196"/>
      <c r="X52" s="3940"/>
      <c r="Y52" s="3940"/>
      <c r="Z52" s="3940"/>
      <c r="AA52" s="3940"/>
      <c r="AB52" s="3940"/>
      <c r="AC52" s="3940"/>
      <c r="AD52" s="3940"/>
      <c r="AE52" s="3940"/>
      <c r="AF52" s="3940"/>
      <c r="AG52" s="3940"/>
      <c r="AH52" s="3940"/>
      <c r="AI52" s="3940"/>
      <c r="AJ52" s="3940"/>
      <c r="AK52" s="3940"/>
      <c r="AL52" s="3940"/>
      <c r="AM52" s="6802"/>
      <c r="AN52" s="6803"/>
      <c r="AO52" s="6803"/>
      <c r="AP52" s="6803"/>
      <c r="AQ52" s="6803"/>
      <c r="AR52" s="6803"/>
      <c r="AS52" s="6803"/>
      <c r="AT52" s="6803"/>
      <c r="AU52" s="6803"/>
      <c r="AV52" s="6803"/>
      <c r="AW52" s="6803"/>
      <c r="AX52" s="6803"/>
      <c r="AY52" s="6803"/>
      <c r="AZ52" s="3914"/>
      <c r="DA52" s="5899"/>
      <c r="DC52" s="5899">
        <v>0</v>
      </c>
      <c r="DE52" s="5899">
        <v>0</v>
      </c>
      <c r="DG52" s="5899">
        <v>0</v>
      </c>
      <c r="DI52" s="5899">
        <v>0</v>
      </c>
      <c r="DK52" s="5899">
        <v>0</v>
      </c>
      <c r="EA52" s="4259"/>
    </row>
    <row r="53" spans="1:131" ht="21" customHeight="1" x14ac:dyDescent="0.25">
      <c r="A53" s="7257" t="s">
        <v>4395</v>
      </c>
      <c r="B53" s="9227" t="s">
        <v>862</v>
      </c>
      <c r="C53" s="6265" t="s">
        <v>69</v>
      </c>
      <c r="D53" s="6219" t="s">
        <v>5369</v>
      </c>
      <c r="E53" s="6220" t="s">
        <v>5370</v>
      </c>
      <c r="F53" s="3833" t="s">
        <v>5371</v>
      </c>
      <c r="G53" s="3833" t="s">
        <v>5372</v>
      </c>
      <c r="H53" s="3833" t="s">
        <v>5373</v>
      </c>
      <c r="I53" s="3833" t="s">
        <v>5374</v>
      </c>
      <c r="J53" s="3833" t="s">
        <v>5375</v>
      </c>
      <c r="K53" s="3833" t="s">
        <v>5376</v>
      </c>
      <c r="L53" s="3833" t="s">
        <v>5377</v>
      </c>
      <c r="M53" s="3833" t="s">
        <v>5378</v>
      </c>
      <c r="N53" s="3833" t="s">
        <v>5379</v>
      </c>
      <c r="O53" s="6266" t="s">
        <v>5380</v>
      </c>
      <c r="P53" s="3833" t="s">
        <v>5381</v>
      </c>
      <c r="Q53" s="6267" t="s">
        <v>5382</v>
      </c>
      <c r="R53" s="6224" t="s">
        <v>5383</v>
      </c>
      <c r="S53" s="6224" t="s">
        <v>5384</v>
      </c>
      <c r="T53" s="6224" t="s">
        <v>5385</v>
      </c>
      <c r="U53" s="6224" t="s">
        <v>5386</v>
      </c>
      <c r="V53" s="6224" t="s">
        <v>5387</v>
      </c>
      <c r="W53" s="6196"/>
      <c r="X53" s="3940"/>
      <c r="Y53" s="3940"/>
      <c r="Z53" s="3940"/>
      <c r="AA53" s="3940"/>
      <c r="AB53" s="3940"/>
      <c r="AC53" s="3940"/>
      <c r="AD53" s="3940"/>
      <c r="AE53" s="3940"/>
      <c r="AF53" s="3940"/>
      <c r="AG53" s="3940"/>
      <c r="AH53" s="3940"/>
      <c r="AI53" s="3940"/>
      <c r="AJ53" s="3940"/>
      <c r="AK53" s="3940"/>
      <c r="AL53" s="3940"/>
      <c r="AM53" s="6183"/>
      <c r="AN53" s="6184"/>
      <c r="AO53" s="6184"/>
      <c r="AP53" s="6184"/>
      <c r="AQ53" s="6184"/>
      <c r="AR53" s="6184"/>
      <c r="AS53" s="6184"/>
      <c r="AT53" s="6184"/>
      <c r="AU53" s="6184"/>
      <c r="AV53" s="6184"/>
      <c r="AW53" s="6184"/>
      <c r="AX53" s="6184"/>
      <c r="AY53" s="6184"/>
      <c r="AZ53" s="3914"/>
      <c r="DA53" s="5899"/>
      <c r="DC53" s="5899">
        <v>0</v>
      </c>
      <c r="DE53" s="5899">
        <v>0</v>
      </c>
      <c r="DG53" s="5899">
        <v>0</v>
      </c>
      <c r="DI53" s="5899">
        <v>0</v>
      </c>
      <c r="DK53" s="5899">
        <v>0</v>
      </c>
      <c r="EA53" s="4259"/>
    </row>
    <row r="54" spans="1:131" ht="18" customHeight="1" x14ac:dyDescent="0.25">
      <c r="A54" s="7257" t="s">
        <v>4396</v>
      </c>
      <c r="B54" s="9228"/>
      <c r="C54" s="6268" t="s">
        <v>17</v>
      </c>
      <c r="D54" s="4478" t="s">
        <v>5369</v>
      </c>
      <c r="E54" s="5948" t="s">
        <v>5370</v>
      </c>
      <c r="F54" s="5949" t="s">
        <v>5371</v>
      </c>
      <c r="G54" s="5949" t="s">
        <v>5372</v>
      </c>
      <c r="H54" s="5949" t="s">
        <v>5373</v>
      </c>
      <c r="I54" s="5949" t="s">
        <v>5374</v>
      </c>
      <c r="J54" s="5949" t="s">
        <v>5375</v>
      </c>
      <c r="K54" s="5949" t="s">
        <v>5376</v>
      </c>
      <c r="L54" s="5949" t="s">
        <v>5377</v>
      </c>
      <c r="M54" s="5949" t="s">
        <v>5378</v>
      </c>
      <c r="N54" s="5949" t="s">
        <v>5379</v>
      </c>
      <c r="O54" s="5947" t="s">
        <v>5380</v>
      </c>
      <c r="P54" s="5949" t="s">
        <v>5381</v>
      </c>
      <c r="Q54" s="6269" t="s">
        <v>5382</v>
      </c>
      <c r="R54" s="6264" t="s">
        <v>5383</v>
      </c>
      <c r="S54" s="6264" t="s">
        <v>5384</v>
      </c>
      <c r="T54" s="6264" t="s">
        <v>5385</v>
      </c>
      <c r="U54" s="6264" t="s">
        <v>5386</v>
      </c>
      <c r="V54" s="6264" t="s">
        <v>5387</v>
      </c>
      <c r="W54" s="6196"/>
      <c r="AA54" s="4979"/>
      <c r="AB54" s="4979"/>
      <c r="AC54" s="4979"/>
      <c r="AD54" s="4979"/>
      <c r="AE54" s="4979"/>
      <c r="AF54" s="4979"/>
      <c r="AG54" s="4979"/>
      <c r="AH54" s="4979"/>
      <c r="AI54" s="4979"/>
      <c r="AJ54" s="4979"/>
      <c r="AK54" s="4979"/>
      <c r="AL54" s="6179"/>
      <c r="AM54" s="6179"/>
      <c r="AN54" s="6179"/>
      <c r="AO54" s="6179"/>
      <c r="AP54" s="6179"/>
      <c r="AQ54" s="6179"/>
      <c r="AR54" s="6179"/>
      <c r="AS54" s="6179"/>
      <c r="AT54" s="6179"/>
      <c r="AU54" s="6179"/>
      <c r="AV54" s="6179"/>
      <c r="AW54" s="6179"/>
      <c r="AX54" s="6179"/>
      <c r="AY54" s="6180"/>
      <c r="DA54" s="5899"/>
      <c r="DC54" s="5899">
        <v>0</v>
      </c>
      <c r="DE54" s="5899">
        <v>0</v>
      </c>
      <c r="DG54" s="5899">
        <v>0</v>
      </c>
      <c r="DI54" s="5899">
        <v>0</v>
      </c>
      <c r="DK54" s="5899">
        <v>0</v>
      </c>
      <c r="EA54" s="4259"/>
    </row>
    <row r="55" spans="1:131" ht="16.350000000000001" customHeight="1" x14ac:dyDescent="0.25">
      <c r="A55" s="7278" t="s">
        <v>4397</v>
      </c>
      <c r="B55" s="9237" t="s">
        <v>861</v>
      </c>
      <c r="C55" s="9238"/>
      <c r="D55" s="4478" t="s">
        <v>5369</v>
      </c>
      <c r="E55" s="5948" t="s">
        <v>5370</v>
      </c>
      <c r="F55" s="5949" t="s">
        <v>5371</v>
      </c>
      <c r="G55" s="5949" t="s">
        <v>5372</v>
      </c>
      <c r="H55" s="5949" t="s">
        <v>5373</v>
      </c>
      <c r="I55" s="5949" t="s">
        <v>5374</v>
      </c>
      <c r="J55" s="5949" t="s">
        <v>5375</v>
      </c>
      <c r="K55" s="5949" t="s">
        <v>5376</v>
      </c>
      <c r="L55" s="5949" t="s">
        <v>5377</v>
      </c>
      <c r="M55" s="5949" t="s">
        <v>5378</v>
      </c>
      <c r="N55" s="5949" t="s">
        <v>5379</v>
      </c>
      <c r="O55" s="5947" t="s">
        <v>5380</v>
      </c>
      <c r="P55" s="5949" t="s">
        <v>5381</v>
      </c>
      <c r="Q55" s="6269" t="s">
        <v>5382</v>
      </c>
      <c r="R55" s="6264" t="s">
        <v>5383</v>
      </c>
      <c r="S55" s="6264" t="s">
        <v>5384</v>
      </c>
      <c r="T55" s="6264" t="s">
        <v>5385</v>
      </c>
      <c r="U55" s="6264" t="s">
        <v>5386</v>
      </c>
      <c r="V55" s="6264" t="s">
        <v>5387</v>
      </c>
      <c r="W55" s="6196"/>
      <c r="X55" s="3940"/>
      <c r="Y55" s="3940"/>
      <c r="Z55" s="3940"/>
      <c r="AA55" s="4979"/>
      <c r="AB55" s="4979"/>
      <c r="AC55" s="4979"/>
      <c r="AD55" s="4979"/>
      <c r="AE55" s="4979"/>
      <c r="AF55" s="4979"/>
      <c r="AG55" s="4979"/>
      <c r="AH55" s="4979"/>
      <c r="AI55" s="4979"/>
      <c r="AJ55" s="4979"/>
      <c r="AK55" s="4979"/>
      <c r="AL55" s="6179"/>
      <c r="AM55" s="6179"/>
      <c r="AN55" s="6179"/>
      <c r="AO55" s="6179"/>
      <c r="AP55" s="6179"/>
      <c r="AQ55" s="6179"/>
      <c r="AR55" s="6179"/>
      <c r="AS55" s="6179"/>
      <c r="AT55" s="6179"/>
      <c r="AU55" s="6179"/>
      <c r="AV55" s="6179"/>
      <c r="AW55" s="6179"/>
      <c r="AX55" s="6179"/>
      <c r="AY55" s="6180"/>
      <c r="DA55" s="5899"/>
      <c r="DC55" s="5899">
        <v>0</v>
      </c>
      <c r="DE55" s="5899">
        <v>0</v>
      </c>
      <c r="DG55" s="5899">
        <v>0</v>
      </c>
      <c r="DI55" s="5899">
        <v>0</v>
      </c>
      <c r="DK55" s="5899">
        <v>0</v>
      </c>
      <c r="EA55" s="4259"/>
    </row>
    <row r="56" spans="1:131" ht="21.6" customHeight="1" x14ac:dyDescent="0.25">
      <c r="B56" s="2386" t="s">
        <v>2205</v>
      </c>
      <c r="C56" s="6270"/>
      <c r="D56" s="6271"/>
      <c r="E56" s="3940"/>
      <c r="F56" s="3940"/>
      <c r="G56" s="3807"/>
      <c r="H56" s="4234"/>
      <c r="I56" s="4234"/>
      <c r="J56" s="4234"/>
      <c r="K56" s="4234"/>
      <c r="L56" s="4234"/>
      <c r="M56" s="4234"/>
      <c r="N56" s="4234"/>
      <c r="O56" s="4234"/>
      <c r="P56" s="4234"/>
      <c r="Q56" s="4234"/>
      <c r="R56" s="5168"/>
      <c r="S56" s="5168"/>
      <c r="T56" s="3940"/>
      <c r="U56" s="3940"/>
      <c r="V56" s="3940"/>
      <c r="W56" s="3940"/>
      <c r="X56" s="3940"/>
      <c r="Y56" s="3940"/>
      <c r="Z56" s="3940"/>
      <c r="AA56" s="3940"/>
      <c r="AB56" s="4979"/>
      <c r="AC56" s="4979"/>
      <c r="AD56" s="4979"/>
      <c r="AE56" s="4979"/>
      <c r="AF56" s="4979"/>
      <c r="AG56" s="4979"/>
      <c r="AH56" s="4979"/>
      <c r="AI56" s="4979"/>
      <c r="AJ56" s="4979"/>
      <c r="AK56" s="4979"/>
      <c r="AL56" s="4979"/>
      <c r="AM56" s="6272"/>
      <c r="AN56" s="6272"/>
      <c r="AO56" s="6272"/>
      <c r="AP56" s="6273"/>
      <c r="AQ56" s="6273"/>
      <c r="AR56" s="6273"/>
      <c r="AS56" s="6273"/>
      <c r="AT56" s="6273"/>
      <c r="AU56" s="6273"/>
      <c r="AV56" s="6273"/>
      <c r="AW56" s="6273"/>
      <c r="AX56" s="4979"/>
      <c r="AY56" s="5204"/>
      <c r="AZ56" s="5204"/>
    </row>
    <row r="57" spans="1:131" ht="16.350000000000001" customHeight="1" x14ac:dyDescent="0.25">
      <c r="B57" s="9090" t="s">
        <v>876</v>
      </c>
      <c r="C57" s="9091"/>
      <c r="D57" s="9079" t="s">
        <v>1</v>
      </c>
      <c r="E57" s="9101" t="s">
        <v>55</v>
      </c>
      <c r="F57" s="9102"/>
      <c r="G57" s="9102"/>
      <c r="H57" s="9102"/>
      <c r="I57" s="9102"/>
      <c r="J57" s="9102"/>
      <c r="K57" s="9102"/>
      <c r="L57" s="9102"/>
      <c r="M57" s="9102"/>
      <c r="N57" s="9102"/>
      <c r="O57" s="9102"/>
      <c r="P57" s="9102"/>
      <c r="Q57" s="9103"/>
      <c r="R57" s="8636" t="s">
        <v>362</v>
      </c>
      <c r="S57" s="8636" t="s">
        <v>361</v>
      </c>
      <c r="T57" s="3940"/>
      <c r="U57" s="3940"/>
      <c r="V57" s="3940"/>
      <c r="W57" s="3940"/>
      <c r="X57" s="3940"/>
      <c r="Y57" s="3940"/>
      <c r="Z57" s="4979"/>
      <c r="AA57" s="4979"/>
      <c r="AB57" s="4979"/>
      <c r="AC57" s="4979"/>
      <c r="AD57" s="4979"/>
      <c r="AE57" s="4979"/>
      <c r="AF57" s="4979"/>
      <c r="AG57" s="4979"/>
      <c r="AH57" s="4979"/>
      <c r="AI57" s="4979"/>
      <c r="AJ57" s="4979"/>
      <c r="AK57" s="6272"/>
      <c r="AL57" s="6272"/>
      <c r="AM57" s="6272"/>
      <c r="AN57" s="6273"/>
      <c r="AO57" s="6273"/>
      <c r="AP57" s="6273"/>
      <c r="AQ57" s="6273"/>
      <c r="AR57" s="6273"/>
      <c r="AS57" s="6273"/>
      <c r="AT57" s="6273"/>
      <c r="AU57" s="6273"/>
      <c r="AV57" s="4979"/>
      <c r="AW57" s="4979"/>
      <c r="AX57" s="4979"/>
    </row>
    <row r="58" spans="1:131" ht="21.75" customHeight="1" x14ac:dyDescent="0.25">
      <c r="B58" s="9122"/>
      <c r="C58" s="9116"/>
      <c r="D58" s="9080"/>
      <c r="E58" s="6181" t="s">
        <v>3545</v>
      </c>
      <c r="F58" s="5367" t="s">
        <v>80</v>
      </c>
      <c r="G58" s="5367" t="s">
        <v>81</v>
      </c>
      <c r="H58" s="5367" t="s">
        <v>82</v>
      </c>
      <c r="I58" s="5367" t="s">
        <v>83</v>
      </c>
      <c r="J58" s="5367" t="s">
        <v>400</v>
      </c>
      <c r="K58" s="5367" t="s">
        <v>124</v>
      </c>
      <c r="L58" s="5367" t="s">
        <v>125</v>
      </c>
      <c r="M58" s="5367" t="s">
        <v>126</v>
      </c>
      <c r="N58" s="5578" t="s">
        <v>127</v>
      </c>
      <c r="O58" s="6210" t="s">
        <v>128</v>
      </c>
      <c r="P58" s="6211" t="s">
        <v>129</v>
      </c>
      <c r="Q58" s="6212" t="s">
        <v>3546</v>
      </c>
      <c r="R58" s="9110"/>
      <c r="S58" s="9117"/>
      <c r="T58" s="3940"/>
      <c r="U58" s="3940"/>
      <c r="V58" s="3940"/>
      <c r="W58" s="3940"/>
      <c r="X58" s="3940"/>
      <c r="Y58" s="3940"/>
      <c r="Z58" s="4979"/>
      <c r="AA58" s="4979"/>
      <c r="AB58" s="4979"/>
      <c r="AC58" s="4979"/>
      <c r="AD58" s="4979"/>
      <c r="AE58" s="4979"/>
      <c r="AF58" s="4979"/>
      <c r="AG58" s="4979"/>
      <c r="AH58" s="4979"/>
      <c r="AI58" s="4979"/>
      <c r="AJ58" s="4979"/>
      <c r="AK58" s="6272"/>
      <c r="AL58" s="6272"/>
      <c r="AM58" s="6272"/>
      <c r="AN58" s="6273"/>
      <c r="AO58" s="6273"/>
      <c r="AP58" s="6273"/>
      <c r="AQ58" s="6273"/>
      <c r="AR58" s="6273"/>
      <c r="AS58" s="6273"/>
      <c r="AT58" s="6273"/>
      <c r="AU58" s="6273"/>
      <c r="AV58" s="4979"/>
      <c r="AW58" s="4979"/>
      <c r="AX58" s="4979"/>
    </row>
    <row r="59" spans="1:131" ht="16.350000000000001" customHeight="1" x14ac:dyDescent="0.25">
      <c r="A59" s="7283"/>
      <c r="B59" s="9239" t="s">
        <v>875</v>
      </c>
      <c r="C59" s="9239"/>
      <c r="D59" s="7190">
        <f>SUM(E59:Q59)</f>
        <v>0</v>
      </c>
      <c r="E59" s="7190">
        <f>SUM(E60:E72)</f>
        <v>0</v>
      </c>
      <c r="F59" s="7190">
        <f t="shared" ref="F59:N59" si="2">SUM(F60:F72)</f>
        <v>0</v>
      </c>
      <c r="G59" s="7190">
        <f>SUM(G60:G72)</f>
        <v>0</v>
      </c>
      <c r="H59" s="7190">
        <f t="shared" si="2"/>
        <v>0</v>
      </c>
      <c r="I59" s="7190">
        <f t="shared" si="2"/>
        <v>0</v>
      </c>
      <c r="J59" s="7190">
        <f t="shared" si="2"/>
        <v>0</v>
      </c>
      <c r="K59" s="7190">
        <f t="shared" si="2"/>
        <v>0</v>
      </c>
      <c r="L59" s="7190">
        <f t="shared" si="2"/>
        <v>0</v>
      </c>
      <c r="M59" s="7190">
        <f t="shared" si="2"/>
        <v>0</v>
      </c>
      <c r="N59" s="7190">
        <f t="shared" si="2"/>
        <v>0</v>
      </c>
      <c r="O59" s="7190">
        <f>SUM(O75:O79)</f>
        <v>0</v>
      </c>
      <c r="P59" s="7190">
        <f>SUM(P75:P79)</f>
        <v>0</v>
      </c>
      <c r="Q59" s="7192">
        <f t="shared" ref="Q59" si="3">SUM(Q75:Q79)</f>
        <v>0</v>
      </c>
      <c r="R59" s="7191">
        <f>SUM(R60:R72)</f>
        <v>0</v>
      </c>
      <c r="S59" s="7190">
        <f>SUM(S60:S72)</f>
        <v>0</v>
      </c>
      <c r="T59" s="3940"/>
      <c r="U59" s="3940"/>
      <c r="V59" s="3940"/>
      <c r="W59" s="3940"/>
      <c r="X59" s="3940"/>
      <c r="Y59" s="3940"/>
      <c r="Z59" s="4979"/>
      <c r="AA59" s="4979"/>
      <c r="AB59" s="4979"/>
      <c r="AC59" s="4979"/>
      <c r="AD59" s="4979"/>
      <c r="AE59" s="4979"/>
      <c r="AF59" s="4979"/>
      <c r="AG59" s="4979"/>
      <c r="AH59" s="4979"/>
      <c r="AI59" s="4979"/>
      <c r="AJ59" s="4979"/>
      <c r="AK59" s="6272"/>
      <c r="AL59" s="6272"/>
      <c r="AM59" s="6272"/>
      <c r="AN59" s="6273"/>
      <c r="AO59" s="6273"/>
      <c r="AP59" s="6273"/>
      <c r="AQ59" s="6273"/>
      <c r="AR59" s="6273"/>
      <c r="AS59" s="6273"/>
      <c r="AT59" s="6273"/>
      <c r="AU59" s="6273"/>
      <c r="AV59" s="4979"/>
      <c r="AW59" s="4979"/>
      <c r="AX59" s="4979"/>
    </row>
    <row r="60" spans="1:131" ht="16.350000000000001" customHeight="1" x14ac:dyDescent="0.25">
      <c r="A60" s="7257" t="s">
        <v>4398</v>
      </c>
      <c r="B60" s="9229" t="s">
        <v>874</v>
      </c>
      <c r="C60" s="9230"/>
      <c r="D60" s="6219" t="s">
        <v>5369</v>
      </c>
      <c r="E60" s="6275" t="s">
        <v>5370</v>
      </c>
      <c r="F60" s="6276" t="s">
        <v>5371</v>
      </c>
      <c r="G60" s="6276" t="s">
        <v>5372</v>
      </c>
      <c r="H60" s="6276" t="s">
        <v>5373</v>
      </c>
      <c r="I60" s="6276" t="s">
        <v>5374</v>
      </c>
      <c r="J60" s="6276" t="s">
        <v>5375</v>
      </c>
      <c r="K60" s="6276" t="s">
        <v>5376</v>
      </c>
      <c r="L60" s="6276" t="s">
        <v>5377</v>
      </c>
      <c r="M60" s="6276" t="s">
        <v>5378</v>
      </c>
      <c r="N60" s="6276" t="s">
        <v>5379</v>
      </c>
      <c r="O60" s="6277" t="s">
        <v>5380</v>
      </c>
      <c r="P60" s="6278" t="s">
        <v>5381</v>
      </c>
      <c r="Q60" s="6279" t="s">
        <v>5382</v>
      </c>
      <c r="R60" s="4394" t="s">
        <v>5383</v>
      </c>
      <c r="S60" s="4394" t="s">
        <v>5384</v>
      </c>
      <c r="T60" s="5722"/>
      <c r="U60" s="3940"/>
      <c r="V60" s="3940"/>
      <c r="W60" s="3940"/>
      <c r="X60" s="3940"/>
      <c r="Y60" s="3940"/>
      <c r="Z60" s="4979"/>
      <c r="AA60" s="4979"/>
      <c r="AB60" s="4979"/>
      <c r="AC60" s="4979"/>
      <c r="AD60" s="4979"/>
      <c r="AE60" s="4979"/>
      <c r="AF60" s="4979"/>
      <c r="AG60" s="4979"/>
      <c r="AH60" s="4979"/>
      <c r="AI60" s="4979"/>
      <c r="AJ60" s="4979"/>
      <c r="AK60" s="6272"/>
      <c r="AL60" s="6272"/>
      <c r="AM60" s="6272"/>
      <c r="AN60" s="6273"/>
      <c r="AO60" s="6273"/>
      <c r="AP60" s="6273"/>
      <c r="AQ60" s="6273"/>
      <c r="AR60" s="6273"/>
      <c r="AS60" s="6273"/>
      <c r="AT60" s="6273"/>
      <c r="AU60" s="6273"/>
      <c r="AV60" s="4979"/>
      <c r="AW60" s="4979"/>
      <c r="AX60" s="4979"/>
      <c r="CD60" s="4295" t="s">
        <v>5436</v>
      </c>
      <c r="DC60" s="5899">
        <v>0</v>
      </c>
      <c r="DD60" s="5899">
        <v>1</v>
      </c>
      <c r="DE60" s="5899">
        <v>0</v>
      </c>
    </row>
    <row r="61" spans="1:131" ht="16.350000000000001" customHeight="1" x14ac:dyDescent="0.25">
      <c r="A61" s="7257" t="s">
        <v>4399</v>
      </c>
      <c r="B61" s="9231" t="s">
        <v>873</v>
      </c>
      <c r="C61" s="9232"/>
      <c r="D61" s="5433" t="s">
        <v>5369</v>
      </c>
      <c r="E61" s="6280" t="s">
        <v>5370</v>
      </c>
      <c r="F61" s="6281" t="s">
        <v>5371</v>
      </c>
      <c r="G61" s="6281" t="s">
        <v>5372</v>
      </c>
      <c r="H61" s="6281" t="s">
        <v>5373</v>
      </c>
      <c r="I61" s="6281" t="s">
        <v>5374</v>
      </c>
      <c r="J61" s="6281" t="s">
        <v>5375</v>
      </c>
      <c r="K61" s="6281" t="s">
        <v>5376</v>
      </c>
      <c r="L61" s="6281" t="s">
        <v>5377</v>
      </c>
      <c r="M61" s="6281" t="s">
        <v>5378</v>
      </c>
      <c r="N61" s="6281" t="s">
        <v>5379</v>
      </c>
      <c r="O61" s="6241" t="s">
        <v>5380</v>
      </c>
      <c r="P61" s="6282" t="s">
        <v>5381</v>
      </c>
      <c r="Q61" s="6283" t="s">
        <v>5382</v>
      </c>
      <c r="R61" s="4383" t="s">
        <v>5383</v>
      </c>
      <c r="S61" s="4383" t="s">
        <v>5384</v>
      </c>
      <c r="T61" s="5722"/>
      <c r="U61" s="3940"/>
      <c r="V61" s="3940"/>
      <c r="W61" s="3940"/>
      <c r="X61" s="3940"/>
      <c r="Y61" s="3940"/>
      <c r="Z61" s="4979"/>
      <c r="AA61" s="4979"/>
      <c r="AB61" s="4979"/>
      <c r="AC61" s="4979"/>
      <c r="AD61" s="4979"/>
      <c r="AE61" s="4979"/>
      <c r="AF61" s="4979"/>
      <c r="AG61" s="4979"/>
      <c r="AH61" s="4979"/>
      <c r="AI61" s="4979"/>
      <c r="AJ61" s="4979"/>
      <c r="AK61" s="6272"/>
      <c r="AL61" s="6272"/>
      <c r="AM61" s="6272"/>
      <c r="AN61" s="6273"/>
      <c r="AO61" s="6273"/>
      <c r="AP61" s="6273"/>
      <c r="AQ61" s="6273"/>
      <c r="AR61" s="6273"/>
      <c r="AS61" s="6273"/>
      <c r="AT61" s="6273"/>
      <c r="AU61" s="6273"/>
      <c r="AV61" s="4979"/>
      <c r="AW61" s="4979"/>
      <c r="AX61" s="4979"/>
    </row>
    <row r="62" spans="1:131" ht="16.350000000000001" customHeight="1" x14ac:dyDescent="0.25">
      <c r="A62" s="7257" t="s">
        <v>4400</v>
      </c>
      <c r="B62" s="9249" t="s">
        <v>872</v>
      </c>
      <c r="C62" s="6284" t="s">
        <v>871</v>
      </c>
      <c r="D62" s="6219" t="s">
        <v>5369</v>
      </c>
      <c r="E62" s="6275" t="s">
        <v>5370</v>
      </c>
      <c r="F62" s="6276" t="s">
        <v>5371</v>
      </c>
      <c r="G62" s="6276" t="s">
        <v>5372</v>
      </c>
      <c r="H62" s="6276" t="s">
        <v>5373</v>
      </c>
      <c r="I62" s="6276" t="s">
        <v>5374</v>
      </c>
      <c r="J62" s="6276" t="s">
        <v>5375</v>
      </c>
      <c r="K62" s="6276" t="s">
        <v>5376</v>
      </c>
      <c r="L62" s="6276" t="s">
        <v>5377</v>
      </c>
      <c r="M62" s="6276" t="s">
        <v>5378</v>
      </c>
      <c r="N62" s="6276" t="s">
        <v>5379</v>
      </c>
      <c r="O62" s="6277" t="s">
        <v>5380</v>
      </c>
      <c r="P62" s="6278" t="s">
        <v>5381</v>
      </c>
      <c r="Q62" s="6279" t="s">
        <v>5382</v>
      </c>
      <c r="R62" s="4394" t="s">
        <v>5383</v>
      </c>
      <c r="S62" s="4394" t="s">
        <v>5384</v>
      </c>
      <c r="T62" s="5722"/>
      <c r="U62" s="3940"/>
      <c r="V62" s="3940"/>
      <c r="W62" s="3940"/>
      <c r="X62" s="3940"/>
      <c r="Y62" s="3940"/>
      <c r="Z62" s="4979"/>
      <c r="AA62" s="4979"/>
      <c r="AB62" s="4979"/>
      <c r="AC62" s="4979"/>
      <c r="AD62" s="4979"/>
      <c r="AE62" s="4979"/>
      <c r="AF62" s="4979"/>
      <c r="AG62" s="4979"/>
      <c r="AH62" s="4979"/>
      <c r="AI62" s="4979"/>
      <c r="AJ62" s="4979"/>
      <c r="AK62" s="6272"/>
      <c r="AL62" s="6272"/>
      <c r="AM62" s="6272"/>
      <c r="AN62" s="6273"/>
      <c r="AO62" s="6273"/>
      <c r="AP62" s="6273"/>
      <c r="AQ62" s="6273"/>
      <c r="AR62" s="6273"/>
      <c r="AS62" s="6273"/>
      <c r="AT62" s="6273"/>
      <c r="AU62" s="6273"/>
      <c r="AV62" s="4979"/>
      <c r="AW62" s="4979"/>
      <c r="AX62" s="4979"/>
    </row>
    <row r="63" spans="1:131" ht="16.350000000000001" customHeight="1" x14ac:dyDescent="0.25">
      <c r="A63" s="7278" t="s">
        <v>4401</v>
      </c>
      <c r="B63" s="9062"/>
      <c r="C63" s="6230" t="s">
        <v>870</v>
      </c>
      <c r="D63" s="5394" t="s">
        <v>5369</v>
      </c>
      <c r="E63" s="4229" t="s">
        <v>5370</v>
      </c>
      <c r="F63" s="4462" t="s">
        <v>5371</v>
      </c>
      <c r="G63" s="4462" t="s">
        <v>5372</v>
      </c>
      <c r="H63" s="4462" t="s">
        <v>5373</v>
      </c>
      <c r="I63" s="4462" t="s">
        <v>5374</v>
      </c>
      <c r="J63" s="4462" t="s">
        <v>5375</v>
      </c>
      <c r="K63" s="4462" t="s">
        <v>5376</v>
      </c>
      <c r="L63" s="4462" t="s">
        <v>5377</v>
      </c>
      <c r="M63" s="4462" t="s">
        <v>5378</v>
      </c>
      <c r="N63" s="4462" t="s">
        <v>5379</v>
      </c>
      <c r="O63" s="6285" t="s">
        <v>5380</v>
      </c>
      <c r="P63" s="6286" t="s">
        <v>5381</v>
      </c>
      <c r="Q63" s="6287" t="s">
        <v>5382</v>
      </c>
      <c r="R63" s="4367" t="s">
        <v>5383</v>
      </c>
      <c r="S63" s="4367" t="s">
        <v>5384</v>
      </c>
      <c r="T63" s="5722"/>
      <c r="U63" s="3940"/>
      <c r="V63" s="3940"/>
      <c r="W63" s="3940"/>
      <c r="X63" s="3940"/>
      <c r="Y63" s="3940"/>
      <c r="Z63" s="4979"/>
      <c r="AA63" s="4979"/>
      <c r="AB63" s="4979"/>
      <c r="AC63" s="4979"/>
      <c r="AD63" s="4979"/>
      <c r="AE63" s="4979"/>
      <c r="AF63" s="4979"/>
      <c r="AG63" s="4979"/>
      <c r="AH63" s="4979"/>
      <c r="AI63" s="4979"/>
      <c r="AJ63" s="4979"/>
      <c r="AK63" s="6272"/>
      <c r="AL63" s="6272"/>
      <c r="AM63" s="6272"/>
      <c r="AN63" s="6273"/>
      <c r="AO63" s="6273"/>
      <c r="AP63" s="6273"/>
      <c r="AQ63" s="6273"/>
      <c r="AR63" s="6273"/>
      <c r="AS63" s="6273"/>
      <c r="AT63" s="6273"/>
      <c r="AU63" s="6273"/>
      <c r="AV63" s="4979"/>
      <c r="AW63" s="4979"/>
      <c r="AX63" s="4979"/>
    </row>
    <row r="64" spans="1:131" ht="16.350000000000001" customHeight="1" x14ac:dyDescent="0.25">
      <c r="A64" s="7257" t="s">
        <v>4402</v>
      </c>
      <c r="B64" s="9062"/>
      <c r="C64" s="6230" t="s">
        <v>869</v>
      </c>
      <c r="D64" s="5394" t="s">
        <v>5369</v>
      </c>
      <c r="E64" s="4229" t="s">
        <v>5370</v>
      </c>
      <c r="F64" s="4462" t="s">
        <v>5371</v>
      </c>
      <c r="G64" s="4462" t="s">
        <v>5372</v>
      </c>
      <c r="H64" s="4462" t="s">
        <v>5373</v>
      </c>
      <c r="I64" s="4462" t="s">
        <v>5374</v>
      </c>
      <c r="J64" s="4462" t="s">
        <v>5375</v>
      </c>
      <c r="K64" s="4462" t="s">
        <v>5376</v>
      </c>
      <c r="L64" s="4462" t="s">
        <v>5377</v>
      </c>
      <c r="M64" s="4462" t="s">
        <v>5378</v>
      </c>
      <c r="N64" s="4462" t="s">
        <v>5379</v>
      </c>
      <c r="O64" s="6285" t="s">
        <v>5380</v>
      </c>
      <c r="P64" s="6286" t="s">
        <v>5381</v>
      </c>
      <c r="Q64" s="6287" t="s">
        <v>5382</v>
      </c>
      <c r="R64" s="4367" t="s">
        <v>5383</v>
      </c>
      <c r="S64" s="4367" t="s">
        <v>5384</v>
      </c>
      <c r="T64" s="5722"/>
      <c r="U64" s="3940"/>
      <c r="V64" s="3940"/>
      <c r="W64" s="3940"/>
      <c r="X64" s="3940"/>
      <c r="Y64" s="3940"/>
      <c r="Z64" s="4979"/>
      <c r="AA64" s="4979"/>
      <c r="AB64" s="4979"/>
      <c r="AC64" s="4979"/>
      <c r="AD64" s="4979"/>
      <c r="AE64" s="4979"/>
      <c r="AF64" s="4979"/>
      <c r="AG64" s="4979"/>
      <c r="AH64" s="4979"/>
      <c r="AI64" s="4979"/>
      <c r="AJ64" s="4979"/>
      <c r="AK64" s="6272"/>
      <c r="AL64" s="6272"/>
      <c r="AM64" s="6272"/>
      <c r="AN64" s="6273"/>
      <c r="AO64" s="6273"/>
      <c r="AP64" s="6273"/>
      <c r="AQ64" s="6273"/>
      <c r="AR64" s="6273"/>
      <c r="AS64" s="6273"/>
      <c r="AT64" s="6273"/>
      <c r="AU64" s="6273"/>
      <c r="AV64" s="4979"/>
      <c r="AW64" s="4979"/>
      <c r="AX64" s="4979"/>
    </row>
    <row r="65" spans="1:131" ht="16.350000000000001" customHeight="1" x14ac:dyDescent="0.25">
      <c r="A65" s="7257" t="s">
        <v>4403</v>
      </c>
      <c r="B65" s="9062"/>
      <c r="C65" s="6230" t="s">
        <v>868</v>
      </c>
      <c r="D65" s="5394" t="s">
        <v>5369</v>
      </c>
      <c r="E65" s="4229" t="s">
        <v>5370</v>
      </c>
      <c r="F65" s="4462" t="s">
        <v>5371</v>
      </c>
      <c r="G65" s="4462" t="s">
        <v>5372</v>
      </c>
      <c r="H65" s="4462" t="s">
        <v>5373</v>
      </c>
      <c r="I65" s="4462" t="s">
        <v>5374</v>
      </c>
      <c r="J65" s="4462" t="s">
        <v>5375</v>
      </c>
      <c r="K65" s="4462" t="s">
        <v>5376</v>
      </c>
      <c r="L65" s="4462" t="s">
        <v>5377</v>
      </c>
      <c r="M65" s="4462" t="s">
        <v>5378</v>
      </c>
      <c r="N65" s="4462" t="s">
        <v>5379</v>
      </c>
      <c r="O65" s="6285" t="s">
        <v>5380</v>
      </c>
      <c r="P65" s="6286" t="s">
        <v>5381</v>
      </c>
      <c r="Q65" s="6287" t="s">
        <v>5382</v>
      </c>
      <c r="R65" s="4367" t="s">
        <v>5383</v>
      </c>
      <c r="S65" s="4367" t="s">
        <v>5384</v>
      </c>
      <c r="T65" s="5722"/>
      <c r="U65" s="3940"/>
      <c r="V65" s="3940"/>
      <c r="W65" s="3940"/>
      <c r="X65" s="3940"/>
      <c r="Y65" s="3940"/>
      <c r="Z65" s="4979"/>
      <c r="AA65" s="4979"/>
      <c r="AB65" s="4979"/>
      <c r="AC65" s="4979"/>
      <c r="AD65" s="4979"/>
      <c r="AE65" s="4979"/>
      <c r="AF65" s="4979"/>
      <c r="AG65" s="4979"/>
      <c r="AH65" s="4979"/>
      <c r="AI65" s="4979"/>
      <c r="AJ65" s="4979"/>
      <c r="AK65" s="6272"/>
      <c r="AL65" s="6272"/>
      <c r="AM65" s="6272"/>
      <c r="AN65" s="6273"/>
      <c r="AO65" s="6273"/>
      <c r="AP65" s="6273"/>
      <c r="AQ65" s="6273"/>
      <c r="AR65" s="6273"/>
      <c r="AS65" s="6273"/>
      <c r="AT65" s="6273"/>
      <c r="AU65" s="6273"/>
      <c r="AV65" s="4979"/>
      <c r="AW65" s="4979"/>
      <c r="AX65" s="4979"/>
    </row>
    <row r="66" spans="1:131" ht="16.350000000000001" customHeight="1" x14ac:dyDescent="0.25">
      <c r="A66" s="7257" t="s">
        <v>4404</v>
      </c>
      <c r="B66" s="9062"/>
      <c r="C66" s="6230" t="s">
        <v>867</v>
      </c>
      <c r="D66" s="5394" t="s">
        <v>5369</v>
      </c>
      <c r="E66" s="4229" t="s">
        <v>5370</v>
      </c>
      <c r="F66" s="4462" t="s">
        <v>5371</v>
      </c>
      <c r="G66" s="4462" t="s">
        <v>5372</v>
      </c>
      <c r="H66" s="4462" t="s">
        <v>5373</v>
      </c>
      <c r="I66" s="4462" t="s">
        <v>5374</v>
      </c>
      <c r="J66" s="4462" t="s">
        <v>5375</v>
      </c>
      <c r="K66" s="4462" t="s">
        <v>5376</v>
      </c>
      <c r="L66" s="4462" t="s">
        <v>5377</v>
      </c>
      <c r="M66" s="4462" t="s">
        <v>5378</v>
      </c>
      <c r="N66" s="4462" t="s">
        <v>5379</v>
      </c>
      <c r="O66" s="6285" t="s">
        <v>5380</v>
      </c>
      <c r="P66" s="6286" t="s">
        <v>5381</v>
      </c>
      <c r="Q66" s="6287" t="s">
        <v>5382</v>
      </c>
      <c r="R66" s="4367" t="s">
        <v>5383</v>
      </c>
      <c r="S66" s="4367" t="s">
        <v>5384</v>
      </c>
      <c r="T66" s="5722"/>
      <c r="U66" s="3940"/>
      <c r="V66" s="3940"/>
      <c r="W66" s="3940"/>
      <c r="X66" s="3940"/>
      <c r="Y66" s="3940"/>
      <c r="Z66" s="4979"/>
      <c r="AA66" s="4979"/>
      <c r="AB66" s="4979"/>
      <c r="AC66" s="4979"/>
      <c r="AD66" s="4979"/>
      <c r="AE66" s="4979"/>
      <c r="AF66" s="4979"/>
      <c r="AG66" s="4979"/>
      <c r="AH66" s="4979"/>
      <c r="AI66" s="4979"/>
      <c r="AJ66" s="4979"/>
      <c r="AK66" s="6272"/>
      <c r="AL66" s="6272"/>
      <c r="AM66" s="6272"/>
      <c r="AN66" s="6273"/>
      <c r="AO66" s="6273"/>
      <c r="AP66" s="6273"/>
      <c r="AQ66" s="6273"/>
      <c r="AR66" s="6273"/>
      <c r="AS66" s="6273"/>
      <c r="AT66" s="6273"/>
      <c r="AU66" s="6273"/>
      <c r="AV66" s="4979"/>
      <c r="AW66" s="4979"/>
      <c r="AX66" s="4979"/>
    </row>
    <row r="67" spans="1:131" ht="16.350000000000001" customHeight="1" x14ac:dyDescent="0.25">
      <c r="A67" s="7257" t="s">
        <v>4405</v>
      </c>
      <c r="B67" s="9062"/>
      <c r="C67" s="6234" t="s">
        <v>866</v>
      </c>
      <c r="D67" s="6235" t="s">
        <v>5369</v>
      </c>
      <c r="E67" s="6236" t="s">
        <v>5370</v>
      </c>
      <c r="F67" s="5049" t="s">
        <v>5371</v>
      </c>
      <c r="G67" s="5049" t="s">
        <v>5372</v>
      </c>
      <c r="H67" s="5049" t="s">
        <v>5373</v>
      </c>
      <c r="I67" s="5049" t="s">
        <v>5374</v>
      </c>
      <c r="J67" s="5049" t="s">
        <v>5375</v>
      </c>
      <c r="K67" s="5049" t="s">
        <v>5376</v>
      </c>
      <c r="L67" s="5049" t="s">
        <v>5377</v>
      </c>
      <c r="M67" s="5049" t="s">
        <v>5378</v>
      </c>
      <c r="N67" s="5049" t="s">
        <v>5379</v>
      </c>
      <c r="O67" s="6237" t="s">
        <v>5380</v>
      </c>
      <c r="P67" s="6238" t="s">
        <v>5381</v>
      </c>
      <c r="Q67" s="6239" t="s">
        <v>5382</v>
      </c>
      <c r="R67" s="5044" t="s">
        <v>5383</v>
      </c>
      <c r="S67" s="5044" t="s">
        <v>5384</v>
      </c>
      <c r="T67" s="5722"/>
      <c r="U67" s="3940"/>
      <c r="V67" s="3940"/>
      <c r="W67" s="3940"/>
      <c r="X67" s="3940"/>
      <c r="Y67" s="3940"/>
      <c r="Z67" s="4979"/>
      <c r="AA67" s="4979"/>
      <c r="AB67" s="4979"/>
      <c r="AC67" s="4979"/>
      <c r="AD67" s="4979"/>
      <c r="AE67" s="4979"/>
      <c r="AF67" s="4979"/>
      <c r="AG67" s="4979"/>
      <c r="AH67" s="4979"/>
      <c r="AI67" s="4979"/>
      <c r="AJ67" s="4979"/>
      <c r="AK67" s="6272"/>
      <c r="AL67" s="6272"/>
      <c r="AM67" s="6272"/>
      <c r="AN67" s="6273"/>
      <c r="AO67" s="6273"/>
      <c r="AP67" s="6273"/>
      <c r="AQ67" s="6273"/>
      <c r="AR67" s="6273"/>
      <c r="AS67" s="6273"/>
      <c r="AT67" s="6273"/>
      <c r="AU67" s="6273"/>
      <c r="AV67" s="4979"/>
      <c r="AW67" s="4979"/>
      <c r="AX67" s="4979"/>
    </row>
    <row r="68" spans="1:131" ht="16.350000000000001" customHeight="1" x14ac:dyDescent="0.25">
      <c r="A68" s="7259" t="s">
        <v>4406</v>
      </c>
      <c r="B68" s="9250"/>
      <c r="C68" s="7282" t="s">
        <v>3729</v>
      </c>
      <c r="D68" s="5187" t="s">
        <v>5369</v>
      </c>
      <c r="E68" s="5136" t="s">
        <v>5370</v>
      </c>
      <c r="F68" s="6240" t="s">
        <v>5371</v>
      </c>
      <c r="G68" s="6240" t="s">
        <v>5372</v>
      </c>
      <c r="H68" s="6240" t="s">
        <v>5373</v>
      </c>
      <c r="I68" s="6240" t="s">
        <v>5374</v>
      </c>
      <c r="J68" s="6240" t="s">
        <v>5375</v>
      </c>
      <c r="K68" s="6240" t="s">
        <v>5376</v>
      </c>
      <c r="L68" s="6240" t="s">
        <v>5377</v>
      </c>
      <c r="M68" s="6240" t="s">
        <v>5378</v>
      </c>
      <c r="N68" s="6240" t="s">
        <v>5379</v>
      </c>
      <c r="O68" s="6241" t="s">
        <v>5380</v>
      </c>
      <c r="P68" s="6242" t="s">
        <v>5381</v>
      </c>
      <c r="Q68" s="6243" t="s">
        <v>5382</v>
      </c>
      <c r="R68" s="5027" t="s">
        <v>5383</v>
      </c>
      <c r="S68" s="5027" t="s">
        <v>5384</v>
      </c>
      <c r="T68" s="5722"/>
      <c r="U68" s="3940"/>
      <c r="V68" s="3940"/>
      <c r="W68" s="3940"/>
      <c r="X68" s="3940"/>
      <c r="Y68" s="3940"/>
      <c r="Z68" s="4979"/>
      <c r="AA68" s="4979"/>
      <c r="AB68" s="4979"/>
      <c r="AC68" s="4979"/>
      <c r="AD68" s="4979"/>
      <c r="AE68" s="4979"/>
      <c r="AF68" s="4979"/>
      <c r="AG68" s="4979"/>
      <c r="AH68" s="4979"/>
      <c r="AI68" s="4979"/>
      <c r="AJ68" s="4979"/>
      <c r="AK68" s="6288"/>
      <c r="AL68" s="6288"/>
      <c r="AM68" s="6288"/>
      <c r="AN68" s="6289"/>
      <c r="AO68" s="6289"/>
      <c r="AP68" s="6289"/>
      <c r="AQ68" s="6289"/>
      <c r="AR68" s="6289"/>
      <c r="AS68" s="6289"/>
      <c r="AT68" s="6289"/>
      <c r="AU68" s="6289"/>
      <c r="AV68" s="4979"/>
      <c r="AW68" s="4979"/>
      <c r="AX68" s="4979"/>
    </row>
    <row r="69" spans="1:131" ht="16.350000000000001" customHeight="1" x14ac:dyDescent="0.25">
      <c r="A69" s="7257" t="s">
        <v>4407</v>
      </c>
      <c r="B69" s="9227" t="s">
        <v>3760</v>
      </c>
      <c r="C69" s="6246" t="s">
        <v>69</v>
      </c>
      <c r="D69" s="6219" t="s">
        <v>5369</v>
      </c>
      <c r="E69" s="6275" t="s">
        <v>5370</v>
      </c>
      <c r="F69" s="6276" t="s">
        <v>5371</v>
      </c>
      <c r="G69" s="6276" t="s">
        <v>5372</v>
      </c>
      <c r="H69" s="6276" t="s">
        <v>5373</v>
      </c>
      <c r="I69" s="6276" t="s">
        <v>5374</v>
      </c>
      <c r="J69" s="6276" t="s">
        <v>5375</v>
      </c>
      <c r="K69" s="6276" t="s">
        <v>5376</v>
      </c>
      <c r="L69" s="6276" t="s">
        <v>5377</v>
      </c>
      <c r="M69" s="6276" t="s">
        <v>5378</v>
      </c>
      <c r="N69" s="6276" t="s">
        <v>5379</v>
      </c>
      <c r="O69" s="6277" t="s">
        <v>5380</v>
      </c>
      <c r="P69" s="6278" t="s">
        <v>5381</v>
      </c>
      <c r="Q69" s="6279" t="s">
        <v>5382</v>
      </c>
      <c r="R69" s="4394" t="s">
        <v>5383</v>
      </c>
      <c r="S69" s="4394" t="s">
        <v>5384</v>
      </c>
      <c r="T69" s="5722"/>
      <c r="U69" s="3940"/>
      <c r="V69" s="3940"/>
      <c r="W69" s="3940"/>
      <c r="X69" s="3940"/>
      <c r="Y69" s="3940"/>
      <c r="Z69" s="4979"/>
      <c r="AA69" s="4979"/>
      <c r="AB69" s="4979"/>
      <c r="AC69" s="4979"/>
      <c r="AD69" s="4979"/>
      <c r="AE69" s="4979"/>
      <c r="AF69" s="4979"/>
      <c r="AG69" s="4979"/>
      <c r="AH69" s="4979"/>
      <c r="AI69" s="4979"/>
      <c r="AJ69" s="4979"/>
      <c r="AK69" s="6272"/>
      <c r="AL69" s="6272"/>
      <c r="AM69" s="6272"/>
      <c r="AN69" s="6273"/>
      <c r="AO69" s="6273"/>
      <c r="AP69" s="6273"/>
      <c r="AQ69" s="6273"/>
      <c r="AR69" s="6273"/>
      <c r="AS69" s="6273"/>
      <c r="AT69" s="6273"/>
      <c r="AU69" s="6273"/>
      <c r="AV69" s="4979"/>
      <c r="AW69" s="4979"/>
      <c r="AX69" s="4979"/>
    </row>
    <row r="70" spans="1:131" ht="16.350000000000001" customHeight="1" x14ac:dyDescent="0.25">
      <c r="A70" s="7257" t="s">
        <v>4408</v>
      </c>
      <c r="B70" s="9228"/>
      <c r="C70" s="6247" t="s">
        <v>17</v>
      </c>
      <c r="D70" s="5433" t="s">
        <v>5369</v>
      </c>
      <c r="E70" s="6280" t="s">
        <v>5370</v>
      </c>
      <c r="F70" s="6281" t="s">
        <v>5371</v>
      </c>
      <c r="G70" s="6281" t="s">
        <v>5372</v>
      </c>
      <c r="H70" s="6281" t="s">
        <v>5373</v>
      </c>
      <c r="I70" s="6281" t="s">
        <v>5374</v>
      </c>
      <c r="J70" s="6281" t="s">
        <v>5375</v>
      </c>
      <c r="K70" s="6281" t="s">
        <v>5376</v>
      </c>
      <c r="L70" s="6281" t="s">
        <v>5377</v>
      </c>
      <c r="M70" s="6281" t="s">
        <v>5378</v>
      </c>
      <c r="N70" s="6281" t="s">
        <v>5379</v>
      </c>
      <c r="O70" s="6241" t="s">
        <v>5380</v>
      </c>
      <c r="P70" s="6282" t="s">
        <v>5381</v>
      </c>
      <c r="Q70" s="6283" t="s">
        <v>5382</v>
      </c>
      <c r="R70" s="4378" t="s">
        <v>5383</v>
      </c>
      <c r="S70" s="4378" t="s">
        <v>5384</v>
      </c>
      <c r="T70" s="5722"/>
      <c r="U70" s="3940"/>
      <c r="V70" s="3940"/>
      <c r="W70" s="3940"/>
      <c r="X70" s="3940"/>
      <c r="Y70" s="3940"/>
      <c r="Z70" s="4979"/>
      <c r="AA70" s="4979"/>
      <c r="AB70" s="4979"/>
      <c r="AC70" s="4979"/>
      <c r="AD70" s="4979"/>
      <c r="AE70" s="4979"/>
      <c r="AF70" s="4979"/>
      <c r="AG70" s="4979"/>
      <c r="AH70" s="4979"/>
      <c r="AI70" s="4979"/>
      <c r="AJ70" s="4979"/>
      <c r="AK70" s="6272"/>
      <c r="AL70" s="6272"/>
      <c r="AM70" s="6272"/>
      <c r="AN70" s="6273"/>
      <c r="AO70" s="6273"/>
      <c r="AP70" s="6273"/>
      <c r="AQ70" s="6273"/>
      <c r="AR70" s="6273"/>
      <c r="AS70" s="6273"/>
      <c r="AT70" s="6273"/>
      <c r="AU70" s="6273"/>
      <c r="AV70" s="4979"/>
      <c r="AW70" s="4979"/>
      <c r="AX70" s="4979"/>
    </row>
    <row r="71" spans="1:131" ht="16.350000000000001" customHeight="1" x14ac:dyDescent="0.25">
      <c r="A71" s="7257" t="s">
        <v>4409</v>
      </c>
      <c r="B71" s="9134" t="s">
        <v>865</v>
      </c>
      <c r="C71" s="6290" t="s">
        <v>69</v>
      </c>
      <c r="D71" s="6291" t="s">
        <v>5369</v>
      </c>
      <c r="E71" s="6276" t="s">
        <v>5370</v>
      </c>
      <c r="F71" s="6276" t="s">
        <v>5371</v>
      </c>
      <c r="G71" s="6276" t="s">
        <v>5372</v>
      </c>
      <c r="H71" s="6276" t="s">
        <v>5373</v>
      </c>
      <c r="I71" s="6276" t="s">
        <v>5374</v>
      </c>
      <c r="J71" s="6276" t="s">
        <v>5375</v>
      </c>
      <c r="K71" s="6276" t="s">
        <v>5376</v>
      </c>
      <c r="L71" s="6276" t="s">
        <v>5377</v>
      </c>
      <c r="M71" s="6276" t="s">
        <v>5378</v>
      </c>
      <c r="N71" s="6276" t="s">
        <v>5379</v>
      </c>
      <c r="O71" s="6277" t="s">
        <v>5380</v>
      </c>
      <c r="P71" s="6278" t="s">
        <v>5381</v>
      </c>
      <c r="Q71" s="6279" t="s">
        <v>5382</v>
      </c>
      <c r="R71" s="4394" t="s">
        <v>5383</v>
      </c>
      <c r="S71" s="4394" t="s">
        <v>5384</v>
      </c>
      <c r="T71" s="5722"/>
      <c r="U71" s="3940"/>
      <c r="V71" s="3940"/>
      <c r="W71" s="3940"/>
      <c r="X71" s="3940"/>
      <c r="Y71" s="3940"/>
      <c r="Z71" s="4979"/>
      <c r="AA71" s="4979"/>
      <c r="AB71" s="4979"/>
      <c r="AC71" s="4979"/>
      <c r="AD71" s="4979"/>
      <c r="AE71" s="4979"/>
      <c r="AF71" s="4979"/>
      <c r="AG71" s="4979"/>
      <c r="AH71" s="4979"/>
      <c r="AI71" s="4979"/>
      <c r="AJ71" s="4979"/>
      <c r="AK71" s="6272"/>
      <c r="AL71" s="6272"/>
      <c r="AM71" s="6272"/>
      <c r="AN71" s="6273"/>
      <c r="AO71" s="6273"/>
      <c r="AP71" s="6273"/>
      <c r="AQ71" s="6273"/>
      <c r="AR71" s="6273"/>
      <c r="AS71" s="6273"/>
      <c r="AT71" s="6273"/>
      <c r="AU71" s="6273"/>
      <c r="AV71" s="4979"/>
      <c r="AW71" s="4979"/>
      <c r="AX71" s="4979"/>
    </row>
    <row r="72" spans="1:131" ht="16.350000000000001" customHeight="1" thickBot="1" x14ac:dyDescent="0.3">
      <c r="A72" s="7257" t="s">
        <v>4410</v>
      </c>
      <c r="B72" s="9135"/>
      <c r="C72" s="6249" t="s">
        <v>17</v>
      </c>
      <c r="D72" s="6250" t="s">
        <v>5369</v>
      </c>
      <c r="E72" s="6252" t="s">
        <v>5370</v>
      </c>
      <c r="F72" s="6252" t="s">
        <v>5371</v>
      </c>
      <c r="G72" s="6252" t="s">
        <v>5372</v>
      </c>
      <c r="H72" s="6252" t="s">
        <v>5373</v>
      </c>
      <c r="I72" s="6252" t="s">
        <v>5374</v>
      </c>
      <c r="J72" s="6252" t="s">
        <v>5375</v>
      </c>
      <c r="K72" s="6252" t="s">
        <v>5376</v>
      </c>
      <c r="L72" s="6252" t="s">
        <v>5377</v>
      </c>
      <c r="M72" s="6252" t="s">
        <v>5378</v>
      </c>
      <c r="N72" s="6252" t="s">
        <v>5379</v>
      </c>
      <c r="O72" s="6253" t="s">
        <v>5380</v>
      </c>
      <c r="P72" s="6254" t="s">
        <v>5381</v>
      </c>
      <c r="Q72" s="6255" t="s">
        <v>5382</v>
      </c>
      <c r="R72" s="6292" t="s">
        <v>5383</v>
      </c>
      <c r="S72" s="6292" t="s">
        <v>5384</v>
      </c>
      <c r="T72" s="5722"/>
      <c r="U72" s="3940"/>
      <c r="V72" s="3940"/>
      <c r="W72" s="3940"/>
      <c r="X72" s="3940"/>
      <c r="Y72" s="3940"/>
      <c r="Z72" s="4979"/>
      <c r="AA72" s="4979"/>
      <c r="AB72" s="4979"/>
      <c r="AC72" s="4979"/>
      <c r="AD72" s="4979"/>
      <c r="AE72" s="4979"/>
      <c r="AF72" s="4979"/>
      <c r="AG72" s="4979"/>
      <c r="AH72" s="4979"/>
      <c r="AI72" s="4979"/>
      <c r="AJ72" s="4979"/>
      <c r="AK72" s="6272"/>
      <c r="AL72" s="6272"/>
      <c r="AM72" s="6272"/>
      <c r="AN72" s="6273"/>
      <c r="AO72" s="6273"/>
      <c r="AP72" s="6273"/>
      <c r="AQ72" s="6273"/>
      <c r="AR72" s="6273"/>
      <c r="AS72" s="6273"/>
      <c r="AT72" s="6273"/>
      <c r="AU72" s="6273"/>
      <c r="AV72" s="4979"/>
      <c r="AW72" s="4979"/>
      <c r="AX72" s="4979"/>
    </row>
    <row r="73" spans="1:131" ht="16.350000000000001" customHeight="1" thickTop="1" x14ac:dyDescent="0.25">
      <c r="A73" s="7257" t="s">
        <v>4411</v>
      </c>
      <c r="B73" s="9233" t="s">
        <v>2596</v>
      </c>
      <c r="C73" s="9234"/>
      <c r="D73" s="5387" t="s">
        <v>5369</v>
      </c>
      <c r="E73" s="3906" t="s">
        <v>5370</v>
      </c>
      <c r="F73" s="3906" t="s">
        <v>5371</v>
      </c>
      <c r="G73" s="3906" t="s">
        <v>5372</v>
      </c>
      <c r="H73" s="3906" t="s">
        <v>5373</v>
      </c>
      <c r="I73" s="3906" t="s">
        <v>5374</v>
      </c>
      <c r="J73" s="3906" t="s">
        <v>5375</v>
      </c>
      <c r="K73" s="3906" t="s">
        <v>5376</v>
      </c>
      <c r="L73" s="3906" t="s">
        <v>5377</v>
      </c>
      <c r="M73" s="3906" t="s">
        <v>5378</v>
      </c>
      <c r="N73" s="3906" t="s">
        <v>5379</v>
      </c>
      <c r="O73" s="6277" t="s">
        <v>5380</v>
      </c>
      <c r="P73" s="6278" t="s">
        <v>5381</v>
      </c>
      <c r="Q73" s="6279" t="s">
        <v>5382</v>
      </c>
      <c r="R73" s="4383" t="s">
        <v>5383</v>
      </c>
      <c r="S73" s="4383" t="s">
        <v>5384</v>
      </c>
      <c r="T73" s="5722"/>
      <c r="U73" s="3940"/>
      <c r="V73" s="3940"/>
      <c r="W73" s="3940"/>
      <c r="X73" s="3940"/>
      <c r="Y73" s="3940"/>
      <c r="Z73" s="4979"/>
      <c r="AA73" s="4979"/>
      <c r="AB73" s="4979"/>
      <c r="AC73" s="4979"/>
      <c r="AD73" s="4979"/>
      <c r="AE73" s="4979"/>
      <c r="AF73" s="4979"/>
      <c r="AG73" s="4979"/>
      <c r="AH73" s="4979"/>
      <c r="AI73" s="4979"/>
      <c r="AJ73" s="4979"/>
      <c r="AK73" s="6272"/>
      <c r="AL73" s="6272"/>
      <c r="AM73" s="6272"/>
      <c r="AN73" s="6273"/>
      <c r="AO73" s="6273"/>
      <c r="AP73" s="6273"/>
      <c r="AQ73" s="6273"/>
      <c r="AR73" s="6273"/>
      <c r="AS73" s="6273"/>
      <c r="AT73" s="6273"/>
      <c r="AU73" s="6273"/>
      <c r="AV73" s="4979"/>
      <c r="AW73" s="4979"/>
      <c r="AX73" s="4979"/>
    </row>
    <row r="74" spans="1:131" ht="16.350000000000001" customHeight="1" x14ac:dyDescent="0.25">
      <c r="A74" s="7257" t="s">
        <v>4412</v>
      </c>
      <c r="B74" s="9235" t="s">
        <v>863</v>
      </c>
      <c r="C74" s="9236"/>
      <c r="D74" s="4478" t="s">
        <v>5369</v>
      </c>
      <c r="E74" s="6293" t="s">
        <v>5370</v>
      </c>
      <c r="F74" s="6293" t="s">
        <v>5371</v>
      </c>
      <c r="G74" s="6293" t="s">
        <v>5372</v>
      </c>
      <c r="H74" s="6293" t="s">
        <v>5373</v>
      </c>
      <c r="I74" s="6293" t="s">
        <v>5374</v>
      </c>
      <c r="J74" s="6293" t="s">
        <v>5375</v>
      </c>
      <c r="K74" s="6293" t="s">
        <v>5376</v>
      </c>
      <c r="L74" s="6293" t="s">
        <v>5377</v>
      </c>
      <c r="M74" s="6293" t="s">
        <v>5378</v>
      </c>
      <c r="N74" s="6293" t="s">
        <v>5379</v>
      </c>
      <c r="O74" s="6294" t="s">
        <v>5380</v>
      </c>
      <c r="P74" s="6295" t="s">
        <v>5381</v>
      </c>
      <c r="Q74" s="6296" t="s">
        <v>5382</v>
      </c>
      <c r="R74" s="4378" t="s">
        <v>5383</v>
      </c>
      <c r="S74" s="4378" t="s">
        <v>5384</v>
      </c>
      <c r="T74" s="5722"/>
      <c r="U74" s="3940"/>
      <c r="V74" s="3940"/>
      <c r="W74" s="3940"/>
      <c r="X74" s="3940"/>
      <c r="Y74" s="3940"/>
      <c r="Z74" s="4979"/>
      <c r="AA74" s="4979"/>
      <c r="AB74" s="4979"/>
      <c r="AC74" s="4979"/>
      <c r="AD74" s="4979"/>
      <c r="AE74" s="4979"/>
      <c r="AF74" s="4979"/>
      <c r="AG74" s="4979"/>
      <c r="AH74" s="4979"/>
      <c r="AI74" s="4979"/>
      <c r="AJ74" s="4979"/>
      <c r="AK74" s="6272"/>
      <c r="AL74" s="6272"/>
      <c r="AM74" s="6272"/>
      <c r="AN74" s="6273"/>
      <c r="AO74" s="6273"/>
      <c r="AP74" s="6273"/>
      <c r="AQ74" s="6273"/>
      <c r="AR74" s="6273"/>
      <c r="AS74" s="6273"/>
      <c r="AT74" s="6273"/>
      <c r="AU74" s="6273"/>
      <c r="AV74" s="4979"/>
      <c r="AW74" s="4979"/>
      <c r="AX74" s="4979"/>
    </row>
    <row r="75" spans="1:131" ht="16.350000000000001" customHeight="1" x14ac:dyDescent="0.25">
      <c r="A75" s="7257" t="s">
        <v>4413</v>
      </c>
      <c r="B75" s="9064" t="s">
        <v>3759</v>
      </c>
      <c r="C75" s="6804" t="s">
        <v>69</v>
      </c>
      <c r="D75" s="6219" t="s">
        <v>5369</v>
      </c>
      <c r="E75" s="6220" t="s">
        <v>5370</v>
      </c>
      <c r="F75" s="3833" t="s">
        <v>5371</v>
      </c>
      <c r="G75" s="3833" t="s">
        <v>5372</v>
      </c>
      <c r="H75" s="3833" t="s">
        <v>5373</v>
      </c>
      <c r="I75" s="3833" t="s">
        <v>5374</v>
      </c>
      <c r="J75" s="3833" t="s">
        <v>5375</v>
      </c>
      <c r="K75" s="3833" t="s">
        <v>5376</v>
      </c>
      <c r="L75" s="3833" t="s">
        <v>5377</v>
      </c>
      <c r="M75" s="3833" t="s">
        <v>5378</v>
      </c>
      <c r="N75" s="3833" t="s">
        <v>5379</v>
      </c>
      <c r="O75" s="6266" t="s">
        <v>5380</v>
      </c>
      <c r="P75" s="3833" t="s">
        <v>5381</v>
      </c>
      <c r="Q75" s="6267" t="s">
        <v>5382</v>
      </c>
      <c r="R75" s="6224" t="s">
        <v>5383</v>
      </c>
      <c r="S75" s="6224" t="s">
        <v>5384</v>
      </c>
      <c r="T75" s="5722"/>
      <c r="U75" s="3940"/>
      <c r="V75" s="3940"/>
      <c r="W75" s="4979"/>
      <c r="X75" s="4979"/>
      <c r="Y75" s="4979"/>
      <c r="Z75" s="4979"/>
      <c r="AA75" s="4979"/>
      <c r="AB75" s="4979"/>
      <c r="AC75" s="4979"/>
      <c r="AD75" s="4979"/>
      <c r="AE75" s="4979"/>
      <c r="AF75" s="4979"/>
      <c r="AG75" s="4979"/>
      <c r="AH75" s="6806"/>
      <c r="AI75" s="6806"/>
      <c r="AJ75" s="6806"/>
      <c r="AK75" s="6807"/>
      <c r="AL75" s="6807"/>
      <c r="AM75" s="6807"/>
      <c r="AN75" s="6807"/>
      <c r="AO75" s="6807"/>
      <c r="AP75" s="6807"/>
      <c r="AQ75" s="6807"/>
      <c r="AR75" s="6807"/>
      <c r="AS75" s="4979"/>
      <c r="AT75" s="4979"/>
      <c r="AU75" s="4979"/>
      <c r="AV75" s="4470"/>
      <c r="AW75" s="4470"/>
      <c r="AX75" s="4470"/>
      <c r="AY75" s="4258"/>
      <c r="AZ75" s="4258"/>
      <c r="BA75" s="4258"/>
      <c r="CB75" s="4295" t="s">
        <v>3953</v>
      </c>
      <c r="CD75" s="4295" t="s">
        <v>3954</v>
      </c>
      <c r="CY75" s="5899"/>
      <c r="CZ75" s="5899"/>
      <c r="DA75" s="5899"/>
      <c r="DC75" s="5899">
        <v>0</v>
      </c>
      <c r="DE75" s="5899">
        <v>0</v>
      </c>
      <c r="DY75" s="4259"/>
      <c r="DZ75" s="4259"/>
      <c r="EA75" s="4259"/>
    </row>
    <row r="76" spans="1:131" ht="16.350000000000001" customHeight="1" x14ac:dyDescent="0.25">
      <c r="A76" s="7257" t="s">
        <v>4414</v>
      </c>
      <c r="B76" s="9065"/>
      <c r="C76" s="6805" t="s">
        <v>17</v>
      </c>
      <c r="D76" s="4478" t="s">
        <v>5369</v>
      </c>
      <c r="E76" s="5948" t="s">
        <v>5370</v>
      </c>
      <c r="F76" s="5949" t="s">
        <v>5371</v>
      </c>
      <c r="G76" s="5949" t="s">
        <v>5372</v>
      </c>
      <c r="H76" s="5949" t="s">
        <v>5373</v>
      </c>
      <c r="I76" s="5949" t="s">
        <v>5374</v>
      </c>
      <c r="J76" s="5949" t="s">
        <v>5375</v>
      </c>
      <c r="K76" s="5949" t="s">
        <v>5376</v>
      </c>
      <c r="L76" s="5949" t="s">
        <v>5377</v>
      </c>
      <c r="M76" s="5949" t="s">
        <v>5378</v>
      </c>
      <c r="N76" s="5949" t="s">
        <v>5379</v>
      </c>
      <c r="O76" s="5947" t="s">
        <v>5380</v>
      </c>
      <c r="P76" s="5949" t="s">
        <v>5381</v>
      </c>
      <c r="Q76" s="6269" t="s">
        <v>5382</v>
      </c>
      <c r="R76" s="6264" t="s">
        <v>5383</v>
      </c>
      <c r="S76" s="6264" t="s">
        <v>5384</v>
      </c>
      <c r="T76" s="5722"/>
      <c r="U76" s="3940"/>
      <c r="V76" s="3940"/>
      <c r="W76" s="4979"/>
      <c r="X76" s="4979"/>
      <c r="Y76" s="4979"/>
      <c r="Z76" s="4979"/>
      <c r="AA76" s="4979"/>
      <c r="AB76" s="4979"/>
      <c r="AC76" s="4979"/>
      <c r="AD76" s="4979"/>
      <c r="AE76" s="4979"/>
      <c r="AF76" s="4979"/>
      <c r="AG76" s="4979"/>
      <c r="AH76" s="6806"/>
      <c r="AI76" s="6806"/>
      <c r="AJ76" s="6806"/>
      <c r="AK76" s="6807"/>
      <c r="AL76" s="6807"/>
      <c r="AM76" s="6807"/>
      <c r="AN76" s="6807"/>
      <c r="AO76" s="6807"/>
      <c r="AP76" s="6807"/>
      <c r="AQ76" s="6807"/>
      <c r="AR76" s="6807"/>
      <c r="AS76" s="4979"/>
      <c r="AT76" s="4979"/>
      <c r="AU76" s="4979"/>
      <c r="AV76" s="4470"/>
      <c r="AW76" s="4470"/>
      <c r="AX76" s="4470"/>
      <c r="AY76" s="4258"/>
      <c r="AZ76" s="4258"/>
      <c r="BA76" s="4258"/>
      <c r="CY76" s="5899"/>
      <c r="CZ76" s="5899"/>
      <c r="DA76" s="5899"/>
      <c r="DY76" s="4259"/>
      <c r="DZ76" s="4259"/>
      <c r="EA76" s="4259"/>
    </row>
    <row r="77" spans="1:131" ht="16.350000000000001" customHeight="1" x14ac:dyDescent="0.25">
      <c r="A77" s="7257" t="s">
        <v>4415</v>
      </c>
      <c r="B77" s="9227" t="s">
        <v>862</v>
      </c>
      <c r="C77" s="6265" t="s">
        <v>69</v>
      </c>
      <c r="D77" s="6219" t="s">
        <v>5369</v>
      </c>
      <c r="E77" s="6276" t="s">
        <v>5370</v>
      </c>
      <c r="F77" s="6276" t="s">
        <v>5371</v>
      </c>
      <c r="G77" s="6276" t="s">
        <v>5372</v>
      </c>
      <c r="H77" s="6276" t="s">
        <v>5373</v>
      </c>
      <c r="I77" s="6276" t="s">
        <v>5374</v>
      </c>
      <c r="J77" s="6276" t="s">
        <v>5375</v>
      </c>
      <c r="K77" s="6276" t="s">
        <v>5376</v>
      </c>
      <c r="L77" s="6276" t="s">
        <v>5377</v>
      </c>
      <c r="M77" s="6276" t="s">
        <v>5378</v>
      </c>
      <c r="N77" s="6276" t="s">
        <v>5379</v>
      </c>
      <c r="O77" s="6297" t="s">
        <v>5380</v>
      </c>
      <c r="P77" s="6276" t="s">
        <v>5381</v>
      </c>
      <c r="Q77" s="6298" t="s">
        <v>5382</v>
      </c>
      <c r="R77" s="4383" t="s">
        <v>5383</v>
      </c>
      <c r="S77" s="4383" t="s">
        <v>5384</v>
      </c>
      <c r="T77" s="5722"/>
      <c r="U77" s="3940"/>
      <c r="V77" s="3940"/>
      <c r="W77" s="3940"/>
      <c r="X77" s="3940"/>
      <c r="Y77" s="3940"/>
      <c r="Z77" s="4979"/>
      <c r="AA77" s="4979"/>
      <c r="AB77" s="4979"/>
      <c r="AC77" s="4979"/>
      <c r="AD77" s="4979"/>
      <c r="AE77" s="4979"/>
      <c r="AF77" s="4979"/>
      <c r="AG77" s="4979"/>
      <c r="AH77" s="4979"/>
      <c r="AI77" s="4979"/>
      <c r="AJ77" s="4979"/>
      <c r="AK77" s="6272"/>
      <c r="AL77" s="6272"/>
      <c r="AM77" s="6272"/>
      <c r="AN77" s="6273"/>
      <c r="AO77" s="6273"/>
      <c r="AP77" s="6273"/>
      <c r="AQ77" s="6273"/>
      <c r="AR77" s="6273"/>
      <c r="AS77" s="6273"/>
      <c r="AT77" s="6273"/>
      <c r="AU77" s="6273"/>
      <c r="AV77" s="4979"/>
      <c r="AW77" s="4979"/>
      <c r="AX77" s="4979"/>
    </row>
    <row r="78" spans="1:131" ht="16.350000000000001" customHeight="1" x14ac:dyDescent="0.25">
      <c r="A78" s="7257" t="s">
        <v>4416</v>
      </c>
      <c r="B78" s="9228"/>
      <c r="C78" s="6268" t="s">
        <v>17</v>
      </c>
      <c r="D78" s="4478" t="s">
        <v>5369</v>
      </c>
      <c r="E78" s="6293" t="s">
        <v>5370</v>
      </c>
      <c r="F78" s="6293" t="s">
        <v>5371</v>
      </c>
      <c r="G78" s="6293" t="s">
        <v>5372</v>
      </c>
      <c r="H78" s="6293" t="s">
        <v>5373</v>
      </c>
      <c r="I78" s="6293" t="s">
        <v>5374</v>
      </c>
      <c r="J78" s="6293" t="s">
        <v>5375</v>
      </c>
      <c r="K78" s="6293" t="s">
        <v>5376</v>
      </c>
      <c r="L78" s="6293" t="s">
        <v>5377</v>
      </c>
      <c r="M78" s="6293" t="s">
        <v>5378</v>
      </c>
      <c r="N78" s="6293" t="s">
        <v>5379</v>
      </c>
      <c r="O78" s="5026" t="s">
        <v>5380</v>
      </c>
      <c r="P78" s="6293" t="s">
        <v>5381</v>
      </c>
      <c r="Q78" s="5995" t="s">
        <v>5382</v>
      </c>
      <c r="R78" s="6299" t="s">
        <v>5383</v>
      </c>
      <c r="S78" s="6300" t="s">
        <v>5384</v>
      </c>
      <c r="T78" s="5722"/>
      <c r="U78" s="3940"/>
      <c r="V78" s="3940"/>
      <c r="W78" s="3940"/>
      <c r="X78" s="3940"/>
      <c r="Y78" s="3940"/>
      <c r="Z78" s="4979"/>
      <c r="AA78" s="4979"/>
      <c r="AB78" s="4979"/>
      <c r="AC78" s="4979"/>
      <c r="AD78" s="4979"/>
      <c r="AE78" s="4979"/>
      <c r="AF78" s="4979"/>
      <c r="AG78" s="4979"/>
      <c r="AH78" s="4979"/>
      <c r="AI78" s="4979"/>
      <c r="AJ78" s="4979"/>
      <c r="AK78" s="6272"/>
      <c r="AL78" s="6272"/>
      <c r="AM78" s="6272"/>
      <c r="AN78" s="6273"/>
      <c r="AO78" s="6273"/>
      <c r="AP78" s="6273"/>
      <c r="AQ78" s="6273"/>
      <c r="AR78" s="6273"/>
      <c r="AS78" s="6273"/>
      <c r="AT78" s="6273"/>
      <c r="AU78" s="6273"/>
      <c r="AV78" s="4979"/>
      <c r="AW78" s="4979"/>
      <c r="AX78" s="4979"/>
    </row>
    <row r="79" spans="1:131" ht="16.350000000000001" customHeight="1" x14ac:dyDescent="0.25">
      <c r="A79" s="7278" t="s">
        <v>4417</v>
      </c>
      <c r="B79" s="9237" t="s">
        <v>861</v>
      </c>
      <c r="C79" s="9238"/>
      <c r="D79" s="4478" t="s">
        <v>5369</v>
      </c>
      <c r="E79" s="6301" t="s">
        <v>5370</v>
      </c>
      <c r="F79" s="6293" t="s">
        <v>5371</v>
      </c>
      <c r="G79" s="6293" t="s">
        <v>5372</v>
      </c>
      <c r="H79" s="6293" t="s">
        <v>5373</v>
      </c>
      <c r="I79" s="6293" t="s">
        <v>5374</v>
      </c>
      <c r="J79" s="6293" t="s">
        <v>5375</v>
      </c>
      <c r="K79" s="6293" t="s">
        <v>5376</v>
      </c>
      <c r="L79" s="6293" t="s">
        <v>5377</v>
      </c>
      <c r="M79" s="6293" t="s">
        <v>5378</v>
      </c>
      <c r="N79" s="6293" t="s">
        <v>5379</v>
      </c>
      <c r="O79" s="5026" t="s">
        <v>5380</v>
      </c>
      <c r="P79" s="6293" t="s">
        <v>5381</v>
      </c>
      <c r="Q79" s="5995" t="s">
        <v>5382</v>
      </c>
      <c r="R79" s="6299" t="s">
        <v>5383</v>
      </c>
      <c r="S79" s="6300" t="s">
        <v>5384</v>
      </c>
      <c r="T79" s="5722"/>
      <c r="U79" s="3940"/>
      <c r="V79" s="3940"/>
      <c r="W79" s="3940"/>
      <c r="X79" s="3940"/>
      <c r="Y79" s="3940"/>
      <c r="Z79" s="4979"/>
      <c r="AA79" s="4979"/>
      <c r="AB79" s="4979"/>
      <c r="AC79" s="4979"/>
      <c r="AD79" s="4979"/>
      <c r="AE79" s="4979"/>
      <c r="AF79" s="4979"/>
      <c r="AG79" s="4979"/>
      <c r="AH79" s="4979"/>
      <c r="AI79" s="4979"/>
      <c r="AJ79" s="4979"/>
      <c r="AK79" s="6272"/>
      <c r="AL79" s="6272"/>
      <c r="AM79" s="6272"/>
      <c r="AN79" s="6273"/>
      <c r="AO79" s="6273"/>
      <c r="AP79" s="6273"/>
      <c r="AQ79" s="6273"/>
      <c r="AR79" s="6273"/>
      <c r="AS79" s="6273"/>
      <c r="AT79" s="6273"/>
      <c r="AU79" s="6273"/>
      <c r="AV79" s="4979"/>
      <c r="AW79" s="4979"/>
      <c r="AX79" s="4979"/>
      <c r="DC79" s="5899">
        <v>0</v>
      </c>
      <c r="DE79" s="5899">
        <v>0</v>
      </c>
    </row>
    <row r="80" spans="1:131" ht="24.75" customHeight="1" x14ac:dyDescent="0.25">
      <c r="B80" s="6302" t="s">
        <v>860</v>
      </c>
      <c r="D80" s="3807"/>
      <c r="E80" s="3940"/>
      <c r="F80" s="3940"/>
      <c r="G80" s="3940"/>
      <c r="H80" s="3940"/>
      <c r="I80" s="3940"/>
      <c r="J80" s="3940"/>
      <c r="K80" s="3940"/>
      <c r="L80" s="3940"/>
      <c r="M80" s="3940"/>
      <c r="N80" s="3940"/>
      <c r="O80" s="3940"/>
      <c r="P80" s="3940"/>
      <c r="Q80" s="3940"/>
      <c r="R80" s="3940"/>
      <c r="S80" s="3940"/>
      <c r="T80" s="3940"/>
      <c r="U80" s="3940"/>
      <c r="V80" s="3940"/>
      <c r="W80" s="3940"/>
      <c r="X80" s="3940"/>
      <c r="Y80" s="4979"/>
      <c r="Z80" s="4979"/>
      <c r="AA80" s="4979"/>
      <c r="AB80" s="4979"/>
      <c r="AC80" s="4979"/>
      <c r="AD80" s="4979"/>
      <c r="AE80" s="4979"/>
      <c r="AF80" s="4979"/>
      <c r="AG80" s="4979"/>
      <c r="AH80" s="4979"/>
      <c r="AI80" s="4979"/>
      <c r="AJ80" s="6179"/>
      <c r="AK80" s="6179"/>
      <c r="AL80" s="6179"/>
      <c r="AM80" s="6179"/>
      <c r="AN80" s="6179"/>
      <c r="AO80" s="6179"/>
      <c r="AP80" s="6303"/>
      <c r="AQ80" s="6303"/>
      <c r="AR80" s="6303"/>
      <c r="AS80" s="6303"/>
      <c r="AT80" s="6303"/>
      <c r="AU80" s="6303"/>
      <c r="AV80" s="6303"/>
      <c r="AW80" s="6303"/>
    </row>
    <row r="81" spans="1:107" ht="31.35" customHeight="1" x14ac:dyDescent="0.25">
      <c r="B81" s="6304" t="s">
        <v>31</v>
      </c>
      <c r="C81" s="6304" t="s">
        <v>24</v>
      </c>
      <c r="G81" s="4264"/>
      <c r="H81" s="4264"/>
      <c r="I81" s="4264"/>
      <c r="J81" s="4264"/>
      <c r="K81" s="4264"/>
      <c r="L81" s="4264"/>
      <c r="M81" s="4264"/>
      <c r="N81" s="4264"/>
      <c r="O81" s="4264"/>
      <c r="P81" s="4264"/>
      <c r="Q81" s="4264"/>
      <c r="R81" s="4264"/>
      <c r="S81" s="4264"/>
      <c r="T81" s="4264"/>
      <c r="Y81" s="4979"/>
      <c r="Z81" s="4979"/>
      <c r="AA81" s="4979"/>
      <c r="AB81" s="4979"/>
      <c r="AC81" s="4979"/>
      <c r="AD81" s="4979"/>
      <c r="AE81" s="4979"/>
      <c r="AF81" s="4979"/>
      <c r="AG81" s="4979"/>
      <c r="AH81" s="4979"/>
      <c r="AI81" s="4979"/>
      <c r="AJ81" s="4979"/>
      <c r="AK81" s="4979"/>
      <c r="AL81" s="4979"/>
      <c r="AM81" s="4979"/>
      <c r="AN81" s="4979"/>
      <c r="AO81" s="4979"/>
      <c r="AP81" s="6179"/>
      <c r="AQ81" s="6179"/>
      <c r="AR81" s="6179"/>
      <c r="AS81" s="6179"/>
      <c r="AT81" s="6179"/>
      <c r="AU81" s="6179"/>
      <c r="AV81" s="6179"/>
      <c r="AW81" s="6179"/>
      <c r="AX81" s="6178"/>
    </row>
    <row r="82" spans="1:107" ht="16.350000000000001" customHeight="1" x14ac:dyDescent="0.25">
      <c r="A82" s="7257" t="s">
        <v>4418</v>
      </c>
      <c r="B82" s="5372" t="s">
        <v>29</v>
      </c>
      <c r="C82" s="6305" t="s">
        <v>5369</v>
      </c>
      <c r="D82" s="4259"/>
      <c r="G82" s="4234"/>
      <c r="H82" s="4234"/>
      <c r="I82" s="4234"/>
      <c r="J82" s="4234"/>
      <c r="K82" s="4234"/>
      <c r="L82" s="4234"/>
      <c r="M82" s="4234"/>
      <c r="N82" s="4234"/>
      <c r="O82" s="4234"/>
      <c r="P82" s="4234"/>
      <c r="Q82" s="4234"/>
      <c r="R82" s="4234"/>
      <c r="S82" s="4234"/>
      <c r="T82" s="4234"/>
      <c r="U82" s="3940"/>
      <c r="V82" s="3940"/>
      <c r="W82" s="3940"/>
      <c r="X82" s="3940"/>
      <c r="Y82" s="3940"/>
      <c r="Z82" s="3940"/>
      <c r="AA82" s="3940"/>
      <c r="AB82" s="3940"/>
      <c r="AC82" s="3940"/>
      <c r="AD82" s="3940"/>
      <c r="AE82" s="3940"/>
      <c r="AF82" s="3940"/>
      <c r="AG82" s="3940"/>
      <c r="AH82" s="3940"/>
      <c r="AI82" s="3940"/>
      <c r="AJ82" s="3940"/>
      <c r="AK82" s="3940"/>
      <c r="AL82" s="3940"/>
      <c r="AM82" s="3940"/>
      <c r="AN82" s="3940"/>
      <c r="AO82" s="3940"/>
      <c r="AP82" s="6183"/>
      <c r="AQ82" s="6183"/>
      <c r="AR82" s="6183"/>
      <c r="AS82" s="6183"/>
      <c r="AT82" s="6183"/>
      <c r="AU82" s="6183"/>
      <c r="AV82" s="6183"/>
      <c r="AW82" s="6183"/>
      <c r="AX82" s="6178"/>
    </row>
    <row r="83" spans="1:107" ht="24" customHeight="1" x14ac:dyDescent="0.25">
      <c r="A83" s="7280"/>
      <c r="B83" s="6306" t="s">
        <v>859</v>
      </c>
      <c r="C83" s="4470"/>
      <c r="F83" s="5509"/>
      <c r="G83" s="5790"/>
      <c r="H83" s="4291"/>
      <c r="I83" s="4291"/>
      <c r="J83" s="4291"/>
      <c r="K83" s="4291"/>
      <c r="L83" s="4291"/>
      <c r="M83" s="4291"/>
      <c r="N83" s="4291"/>
      <c r="O83" s="4291"/>
      <c r="P83" s="4291"/>
      <c r="Q83" s="4291"/>
      <c r="R83" s="4291"/>
      <c r="S83" s="4234"/>
      <c r="T83" s="4234"/>
      <c r="U83" s="3940"/>
      <c r="V83" s="3940"/>
      <c r="W83" s="3940"/>
      <c r="X83" s="3940"/>
      <c r="Y83" s="3940"/>
      <c r="Z83" s="3940"/>
      <c r="AA83" s="3940"/>
      <c r="AB83" s="3940"/>
      <c r="AC83" s="3940"/>
      <c r="AD83" s="3940"/>
      <c r="AE83" s="3940"/>
      <c r="AF83" s="3940"/>
      <c r="AG83" s="3940"/>
      <c r="AH83" s="3940"/>
      <c r="AI83" s="3940"/>
      <c r="AJ83" s="3940"/>
      <c r="AK83" s="3940"/>
      <c r="AL83" s="3940"/>
      <c r="AM83" s="3914"/>
      <c r="AN83" s="3914"/>
      <c r="AO83" s="3914"/>
      <c r="AP83" s="6184"/>
      <c r="AQ83" s="6184"/>
      <c r="AR83" s="6183"/>
      <c r="AS83" s="6183"/>
      <c r="AT83" s="6183"/>
      <c r="AU83" s="6183"/>
      <c r="AV83" s="6183"/>
      <c r="AW83" s="6183"/>
      <c r="AX83" s="6178"/>
    </row>
    <row r="84" spans="1:107" ht="27.75" customHeight="1" x14ac:dyDescent="0.25">
      <c r="A84" s="7280"/>
      <c r="B84" s="9090" t="s">
        <v>858</v>
      </c>
      <c r="C84" s="9091"/>
      <c r="D84" s="6304" t="s">
        <v>24</v>
      </c>
      <c r="E84" s="6181" t="s">
        <v>857</v>
      </c>
      <c r="F84" s="6307" t="s">
        <v>856</v>
      </c>
      <c r="AB84" s="6308"/>
      <c r="AC84" s="6308"/>
      <c r="AD84" s="6308"/>
      <c r="AE84" s="6308"/>
      <c r="AF84" s="6308"/>
      <c r="AG84" s="6308"/>
      <c r="AH84" s="6308"/>
      <c r="AI84" s="6308"/>
      <c r="AJ84" s="6308"/>
      <c r="AK84" s="6308"/>
      <c r="AL84" s="6308"/>
      <c r="AM84" s="6308"/>
      <c r="AN84" s="6308"/>
      <c r="AO84" s="6308"/>
      <c r="AP84" s="6308"/>
      <c r="AQ84" s="6308"/>
      <c r="AR84" s="6308"/>
      <c r="AS84" s="6308"/>
      <c r="AT84" s="6309"/>
      <c r="AU84" s="6309"/>
      <c r="AV84" s="6309"/>
      <c r="AW84" s="6310"/>
      <c r="AX84" s="6310"/>
      <c r="AY84" s="6310"/>
      <c r="AZ84" s="6310"/>
      <c r="BA84" s="6310"/>
      <c r="BB84" s="6178"/>
    </row>
    <row r="85" spans="1:107" ht="25.35" customHeight="1" x14ac:dyDescent="0.25">
      <c r="A85" s="7257" t="s">
        <v>4419</v>
      </c>
      <c r="B85" s="9178" t="s">
        <v>855</v>
      </c>
      <c r="C85" s="9179"/>
      <c r="D85" s="5381" t="s">
        <v>5369</v>
      </c>
      <c r="E85" s="6311" t="s">
        <v>5370</v>
      </c>
      <c r="F85" s="6312" t="s">
        <v>5371</v>
      </c>
      <c r="G85" s="6196"/>
      <c r="AB85" s="6308"/>
      <c r="AC85" s="6308"/>
      <c r="AD85" s="6308"/>
      <c r="AE85" s="6308"/>
      <c r="AF85" s="6308"/>
      <c r="AG85" s="6308"/>
      <c r="AH85" s="6308"/>
      <c r="AI85" s="6308"/>
      <c r="AJ85" s="6308"/>
      <c r="AK85" s="6308"/>
      <c r="AL85" s="6308"/>
      <c r="AM85" s="6308"/>
      <c r="AN85" s="6308"/>
      <c r="AO85" s="6308"/>
      <c r="AP85" s="6308"/>
      <c r="AQ85" s="6308"/>
      <c r="AR85" s="6308"/>
      <c r="AS85" s="6308"/>
      <c r="AT85" s="6309"/>
      <c r="AU85" s="6309"/>
      <c r="AV85" s="6309"/>
      <c r="AW85" s="6310"/>
      <c r="AX85" s="6310"/>
      <c r="AY85" s="6310"/>
      <c r="AZ85" s="6310"/>
      <c r="BA85" s="6310"/>
      <c r="BB85" s="6178"/>
    </row>
    <row r="86" spans="1:107" ht="30" customHeight="1" x14ac:dyDescent="0.25">
      <c r="A86" s="7280"/>
      <c r="B86" s="6306" t="s">
        <v>854</v>
      </c>
      <c r="AB86" s="6308"/>
      <c r="AC86" s="6308"/>
      <c r="AD86" s="6308"/>
      <c r="AE86" s="6308"/>
      <c r="AF86" s="6308"/>
      <c r="AG86" s="6308"/>
      <c r="AH86" s="6308"/>
      <c r="AI86" s="6308"/>
      <c r="AJ86" s="6308"/>
      <c r="AK86" s="6308"/>
      <c r="AL86" s="6308"/>
      <c r="AM86" s="6308"/>
      <c r="AN86" s="6308"/>
      <c r="AO86" s="6308"/>
      <c r="AP86" s="6308"/>
      <c r="AQ86" s="6308"/>
      <c r="AR86" s="6308"/>
      <c r="AS86" s="6308"/>
      <c r="AT86" s="6309"/>
      <c r="AU86" s="6309"/>
      <c r="AV86" s="6309"/>
      <c r="AW86" s="6310"/>
      <c r="AX86" s="6310"/>
      <c r="AY86" s="6310"/>
      <c r="AZ86" s="6310"/>
      <c r="BA86" s="6310"/>
      <c r="BB86" s="6178"/>
    </row>
    <row r="87" spans="1:107" ht="33" customHeight="1" x14ac:dyDescent="0.25">
      <c r="A87" s="7280"/>
      <c r="B87" s="9090" t="s">
        <v>849</v>
      </c>
      <c r="C87" s="9091"/>
      <c r="D87" s="9172" t="s">
        <v>848</v>
      </c>
      <c r="E87" s="9173"/>
      <c r="F87" s="9174"/>
      <c r="G87" s="9136" t="s">
        <v>853</v>
      </c>
      <c r="H87" s="9137"/>
      <c r="I87" s="9137"/>
      <c r="J87" s="9137"/>
      <c r="K87" s="9137"/>
      <c r="L87" s="9137"/>
      <c r="M87" s="9137"/>
      <c r="N87" s="9137"/>
      <c r="O87" s="9137"/>
      <c r="P87" s="9137"/>
      <c r="Q87" s="9137"/>
      <c r="R87" s="9138"/>
      <c r="S87" s="9167" t="s">
        <v>2796</v>
      </c>
      <c r="T87" s="9150"/>
      <c r="U87" s="9166" t="s">
        <v>3947</v>
      </c>
      <c r="V87" s="9188"/>
      <c r="W87" s="9141" t="s">
        <v>73</v>
      </c>
      <c r="X87" s="9142"/>
      <c r="Y87" s="9143"/>
      <c r="Z87" s="9195" t="s">
        <v>1768</v>
      </c>
      <c r="AA87" s="9196"/>
      <c r="AB87" s="6313"/>
      <c r="AC87" s="6308"/>
      <c r="AD87" s="6308"/>
      <c r="AE87" s="6308"/>
      <c r="AF87" s="6308"/>
      <c r="AG87" s="6308"/>
      <c r="AH87" s="6308"/>
      <c r="AI87" s="3940"/>
      <c r="AJ87" s="3940"/>
      <c r="AK87" s="3940"/>
      <c r="AL87" s="3940"/>
      <c r="AM87" s="6308"/>
      <c r="AN87" s="6308"/>
      <c r="AO87" s="3940"/>
      <c r="AP87" s="6308"/>
      <c r="AQ87" s="6308"/>
      <c r="AR87" s="6308"/>
      <c r="AS87" s="6308"/>
      <c r="AT87" s="6309"/>
      <c r="AU87" s="6309"/>
      <c r="AV87" s="6309"/>
      <c r="AW87" s="6310"/>
      <c r="AX87" s="6310"/>
      <c r="AY87" s="6310"/>
      <c r="AZ87" s="6310"/>
      <c r="BA87" s="6310"/>
      <c r="BB87" s="6178"/>
    </row>
    <row r="88" spans="1:107" ht="25.5" customHeight="1" x14ac:dyDescent="0.25">
      <c r="A88" s="7280"/>
      <c r="B88" s="9122"/>
      <c r="C88" s="9116"/>
      <c r="D88" s="9085"/>
      <c r="E88" s="9086"/>
      <c r="F88" s="9087"/>
      <c r="G88" s="9166" t="s">
        <v>845</v>
      </c>
      <c r="H88" s="9177"/>
      <c r="I88" s="9166" t="s">
        <v>844</v>
      </c>
      <c r="J88" s="9177"/>
      <c r="K88" s="9166" t="s">
        <v>843</v>
      </c>
      <c r="L88" s="9177"/>
      <c r="M88" s="9166" t="s">
        <v>842</v>
      </c>
      <c r="N88" s="9177"/>
      <c r="O88" s="9166" t="s">
        <v>841</v>
      </c>
      <c r="P88" s="9177"/>
      <c r="Q88" s="9166" t="s">
        <v>840</v>
      </c>
      <c r="R88" s="9177"/>
      <c r="S88" s="9167" t="s">
        <v>852</v>
      </c>
      <c r="T88" s="9150"/>
      <c r="U88" s="9166" t="s">
        <v>851</v>
      </c>
      <c r="V88" s="9188"/>
      <c r="W88" s="9144" t="s">
        <v>839</v>
      </c>
      <c r="X88" s="9145"/>
      <c r="Y88" s="9146"/>
      <c r="Z88" s="9197"/>
      <c r="AA88" s="9198"/>
      <c r="AB88" s="6313"/>
      <c r="AC88" s="6308"/>
      <c r="AD88" s="6308"/>
      <c r="AE88" s="6308"/>
      <c r="AF88" s="6308"/>
      <c r="AG88" s="6308"/>
      <c r="AH88" s="6308"/>
      <c r="AI88" s="3940"/>
      <c r="AJ88" s="3940"/>
      <c r="AK88" s="3940"/>
      <c r="AL88" s="3940"/>
      <c r="AM88" s="6308"/>
      <c r="AN88" s="6308"/>
      <c r="AO88" s="3940"/>
      <c r="AP88" s="6308"/>
      <c r="AQ88" s="6308"/>
      <c r="AR88" s="6308"/>
      <c r="AS88" s="6308"/>
      <c r="AT88" s="6309"/>
      <c r="AU88" s="6309"/>
      <c r="AV88" s="6309"/>
      <c r="AW88" s="6310"/>
      <c r="AX88" s="6310"/>
      <c r="AY88" s="6310"/>
      <c r="AZ88" s="6310"/>
      <c r="BA88" s="6310"/>
      <c r="BB88" s="6178"/>
    </row>
    <row r="89" spans="1:107" ht="35.25" customHeight="1" x14ac:dyDescent="0.25">
      <c r="A89" s="7280"/>
      <c r="B89" s="9092"/>
      <c r="C89" s="9093"/>
      <c r="D89" s="6181" t="s">
        <v>42</v>
      </c>
      <c r="E89" s="5368" t="s">
        <v>17</v>
      </c>
      <c r="F89" s="6095" t="s">
        <v>18</v>
      </c>
      <c r="G89" s="6314" t="s">
        <v>17</v>
      </c>
      <c r="H89" s="4901" t="s">
        <v>18</v>
      </c>
      <c r="I89" s="6314" t="s">
        <v>17</v>
      </c>
      <c r="J89" s="4901" t="s">
        <v>18</v>
      </c>
      <c r="K89" s="6314" t="s">
        <v>17</v>
      </c>
      <c r="L89" s="4901" t="s">
        <v>18</v>
      </c>
      <c r="M89" s="6314" t="s">
        <v>17</v>
      </c>
      <c r="N89" s="4901" t="s">
        <v>18</v>
      </c>
      <c r="O89" s="6314" t="s">
        <v>17</v>
      </c>
      <c r="P89" s="4901" t="s">
        <v>18</v>
      </c>
      <c r="Q89" s="6314" t="s">
        <v>17</v>
      </c>
      <c r="R89" s="4901" t="s">
        <v>18</v>
      </c>
      <c r="S89" s="6315" t="s">
        <v>17</v>
      </c>
      <c r="T89" s="6316" t="s">
        <v>18</v>
      </c>
      <c r="U89" s="6314" t="s">
        <v>17</v>
      </c>
      <c r="V89" s="6317" t="s">
        <v>18</v>
      </c>
      <c r="W89" s="4901" t="s">
        <v>837</v>
      </c>
      <c r="X89" s="4902" t="s">
        <v>135</v>
      </c>
      <c r="Y89" s="4902" t="s">
        <v>2516</v>
      </c>
      <c r="Z89" s="4902" t="s">
        <v>836</v>
      </c>
      <c r="AA89" s="4902" t="s">
        <v>835</v>
      </c>
      <c r="AB89" s="6313"/>
      <c r="AC89" s="6308"/>
      <c r="AD89" s="6308"/>
      <c r="AE89" s="6308"/>
      <c r="AF89" s="6308"/>
      <c r="AG89" s="6308"/>
      <c r="AH89" s="6308"/>
      <c r="AI89" s="3940"/>
      <c r="AJ89" s="3940"/>
      <c r="AK89" s="3940"/>
      <c r="AL89" s="3940"/>
      <c r="AM89" s="6308"/>
      <c r="AN89" s="6308"/>
      <c r="AO89" s="3940"/>
      <c r="AP89" s="6308"/>
      <c r="AQ89" s="6308"/>
      <c r="AR89" s="6308"/>
      <c r="AS89" s="6308"/>
      <c r="AT89" s="6308"/>
      <c r="AU89" s="6308"/>
      <c r="AV89" s="6308"/>
      <c r="AW89" s="6308"/>
      <c r="AX89" s="6308"/>
      <c r="AY89" s="6318"/>
      <c r="AZ89" s="6318"/>
      <c r="BA89" s="6318"/>
      <c r="BB89" s="6178"/>
      <c r="DB89" s="5899">
        <v>0</v>
      </c>
      <c r="DC89" s="5899">
        <v>0</v>
      </c>
    </row>
    <row r="90" spans="1:107" ht="16.350000000000001" customHeight="1" x14ac:dyDescent="0.25">
      <c r="A90" s="7257" t="s">
        <v>4420</v>
      </c>
      <c r="B90" s="9175" t="s">
        <v>834</v>
      </c>
      <c r="C90" s="9176"/>
      <c r="D90" s="6319" t="s">
        <v>5369</v>
      </c>
      <c r="E90" s="6320" t="s">
        <v>5370</v>
      </c>
      <c r="F90" s="6321" t="s">
        <v>5371</v>
      </c>
      <c r="G90" s="6220" t="s">
        <v>5372</v>
      </c>
      <c r="H90" s="6322" t="s">
        <v>5373</v>
      </c>
      <c r="I90" s="6220" t="s">
        <v>5374</v>
      </c>
      <c r="J90" s="6322" t="s">
        <v>5375</v>
      </c>
      <c r="K90" s="6220" t="s">
        <v>5376</v>
      </c>
      <c r="L90" s="6322" t="s">
        <v>5377</v>
      </c>
      <c r="M90" s="6220" t="s">
        <v>5378</v>
      </c>
      <c r="N90" s="6322" t="s">
        <v>5379</v>
      </c>
      <c r="O90" s="6220" t="s">
        <v>5380</v>
      </c>
      <c r="P90" s="6322" t="s">
        <v>5381</v>
      </c>
      <c r="Q90" s="6220" t="s">
        <v>5382</v>
      </c>
      <c r="R90" s="6322" t="s">
        <v>5383</v>
      </c>
      <c r="S90" s="6266" t="s">
        <v>5384</v>
      </c>
      <c r="T90" s="6224" t="s">
        <v>5385</v>
      </c>
      <c r="U90" s="6220" t="s">
        <v>5386</v>
      </c>
      <c r="V90" s="6323" t="s">
        <v>5387</v>
      </c>
      <c r="W90" s="6266" t="s">
        <v>5388</v>
      </c>
      <c r="X90" s="6186" t="s">
        <v>5389</v>
      </c>
      <c r="Y90" s="6324" t="s">
        <v>5390</v>
      </c>
      <c r="Z90" s="6324" t="s">
        <v>5391</v>
      </c>
      <c r="AA90" s="6325" t="s">
        <v>5392</v>
      </c>
      <c r="AB90" s="6196"/>
      <c r="AC90" s="6308"/>
      <c r="AD90" s="6308"/>
      <c r="AE90" s="6308"/>
      <c r="AF90" s="6308"/>
      <c r="AG90" s="6308"/>
      <c r="AH90" s="6308"/>
      <c r="AI90" s="3940"/>
      <c r="AJ90" s="3940"/>
      <c r="AK90" s="3940"/>
      <c r="AL90" s="3940"/>
      <c r="AM90" s="6308"/>
      <c r="AN90" s="6308"/>
      <c r="AO90" s="3940"/>
      <c r="AP90" s="6308"/>
      <c r="AQ90" s="6308"/>
      <c r="AR90" s="6308"/>
      <c r="AS90" s="6308"/>
      <c r="AT90" s="6308"/>
      <c r="AU90" s="6308"/>
      <c r="AV90" s="6308"/>
      <c r="AW90" s="6308"/>
      <c r="AX90" s="6308"/>
      <c r="AY90" s="6318"/>
      <c r="AZ90" s="6318"/>
      <c r="BA90" s="6318"/>
      <c r="BB90" s="6178"/>
      <c r="CA90" s="4258" t="s">
        <v>5468</v>
      </c>
      <c r="CB90" s="4295" t="s">
        <v>5469</v>
      </c>
      <c r="CH90" s="4295">
        <v>0</v>
      </c>
      <c r="CI90" s="4295">
        <v>0</v>
      </c>
      <c r="DA90" s="4295">
        <v>1</v>
      </c>
      <c r="DB90" s="5899">
        <v>1</v>
      </c>
      <c r="DC90" s="5899">
        <v>0</v>
      </c>
    </row>
    <row r="91" spans="1:107" ht="16.350000000000001" customHeight="1" x14ac:dyDescent="0.25">
      <c r="A91" s="7257" t="s">
        <v>4421</v>
      </c>
      <c r="B91" s="9099" t="s">
        <v>651</v>
      </c>
      <c r="C91" s="9097"/>
      <c r="D91" s="6326" t="s">
        <v>5369</v>
      </c>
      <c r="E91" s="6327" t="s">
        <v>5370</v>
      </c>
      <c r="F91" s="6328" t="s">
        <v>5371</v>
      </c>
      <c r="G91" s="4920" t="s">
        <v>5372</v>
      </c>
      <c r="H91" s="4921" t="s">
        <v>5373</v>
      </c>
      <c r="I91" s="4920" t="s">
        <v>5374</v>
      </c>
      <c r="J91" s="4921" t="s">
        <v>5375</v>
      </c>
      <c r="K91" s="4920" t="s">
        <v>5376</v>
      </c>
      <c r="L91" s="4921" t="s">
        <v>5377</v>
      </c>
      <c r="M91" s="4920" t="s">
        <v>5378</v>
      </c>
      <c r="N91" s="4921" t="s">
        <v>5379</v>
      </c>
      <c r="O91" s="4920" t="s">
        <v>5380</v>
      </c>
      <c r="P91" s="4921" t="s">
        <v>5381</v>
      </c>
      <c r="Q91" s="4920" t="s">
        <v>5382</v>
      </c>
      <c r="R91" s="4921" t="s">
        <v>5383</v>
      </c>
      <c r="S91" s="4923" t="s">
        <v>5384</v>
      </c>
      <c r="T91" s="5330" t="s">
        <v>5385</v>
      </c>
      <c r="U91" s="4920" t="s">
        <v>5386</v>
      </c>
      <c r="V91" s="4922" t="s">
        <v>5387</v>
      </c>
      <c r="W91" s="4923" t="s">
        <v>5388</v>
      </c>
      <c r="X91" s="4369" t="s">
        <v>5389</v>
      </c>
      <c r="Y91" s="4458" t="s">
        <v>5390</v>
      </c>
      <c r="Z91" s="4458" t="s">
        <v>5391</v>
      </c>
      <c r="AA91" s="4460" t="s">
        <v>5392</v>
      </c>
      <c r="AB91" s="6196"/>
      <c r="AC91" s="6308"/>
      <c r="AD91" s="6308"/>
      <c r="AE91" s="6308"/>
      <c r="AF91" s="6308"/>
      <c r="AG91" s="6308"/>
      <c r="AH91" s="6308"/>
      <c r="AI91" s="3940"/>
      <c r="AJ91" s="3940"/>
      <c r="AK91" s="3940"/>
      <c r="AL91" s="3940"/>
      <c r="AM91" s="6308"/>
      <c r="AN91" s="6308"/>
      <c r="AO91" s="3940"/>
      <c r="AP91" s="6308"/>
      <c r="AQ91" s="6308"/>
      <c r="AR91" s="6308"/>
      <c r="AS91" s="6308"/>
      <c r="AT91" s="6308"/>
      <c r="AU91" s="6308"/>
      <c r="AV91" s="6308"/>
      <c r="AW91" s="6308"/>
      <c r="AX91" s="6308"/>
      <c r="AY91" s="6318"/>
      <c r="AZ91" s="6318"/>
      <c r="BA91" s="6318"/>
      <c r="BB91" s="6178"/>
    </row>
    <row r="92" spans="1:107" ht="15.75" customHeight="1" x14ac:dyDescent="0.25">
      <c r="A92" s="7257" t="s">
        <v>4422</v>
      </c>
      <c r="B92" s="9099" t="s">
        <v>833</v>
      </c>
      <c r="C92" s="9097"/>
      <c r="D92" s="6326" t="s">
        <v>5369</v>
      </c>
      <c r="E92" s="6327" t="s">
        <v>5370</v>
      </c>
      <c r="F92" s="6328" t="s">
        <v>5371</v>
      </c>
      <c r="G92" s="4920" t="s">
        <v>5372</v>
      </c>
      <c r="H92" s="4921" t="s">
        <v>5373</v>
      </c>
      <c r="I92" s="4920" t="s">
        <v>5374</v>
      </c>
      <c r="J92" s="4921" t="s">
        <v>5375</v>
      </c>
      <c r="K92" s="4920" t="s">
        <v>5376</v>
      </c>
      <c r="L92" s="4921" t="s">
        <v>5377</v>
      </c>
      <c r="M92" s="4920" t="s">
        <v>5378</v>
      </c>
      <c r="N92" s="4921" t="s">
        <v>5379</v>
      </c>
      <c r="O92" s="4920" t="s">
        <v>5380</v>
      </c>
      <c r="P92" s="4921" t="s">
        <v>5381</v>
      </c>
      <c r="Q92" s="4920" t="s">
        <v>5382</v>
      </c>
      <c r="R92" s="4921" t="s">
        <v>5383</v>
      </c>
      <c r="S92" s="4923" t="s">
        <v>5384</v>
      </c>
      <c r="T92" s="5330" t="s">
        <v>5385</v>
      </c>
      <c r="U92" s="4920" t="s">
        <v>5386</v>
      </c>
      <c r="V92" s="4922" t="s">
        <v>5387</v>
      </c>
      <c r="W92" s="4923" t="s">
        <v>5388</v>
      </c>
      <c r="X92" s="4369" t="s">
        <v>5389</v>
      </c>
      <c r="Y92" s="4458" t="s">
        <v>5390</v>
      </c>
      <c r="Z92" s="4458" t="s">
        <v>5391</v>
      </c>
      <c r="AA92" s="4460" t="s">
        <v>5392</v>
      </c>
      <c r="AB92" s="6196"/>
      <c r="AC92" s="6308"/>
      <c r="AD92" s="6308"/>
      <c r="AE92" s="6308"/>
      <c r="AF92" s="6308"/>
      <c r="AG92" s="6308"/>
      <c r="AH92" s="6308"/>
      <c r="AI92" s="3940"/>
      <c r="AJ92" s="3940"/>
      <c r="AK92" s="3940"/>
      <c r="AL92" s="3940"/>
      <c r="AM92" s="6308"/>
      <c r="AN92" s="6308"/>
      <c r="AO92" s="3940"/>
      <c r="AP92" s="6308"/>
      <c r="AQ92" s="6308"/>
      <c r="AR92" s="6308"/>
      <c r="AS92" s="6308"/>
      <c r="AT92" s="6308"/>
      <c r="AU92" s="6308"/>
      <c r="AV92" s="6308"/>
      <c r="AW92" s="6308"/>
      <c r="AX92" s="6308"/>
      <c r="AY92" s="6318"/>
      <c r="AZ92" s="6318"/>
      <c r="BA92" s="6318"/>
    </row>
    <row r="93" spans="1:107" ht="18" customHeight="1" x14ac:dyDescent="0.25">
      <c r="A93" s="7257" t="s">
        <v>4423</v>
      </c>
      <c r="B93" s="9094" t="s">
        <v>832</v>
      </c>
      <c r="C93" s="9095"/>
      <c r="D93" s="6329" t="s">
        <v>5369</v>
      </c>
      <c r="E93" s="6330" t="s">
        <v>5370</v>
      </c>
      <c r="F93" s="6331" t="s">
        <v>5371</v>
      </c>
      <c r="G93" s="4933" t="s">
        <v>5372</v>
      </c>
      <c r="H93" s="3981" t="s">
        <v>5373</v>
      </c>
      <c r="I93" s="4933" t="s">
        <v>5374</v>
      </c>
      <c r="J93" s="3981" t="s">
        <v>5375</v>
      </c>
      <c r="K93" s="4933" t="s">
        <v>5376</v>
      </c>
      <c r="L93" s="3981" t="s">
        <v>5377</v>
      </c>
      <c r="M93" s="4933" t="s">
        <v>5378</v>
      </c>
      <c r="N93" s="3981" t="s">
        <v>5379</v>
      </c>
      <c r="O93" s="4933" t="s">
        <v>5380</v>
      </c>
      <c r="P93" s="3981" t="s">
        <v>5381</v>
      </c>
      <c r="Q93" s="4933" t="s">
        <v>5382</v>
      </c>
      <c r="R93" s="3981" t="s">
        <v>5383</v>
      </c>
      <c r="S93" s="4935" t="s">
        <v>5384</v>
      </c>
      <c r="T93" s="4479" t="s">
        <v>5385</v>
      </c>
      <c r="U93" s="4933" t="s">
        <v>5386</v>
      </c>
      <c r="V93" s="4934" t="s">
        <v>5387</v>
      </c>
      <c r="W93" s="4935" t="s">
        <v>5388</v>
      </c>
      <c r="X93" s="4387" t="s">
        <v>5389</v>
      </c>
      <c r="Y93" s="4466" t="s">
        <v>5390</v>
      </c>
      <c r="Z93" s="6332" t="s">
        <v>5391</v>
      </c>
      <c r="AA93" s="6332" t="s">
        <v>5392</v>
      </c>
      <c r="AB93" s="6196"/>
      <c r="AC93" s="6308"/>
      <c r="AD93" s="6308"/>
      <c r="AE93" s="3940"/>
      <c r="AF93" s="3940"/>
      <c r="AG93" s="3940"/>
      <c r="AH93" s="3940"/>
      <c r="AI93" s="6308"/>
      <c r="AJ93" s="6308"/>
      <c r="AK93" s="3940"/>
      <c r="AL93" s="6308"/>
      <c r="AM93" s="6308"/>
      <c r="AN93" s="6308"/>
      <c r="AO93" s="6308"/>
      <c r="AP93" s="6308"/>
      <c r="AQ93" s="6308"/>
      <c r="AR93" s="6308"/>
      <c r="AS93" s="6308"/>
      <c r="AT93" s="6308"/>
      <c r="AU93" s="6308"/>
      <c r="AV93" s="6308"/>
      <c r="AW93" s="6308"/>
      <c r="AX93" s="6308"/>
      <c r="AY93" s="6318"/>
      <c r="AZ93" s="6318"/>
      <c r="BA93" s="6318"/>
    </row>
    <row r="94" spans="1:107" ht="22.5" customHeight="1" x14ac:dyDescent="0.25">
      <c r="B94" s="6306" t="s">
        <v>850</v>
      </c>
      <c r="X94" s="6308"/>
      <c r="Y94" s="6308"/>
      <c r="Z94" s="6308"/>
      <c r="AA94" s="6308"/>
      <c r="AB94" s="3940"/>
      <c r="AC94" s="6308"/>
      <c r="AD94" s="6308"/>
      <c r="AE94" s="3940"/>
      <c r="AF94" s="3940"/>
      <c r="AG94" s="3940"/>
      <c r="AH94" s="3940"/>
      <c r="AI94" s="6308"/>
      <c r="AJ94" s="6308"/>
      <c r="AK94" s="3940"/>
      <c r="AL94" s="6308"/>
      <c r="AM94" s="6308"/>
      <c r="AN94" s="6308"/>
      <c r="AO94" s="6308"/>
      <c r="AP94" s="6308"/>
      <c r="AQ94" s="6308"/>
      <c r="AR94" s="6308"/>
      <c r="AS94" s="6308"/>
      <c r="AT94" s="6308"/>
      <c r="AU94" s="6308"/>
      <c r="AV94" s="6308"/>
      <c r="AW94" s="6308"/>
      <c r="AX94" s="6308"/>
      <c r="AY94" s="6318"/>
      <c r="AZ94" s="6318"/>
      <c r="BA94" s="6318"/>
    </row>
    <row r="95" spans="1:107" ht="28.5" customHeight="1" x14ac:dyDescent="0.25">
      <c r="B95" s="9090" t="s">
        <v>849</v>
      </c>
      <c r="C95" s="9091"/>
      <c r="D95" s="9172" t="s">
        <v>848</v>
      </c>
      <c r="E95" s="9173"/>
      <c r="F95" s="9174"/>
      <c r="G95" s="9147" t="s">
        <v>847</v>
      </c>
      <c r="H95" s="9148"/>
      <c r="I95" s="9148"/>
      <c r="J95" s="9148"/>
      <c r="K95" s="9148"/>
      <c r="L95" s="9148"/>
      <c r="M95" s="9148"/>
      <c r="N95" s="9148"/>
      <c r="O95" s="9148"/>
      <c r="P95" s="9148"/>
      <c r="Q95" s="9148"/>
      <c r="R95" s="9149"/>
      <c r="S95" s="9192" t="s">
        <v>846</v>
      </c>
      <c r="T95" s="9193"/>
      <c r="U95" s="9193"/>
      <c r="V95" s="9193"/>
      <c r="W95" s="9194"/>
      <c r="X95" s="6308"/>
      <c r="Y95" s="6308"/>
      <c r="Z95" s="6308"/>
      <c r="AA95" s="6308"/>
      <c r="AB95" s="6308"/>
      <c r="AC95" s="6308"/>
      <c r="AD95" s="6308"/>
      <c r="AE95" s="3940"/>
      <c r="AF95" s="3940"/>
      <c r="AG95" s="3940"/>
      <c r="AH95" s="3940"/>
      <c r="AI95" s="6308"/>
      <c r="AJ95" s="6308"/>
      <c r="AK95" s="3940"/>
      <c r="AL95" s="6308"/>
      <c r="AM95" s="6308"/>
      <c r="AN95" s="6308"/>
      <c r="AO95" s="6308"/>
      <c r="AP95" s="6308"/>
      <c r="AQ95" s="6308"/>
      <c r="AR95" s="6308"/>
      <c r="AS95" s="6308"/>
      <c r="AT95" s="6308"/>
      <c r="AU95" s="6308"/>
      <c r="AV95" s="6308"/>
      <c r="AW95" s="6308"/>
      <c r="AX95" s="6308"/>
      <c r="AY95" s="6318"/>
      <c r="AZ95" s="6318"/>
      <c r="BA95" s="6318"/>
    </row>
    <row r="96" spans="1:107" ht="26.25" customHeight="1" x14ac:dyDescent="0.25">
      <c r="B96" s="9122"/>
      <c r="C96" s="9116"/>
      <c r="D96" s="9085"/>
      <c r="E96" s="9086"/>
      <c r="F96" s="9087"/>
      <c r="G96" s="9108" t="s">
        <v>845</v>
      </c>
      <c r="H96" s="9150"/>
      <c r="I96" s="9108" t="s">
        <v>844</v>
      </c>
      <c r="J96" s="9150"/>
      <c r="K96" s="9108" t="s">
        <v>843</v>
      </c>
      <c r="L96" s="9150"/>
      <c r="M96" s="9108" t="s">
        <v>842</v>
      </c>
      <c r="N96" s="9150"/>
      <c r="O96" s="9108" t="s">
        <v>841</v>
      </c>
      <c r="P96" s="9150"/>
      <c r="Q96" s="9108" t="s">
        <v>840</v>
      </c>
      <c r="R96" s="9109"/>
      <c r="S96" s="9144" t="s">
        <v>839</v>
      </c>
      <c r="T96" s="9145"/>
      <c r="U96" s="9146"/>
      <c r="V96" s="9108" t="s">
        <v>838</v>
      </c>
      <c r="W96" s="9150"/>
      <c r="X96" s="6308"/>
      <c r="Y96" s="6308"/>
      <c r="Z96" s="6308"/>
      <c r="AA96" s="6308"/>
      <c r="AB96" s="6308"/>
      <c r="AC96" s="6308"/>
      <c r="AD96" s="6308"/>
      <c r="AE96" s="3940"/>
      <c r="AF96" s="3940"/>
      <c r="AG96" s="3940"/>
      <c r="AH96" s="3940"/>
      <c r="AI96" s="6308"/>
      <c r="AJ96" s="6308"/>
      <c r="AK96" s="3940"/>
      <c r="AL96" s="6308"/>
      <c r="AM96" s="6308"/>
      <c r="AN96" s="6308"/>
      <c r="AO96" s="6308"/>
      <c r="AP96" s="6308"/>
      <c r="AQ96" s="6308"/>
      <c r="AR96" s="6308"/>
      <c r="AS96" s="6308"/>
      <c r="AT96" s="6308"/>
      <c r="AU96" s="6308"/>
      <c r="AV96" s="6308"/>
      <c r="AW96" s="6308"/>
      <c r="AX96" s="6308"/>
      <c r="AY96" s="6318"/>
      <c r="AZ96" s="6318"/>
      <c r="BA96" s="6318"/>
    </row>
    <row r="97" spans="1:131" ht="32.25" customHeight="1" x14ac:dyDescent="0.25">
      <c r="B97" s="9092"/>
      <c r="C97" s="9093"/>
      <c r="D97" s="6181" t="s">
        <v>42</v>
      </c>
      <c r="E97" s="5368" t="s">
        <v>17</v>
      </c>
      <c r="F97" s="6095" t="s">
        <v>18</v>
      </c>
      <c r="G97" s="5839" t="s">
        <v>17</v>
      </c>
      <c r="H97" s="6316" t="s">
        <v>18</v>
      </c>
      <c r="I97" s="5839" t="s">
        <v>17</v>
      </c>
      <c r="J97" s="6316" t="s">
        <v>18</v>
      </c>
      <c r="K97" s="5839" t="s">
        <v>17</v>
      </c>
      <c r="L97" s="6316" t="s">
        <v>18</v>
      </c>
      <c r="M97" s="5839" t="s">
        <v>17</v>
      </c>
      <c r="N97" s="6316" t="s">
        <v>18</v>
      </c>
      <c r="O97" s="5839" t="s">
        <v>17</v>
      </c>
      <c r="P97" s="6316" t="s">
        <v>18</v>
      </c>
      <c r="Q97" s="5839" t="s">
        <v>17</v>
      </c>
      <c r="R97" s="6333" t="s">
        <v>18</v>
      </c>
      <c r="S97" s="6316" t="s">
        <v>837</v>
      </c>
      <c r="T97" s="6304" t="s">
        <v>135</v>
      </c>
      <c r="U97" s="4524" t="s">
        <v>2516</v>
      </c>
      <c r="V97" s="6334" t="s">
        <v>836</v>
      </c>
      <c r="W97" s="6304" t="s">
        <v>835</v>
      </c>
      <c r="X97" s="6308"/>
      <c r="Y97" s="6308"/>
      <c r="Z97" s="6308"/>
      <c r="AA97" s="6308"/>
      <c r="AB97" s="6308"/>
      <c r="AC97" s="6308"/>
      <c r="AD97" s="6308"/>
      <c r="AE97" s="3940"/>
      <c r="AF97" s="3940"/>
      <c r="AG97" s="3940"/>
      <c r="AH97" s="3940"/>
      <c r="AI97" s="6308"/>
      <c r="AJ97" s="6308"/>
      <c r="AK97" s="3940"/>
      <c r="AL97" s="6308"/>
      <c r="AM97" s="6308"/>
      <c r="AN97" s="6308"/>
      <c r="AO97" s="6308"/>
      <c r="AP97" s="6308"/>
      <c r="AQ97" s="6308"/>
      <c r="AR97" s="6308"/>
      <c r="AS97" s="6308"/>
      <c r="AT97" s="6308"/>
      <c r="AU97" s="6308"/>
      <c r="AV97" s="6308"/>
      <c r="AW97" s="6308"/>
      <c r="AX97" s="6308"/>
      <c r="AY97" s="6318"/>
      <c r="AZ97" s="6318"/>
      <c r="BA97" s="6318"/>
    </row>
    <row r="98" spans="1:131" ht="16.350000000000001" customHeight="1" x14ac:dyDescent="0.25">
      <c r="A98" s="7257" t="s">
        <v>4424</v>
      </c>
      <c r="B98" s="9175" t="s">
        <v>834</v>
      </c>
      <c r="C98" s="9176"/>
      <c r="D98" s="6319" t="s">
        <v>5369</v>
      </c>
      <c r="E98" s="6320" t="s">
        <v>5370</v>
      </c>
      <c r="F98" s="6321" t="s">
        <v>5371</v>
      </c>
      <c r="G98" s="6186" t="s">
        <v>5372</v>
      </c>
      <c r="H98" s="6224" t="s">
        <v>5373</v>
      </c>
      <c r="I98" s="6186" t="s">
        <v>5374</v>
      </c>
      <c r="J98" s="6224" t="s">
        <v>5375</v>
      </c>
      <c r="K98" s="6186" t="s">
        <v>5376</v>
      </c>
      <c r="L98" s="6224" t="s">
        <v>5377</v>
      </c>
      <c r="M98" s="6186" t="s">
        <v>5378</v>
      </c>
      <c r="N98" s="6224" t="s">
        <v>5379</v>
      </c>
      <c r="O98" s="6186" t="s">
        <v>5380</v>
      </c>
      <c r="P98" s="6224" t="s">
        <v>5381</v>
      </c>
      <c r="Q98" s="6186" t="s">
        <v>5382</v>
      </c>
      <c r="R98" s="6335" t="s">
        <v>5383</v>
      </c>
      <c r="S98" s="6336" t="s">
        <v>5384</v>
      </c>
      <c r="T98" s="6186" t="s">
        <v>5385</v>
      </c>
      <c r="U98" s="6324" t="s">
        <v>5386</v>
      </c>
      <c r="V98" s="6324" t="s">
        <v>5387</v>
      </c>
      <c r="W98" s="6325" t="s">
        <v>5388</v>
      </c>
      <c r="X98" s="6313"/>
      <c r="Y98" s="6308"/>
      <c r="Z98" s="6308"/>
      <c r="AA98" s="6308"/>
      <c r="AB98" s="6308"/>
      <c r="AC98" s="6308"/>
      <c r="AD98" s="6308"/>
      <c r="AE98" s="3940"/>
      <c r="AF98" s="3940"/>
      <c r="AG98" s="3940"/>
      <c r="AH98" s="3940"/>
      <c r="AI98" s="6308"/>
      <c r="AJ98" s="6308"/>
      <c r="AK98" s="3940"/>
      <c r="AL98" s="6308"/>
      <c r="AM98" s="6308"/>
      <c r="AN98" s="6308"/>
      <c r="AO98" s="6308"/>
      <c r="AP98" s="6308"/>
      <c r="AQ98" s="6308"/>
      <c r="AR98" s="6308"/>
      <c r="AS98" s="6308"/>
      <c r="AT98" s="6308"/>
      <c r="AU98" s="6308"/>
      <c r="AV98" s="6308"/>
      <c r="AW98" s="6308"/>
      <c r="AX98" s="6308"/>
      <c r="AY98" s="6318"/>
      <c r="AZ98" s="6318"/>
      <c r="BA98" s="6318"/>
    </row>
    <row r="99" spans="1:131" ht="17.25" customHeight="1" x14ac:dyDescent="0.25">
      <c r="A99" s="7257" t="s">
        <v>4425</v>
      </c>
      <c r="B99" s="9099" t="s">
        <v>651</v>
      </c>
      <c r="C99" s="9097"/>
      <c r="D99" s="6326" t="s">
        <v>5369</v>
      </c>
      <c r="E99" s="6327" t="s">
        <v>5370</v>
      </c>
      <c r="F99" s="6328" t="s">
        <v>5371</v>
      </c>
      <c r="G99" s="4369" t="s">
        <v>5372</v>
      </c>
      <c r="H99" s="5330" t="s">
        <v>5373</v>
      </c>
      <c r="I99" s="4369" t="s">
        <v>5374</v>
      </c>
      <c r="J99" s="5330" t="s">
        <v>5375</v>
      </c>
      <c r="K99" s="4369" t="s">
        <v>5376</v>
      </c>
      <c r="L99" s="5330" t="s">
        <v>5377</v>
      </c>
      <c r="M99" s="4369" t="s">
        <v>5378</v>
      </c>
      <c r="N99" s="5330" t="s">
        <v>5379</v>
      </c>
      <c r="O99" s="4369" t="s">
        <v>5380</v>
      </c>
      <c r="P99" s="5330" t="s">
        <v>5381</v>
      </c>
      <c r="Q99" s="4369" t="s">
        <v>5382</v>
      </c>
      <c r="R99" s="6337" t="s">
        <v>5383</v>
      </c>
      <c r="S99" s="6338" t="s">
        <v>5384</v>
      </c>
      <c r="T99" s="4369" t="s">
        <v>5385</v>
      </c>
      <c r="U99" s="4458" t="s">
        <v>5386</v>
      </c>
      <c r="V99" s="4458" t="s">
        <v>5387</v>
      </c>
      <c r="W99" s="4460" t="s">
        <v>5388</v>
      </c>
      <c r="X99" s="6339"/>
      <c r="Y99" s="6340"/>
      <c r="Z99" s="6340"/>
      <c r="AA99" s="6178"/>
      <c r="AS99" s="6308"/>
      <c r="AT99" s="6308"/>
      <c r="AU99" s="6308"/>
      <c r="AV99" s="6308"/>
      <c r="AW99" s="6308"/>
      <c r="AX99" s="6308"/>
      <c r="AY99" s="6318"/>
      <c r="AZ99" s="6318"/>
      <c r="BA99" s="6318"/>
    </row>
    <row r="100" spans="1:131" ht="16.350000000000001" customHeight="1" x14ac:dyDescent="0.25">
      <c r="A100" s="7257" t="s">
        <v>4426</v>
      </c>
      <c r="B100" s="9099" t="s">
        <v>833</v>
      </c>
      <c r="C100" s="9097"/>
      <c r="D100" s="6326" t="s">
        <v>5369</v>
      </c>
      <c r="E100" s="6327" t="s">
        <v>5370</v>
      </c>
      <c r="F100" s="6328" t="s">
        <v>5371</v>
      </c>
      <c r="G100" s="4369" t="s">
        <v>5372</v>
      </c>
      <c r="H100" s="5330" t="s">
        <v>5373</v>
      </c>
      <c r="I100" s="4369" t="s">
        <v>5374</v>
      </c>
      <c r="J100" s="5330" t="s">
        <v>5375</v>
      </c>
      <c r="K100" s="4369" t="s">
        <v>5376</v>
      </c>
      <c r="L100" s="5330" t="s">
        <v>5377</v>
      </c>
      <c r="M100" s="4369" t="s">
        <v>5378</v>
      </c>
      <c r="N100" s="5330" t="s">
        <v>5379</v>
      </c>
      <c r="O100" s="4369" t="s">
        <v>5380</v>
      </c>
      <c r="P100" s="5330" t="s">
        <v>5381</v>
      </c>
      <c r="Q100" s="4369" t="s">
        <v>5382</v>
      </c>
      <c r="R100" s="6337" t="s">
        <v>5383</v>
      </c>
      <c r="S100" s="6338" t="s">
        <v>5384</v>
      </c>
      <c r="T100" s="4369" t="s">
        <v>5385</v>
      </c>
      <c r="U100" s="4458" t="s">
        <v>5386</v>
      </c>
      <c r="V100" s="4458" t="s">
        <v>5387</v>
      </c>
      <c r="W100" s="4460" t="s">
        <v>5388</v>
      </c>
      <c r="X100" s="6339"/>
      <c r="Y100" s="6340"/>
      <c r="Z100" s="6340"/>
      <c r="AA100" s="6178"/>
      <c r="AS100" s="6308"/>
      <c r="AT100" s="6308"/>
      <c r="AU100" s="6308"/>
      <c r="AV100" s="6308"/>
      <c r="AW100" s="6308"/>
      <c r="AX100" s="6308"/>
      <c r="AY100" s="6318"/>
      <c r="AZ100" s="6318"/>
      <c r="BA100" s="6318"/>
    </row>
    <row r="101" spans="1:131" ht="16.350000000000001" customHeight="1" x14ac:dyDescent="0.25">
      <c r="A101" s="7257" t="s">
        <v>4427</v>
      </c>
      <c r="B101" s="9094" t="s">
        <v>832</v>
      </c>
      <c r="C101" s="9095"/>
      <c r="D101" s="6329" t="s">
        <v>5369</v>
      </c>
      <c r="E101" s="6330" t="s">
        <v>5370</v>
      </c>
      <c r="F101" s="6331" t="s">
        <v>5371</v>
      </c>
      <c r="G101" s="4387" t="s">
        <v>5372</v>
      </c>
      <c r="H101" s="4479" t="s">
        <v>5373</v>
      </c>
      <c r="I101" s="4387" t="s">
        <v>5374</v>
      </c>
      <c r="J101" s="4479" t="s">
        <v>5375</v>
      </c>
      <c r="K101" s="4387" t="s">
        <v>5376</v>
      </c>
      <c r="L101" s="4479" t="s">
        <v>5377</v>
      </c>
      <c r="M101" s="4387" t="s">
        <v>5378</v>
      </c>
      <c r="N101" s="4479" t="s">
        <v>5379</v>
      </c>
      <c r="O101" s="4387" t="s">
        <v>5380</v>
      </c>
      <c r="P101" s="4479" t="s">
        <v>5381</v>
      </c>
      <c r="Q101" s="4387" t="s">
        <v>5382</v>
      </c>
      <c r="R101" s="6341" t="s">
        <v>5383</v>
      </c>
      <c r="S101" s="4389" t="s">
        <v>5384</v>
      </c>
      <c r="T101" s="4387" t="s">
        <v>5385</v>
      </c>
      <c r="U101" s="4466" t="s">
        <v>5386</v>
      </c>
      <c r="V101" s="6332" t="s">
        <v>5387</v>
      </c>
      <c r="W101" s="6332" t="s">
        <v>5388</v>
      </c>
      <c r="X101" s="6339"/>
      <c r="Y101" s="6340"/>
      <c r="Z101" s="6340"/>
      <c r="AA101" s="6178"/>
      <c r="AS101" s="6308"/>
      <c r="AT101" s="6308"/>
      <c r="AU101" s="6308"/>
      <c r="AV101" s="6308"/>
      <c r="AW101" s="6308"/>
      <c r="AX101" s="6308"/>
      <c r="AY101" s="6318"/>
      <c r="AZ101" s="6318"/>
      <c r="BA101" s="6318"/>
    </row>
    <row r="102" spans="1:131" ht="16.350000000000001" customHeight="1" x14ac:dyDescent="0.25">
      <c r="A102" s="7280"/>
      <c r="B102" s="6306" t="s">
        <v>3452</v>
      </c>
      <c r="C102" s="6308"/>
      <c r="Q102" s="6308"/>
      <c r="R102" s="6308"/>
      <c r="S102" s="6342"/>
      <c r="T102" s="6342"/>
      <c r="U102" s="6342"/>
      <c r="V102" s="6340"/>
      <c r="W102" s="6340"/>
      <c r="X102" s="6340"/>
      <c r="Y102" s="6340"/>
      <c r="Z102" s="6340"/>
      <c r="AA102" s="6178"/>
    </row>
    <row r="103" spans="1:131" ht="16.350000000000001" customHeight="1" x14ac:dyDescent="0.25">
      <c r="A103" s="7280"/>
      <c r="B103" s="9090" t="s">
        <v>191</v>
      </c>
      <c r="C103" s="9091"/>
      <c r="D103" s="9172" t="s">
        <v>24</v>
      </c>
      <c r="E103" s="9173"/>
      <c r="F103" s="9174"/>
      <c r="G103" s="9112" t="s">
        <v>25</v>
      </c>
      <c r="H103" s="9113"/>
      <c r="I103" s="9113"/>
      <c r="J103" s="9113"/>
      <c r="K103" s="9113"/>
      <c r="L103" s="9113"/>
      <c r="M103" s="9113"/>
      <c r="N103" s="9180"/>
      <c r="O103" s="6308"/>
      <c r="P103" s="6308"/>
      <c r="Q103" s="6342"/>
      <c r="R103" s="6342"/>
      <c r="S103" s="6342"/>
      <c r="T103" s="6340"/>
      <c r="U103" s="6340"/>
      <c r="V103" s="6340"/>
      <c r="W103" s="6340"/>
      <c r="X103" s="6340"/>
      <c r="Y103" s="6178"/>
      <c r="BY103" s="4259"/>
    </row>
    <row r="104" spans="1:131" ht="31.35" customHeight="1" x14ac:dyDescent="0.25">
      <c r="A104" s="7280"/>
      <c r="B104" s="9122"/>
      <c r="C104" s="9116"/>
      <c r="D104" s="9122"/>
      <c r="E104" s="9181"/>
      <c r="F104" s="9182"/>
      <c r="G104" s="9057" t="s">
        <v>3465</v>
      </c>
      <c r="H104" s="9058"/>
      <c r="I104" s="9057" t="s">
        <v>3466</v>
      </c>
      <c r="J104" s="9058"/>
      <c r="K104" s="9057" t="s">
        <v>3467</v>
      </c>
      <c r="L104" s="9058"/>
      <c r="M104" s="9057" t="s">
        <v>33</v>
      </c>
      <c r="N104" s="9058"/>
      <c r="O104" s="6343"/>
      <c r="P104" s="6343"/>
      <c r="Q104" s="6343"/>
      <c r="R104" s="6343"/>
      <c r="S104" s="6308"/>
      <c r="T104" s="6308"/>
      <c r="U104" s="6308"/>
      <c r="V104" s="6308"/>
      <c r="W104" s="3940"/>
      <c r="X104" s="3940"/>
      <c r="Y104" s="3940"/>
      <c r="Z104" s="3940"/>
      <c r="AA104" s="6308"/>
      <c r="AB104" s="6308"/>
      <c r="AC104" s="3940"/>
      <c r="AD104" s="6308"/>
      <c r="AE104" s="6308"/>
      <c r="AF104" s="6308"/>
      <c r="AG104" s="6308"/>
      <c r="AH104" s="6308"/>
      <c r="AI104" s="6308"/>
      <c r="AJ104" s="6308"/>
      <c r="AK104" s="6318"/>
      <c r="AL104" s="6344"/>
      <c r="AM104" s="6345"/>
      <c r="AN104" s="6340"/>
      <c r="AO104" s="6340"/>
      <c r="AP104" s="6340"/>
      <c r="AQ104" s="6340"/>
      <c r="AR104" s="6340"/>
      <c r="AS104" s="6340"/>
      <c r="AT104" s="6340"/>
      <c r="AU104" s="6340"/>
      <c r="AV104" s="6178"/>
    </row>
    <row r="105" spans="1:131" ht="16.350000000000001" customHeight="1" x14ac:dyDescent="0.25">
      <c r="A105" s="7280"/>
      <c r="B105" s="9092"/>
      <c r="C105" s="9093"/>
      <c r="D105" s="6346" t="s">
        <v>42</v>
      </c>
      <c r="E105" s="5368" t="s">
        <v>17</v>
      </c>
      <c r="F105" s="6316" t="s">
        <v>18</v>
      </c>
      <c r="G105" s="6181" t="s">
        <v>17</v>
      </c>
      <c r="H105" s="6316" t="s">
        <v>18</v>
      </c>
      <c r="I105" s="6181" t="s">
        <v>17</v>
      </c>
      <c r="J105" s="6316" t="s">
        <v>18</v>
      </c>
      <c r="K105" s="6181" t="s">
        <v>17</v>
      </c>
      <c r="L105" s="6316" t="s">
        <v>18</v>
      </c>
      <c r="M105" s="6181" t="s">
        <v>17</v>
      </c>
      <c r="N105" s="6316" t="s">
        <v>18</v>
      </c>
      <c r="AG105" s="3940"/>
      <c r="AH105" s="3940"/>
      <c r="AI105" s="3940"/>
      <c r="AJ105" s="3940"/>
      <c r="AK105" s="6183"/>
      <c r="AL105" s="6183"/>
      <c r="AM105" s="6183"/>
      <c r="AN105" s="6183"/>
      <c r="AO105" s="6183"/>
      <c r="AP105" s="6183"/>
      <c r="AQ105" s="6183"/>
      <c r="AR105" s="6183"/>
      <c r="AS105" s="6183"/>
      <c r="AT105" s="6206"/>
      <c r="BY105" s="4259"/>
    </row>
    <row r="106" spans="1:131" ht="20.25" customHeight="1" x14ac:dyDescent="0.25">
      <c r="A106" s="7257" t="s">
        <v>4428</v>
      </c>
      <c r="B106" s="9120" t="s">
        <v>29</v>
      </c>
      <c r="C106" s="9121"/>
      <c r="D106" s="6347" t="s">
        <v>5369</v>
      </c>
      <c r="E106" s="6348" t="s">
        <v>5370</v>
      </c>
      <c r="F106" s="6349" t="s">
        <v>5371</v>
      </c>
      <c r="G106" s="6311" t="s">
        <v>5372</v>
      </c>
      <c r="H106" s="6312" t="s">
        <v>5373</v>
      </c>
      <c r="I106" s="6311" t="s">
        <v>5374</v>
      </c>
      <c r="J106" s="6312" t="s">
        <v>5375</v>
      </c>
      <c r="K106" s="6311" t="s">
        <v>5376</v>
      </c>
      <c r="L106" s="6350" t="s">
        <v>5377</v>
      </c>
      <c r="M106" s="6311" t="s">
        <v>5378</v>
      </c>
      <c r="N106" s="6350" t="s">
        <v>5379</v>
      </c>
      <c r="O106" s="4259"/>
      <c r="AG106" s="3940"/>
      <c r="AH106" s="3940"/>
      <c r="AI106" s="3940"/>
      <c r="AJ106" s="3940"/>
      <c r="AK106" s="6183"/>
      <c r="AL106" s="6183"/>
      <c r="AM106" s="6183"/>
      <c r="AN106" s="6183"/>
      <c r="AO106" s="6183"/>
      <c r="AP106" s="6183"/>
      <c r="AQ106" s="6183"/>
      <c r="AR106" s="6183"/>
      <c r="AS106" s="6183"/>
      <c r="AT106" s="6206"/>
      <c r="BY106" s="4259"/>
    </row>
    <row r="107" spans="1:131" ht="16.350000000000001" customHeight="1" x14ac:dyDescent="0.25">
      <c r="B107" s="6302" t="s">
        <v>831</v>
      </c>
      <c r="C107" s="6351"/>
      <c r="AI107" s="3940"/>
      <c r="AJ107" s="3940"/>
      <c r="AK107" s="3940"/>
      <c r="AL107" s="4234"/>
      <c r="AM107" s="6352"/>
      <c r="AN107" s="6352"/>
      <c r="AO107" s="6352"/>
      <c r="AP107" s="6352"/>
      <c r="AQ107" s="6352"/>
      <c r="AR107" s="6352"/>
      <c r="AS107" s="6352"/>
      <c r="AT107" s="6352"/>
      <c r="AU107" s="6352"/>
      <c r="AV107" s="6353"/>
      <c r="AW107" s="4264"/>
      <c r="AX107" s="4264"/>
    </row>
    <row r="108" spans="1:131" ht="16.350000000000001" customHeight="1" x14ac:dyDescent="0.25">
      <c r="B108" s="9090" t="s">
        <v>31</v>
      </c>
      <c r="C108" s="9091"/>
      <c r="D108" s="9172" t="s">
        <v>24</v>
      </c>
      <c r="E108" s="9173"/>
      <c r="F108" s="9174"/>
      <c r="G108" s="9185" t="s">
        <v>29</v>
      </c>
      <c r="H108" s="9191"/>
      <c r="I108" s="9191"/>
      <c r="J108" s="9191"/>
      <c r="K108" s="9191"/>
      <c r="L108" s="9191"/>
      <c r="M108" s="9191"/>
      <c r="N108" s="9191"/>
      <c r="O108" s="9191"/>
      <c r="P108" s="9191"/>
      <c r="Q108" s="9191"/>
      <c r="R108" s="9191"/>
      <c r="S108" s="9191"/>
      <c r="T108" s="9191"/>
      <c r="U108" s="9191"/>
      <c r="V108" s="9191"/>
      <c r="W108" s="9191"/>
      <c r="X108" s="9191"/>
      <c r="Y108" s="9191"/>
      <c r="Z108" s="9191"/>
      <c r="AA108" s="9191"/>
      <c r="AB108" s="9191"/>
      <c r="AC108" s="9191"/>
      <c r="AD108" s="9191"/>
      <c r="AE108" s="9191"/>
      <c r="AF108" s="9191"/>
      <c r="AG108" s="9191"/>
      <c r="AH108" s="9187"/>
      <c r="AI108" s="9350" t="s">
        <v>362</v>
      </c>
      <c r="AJ108" s="9352" t="s">
        <v>361</v>
      </c>
      <c r="AK108" s="6352"/>
      <c r="AL108" s="6352"/>
      <c r="AM108" s="6352"/>
      <c r="AN108" s="6352"/>
      <c r="AO108" s="6352"/>
      <c r="AP108" s="6352"/>
      <c r="AQ108" s="6352"/>
      <c r="AR108" s="6352"/>
      <c r="AS108" s="6352"/>
      <c r="AT108" s="6353"/>
      <c r="AU108" s="4264"/>
      <c r="AV108" s="4264"/>
      <c r="AW108" s="4264"/>
      <c r="AX108" s="4264"/>
      <c r="BY108" s="4259"/>
      <c r="CZ108" s="5899"/>
      <c r="DA108" s="5899"/>
      <c r="DZ108" s="4259"/>
      <c r="EA108" s="4259"/>
    </row>
    <row r="109" spans="1:131" ht="16.350000000000001" customHeight="1" x14ac:dyDescent="0.25">
      <c r="B109" s="9122"/>
      <c r="C109" s="9116"/>
      <c r="D109" s="9122"/>
      <c r="E109" s="9181"/>
      <c r="F109" s="9182"/>
      <c r="G109" s="9189" t="s">
        <v>80</v>
      </c>
      <c r="H109" s="9190"/>
      <c r="I109" s="9140" t="s">
        <v>81</v>
      </c>
      <c r="J109" s="9140"/>
      <c r="K109" s="9140" t="s">
        <v>115</v>
      </c>
      <c r="L109" s="9140"/>
      <c r="M109" s="9140" t="s">
        <v>116</v>
      </c>
      <c r="N109" s="9140"/>
      <c r="O109" s="9140" t="s">
        <v>117</v>
      </c>
      <c r="P109" s="9140"/>
      <c r="Q109" s="9140" t="s">
        <v>118</v>
      </c>
      <c r="R109" s="9140"/>
      <c r="S109" s="9140" t="s">
        <v>119</v>
      </c>
      <c r="T109" s="9140"/>
      <c r="U109" s="9140" t="s">
        <v>120</v>
      </c>
      <c r="V109" s="9140"/>
      <c r="W109" s="9140" t="s">
        <v>1414</v>
      </c>
      <c r="X109" s="9140"/>
      <c r="Y109" s="9140" t="s">
        <v>1406</v>
      </c>
      <c r="Z109" s="9140"/>
      <c r="AA109" s="9185" t="s">
        <v>1397</v>
      </c>
      <c r="AB109" s="9186"/>
      <c r="AC109" s="9185" t="s">
        <v>1396</v>
      </c>
      <c r="AD109" s="9186"/>
      <c r="AE109" s="9185" t="s">
        <v>1395</v>
      </c>
      <c r="AF109" s="9186"/>
      <c r="AG109" s="9185" t="s">
        <v>1405</v>
      </c>
      <c r="AH109" s="9187"/>
      <c r="AI109" s="9163"/>
      <c r="AJ109" s="9353"/>
      <c r="AK109" s="3914"/>
      <c r="AL109" s="6354"/>
      <c r="AM109" s="6352"/>
      <c r="AN109" s="6352"/>
      <c r="AO109" s="6352"/>
      <c r="AP109" s="6352"/>
      <c r="AQ109" s="6352"/>
      <c r="AR109" s="6352"/>
      <c r="AS109" s="6352"/>
      <c r="AT109" s="6352"/>
      <c r="AU109" s="6352"/>
      <c r="AV109" s="6353"/>
      <c r="AW109" s="4264"/>
      <c r="AX109" s="4264"/>
    </row>
    <row r="110" spans="1:131" ht="16.350000000000001" customHeight="1" x14ac:dyDescent="0.25">
      <c r="B110" s="9092"/>
      <c r="C110" s="9093"/>
      <c r="D110" s="6181" t="s">
        <v>42</v>
      </c>
      <c r="E110" s="5368" t="s">
        <v>17</v>
      </c>
      <c r="F110" s="6316" t="s">
        <v>18</v>
      </c>
      <c r="G110" s="8246" t="s">
        <v>17</v>
      </c>
      <c r="H110" s="8247" t="s">
        <v>18</v>
      </c>
      <c r="I110" s="8246" t="s">
        <v>17</v>
      </c>
      <c r="J110" s="8247" t="s">
        <v>18</v>
      </c>
      <c r="K110" s="8246" t="s">
        <v>17</v>
      </c>
      <c r="L110" s="8247" t="s">
        <v>18</v>
      </c>
      <c r="M110" s="8246" t="s">
        <v>17</v>
      </c>
      <c r="N110" s="8247" t="s">
        <v>18</v>
      </c>
      <c r="O110" s="8246" t="s">
        <v>17</v>
      </c>
      <c r="P110" s="8247" t="s">
        <v>18</v>
      </c>
      <c r="Q110" s="8246" t="s">
        <v>17</v>
      </c>
      <c r="R110" s="8247" t="s">
        <v>18</v>
      </c>
      <c r="S110" s="8246" t="s">
        <v>17</v>
      </c>
      <c r="T110" s="8247" t="s">
        <v>18</v>
      </c>
      <c r="U110" s="8246" t="s">
        <v>17</v>
      </c>
      <c r="V110" s="8247" t="s">
        <v>18</v>
      </c>
      <c r="W110" s="8246" t="s">
        <v>17</v>
      </c>
      <c r="X110" s="8247" t="s">
        <v>18</v>
      </c>
      <c r="Y110" s="8246" t="s">
        <v>17</v>
      </c>
      <c r="Z110" s="8247" t="s">
        <v>18</v>
      </c>
      <c r="AA110" s="8246" t="s">
        <v>17</v>
      </c>
      <c r="AB110" s="8247" t="s">
        <v>18</v>
      </c>
      <c r="AC110" s="8246" t="s">
        <v>17</v>
      </c>
      <c r="AD110" s="8247" t="s">
        <v>18</v>
      </c>
      <c r="AE110" s="8246" t="s">
        <v>17</v>
      </c>
      <c r="AF110" s="8247" t="s">
        <v>18</v>
      </c>
      <c r="AG110" s="8246" t="s">
        <v>17</v>
      </c>
      <c r="AH110" s="8248" t="s">
        <v>18</v>
      </c>
      <c r="AI110" s="9351"/>
      <c r="AJ110" s="9354"/>
      <c r="AK110" s="6355"/>
      <c r="AL110" s="6352"/>
      <c r="AM110" s="6352"/>
      <c r="AN110" s="6352"/>
      <c r="AO110" s="6352"/>
      <c r="AP110" s="6352"/>
      <c r="AQ110" s="6352"/>
      <c r="AR110" s="6352"/>
      <c r="AS110" s="6352"/>
      <c r="AT110" s="6352"/>
      <c r="AU110" s="6352"/>
      <c r="AV110" s="6353"/>
      <c r="AW110" s="4264"/>
      <c r="AX110" s="4264"/>
    </row>
    <row r="111" spans="1:131" ht="16.350000000000001" customHeight="1" x14ac:dyDescent="0.25">
      <c r="A111" s="7278" t="s">
        <v>4429</v>
      </c>
      <c r="B111" s="9178" t="s">
        <v>830</v>
      </c>
      <c r="C111" s="9179"/>
      <c r="D111" s="6215" t="s">
        <v>5369</v>
      </c>
      <c r="E111" s="6216" t="s">
        <v>5370</v>
      </c>
      <c r="F111" s="6356" t="s">
        <v>5371</v>
      </c>
      <c r="G111" s="7144" t="s">
        <v>5372</v>
      </c>
      <c r="H111" s="8244" t="s">
        <v>5373</v>
      </c>
      <c r="I111" s="7144" t="s">
        <v>5374</v>
      </c>
      <c r="J111" s="8244" t="s">
        <v>5375</v>
      </c>
      <c r="K111" s="7144" t="s">
        <v>5376</v>
      </c>
      <c r="L111" s="8244" t="s">
        <v>5377</v>
      </c>
      <c r="M111" s="7144" t="s">
        <v>5378</v>
      </c>
      <c r="N111" s="8244" t="s">
        <v>5379</v>
      </c>
      <c r="O111" s="7144" t="s">
        <v>5380</v>
      </c>
      <c r="P111" s="8244" t="s">
        <v>5381</v>
      </c>
      <c r="Q111" s="7144" t="s">
        <v>5382</v>
      </c>
      <c r="R111" s="8244" t="s">
        <v>5383</v>
      </c>
      <c r="S111" s="7144" t="s">
        <v>5384</v>
      </c>
      <c r="T111" s="8244" t="s">
        <v>5385</v>
      </c>
      <c r="U111" s="7144" t="s">
        <v>5386</v>
      </c>
      <c r="V111" s="8244" t="s">
        <v>5387</v>
      </c>
      <c r="W111" s="7144" t="s">
        <v>5388</v>
      </c>
      <c r="X111" s="8244" t="s">
        <v>5389</v>
      </c>
      <c r="Y111" s="7144" t="s">
        <v>5390</v>
      </c>
      <c r="Z111" s="8244" t="s">
        <v>5391</v>
      </c>
      <c r="AA111" s="7144" t="s">
        <v>5392</v>
      </c>
      <c r="AB111" s="8244" t="s">
        <v>5393</v>
      </c>
      <c r="AC111" s="7144" t="s">
        <v>5394</v>
      </c>
      <c r="AD111" s="8244" t="s">
        <v>5395</v>
      </c>
      <c r="AE111" s="7144" t="s">
        <v>5396</v>
      </c>
      <c r="AF111" s="8244" t="s">
        <v>5397</v>
      </c>
      <c r="AG111" s="7144" t="s">
        <v>5398</v>
      </c>
      <c r="AH111" s="8249" t="s">
        <v>5399</v>
      </c>
      <c r="AI111" s="8244" t="s">
        <v>5400</v>
      </c>
      <c r="AJ111" s="6297" t="s">
        <v>5401</v>
      </c>
      <c r="AK111" s="6943"/>
      <c r="AL111" s="4234"/>
      <c r="AM111" s="6352"/>
      <c r="AN111" s="6352"/>
      <c r="AO111" s="6352"/>
      <c r="AP111" s="6352"/>
      <c r="AQ111" s="6352"/>
      <c r="AR111" s="6352"/>
      <c r="AS111" s="6352"/>
      <c r="AT111" s="6352"/>
      <c r="AU111" s="6352"/>
      <c r="AV111" s="6353"/>
      <c r="AW111" s="4264"/>
      <c r="AX111" s="4264"/>
      <c r="CB111" s="4295" t="s">
        <v>5435</v>
      </c>
      <c r="CD111" s="4295" t="s">
        <v>5436</v>
      </c>
      <c r="DA111" s="4295">
        <v>0</v>
      </c>
      <c r="DB111" s="5899">
        <v>1</v>
      </c>
      <c r="DC111" s="5899">
        <v>0</v>
      </c>
      <c r="DD111" s="5899">
        <v>1</v>
      </c>
      <c r="DE111" s="5899">
        <v>0</v>
      </c>
    </row>
    <row r="112" spans="1:131" ht="25.35" customHeight="1" x14ac:dyDescent="0.25">
      <c r="A112" s="7278" t="s">
        <v>4430</v>
      </c>
      <c r="B112" s="9088" t="s">
        <v>827</v>
      </c>
      <c r="C112" s="6219" t="s">
        <v>826</v>
      </c>
      <c r="D112" s="6357" t="s">
        <v>5369</v>
      </c>
      <c r="E112" s="6358" t="s">
        <v>5370</v>
      </c>
      <c r="F112" s="6359" t="s">
        <v>5371</v>
      </c>
      <c r="G112" s="7144" t="s">
        <v>5372</v>
      </c>
      <c r="H112" s="7229" t="s">
        <v>5373</v>
      </c>
      <c r="I112" s="7144" t="s">
        <v>5374</v>
      </c>
      <c r="J112" s="7229" t="s">
        <v>5375</v>
      </c>
      <c r="K112" s="7144" t="s">
        <v>5376</v>
      </c>
      <c r="L112" s="7229" t="s">
        <v>5377</v>
      </c>
      <c r="M112" s="7144" t="s">
        <v>5378</v>
      </c>
      <c r="N112" s="7229" t="s">
        <v>5379</v>
      </c>
      <c r="O112" s="7144" t="s">
        <v>5380</v>
      </c>
      <c r="P112" s="7229" t="s">
        <v>5381</v>
      </c>
      <c r="Q112" s="7144" t="s">
        <v>5382</v>
      </c>
      <c r="R112" s="7229" t="s">
        <v>5383</v>
      </c>
      <c r="S112" s="7144" t="s">
        <v>5384</v>
      </c>
      <c r="T112" s="7229" t="s">
        <v>5385</v>
      </c>
      <c r="U112" s="7144" t="s">
        <v>5386</v>
      </c>
      <c r="V112" s="7229" t="s">
        <v>5387</v>
      </c>
      <c r="W112" s="7144" t="s">
        <v>5388</v>
      </c>
      <c r="X112" s="7229" t="s">
        <v>5389</v>
      </c>
      <c r="Y112" s="7144" t="s">
        <v>5390</v>
      </c>
      <c r="Z112" s="7229" t="s">
        <v>5391</v>
      </c>
      <c r="AA112" s="7144" t="s">
        <v>5392</v>
      </c>
      <c r="AB112" s="7229" t="s">
        <v>5393</v>
      </c>
      <c r="AC112" s="7144" t="s">
        <v>5394</v>
      </c>
      <c r="AD112" s="7229" t="s">
        <v>5395</v>
      </c>
      <c r="AE112" s="7144" t="s">
        <v>5396</v>
      </c>
      <c r="AF112" s="7229" t="s">
        <v>5397</v>
      </c>
      <c r="AG112" s="7144" t="s">
        <v>5398</v>
      </c>
      <c r="AH112" s="8249" t="s">
        <v>5399</v>
      </c>
      <c r="AI112" s="8244" t="s">
        <v>5400</v>
      </c>
      <c r="AJ112" s="4394" t="s">
        <v>5401</v>
      </c>
      <c r="AK112" s="6943"/>
      <c r="AL112" s="6354"/>
      <c r="AM112" s="6352"/>
      <c r="AN112" s="6352"/>
      <c r="AO112" s="6352"/>
      <c r="AP112" s="6352"/>
      <c r="AQ112" s="6352"/>
      <c r="AR112" s="6352"/>
      <c r="AS112" s="6352"/>
      <c r="AT112" s="6352"/>
      <c r="AU112" s="6352"/>
      <c r="AV112" s="6353"/>
      <c r="AW112" s="4264"/>
      <c r="AX112" s="4264"/>
      <c r="DA112" s="4295">
        <v>0</v>
      </c>
      <c r="DC112" s="5899">
        <v>0</v>
      </c>
      <c r="DE112" s="5899">
        <v>0</v>
      </c>
    </row>
    <row r="113" spans="1:109" ht="16.350000000000001" customHeight="1" x14ac:dyDescent="0.25">
      <c r="A113" s="7278" t="s">
        <v>4431</v>
      </c>
      <c r="B113" s="9062"/>
      <c r="C113" s="5394" t="s">
        <v>72</v>
      </c>
      <c r="D113" s="6360" t="s">
        <v>5369</v>
      </c>
      <c r="E113" s="6361" t="s">
        <v>5370</v>
      </c>
      <c r="F113" s="5011" t="s">
        <v>5371</v>
      </c>
      <c r="G113" s="3918" t="s">
        <v>5372</v>
      </c>
      <c r="H113" s="4951" t="s">
        <v>5373</v>
      </c>
      <c r="I113" s="3918" t="s">
        <v>5374</v>
      </c>
      <c r="J113" s="4951" t="s">
        <v>5375</v>
      </c>
      <c r="K113" s="3918" t="s">
        <v>5376</v>
      </c>
      <c r="L113" s="4951" t="s">
        <v>5377</v>
      </c>
      <c r="M113" s="3918" t="s">
        <v>5378</v>
      </c>
      <c r="N113" s="4951" t="s">
        <v>5379</v>
      </c>
      <c r="O113" s="3918" t="s">
        <v>5380</v>
      </c>
      <c r="P113" s="4951" t="s">
        <v>5381</v>
      </c>
      <c r="Q113" s="3918" t="s">
        <v>5382</v>
      </c>
      <c r="R113" s="4951" t="s">
        <v>5383</v>
      </c>
      <c r="S113" s="3918" t="s">
        <v>5384</v>
      </c>
      <c r="T113" s="4951" t="s">
        <v>5385</v>
      </c>
      <c r="U113" s="3918" t="s">
        <v>5386</v>
      </c>
      <c r="V113" s="4951" t="s">
        <v>5387</v>
      </c>
      <c r="W113" s="3918" t="s">
        <v>5388</v>
      </c>
      <c r="X113" s="4951" t="s">
        <v>5389</v>
      </c>
      <c r="Y113" s="3918" t="s">
        <v>5390</v>
      </c>
      <c r="Z113" s="4951" t="s">
        <v>5391</v>
      </c>
      <c r="AA113" s="3918" t="s">
        <v>5392</v>
      </c>
      <c r="AB113" s="4951" t="s">
        <v>5393</v>
      </c>
      <c r="AC113" s="3918" t="s">
        <v>5394</v>
      </c>
      <c r="AD113" s="4951" t="s">
        <v>5395</v>
      </c>
      <c r="AE113" s="3918" t="s">
        <v>5396</v>
      </c>
      <c r="AF113" s="4951" t="s">
        <v>5397</v>
      </c>
      <c r="AG113" s="3918" t="s">
        <v>5398</v>
      </c>
      <c r="AH113" s="5195" t="s">
        <v>5399</v>
      </c>
      <c r="AI113" s="5007" t="s">
        <v>5400</v>
      </c>
      <c r="AJ113" s="4367" t="s">
        <v>5401</v>
      </c>
      <c r="AK113" s="6943"/>
      <c r="AL113" s="6363"/>
      <c r="AM113" s="6352"/>
      <c r="AN113" s="6352"/>
      <c r="AO113" s="6352"/>
      <c r="AP113" s="6352"/>
      <c r="AQ113" s="6352"/>
      <c r="AR113" s="6352"/>
      <c r="AS113" s="6352"/>
      <c r="AT113" s="6352"/>
      <c r="AU113" s="6352"/>
      <c r="AV113" s="6353"/>
      <c r="AW113" s="4264"/>
      <c r="AX113" s="4264"/>
      <c r="DC113" s="5899">
        <v>0</v>
      </c>
      <c r="DE113" s="5899">
        <v>0</v>
      </c>
    </row>
    <row r="114" spans="1:109" ht="15.75" customHeight="1" x14ac:dyDescent="0.25">
      <c r="A114" s="7278" t="s">
        <v>4432</v>
      </c>
      <c r="B114" s="9062"/>
      <c r="C114" s="5394" t="s">
        <v>825</v>
      </c>
      <c r="D114" s="6360" t="s">
        <v>5369</v>
      </c>
      <c r="E114" s="6361" t="s">
        <v>5370</v>
      </c>
      <c r="F114" s="5011" t="s">
        <v>5371</v>
      </c>
      <c r="G114" s="3918" t="s">
        <v>5372</v>
      </c>
      <c r="H114" s="4951" t="s">
        <v>5373</v>
      </c>
      <c r="I114" s="3918" t="s">
        <v>5374</v>
      </c>
      <c r="J114" s="4951" t="s">
        <v>5375</v>
      </c>
      <c r="K114" s="3918" t="s">
        <v>5376</v>
      </c>
      <c r="L114" s="4951" t="s">
        <v>5377</v>
      </c>
      <c r="M114" s="3918" t="s">
        <v>5378</v>
      </c>
      <c r="N114" s="4951" t="s">
        <v>5379</v>
      </c>
      <c r="O114" s="3918" t="s">
        <v>5380</v>
      </c>
      <c r="P114" s="4951" t="s">
        <v>5381</v>
      </c>
      <c r="Q114" s="3918" t="s">
        <v>5382</v>
      </c>
      <c r="R114" s="4951" t="s">
        <v>5383</v>
      </c>
      <c r="S114" s="3918" t="s">
        <v>5384</v>
      </c>
      <c r="T114" s="4951" t="s">
        <v>5385</v>
      </c>
      <c r="U114" s="3918" t="s">
        <v>5386</v>
      </c>
      <c r="V114" s="4951" t="s">
        <v>5387</v>
      </c>
      <c r="W114" s="3918" t="s">
        <v>5388</v>
      </c>
      <c r="X114" s="4951" t="s">
        <v>5389</v>
      </c>
      <c r="Y114" s="3918" t="s">
        <v>5390</v>
      </c>
      <c r="Z114" s="4951" t="s">
        <v>5391</v>
      </c>
      <c r="AA114" s="3918" t="s">
        <v>5392</v>
      </c>
      <c r="AB114" s="4951" t="s">
        <v>5393</v>
      </c>
      <c r="AC114" s="3918" t="s">
        <v>5394</v>
      </c>
      <c r="AD114" s="4951" t="s">
        <v>5395</v>
      </c>
      <c r="AE114" s="3918" t="s">
        <v>5396</v>
      </c>
      <c r="AF114" s="4951" t="s">
        <v>5397</v>
      </c>
      <c r="AG114" s="3918" t="s">
        <v>5398</v>
      </c>
      <c r="AH114" s="5195" t="s">
        <v>5399</v>
      </c>
      <c r="AI114" s="5007" t="s">
        <v>5400</v>
      </c>
      <c r="AJ114" s="4367" t="s">
        <v>5401</v>
      </c>
      <c r="AK114" s="6943"/>
      <c r="AL114" s="5168"/>
      <c r="AM114" s="5168"/>
      <c r="AN114" s="5168"/>
      <c r="AO114" s="6364"/>
      <c r="AP114" s="6364"/>
      <c r="AQ114" s="6364"/>
      <c r="AR114" s="6364"/>
      <c r="AS114" s="6364"/>
      <c r="AT114" s="6364"/>
      <c r="AU114" s="6364"/>
      <c r="AV114" s="6364"/>
      <c r="AW114" s="6364"/>
      <c r="AX114" s="6353"/>
      <c r="DC114" s="5899">
        <v>0</v>
      </c>
      <c r="DE114" s="5899">
        <v>0</v>
      </c>
    </row>
    <row r="115" spans="1:109" ht="24.6" customHeight="1" x14ac:dyDescent="0.25">
      <c r="A115" s="7278" t="s">
        <v>4433</v>
      </c>
      <c r="B115" s="9062"/>
      <c r="C115" s="5329" t="s">
        <v>3416</v>
      </c>
      <c r="D115" s="6360" t="s">
        <v>5369</v>
      </c>
      <c r="E115" s="6361" t="s">
        <v>5370</v>
      </c>
      <c r="F115" s="5011" t="s">
        <v>5371</v>
      </c>
      <c r="G115" s="3918" t="s">
        <v>5372</v>
      </c>
      <c r="H115" s="4951" t="s">
        <v>5373</v>
      </c>
      <c r="I115" s="3918" t="s">
        <v>5374</v>
      </c>
      <c r="J115" s="4951" t="s">
        <v>5375</v>
      </c>
      <c r="K115" s="3918" t="s">
        <v>5376</v>
      </c>
      <c r="L115" s="4951" t="s">
        <v>5377</v>
      </c>
      <c r="M115" s="3918" t="s">
        <v>5378</v>
      </c>
      <c r="N115" s="4951" t="s">
        <v>5379</v>
      </c>
      <c r="O115" s="3918" t="s">
        <v>5380</v>
      </c>
      <c r="P115" s="4951" t="s">
        <v>5381</v>
      </c>
      <c r="Q115" s="3918" t="s">
        <v>5382</v>
      </c>
      <c r="R115" s="4951" t="s">
        <v>5383</v>
      </c>
      <c r="S115" s="3918" t="s">
        <v>5384</v>
      </c>
      <c r="T115" s="4951" t="s">
        <v>5385</v>
      </c>
      <c r="U115" s="3918" t="s">
        <v>5386</v>
      </c>
      <c r="V115" s="4951" t="s">
        <v>5387</v>
      </c>
      <c r="W115" s="3918" t="s">
        <v>5388</v>
      </c>
      <c r="X115" s="4951" t="s">
        <v>5389</v>
      </c>
      <c r="Y115" s="3918" t="s">
        <v>5390</v>
      </c>
      <c r="Z115" s="4951" t="s">
        <v>5391</v>
      </c>
      <c r="AA115" s="3918" t="s">
        <v>5392</v>
      </c>
      <c r="AB115" s="4951" t="s">
        <v>5393</v>
      </c>
      <c r="AC115" s="3918" t="s">
        <v>5394</v>
      </c>
      <c r="AD115" s="4951" t="s">
        <v>5395</v>
      </c>
      <c r="AE115" s="3918" t="s">
        <v>5396</v>
      </c>
      <c r="AF115" s="4951" t="s">
        <v>5397</v>
      </c>
      <c r="AG115" s="3918" t="s">
        <v>5398</v>
      </c>
      <c r="AH115" s="5195" t="s">
        <v>5399</v>
      </c>
      <c r="AI115" s="5007" t="s">
        <v>5400</v>
      </c>
      <c r="AJ115" s="4367" t="s">
        <v>5401</v>
      </c>
      <c r="AK115" s="6943"/>
      <c r="AM115" s="6352"/>
      <c r="AN115" s="6352"/>
      <c r="AO115" s="6352"/>
      <c r="AP115" s="6352"/>
      <c r="AQ115" s="6352"/>
      <c r="AR115" s="6352"/>
      <c r="AS115" s="6352"/>
      <c r="AT115" s="6352"/>
      <c r="AU115" s="6352"/>
      <c r="AV115" s="6353"/>
      <c r="AW115" s="4264"/>
      <c r="AX115" s="4264"/>
      <c r="DC115" s="5899">
        <v>0</v>
      </c>
      <c r="DE115" s="5899">
        <v>0</v>
      </c>
    </row>
    <row r="116" spans="1:109" ht="25.5" customHeight="1" x14ac:dyDescent="0.25">
      <c r="A116" s="7259" t="s">
        <v>4434</v>
      </c>
      <c r="B116" s="9104"/>
      <c r="C116" s="7284" t="s">
        <v>3417</v>
      </c>
      <c r="D116" s="6360" t="s">
        <v>5369</v>
      </c>
      <c r="E116" s="6361" t="s">
        <v>5370</v>
      </c>
      <c r="F116" s="5011" t="s">
        <v>5371</v>
      </c>
      <c r="G116" s="5033" t="s">
        <v>5372</v>
      </c>
      <c r="H116" s="5034" t="s">
        <v>5373</v>
      </c>
      <c r="I116" s="5033" t="s">
        <v>5374</v>
      </c>
      <c r="J116" s="5034" t="s">
        <v>5375</v>
      </c>
      <c r="K116" s="5033" t="s">
        <v>5376</v>
      </c>
      <c r="L116" s="5034" t="s">
        <v>5377</v>
      </c>
      <c r="M116" s="5033" t="s">
        <v>5378</v>
      </c>
      <c r="N116" s="5034" t="s">
        <v>5379</v>
      </c>
      <c r="O116" s="5033" t="s">
        <v>5380</v>
      </c>
      <c r="P116" s="5034" t="s">
        <v>5381</v>
      </c>
      <c r="Q116" s="5033" t="s">
        <v>5382</v>
      </c>
      <c r="R116" s="5034" t="s">
        <v>5383</v>
      </c>
      <c r="S116" s="5033" t="s">
        <v>5384</v>
      </c>
      <c r="T116" s="5034" t="s">
        <v>5385</v>
      </c>
      <c r="U116" s="5033" t="s">
        <v>5386</v>
      </c>
      <c r="V116" s="5034" t="s">
        <v>5387</v>
      </c>
      <c r="W116" s="5033" t="s">
        <v>5388</v>
      </c>
      <c r="X116" s="5034" t="s">
        <v>5389</v>
      </c>
      <c r="Y116" s="5033" t="s">
        <v>5390</v>
      </c>
      <c r="Z116" s="5034" t="s">
        <v>5391</v>
      </c>
      <c r="AA116" s="5033" t="s">
        <v>5392</v>
      </c>
      <c r="AB116" s="5034" t="s">
        <v>5393</v>
      </c>
      <c r="AC116" s="5033" t="s">
        <v>5394</v>
      </c>
      <c r="AD116" s="5034" t="s">
        <v>5395</v>
      </c>
      <c r="AE116" s="5033" t="s">
        <v>5396</v>
      </c>
      <c r="AF116" s="5034" t="s">
        <v>5397</v>
      </c>
      <c r="AG116" s="5033" t="s">
        <v>5398</v>
      </c>
      <c r="AH116" s="5199" t="s">
        <v>5399</v>
      </c>
      <c r="AI116" s="5038" t="s">
        <v>5400</v>
      </c>
      <c r="AJ116" s="5308" t="s">
        <v>5401</v>
      </c>
      <c r="AK116" s="6943"/>
      <c r="AM116" s="6365"/>
      <c r="AN116" s="6365"/>
      <c r="AO116" s="6365"/>
      <c r="AP116" s="6365"/>
      <c r="AQ116" s="6365"/>
      <c r="AR116" s="6365"/>
      <c r="AS116" s="6365"/>
      <c r="AT116" s="6365"/>
      <c r="AU116" s="6365"/>
      <c r="AV116" s="6366"/>
      <c r="AW116" s="4264"/>
      <c r="AX116" s="4264"/>
      <c r="DC116" s="5899">
        <v>0</v>
      </c>
      <c r="DE116" s="5899">
        <v>0</v>
      </c>
    </row>
    <row r="117" spans="1:109" ht="25.5" customHeight="1" x14ac:dyDescent="0.25">
      <c r="A117" s="7259" t="s">
        <v>4435</v>
      </c>
      <c r="B117" s="9183"/>
      <c r="C117" s="7285" t="s">
        <v>3706</v>
      </c>
      <c r="D117" s="6360" t="s">
        <v>5369</v>
      </c>
      <c r="E117" s="6361" t="s">
        <v>5370</v>
      </c>
      <c r="F117" s="5011" t="s">
        <v>5371</v>
      </c>
      <c r="G117" s="5033" t="s">
        <v>5372</v>
      </c>
      <c r="H117" s="5034" t="s">
        <v>5373</v>
      </c>
      <c r="I117" s="5033" t="s">
        <v>5374</v>
      </c>
      <c r="J117" s="5034" t="s">
        <v>5375</v>
      </c>
      <c r="K117" s="5033" t="s">
        <v>5376</v>
      </c>
      <c r="L117" s="5034" t="s">
        <v>5377</v>
      </c>
      <c r="M117" s="5033" t="s">
        <v>5378</v>
      </c>
      <c r="N117" s="5034" t="s">
        <v>5379</v>
      </c>
      <c r="O117" s="5033" t="s">
        <v>5380</v>
      </c>
      <c r="P117" s="5034" t="s">
        <v>5381</v>
      </c>
      <c r="Q117" s="5033" t="s">
        <v>5382</v>
      </c>
      <c r="R117" s="5034" t="s">
        <v>5383</v>
      </c>
      <c r="S117" s="5033" t="s">
        <v>5384</v>
      </c>
      <c r="T117" s="5034" t="s">
        <v>5385</v>
      </c>
      <c r="U117" s="5033" t="s">
        <v>5386</v>
      </c>
      <c r="V117" s="5034" t="s">
        <v>5387</v>
      </c>
      <c r="W117" s="5033" t="s">
        <v>5388</v>
      </c>
      <c r="X117" s="5034" t="s">
        <v>5389</v>
      </c>
      <c r="Y117" s="5033" t="s">
        <v>5390</v>
      </c>
      <c r="Z117" s="5034" t="s">
        <v>5391</v>
      </c>
      <c r="AA117" s="5033" t="s">
        <v>5392</v>
      </c>
      <c r="AB117" s="5034" t="s">
        <v>5393</v>
      </c>
      <c r="AC117" s="5033" t="s">
        <v>5394</v>
      </c>
      <c r="AD117" s="5034" t="s">
        <v>5395</v>
      </c>
      <c r="AE117" s="5033" t="s">
        <v>5396</v>
      </c>
      <c r="AF117" s="5034" t="s">
        <v>5397</v>
      </c>
      <c r="AG117" s="5033" t="s">
        <v>5398</v>
      </c>
      <c r="AH117" s="5199" t="s">
        <v>5399</v>
      </c>
      <c r="AI117" s="5038" t="s">
        <v>5400</v>
      </c>
      <c r="AJ117" s="4926" t="s">
        <v>5401</v>
      </c>
      <c r="AK117" s="6943"/>
      <c r="AM117" s="6367"/>
      <c r="AN117" s="6367"/>
      <c r="AO117" s="6367"/>
      <c r="AP117" s="6367"/>
      <c r="AQ117" s="6367"/>
      <c r="AR117" s="6367"/>
      <c r="AS117" s="6367"/>
      <c r="AT117" s="6367"/>
      <c r="AU117" s="6367"/>
      <c r="AV117" s="6368"/>
      <c r="AW117" s="4264"/>
      <c r="AX117" s="4264"/>
      <c r="DC117" s="5899">
        <v>0</v>
      </c>
      <c r="DE117" s="5899">
        <v>0</v>
      </c>
    </row>
    <row r="118" spans="1:109" ht="16.350000000000001" customHeight="1" x14ac:dyDescent="0.25">
      <c r="A118" s="7278" t="s">
        <v>4436</v>
      </c>
      <c r="B118" s="9089"/>
      <c r="C118" s="5433" t="s">
        <v>824</v>
      </c>
      <c r="D118" s="6369" t="s">
        <v>5369</v>
      </c>
      <c r="E118" s="6370" t="s">
        <v>5370</v>
      </c>
      <c r="F118" s="6371" t="s">
        <v>5371</v>
      </c>
      <c r="G118" s="5136" t="s">
        <v>5372</v>
      </c>
      <c r="H118" s="5027" t="s">
        <v>5373</v>
      </c>
      <c r="I118" s="5136" t="s">
        <v>5374</v>
      </c>
      <c r="J118" s="5027" t="s">
        <v>5375</v>
      </c>
      <c r="K118" s="5136" t="s">
        <v>5376</v>
      </c>
      <c r="L118" s="5027" t="s">
        <v>5377</v>
      </c>
      <c r="M118" s="5136" t="s">
        <v>5378</v>
      </c>
      <c r="N118" s="5027" t="s">
        <v>5379</v>
      </c>
      <c r="O118" s="5136" t="s">
        <v>5380</v>
      </c>
      <c r="P118" s="5027" t="s">
        <v>5381</v>
      </c>
      <c r="Q118" s="5136" t="s">
        <v>5382</v>
      </c>
      <c r="R118" s="5027" t="s">
        <v>5383</v>
      </c>
      <c r="S118" s="5136" t="s">
        <v>5384</v>
      </c>
      <c r="T118" s="5027" t="s">
        <v>5385</v>
      </c>
      <c r="U118" s="5136" t="s">
        <v>5386</v>
      </c>
      <c r="V118" s="5027" t="s">
        <v>5387</v>
      </c>
      <c r="W118" s="5136" t="s">
        <v>5388</v>
      </c>
      <c r="X118" s="5027" t="s">
        <v>5389</v>
      </c>
      <c r="Y118" s="5136" t="s">
        <v>5390</v>
      </c>
      <c r="Z118" s="5027" t="s">
        <v>5391</v>
      </c>
      <c r="AA118" s="5136" t="s">
        <v>5392</v>
      </c>
      <c r="AB118" s="5027" t="s">
        <v>5393</v>
      </c>
      <c r="AC118" s="5136" t="s">
        <v>5394</v>
      </c>
      <c r="AD118" s="5027" t="s">
        <v>5395</v>
      </c>
      <c r="AE118" s="5136" t="s">
        <v>5396</v>
      </c>
      <c r="AF118" s="5027" t="s">
        <v>5397</v>
      </c>
      <c r="AG118" s="5136" t="s">
        <v>5398</v>
      </c>
      <c r="AH118" s="5196" t="s">
        <v>5399</v>
      </c>
      <c r="AI118" s="5128" t="s">
        <v>5400</v>
      </c>
      <c r="AJ118" s="4378" t="s">
        <v>5401</v>
      </c>
      <c r="AK118" s="6943"/>
      <c r="AM118" s="6352"/>
      <c r="AN118" s="6352"/>
      <c r="AO118" s="6352"/>
      <c r="AP118" s="6352"/>
      <c r="AQ118" s="6352"/>
      <c r="AR118" s="6352"/>
      <c r="AS118" s="6352"/>
      <c r="AT118" s="6352"/>
      <c r="AU118" s="6352"/>
      <c r="AV118" s="6353"/>
      <c r="AW118" s="4264"/>
      <c r="AX118" s="4264"/>
      <c r="DC118" s="5899">
        <v>0</v>
      </c>
      <c r="DE118" s="5899">
        <v>0</v>
      </c>
    </row>
    <row r="119" spans="1:109" ht="16.350000000000001" customHeight="1" x14ac:dyDescent="0.25">
      <c r="A119" s="7259" t="s">
        <v>4437</v>
      </c>
      <c r="B119" s="9281" t="s">
        <v>2666</v>
      </c>
      <c r="C119" s="9281"/>
      <c r="D119" s="6215" t="s">
        <v>5369</v>
      </c>
      <c r="E119" s="6216" t="s">
        <v>5370</v>
      </c>
      <c r="F119" s="6356" t="s">
        <v>5371</v>
      </c>
      <c r="G119" s="8250" t="s">
        <v>5372</v>
      </c>
      <c r="H119" s="7948" t="s">
        <v>5373</v>
      </c>
      <c r="I119" s="8250" t="s">
        <v>5374</v>
      </c>
      <c r="J119" s="7948" t="s">
        <v>5375</v>
      </c>
      <c r="K119" s="8250" t="s">
        <v>5376</v>
      </c>
      <c r="L119" s="7948" t="s">
        <v>5377</v>
      </c>
      <c r="M119" s="8250" t="s">
        <v>5378</v>
      </c>
      <c r="N119" s="7948" t="s">
        <v>5379</v>
      </c>
      <c r="O119" s="8250" t="s">
        <v>5380</v>
      </c>
      <c r="P119" s="7948" t="s">
        <v>5381</v>
      </c>
      <c r="Q119" s="8250" t="s">
        <v>5382</v>
      </c>
      <c r="R119" s="7948" t="s">
        <v>5383</v>
      </c>
      <c r="S119" s="8250" t="s">
        <v>5384</v>
      </c>
      <c r="T119" s="7948" t="s">
        <v>5385</v>
      </c>
      <c r="U119" s="8250" t="s">
        <v>5386</v>
      </c>
      <c r="V119" s="7948" t="s">
        <v>5387</v>
      </c>
      <c r="W119" s="8250" t="s">
        <v>5388</v>
      </c>
      <c r="X119" s="7948" t="s">
        <v>5389</v>
      </c>
      <c r="Y119" s="8250" t="s">
        <v>5390</v>
      </c>
      <c r="Z119" s="7948" t="s">
        <v>5391</v>
      </c>
      <c r="AA119" s="8250" t="s">
        <v>5392</v>
      </c>
      <c r="AB119" s="7948" t="s">
        <v>5393</v>
      </c>
      <c r="AC119" s="8250" t="s">
        <v>5394</v>
      </c>
      <c r="AD119" s="7948" t="s">
        <v>5395</v>
      </c>
      <c r="AE119" s="8250" t="s">
        <v>5396</v>
      </c>
      <c r="AF119" s="7948" t="s">
        <v>5397</v>
      </c>
      <c r="AG119" s="8250" t="s">
        <v>5398</v>
      </c>
      <c r="AH119" s="8251" t="s">
        <v>5399</v>
      </c>
      <c r="AI119" s="8245" t="s">
        <v>5400</v>
      </c>
      <c r="AJ119" s="6945" t="s">
        <v>5401</v>
      </c>
      <c r="AK119" s="6943"/>
      <c r="AM119" s="6365"/>
      <c r="AN119" s="6365"/>
      <c r="AO119" s="6365"/>
      <c r="AP119" s="6365"/>
      <c r="AQ119" s="6365"/>
      <c r="AR119" s="6365"/>
      <c r="AS119" s="6365"/>
      <c r="AT119" s="6365"/>
      <c r="AU119" s="6365"/>
      <c r="AV119" s="6366"/>
      <c r="AW119" s="4264"/>
      <c r="AX119" s="4264"/>
      <c r="DC119" s="5899">
        <v>0</v>
      </c>
      <c r="DE119" s="5899">
        <v>0</v>
      </c>
    </row>
    <row r="120" spans="1:109" ht="23.25" customHeight="1" x14ac:dyDescent="0.25">
      <c r="B120" s="6302" t="s">
        <v>829</v>
      </c>
      <c r="C120" s="6302"/>
      <c r="AM120" s="6352"/>
      <c r="AN120" s="6352"/>
      <c r="AO120" s="6352"/>
      <c r="AP120" s="6352"/>
      <c r="AQ120" s="6352"/>
      <c r="AR120" s="6352"/>
      <c r="AS120" s="6352"/>
      <c r="AT120" s="6352"/>
      <c r="AU120" s="6352"/>
      <c r="AV120" s="6353"/>
      <c r="AW120" s="4264"/>
      <c r="AX120" s="4264"/>
    </row>
    <row r="121" spans="1:109" ht="16.350000000000001" customHeight="1" x14ac:dyDescent="0.25">
      <c r="B121" s="9090" t="s">
        <v>31</v>
      </c>
      <c r="C121" s="9091"/>
      <c r="D121" s="9079" t="s">
        <v>24</v>
      </c>
      <c r="E121" s="9079"/>
      <c r="F121" s="9079"/>
      <c r="G121" s="9278" t="s">
        <v>73</v>
      </c>
      <c r="H121" s="9279"/>
      <c r="I121" s="9279"/>
      <c r="J121" s="9279"/>
      <c r="K121" s="9279"/>
      <c r="L121" s="9279"/>
      <c r="M121" s="9279"/>
      <c r="N121" s="9279"/>
      <c r="O121" s="9279"/>
      <c r="P121" s="9279"/>
      <c r="Q121" s="9279"/>
      <c r="R121" s="9279"/>
      <c r="S121" s="9279"/>
      <c r="T121" s="9279"/>
      <c r="U121" s="9279"/>
      <c r="V121" s="9279"/>
      <c r="W121" s="9279"/>
      <c r="X121" s="9279"/>
      <c r="Y121" s="9279"/>
      <c r="Z121" s="9279"/>
      <c r="AA121" s="9279"/>
      <c r="AB121" s="9279"/>
      <c r="AC121" s="9279"/>
      <c r="AD121" s="9279"/>
      <c r="AE121" s="9279"/>
      <c r="AF121" s="9279"/>
      <c r="AG121" s="9279"/>
      <c r="AH121" s="9280"/>
      <c r="AI121" s="9393" t="s">
        <v>814</v>
      </c>
      <c r="AJ121" s="9394"/>
      <c r="AK121" s="9394"/>
      <c r="AL121" s="9395"/>
      <c r="AM121" s="9390" t="s">
        <v>362</v>
      </c>
      <c r="AN121" s="9352" t="s">
        <v>361</v>
      </c>
      <c r="AO121" s="4291"/>
      <c r="AP121" s="4291"/>
      <c r="AQ121" s="4291"/>
      <c r="AR121" s="4291"/>
      <c r="AS121" s="4291"/>
      <c r="AT121" s="4291"/>
      <c r="AU121" s="4291"/>
      <c r="AV121" s="4291"/>
      <c r="AW121" s="4291"/>
      <c r="AX121" s="4264"/>
    </row>
    <row r="122" spans="1:109" ht="16.350000000000001" customHeight="1" x14ac:dyDescent="0.25">
      <c r="B122" s="9122"/>
      <c r="C122" s="9116"/>
      <c r="D122" s="9133"/>
      <c r="E122" s="9133"/>
      <c r="F122" s="9133"/>
      <c r="G122" s="9139" t="s">
        <v>80</v>
      </c>
      <c r="H122" s="9139"/>
      <c r="I122" s="9139" t="s">
        <v>81</v>
      </c>
      <c r="J122" s="9139"/>
      <c r="K122" s="9139" t="s">
        <v>115</v>
      </c>
      <c r="L122" s="9139"/>
      <c r="M122" s="9139" t="s">
        <v>116</v>
      </c>
      <c r="N122" s="9139"/>
      <c r="O122" s="9139" t="s">
        <v>117</v>
      </c>
      <c r="P122" s="9139"/>
      <c r="Q122" s="9139" t="s">
        <v>118</v>
      </c>
      <c r="R122" s="9139"/>
      <c r="S122" s="9139" t="s">
        <v>119</v>
      </c>
      <c r="T122" s="9139"/>
      <c r="U122" s="9139" t="s">
        <v>120</v>
      </c>
      <c r="V122" s="9139"/>
      <c r="W122" s="9139" t="s">
        <v>1414</v>
      </c>
      <c r="X122" s="9139"/>
      <c r="Y122" s="9139" t="s">
        <v>1406</v>
      </c>
      <c r="Z122" s="9139"/>
      <c r="AA122" s="9057" t="s">
        <v>1397</v>
      </c>
      <c r="AB122" s="9058"/>
      <c r="AC122" s="9057" t="s">
        <v>1396</v>
      </c>
      <c r="AD122" s="9058"/>
      <c r="AE122" s="9057" t="s">
        <v>1395</v>
      </c>
      <c r="AF122" s="9058"/>
      <c r="AG122" s="9057" t="s">
        <v>1405</v>
      </c>
      <c r="AH122" s="9060"/>
      <c r="AI122" s="9106" t="s">
        <v>786</v>
      </c>
      <c r="AJ122" s="9134" t="s">
        <v>784</v>
      </c>
      <c r="AK122" s="9134" t="s">
        <v>785</v>
      </c>
      <c r="AL122" s="9154" t="s">
        <v>2575</v>
      </c>
      <c r="AM122" s="9391"/>
      <c r="AN122" s="9353"/>
      <c r="AO122" s="4290"/>
      <c r="AP122" s="4291"/>
      <c r="AQ122" s="4291"/>
      <c r="AR122" s="4291"/>
      <c r="AS122" s="4291"/>
      <c r="AT122" s="4291"/>
      <c r="AU122" s="4291"/>
      <c r="AV122" s="4291"/>
      <c r="AW122" s="4291"/>
      <c r="AX122" s="4264"/>
    </row>
    <row r="123" spans="1:109" ht="33" customHeight="1" x14ac:dyDescent="0.25">
      <c r="B123" s="9092"/>
      <c r="C123" s="9093"/>
      <c r="D123" s="6181" t="s">
        <v>42</v>
      </c>
      <c r="E123" s="5368" t="s">
        <v>17</v>
      </c>
      <c r="F123" s="6316" t="s">
        <v>18</v>
      </c>
      <c r="G123" s="5839" t="s">
        <v>17</v>
      </c>
      <c r="H123" s="5369" t="s">
        <v>18</v>
      </c>
      <c r="I123" s="5839" t="s">
        <v>17</v>
      </c>
      <c r="J123" s="5369" t="s">
        <v>18</v>
      </c>
      <c r="K123" s="5839" t="s">
        <v>17</v>
      </c>
      <c r="L123" s="5369" t="s">
        <v>18</v>
      </c>
      <c r="M123" s="5839" t="s">
        <v>17</v>
      </c>
      <c r="N123" s="5369" t="s">
        <v>18</v>
      </c>
      <c r="O123" s="5839" t="s">
        <v>17</v>
      </c>
      <c r="P123" s="5369" t="s">
        <v>18</v>
      </c>
      <c r="Q123" s="5839" t="s">
        <v>17</v>
      </c>
      <c r="R123" s="5369" t="s">
        <v>18</v>
      </c>
      <c r="S123" s="5839" t="s">
        <v>17</v>
      </c>
      <c r="T123" s="5369" t="s">
        <v>18</v>
      </c>
      <c r="U123" s="5839" t="s">
        <v>17</v>
      </c>
      <c r="V123" s="5369" t="s">
        <v>18</v>
      </c>
      <c r="W123" s="5839" t="s">
        <v>17</v>
      </c>
      <c r="X123" s="5369" t="s">
        <v>18</v>
      </c>
      <c r="Y123" s="5839" t="s">
        <v>17</v>
      </c>
      <c r="Z123" s="5369" t="s">
        <v>18</v>
      </c>
      <c r="AA123" s="5839" t="s">
        <v>17</v>
      </c>
      <c r="AB123" s="5369" t="s">
        <v>18</v>
      </c>
      <c r="AC123" s="5839" t="s">
        <v>17</v>
      </c>
      <c r="AD123" s="5369" t="s">
        <v>18</v>
      </c>
      <c r="AE123" s="5839" t="s">
        <v>17</v>
      </c>
      <c r="AF123" s="5369" t="s">
        <v>18</v>
      </c>
      <c r="AG123" s="5839" t="s">
        <v>17</v>
      </c>
      <c r="AH123" s="4526" t="s">
        <v>18</v>
      </c>
      <c r="AI123" s="9277"/>
      <c r="AJ123" s="9135"/>
      <c r="AK123" s="9135"/>
      <c r="AL123" s="9155"/>
      <c r="AM123" s="9392"/>
      <c r="AN123" s="9354"/>
      <c r="AO123" s="4291"/>
      <c r="AP123" s="4291"/>
      <c r="AQ123" s="4291"/>
      <c r="AR123" s="4291"/>
      <c r="AS123" s="4291"/>
      <c r="AT123" s="4291"/>
      <c r="AU123" s="4291"/>
      <c r="AV123" s="4291"/>
      <c r="AW123" s="4291"/>
      <c r="AX123" s="4264"/>
    </row>
    <row r="124" spans="1:109" ht="16.350000000000001" customHeight="1" x14ac:dyDescent="0.25">
      <c r="A124" s="7278" t="s">
        <v>4438</v>
      </c>
      <c r="B124" s="9178" t="s">
        <v>828</v>
      </c>
      <c r="C124" s="9179"/>
      <c r="D124" s="6215" t="s">
        <v>5369</v>
      </c>
      <c r="E124" s="6216" t="s">
        <v>5370</v>
      </c>
      <c r="F124" s="6356" t="s">
        <v>5371</v>
      </c>
      <c r="G124" s="6186" t="s">
        <v>5372</v>
      </c>
      <c r="H124" s="6224" t="s">
        <v>5373</v>
      </c>
      <c r="I124" s="6186" t="s">
        <v>5374</v>
      </c>
      <c r="J124" s="6224" t="s">
        <v>5375</v>
      </c>
      <c r="K124" s="6186" t="s">
        <v>5376</v>
      </c>
      <c r="L124" s="6224" t="s">
        <v>5377</v>
      </c>
      <c r="M124" s="6186" t="s">
        <v>5378</v>
      </c>
      <c r="N124" s="6224" t="s">
        <v>5379</v>
      </c>
      <c r="O124" s="6186" t="s">
        <v>5380</v>
      </c>
      <c r="P124" s="6224" t="s">
        <v>5381</v>
      </c>
      <c r="Q124" s="6186" t="s">
        <v>5382</v>
      </c>
      <c r="R124" s="6224" t="s">
        <v>5383</v>
      </c>
      <c r="S124" s="6186" t="s">
        <v>5384</v>
      </c>
      <c r="T124" s="6224" t="s">
        <v>5385</v>
      </c>
      <c r="U124" s="6186" t="s">
        <v>5386</v>
      </c>
      <c r="V124" s="6224" t="s">
        <v>5387</v>
      </c>
      <c r="W124" s="6186" t="s">
        <v>5388</v>
      </c>
      <c r="X124" s="6224" t="s">
        <v>5389</v>
      </c>
      <c r="Y124" s="6186" t="s">
        <v>5390</v>
      </c>
      <c r="Z124" s="6224" t="s">
        <v>5391</v>
      </c>
      <c r="AA124" s="6186" t="s">
        <v>5392</v>
      </c>
      <c r="AB124" s="6224" t="s">
        <v>5393</v>
      </c>
      <c r="AC124" s="6186" t="s">
        <v>5394</v>
      </c>
      <c r="AD124" s="6224" t="s">
        <v>5395</v>
      </c>
      <c r="AE124" s="6186" t="s">
        <v>5396</v>
      </c>
      <c r="AF124" s="6224" t="s">
        <v>5397</v>
      </c>
      <c r="AG124" s="6186" t="s">
        <v>5398</v>
      </c>
      <c r="AH124" s="6335" t="s">
        <v>5399</v>
      </c>
      <c r="AI124" s="4392" t="s">
        <v>5400</v>
      </c>
      <c r="AJ124" s="8252" t="s">
        <v>5401</v>
      </c>
      <c r="AK124" s="7229" t="s">
        <v>5402</v>
      </c>
      <c r="AL124" s="6372" t="s">
        <v>5403</v>
      </c>
      <c r="AM124" s="4392" t="s">
        <v>5404</v>
      </c>
      <c r="AN124" s="6372" t="s">
        <v>5405</v>
      </c>
      <c r="AO124" s="6943"/>
      <c r="AP124" s="4291"/>
      <c r="AQ124" s="4291"/>
      <c r="AR124" s="4291"/>
      <c r="AS124" s="4291"/>
      <c r="AT124" s="4291"/>
      <c r="AU124" s="4291"/>
      <c r="AV124" s="4291"/>
      <c r="AW124" s="4291"/>
      <c r="AX124" s="4264"/>
      <c r="CB124" s="4295" t="s">
        <v>5435</v>
      </c>
      <c r="CC124" s="4295" t="s">
        <v>5471</v>
      </c>
      <c r="CD124" s="4295" t="s">
        <v>5436</v>
      </c>
      <c r="DB124" s="5899">
        <v>1</v>
      </c>
      <c r="DC124" s="5899">
        <v>1</v>
      </c>
      <c r="DD124" s="5899">
        <v>1</v>
      </c>
      <c r="DE124" s="5899">
        <v>0</v>
      </c>
    </row>
    <row r="125" spans="1:109" ht="25.35" customHeight="1" x14ac:dyDescent="0.25">
      <c r="A125" s="7278" t="s">
        <v>4439</v>
      </c>
      <c r="B125" s="9088" t="s">
        <v>827</v>
      </c>
      <c r="C125" s="6219" t="s">
        <v>826</v>
      </c>
      <c r="D125" s="6357" t="s">
        <v>5369</v>
      </c>
      <c r="E125" s="6358" t="s">
        <v>5370</v>
      </c>
      <c r="F125" s="6359" t="s">
        <v>5371</v>
      </c>
      <c r="G125" s="6186" t="s">
        <v>5372</v>
      </c>
      <c r="H125" s="6224" t="s">
        <v>5373</v>
      </c>
      <c r="I125" s="6186" t="s">
        <v>5374</v>
      </c>
      <c r="J125" s="6224" t="s">
        <v>5375</v>
      </c>
      <c r="K125" s="6186" t="s">
        <v>5376</v>
      </c>
      <c r="L125" s="6224" t="s">
        <v>5377</v>
      </c>
      <c r="M125" s="6186" t="s">
        <v>5378</v>
      </c>
      <c r="N125" s="6224" t="s">
        <v>5379</v>
      </c>
      <c r="O125" s="6186" t="s">
        <v>5380</v>
      </c>
      <c r="P125" s="6224" t="s">
        <v>5381</v>
      </c>
      <c r="Q125" s="6186" t="s">
        <v>5382</v>
      </c>
      <c r="R125" s="6224" t="s">
        <v>5383</v>
      </c>
      <c r="S125" s="6186" t="s">
        <v>5384</v>
      </c>
      <c r="T125" s="6224" t="s">
        <v>5385</v>
      </c>
      <c r="U125" s="6186" t="s">
        <v>5386</v>
      </c>
      <c r="V125" s="6224" t="s">
        <v>5387</v>
      </c>
      <c r="W125" s="6186" t="s">
        <v>5388</v>
      </c>
      <c r="X125" s="6224" t="s">
        <v>5389</v>
      </c>
      <c r="Y125" s="6186" t="s">
        <v>5390</v>
      </c>
      <c r="Z125" s="6224" t="s">
        <v>5391</v>
      </c>
      <c r="AA125" s="6186" t="s">
        <v>5392</v>
      </c>
      <c r="AB125" s="6224" t="s">
        <v>5393</v>
      </c>
      <c r="AC125" s="6186" t="s">
        <v>5394</v>
      </c>
      <c r="AD125" s="6224" t="s">
        <v>5395</v>
      </c>
      <c r="AE125" s="6186" t="s">
        <v>5396</v>
      </c>
      <c r="AF125" s="6224" t="s">
        <v>5397</v>
      </c>
      <c r="AG125" s="6186" t="s">
        <v>5398</v>
      </c>
      <c r="AH125" s="6335" t="s">
        <v>5399</v>
      </c>
      <c r="AI125" s="4392" t="s">
        <v>5400</v>
      </c>
      <c r="AJ125" s="8252" t="s">
        <v>5401</v>
      </c>
      <c r="AK125" s="7229" t="s">
        <v>5402</v>
      </c>
      <c r="AL125" s="6372" t="s">
        <v>5403</v>
      </c>
      <c r="AM125" s="4392" t="s">
        <v>5404</v>
      </c>
      <c r="AN125" s="6372" t="s">
        <v>5405</v>
      </c>
      <c r="AO125" s="6943"/>
      <c r="AP125" s="4291"/>
      <c r="AQ125" s="4291"/>
      <c r="AR125" s="4291"/>
      <c r="AS125" s="4291"/>
      <c r="AT125" s="4291"/>
      <c r="AU125" s="4291"/>
      <c r="AV125" s="4291"/>
      <c r="AW125" s="4291"/>
      <c r="AX125" s="4264"/>
      <c r="DC125" s="5899">
        <v>0</v>
      </c>
      <c r="DD125" s="5899">
        <v>0</v>
      </c>
      <c r="DE125" s="5899">
        <v>0</v>
      </c>
    </row>
    <row r="126" spans="1:109" ht="16.350000000000001" customHeight="1" x14ac:dyDescent="0.25">
      <c r="A126" s="7278" t="s">
        <v>4440</v>
      </c>
      <c r="B126" s="9062"/>
      <c r="C126" s="5394" t="s">
        <v>72</v>
      </c>
      <c r="D126" s="6360" t="s">
        <v>5369</v>
      </c>
      <c r="E126" s="6361" t="s">
        <v>5370</v>
      </c>
      <c r="F126" s="5011" t="s">
        <v>5371</v>
      </c>
      <c r="G126" s="4369" t="s">
        <v>5372</v>
      </c>
      <c r="H126" s="5330" t="s">
        <v>5373</v>
      </c>
      <c r="I126" s="4369" t="s">
        <v>5374</v>
      </c>
      <c r="J126" s="5330" t="s">
        <v>5375</v>
      </c>
      <c r="K126" s="4369" t="s">
        <v>5376</v>
      </c>
      <c r="L126" s="5330" t="s">
        <v>5377</v>
      </c>
      <c r="M126" s="4369" t="s">
        <v>5378</v>
      </c>
      <c r="N126" s="5330" t="s">
        <v>5379</v>
      </c>
      <c r="O126" s="4369" t="s">
        <v>5380</v>
      </c>
      <c r="P126" s="5330" t="s">
        <v>5381</v>
      </c>
      <c r="Q126" s="4369" t="s">
        <v>5382</v>
      </c>
      <c r="R126" s="5330" t="s">
        <v>5383</v>
      </c>
      <c r="S126" s="4369" t="s">
        <v>5384</v>
      </c>
      <c r="T126" s="5330" t="s">
        <v>5385</v>
      </c>
      <c r="U126" s="4369" t="s">
        <v>5386</v>
      </c>
      <c r="V126" s="5330" t="s">
        <v>5387</v>
      </c>
      <c r="W126" s="4369" t="s">
        <v>5388</v>
      </c>
      <c r="X126" s="5330" t="s">
        <v>5389</v>
      </c>
      <c r="Y126" s="4369" t="s">
        <v>5390</v>
      </c>
      <c r="Z126" s="5330" t="s">
        <v>5391</v>
      </c>
      <c r="AA126" s="4369" t="s">
        <v>5392</v>
      </c>
      <c r="AB126" s="5330" t="s">
        <v>5393</v>
      </c>
      <c r="AC126" s="4369" t="s">
        <v>5394</v>
      </c>
      <c r="AD126" s="5330" t="s">
        <v>5395</v>
      </c>
      <c r="AE126" s="4369" t="s">
        <v>5396</v>
      </c>
      <c r="AF126" s="5330" t="s">
        <v>5397</v>
      </c>
      <c r="AG126" s="4369" t="s">
        <v>5398</v>
      </c>
      <c r="AH126" s="6337" t="s">
        <v>5399</v>
      </c>
      <c r="AI126" s="4365" t="s">
        <v>5400</v>
      </c>
      <c r="AJ126" s="4942" t="s">
        <v>5401</v>
      </c>
      <c r="AK126" s="4951" t="s">
        <v>5402</v>
      </c>
      <c r="AL126" s="6373" t="s">
        <v>5403</v>
      </c>
      <c r="AM126" s="4365" t="s">
        <v>5404</v>
      </c>
      <c r="AN126" s="6373" t="s">
        <v>5405</v>
      </c>
      <c r="AO126" s="6943"/>
      <c r="AP126" s="4291"/>
      <c r="AQ126" s="4291"/>
      <c r="AR126" s="4291"/>
      <c r="AS126" s="4291"/>
      <c r="AT126" s="4291"/>
      <c r="AU126" s="4291"/>
      <c r="AV126" s="4291"/>
      <c r="AW126" s="4291"/>
      <c r="AX126" s="4264"/>
      <c r="DC126" s="5899">
        <v>0</v>
      </c>
      <c r="DD126" s="5899">
        <v>0</v>
      </c>
      <c r="DE126" s="5899">
        <v>0</v>
      </c>
    </row>
    <row r="127" spans="1:109" ht="18.75" customHeight="1" x14ac:dyDescent="0.25">
      <c r="A127" s="7278" t="s">
        <v>4441</v>
      </c>
      <c r="B127" s="9062"/>
      <c r="C127" s="5394" t="s">
        <v>825</v>
      </c>
      <c r="D127" s="6360" t="s">
        <v>5369</v>
      </c>
      <c r="E127" s="6361" t="s">
        <v>5370</v>
      </c>
      <c r="F127" s="5011" t="s">
        <v>5371</v>
      </c>
      <c r="G127" s="4369" t="s">
        <v>5372</v>
      </c>
      <c r="H127" s="5330" t="s">
        <v>5373</v>
      </c>
      <c r="I127" s="4369" t="s">
        <v>5374</v>
      </c>
      <c r="J127" s="5330" t="s">
        <v>5375</v>
      </c>
      <c r="K127" s="4369" t="s">
        <v>5376</v>
      </c>
      <c r="L127" s="5330" t="s">
        <v>5377</v>
      </c>
      <c r="M127" s="4369" t="s">
        <v>5378</v>
      </c>
      <c r="N127" s="5330" t="s">
        <v>5379</v>
      </c>
      <c r="O127" s="4369" t="s">
        <v>5380</v>
      </c>
      <c r="P127" s="5330" t="s">
        <v>5381</v>
      </c>
      <c r="Q127" s="4369" t="s">
        <v>5382</v>
      </c>
      <c r="R127" s="5330" t="s">
        <v>5383</v>
      </c>
      <c r="S127" s="4369" t="s">
        <v>5384</v>
      </c>
      <c r="T127" s="5330" t="s">
        <v>5385</v>
      </c>
      <c r="U127" s="4369" t="s">
        <v>5386</v>
      </c>
      <c r="V127" s="5330" t="s">
        <v>5387</v>
      </c>
      <c r="W127" s="4369" t="s">
        <v>5388</v>
      </c>
      <c r="X127" s="5330" t="s">
        <v>5389</v>
      </c>
      <c r="Y127" s="4369" t="s">
        <v>5390</v>
      </c>
      <c r="Z127" s="5330" t="s">
        <v>5391</v>
      </c>
      <c r="AA127" s="4369" t="s">
        <v>5392</v>
      </c>
      <c r="AB127" s="5330" t="s">
        <v>5393</v>
      </c>
      <c r="AC127" s="4369" t="s">
        <v>5394</v>
      </c>
      <c r="AD127" s="5330" t="s">
        <v>5395</v>
      </c>
      <c r="AE127" s="4369" t="s">
        <v>5396</v>
      </c>
      <c r="AF127" s="5330" t="s">
        <v>5397</v>
      </c>
      <c r="AG127" s="4369" t="s">
        <v>5398</v>
      </c>
      <c r="AH127" s="6337" t="s">
        <v>5399</v>
      </c>
      <c r="AI127" s="4365" t="s">
        <v>5400</v>
      </c>
      <c r="AJ127" s="4942" t="s">
        <v>5401</v>
      </c>
      <c r="AK127" s="4951" t="s">
        <v>5402</v>
      </c>
      <c r="AL127" s="6373" t="s">
        <v>5403</v>
      </c>
      <c r="AM127" s="4365" t="s">
        <v>5404</v>
      </c>
      <c r="AN127" s="6373" t="s">
        <v>5405</v>
      </c>
      <c r="AO127" s="6943"/>
      <c r="AP127" s="6364"/>
      <c r="AQ127" s="6364"/>
      <c r="AR127" s="6364"/>
      <c r="AS127" s="6364"/>
      <c r="AT127" s="6364"/>
      <c r="AU127" s="6364"/>
      <c r="AV127" s="6374"/>
      <c r="AW127" s="6374"/>
      <c r="AX127" s="4264"/>
      <c r="DC127" s="5899">
        <v>0</v>
      </c>
      <c r="DD127" s="5899">
        <v>0</v>
      </c>
      <c r="DE127" s="5899">
        <v>0</v>
      </c>
    </row>
    <row r="128" spans="1:109" ht="21.6" customHeight="1" x14ac:dyDescent="0.25">
      <c r="A128" s="7278" t="s">
        <v>4442</v>
      </c>
      <c r="B128" s="9062"/>
      <c r="C128" s="5329" t="s">
        <v>3416</v>
      </c>
      <c r="D128" s="6360" t="s">
        <v>5369</v>
      </c>
      <c r="E128" s="6361" t="s">
        <v>5370</v>
      </c>
      <c r="F128" s="5011" t="s">
        <v>5371</v>
      </c>
      <c r="G128" s="4369" t="s">
        <v>5372</v>
      </c>
      <c r="H128" s="5330" t="s">
        <v>5373</v>
      </c>
      <c r="I128" s="4369" t="s">
        <v>5374</v>
      </c>
      <c r="J128" s="5330" t="s">
        <v>5375</v>
      </c>
      <c r="K128" s="4369" t="s">
        <v>5376</v>
      </c>
      <c r="L128" s="5330" t="s">
        <v>5377</v>
      </c>
      <c r="M128" s="4369" t="s">
        <v>5378</v>
      </c>
      <c r="N128" s="5330" t="s">
        <v>5379</v>
      </c>
      <c r="O128" s="4369" t="s">
        <v>5380</v>
      </c>
      <c r="P128" s="5330" t="s">
        <v>5381</v>
      </c>
      <c r="Q128" s="4369" t="s">
        <v>5382</v>
      </c>
      <c r="R128" s="5330" t="s">
        <v>5383</v>
      </c>
      <c r="S128" s="4369" t="s">
        <v>5384</v>
      </c>
      <c r="T128" s="5330" t="s">
        <v>5385</v>
      </c>
      <c r="U128" s="4369" t="s">
        <v>5386</v>
      </c>
      <c r="V128" s="5330" t="s">
        <v>5387</v>
      </c>
      <c r="W128" s="4369" t="s">
        <v>5388</v>
      </c>
      <c r="X128" s="5330" t="s">
        <v>5389</v>
      </c>
      <c r="Y128" s="4369" t="s">
        <v>5390</v>
      </c>
      <c r="Z128" s="5330" t="s">
        <v>5391</v>
      </c>
      <c r="AA128" s="4369" t="s">
        <v>5392</v>
      </c>
      <c r="AB128" s="5330" t="s">
        <v>5393</v>
      </c>
      <c r="AC128" s="4369" t="s">
        <v>5394</v>
      </c>
      <c r="AD128" s="5330" t="s">
        <v>5395</v>
      </c>
      <c r="AE128" s="4369" t="s">
        <v>5396</v>
      </c>
      <c r="AF128" s="5330" t="s">
        <v>5397</v>
      </c>
      <c r="AG128" s="4369" t="s">
        <v>5398</v>
      </c>
      <c r="AH128" s="6337" t="s">
        <v>5399</v>
      </c>
      <c r="AI128" s="4365" t="s">
        <v>5400</v>
      </c>
      <c r="AJ128" s="4942" t="s">
        <v>5401</v>
      </c>
      <c r="AK128" s="4951" t="s">
        <v>5402</v>
      </c>
      <c r="AL128" s="6373" t="s">
        <v>5403</v>
      </c>
      <c r="AM128" s="4365" t="s">
        <v>5404</v>
      </c>
      <c r="AN128" s="6373" t="s">
        <v>5405</v>
      </c>
      <c r="AO128" s="6943"/>
      <c r="AP128" s="6364"/>
      <c r="AQ128" s="6364"/>
      <c r="AR128" s="6364"/>
      <c r="AS128" s="6375"/>
      <c r="AT128" s="6364"/>
      <c r="AU128" s="6364"/>
      <c r="AV128" s="6376"/>
      <c r="AW128" s="4264"/>
      <c r="AX128" s="4264"/>
      <c r="DC128" s="5899">
        <v>0</v>
      </c>
      <c r="DD128" s="5899">
        <v>0</v>
      </c>
      <c r="DE128" s="5899">
        <v>0</v>
      </c>
    </row>
    <row r="129" spans="1:109" ht="25.5" customHeight="1" x14ac:dyDescent="0.25">
      <c r="A129" s="7259" t="s">
        <v>4443</v>
      </c>
      <c r="B129" s="9104"/>
      <c r="C129" s="7284" t="s">
        <v>3417</v>
      </c>
      <c r="D129" s="6360" t="s">
        <v>5369</v>
      </c>
      <c r="E129" s="6361" t="s">
        <v>5370</v>
      </c>
      <c r="F129" s="5011" t="s">
        <v>5371</v>
      </c>
      <c r="G129" s="5307" t="s">
        <v>5372</v>
      </c>
      <c r="H129" s="5308" t="s">
        <v>5373</v>
      </c>
      <c r="I129" s="5307" t="s">
        <v>5374</v>
      </c>
      <c r="J129" s="5308" t="s">
        <v>5375</v>
      </c>
      <c r="K129" s="5307" t="s">
        <v>5376</v>
      </c>
      <c r="L129" s="5308" t="s">
        <v>5377</v>
      </c>
      <c r="M129" s="5307" t="s">
        <v>5378</v>
      </c>
      <c r="N129" s="5308" t="s">
        <v>5379</v>
      </c>
      <c r="O129" s="5307" t="s">
        <v>5380</v>
      </c>
      <c r="P129" s="5308" t="s">
        <v>5381</v>
      </c>
      <c r="Q129" s="5307" t="s">
        <v>5382</v>
      </c>
      <c r="R129" s="5308" t="s">
        <v>5383</v>
      </c>
      <c r="S129" s="5307" t="s">
        <v>5384</v>
      </c>
      <c r="T129" s="5308" t="s">
        <v>5385</v>
      </c>
      <c r="U129" s="5307" t="s">
        <v>5386</v>
      </c>
      <c r="V129" s="5308" t="s">
        <v>5387</v>
      </c>
      <c r="W129" s="5307" t="s">
        <v>5388</v>
      </c>
      <c r="X129" s="5308" t="s">
        <v>5389</v>
      </c>
      <c r="Y129" s="5307" t="s">
        <v>5390</v>
      </c>
      <c r="Z129" s="5308" t="s">
        <v>5391</v>
      </c>
      <c r="AA129" s="5307" t="s">
        <v>5392</v>
      </c>
      <c r="AB129" s="5308" t="s">
        <v>5393</v>
      </c>
      <c r="AC129" s="5307" t="s">
        <v>5394</v>
      </c>
      <c r="AD129" s="5308" t="s">
        <v>5395</v>
      </c>
      <c r="AE129" s="5307" t="s">
        <v>5396</v>
      </c>
      <c r="AF129" s="5308" t="s">
        <v>5397</v>
      </c>
      <c r="AG129" s="5307" t="s">
        <v>5398</v>
      </c>
      <c r="AH129" s="5199" t="s">
        <v>5399</v>
      </c>
      <c r="AI129" s="6377" t="s">
        <v>5400</v>
      </c>
      <c r="AJ129" s="5015" t="s">
        <v>5401</v>
      </c>
      <c r="AK129" s="5034" t="s">
        <v>5402</v>
      </c>
      <c r="AL129" s="6175" t="s">
        <v>5403</v>
      </c>
      <c r="AM129" s="6377" t="s">
        <v>5404</v>
      </c>
      <c r="AN129" s="6175" t="s">
        <v>5405</v>
      </c>
      <c r="AO129" s="6943"/>
      <c r="AP129" s="6378"/>
      <c r="AQ129" s="6378"/>
      <c r="AR129" s="6378"/>
      <c r="AS129" s="6379"/>
      <c r="AT129" s="6378"/>
      <c r="AU129" s="6378"/>
      <c r="AV129" s="6380"/>
      <c r="AW129" s="4264"/>
      <c r="AX129" s="4264"/>
      <c r="DC129" s="5899">
        <v>0</v>
      </c>
      <c r="DD129" s="5899">
        <v>0</v>
      </c>
      <c r="DE129" s="5899">
        <v>0</v>
      </c>
    </row>
    <row r="130" spans="1:109" ht="25.5" customHeight="1" x14ac:dyDescent="0.25">
      <c r="A130" s="7259" t="s">
        <v>4444</v>
      </c>
      <c r="B130" s="9183"/>
      <c r="C130" s="7285" t="s">
        <v>3706</v>
      </c>
      <c r="D130" s="6360" t="s">
        <v>5369</v>
      </c>
      <c r="E130" s="6361" t="s">
        <v>5370</v>
      </c>
      <c r="F130" s="5011" t="s">
        <v>5371</v>
      </c>
      <c r="G130" s="5307" t="s">
        <v>5372</v>
      </c>
      <c r="H130" s="4926" t="s">
        <v>5373</v>
      </c>
      <c r="I130" s="5307" t="s">
        <v>5374</v>
      </c>
      <c r="J130" s="4926" t="s">
        <v>5375</v>
      </c>
      <c r="K130" s="5307" t="s">
        <v>5376</v>
      </c>
      <c r="L130" s="4926" t="s">
        <v>5377</v>
      </c>
      <c r="M130" s="5307" t="s">
        <v>5378</v>
      </c>
      <c r="N130" s="4926" t="s">
        <v>5379</v>
      </c>
      <c r="O130" s="5307" t="s">
        <v>5380</v>
      </c>
      <c r="P130" s="4926" t="s">
        <v>5381</v>
      </c>
      <c r="Q130" s="5307" t="s">
        <v>5382</v>
      </c>
      <c r="R130" s="4926" t="s">
        <v>5383</v>
      </c>
      <c r="S130" s="5307" t="s">
        <v>5384</v>
      </c>
      <c r="T130" s="4926" t="s">
        <v>5385</v>
      </c>
      <c r="U130" s="5307" t="s">
        <v>5386</v>
      </c>
      <c r="V130" s="4926" t="s">
        <v>5387</v>
      </c>
      <c r="W130" s="5307" t="s">
        <v>5388</v>
      </c>
      <c r="X130" s="4926" t="s">
        <v>5389</v>
      </c>
      <c r="Y130" s="5307" t="s">
        <v>5390</v>
      </c>
      <c r="Z130" s="4926" t="s">
        <v>5391</v>
      </c>
      <c r="AA130" s="5307" t="s">
        <v>5392</v>
      </c>
      <c r="AB130" s="4926" t="s">
        <v>5393</v>
      </c>
      <c r="AC130" s="5307" t="s">
        <v>5394</v>
      </c>
      <c r="AD130" s="4926" t="s">
        <v>5395</v>
      </c>
      <c r="AE130" s="5307" t="s">
        <v>5396</v>
      </c>
      <c r="AF130" s="4926" t="s">
        <v>5397</v>
      </c>
      <c r="AG130" s="5307" t="s">
        <v>5398</v>
      </c>
      <c r="AH130" s="5199" t="s">
        <v>5399</v>
      </c>
      <c r="AI130" s="6377" t="s">
        <v>5400</v>
      </c>
      <c r="AJ130" s="5015" t="s">
        <v>5401</v>
      </c>
      <c r="AK130" s="5034" t="s">
        <v>5402</v>
      </c>
      <c r="AL130" s="6175" t="s">
        <v>5403</v>
      </c>
      <c r="AM130" s="6377" t="s">
        <v>5404</v>
      </c>
      <c r="AN130" s="6175" t="s">
        <v>5405</v>
      </c>
      <c r="AO130" s="6943"/>
      <c r="AP130" s="6381"/>
      <c r="AQ130" s="6381"/>
      <c r="AR130" s="6381"/>
      <c r="AS130" s="6382"/>
      <c r="AT130" s="6381"/>
      <c r="AU130" s="6381"/>
      <c r="AV130" s="6383"/>
      <c r="AW130" s="4264"/>
      <c r="AX130" s="4264"/>
      <c r="DC130" s="5899">
        <v>0</v>
      </c>
      <c r="DD130" s="5899">
        <v>0</v>
      </c>
      <c r="DE130" s="5899">
        <v>0</v>
      </c>
    </row>
    <row r="131" spans="1:109" ht="16.350000000000001" customHeight="1" x14ac:dyDescent="0.25">
      <c r="A131" s="7278" t="s">
        <v>4445</v>
      </c>
      <c r="B131" s="9089"/>
      <c r="C131" s="5433" t="s">
        <v>824</v>
      </c>
      <c r="D131" s="6679" t="s">
        <v>5369</v>
      </c>
      <c r="E131" s="6680" t="s">
        <v>5370</v>
      </c>
      <c r="F131" s="6840" t="s">
        <v>5371</v>
      </c>
      <c r="G131" s="4387" t="s">
        <v>5372</v>
      </c>
      <c r="H131" s="4479" t="s">
        <v>5373</v>
      </c>
      <c r="I131" s="4387" t="s">
        <v>5374</v>
      </c>
      <c r="J131" s="4479" t="s">
        <v>5375</v>
      </c>
      <c r="K131" s="4387" t="s">
        <v>5376</v>
      </c>
      <c r="L131" s="4479" t="s">
        <v>5377</v>
      </c>
      <c r="M131" s="4387" t="s">
        <v>5378</v>
      </c>
      <c r="N131" s="4479" t="s">
        <v>5379</v>
      </c>
      <c r="O131" s="4387" t="s">
        <v>5380</v>
      </c>
      <c r="P131" s="4479" t="s">
        <v>5381</v>
      </c>
      <c r="Q131" s="4387" t="s">
        <v>5382</v>
      </c>
      <c r="R131" s="4479" t="s">
        <v>5383</v>
      </c>
      <c r="S131" s="4387" t="s">
        <v>5384</v>
      </c>
      <c r="T131" s="4479" t="s">
        <v>5385</v>
      </c>
      <c r="U131" s="4387" t="s">
        <v>5386</v>
      </c>
      <c r="V131" s="4479" t="s">
        <v>5387</v>
      </c>
      <c r="W131" s="4387" t="s">
        <v>5388</v>
      </c>
      <c r="X131" s="4479" t="s">
        <v>5389</v>
      </c>
      <c r="Y131" s="4387" t="s">
        <v>5390</v>
      </c>
      <c r="Z131" s="4479" t="s">
        <v>5391</v>
      </c>
      <c r="AA131" s="4387" t="s">
        <v>5392</v>
      </c>
      <c r="AB131" s="4479" t="s">
        <v>5393</v>
      </c>
      <c r="AC131" s="4387" t="s">
        <v>5394</v>
      </c>
      <c r="AD131" s="4479" t="s">
        <v>5395</v>
      </c>
      <c r="AE131" s="4387" t="s">
        <v>5396</v>
      </c>
      <c r="AF131" s="4479" t="s">
        <v>5397</v>
      </c>
      <c r="AG131" s="4387" t="s">
        <v>5398</v>
      </c>
      <c r="AH131" s="6341" t="s">
        <v>5399</v>
      </c>
      <c r="AI131" s="4376" t="s">
        <v>5400</v>
      </c>
      <c r="AJ131" s="5025" t="s">
        <v>5401</v>
      </c>
      <c r="AK131" s="5027" t="s">
        <v>5402</v>
      </c>
      <c r="AL131" s="6384" t="s">
        <v>5403</v>
      </c>
      <c r="AM131" s="4376" t="s">
        <v>5404</v>
      </c>
      <c r="AN131" s="6384" t="s">
        <v>5405</v>
      </c>
      <c r="AO131" s="6943"/>
      <c r="AP131" s="6352"/>
      <c r="AQ131" s="6352"/>
      <c r="AR131" s="6352"/>
      <c r="AS131" s="6385"/>
      <c r="AT131" s="6352"/>
      <c r="AU131" s="6352"/>
      <c r="AV131" s="6376"/>
      <c r="AW131" s="4264"/>
      <c r="AX131" s="4264"/>
      <c r="DC131" s="5899">
        <v>0</v>
      </c>
      <c r="DD131" s="5899">
        <v>0</v>
      </c>
      <c r="DE131" s="5899">
        <v>0</v>
      </c>
    </row>
    <row r="132" spans="1:109" ht="27" customHeight="1" x14ac:dyDescent="0.25">
      <c r="B132" s="6302" t="s">
        <v>3920</v>
      </c>
      <c r="C132" s="6302"/>
      <c r="AL132" s="4234"/>
      <c r="AM132" s="4234"/>
      <c r="AN132" s="4234"/>
      <c r="AO132" s="4234"/>
      <c r="AP132" s="4234"/>
      <c r="AQ132" s="4234"/>
      <c r="AR132" s="4234"/>
      <c r="AS132" s="4234"/>
      <c r="AT132" s="6352"/>
      <c r="AU132" s="6352"/>
      <c r="AV132" s="6376"/>
      <c r="AW132" s="4264"/>
      <c r="AX132" s="4264"/>
      <c r="DD132" s="5899">
        <v>0</v>
      </c>
    </row>
    <row r="133" spans="1:109" ht="16.350000000000001" customHeight="1" x14ac:dyDescent="0.25">
      <c r="B133" s="9090" t="s">
        <v>31</v>
      </c>
      <c r="C133" s="9091"/>
      <c r="D133" s="9172" t="s">
        <v>24</v>
      </c>
      <c r="E133" s="9173"/>
      <c r="F133" s="9174"/>
      <c r="G133" s="9112" t="s">
        <v>29</v>
      </c>
      <c r="H133" s="9113"/>
      <c r="I133" s="9113"/>
      <c r="J133" s="9113"/>
      <c r="K133" s="9113"/>
      <c r="L133" s="9113"/>
      <c r="M133" s="9113"/>
      <c r="N133" s="9113"/>
      <c r="O133" s="9113"/>
      <c r="P133" s="9113"/>
      <c r="Q133" s="9113"/>
      <c r="R133" s="9113"/>
      <c r="S133" s="9113"/>
      <c r="T133" s="9113"/>
      <c r="U133" s="9113"/>
      <c r="V133" s="9113"/>
      <c r="W133" s="9113"/>
      <c r="X133" s="9113"/>
      <c r="Y133" s="9113"/>
      <c r="Z133" s="9113"/>
      <c r="AA133" s="9113"/>
      <c r="AB133" s="9113"/>
      <c r="AC133" s="9113"/>
      <c r="AD133" s="9113"/>
      <c r="AE133" s="9113"/>
      <c r="AF133" s="9113"/>
      <c r="AG133" s="9113"/>
      <c r="AH133" s="9113"/>
      <c r="AI133" s="9113"/>
      <c r="AJ133" s="9113"/>
      <c r="AK133" s="9113"/>
      <c r="AL133" s="9113"/>
      <c r="AM133" s="9113"/>
      <c r="AN133" s="9114"/>
      <c r="AO133" s="9283" t="s">
        <v>814</v>
      </c>
      <c r="AP133" s="9284"/>
      <c r="AQ133" s="9285"/>
      <c r="AR133" s="9160" t="s">
        <v>362</v>
      </c>
      <c r="AS133" s="9157" t="s">
        <v>361</v>
      </c>
      <c r="AT133" s="4234"/>
      <c r="AU133" s="4234"/>
      <c r="AV133" s="4234"/>
      <c r="AW133" s="4234"/>
      <c r="AX133" s="4234"/>
      <c r="AY133" s="3914"/>
      <c r="AZ133" s="6184"/>
      <c r="BA133" s="6184"/>
      <c r="BB133" s="6376"/>
      <c r="BC133" s="4264"/>
      <c r="BD133" s="4264"/>
      <c r="BE133" s="4264"/>
      <c r="BF133" s="4264"/>
    </row>
    <row r="134" spans="1:109" ht="16.350000000000001" customHeight="1" x14ac:dyDescent="0.25">
      <c r="B134" s="9122"/>
      <c r="C134" s="9116"/>
      <c r="D134" s="9122"/>
      <c r="E134" s="9181"/>
      <c r="F134" s="9182"/>
      <c r="G134" s="9057" t="s">
        <v>3465</v>
      </c>
      <c r="H134" s="9058"/>
      <c r="I134" s="9057" t="s">
        <v>3466</v>
      </c>
      <c r="J134" s="9058"/>
      <c r="K134" s="9057" t="s">
        <v>3467</v>
      </c>
      <c r="L134" s="9058"/>
      <c r="M134" s="9057" t="s">
        <v>33</v>
      </c>
      <c r="N134" s="9058"/>
      <c r="O134" s="9139" t="s">
        <v>81</v>
      </c>
      <c r="P134" s="9139"/>
      <c r="Q134" s="9139" t="s">
        <v>115</v>
      </c>
      <c r="R134" s="9139"/>
      <c r="S134" s="9139" t="s">
        <v>116</v>
      </c>
      <c r="T134" s="9139"/>
      <c r="U134" s="9139" t="s">
        <v>117</v>
      </c>
      <c r="V134" s="9139"/>
      <c r="W134" s="9139" t="s">
        <v>118</v>
      </c>
      <c r="X134" s="9139"/>
      <c r="Y134" s="9139" t="s">
        <v>119</v>
      </c>
      <c r="Z134" s="9139"/>
      <c r="AA134" s="9139" t="s">
        <v>120</v>
      </c>
      <c r="AB134" s="9139"/>
      <c r="AC134" s="9139" t="s">
        <v>1414</v>
      </c>
      <c r="AD134" s="9139"/>
      <c r="AE134" s="9139" t="s">
        <v>1406</v>
      </c>
      <c r="AF134" s="9139"/>
      <c r="AG134" s="9057" t="s">
        <v>1397</v>
      </c>
      <c r="AH134" s="9058"/>
      <c r="AI134" s="9057" t="s">
        <v>1396</v>
      </c>
      <c r="AJ134" s="9058"/>
      <c r="AK134" s="9057" t="s">
        <v>1395</v>
      </c>
      <c r="AL134" s="9058"/>
      <c r="AM134" s="9057" t="s">
        <v>1405</v>
      </c>
      <c r="AN134" s="9060"/>
      <c r="AO134" s="9106" t="s">
        <v>823</v>
      </c>
      <c r="AP134" s="9134" t="s">
        <v>822</v>
      </c>
      <c r="AQ134" s="9154" t="s">
        <v>785</v>
      </c>
      <c r="AR134" s="9163"/>
      <c r="AS134" s="9158"/>
      <c r="AT134" s="4234"/>
      <c r="AU134" s="4234"/>
      <c r="AV134" s="4234"/>
      <c r="AW134" s="4234"/>
      <c r="AX134" s="4234"/>
      <c r="AY134" s="3914"/>
      <c r="AZ134" s="6184"/>
      <c r="BA134" s="6184"/>
      <c r="BB134" s="6376"/>
      <c r="BC134" s="4264"/>
      <c r="BD134" s="4264"/>
      <c r="BE134" s="4264"/>
      <c r="BF134" s="4264"/>
    </row>
    <row r="135" spans="1:109" ht="27" customHeight="1" x14ac:dyDescent="0.25">
      <c r="B135" s="9092"/>
      <c r="C135" s="9093"/>
      <c r="D135" s="6181" t="s">
        <v>42</v>
      </c>
      <c r="E135" s="5368" t="s">
        <v>17</v>
      </c>
      <c r="F135" s="6316" t="s">
        <v>18</v>
      </c>
      <c r="G135" s="5839" t="s">
        <v>17</v>
      </c>
      <c r="H135" s="5369" t="s">
        <v>18</v>
      </c>
      <c r="I135" s="5839" t="s">
        <v>17</v>
      </c>
      <c r="J135" s="5369" t="s">
        <v>18</v>
      </c>
      <c r="K135" s="5839" t="s">
        <v>17</v>
      </c>
      <c r="L135" s="5369" t="s">
        <v>18</v>
      </c>
      <c r="M135" s="5839" t="s">
        <v>17</v>
      </c>
      <c r="N135" s="5369" t="s">
        <v>18</v>
      </c>
      <c r="O135" s="5839" t="s">
        <v>17</v>
      </c>
      <c r="P135" s="5369" t="s">
        <v>18</v>
      </c>
      <c r="Q135" s="5839" t="s">
        <v>17</v>
      </c>
      <c r="R135" s="5369" t="s">
        <v>18</v>
      </c>
      <c r="S135" s="5839" t="s">
        <v>17</v>
      </c>
      <c r="T135" s="5369" t="s">
        <v>18</v>
      </c>
      <c r="U135" s="5839" t="s">
        <v>17</v>
      </c>
      <c r="V135" s="5369" t="s">
        <v>18</v>
      </c>
      <c r="W135" s="5839" t="s">
        <v>17</v>
      </c>
      <c r="X135" s="5369" t="s">
        <v>18</v>
      </c>
      <c r="Y135" s="5839" t="s">
        <v>17</v>
      </c>
      <c r="Z135" s="5369" t="s">
        <v>18</v>
      </c>
      <c r="AA135" s="5839" t="s">
        <v>17</v>
      </c>
      <c r="AB135" s="5369" t="s">
        <v>18</v>
      </c>
      <c r="AC135" s="5839" t="s">
        <v>17</v>
      </c>
      <c r="AD135" s="5369" t="s">
        <v>18</v>
      </c>
      <c r="AE135" s="5839" t="s">
        <v>17</v>
      </c>
      <c r="AF135" s="5369" t="s">
        <v>18</v>
      </c>
      <c r="AG135" s="5839" t="s">
        <v>17</v>
      </c>
      <c r="AH135" s="5369" t="s">
        <v>18</v>
      </c>
      <c r="AI135" s="5839" t="s">
        <v>17</v>
      </c>
      <c r="AJ135" s="5369" t="s">
        <v>18</v>
      </c>
      <c r="AK135" s="5839" t="s">
        <v>17</v>
      </c>
      <c r="AL135" s="5369" t="s">
        <v>18</v>
      </c>
      <c r="AM135" s="5839" t="s">
        <v>17</v>
      </c>
      <c r="AN135" s="4526" t="s">
        <v>18</v>
      </c>
      <c r="AO135" s="9277"/>
      <c r="AP135" s="9135"/>
      <c r="AQ135" s="9155"/>
      <c r="AR135" s="9161"/>
      <c r="AS135" s="9159"/>
      <c r="AT135" s="4234"/>
      <c r="AU135" s="4234"/>
      <c r="AV135" s="4234"/>
      <c r="AW135" s="4234"/>
      <c r="AX135" s="4234"/>
      <c r="AY135" s="3914"/>
      <c r="AZ135" s="6184"/>
      <c r="BA135" s="6184"/>
      <c r="BB135" s="6376"/>
      <c r="BC135" s="4264"/>
      <c r="BD135" s="4264"/>
      <c r="BE135" s="4264"/>
      <c r="BF135" s="4264"/>
    </row>
    <row r="136" spans="1:109" ht="16.350000000000001" customHeight="1" x14ac:dyDescent="0.25">
      <c r="A136" s="7257" t="s">
        <v>4446</v>
      </c>
      <c r="B136" s="9175" t="s">
        <v>821</v>
      </c>
      <c r="C136" s="9176"/>
      <c r="D136" s="6319" t="s">
        <v>5369</v>
      </c>
      <c r="E136" s="7186" t="s">
        <v>5370</v>
      </c>
      <c r="F136" s="7187" t="s">
        <v>5371</v>
      </c>
      <c r="G136" s="6186" t="s">
        <v>5372</v>
      </c>
      <c r="H136" s="6224" t="s">
        <v>5373</v>
      </c>
      <c r="I136" s="6186" t="s">
        <v>5374</v>
      </c>
      <c r="J136" s="6224" t="s">
        <v>5375</v>
      </c>
      <c r="K136" s="6186" t="s">
        <v>5376</v>
      </c>
      <c r="L136" s="6224" t="s">
        <v>5377</v>
      </c>
      <c r="M136" s="6186" t="s">
        <v>5378</v>
      </c>
      <c r="N136" s="6224" t="s">
        <v>5379</v>
      </c>
      <c r="O136" s="6186" t="s">
        <v>5380</v>
      </c>
      <c r="P136" s="6224" t="s">
        <v>5381</v>
      </c>
      <c r="Q136" s="6186" t="s">
        <v>5382</v>
      </c>
      <c r="R136" s="6224" t="s">
        <v>5383</v>
      </c>
      <c r="S136" s="6186" t="s">
        <v>5384</v>
      </c>
      <c r="T136" s="6224" t="s">
        <v>5385</v>
      </c>
      <c r="U136" s="6186" t="s">
        <v>5386</v>
      </c>
      <c r="V136" s="6224" t="s">
        <v>5387</v>
      </c>
      <c r="W136" s="6186" t="s">
        <v>5388</v>
      </c>
      <c r="X136" s="6224" t="s">
        <v>5389</v>
      </c>
      <c r="Y136" s="6186" t="s">
        <v>5390</v>
      </c>
      <c r="Z136" s="6224" t="s">
        <v>5391</v>
      </c>
      <c r="AA136" s="6186" t="s">
        <v>5392</v>
      </c>
      <c r="AB136" s="6224" t="s">
        <v>5393</v>
      </c>
      <c r="AC136" s="6186" t="s">
        <v>5394</v>
      </c>
      <c r="AD136" s="6224" t="s">
        <v>5395</v>
      </c>
      <c r="AE136" s="6186" t="s">
        <v>5396</v>
      </c>
      <c r="AF136" s="6224" t="s">
        <v>5397</v>
      </c>
      <c r="AG136" s="6186" t="s">
        <v>5398</v>
      </c>
      <c r="AH136" s="6224" t="s">
        <v>5399</v>
      </c>
      <c r="AI136" s="6186" t="s">
        <v>5400</v>
      </c>
      <c r="AJ136" s="6224" t="s">
        <v>5401</v>
      </c>
      <c r="AK136" s="6186" t="s">
        <v>5402</v>
      </c>
      <c r="AL136" s="6224" t="s">
        <v>5403</v>
      </c>
      <c r="AM136" s="6186" t="s">
        <v>5404</v>
      </c>
      <c r="AN136" s="6335" t="s">
        <v>5405</v>
      </c>
      <c r="AO136" s="6186" t="s">
        <v>5406</v>
      </c>
      <c r="AP136" s="6335" t="s">
        <v>5407</v>
      </c>
      <c r="AQ136" s="6186" t="s">
        <v>5408</v>
      </c>
      <c r="AR136" s="6335" t="s">
        <v>5409</v>
      </c>
      <c r="AS136" s="6186" t="s">
        <v>5410</v>
      </c>
      <c r="AT136" s="5717"/>
      <c r="AU136" s="4234"/>
      <c r="AV136" s="4234"/>
      <c r="AW136" s="4234"/>
      <c r="AX136" s="4234"/>
      <c r="AY136" s="3914"/>
      <c r="AZ136" s="6386"/>
      <c r="BA136" s="6386"/>
      <c r="BB136" s="6376"/>
      <c r="BC136" s="4264"/>
      <c r="BD136" s="4264"/>
      <c r="BE136" s="4264"/>
      <c r="BF136" s="4264"/>
      <c r="CB136" s="4295" t="s">
        <v>5435</v>
      </c>
      <c r="CC136" s="4295" t="s">
        <v>5471</v>
      </c>
      <c r="CD136" s="4295" t="s">
        <v>5436</v>
      </c>
      <c r="DB136" s="5899">
        <v>1</v>
      </c>
      <c r="DC136" s="5899">
        <v>1</v>
      </c>
      <c r="DD136" s="5899">
        <v>1</v>
      </c>
      <c r="DE136" s="5899">
        <v>0</v>
      </c>
    </row>
    <row r="137" spans="1:109" ht="16.350000000000001" customHeight="1" x14ac:dyDescent="0.25">
      <c r="A137" s="7257" t="s">
        <v>4447</v>
      </c>
      <c r="B137" s="9251" t="s">
        <v>820</v>
      </c>
      <c r="C137" s="9204"/>
      <c r="D137" s="6387" t="s">
        <v>5369</v>
      </c>
      <c r="E137" s="6388" t="s">
        <v>5370</v>
      </c>
      <c r="F137" s="4941" t="s">
        <v>5371</v>
      </c>
      <c r="G137" s="6389" t="s">
        <v>5372</v>
      </c>
      <c r="H137" s="4926" t="s">
        <v>5373</v>
      </c>
      <c r="I137" s="6389" t="s">
        <v>5374</v>
      </c>
      <c r="J137" s="4926" t="s">
        <v>5375</v>
      </c>
      <c r="K137" s="6389" t="s">
        <v>5376</v>
      </c>
      <c r="L137" s="4926" t="s">
        <v>5377</v>
      </c>
      <c r="M137" s="6389" t="s">
        <v>5378</v>
      </c>
      <c r="N137" s="4926" t="s">
        <v>5379</v>
      </c>
      <c r="O137" s="6389" t="s">
        <v>5380</v>
      </c>
      <c r="P137" s="4926" t="s">
        <v>5381</v>
      </c>
      <c r="Q137" s="6389" t="s">
        <v>5382</v>
      </c>
      <c r="R137" s="4926" t="s">
        <v>5383</v>
      </c>
      <c r="S137" s="6389" t="s">
        <v>5384</v>
      </c>
      <c r="T137" s="4926" t="s">
        <v>5385</v>
      </c>
      <c r="U137" s="6389" t="s">
        <v>5386</v>
      </c>
      <c r="V137" s="4926" t="s">
        <v>5387</v>
      </c>
      <c r="W137" s="6389" t="s">
        <v>5388</v>
      </c>
      <c r="X137" s="4926" t="s">
        <v>5389</v>
      </c>
      <c r="Y137" s="6389" t="s">
        <v>5390</v>
      </c>
      <c r="Z137" s="4926" t="s">
        <v>5391</v>
      </c>
      <c r="AA137" s="6389" t="s">
        <v>5392</v>
      </c>
      <c r="AB137" s="4926" t="s">
        <v>5393</v>
      </c>
      <c r="AC137" s="6389" t="s">
        <v>5394</v>
      </c>
      <c r="AD137" s="4926" t="s">
        <v>5395</v>
      </c>
      <c r="AE137" s="6389" t="s">
        <v>5396</v>
      </c>
      <c r="AF137" s="4926" t="s">
        <v>5397</v>
      </c>
      <c r="AG137" s="6389" t="s">
        <v>5398</v>
      </c>
      <c r="AH137" s="4926" t="s">
        <v>5399</v>
      </c>
      <c r="AI137" s="6389" t="s">
        <v>5400</v>
      </c>
      <c r="AJ137" s="4926" t="s">
        <v>5401</v>
      </c>
      <c r="AK137" s="6389" t="s">
        <v>5402</v>
      </c>
      <c r="AL137" s="4926" t="s">
        <v>5403</v>
      </c>
      <c r="AM137" s="6389" t="s">
        <v>5404</v>
      </c>
      <c r="AN137" s="4927" t="s">
        <v>5405</v>
      </c>
      <c r="AO137" s="6389" t="s">
        <v>5406</v>
      </c>
      <c r="AP137" s="4927" t="s">
        <v>5407</v>
      </c>
      <c r="AQ137" s="6389" t="s">
        <v>5408</v>
      </c>
      <c r="AR137" s="4927" t="s">
        <v>5409</v>
      </c>
      <c r="AS137" s="6389" t="s">
        <v>5410</v>
      </c>
      <c r="AT137" s="6626"/>
      <c r="AU137" s="4291"/>
      <c r="AV137" s="4291"/>
      <c r="AW137" s="4291"/>
      <c r="AX137" s="4291"/>
      <c r="AY137" s="6391"/>
      <c r="AZ137" s="6391"/>
      <c r="BA137" s="6391"/>
      <c r="BB137" s="4291"/>
      <c r="BC137" s="4291"/>
      <c r="BD137" s="4264"/>
      <c r="BE137" s="4264"/>
      <c r="BF137" s="4264"/>
    </row>
    <row r="138" spans="1:109" ht="17.25" customHeight="1" x14ac:dyDescent="0.25">
      <c r="A138" s="7257" t="s">
        <v>4448</v>
      </c>
      <c r="B138" s="9361" t="s">
        <v>3919</v>
      </c>
      <c r="C138" s="6219" t="s">
        <v>819</v>
      </c>
      <c r="D138" s="6319" t="s">
        <v>5369</v>
      </c>
      <c r="E138" s="6320" t="s">
        <v>5370</v>
      </c>
      <c r="F138" s="6321" t="s">
        <v>5371</v>
      </c>
      <c r="G138" s="6186" t="s">
        <v>5372</v>
      </c>
      <c r="H138" s="6224" t="s">
        <v>5373</v>
      </c>
      <c r="I138" s="6186" t="s">
        <v>5374</v>
      </c>
      <c r="J138" s="6224" t="s">
        <v>5375</v>
      </c>
      <c r="K138" s="6186" t="s">
        <v>5376</v>
      </c>
      <c r="L138" s="6224" t="s">
        <v>5377</v>
      </c>
      <c r="M138" s="6186" t="s">
        <v>5378</v>
      </c>
      <c r="N138" s="6224" t="s">
        <v>5379</v>
      </c>
      <c r="O138" s="6186" t="s">
        <v>5380</v>
      </c>
      <c r="P138" s="6224" t="s">
        <v>5381</v>
      </c>
      <c r="Q138" s="6186" t="s">
        <v>5382</v>
      </c>
      <c r="R138" s="6224" t="s">
        <v>5383</v>
      </c>
      <c r="S138" s="6186" t="s">
        <v>5384</v>
      </c>
      <c r="T138" s="6224" t="s">
        <v>5385</v>
      </c>
      <c r="U138" s="6186" t="s">
        <v>5386</v>
      </c>
      <c r="V138" s="6224" t="s">
        <v>5387</v>
      </c>
      <c r="W138" s="6186" t="s">
        <v>5388</v>
      </c>
      <c r="X138" s="6224" t="s">
        <v>5389</v>
      </c>
      <c r="Y138" s="6186" t="s">
        <v>5390</v>
      </c>
      <c r="Z138" s="6224" t="s">
        <v>5391</v>
      </c>
      <c r="AA138" s="6186" t="s">
        <v>5392</v>
      </c>
      <c r="AB138" s="6224" t="s">
        <v>5393</v>
      </c>
      <c r="AC138" s="6186" t="s">
        <v>5394</v>
      </c>
      <c r="AD138" s="6224" t="s">
        <v>5395</v>
      </c>
      <c r="AE138" s="6186" t="s">
        <v>5396</v>
      </c>
      <c r="AF138" s="6224" t="s">
        <v>5397</v>
      </c>
      <c r="AG138" s="6186" t="s">
        <v>5398</v>
      </c>
      <c r="AH138" s="6224" t="s">
        <v>5399</v>
      </c>
      <c r="AI138" s="6186" t="s">
        <v>5400</v>
      </c>
      <c r="AJ138" s="6224" t="s">
        <v>5401</v>
      </c>
      <c r="AK138" s="6186" t="s">
        <v>5402</v>
      </c>
      <c r="AL138" s="6224" t="s">
        <v>5403</v>
      </c>
      <c r="AM138" s="6186" t="s">
        <v>5404</v>
      </c>
      <c r="AN138" s="6335" t="s">
        <v>5405</v>
      </c>
      <c r="AO138" s="6186" t="s">
        <v>5406</v>
      </c>
      <c r="AP138" s="6335" t="s">
        <v>5407</v>
      </c>
      <c r="AQ138" s="6186" t="s">
        <v>5408</v>
      </c>
      <c r="AR138" s="6335" t="s">
        <v>5409</v>
      </c>
      <c r="AS138" s="6186" t="s">
        <v>5410</v>
      </c>
      <c r="AT138" s="6944"/>
      <c r="AU138" s="6364"/>
      <c r="AV138" s="6364"/>
      <c r="AW138" s="6364"/>
      <c r="AX138" s="6364"/>
      <c r="AY138" s="6180"/>
      <c r="AZ138" s="6180"/>
      <c r="BA138" s="6180"/>
      <c r="BB138" s="6364"/>
      <c r="BC138" s="6364"/>
      <c r="BD138" s="6353"/>
      <c r="BE138" s="4264"/>
      <c r="BF138" s="4264"/>
    </row>
    <row r="139" spans="1:109" ht="16.350000000000001" customHeight="1" x14ac:dyDescent="0.25">
      <c r="A139" s="7257" t="s">
        <v>4449</v>
      </c>
      <c r="B139" s="9362"/>
      <c r="C139" s="5433" t="s">
        <v>818</v>
      </c>
      <c r="D139" s="6392" t="s">
        <v>5369</v>
      </c>
      <c r="E139" s="6393" t="s">
        <v>5370</v>
      </c>
      <c r="F139" s="6394" t="s">
        <v>5371</v>
      </c>
      <c r="G139" s="4387" t="s">
        <v>5372</v>
      </c>
      <c r="H139" s="4479" t="s">
        <v>5373</v>
      </c>
      <c r="I139" s="4387" t="s">
        <v>5374</v>
      </c>
      <c r="J139" s="4479" t="s">
        <v>5375</v>
      </c>
      <c r="K139" s="4387" t="s">
        <v>5376</v>
      </c>
      <c r="L139" s="4479" t="s">
        <v>5377</v>
      </c>
      <c r="M139" s="4387" t="s">
        <v>5378</v>
      </c>
      <c r="N139" s="4479" t="s">
        <v>5379</v>
      </c>
      <c r="O139" s="4387" t="s">
        <v>5380</v>
      </c>
      <c r="P139" s="4479" t="s">
        <v>5381</v>
      </c>
      <c r="Q139" s="4387" t="s">
        <v>5382</v>
      </c>
      <c r="R139" s="4479" t="s">
        <v>5383</v>
      </c>
      <c r="S139" s="4387" t="s">
        <v>5384</v>
      </c>
      <c r="T139" s="4479" t="s">
        <v>5385</v>
      </c>
      <c r="U139" s="4387" t="s">
        <v>5386</v>
      </c>
      <c r="V139" s="4479" t="s">
        <v>5387</v>
      </c>
      <c r="W139" s="4387" t="s">
        <v>5388</v>
      </c>
      <c r="X139" s="4479" t="s">
        <v>5389</v>
      </c>
      <c r="Y139" s="4387" t="s">
        <v>5390</v>
      </c>
      <c r="Z139" s="4479" t="s">
        <v>5391</v>
      </c>
      <c r="AA139" s="4387" t="s">
        <v>5392</v>
      </c>
      <c r="AB139" s="4479" t="s">
        <v>5393</v>
      </c>
      <c r="AC139" s="4387" t="s">
        <v>5394</v>
      </c>
      <c r="AD139" s="4479" t="s">
        <v>5395</v>
      </c>
      <c r="AE139" s="4387" t="s">
        <v>5396</v>
      </c>
      <c r="AF139" s="4479" t="s">
        <v>5397</v>
      </c>
      <c r="AG139" s="4387" t="s">
        <v>5398</v>
      </c>
      <c r="AH139" s="4479" t="s">
        <v>5399</v>
      </c>
      <c r="AI139" s="4387" t="s">
        <v>5400</v>
      </c>
      <c r="AJ139" s="4479" t="s">
        <v>5401</v>
      </c>
      <c r="AK139" s="4387" t="s">
        <v>5402</v>
      </c>
      <c r="AL139" s="4479" t="s">
        <v>5403</v>
      </c>
      <c r="AM139" s="4387" t="s">
        <v>5404</v>
      </c>
      <c r="AN139" s="6341" t="s">
        <v>5405</v>
      </c>
      <c r="AO139" s="4387" t="s">
        <v>5406</v>
      </c>
      <c r="AP139" s="6341" t="s">
        <v>5407</v>
      </c>
      <c r="AQ139" s="4387" t="s">
        <v>5408</v>
      </c>
      <c r="AR139" s="6341" t="s">
        <v>5409</v>
      </c>
      <c r="AS139" s="4387" t="s">
        <v>5410</v>
      </c>
      <c r="AT139" s="4260"/>
      <c r="AU139" s="4264"/>
      <c r="AV139" s="4264"/>
      <c r="AW139" s="4264"/>
      <c r="AX139" s="4264"/>
      <c r="BB139" s="4264"/>
      <c r="BC139" s="4264"/>
      <c r="BD139" s="4264"/>
      <c r="BE139" s="4264"/>
      <c r="BF139" s="4264"/>
    </row>
    <row r="140" spans="1:109" ht="16.350000000000001" customHeight="1" x14ac:dyDescent="0.25">
      <c r="A140" s="7257" t="s">
        <v>4450</v>
      </c>
      <c r="B140" s="9266" t="s">
        <v>817</v>
      </c>
      <c r="C140" s="9267"/>
      <c r="D140" s="6329" t="s">
        <v>5369</v>
      </c>
      <c r="E140" s="6330" t="s">
        <v>5370</v>
      </c>
      <c r="F140" s="6331" t="s">
        <v>5371</v>
      </c>
      <c r="G140" s="6395" t="s">
        <v>5372</v>
      </c>
      <c r="H140" s="6264" t="s">
        <v>5373</v>
      </c>
      <c r="I140" s="6395" t="s">
        <v>5374</v>
      </c>
      <c r="J140" s="6264" t="s">
        <v>5375</v>
      </c>
      <c r="K140" s="6395" t="s">
        <v>5376</v>
      </c>
      <c r="L140" s="6264" t="s">
        <v>5377</v>
      </c>
      <c r="M140" s="6395" t="s">
        <v>5378</v>
      </c>
      <c r="N140" s="6264" t="s">
        <v>5379</v>
      </c>
      <c r="O140" s="6395" t="s">
        <v>5380</v>
      </c>
      <c r="P140" s="6264" t="s">
        <v>5381</v>
      </c>
      <c r="Q140" s="6395" t="s">
        <v>5382</v>
      </c>
      <c r="R140" s="6264" t="s">
        <v>5383</v>
      </c>
      <c r="S140" s="6395" t="s">
        <v>5384</v>
      </c>
      <c r="T140" s="6264" t="s">
        <v>5385</v>
      </c>
      <c r="U140" s="6395" t="s">
        <v>5386</v>
      </c>
      <c r="V140" s="6264" t="s">
        <v>5387</v>
      </c>
      <c r="W140" s="6395" t="s">
        <v>5388</v>
      </c>
      <c r="X140" s="6264" t="s">
        <v>5389</v>
      </c>
      <c r="Y140" s="6395" t="s">
        <v>5390</v>
      </c>
      <c r="Z140" s="6264" t="s">
        <v>5391</v>
      </c>
      <c r="AA140" s="6395" t="s">
        <v>5392</v>
      </c>
      <c r="AB140" s="6264" t="s">
        <v>5393</v>
      </c>
      <c r="AC140" s="6395" t="s">
        <v>5394</v>
      </c>
      <c r="AD140" s="6264" t="s">
        <v>5395</v>
      </c>
      <c r="AE140" s="6395" t="s">
        <v>5396</v>
      </c>
      <c r="AF140" s="6264" t="s">
        <v>5397</v>
      </c>
      <c r="AG140" s="6395" t="s">
        <v>5398</v>
      </c>
      <c r="AH140" s="6264" t="s">
        <v>5399</v>
      </c>
      <c r="AI140" s="6395" t="s">
        <v>5400</v>
      </c>
      <c r="AJ140" s="6264" t="s">
        <v>5401</v>
      </c>
      <c r="AK140" s="6395" t="s">
        <v>5402</v>
      </c>
      <c r="AL140" s="6264" t="s">
        <v>5403</v>
      </c>
      <c r="AM140" s="6395" t="s">
        <v>5404</v>
      </c>
      <c r="AN140" s="6396" t="s">
        <v>5405</v>
      </c>
      <c r="AO140" s="6395" t="s">
        <v>5406</v>
      </c>
      <c r="AP140" s="6396" t="s">
        <v>5407</v>
      </c>
      <c r="AQ140" s="6395" t="s">
        <v>5408</v>
      </c>
      <c r="AR140" s="6396" t="s">
        <v>5409</v>
      </c>
      <c r="AS140" s="6395" t="s">
        <v>5410</v>
      </c>
      <c r="AT140" s="4260"/>
      <c r="AU140" s="4264"/>
      <c r="AV140" s="4264"/>
      <c r="AW140" s="4264"/>
      <c r="AX140" s="4264"/>
      <c r="BB140" s="4264"/>
      <c r="BC140" s="4264"/>
      <c r="BD140" s="4264"/>
      <c r="BE140" s="4264"/>
      <c r="BF140" s="4264"/>
    </row>
    <row r="141" spans="1:109" ht="24" customHeight="1" x14ac:dyDescent="0.25">
      <c r="A141" s="7280"/>
      <c r="B141" s="6306" t="s">
        <v>816</v>
      </c>
      <c r="C141" s="6306"/>
      <c r="N141" s="6398"/>
      <c r="O141" s="6399"/>
      <c r="P141" s="6184"/>
      <c r="Q141" s="6184"/>
      <c r="R141" s="6184"/>
      <c r="S141" s="6184"/>
      <c r="T141" s="6184"/>
      <c r="U141" s="6184"/>
      <c r="V141" s="6184"/>
      <c r="W141" s="6399"/>
      <c r="X141" s="6184"/>
      <c r="Y141" s="6184"/>
      <c r="Z141" s="6184"/>
      <c r="AA141" s="6180"/>
      <c r="AB141" s="6180"/>
      <c r="AC141" s="6178"/>
      <c r="AD141" s="6178"/>
      <c r="AL141" s="4264"/>
      <c r="AM141" s="4264"/>
      <c r="AN141" s="4264"/>
      <c r="AO141" s="4264"/>
      <c r="AP141" s="4264"/>
      <c r="AQ141" s="4264"/>
      <c r="AR141" s="4264"/>
      <c r="AS141" s="4264"/>
      <c r="AT141" s="4264"/>
      <c r="AU141" s="4264"/>
      <c r="AV141" s="4264"/>
      <c r="AW141" s="4264"/>
      <c r="AX141" s="4264"/>
    </row>
    <row r="142" spans="1:109" ht="16.350000000000001" customHeight="1" x14ac:dyDescent="0.25">
      <c r="A142" s="7280"/>
      <c r="B142" s="9090" t="s">
        <v>805</v>
      </c>
      <c r="C142" s="9091"/>
      <c r="D142" s="9108" t="s">
        <v>24</v>
      </c>
      <c r="E142" s="9219"/>
      <c r="F142" s="9150"/>
      <c r="G142" s="9057" t="s">
        <v>1397</v>
      </c>
      <c r="H142" s="9058"/>
      <c r="I142" s="9057" t="s">
        <v>1396</v>
      </c>
      <c r="J142" s="9058"/>
      <c r="K142" s="9057" t="s">
        <v>1395</v>
      </c>
      <c r="L142" s="9058"/>
      <c r="M142" s="9057" t="s">
        <v>1405</v>
      </c>
      <c r="N142" s="9060"/>
      <c r="O142" s="9363" t="s">
        <v>362</v>
      </c>
      <c r="P142" s="9160" t="s">
        <v>361</v>
      </c>
      <c r="Q142" s="6184"/>
      <c r="R142" s="6184"/>
      <c r="S142" s="6184"/>
      <c r="T142" s="6184"/>
      <c r="U142" s="6184"/>
      <c r="V142" s="6184"/>
      <c r="W142" s="6399"/>
      <c r="X142" s="6184"/>
      <c r="Y142" s="6184"/>
      <c r="Z142" s="6184"/>
      <c r="AA142" s="6180"/>
      <c r="AB142" s="6180"/>
      <c r="AC142" s="6178"/>
      <c r="AD142" s="6178"/>
      <c r="AL142" s="4264"/>
      <c r="AM142" s="4264"/>
      <c r="AN142" s="4264"/>
      <c r="AO142" s="4264"/>
      <c r="AP142" s="4264"/>
      <c r="AQ142" s="4264"/>
      <c r="AR142" s="4264"/>
      <c r="AS142" s="4264"/>
      <c r="AT142" s="4264"/>
      <c r="AU142" s="4264"/>
      <c r="AV142" s="4264"/>
      <c r="AW142" s="4264"/>
      <c r="AX142" s="4264"/>
    </row>
    <row r="143" spans="1:109" ht="26.25" customHeight="1" x14ac:dyDescent="0.25">
      <c r="A143" s="7280"/>
      <c r="B143" s="9092"/>
      <c r="C143" s="9093"/>
      <c r="D143" s="6181" t="s">
        <v>42</v>
      </c>
      <c r="E143" s="5368" t="s">
        <v>17</v>
      </c>
      <c r="F143" s="6316" t="s">
        <v>18</v>
      </c>
      <c r="G143" s="6181" t="s">
        <v>17</v>
      </c>
      <c r="H143" s="6316" t="s">
        <v>18</v>
      </c>
      <c r="I143" s="6181" t="s">
        <v>17</v>
      </c>
      <c r="J143" s="6316" t="s">
        <v>18</v>
      </c>
      <c r="K143" s="6181" t="s">
        <v>17</v>
      </c>
      <c r="L143" s="6316" t="s">
        <v>18</v>
      </c>
      <c r="M143" s="6096" t="s">
        <v>17</v>
      </c>
      <c r="N143" s="6097" t="s">
        <v>18</v>
      </c>
      <c r="O143" s="9364"/>
      <c r="P143" s="9161"/>
      <c r="Q143" s="6184"/>
      <c r="R143" s="6184"/>
      <c r="S143" s="6184"/>
      <c r="T143" s="6184"/>
      <c r="U143" s="6184"/>
      <c r="V143" s="6184"/>
      <c r="W143" s="6399"/>
      <c r="X143" s="6184"/>
      <c r="Y143" s="6184"/>
      <c r="Z143" s="6184"/>
      <c r="AA143" s="6180"/>
      <c r="AB143" s="6180"/>
      <c r="AC143" s="6178"/>
      <c r="AD143" s="6178"/>
    </row>
    <row r="144" spans="1:109" ht="16.350000000000001" customHeight="1" x14ac:dyDescent="0.25">
      <c r="A144" s="7278" t="s">
        <v>4451</v>
      </c>
      <c r="B144" s="9088" t="s">
        <v>2576</v>
      </c>
      <c r="C144" s="6219" t="s">
        <v>804</v>
      </c>
      <c r="D144" s="6319" t="s">
        <v>5369</v>
      </c>
      <c r="E144" s="6320" t="s">
        <v>5370</v>
      </c>
      <c r="F144" s="6321" t="s">
        <v>5371</v>
      </c>
      <c r="G144" s="6400" t="s">
        <v>5372</v>
      </c>
      <c r="H144" s="6260" t="s">
        <v>5373</v>
      </c>
      <c r="I144" s="6400" t="s">
        <v>5374</v>
      </c>
      <c r="J144" s="6260" t="s">
        <v>5375</v>
      </c>
      <c r="K144" s="6400" t="s">
        <v>5376</v>
      </c>
      <c r="L144" s="6260" t="s">
        <v>5377</v>
      </c>
      <c r="M144" s="6401" t="s">
        <v>5378</v>
      </c>
      <c r="N144" s="6402" t="s">
        <v>5379</v>
      </c>
      <c r="O144" s="4381" t="s">
        <v>5380</v>
      </c>
      <c r="P144" s="4383" t="s">
        <v>5470</v>
      </c>
      <c r="Q144" s="6940"/>
      <c r="R144" s="6184"/>
      <c r="S144" s="6184"/>
      <c r="T144" s="6184"/>
      <c r="U144" s="6184"/>
      <c r="V144" s="6184"/>
      <c r="W144" s="6399"/>
      <c r="X144" s="6184"/>
      <c r="Y144" s="6184"/>
      <c r="Z144" s="6184"/>
      <c r="AA144" s="6180"/>
      <c r="AB144" s="6180"/>
      <c r="AC144" s="6178"/>
      <c r="AD144" s="6178"/>
      <c r="CB144" s="4295" t="s">
        <v>5435</v>
      </c>
      <c r="CD144" s="4295" t="s">
        <v>5436</v>
      </c>
      <c r="DB144" s="5899">
        <v>1</v>
      </c>
      <c r="DC144" s="5899">
        <v>0</v>
      </c>
      <c r="DD144" s="5899">
        <v>1</v>
      </c>
      <c r="DE144" s="5899">
        <v>0</v>
      </c>
    </row>
    <row r="145" spans="1:109" ht="16.350000000000001" customHeight="1" x14ac:dyDescent="0.25">
      <c r="A145" s="7278" t="s">
        <v>4452</v>
      </c>
      <c r="B145" s="9062"/>
      <c r="C145" s="5394" t="s">
        <v>803</v>
      </c>
      <c r="D145" s="6326" t="s">
        <v>5369</v>
      </c>
      <c r="E145" s="6327" t="s">
        <v>5370</v>
      </c>
      <c r="F145" s="6328" t="s">
        <v>5371</v>
      </c>
      <c r="G145" s="6400" t="s">
        <v>5372</v>
      </c>
      <c r="H145" s="6260" t="s">
        <v>5373</v>
      </c>
      <c r="I145" s="6400" t="s">
        <v>5374</v>
      </c>
      <c r="J145" s="6260" t="s">
        <v>5375</v>
      </c>
      <c r="K145" s="6400" t="s">
        <v>5376</v>
      </c>
      <c r="L145" s="6260" t="s">
        <v>5377</v>
      </c>
      <c r="M145" s="6401" t="s">
        <v>5378</v>
      </c>
      <c r="N145" s="6402" t="s">
        <v>5379</v>
      </c>
      <c r="O145" s="4381" t="s">
        <v>5380</v>
      </c>
      <c r="P145" s="4383" t="s">
        <v>5381</v>
      </c>
      <c r="Q145" s="6940"/>
      <c r="R145" s="6184"/>
      <c r="S145" s="6184"/>
      <c r="T145" s="6184"/>
      <c r="U145" s="6184"/>
      <c r="V145" s="6184"/>
      <c r="W145" s="6399"/>
      <c r="X145" s="6184"/>
      <c r="Y145" s="6180"/>
      <c r="Z145" s="6180"/>
      <c r="AA145" s="6180"/>
      <c r="AB145" s="6180"/>
      <c r="AC145" s="6178"/>
      <c r="AD145" s="6178"/>
    </row>
    <row r="146" spans="1:109" ht="18.75" customHeight="1" x14ac:dyDescent="0.25">
      <c r="A146" s="7278" t="s">
        <v>4453</v>
      </c>
      <c r="B146" s="9062"/>
      <c r="C146" s="6403" t="s">
        <v>802</v>
      </c>
      <c r="D146" s="6387" t="s">
        <v>5369</v>
      </c>
      <c r="E146" s="6388" t="s">
        <v>5370</v>
      </c>
      <c r="F146" s="4941" t="s">
        <v>5371</v>
      </c>
      <c r="G146" s="6400" t="s">
        <v>5372</v>
      </c>
      <c r="H146" s="6260" t="s">
        <v>5373</v>
      </c>
      <c r="I146" s="6400" t="s">
        <v>5374</v>
      </c>
      <c r="J146" s="6260" t="s">
        <v>5375</v>
      </c>
      <c r="K146" s="6400" t="s">
        <v>5376</v>
      </c>
      <c r="L146" s="6260" t="s">
        <v>5377</v>
      </c>
      <c r="M146" s="6401" t="s">
        <v>5378</v>
      </c>
      <c r="N146" s="6402" t="s">
        <v>5379</v>
      </c>
      <c r="O146" s="4381" t="s">
        <v>5380</v>
      </c>
      <c r="P146" s="4383" t="s">
        <v>5381</v>
      </c>
      <c r="Q146" s="5722"/>
      <c r="R146" s="3940"/>
      <c r="S146" s="3940"/>
      <c r="T146" s="3940"/>
      <c r="U146" s="3940"/>
      <c r="V146" s="6399"/>
      <c r="W146" s="6184"/>
      <c r="X146" s="6184"/>
      <c r="Y146" s="6184"/>
      <c r="Z146" s="6184"/>
      <c r="AA146" s="6184"/>
      <c r="AB146" s="6184"/>
      <c r="AC146" s="6184"/>
      <c r="AD146" s="6184"/>
      <c r="AE146" s="6184"/>
      <c r="AF146" s="6184"/>
      <c r="AG146" s="6184"/>
      <c r="AH146" s="6184"/>
      <c r="AI146" s="6399"/>
      <c r="AJ146" s="6184"/>
      <c r="AK146" s="6180"/>
      <c r="AL146" s="6180"/>
      <c r="AM146" s="6180"/>
      <c r="AN146" s="6180"/>
      <c r="AO146" s="6178"/>
      <c r="AP146" s="6178"/>
      <c r="DC146" s="5899">
        <v>0</v>
      </c>
      <c r="DE146" s="5899">
        <v>0</v>
      </c>
    </row>
    <row r="147" spans="1:109" ht="16.350000000000001" customHeight="1" x14ac:dyDescent="0.25">
      <c r="A147" s="7281"/>
      <c r="B147" s="9200" t="s">
        <v>808</v>
      </c>
      <c r="C147" s="9200"/>
      <c r="D147" s="6404">
        <f>SUM(D144:D146)</f>
        <v>0</v>
      </c>
      <c r="E147" s="6405">
        <f>SUM(E144:E146)</f>
        <v>0</v>
      </c>
      <c r="F147" s="6406">
        <f>SUM(F144:F146)</f>
        <v>0</v>
      </c>
      <c r="G147" s="6404">
        <f t="shared" ref="G147:N147" si="4">SUM(G144:G146)</f>
        <v>0</v>
      </c>
      <c r="H147" s="6406">
        <f t="shared" si="4"/>
        <v>0</v>
      </c>
      <c r="I147" s="6404">
        <f t="shared" si="4"/>
        <v>0</v>
      </c>
      <c r="J147" s="6406">
        <f t="shared" si="4"/>
        <v>0</v>
      </c>
      <c r="K147" s="6404">
        <f t="shared" si="4"/>
        <v>0</v>
      </c>
      <c r="L147" s="6406">
        <f t="shared" si="4"/>
        <v>0</v>
      </c>
      <c r="M147" s="6407">
        <f t="shared" si="4"/>
        <v>0</v>
      </c>
      <c r="N147" s="6408">
        <f t="shared" si="4"/>
        <v>0</v>
      </c>
      <c r="O147" s="6409">
        <f>SUM(O144:O146)</f>
        <v>0</v>
      </c>
      <c r="P147" s="6274">
        <f>SUM(P144:P146)</f>
        <v>0</v>
      </c>
      <c r="Q147" s="5722"/>
      <c r="R147" s="3940"/>
      <c r="S147" s="3940"/>
      <c r="T147" s="3940"/>
      <c r="U147" s="3940"/>
      <c r="V147" s="6399"/>
      <c r="W147" s="6184"/>
      <c r="X147" s="6184"/>
      <c r="Y147" s="6184"/>
      <c r="Z147" s="6184"/>
      <c r="AA147" s="6184"/>
      <c r="AB147" s="6184"/>
      <c r="AC147" s="6184"/>
      <c r="AD147" s="6184"/>
      <c r="AE147" s="6184"/>
      <c r="AF147" s="6184"/>
      <c r="AG147" s="6184"/>
      <c r="AH147" s="6184"/>
      <c r="AI147" s="6399"/>
      <c r="AJ147" s="6184"/>
      <c r="AK147" s="6180"/>
      <c r="AL147" s="6180"/>
      <c r="AM147" s="6180"/>
      <c r="AN147" s="6180"/>
      <c r="AO147" s="6178"/>
      <c r="AP147" s="6178"/>
    </row>
    <row r="148" spans="1:109" ht="16.350000000000001" customHeight="1" x14ac:dyDescent="0.25">
      <c r="A148" s="7278" t="s">
        <v>4454</v>
      </c>
      <c r="B148" s="9184" t="s">
        <v>813</v>
      </c>
      <c r="C148" s="5387" t="s">
        <v>812</v>
      </c>
      <c r="D148" s="6410" t="s">
        <v>5369</v>
      </c>
      <c r="E148" s="6411" t="s">
        <v>5370</v>
      </c>
      <c r="F148" s="6412" t="s">
        <v>5371</v>
      </c>
      <c r="G148" s="6400" t="s">
        <v>5372</v>
      </c>
      <c r="H148" s="6260" t="s">
        <v>5373</v>
      </c>
      <c r="I148" s="6400" t="s">
        <v>5374</v>
      </c>
      <c r="J148" s="6260" t="s">
        <v>5375</v>
      </c>
      <c r="K148" s="6400" t="s">
        <v>5376</v>
      </c>
      <c r="L148" s="6260" t="s">
        <v>5377</v>
      </c>
      <c r="M148" s="6401" t="s">
        <v>5378</v>
      </c>
      <c r="N148" s="6402" t="s">
        <v>5379</v>
      </c>
      <c r="O148" s="4381" t="s">
        <v>5380</v>
      </c>
      <c r="P148" s="4383" t="s">
        <v>5381</v>
      </c>
      <c r="Q148" s="5722"/>
      <c r="R148" s="3940"/>
      <c r="S148" s="3940"/>
      <c r="T148" s="3940"/>
      <c r="U148" s="3940"/>
      <c r="V148" s="3914"/>
      <c r="W148" s="6184"/>
      <c r="X148" s="6184"/>
      <c r="Y148" s="6184"/>
      <c r="Z148" s="6184"/>
      <c r="AA148" s="6184"/>
      <c r="AB148" s="6184"/>
      <c r="AC148" s="6184"/>
      <c r="AD148" s="6184"/>
      <c r="AE148" s="6184"/>
      <c r="AF148" s="6184"/>
      <c r="AG148" s="6184"/>
      <c r="AH148" s="6184"/>
      <c r="AI148" s="6399"/>
      <c r="AJ148" s="6184"/>
      <c r="AK148" s="6180"/>
      <c r="AL148" s="6180"/>
      <c r="AM148" s="6180"/>
      <c r="AN148" s="6180"/>
      <c r="AO148" s="6178"/>
      <c r="AP148" s="6178"/>
      <c r="DC148" s="5899">
        <v>0</v>
      </c>
      <c r="DE148" s="5899">
        <v>0</v>
      </c>
    </row>
    <row r="149" spans="1:109" ht="16.350000000000001" customHeight="1" x14ac:dyDescent="0.25">
      <c r="A149" s="7278" t="s">
        <v>4455</v>
      </c>
      <c r="B149" s="9062"/>
      <c r="C149" s="5394" t="s">
        <v>811</v>
      </c>
      <c r="D149" s="6326" t="s">
        <v>5369</v>
      </c>
      <c r="E149" s="6327" t="s">
        <v>5370</v>
      </c>
      <c r="F149" s="6328" t="s">
        <v>5371</v>
      </c>
      <c r="G149" s="4369" t="s">
        <v>5372</v>
      </c>
      <c r="H149" s="5330" t="s">
        <v>5373</v>
      </c>
      <c r="I149" s="4369" t="s">
        <v>5374</v>
      </c>
      <c r="J149" s="5330" t="s">
        <v>5375</v>
      </c>
      <c r="K149" s="4369" t="s">
        <v>5376</v>
      </c>
      <c r="L149" s="5330" t="s">
        <v>5377</v>
      </c>
      <c r="M149" s="4229" t="s">
        <v>5378</v>
      </c>
      <c r="N149" s="3843" t="s">
        <v>5379</v>
      </c>
      <c r="O149" s="4365" t="s">
        <v>5380</v>
      </c>
      <c r="P149" s="4367" t="s">
        <v>5381</v>
      </c>
      <c r="Q149" s="5722"/>
      <c r="R149" s="3940"/>
      <c r="S149" s="3940"/>
      <c r="T149" s="3940"/>
      <c r="U149" s="3940"/>
      <c r="V149" s="6413"/>
      <c r="W149" s="6184"/>
      <c r="X149" s="6184"/>
      <c r="Y149" s="6184"/>
      <c r="Z149" s="6184"/>
      <c r="AA149" s="6184"/>
      <c r="AB149" s="6184"/>
      <c r="AC149" s="6184"/>
      <c r="AD149" s="6184"/>
      <c r="AE149" s="6184"/>
      <c r="AF149" s="6184"/>
      <c r="AG149" s="6184"/>
      <c r="AH149" s="6184"/>
      <c r="AI149" s="6399"/>
      <c r="AJ149" s="6184"/>
      <c r="AK149" s="6180"/>
      <c r="AL149" s="6180"/>
      <c r="AM149" s="6180"/>
      <c r="AN149" s="6180"/>
      <c r="AO149" s="6178"/>
      <c r="AP149" s="6178"/>
    </row>
    <row r="150" spans="1:109" ht="16.350000000000001" customHeight="1" x14ac:dyDescent="0.25">
      <c r="A150" s="7278" t="s">
        <v>4456</v>
      </c>
      <c r="B150" s="9062"/>
      <c r="C150" s="5394" t="s">
        <v>810</v>
      </c>
      <c r="D150" s="6326" t="s">
        <v>5369</v>
      </c>
      <c r="E150" s="6327" t="s">
        <v>5370</v>
      </c>
      <c r="F150" s="6328" t="s">
        <v>5371</v>
      </c>
      <c r="G150" s="4369" t="s">
        <v>5372</v>
      </c>
      <c r="H150" s="5330" t="s">
        <v>5373</v>
      </c>
      <c r="I150" s="4369" t="s">
        <v>5374</v>
      </c>
      <c r="J150" s="5330" t="s">
        <v>5375</v>
      </c>
      <c r="K150" s="4369" t="s">
        <v>5376</v>
      </c>
      <c r="L150" s="5330" t="s">
        <v>5377</v>
      </c>
      <c r="M150" s="4229" t="s">
        <v>5378</v>
      </c>
      <c r="N150" s="3843" t="s">
        <v>5379</v>
      </c>
      <c r="O150" s="4365" t="s">
        <v>5380</v>
      </c>
      <c r="P150" s="4367" t="s">
        <v>5381</v>
      </c>
      <c r="Q150" s="5722"/>
      <c r="R150" s="3940"/>
      <c r="S150" s="3940"/>
      <c r="T150" s="3940"/>
      <c r="U150" s="3940"/>
      <c r="V150" s="6413"/>
      <c r="W150" s="6184"/>
      <c r="X150" s="6184"/>
      <c r="Y150" s="6184"/>
      <c r="Z150" s="6184"/>
      <c r="AA150" s="6184"/>
      <c r="AB150" s="6184"/>
      <c r="AC150" s="6184"/>
      <c r="AD150" s="6184"/>
      <c r="AE150" s="6184"/>
      <c r="AF150" s="6184"/>
      <c r="AG150" s="6184"/>
      <c r="AH150" s="6184"/>
      <c r="AI150" s="6399"/>
      <c r="AJ150" s="6184"/>
      <c r="AK150" s="6180"/>
      <c r="AL150" s="6180"/>
      <c r="AM150" s="6180"/>
      <c r="AN150" s="6180"/>
      <c r="AO150" s="6178"/>
      <c r="AP150" s="6178"/>
    </row>
    <row r="151" spans="1:109" ht="14.25" customHeight="1" x14ac:dyDescent="0.25">
      <c r="A151" s="7278" t="s">
        <v>4457</v>
      </c>
      <c r="B151" s="9063"/>
      <c r="C151" s="5432" t="s">
        <v>809</v>
      </c>
      <c r="D151" s="6387" t="s">
        <v>5369</v>
      </c>
      <c r="E151" s="6388" t="s">
        <v>5370</v>
      </c>
      <c r="F151" s="4941" t="s">
        <v>5371</v>
      </c>
      <c r="G151" s="6389" t="s">
        <v>5372</v>
      </c>
      <c r="H151" s="4926" t="s">
        <v>5373</v>
      </c>
      <c r="I151" s="6389" t="s">
        <v>5374</v>
      </c>
      <c r="J151" s="4926" t="s">
        <v>5375</v>
      </c>
      <c r="K151" s="6389" t="s">
        <v>5376</v>
      </c>
      <c r="L151" s="4926" t="s">
        <v>5377</v>
      </c>
      <c r="M151" s="5307" t="s">
        <v>5378</v>
      </c>
      <c r="N151" s="5199" t="s">
        <v>5379</v>
      </c>
      <c r="O151" s="6377" t="s">
        <v>5380</v>
      </c>
      <c r="P151" s="5308" t="s">
        <v>5381</v>
      </c>
      <c r="Q151" s="6941"/>
      <c r="R151" s="6414"/>
      <c r="S151" s="6414"/>
      <c r="T151" s="5168"/>
      <c r="U151" s="6415"/>
      <c r="V151" s="5168"/>
      <c r="W151" s="5168"/>
      <c r="X151" s="5168"/>
      <c r="Y151" s="6364"/>
      <c r="Z151" s="6364"/>
      <c r="AA151" s="6364"/>
      <c r="AB151" s="6364"/>
      <c r="AC151" s="6364"/>
      <c r="AD151" s="6364"/>
      <c r="AE151" s="6364"/>
      <c r="AF151" s="6364"/>
      <c r="AG151" s="6179"/>
      <c r="AH151" s="6180"/>
      <c r="AI151" s="6180"/>
      <c r="AJ151" s="6180"/>
      <c r="AK151" s="6416"/>
      <c r="AL151" s="6180"/>
      <c r="AM151" s="6180"/>
      <c r="AN151" s="6180"/>
      <c r="AO151" s="6180"/>
      <c r="AP151" s="6180"/>
      <c r="AQ151" s="6180"/>
      <c r="AR151" s="6180"/>
    </row>
    <row r="152" spans="1:109" ht="16.350000000000001" customHeight="1" x14ac:dyDescent="0.25">
      <c r="A152" s="7281"/>
      <c r="B152" s="9199" t="s">
        <v>808</v>
      </c>
      <c r="C152" s="9200"/>
      <c r="D152" s="6404">
        <f>SUM(D148:D151)</f>
        <v>0</v>
      </c>
      <c r="E152" s="6405">
        <f>SUM(E148:E151)</f>
        <v>0</v>
      </c>
      <c r="F152" s="6406">
        <f>SUM(F148:F151)</f>
        <v>0</v>
      </c>
      <c r="G152" s="6404">
        <f>SUM(G148:G151)</f>
        <v>0</v>
      </c>
      <c r="H152" s="6406">
        <f t="shared" ref="H152:N152" si="5">SUM(H148:H151)</f>
        <v>0</v>
      </c>
      <c r="I152" s="6404">
        <f t="shared" si="5"/>
        <v>0</v>
      </c>
      <c r="J152" s="6406">
        <f t="shared" si="5"/>
        <v>0</v>
      </c>
      <c r="K152" s="6404">
        <f t="shared" si="5"/>
        <v>0</v>
      </c>
      <c r="L152" s="6406">
        <f t="shared" si="5"/>
        <v>0</v>
      </c>
      <c r="M152" s="6407">
        <f t="shared" si="5"/>
        <v>0</v>
      </c>
      <c r="N152" s="6408">
        <f t="shared" si="5"/>
        <v>0</v>
      </c>
      <c r="O152" s="6409">
        <f>SUM(O148:O151)</f>
        <v>0</v>
      </c>
      <c r="P152" s="6274">
        <f>SUM(P148:P151)</f>
        <v>0</v>
      </c>
      <c r="Q152" s="4259"/>
      <c r="R152" s="9264"/>
      <c r="S152" s="9265"/>
      <c r="T152" s="9162"/>
      <c r="U152" s="9162"/>
      <c r="V152" s="9162"/>
      <c r="W152" s="9162"/>
      <c r="X152" s="9162"/>
      <c r="Y152" s="9162"/>
      <c r="Z152" s="9162"/>
      <c r="AA152" s="9162"/>
      <c r="AB152" s="6417"/>
      <c r="AC152" s="6352"/>
      <c r="AD152" s="6352"/>
      <c r="AE152" s="6352"/>
      <c r="AF152" s="6364"/>
      <c r="AG152" s="6180"/>
      <c r="AH152" s="6180"/>
      <c r="AI152" s="6180"/>
      <c r="AJ152" s="6183"/>
      <c r="AK152" s="6183"/>
      <c r="AL152" s="6183"/>
      <c r="AM152" s="6183"/>
      <c r="AN152" s="6418"/>
      <c r="AO152" s="6184"/>
      <c r="AP152" s="6184"/>
      <c r="AQ152" s="6184"/>
      <c r="AR152" s="6184"/>
      <c r="AS152" s="6184"/>
      <c r="AT152" s="6184"/>
      <c r="AU152" s="6184"/>
    </row>
    <row r="153" spans="1:109" ht="16.350000000000001" customHeight="1" x14ac:dyDescent="0.25">
      <c r="A153" s="7281"/>
      <c r="B153" s="9203" t="s">
        <v>807</v>
      </c>
      <c r="C153" s="9203"/>
      <c r="D153" s="6329">
        <f>SUM(D147+D152)</f>
        <v>0</v>
      </c>
      <c r="E153" s="6330">
        <f>SUM(E147+E152)</f>
        <v>0</v>
      </c>
      <c r="F153" s="6331">
        <f>SUM(F147+F152)</f>
        <v>0</v>
      </c>
      <c r="G153" s="6329">
        <f>SUM(G147+G152)</f>
        <v>0</v>
      </c>
      <c r="H153" s="6331">
        <f>SUM(H147+H152)</f>
        <v>0</v>
      </c>
      <c r="I153" s="6329">
        <f t="shared" ref="I153:N153" si="6">SUM(I147+I152)</f>
        <v>0</v>
      </c>
      <c r="J153" s="6331">
        <f t="shared" si="6"/>
        <v>0</v>
      </c>
      <c r="K153" s="6329">
        <f t="shared" si="6"/>
        <v>0</v>
      </c>
      <c r="L153" s="6331">
        <f t="shared" si="6"/>
        <v>0</v>
      </c>
      <c r="M153" s="6419">
        <f t="shared" si="6"/>
        <v>0</v>
      </c>
      <c r="N153" s="6420">
        <f t="shared" si="6"/>
        <v>0</v>
      </c>
      <c r="O153" s="6421">
        <f>SUM(O147+O152)</f>
        <v>0</v>
      </c>
      <c r="P153" s="6422">
        <f>SUM(P147+P152)</f>
        <v>0</v>
      </c>
      <c r="Q153" s="4259"/>
      <c r="R153" s="6423"/>
      <c r="S153" s="6424"/>
      <c r="T153" s="6424"/>
      <c r="U153" s="6424"/>
      <c r="V153" s="6424"/>
      <c r="W153" s="6424"/>
      <c r="X153" s="6424"/>
      <c r="Y153" s="6424"/>
      <c r="Z153" s="6424"/>
      <c r="AA153" s="6424"/>
      <c r="AB153" s="6417"/>
      <c r="AC153" s="6352"/>
      <c r="AD153" s="6352"/>
      <c r="AE153" s="6352"/>
      <c r="AF153" s="6364"/>
      <c r="AG153" s="6180"/>
      <c r="AH153" s="6180"/>
      <c r="AI153" s="6180"/>
      <c r="AJ153" s="6183"/>
      <c r="AK153" s="6183"/>
      <c r="AL153" s="6183"/>
      <c r="AM153" s="6183"/>
      <c r="AN153" s="6418"/>
      <c r="AO153" s="6184"/>
      <c r="AP153" s="6184"/>
      <c r="AQ153" s="6184"/>
      <c r="AR153" s="6184"/>
      <c r="AS153" s="6184"/>
      <c r="AT153" s="6184"/>
      <c r="AU153" s="6184"/>
    </row>
    <row r="154" spans="1:109" ht="24" customHeight="1" x14ac:dyDescent="0.25">
      <c r="A154" s="7280"/>
      <c r="B154" s="6306" t="s">
        <v>815</v>
      </c>
      <c r="C154" s="6306"/>
      <c r="R154" s="6417"/>
      <c r="S154" s="6352"/>
      <c r="T154" s="6352"/>
      <c r="U154" s="6352"/>
      <c r="V154" s="6352"/>
      <c r="W154" s="6352"/>
      <c r="X154" s="6352"/>
      <c r="Y154" s="6352"/>
      <c r="Z154" s="6425"/>
      <c r="AA154" s="6425"/>
      <c r="AB154" s="6417"/>
      <c r="AC154" s="6352"/>
      <c r="AD154" s="6352"/>
      <c r="AE154" s="6352"/>
      <c r="AF154" s="6364"/>
      <c r="AG154" s="6180"/>
      <c r="AH154" s="6180"/>
      <c r="AI154" s="6180"/>
      <c r="AJ154" s="6183"/>
      <c r="AK154" s="6183"/>
      <c r="AL154" s="6183"/>
      <c r="AM154" s="6183"/>
      <c r="AN154" s="6183"/>
      <c r="AO154" s="6184"/>
      <c r="AP154" s="6184"/>
      <c r="AQ154" s="6184"/>
      <c r="AR154" s="6184"/>
      <c r="AS154" s="6184"/>
      <c r="AT154" s="6184"/>
      <c r="AU154" s="6184"/>
    </row>
    <row r="155" spans="1:109" ht="16.350000000000001" customHeight="1" x14ac:dyDescent="0.25">
      <c r="A155" s="7280"/>
      <c r="B155" s="9090" t="s">
        <v>805</v>
      </c>
      <c r="C155" s="9091"/>
      <c r="D155" s="9108" t="s">
        <v>24</v>
      </c>
      <c r="E155" s="9219"/>
      <c r="F155" s="9150"/>
      <c r="G155" s="9057" t="s">
        <v>1397</v>
      </c>
      <c r="H155" s="9058"/>
      <c r="I155" s="9057" t="s">
        <v>1396</v>
      </c>
      <c r="J155" s="9058"/>
      <c r="K155" s="9057" t="s">
        <v>1395</v>
      </c>
      <c r="L155" s="9058"/>
      <c r="M155" s="9057" t="s">
        <v>1405</v>
      </c>
      <c r="N155" s="9060"/>
      <c r="O155" s="9396" t="s">
        <v>814</v>
      </c>
      <c r="P155" s="9397"/>
      <c r="Q155" s="9398"/>
      <c r="R155" s="9160" t="s">
        <v>362</v>
      </c>
      <c r="S155" s="9160" t="s">
        <v>361</v>
      </c>
      <c r="T155" s="6352"/>
      <c r="U155" s="6352"/>
      <c r="V155" s="6352"/>
      <c r="W155" s="6352"/>
      <c r="X155" s="6352"/>
      <c r="Y155" s="6352"/>
      <c r="Z155" s="6425"/>
      <c r="AA155" s="6426"/>
      <c r="AB155" s="6363"/>
      <c r="AC155" s="6354"/>
      <c r="AD155" s="6354"/>
      <c r="AE155" s="6354"/>
      <c r="AF155" s="6374"/>
      <c r="AG155" s="6427"/>
      <c r="AH155" s="6427"/>
      <c r="AI155" s="6427"/>
      <c r="AJ155" s="6428"/>
      <c r="AK155" s="6428"/>
      <c r="AL155" s="6428"/>
      <c r="AM155" s="6428"/>
      <c r="AN155" s="6183"/>
      <c r="AO155" s="6184"/>
      <c r="AP155" s="6184"/>
      <c r="AQ155" s="6184"/>
      <c r="AR155" s="6184"/>
      <c r="AS155" s="6184"/>
      <c r="AT155" s="6184"/>
      <c r="AU155" s="6184"/>
    </row>
    <row r="156" spans="1:109" ht="16.350000000000001" customHeight="1" x14ac:dyDescent="0.25">
      <c r="A156" s="7280"/>
      <c r="B156" s="9092"/>
      <c r="C156" s="9093"/>
      <c r="D156" s="6181" t="s">
        <v>42</v>
      </c>
      <c r="E156" s="5368" t="s">
        <v>17</v>
      </c>
      <c r="F156" s="6316" t="s">
        <v>18</v>
      </c>
      <c r="G156" s="6181" t="s">
        <v>17</v>
      </c>
      <c r="H156" s="6316" t="s">
        <v>18</v>
      </c>
      <c r="I156" s="6181" t="s">
        <v>17</v>
      </c>
      <c r="J156" s="6316" t="s">
        <v>18</v>
      </c>
      <c r="K156" s="6181" t="s">
        <v>17</v>
      </c>
      <c r="L156" s="6316" t="s">
        <v>18</v>
      </c>
      <c r="M156" s="6181" t="s">
        <v>17</v>
      </c>
      <c r="N156" s="6429" t="s">
        <v>18</v>
      </c>
      <c r="O156" s="6430" t="s">
        <v>786</v>
      </c>
      <c r="P156" s="6431" t="s">
        <v>784</v>
      </c>
      <c r="Q156" s="6097" t="s">
        <v>785</v>
      </c>
      <c r="R156" s="9161"/>
      <c r="S156" s="9161"/>
      <c r="T156" s="6352"/>
      <c r="U156" s="6352"/>
      <c r="V156" s="6352"/>
      <c r="W156" s="6352"/>
      <c r="X156" s="6352"/>
      <c r="Y156" s="6352"/>
      <c r="Z156" s="6432"/>
      <c r="AA156" s="6425"/>
      <c r="AB156" s="6352"/>
      <c r="AC156" s="6352"/>
      <c r="AD156" s="6352"/>
      <c r="AE156" s="6352"/>
      <c r="AF156" s="6364"/>
      <c r="AG156" s="6180"/>
      <c r="AH156" s="6180"/>
      <c r="AI156" s="6180"/>
      <c r="AJ156" s="6183"/>
      <c r="AK156" s="6183"/>
      <c r="AL156" s="6183"/>
      <c r="AM156" s="6183"/>
      <c r="AN156" s="6183"/>
      <c r="AO156" s="6184"/>
      <c r="AP156" s="6184"/>
      <c r="AQ156" s="6184"/>
      <c r="AR156" s="6184"/>
      <c r="AS156" s="6184"/>
      <c r="AT156" s="6184"/>
      <c r="AU156" s="6184"/>
    </row>
    <row r="157" spans="1:109" ht="16.350000000000001" customHeight="1" x14ac:dyDescent="0.25">
      <c r="A157" s="7278" t="s">
        <v>4458</v>
      </c>
      <c r="B157" s="9088" t="s">
        <v>2576</v>
      </c>
      <c r="C157" s="6219" t="s">
        <v>804</v>
      </c>
      <c r="D157" s="6433" t="s">
        <v>5369</v>
      </c>
      <c r="E157" s="6434" t="s">
        <v>5370</v>
      </c>
      <c r="F157" s="6435" t="s">
        <v>5371</v>
      </c>
      <c r="G157" s="6186" t="s">
        <v>5372</v>
      </c>
      <c r="H157" s="6224" t="s">
        <v>5373</v>
      </c>
      <c r="I157" s="6186" t="s">
        <v>5374</v>
      </c>
      <c r="J157" s="6224" t="s">
        <v>5375</v>
      </c>
      <c r="K157" s="6186" t="s">
        <v>5376</v>
      </c>
      <c r="L157" s="6224" t="s">
        <v>5377</v>
      </c>
      <c r="M157" s="6186" t="s">
        <v>5378</v>
      </c>
      <c r="N157" s="6436" t="s">
        <v>5379</v>
      </c>
      <c r="O157" s="6437" t="s">
        <v>5380</v>
      </c>
      <c r="P157" s="6438" t="s">
        <v>5381</v>
      </c>
      <c r="Q157" s="6439" t="s">
        <v>5382</v>
      </c>
      <c r="R157" s="4394" t="s">
        <v>5383</v>
      </c>
      <c r="S157" s="6224" t="s">
        <v>5384</v>
      </c>
      <c r="T157" s="6191"/>
      <c r="U157" s="4291"/>
      <c r="V157" s="4291"/>
      <c r="W157" s="4291"/>
      <c r="X157" s="4291"/>
      <c r="Y157" s="4291"/>
      <c r="Z157" s="4291"/>
      <c r="AA157" s="4291"/>
      <c r="AB157" s="4291"/>
      <c r="AC157" s="4291"/>
      <c r="AD157" s="6352"/>
      <c r="AE157" s="6352"/>
      <c r="AF157" s="6364"/>
      <c r="AG157" s="6180"/>
      <c r="AH157" s="6180"/>
      <c r="AI157" s="6180"/>
      <c r="AJ157" s="6183"/>
      <c r="AK157" s="6183"/>
      <c r="AL157" s="6183"/>
      <c r="AM157" s="6183"/>
      <c r="AN157" s="6183"/>
      <c r="AO157" s="6184"/>
      <c r="AP157" s="6184"/>
      <c r="AQ157" s="6184"/>
      <c r="AR157" s="6184"/>
      <c r="AS157" s="6184"/>
      <c r="AT157" s="6184"/>
      <c r="AU157" s="6184"/>
      <c r="CB157" s="4295" t="s">
        <v>5435</v>
      </c>
      <c r="CC157" s="4295" t="s">
        <v>5471</v>
      </c>
      <c r="CD157" s="4295" t="s">
        <v>5436</v>
      </c>
      <c r="DB157" s="5899">
        <v>1</v>
      </c>
      <c r="DC157" s="5899">
        <v>1</v>
      </c>
      <c r="DD157" s="5899">
        <v>1</v>
      </c>
      <c r="DE157" s="5899">
        <v>0</v>
      </c>
    </row>
    <row r="158" spans="1:109" ht="16.350000000000001" customHeight="1" x14ac:dyDescent="0.25">
      <c r="A158" s="7278" t="s">
        <v>4459</v>
      </c>
      <c r="B158" s="9062"/>
      <c r="C158" s="5394" t="s">
        <v>803</v>
      </c>
      <c r="D158" s="6440" t="s">
        <v>5369</v>
      </c>
      <c r="E158" s="6441" t="s">
        <v>5370</v>
      </c>
      <c r="F158" s="5854" t="s">
        <v>5371</v>
      </c>
      <c r="G158" s="4369" t="s">
        <v>5372</v>
      </c>
      <c r="H158" s="5330" t="s">
        <v>5373</v>
      </c>
      <c r="I158" s="4369" t="s">
        <v>5374</v>
      </c>
      <c r="J158" s="5330" t="s">
        <v>5375</v>
      </c>
      <c r="K158" s="4369" t="s">
        <v>5376</v>
      </c>
      <c r="L158" s="5330" t="s">
        <v>5377</v>
      </c>
      <c r="M158" s="4369" t="s">
        <v>5378</v>
      </c>
      <c r="N158" s="5334" t="s">
        <v>5379</v>
      </c>
      <c r="O158" s="6442" t="s">
        <v>5380</v>
      </c>
      <c r="P158" s="4462" t="s">
        <v>5381</v>
      </c>
      <c r="Q158" s="3843" t="s">
        <v>5382</v>
      </c>
      <c r="R158" s="4367" t="s">
        <v>5383</v>
      </c>
      <c r="S158" s="5330" t="s">
        <v>5384</v>
      </c>
      <c r="T158" s="6425"/>
      <c r="U158" s="6352"/>
      <c r="V158" s="6352"/>
      <c r="W158" s="6352"/>
      <c r="X158" s="6352"/>
      <c r="Y158" s="6352"/>
      <c r="Z158" s="6385"/>
      <c r="AA158" s="6352"/>
      <c r="AB158" s="6352"/>
      <c r="AC158" s="6352"/>
      <c r="AD158" s="6352"/>
      <c r="AE158" s="6352"/>
      <c r="AF158" s="6352"/>
      <c r="AG158" s="6184"/>
      <c r="AH158" s="6184"/>
      <c r="AI158" s="6184"/>
      <c r="AJ158" s="6184"/>
      <c r="AK158" s="6184"/>
      <c r="AL158" s="6184"/>
      <c r="AM158" s="6184"/>
      <c r="AN158" s="6184"/>
      <c r="AO158" s="6184"/>
      <c r="AP158" s="6180"/>
      <c r="AQ158" s="6180"/>
      <c r="AR158" s="6180"/>
      <c r="AS158" s="6180"/>
      <c r="AT158" s="6183"/>
      <c r="AU158" s="6183"/>
      <c r="DC158" s="5899">
        <v>0</v>
      </c>
      <c r="DD158" s="5899">
        <v>0</v>
      </c>
      <c r="DE158" s="5899">
        <v>0</v>
      </c>
    </row>
    <row r="159" spans="1:109" ht="16.350000000000001" customHeight="1" x14ac:dyDescent="0.25">
      <c r="A159" s="7278" t="s">
        <v>4460</v>
      </c>
      <c r="B159" s="9062"/>
      <c r="C159" s="6403" t="s">
        <v>802</v>
      </c>
      <c r="D159" s="6443" t="s">
        <v>5369</v>
      </c>
      <c r="E159" s="6444" t="s">
        <v>5370</v>
      </c>
      <c r="F159" s="5859" t="s">
        <v>5371</v>
      </c>
      <c r="G159" s="6389" t="s">
        <v>5372</v>
      </c>
      <c r="H159" s="4926" t="s">
        <v>5373</v>
      </c>
      <c r="I159" s="6389" t="s">
        <v>5374</v>
      </c>
      <c r="J159" s="4926" t="s">
        <v>5375</v>
      </c>
      <c r="K159" s="6389" t="s">
        <v>5376</v>
      </c>
      <c r="L159" s="4926" t="s">
        <v>5377</v>
      </c>
      <c r="M159" s="6389" t="s">
        <v>5378</v>
      </c>
      <c r="N159" s="6445" t="s">
        <v>5379</v>
      </c>
      <c r="O159" s="6446" t="s">
        <v>5380</v>
      </c>
      <c r="P159" s="6447" t="s">
        <v>5381</v>
      </c>
      <c r="Q159" s="5199" t="s">
        <v>5382</v>
      </c>
      <c r="R159" s="5308" t="s">
        <v>5383</v>
      </c>
      <c r="S159" s="4926" t="s">
        <v>5384</v>
      </c>
      <c r="T159" s="5717"/>
      <c r="U159" s="4234"/>
      <c r="V159" s="4234"/>
      <c r="W159" s="4234"/>
      <c r="X159" s="4234"/>
      <c r="Y159" s="4234"/>
      <c r="Z159" s="4234"/>
      <c r="AA159" s="6352"/>
      <c r="AB159" s="6352"/>
      <c r="AC159" s="6352"/>
      <c r="AD159" s="6352"/>
      <c r="AE159" s="6352"/>
      <c r="AF159" s="6352"/>
      <c r="AG159" s="6184"/>
      <c r="AH159" s="6184"/>
      <c r="AI159" s="6184"/>
      <c r="AJ159" s="6184"/>
      <c r="AK159" s="6184"/>
      <c r="AL159" s="6184"/>
      <c r="AM159" s="6184"/>
      <c r="AN159" s="6184"/>
      <c r="AO159" s="6184"/>
      <c r="AP159" s="6180"/>
      <c r="AQ159" s="6180"/>
      <c r="AR159" s="6180"/>
      <c r="AS159" s="6180"/>
      <c r="AT159" s="6183"/>
      <c r="AU159" s="6183"/>
    </row>
    <row r="160" spans="1:109" ht="16.350000000000001" customHeight="1" x14ac:dyDescent="0.25">
      <c r="A160" s="7281"/>
      <c r="B160" s="9200" t="s">
        <v>808</v>
      </c>
      <c r="C160" s="9200"/>
      <c r="D160" s="6448">
        <f>SUM(D157:D159)</f>
        <v>0</v>
      </c>
      <c r="E160" s="6449">
        <f>SUM(E157:E159)</f>
        <v>0</v>
      </c>
      <c r="F160" s="6450">
        <f>SUM(F157:F159)</f>
        <v>0</v>
      </c>
      <c r="G160" s="6448">
        <f>SUM(G157:G159)</f>
        <v>0</v>
      </c>
      <c r="H160" s="6450">
        <f t="shared" ref="H160:Q160" si="7">SUM(H157:H159)</f>
        <v>0</v>
      </c>
      <c r="I160" s="6448">
        <f t="shared" si="7"/>
        <v>0</v>
      </c>
      <c r="J160" s="6450">
        <f t="shared" si="7"/>
        <v>0</v>
      </c>
      <c r="K160" s="6448">
        <f t="shared" si="7"/>
        <v>0</v>
      </c>
      <c r="L160" s="6450">
        <f t="shared" si="7"/>
        <v>0</v>
      </c>
      <c r="M160" s="6448">
        <f t="shared" si="7"/>
        <v>0</v>
      </c>
      <c r="N160" s="6451">
        <f t="shared" si="7"/>
        <v>0</v>
      </c>
      <c r="O160" s="6452">
        <f t="shared" si="7"/>
        <v>0</v>
      </c>
      <c r="P160" s="6453">
        <f t="shared" si="7"/>
        <v>0</v>
      </c>
      <c r="Q160" s="6454">
        <f t="shared" si="7"/>
        <v>0</v>
      </c>
      <c r="R160" s="4403">
        <f>SUM(R157:R159)</f>
        <v>0</v>
      </c>
      <c r="S160" s="6450">
        <f>SUM(S157:S159)</f>
        <v>0</v>
      </c>
      <c r="T160" s="5717"/>
      <c r="U160" s="4234"/>
      <c r="V160" s="4234"/>
      <c r="W160" s="4234"/>
      <c r="X160" s="4234"/>
      <c r="Y160" s="4234"/>
      <c r="Z160" s="4234"/>
      <c r="AA160" s="6352"/>
      <c r="AB160" s="6352"/>
      <c r="AC160" s="6352"/>
      <c r="AD160" s="6352"/>
      <c r="AE160" s="6352"/>
      <c r="AF160" s="6352"/>
      <c r="AG160" s="6184"/>
      <c r="AH160" s="6184"/>
      <c r="AI160" s="6184"/>
      <c r="AJ160" s="6184"/>
      <c r="AK160" s="6184"/>
      <c r="AL160" s="6184"/>
      <c r="AM160" s="6184"/>
      <c r="AN160" s="6184"/>
      <c r="AO160" s="6184"/>
      <c r="AP160" s="6180"/>
      <c r="AQ160" s="6180"/>
      <c r="AR160" s="6180"/>
      <c r="AS160" s="6180"/>
      <c r="AT160" s="6183"/>
      <c r="AU160" s="6183"/>
    </row>
    <row r="161" spans="1:131" ht="16.350000000000001" customHeight="1" x14ac:dyDescent="0.25">
      <c r="A161" s="7278" t="s">
        <v>4461</v>
      </c>
      <c r="B161" s="9184" t="s">
        <v>813</v>
      </c>
      <c r="C161" s="5387" t="s">
        <v>812</v>
      </c>
      <c r="D161" s="6455" t="s">
        <v>5369</v>
      </c>
      <c r="E161" s="6456" t="s">
        <v>5370</v>
      </c>
      <c r="F161" s="6457" t="s">
        <v>5371</v>
      </c>
      <c r="G161" s="6400" t="s">
        <v>5372</v>
      </c>
      <c r="H161" s="6260" t="s">
        <v>5373</v>
      </c>
      <c r="I161" s="6400" t="s">
        <v>5374</v>
      </c>
      <c r="J161" s="6260" t="s">
        <v>5375</v>
      </c>
      <c r="K161" s="6400" t="s">
        <v>5376</v>
      </c>
      <c r="L161" s="6260" t="s">
        <v>5377</v>
      </c>
      <c r="M161" s="6400" t="s">
        <v>5378</v>
      </c>
      <c r="N161" s="4955" t="s">
        <v>5379</v>
      </c>
      <c r="O161" s="4039" t="s">
        <v>5380</v>
      </c>
      <c r="P161" s="3906" t="s">
        <v>5381</v>
      </c>
      <c r="Q161" s="6402" t="s">
        <v>5382</v>
      </c>
      <c r="R161" s="4383" t="s">
        <v>5383</v>
      </c>
      <c r="S161" s="6260" t="s">
        <v>5384</v>
      </c>
      <c r="T161" s="5717"/>
      <c r="U161" s="4234"/>
      <c r="V161" s="4234"/>
      <c r="W161" s="4234"/>
      <c r="X161" s="4234"/>
      <c r="Y161" s="4234"/>
      <c r="Z161" s="4234"/>
      <c r="AA161" s="6352"/>
      <c r="AB161" s="6352"/>
      <c r="AC161" s="6352"/>
      <c r="AD161" s="6352"/>
      <c r="AE161" s="6352"/>
      <c r="AF161" s="6352"/>
      <c r="AG161" s="6184"/>
      <c r="AH161" s="6184"/>
      <c r="AI161" s="6184"/>
      <c r="AJ161" s="6184"/>
      <c r="AK161" s="6184"/>
      <c r="AL161" s="6184"/>
      <c r="AM161" s="6184"/>
      <c r="AN161" s="6184"/>
      <c r="AO161" s="6184"/>
      <c r="AP161" s="6180"/>
      <c r="AQ161" s="6180"/>
      <c r="AR161" s="6180"/>
      <c r="AS161" s="6180"/>
      <c r="AT161" s="6183"/>
      <c r="AU161" s="6183"/>
      <c r="DC161" s="5899">
        <v>0</v>
      </c>
      <c r="DD161" s="5899">
        <v>0</v>
      </c>
      <c r="DE161" s="5899">
        <v>0</v>
      </c>
    </row>
    <row r="162" spans="1:131" ht="16.350000000000001" customHeight="1" x14ac:dyDescent="0.25">
      <c r="A162" s="7278" t="s">
        <v>4462</v>
      </c>
      <c r="B162" s="9062"/>
      <c r="C162" s="5394" t="s">
        <v>811</v>
      </c>
      <c r="D162" s="6440" t="s">
        <v>5369</v>
      </c>
      <c r="E162" s="6441" t="s">
        <v>5370</v>
      </c>
      <c r="F162" s="5854" t="s">
        <v>5371</v>
      </c>
      <c r="G162" s="4369" t="s">
        <v>5372</v>
      </c>
      <c r="H162" s="5330" t="s">
        <v>5373</v>
      </c>
      <c r="I162" s="4369" t="s">
        <v>5374</v>
      </c>
      <c r="J162" s="5330" t="s">
        <v>5375</v>
      </c>
      <c r="K162" s="4369" t="s">
        <v>5376</v>
      </c>
      <c r="L162" s="5330" t="s">
        <v>5377</v>
      </c>
      <c r="M162" s="4369" t="s">
        <v>5378</v>
      </c>
      <c r="N162" s="5334" t="s">
        <v>5379</v>
      </c>
      <c r="O162" s="6442" t="s">
        <v>5380</v>
      </c>
      <c r="P162" s="4462" t="s">
        <v>5381</v>
      </c>
      <c r="Q162" s="3843" t="s">
        <v>5382</v>
      </c>
      <c r="R162" s="4367" t="s">
        <v>5383</v>
      </c>
      <c r="S162" s="5330" t="s">
        <v>5384</v>
      </c>
      <c r="T162" s="6626"/>
      <c r="U162" s="4291"/>
      <c r="V162" s="4291"/>
      <c r="W162" s="4291"/>
      <c r="X162" s="4291"/>
      <c r="Y162" s="4291"/>
      <c r="Z162" s="4291"/>
      <c r="AA162" s="4291"/>
      <c r="AB162" s="4291"/>
      <c r="AC162" s="4291"/>
      <c r="AD162" s="6352"/>
      <c r="AE162" s="6352"/>
      <c r="AF162" s="6352"/>
      <c r="AG162" s="6184"/>
      <c r="AH162" s="6184"/>
      <c r="AI162" s="6184"/>
      <c r="AJ162" s="6184"/>
      <c r="AK162" s="6184"/>
      <c r="AL162" s="6184"/>
      <c r="AM162" s="6184"/>
      <c r="AN162" s="6184"/>
      <c r="AO162" s="6184"/>
      <c r="AP162" s="6180"/>
      <c r="AQ162" s="6180"/>
      <c r="AR162" s="6180"/>
      <c r="AS162" s="6180"/>
      <c r="AT162" s="6183"/>
      <c r="AU162" s="6183"/>
    </row>
    <row r="163" spans="1:131" ht="16.350000000000001" customHeight="1" x14ac:dyDescent="0.25">
      <c r="A163" s="7278" t="s">
        <v>4463</v>
      </c>
      <c r="B163" s="9062"/>
      <c r="C163" s="5394" t="s">
        <v>810</v>
      </c>
      <c r="D163" s="6440" t="s">
        <v>5369</v>
      </c>
      <c r="E163" s="6441" t="s">
        <v>5370</v>
      </c>
      <c r="F163" s="5854" t="s">
        <v>5371</v>
      </c>
      <c r="G163" s="4369" t="s">
        <v>5372</v>
      </c>
      <c r="H163" s="5330" t="s">
        <v>5373</v>
      </c>
      <c r="I163" s="4369" t="s">
        <v>5374</v>
      </c>
      <c r="J163" s="5330" t="s">
        <v>5375</v>
      </c>
      <c r="K163" s="4369" t="s">
        <v>5376</v>
      </c>
      <c r="L163" s="5330" t="s">
        <v>5377</v>
      </c>
      <c r="M163" s="4369" t="s">
        <v>5378</v>
      </c>
      <c r="N163" s="5334" t="s">
        <v>5379</v>
      </c>
      <c r="O163" s="6442" t="s">
        <v>5380</v>
      </c>
      <c r="P163" s="4462" t="s">
        <v>5381</v>
      </c>
      <c r="Q163" s="3843" t="s">
        <v>5382</v>
      </c>
      <c r="R163" s="4367" t="s">
        <v>5383</v>
      </c>
      <c r="S163" s="5330" t="s">
        <v>5384</v>
      </c>
      <c r="T163" s="5717"/>
      <c r="U163" s="4234"/>
      <c r="V163" s="4234"/>
      <c r="W163" s="4234"/>
      <c r="X163" s="4234"/>
      <c r="Y163" s="4234"/>
      <c r="Z163" s="4234"/>
      <c r="AA163" s="6352"/>
      <c r="AB163" s="6352"/>
      <c r="AC163" s="6352"/>
      <c r="AD163" s="6352"/>
      <c r="AE163" s="6352"/>
      <c r="AF163" s="6352"/>
      <c r="AG163" s="6184"/>
      <c r="AH163" s="6184"/>
      <c r="AI163" s="6184"/>
      <c r="AJ163" s="6184"/>
      <c r="AK163" s="6184"/>
      <c r="AL163" s="6184"/>
      <c r="AM163" s="6184"/>
      <c r="AN163" s="6184"/>
      <c r="AO163" s="6184"/>
      <c r="AP163" s="6184"/>
      <c r="AQ163" s="6184"/>
      <c r="AR163" s="6184"/>
      <c r="AS163" s="6184"/>
      <c r="AT163" s="6184"/>
      <c r="AU163" s="6184"/>
    </row>
    <row r="164" spans="1:131" ht="15.75" customHeight="1" x14ac:dyDescent="0.25">
      <c r="A164" s="7278" t="s">
        <v>4464</v>
      </c>
      <c r="B164" s="9063"/>
      <c r="C164" s="5432" t="s">
        <v>809</v>
      </c>
      <c r="D164" s="6443" t="s">
        <v>5369</v>
      </c>
      <c r="E164" s="6444" t="s">
        <v>5370</v>
      </c>
      <c r="F164" s="5859" t="s">
        <v>5371</v>
      </c>
      <c r="G164" s="6389" t="s">
        <v>5372</v>
      </c>
      <c r="H164" s="4926" t="s">
        <v>5373</v>
      </c>
      <c r="I164" s="6389" t="s">
        <v>5374</v>
      </c>
      <c r="J164" s="4926" t="s">
        <v>5375</v>
      </c>
      <c r="K164" s="6389" t="s">
        <v>5376</v>
      </c>
      <c r="L164" s="4926" t="s">
        <v>5377</v>
      </c>
      <c r="M164" s="6389" t="s">
        <v>5378</v>
      </c>
      <c r="N164" s="6445" t="s">
        <v>5379</v>
      </c>
      <c r="O164" s="6446" t="s">
        <v>5380</v>
      </c>
      <c r="P164" s="6447" t="s">
        <v>5381</v>
      </c>
      <c r="Q164" s="5199" t="s">
        <v>5382</v>
      </c>
      <c r="R164" s="5308" t="s">
        <v>5383</v>
      </c>
      <c r="S164" s="4926" t="s">
        <v>5384</v>
      </c>
      <c r="T164" s="5717"/>
      <c r="U164" s="4234"/>
      <c r="V164" s="4234"/>
      <c r="W164" s="4234"/>
      <c r="X164" s="4234"/>
      <c r="Y164" s="4234"/>
      <c r="Z164" s="4234"/>
      <c r="AA164" s="4234"/>
      <c r="AB164" s="4234"/>
      <c r="AC164" s="6352"/>
      <c r="AD164" s="6352"/>
      <c r="AE164" s="6352"/>
      <c r="AF164" s="6352"/>
      <c r="AG164" s="6184"/>
      <c r="AH164" s="6184"/>
      <c r="AI164" s="6184"/>
      <c r="AJ164" s="6184"/>
      <c r="AK164" s="6184"/>
      <c r="AL164" s="6184"/>
      <c r="AM164" s="6184"/>
      <c r="AN164" s="6184"/>
      <c r="AO164" s="6184"/>
      <c r="AP164" s="6184"/>
      <c r="AQ164" s="6184"/>
      <c r="AR164" s="6184"/>
      <c r="AS164" s="6184"/>
      <c r="AT164" s="6184"/>
      <c r="AU164" s="6184"/>
      <c r="AV164" s="6184"/>
      <c r="AW164" s="6184"/>
    </row>
    <row r="165" spans="1:131" ht="16.350000000000001" customHeight="1" x14ac:dyDescent="0.25">
      <c r="A165" s="7281"/>
      <c r="B165" s="9199" t="s">
        <v>808</v>
      </c>
      <c r="C165" s="9200"/>
      <c r="D165" s="6448">
        <f>SUM(D161:D164)</f>
        <v>0</v>
      </c>
      <c r="E165" s="6449">
        <f>SUM(E161:E164)</f>
        <v>0</v>
      </c>
      <c r="F165" s="6450">
        <f>SUM(F161:F164)</f>
        <v>0</v>
      </c>
      <c r="G165" s="6448">
        <f>SUM(G161:G164)</f>
        <v>0</v>
      </c>
      <c r="H165" s="6450">
        <f t="shared" ref="H165:Q165" si="8">SUM(H161:H164)</f>
        <v>0</v>
      </c>
      <c r="I165" s="6448">
        <f t="shared" si="8"/>
        <v>0</v>
      </c>
      <c r="J165" s="6450">
        <f t="shared" si="8"/>
        <v>0</v>
      </c>
      <c r="K165" s="6448">
        <f t="shared" si="8"/>
        <v>0</v>
      </c>
      <c r="L165" s="6450">
        <f t="shared" si="8"/>
        <v>0</v>
      </c>
      <c r="M165" s="6448">
        <f t="shared" si="8"/>
        <v>0</v>
      </c>
      <c r="N165" s="6451">
        <f t="shared" si="8"/>
        <v>0</v>
      </c>
      <c r="O165" s="6452">
        <f t="shared" si="8"/>
        <v>0</v>
      </c>
      <c r="P165" s="6453">
        <f t="shared" si="8"/>
        <v>0</v>
      </c>
      <c r="Q165" s="6454">
        <f t="shared" si="8"/>
        <v>0</v>
      </c>
      <c r="R165" s="4403">
        <f>SUM(R161:R164)</f>
        <v>0</v>
      </c>
      <c r="S165" s="6450">
        <f>SUM(S161:S164)</f>
        <v>0</v>
      </c>
      <c r="T165" s="5717"/>
      <c r="U165" s="4234"/>
      <c r="V165" s="4234"/>
      <c r="W165" s="4234"/>
      <c r="X165" s="6352"/>
      <c r="Y165" s="6352"/>
      <c r="Z165" s="6352"/>
      <c r="AA165" s="6352"/>
      <c r="AB165" s="6352"/>
      <c r="AC165" s="6352"/>
      <c r="AD165" s="6352"/>
      <c r="AE165" s="6352"/>
      <c r="AF165" s="6352"/>
      <c r="AG165" s="6184"/>
      <c r="AH165" s="6184"/>
      <c r="AI165" s="6184"/>
      <c r="AJ165" s="6184"/>
      <c r="AK165" s="6184"/>
      <c r="AL165" s="6184"/>
      <c r="AM165" s="6184"/>
      <c r="AN165" s="6184"/>
      <c r="AO165" s="6184"/>
      <c r="AP165" s="6184"/>
      <c r="AQ165" s="6184"/>
      <c r="AR165" s="6184"/>
    </row>
    <row r="166" spans="1:131" ht="16.350000000000001" customHeight="1" x14ac:dyDescent="0.25">
      <c r="A166" s="7281"/>
      <c r="B166" s="9203" t="s">
        <v>807</v>
      </c>
      <c r="C166" s="9203"/>
      <c r="D166" s="6458">
        <f>SUM(D160+D165)</f>
        <v>0</v>
      </c>
      <c r="E166" s="6459">
        <f t="shared" ref="E166:Q166" si="9">SUM(E160+E165)</f>
        <v>0</v>
      </c>
      <c r="F166" s="5991">
        <f t="shared" si="9"/>
        <v>0</v>
      </c>
      <c r="G166" s="6458">
        <f t="shared" si="9"/>
        <v>0</v>
      </c>
      <c r="H166" s="5991">
        <f t="shared" si="9"/>
        <v>0</v>
      </c>
      <c r="I166" s="6458">
        <f t="shared" si="9"/>
        <v>0</v>
      </c>
      <c r="J166" s="5991">
        <f t="shared" si="9"/>
        <v>0</v>
      </c>
      <c r="K166" s="6458">
        <f t="shared" si="9"/>
        <v>0</v>
      </c>
      <c r="L166" s="5991">
        <f t="shared" si="9"/>
        <v>0</v>
      </c>
      <c r="M166" s="6458">
        <f t="shared" si="9"/>
        <v>0</v>
      </c>
      <c r="N166" s="5894">
        <f t="shared" si="9"/>
        <v>0</v>
      </c>
      <c r="O166" s="6460">
        <f t="shared" si="9"/>
        <v>0</v>
      </c>
      <c r="P166" s="6461">
        <f t="shared" si="9"/>
        <v>0</v>
      </c>
      <c r="Q166" s="6462">
        <f t="shared" si="9"/>
        <v>0</v>
      </c>
      <c r="R166" s="6463">
        <f>SUM(R160+R165)</f>
        <v>0</v>
      </c>
      <c r="S166" s="5991">
        <f>SUM(S160+S165)</f>
        <v>0</v>
      </c>
      <c r="T166" s="5717"/>
      <c r="U166" s="4234"/>
      <c r="V166" s="4234"/>
      <c r="W166" s="4234"/>
      <c r="X166" s="6352"/>
      <c r="Y166" s="6352"/>
      <c r="Z166" s="6352"/>
      <c r="AA166" s="6352"/>
      <c r="AB166" s="6352"/>
      <c r="AC166" s="6352"/>
      <c r="AD166" s="6352"/>
      <c r="AE166" s="6352"/>
      <c r="AF166" s="6352"/>
      <c r="AG166" s="6184"/>
      <c r="AH166" s="6184"/>
      <c r="AI166" s="6184"/>
      <c r="AJ166" s="6184"/>
      <c r="AK166" s="6184"/>
      <c r="AL166" s="6184"/>
      <c r="AM166" s="6184"/>
      <c r="AN166" s="6184"/>
      <c r="AO166" s="6184"/>
      <c r="AP166" s="6184"/>
      <c r="AQ166" s="6184"/>
      <c r="AR166" s="6184"/>
    </row>
    <row r="167" spans="1:131" ht="21" customHeight="1" x14ac:dyDescent="0.25">
      <c r="B167" s="6306" t="s">
        <v>806</v>
      </c>
      <c r="C167" s="6306"/>
      <c r="Q167" s="4234"/>
      <c r="R167" s="4234"/>
      <c r="S167" s="4234"/>
      <c r="T167" s="4234"/>
      <c r="U167" s="4234"/>
      <c r="V167" s="4234"/>
      <c r="W167" s="4234"/>
      <c r="X167" s="6352"/>
      <c r="Y167" s="6352"/>
      <c r="Z167" s="6352"/>
      <c r="AA167" s="6352"/>
      <c r="AB167" s="6352"/>
      <c r="AC167" s="6352"/>
      <c r="AD167" s="6352"/>
      <c r="AE167" s="6352"/>
      <c r="AF167" s="6352"/>
      <c r="AG167" s="6184"/>
      <c r="AH167" s="6184"/>
      <c r="AI167" s="6184"/>
      <c r="AJ167" s="6184"/>
      <c r="AK167" s="6184"/>
      <c r="AL167" s="6184"/>
      <c r="AM167" s="6184"/>
      <c r="AN167" s="6184"/>
      <c r="AO167" s="6184"/>
      <c r="AP167" s="6184"/>
      <c r="AQ167" s="6184"/>
      <c r="AR167" s="6184"/>
    </row>
    <row r="168" spans="1:131" ht="16.350000000000001" customHeight="1" x14ac:dyDescent="0.25">
      <c r="B168" s="9090" t="s">
        <v>805</v>
      </c>
      <c r="C168" s="9091"/>
      <c r="D168" s="9219" t="s">
        <v>24</v>
      </c>
      <c r="E168" s="9219"/>
      <c r="F168" s="9150"/>
      <c r="G168" s="9057" t="s">
        <v>1406</v>
      </c>
      <c r="H168" s="9058"/>
      <c r="I168" s="9057" t="s">
        <v>1397</v>
      </c>
      <c r="J168" s="9058"/>
      <c r="K168" s="9057" t="s">
        <v>1396</v>
      </c>
      <c r="L168" s="9058"/>
      <c r="M168" s="9057" t="s">
        <v>1395</v>
      </c>
      <c r="N168" s="9058"/>
      <c r="O168" s="9057" t="s">
        <v>1405</v>
      </c>
      <c r="P168" s="9060"/>
      <c r="Q168" s="9160" t="s">
        <v>362</v>
      </c>
      <c r="R168" s="9160" t="s">
        <v>361</v>
      </c>
      <c r="S168" s="4234"/>
      <c r="T168" s="4234"/>
      <c r="U168" s="4234"/>
      <c r="V168" s="4234"/>
      <c r="W168" s="4234"/>
      <c r="X168" s="6352"/>
      <c r="Y168" s="6352"/>
      <c r="Z168" s="6352"/>
      <c r="AA168" s="6352"/>
      <c r="AB168" s="6352"/>
      <c r="AC168" s="6352"/>
      <c r="AD168" s="6352"/>
      <c r="AE168" s="6352"/>
      <c r="AF168" s="6352"/>
      <c r="AG168" s="6184"/>
      <c r="AH168" s="6184"/>
      <c r="AI168" s="6184"/>
      <c r="AJ168" s="6184"/>
      <c r="AK168" s="6184"/>
      <c r="AL168" s="6184"/>
      <c r="AM168" s="6184"/>
      <c r="AN168" s="6184"/>
      <c r="AO168" s="6184"/>
      <c r="AP168" s="6184"/>
      <c r="AQ168" s="6184"/>
      <c r="AR168" s="6464"/>
      <c r="AS168" s="6178"/>
      <c r="AT168" s="6178"/>
      <c r="AU168" s="6178"/>
      <c r="AV168" s="6178"/>
      <c r="AW168" s="6178"/>
      <c r="AX168" s="6178"/>
      <c r="AY168" s="6465"/>
      <c r="AZ168" s="6465"/>
      <c r="BA168" s="6465"/>
      <c r="BB168" s="6178"/>
      <c r="BC168" s="6178"/>
      <c r="BD168" s="6178"/>
    </row>
    <row r="169" spans="1:131" ht="31.5" customHeight="1" x14ac:dyDescent="0.25">
      <c r="B169" s="9092"/>
      <c r="C169" s="9093"/>
      <c r="D169" s="6181" t="s">
        <v>42</v>
      </c>
      <c r="E169" s="5368" t="s">
        <v>17</v>
      </c>
      <c r="F169" s="6316" t="s">
        <v>18</v>
      </c>
      <c r="G169" s="6181" t="s">
        <v>17</v>
      </c>
      <c r="H169" s="6316" t="s">
        <v>18</v>
      </c>
      <c r="I169" s="6181" t="s">
        <v>17</v>
      </c>
      <c r="J169" s="6316" t="s">
        <v>18</v>
      </c>
      <c r="K169" s="6181" t="s">
        <v>17</v>
      </c>
      <c r="L169" s="6316" t="s">
        <v>18</v>
      </c>
      <c r="M169" s="6181" t="s">
        <v>17</v>
      </c>
      <c r="N169" s="6316" t="s">
        <v>18</v>
      </c>
      <c r="O169" s="6096" t="s">
        <v>17</v>
      </c>
      <c r="P169" s="6466" t="s">
        <v>18</v>
      </c>
      <c r="Q169" s="9161"/>
      <c r="R169" s="9161"/>
      <c r="S169" s="4234"/>
      <c r="T169" s="4234"/>
      <c r="U169" s="4234"/>
      <c r="V169" s="4234"/>
      <c r="W169" s="4234"/>
      <c r="X169" s="6352"/>
      <c r="Y169" s="6352"/>
      <c r="Z169" s="6352"/>
      <c r="AA169" s="6352"/>
      <c r="AB169" s="6352"/>
      <c r="AC169" s="6352"/>
      <c r="AD169" s="6352"/>
      <c r="AE169" s="6352"/>
      <c r="AF169" s="6352"/>
      <c r="AG169" s="6184"/>
      <c r="AH169" s="6184"/>
      <c r="AI169" s="6184"/>
      <c r="AJ169" s="6184"/>
      <c r="AK169" s="6184"/>
      <c r="AL169" s="6184"/>
      <c r="AM169" s="6184"/>
      <c r="AN169" s="6184"/>
      <c r="AO169" s="6184"/>
      <c r="AP169" s="6184"/>
      <c r="AQ169" s="6184"/>
      <c r="AR169" s="6355"/>
      <c r="AS169" s="6178"/>
      <c r="AT169" s="6178"/>
      <c r="AU169" s="6178"/>
      <c r="AV169" s="6178"/>
      <c r="AW169" s="6178"/>
      <c r="AX169" s="6178"/>
      <c r="AY169" s="6465"/>
      <c r="AZ169" s="6465"/>
      <c r="BA169" s="6465"/>
      <c r="BB169" s="6178"/>
      <c r="BC169" s="6178"/>
      <c r="BD169" s="6178"/>
    </row>
    <row r="170" spans="1:131" s="4470" customFormat="1" ht="16.350000000000001" customHeight="1" x14ac:dyDescent="0.25">
      <c r="A170" s="7278" t="s">
        <v>4465</v>
      </c>
      <c r="B170" s="9088" t="s">
        <v>744</v>
      </c>
      <c r="C170" s="6467" t="s">
        <v>804</v>
      </c>
      <c r="D170" s="8253" t="s">
        <v>5369</v>
      </c>
      <c r="E170" s="8254" t="s">
        <v>5370</v>
      </c>
      <c r="F170" s="8255" t="s">
        <v>5371</v>
      </c>
      <c r="G170" s="8256" t="s">
        <v>5372</v>
      </c>
      <c r="H170" s="8257" t="s">
        <v>5373</v>
      </c>
      <c r="I170" s="8256" t="s">
        <v>5374</v>
      </c>
      <c r="J170" s="8258" t="s">
        <v>5375</v>
      </c>
      <c r="K170" s="8259" t="s">
        <v>5376</v>
      </c>
      <c r="L170" s="8258" t="s">
        <v>5377</v>
      </c>
      <c r="M170" s="8259" t="s">
        <v>5378</v>
      </c>
      <c r="N170" s="8258" t="s">
        <v>5379</v>
      </c>
      <c r="O170" s="8260" t="s">
        <v>5380</v>
      </c>
      <c r="P170" s="8261" t="s">
        <v>5381</v>
      </c>
      <c r="Q170" s="8262" t="s">
        <v>5382</v>
      </c>
      <c r="R170" s="8262" t="s">
        <v>5383</v>
      </c>
      <c r="S170" s="6425"/>
      <c r="T170" s="6352"/>
      <c r="U170" s="6352"/>
      <c r="V170" s="6352"/>
      <c r="W170" s="6352"/>
      <c r="X170" s="6352"/>
      <c r="Y170" s="6352"/>
      <c r="Z170" s="6352"/>
      <c r="AA170" s="6352"/>
      <c r="AB170" s="6352"/>
      <c r="AC170" s="6352"/>
      <c r="AD170" s="6352"/>
      <c r="AE170" s="6184"/>
      <c r="AF170" s="6184"/>
      <c r="AG170" s="6184"/>
      <c r="AH170" s="6184"/>
      <c r="AI170" s="6184"/>
      <c r="AJ170" s="6399"/>
      <c r="AK170" s="6465"/>
      <c r="AL170" s="6465"/>
      <c r="AM170" s="6465"/>
      <c r="AN170" s="6465"/>
      <c r="AO170" s="6465"/>
      <c r="AP170" s="6465"/>
      <c r="AQ170" s="6465"/>
      <c r="AR170" s="6465"/>
      <c r="AS170" s="6465"/>
      <c r="AT170" s="6465"/>
      <c r="AU170" s="6465"/>
      <c r="AV170" s="6465"/>
      <c r="AW170" s="6465"/>
      <c r="AX170" s="6465"/>
      <c r="AY170" s="6465"/>
      <c r="AZ170" s="6465"/>
      <c r="BA170" s="6465"/>
      <c r="BB170" s="6465"/>
      <c r="BC170" s="6465"/>
      <c r="BD170" s="6465"/>
      <c r="BE170" s="6465"/>
      <c r="BF170" s="6465"/>
      <c r="BG170" s="6465"/>
      <c r="BH170" s="6465"/>
      <c r="BI170" s="6465"/>
      <c r="BJ170" s="6465"/>
      <c r="BK170" s="6465"/>
      <c r="BL170" s="6465"/>
      <c r="BM170" s="6465"/>
      <c r="BN170" s="6465"/>
      <c r="BO170" s="6465"/>
      <c r="BP170" s="6465"/>
      <c r="BQ170" s="6465"/>
      <c r="BR170" s="6465"/>
      <c r="BS170" s="6465"/>
      <c r="BT170" s="6465"/>
      <c r="BU170" s="6465"/>
      <c r="BV170" s="6465"/>
      <c r="BW170" s="6465"/>
      <c r="BX170" s="6465"/>
      <c r="BY170" s="6465"/>
      <c r="BZ170" s="6465"/>
      <c r="CA170" s="6465"/>
      <c r="CB170" s="6468" t="s">
        <v>5435</v>
      </c>
      <c r="CC170" s="6468"/>
      <c r="CD170" s="6468" t="s">
        <v>5436</v>
      </c>
      <c r="CE170" s="6468"/>
      <c r="CF170" s="6468"/>
      <c r="CG170" s="6468"/>
      <c r="CH170" s="6468"/>
      <c r="CI170" s="6468"/>
      <c r="CJ170" s="6468"/>
      <c r="CK170" s="6468"/>
      <c r="CL170" s="6468"/>
      <c r="CM170" s="6468"/>
      <c r="CN170" s="6468"/>
      <c r="CO170" s="6468"/>
      <c r="CP170" s="6468"/>
      <c r="CQ170" s="6468"/>
      <c r="CR170" s="6468"/>
      <c r="CS170" s="6468"/>
      <c r="CT170" s="6468"/>
      <c r="CU170" s="6468"/>
      <c r="CV170" s="6468"/>
      <c r="CW170" s="6468"/>
      <c r="CX170" s="6468"/>
      <c r="CY170" s="6468"/>
      <c r="CZ170" s="6468"/>
      <c r="DA170" s="6468"/>
      <c r="DB170" s="5899">
        <v>1</v>
      </c>
      <c r="DC170" s="5899">
        <v>0</v>
      </c>
      <c r="DD170" s="5899">
        <v>1</v>
      </c>
      <c r="DE170" s="5899">
        <v>0</v>
      </c>
      <c r="DF170" s="5899"/>
      <c r="DG170" s="5899"/>
      <c r="DH170" s="5899"/>
      <c r="DI170" s="5899"/>
      <c r="DJ170" s="5899"/>
      <c r="DK170" s="5899"/>
      <c r="DL170" s="5899"/>
      <c r="DM170" s="5899"/>
      <c r="DN170" s="5899"/>
      <c r="DO170" s="5899"/>
      <c r="DP170" s="5899"/>
      <c r="DQ170" s="5899"/>
      <c r="DR170" s="5899"/>
      <c r="DS170" s="5899"/>
      <c r="DT170" s="5899"/>
      <c r="DU170" s="5899"/>
      <c r="DV170" s="5899"/>
      <c r="DW170" s="5899"/>
      <c r="DX170" s="5899"/>
      <c r="DY170" s="5899"/>
      <c r="DZ170" s="5899"/>
      <c r="EA170" s="5899"/>
    </row>
    <row r="171" spans="1:131" s="4470" customFormat="1" ht="16.350000000000001" customHeight="1" x14ac:dyDescent="0.25">
      <c r="A171" s="7278" t="s">
        <v>4466</v>
      </c>
      <c r="B171" s="9062"/>
      <c r="C171" s="4139" t="s">
        <v>803</v>
      </c>
      <c r="D171" s="8263" t="s">
        <v>5369</v>
      </c>
      <c r="E171" s="8264" t="s">
        <v>5370</v>
      </c>
      <c r="F171" s="8206" t="s">
        <v>5371</v>
      </c>
      <c r="G171" s="8265" t="s">
        <v>5372</v>
      </c>
      <c r="H171" s="8266" t="s">
        <v>5373</v>
      </c>
      <c r="I171" s="8259" t="s">
        <v>5374</v>
      </c>
      <c r="J171" s="8258" t="s">
        <v>5375</v>
      </c>
      <c r="K171" s="8259" t="s">
        <v>5376</v>
      </c>
      <c r="L171" s="8258" t="s">
        <v>5377</v>
      </c>
      <c r="M171" s="8259" t="s">
        <v>5378</v>
      </c>
      <c r="N171" s="8258" t="s">
        <v>5379</v>
      </c>
      <c r="O171" s="8260" t="s">
        <v>5380</v>
      </c>
      <c r="P171" s="8267" t="s">
        <v>5381</v>
      </c>
      <c r="Q171" s="8268" t="s">
        <v>5382</v>
      </c>
      <c r="R171" s="8268" t="s">
        <v>5383</v>
      </c>
      <c r="S171" s="6425"/>
      <c r="T171" s="6352"/>
      <c r="U171" s="6352"/>
      <c r="V171" s="6352"/>
      <c r="W171" s="6352"/>
      <c r="X171" s="6352"/>
      <c r="Y171" s="6352"/>
      <c r="Z171" s="6352"/>
      <c r="AA171" s="6352"/>
      <c r="AB171" s="6352"/>
      <c r="AC171" s="6352"/>
      <c r="AD171" s="6352"/>
      <c r="AE171" s="6184"/>
      <c r="AF171" s="6184"/>
      <c r="AG171" s="6184"/>
      <c r="AH171" s="6184"/>
      <c r="AI171" s="6184"/>
      <c r="AJ171" s="6399"/>
      <c r="AK171" s="6465"/>
      <c r="AL171" s="6465"/>
      <c r="AM171" s="6465"/>
      <c r="AN171" s="6465"/>
      <c r="AO171" s="6465"/>
      <c r="AP171" s="6465"/>
      <c r="AQ171" s="6465"/>
      <c r="AR171" s="6465"/>
      <c r="AS171" s="6465"/>
      <c r="AT171" s="6465"/>
      <c r="AU171" s="6465"/>
      <c r="AV171" s="6465"/>
      <c r="AW171" s="6465"/>
      <c r="AX171" s="6465"/>
      <c r="AY171" s="6465"/>
      <c r="AZ171" s="6465"/>
      <c r="BA171" s="6465"/>
      <c r="BB171" s="6465"/>
      <c r="BC171" s="6465"/>
      <c r="BD171" s="6465"/>
      <c r="BE171" s="6465"/>
      <c r="BF171" s="6465"/>
      <c r="BG171" s="6465"/>
      <c r="BH171" s="6465"/>
      <c r="BI171" s="6465"/>
      <c r="BJ171" s="6465"/>
      <c r="BK171" s="6465"/>
      <c r="BL171" s="6465"/>
      <c r="BM171" s="6465"/>
      <c r="BN171" s="6465"/>
      <c r="BO171" s="6465"/>
      <c r="BP171" s="6465"/>
      <c r="BQ171" s="6465"/>
      <c r="BR171" s="6465"/>
      <c r="BS171" s="6465"/>
      <c r="BT171" s="6465"/>
      <c r="BU171" s="6465"/>
      <c r="BV171" s="6465"/>
      <c r="BW171" s="6465"/>
      <c r="BX171" s="6465"/>
      <c r="BY171" s="6465"/>
      <c r="BZ171" s="6465"/>
      <c r="CA171" s="6465"/>
      <c r="CB171" s="6468"/>
      <c r="CC171" s="6468"/>
      <c r="CD171" s="6468"/>
      <c r="CE171" s="6468"/>
      <c r="CF171" s="6468"/>
      <c r="CG171" s="6468"/>
      <c r="CH171" s="6468"/>
      <c r="CI171" s="6468"/>
      <c r="CJ171" s="6468"/>
      <c r="CK171" s="6468"/>
      <c r="CL171" s="6468"/>
      <c r="CM171" s="6468"/>
      <c r="CN171" s="6468"/>
      <c r="CO171" s="6468"/>
      <c r="CP171" s="6468"/>
      <c r="CQ171" s="6468"/>
      <c r="CR171" s="6468"/>
      <c r="CS171" s="6468"/>
      <c r="CT171" s="6468"/>
      <c r="CU171" s="6468"/>
      <c r="CV171" s="6468"/>
      <c r="CW171" s="6468"/>
      <c r="CX171" s="6468"/>
      <c r="CY171" s="6468"/>
      <c r="CZ171" s="6468"/>
      <c r="DA171" s="6468"/>
      <c r="DB171" s="5899"/>
      <c r="DC171" s="5899">
        <v>0</v>
      </c>
      <c r="DD171" s="5899"/>
      <c r="DE171" s="5899">
        <v>0</v>
      </c>
      <c r="DF171" s="5899"/>
      <c r="DG171" s="5899"/>
      <c r="DH171" s="5899"/>
      <c r="DI171" s="5899"/>
      <c r="DJ171" s="5899"/>
      <c r="DK171" s="5899"/>
      <c r="DL171" s="5899"/>
      <c r="DM171" s="5899"/>
      <c r="DN171" s="5899"/>
      <c r="DO171" s="5899"/>
      <c r="DP171" s="5899"/>
      <c r="DQ171" s="5899"/>
      <c r="DR171" s="5899"/>
      <c r="DS171" s="5899"/>
      <c r="DT171" s="5899"/>
      <c r="DU171" s="5899"/>
      <c r="DV171" s="5899"/>
      <c r="DW171" s="5899"/>
      <c r="DX171" s="5899"/>
      <c r="DY171" s="5899"/>
      <c r="DZ171" s="5899"/>
      <c r="EA171" s="5899"/>
    </row>
    <row r="172" spans="1:131" ht="16.350000000000001" customHeight="1" x14ac:dyDescent="0.25">
      <c r="A172" s="7278" t="s">
        <v>4467</v>
      </c>
      <c r="B172" s="9062"/>
      <c r="C172" s="7176" t="s">
        <v>802</v>
      </c>
      <c r="D172" s="8269" t="s">
        <v>5369</v>
      </c>
      <c r="E172" s="8270" t="s">
        <v>5370</v>
      </c>
      <c r="F172" s="8207" t="s">
        <v>5371</v>
      </c>
      <c r="G172" s="8271" t="s">
        <v>5372</v>
      </c>
      <c r="H172" s="8272" t="s">
        <v>5373</v>
      </c>
      <c r="I172" s="8273" t="s">
        <v>5374</v>
      </c>
      <c r="J172" s="8274" t="s">
        <v>5375</v>
      </c>
      <c r="K172" s="8273" t="s">
        <v>5376</v>
      </c>
      <c r="L172" s="8274" t="s">
        <v>5377</v>
      </c>
      <c r="M172" s="8273" t="s">
        <v>5378</v>
      </c>
      <c r="N172" s="8274" t="s">
        <v>5379</v>
      </c>
      <c r="O172" s="8275" t="s">
        <v>5380</v>
      </c>
      <c r="P172" s="8276" t="s">
        <v>5381</v>
      </c>
      <c r="Q172" s="8277" t="s">
        <v>5382</v>
      </c>
      <c r="R172" s="8277" t="s">
        <v>5383</v>
      </c>
      <c r="S172" s="6425"/>
      <c r="T172" s="6352"/>
      <c r="U172" s="6352"/>
      <c r="V172" s="6352"/>
      <c r="W172" s="6352"/>
      <c r="X172" s="6352"/>
      <c r="Y172" s="6352"/>
      <c r="Z172" s="6352"/>
      <c r="AA172" s="6352"/>
      <c r="AB172" s="6352"/>
      <c r="AC172" s="6352"/>
      <c r="AD172" s="6352"/>
      <c r="AE172" s="6184"/>
      <c r="AF172" s="6184"/>
      <c r="AG172" s="6184"/>
      <c r="AH172" s="6184"/>
      <c r="AI172" s="6184"/>
      <c r="AJ172" s="6399"/>
      <c r="AK172" s="6178"/>
      <c r="AL172" s="6178"/>
      <c r="AM172" s="6178"/>
      <c r="AN172" s="6178"/>
      <c r="AO172" s="6178"/>
      <c r="AP172" s="6178"/>
      <c r="AQ172" s="6178"/>
      <c r="AR172" s="6178"/>
      <c r="AS172" s="6178"/>
      <c r="AT172" s="6178"/>
      <c r="AU172" s="6178"/>
      <c r="AV172" s="6178"/>
    </row>
    <row r="173" spans="1:131" ht="16.350000000000001" customHeight="1" thickBot="1" x14ac:dyDescent="0.3">
      <c r="A173" s="7286"/>
      <c r="B173" s="9282"/>
      <c r="C173" s="7177" t="s">
        <v>801</v>
      </c>
      <c r="D173" s="6472">
        <f>SUM(D170:D172)</f>
        <v>0</v>
      </c>
      <c r="E173" s="6473">
        <f>SUM(E170:E172)</f>
        <v>0</v>
      </c>
      <c r="F173" s="6474">
        <f>SUM(F170:F172)</f>
        <v>0</v>
      </c>
      <c r="G173" s="6472">
        <f>SUM(G170:G172)</f>
        <v>0</v>
      </c>
      <c r="H173" s="6474">
        <f t="shared" ref="H173:P173" si="10">SUM(H170:H172)</f>
        <v>0</v>
      </c>
      <c r="I173" s="6472">
        <f t="shared" si="10"/>
        <v>0</v>
      </c>
      <c r="J173" s="6474">
        <f t="shared" si="10"/>
        <v>0</v>
      </c>
      <c r="K173" s="6472">
        <f t="shared" si="10"/>
        <v>0</v>
      </c>
      <c r="L173" s="6474">
        <f t="shared" si="10"/>
        <v>0</v>
      </c>
      <c r="M173" s="6472">
        <f t="shared" si="10"/>
        <v>0</v>
      </c>
      <c r="N173" s="6474">
        <f t="shared" si="10"/>
        <v>0</v>
      </c>
      <c r="O173" s="6472">
        <f t="shared" si="10"/>
        <v>0</v>
      </c>
      <c r="P173" s="6475">
        <f t="shared" si="10"/>
        <v>0</v>
      </c>
      <c r="Q173" s="6474">
        <f>SUM(Q170:Q172)</f>
        <v>0</v>
      </c>
      <c r="R173" s="6474">
        <f>SUM(R170:R172)</f>
        <v>0</v>
      </c>
      <c r="S173" s="5717"/>
      <c r="T173" s="4234"/>
      <c r="U173" s="4234"/>
      <c r="V173" s="4234"/>
      <c r="W173" s="4234"/>
      <c r="X173" s="4234"/>
      <c r="Y173" s="4234"/>
      <c r="Z173" s="6352"/>
      <c r="AA173" s="6352"/>
      <c r="AB173" s="6352"/>
      <c r="AC173" s="6352"/>
      <c r="AD173" s="6352"/>
      <c r="AE173" s="6184"/>
      <c r="AF173" s="6184"/>
      <c r="AG173" s="6184"/>
      <c r="AH173" s="6184"/>
      <c r="AI173" s="6184"/>
      <c r="AJ173" s="6184"/>
      <c r="AK173" s="6184"/>
      <c r="AL173" s="6184"/>
      <c r="AM173" s="6184"/>
      <c r="AN173" s="6184"/>
      <c r="AO173" s="6184"/>
      <c r="AP173" s="6464"/>
      <c r="AQ173" s="6184"/>
      <c r="AR173" s="6184"/>
      <c r="AS173" s="6206"/>
      <c r="AT173" s="6178"/>
      <c r="AU173" s="6376"/>
      <c r="AV173" s="6376"/>
      <c r="AW173" s="6376"/>
      <c r="AX173" s="6376"/>
      <c r="AY173" s="6465"/>
      <c r="AZ173" s="6465"/>
      <c r="BA173" s="6465"/>
      <c r="BB173" s="6376"/>
      <c r="BC173" s="6376"/>
      <c r="BD173" s="6376"/>
      <c r="BE173" s="4264"/>
      <c r="BF173" s="4264"/>
    </row>
    <row r="174" spans="1:131" ht="16.350000000000001" customHeight="1" thickTop="1" x14ac:dyDescent="0.25">
      <c r="A174" s="7278" t="s">
        <v>4468</v>
      </c>
      <c r="B174" s="9105" t="s">
        <v>800</v>
      </c>
      <c r="C174" s="7175" t="s">
        <v>799</v>
      </c>
      <c r="D174" s="8278" t="s">
        <v>5369</v>
      </c>
      <c r="E174" s="8279" t="s">
        <v>5370</v>
      </c>
      <c r="F174" s="8280" t="s">
        <v>5371</v>
      </c>
      <c r="G174" s="8281" t="s">
        <v>5372</v>
      </c>
      <c r="H174" s="8282" t="s">
        <v>5373</v>
      </c>
      <c r="I174" s="8283" t="s">
        <v>5374</v>
      </c>
      <c r="J174" s="8282" t="s">
        <v>5375</v>
      </c>
      <c r="K174" s="8284" t="s">
        <v>5376</v>
      </c>
      <c r="L174" s="8258" t="s">
        <v>5377</v>
      </c>
      <c r="M174" s="8284" t="s">
        <v>5378</v>
      </c>
      <c r="N174" s="8258" t="s">
        <v>5379</v>
      </c>
      <c r="O174" s="8285" t="s">
        <v>5380</v>
      </c>
      <c r="P174" s="8286" t="s">
        <v>5381</v>
      </c>
      <c r="Q174" s="8287" t="s">
        <v>5382</v>
      </c>
      <c r="R174" s="8288" t="s">
        <v>5383</v>
      </c>
      <c r="S174" s="5717"/>
      <c r="T174" s="4234"/>
      <c r="U174" s="4234"/>
      <c r="V174" s="4234"/>
      <c r="W174" s="4234"/>
      <c r="X174" s="4234"/>
      <c r="Y174" s="4234"/>
      <c r="Z174" s="6363"/>
      <c r="AA174" s="6354"/>
      <c r="AB174" s="4234"/>
      <c r="AC174" s="6477"/>
      <c r="AD174" s="6354"/>
      <c r="AE174" s="3914"/>
      <c r="AF174" s="6478"/>
      <c r="AG174" s="6478"/>
      <c r="AH174" s="6478"/>
      <c r="AI174" s="6184"/>
      <c r="AJ174" s="3914"/>
      <c r="AK174" s="6464"/>
      <c r="AL174" s="6464"/>
      <c r="AM174" s="6464"/>
      <c r="AN174" s="6184"/>
      <c r="AO174" s="3914"/>
      <c r="AP174" s="6464"/>
      <c r="AQ174" s="6184"/>
      <c r="AR174" s="6184"/>
      <c r="AU174" s="4264"/>
      <c r="AV174" s="4264"/>
      <c r="AW174" s="4264"/>
      <c r="AX174" s="4264"/>
      <c r="BB174" s="4264"/>
      <c r="BC174" s="4264"/>
      <c r="BD174" s="4264"/>
      <c r="BE174" s="4264"/>
      <c r="BF174" s="4264"/>
      <c r="BG174" s="4264"/>
      <c r="BH174" s="4264"/>
      <c r="DC174" s="5899">
        <v>0</v>
      </c>
      <c r="DE174" s="5899">
        <v>0</v>
      </c>
    </row>
    <row r="175" spans="1:131" x14ac:dyDescent="0.25">
      <c r="A175" s="7278" t="s">
        <v>4469</v>
      </c>
      <c r="B175" s="9062"/>
      <c r="C175" s="4139" t="s">
        <v>798</v>
      </c>
      <c r="D175" s="8289" t="s">
        <v>5369</v>
      </c>
      <c r="E175" s="8290" t="s">
        <v>5370</v>
      </c>
      <c r="F175" s="8291" t="s">
        <v>5371</v>
      </c>
      <c r="G175" s="8259" t="s">
        <v>5372</v>
      </c>
      <c r="H175" s="8258" t="s">
        <v>5373</v>
      </c>
      <c r="I175" s="8292" t="s">
        <v>5374</v>
      </c>
      <c r="J175" s="8258" t="s">
        <v>5375</v>
      </c>
      <c r="K175" s="8292" t="s">
        <v>5376</v>
      </c>
      <c r="L175" s="8258" t="s">
        <v>5377</v>
      </c>
      <c r="M175" s="8259" t="s">
        <v>5378</v>
      </c>
      <c r="N175" s="8258" t="s">
        <v>5379</v>
      </c>
      <c r="O175" s="8293" t="s">
        <v>5380</v>
      </c>
      <c r="P175" s="8267" t="s">
        <v>5381</v>
      </c>
      <c r="Q175" s="8294" t="s">
        <v>5382</v>
      </c>
      <c r="R175" s="8268" t="s">
        <v>5383</v>
      </c>
      <c r="S175" s="4259"/>
      <c r="AU175" s="4264"/>
      <c r="AV175" s="4264"/>
      <c r="AW175" s="4264"/>
      <c r="AX175" s="4264"/>
      <c r="BB175" s="4264"/>
      <c r="BC175" s="4264"/>
      <c r="BD175" s="4264"/>
      <c r="BE175" s="4264"/>
      <c r="BF175" s="4264"/>
      <c r="BG175" s="4264"/>
      <c r="BH175" s="4264"/>
    </row>
    <row r="176" spans="1:131" x14ac:dyDescent="0.25">
      <c r="A176" s="7278" t="s">
        <v>4470</v>
      </c>
      <c r="B176" s="9062"/>
      <c r="C176" s="4139" t="s">
        <v>797</v>
      </c>
      <c r="D176" s="8263" t="s">
        <v>5369</v>
      </c>
      <c r="E176" s="8264" t="s">
        <v>5370</v>
      </c>
      <c r="F176" s="8206" t="s">
        <v>5371</v>
      </c>
      <c r="G176" s="8292" t="s">
        <v>5372</v>
      </c>
      <c r="H176" s="8295" t="s">
        <v>5373</v>
      </c>
      <c r="I176" s="8292" t="s">
        <v>5374</v>
      </c>
      <c r="J176" s="8295" t="s">
        <v>5375</v>
      </c>
      <c r="K176" s="8292" t="s">
        <v>5376</v>
      </c>
      <c r="L176" s="8295" t="s">
        <v>5377</v>
      </c>
      <c r="M176" s="8292" t="s">
        <v>5378</v>
      </c>
      <c r="N176" s="8295" t="s">
        <v>5379</v>
      </c>
      <c r="O176" s="8293" t="s">
        <v>5380</v>
      </c>
      <c r="P176" s="8296" t="s">
        <v>5381</v>
      </c>
      <c r="Q176" s="8294" t="s">
        <v>5382</v>
      </c>
      <c r="R176" s="8294" t="s">
        <v>5383</v>
      </c>
      <c r="S176" s="4259"/>
      <c r="AU176" s="4264"/>
      <c r="AV176" s="4264"/>
      <c r="AW176" s="4264"/>
      <c r="AX176" s="4264"/>
      <c r="BB176" s="4264"/>
      <c r="BC176" s="4264"/>
      <c r="BD176" s="4264"/>
      <c r="BE176" s="4264"/>
      <c r="BF176" s="4264"/>
      <c r="BG176" s="4264"/>
      <c r="BH176" s="4264"/>
    </row>
    <row r="177" spans="1:127" ht="15" customHeight="1" x14ac:dyDescent="0.25">
      <c r="A177" s="7278" t="s">
        <v>4471</v>
      </c>
      <c r="B177" s="9063"/>
      <c r="C177" s="6471" t="s">
        <v>796</v>
      </c>
      <c r="D177" s="8269" t="s">
        <v>5369</v>
      </c>
      <c r="E177" s="8270" t="s">
        <v>5370</v>
      </c>
      <c r="F177" s="8207" t="s">
        <v>5371</v>
      </c>
      <c r="G177" s="8273" t="s">
        <v>5372</v>
      </c>
      <c r="H177" s="8274" t="s">
        <v>5373</v>
      </c>
      <c r="I177" s="8273" t="s">
        <v>5374</v>
      </c>
      <c r="J177" s="8274" t="s">
        <v>5375</v>
      </c>
      <c r="K177" s="8273" t="s">
        <v>5376</v>
      </c>
      <c r="L177" s="8274" t="s">
        <v>5377</v>
      </c>
      <c r="M177" s="8273" t="s">
        <v>5378</v>
      </c>
      <c r="N177" s="8274" t="s">
        <v>5379</v>
      </c>
      <c r="O177" s="8275" t="s">
        <v>5380</v>
      </c>
      <c r="P177" s="8276" t="s">
        <v>5381</v>
      </c>
      <c r="Q177" s="8277" t="s">
        <v>5382</v>
      </c>
      <c r="R177" s="8277" t="s">
        <v>5383</v>
      </c>
      <c r="S177" s="5722"/>
      <c r="T177" s="3940"/>
      <c r="U177" s="3940"/>
      <c r="V177" s="3940"/>
      <c r="W177" s="5836"/>
      <c r="X177" s="3940"/>
      <c r="Y177" s="4979"/>
      <c r="Z177" s="4979"/>
      <c r="AA177" s="4979"/>
      <c r="AB177" s="4979"/>
      <c r="AC177" s="4979"/>
      <c r="AD177" s="4979"/>
      <c r="AE177" s="4979"/>
      <c r="AF177" s="4979"/>
      <c r="AG177" s="4979"/>
      <c r="AH177" s="4979"/>
      <c r="AI177" s="4979"/>
      <c r="AJ177" s="4979"/>
      <c r="AK177" s="4979"/>
      <c r="AL177" s="4979"/>
      <c r="AM177" s="6479"/>
      <c r="AN177" s="6480"/>
      <c r="AO177" s="6480"/>
      <c r="AP177" s="6481"/>
      <c r="AQ177" s="6480"/>
      <c r="AR177" s="6481"/>
      <c r="AS177" s="6482"/>
      <c r="AT177" s="6483"/>
      <c r="AU177" s="6364"/>
      <c r="AV177" s="6352"/>
      <c r="AW177" s="4264"/>
      <c r="AX177" s="4264"/>
      <c r="BB177" s="4264"/>
      <c r="BC177" s="4264"/>
      <c r="BD177" s="4264"/>
      <c r="BE177" s="4264"/>
      <c r="BF177" s="4264"/>
      <c r="BG177" s="4264"/>
      <c r="BH177" s="4264"/>
    </row>
    <row r="178" spans="1:127" ht="15.75" customHeight="1" x14ac:dyDescent="0.25">
      <c r="A178" s="7280"/>
      <c r="B178" s="3940" t="s">
        <v>795</v>
      </c>
      <c r="C178" s="3940"/>
      <c r="AU178" s="4264"/>
      <c r="AV178" s="4264"/>
      <c r="AW178" s="4264"/>
      <c r="AX178" s="4264"/>
      <c r="BB178" s="4264"/>
      <c r="BC178" s="4264"/>
      <c r="BD178" s="4264"/>
      <c r="BE178" s="4264"/>
      <c r="BF178" s="4264"/>
      <c r="BG178" s="4264"/>
      <c r="BZ178" s="4259"/>
    </row>
    <row r="179" spans="1:127" ht="13.5" customHeight="1" x14ac:dyDescent="0.25">
      <c r="A179" s="7280"/>
      <c r="B179" s="3940" t="s">
        <v>794</v>
      </c>
      <c r="C179" s="3940"/>
      <c r="AU179" s="4264"/>
      <c r="AV179" s="4264"/>
      <c r="AW179" s="4264"/>
      <c r="AX179" s="4264"/>
      <c r="BB179" s="4264"/>
      <c r="BC179" s="4264"/>
      <c r="BD179" s="4264"/>
      <c r="BE179" s="4264"/>
      <c r="BF179" s="4264"/>
      <c r="BG179" s="4264"/>
      <c r="BZ179" s="4259"/>
    </row>
    <row r="180" spans="1:127" ht="21.6" customHeight="1" x14ac:dyDescent="0.25">
      <c r="A180" s="7280"/>
      <c r="B180" s="6484" t="s">
        <v>793</v>
      </c>
      <c r="C180" s="6306"/>
      <c r="AV180" s="4291"/>
      <c r="AW180" s="4291"/>
      <c r="AX180" s="4291"/>
      <c r="AY180" s="6391"/>
      <c r="AZ180" s="6391"/>
      <c r="BA180" s="6391"/>
      <c r="BB180" s="4291"/>
      <c r="BC180" s="4291"/>
      <c r="BD180" s="4291"/>
      <c r="BE180" s="4291"/>
      <c r="BF180" s="4264"/>
      <c r="BG180" s="4264"/>
      <c r="BZ180" s="4259"/>
    </row>
    <row r="181" spans="1:127" ht="22.5" customHeight="1" x14ac:dyDescent="0.25">
      <c r="A181" s="7280"/>
      <c r="B181" s="9090" t="s">
        <v>792</v>
      </c>
      <c r="C181" s="9091"/>
      <c r="D181" s="9168" t="s">
        <v>24</v>
      </c>
      <c r="E181" s="9168"/>
      <c r="F181" s="9168"/>
      <c r="G181" s="9139" t="s">
        <v>399</v>
      </c>
      <c r="H181" s="9139"/>
      <c r="I181" s="9139" t="s">
        <v>54</v>
      </c>
      <c r="J181" s="9139"/>
      <c r="K181" s="9139" t="s">
        <v>79</v>
      </c>
      <c r="L181" s="9139"/>
      <c r="M181" s="9139" t="s">
        <v>80</v>
      </c>
      <c r="N181" s="9139"/>
      <c r="O181" s="9220" t="s">
        <v>81</v>
      </c>
      <c r="P181" s="9221"/>
      <c r="Q181" s="9111" t="s">
        <v>115</v>
      </c>
      <c r="R181" s="9111"/>
      <c r="S181" s="9111" t="s">
        <v>116</v>
      </c>
      <c r="T181" s="9111"/>
      <c r="U181" s="9111" t="s">
        <v>117</v>
      </c>
      <c r="V181" s="9111"/>
      <c r="W181" s="9111" t="s">
        <v>118</v>
      </c>
      <c r="X181" s="9111"/>
      <c r="Y181" s="9111" t="s">
        <v>119</v>
      </c>
      <c r="Z181" s="9111"/>
      <c r="AA181" s="9111" t="s">
        <v>120</v>
      </c>
      <c r="AB181" s="9111"/>
      <c r="AC181" s="9111" t="s">
        <v>1414</v>
      </c>
      <c r="AD181" s="9111"/>
      <c r="AE181" s="9111" t="s">
        <v>1406</v>
      </c>
      <c r="AF181" s="9111"/>
      <c r="AG181" s="9111" t="s">
        <v>1397</v>
      </c>
      <c r="AH181" s="9111"/>
      <c r="AI181" s="9111" t="s">
        <v>1396</v>
      </c>
      <c r="AJ181" s="9111"/>
      <c r="AK181" s="9111" t="s">
        <v>1395</v>
      </c>
      <c r="AL181" s="9111"/>
      <c r="AM181" s="9111" t="s">
        <v>1405</v>
      </c>
      <c r="AN181" s="9057"/>
      <c r="AO181" s="9399" t="s">
        <v>78</v>
      </c>
      <c r="AP181" s="9131" t="s">
        <v>3468</v>
      </c>
      <c r="AQ181" s="9108" t="s">
        <v>362</v>
      </c>
      <c r="AR181" s="9150"/>
      <c r="AS181" s="9079" t="s">
        <v>2957</v>
      </c>
      <c r="AT181" s="9079" t="s">
        <v>2618</v>
      </c>
      <c r="AU181" s="9370" t="s">
        <v>361</v>
      </c>
      <c r="AV181" s="9371"/>
      <c r="AW181" s="9261" t="s">
        <v>363</v>
      </c>
      <c r="AX181" s="9365" t="s">
        <v>2763</v>
      </c>
      <c r="BB181" s="4264"/>
      <c r="BC181" s="4264"/>
      <c r="BD181" s="4264"/>
      <c r="BE181" s="4264"/>
      <c r="BF181" s="4264"/>
      <c r="BG181" s="4264"/>
      <c r="BH181" s="4264"/>
      <c r="BI181" s="4264"/>
      <c r="CB181" s="4259"/>
      <c r="DB181" s="4295"/>
    </row>
    <row r="182" spans="1:127" ht="37.5" customHeight="1" x14ac:dyDescent="0.25">
      <c r="A182" s="7280"/>
      <c r="B182" s="9092"/>
      <c r="C182" s="9093"/>
      <c r="D182" s="5284" t="s">
        <v>42</v>
      </c>
      <c r="E182" s="5367" t="s">
        <v>17</v>
      </c>
      <c r="F182" s="4527" t="s">
        <v>18</v>
      </c>
      <c r="G182" s="5284" t="s">
        <v>17</v>
      </c>
      <c r="H182" s="4527" t="s">
        <v>18</v>
      </c>
      <c r="I182" s="5284" t="s">
        <v>17</v>
      </c>
      <c r="J182" s="4527" t="s">
        <v>18</v>
      </c>
      <c r="K182" s="5284" t="s">
        <v>17</v>
      </c>
      <c r="L182" s="4527" t="s">
        <v>18</v>
      </c>
      <c r="M182" s="5284" t="s">
        <v>17</v>
      </c>
      <c r="N182" s="4527" t="s">
        <v>18</v>
      </c>
      <c r="O182" s="5284" t="s">
        <v>17</v>
      </c>
      <c r="P182" s="4527" t="s">
        <v>18</v>
      </c>
      <c r="Q182" s="5284" t="s">
        <v>17</v>
      </c>
      <c r="R182" s="4527" t="s">
        <v>18</v>
      </c>
      <c r="S182" s="5284" t="s">
        <v>17</v>
      </c>
      <c r="T182" s="4527" t="s">
        <v>18</v>
      </c>
      <c r="U182" s="5284" t="s">
        <v>17</v>
      </c>
      <c r="V182" s="4527" t="s">
        <v>18</v>
      </c>
      <c r="W182" s="5284" t="s">
        <v>17</v>
      </c>
      <c r="X182" s="4527" t="s">
        <v>18</v>
      </c>
      <c r="Y182" s="5284" t="s">
        <v>17</v>
      </c>
      <c r="Z182" s="4527" t="s">
        <v>18</v>
      </c>
      <c r="AA182" s="5284" t="s">
        <v>17</v>
      </c>
      <c r="AB182" s="4527" t="s">
        <v>18</v>
      </c>
      <c r="AC182" s="5284" t="s">
        <v>17</v>
      </c>
      <c r="AD182" s="4527" t="s">
        <v>18</v>
      </c>
      <c r="AE182" s="5284" t="s">
        <v>17</v>
      </c>
      <c r="AF182" s="4527" t="s">
        <v>18</v>
      </c>
      <c r="AG182" s="5284" t="s">
        <v>17</v>
      </c>
      <c r="AH182" s="4527" t="s">
        <v>18</v>
      </c>
      <c r="AI182" s="5284" t="s">
        <v>17</v>
      </c>
      <c r="AJ182" s="4527" t="s">
        <v>18</v>
      </c>
      <c r="AK182" s="5284" t="s">
        <v>17</v>
      </c>
      <c r="AL182" s="4527" t="s">
        <v>18</v>
      </c>
      <c r="AM182" s="5284" t="s">
        <v>17</v>
      </c>
      <c r="AN182" s="4525" t="s">
        <v>18</v>
      </c>
      <c r="AO182" s="9400"/>
      <c r="AP182" s="9132"/>
      <c r="AQ182" s="5284" t="s">
        <v>17</v>
      </c>
      <c r="AR182" s="4527" t="s">
        <v>18</v>
      </c>
      <c r="AS182" s="9080"/>
      <c r="AT182" s="9080"/>
      <c r="AU182" s="5284" t="s">
        <v>17</v>
      </c>
      <c r="AV182" s="4527" t="s">
        <v>18</v>
      </c>
      <c r="AW182" s="6485" t="s">
        <v>358</v>
      </c>
      <c r="AX182" s="6486" t="s">
        <v>359</v>
      </c>
      <c r="AY182" s="6391"/>
      <c r="AZ182" s="6391"/>
      <c r="BA182" s="6391"/>
      <c r="BB182" s="4291"/>
      <c r="BC182" s="4291"/>
      <c r="BD182" s="4291"/>
      <c r="BE182" s="4291"/>
      <c r="BF182" s="4291"/>
      <c r="BG182" s="4291"/>
      <c r="BH182" s="4264"/>
      <c r="BI182" s="4264"/>
      <c r="CB182" s="4259"/>
      <c r="DB182" s="4295"/>
    </row>
    <row r="183" spans="1:127" ht="20.25" customHeight="1" x14ac:dyDescent="0.25">
      <c r="A183" s="7278" t="s">
        <v>4472</v>
      </c>
      <c r="B183" s="9206" t="s">
        <v>712</v>
      </c>
      <c r="C183" s="9119"/>
      <c r="D183" s="6487" t="s">
        <v>5369</v>
      </c>
      <c r="E183" s="6488" t="s">
        <v>5370</v>
      </c>
      <c r="F183" s="6066" t="s">
        <v>5371</v>
      </c>
      <c r="G183" s="6311" t="s">
        <v>5372</v>
      </c>
      <c r="H183" s="6489" t="s">
        <v>5373</v>
      </c>
      <c r="I183" s="6311" t="s">
        <v>5374</v>
      </c>
      <c r="J183" s="6489" t="s">
        <v>5375</v>
      </c>
      <c r="K183" s="6311" t="s">
        <v>5376</v>
      </c>
      <c r="L183" s="6489" t="s">
        <v>5377</v>
      </c>
      <c r="M183" s="6311" t="s">
        <v>5378</v>
      </c>
      <c r="N183" s="6489" t="s">
        <v>5379</v>
      </c>
      <c r="O183" s="6311" t="s">
        <v>5380</v>
      </c>
      <c r="P183" s="6489" t="s">
        <v>5381</v>
      </c>
      <c r="Q183" s="6311" t="s">
        <v>5382</v>
      </c>
      <c r="R183" s="6489" t="s">
        <v>5383</v>
      </c>
      <c r="S183" s="6311" t="s">
        <v>5384</v>
      </c>
      <c r="T183" s="6489" t="s">
        <v>5385</v>
      </c>
      <c r="U183" s="6311" t="s">
        <v>5386</v>
      </c>
      <c r="V183" s="6489" t="s">
        <v>5387</v>
      </c>
      <c r="W183" s="6311" t="s">
        <v>5388</v>
      </c>
      <c r="X183" s="6489" t="s">
        <v>5389</v>
      </c>
      <c r="Y183" s="6311" t="s">
        <v>5390</v>
      </c>
      <c r="Z183" s="6489" t="s">
        <v>5391</v>
      </c>
      <c r="AA183" s="6311" t="s">
        <v>5392</v>
      </c>
      <c r="AB183" s="6489" t="s">
        <v>5393</v>
      </c>
      <c r="AC183" s="6311" t="s">
        <v>5394</v>
      </c>
      <c r="AD183" s="6489" t="s">
        <v>5395</v>
      </c>
      <c r="AE183" s="6395" t="s">
        <v>5396</v>
      </c>
      <c r="AF183" s="6489" t="s">
        <v>5397</v>
      </c>
      <c r="AG183" s="6395" t="s">
        <v>5398</v>
      </c>
      <c r="AH183" s="6489" t="s">
        <v>5399</v>
      </c>
      <c r="AI183" s="6395" t="s">
        <v>5400</v>
      </c>
      <c r="AJ183" s="6489" t="s">
        <v>5401</v>
      </c>
      <c r="AK183" s="6395" t="s">
        <v>5402</v>
      </c>
      <c r="AL183" s="6489" t="s">
        <v>5403</v>
      </c>
      <c r="AM183" s="6395" t="s">
        <v>5404</v>
      </c>
      <c r="AN183" s="6476" t="s">
        <v>5405</v>
      </c>
      <c r="AO183" s="6490" t="s">
        <v>5406</v>
      </c>
      <c r="AP183" s="6491" t="s">
        <v>5407</v>
      </c>
      <c r="AQ183" s="6395" t="s">
        <v>5408</v>
      </c>
      <c r="AR183" s="6489" t="s">
        <v>5409</v>
      </c>
      <c r="AS183" s="6312" t="s">
        <v>5410</v>
      </c>
      <c r="AT183" s="6312" t="s">
        <v>5411</v>
      </c>
      <c r="AU183" s="6492" t="s">
        <v>5412</v>
      </c>
      <c r="AV183" s="6312" t="s">
        <v>5413</v>
      </c>
      <c r="AW183" s="6312" t="s">
        <v>5414</v>
      </c>
      <c r="AX183" s="6312" t="s">
        <v>5415</v>
      </c>
      <c r="AY183" s="1430"/>
      <c r="AZ183" s="6391"/>
      <c r="BA183" s="6391"/>
      <c r="BB183" s="4291"/>
      <c r="BC183" s="4291"/>
      <c r="BD183" s="4291"/>
      <c r="BE183" s="4291"/>
      <c r="BF183" s="4291"/>
      <c r="BG183" s="4291"/>
      <c r="BH183" s="4264"/>
      <c r="BI183" s="4264"/>
      <c r="CB183" s="4259" t="s">
        <v>5435</v>
      </c>
      <c r="CD183" s="4295" t="s">
        <v>5475</v>
      </c>
      <c r="CH183" s="4295" t="s">
        <v>5472</v>
      </c>
      <c r="CI183" s="6197"/>
      <c r="CJ183" s="4295" t="s">
        <v>5473</v>
      </c>
      <c r="CL183" s="4295" t="s">
        <v>5474</v>
      </c>
      <c r="CN183" s="4295" t="s">
        <v>5477</v>
      </c>
      <c r="CP183" s="4295" t="s">
        <v>5479</v>
      </c>
      <c r="CR183" s="4295" t="s">
        <v>5480</v>
      </c>
      <c r="CT183" s="4295" t="s">
        <v>5481</v>
      </c>
      <c r="CV183" s="4295" t="s">
        <v>5482</v>
      </c>
      <c r="DB183" s="4295">
        <v>1</v>
      </c>
      <c r="DC183" s="5899">
        <v>0</v>
      </c>
      <c r="DD183" s="5899">
        <v>1</v>
      </c>
      <c r="DE183" s="5899">
        <v>0</v>
      </c>
      <c r="DF183" s="5899">
        <v>0</v>
      </c>
      <c r="DG183" s="5899">
        <v>0</v>
      </c>
      <c r="DH183" s="5899">
        <v>1</v>
      </c>
      <c r="DI183" s="5899">
        <v>0</v>
      </c>
      <c r="DJ183" s="5899">
        <v>1</v>
      </c>
      <c r="DK183" s="5899">
        <v>0</v>
      </c>
      <c r="DL183" s="5899">
        <v>1</v>
      </c>
      <c r="DM183" s="5899">
        <v>0</v>
      </c>
      <c r="DN183" s="5899">
        <v>1</v>
      </c>
      <c r="DO183" s="5899">
        <v>0</v>
      </c>
      <c r="DP183" s="5899">
        <v>1</v>
      </c>
      <c r="DQ183" s="5899">
        <v>0</v>
      </c>
      <c r="DR183" s="5899">
        <v>1</v>
      </c>
      <c r="DS183" s="5899">
        <v>0</v>
      </c>
      <c r="DT183" s="5899">
        <v>1</v>
      </c>
      <c r="DU183" s="5899">
        <v>0</v>
      </c>
      <c r="DV183" s="5899">
        <v>1</v>
      </c>
      <c r="DW183" s="5899">
        <v>0</v>
      </c>
    </row>
    <row r="184" spans="1:127" ht="26.25" customHeight="1" x14ac:dyDescent="0.25">
      <c r="A184" s="7287"/>
      <c r="B184" s="9201" t="s">
        <v>782</v>
      </c>
      <c r="C184" s="9202"/>
      <c r="D184" s="6493"/>
      <c r="E184" s="6494"/>
      <c r="F184" s="6494"/>
      <c r="G184" s="6494"/>
      <c r="H184" s="6494"/>
      <c r="I184" s="6494"/>
      <c r="J184" s="6494"/>
      <c r="K184" s="6494"/>
      <c r="L184" s="6494"/>
      <c r="M184" s="6494"/>
      <c r="N184" s="6494"/>
      <c r="O184" s="6494"/>
      <c r="P184" s="6494"/>
      <c r="Q184" s="6494"/>
      <c r="R184" s="6494"/>
      <c r="S184" s="6494"/>
      <c r="T184" s="6494"/>
      <c r="U184" s="6494"/>
      <c r="V184" s="6494"/>
      <c r="W184" s="6494"/>
      <c r="X184" s="6494"/>
      <c r="Y184" s="6494"/>
      <c r="Z184" s="6494"/>
      <c r="AA184" s="6494"/>
      <c r="AB184" s="6494"/>
      <c r="AC184" s="6494"/>
      <c r="AD184" s="6494"/>
      <c r="AE184" s="6494"/>
      <c r="AF184" s="6494"/>
      <c r="AG184" s="6494"/>
      <c r="AH184" s="6494"/>
      <c r="AI184" s="6494"/>
      <c r="AJ184" s="6494"/>
      <c r="AK184" s="6494"/>
      <c r="AL184" s="6494"/>
      <c r="AM184" s="6494"/>
      <c r="AN184" s="6494"/>
      <c r="AO184" s="6494"/>
      <c r="AP184" s="6494"/>
      <c r="AQ184" s="6494"/>
      <c r="AR184" s="6494"/>
      <c r="AS184" s="6494"/>
      <c r="AT184" s="6494"/>
      <c r="AU184" s="7193"/>
      <c r="AV184" s="7193"/>
      <c r="AW184" s="7193"/>
      <c r="AX184" s="7194"/>
      <c r="AY184" s="1430"/>
      <c r="AZ184" s="6391"/>
      <c r="BA184" s="6391"/>
      <c r="BB184" s="4291"/>
      <c r="BC184" s="4291"/>
      <c r="BD184" s="4291"/>
      <c r="BE184" s="4291"/>
      <c r="BF184" s="4291"/>
      <c r="BG184" s="4291"/>
      <c r="BH184" s="4264"/>
      <c r="BI184" s="4264"/>
      <c r="CB184" s="4259"/>
      <c r="DB184" s="4295"/>
    </row>
    <row r="185" spans="1:127" ht="16.350000000000001" customHeight="1" x14ac:dyDescent="0.25">
      <c r="A185" s="7278" t="s">
        <v>4473</v>
      </c>
      <c r="B185" s="9088" t="s">
        <v>791</v>
      </c>
      <c r="C185" s="6495" t="s">
        <v>790</v>
      </c>
      <c r="D185" s="6496" t="s">
        <v>5369</v>
      </c>
      <c r="E185" s="6497" t="s">
        <v>5370</v>
      </c>
      <c r="F185" s="6495" t="s">
        <v>5371</v>
      </c>
      <c r="G185" s="6186" t="s">
        <v>5372</v>
      </c>
      <c r="H185" s="6224" t="s">
        <v>5373</v>
      </c>
      <c r="I185" s="6186" t="s">
        <v>5374</v>
      </c>
      <c r="J185" s="6224" t="s">
        <v>5375</v>
      </c>
      <c r="K185" s="6186" t="s">
        <v>5376</v>
      </c>
      <c r="L185" s="6224" t="s">
        <v>5377</v>
      </c>
      <c r="M185" s="6186" t="s">
        <v>5378</v>
      </c>
      <c r="N185" s="6224" t="s">
        <v>5379</v>
      </c>
      <c r="O185" s="6186" t="s">
        <v>5380</v>
      </c>
      <c r="P185" s="6224" t="s">
        <v>5381</v>
      </c>
      <c r="Q185" s="6186" t="s">
        <v>5382</v>
      </c>
      <c r="R185" s="6224" t="s">
        <v>5383</v>
      </c>
      <c r="S185" s="6186" t="s">
        <v>5384</v>
      </c>
      <c r="T185" s="6224" t="s">
        <v>5385</v>
      </c>
      <c r="U185" s="6186" t="s">
        <v>5386</v>
      </c>
      <c r="V185" s="6224" t="s">
        <v>5387</v>
      </c>
      <c r="W185" s="6186" t="s">
        <v>5388</v>
      </c>
      <c r="X185" s="6224" t="s">
        <v>5389</v>
      </c>
      <c r="Y185" s="6186" t="s">
        <v>5390</v>
      </c>
      <c r="Z185" s="6224" t="s">
        <v>5391</v>
      </c>
      <c r="AA185" s="6186" t="s">
        <v>5392</v>
      </c>
      <c r="AB185" s="6224" t="s">
        <v>5393</v>
      </c>
      <c r="AC185" s="6186" t="s">
        <v>5394</v>
      </c>
      <c r="AD185" s="6224" t="s">
        <v>5395</v>
      </c>
      <c r="AE185" s="6186" t="s">
        <v>5396</v>
      </c>
      <c r="AF185" s="6224" t="s">
        <v>5397</v>
      </c>
      <c r="AG185" s="6186" t="s">
        <v>5398</v>
      </c>
      <c r="AH185" s="6224" t="s">
        <v>5399</v>
      </c>
      <c r="AI185" s="6186" t="s">
        <v>5400</v>
      </c>
      <c r="AJ185" s="6224" t="s">
        <v>5401</v>
      </c>
      <c r="AK185" s="6186" t="s">
        <v>5402</v>
      </c>
      <c r="AL185" s="6224" t="s">
        <v>5403</v>
      </c>
      <c r="AM185" s="6186" t="s">
        <v>5404</v>
      </c>
      <c r="AN185" s="6436" t="s">
        <v>5405</v>
      </c>
      <c r="AO185" s="6498" t="s">
        <v>5406</v>
      </c>
      <c r="AP185" s="6325" t="s">
        <v>5407</v>
      </c>
      <c r="AQ185" s="6186" t="s">
        <v>5408</v>
      </c>
      <c r="AR185" s="6224" t="s">
        <v>5409</v>
      </c>
      <c r="AS185" s="6224" t="s">
        <v>5410</v>
      </c>
      <c r="AT185" s="6224" t="s">
        <v>5411</v>
      </c>
      <c r="AU185" s="6499" t="s">
        <v>5412</v>
      </c>
      <c r="AV185" s="6224" t="s">
        <v>5413</v>
      </c>
      <c r="AW185" s="6224" t="s">
        <v>5414</v>
      </c>
      <c r="AX185" s="6224" t="s">
        <v>5415</v>
      </c>
      <c r="AY185" s="1430"/>
      <c r="AZ185" s="6391"/>
      <c r="BA185" s="6391"/>
      <c r="BB185" s="4291"/>
      <c r="BC185" s="4291"/>
      <c r="BD185" s="4291"/>
      <c r="BE185" s="4291"/>
      <c r="BF185" s="4291"/>
      <c r="BG185" s="4291"/>
      <c r="BH185" s="4264"/>
      <c r="BI185" s="4264"/>
      <c r="CB185" s="4259"/>
      <c r="CH185" s="4295" t="s">
        <v>5472</v>
      </c>
      <c r="CJ185" s="4295" t="s">
        <v>5473</v>
      </c>
      <c r="CL185" s="4295" t="s">
        <v>5474</v>
      </c>
      <c r="CN185" s="4295" t="s">
        <v>5477</v>
      </c>
      <c r="DB185" s="4295">
        <v>0</v>
      </c>
      <c r="DC185" s="5899">
        <v>0</v>
      </c>
      <c r="DD185" s="5899">
        <v>0</v>
      </c>
      <c r="DE185" s="5899">
        <v>0</v>
      </c>
      <c r="DH185" s="5899">
        <v>1</v>
      </c>
      <c r="DI185" s="5899">
        <v>0</v>
      </c>
      <c r="DJ185" s="5899">
        <v>1</v>
      </c>
      <c r="DK185" s="5899">
        <v>0</v>
      </c>
      <c r="DL185" s="5899">
        <v>1</v>
      </c>
      <c r="DM185" s="5899">
        <v>0</v>
      </c>
      <c r="DN185" s="5899">
        <v>1</v>
      </c>
      <c r="DO185" s="5899">
        <v>0</v>
      </c>
      <c r="DP185" s="5899">
        <v>0</v>
      </c>
      <c r="DQ185" s="5899">
        <v>0</v>
      </c>
      <c r="DR185" s="5899">
        <v>0</v>
      </c>
      <c r="DS185" s="5899">
        <v>0</v>
      </c>
      <c r="DT185" s="5899">
        <v>0</v>
      </c>
      <c r="DU185" s="5899">
        <v>0</v>
      </c>
      <c r="DV185" s="5899">
        <v>0</v>
      </c>
      <c r="DW185" s="5899">
        <v>0</v>
      </c>
    </row>
    <row r="186" spans="1:127" ht="16.350000000000001" customHeight="1" x14ac:dyDescent="0.25">
      <c r="A186" s="7278" t="s">
        <v>4474</v>
      </c>
      <c r="B186" s="9089"/>
      <c r="C186" s="6500" t="s">
        <v>779</v>
      </c>
      <c r="D186" s="6501" t="s">
        <v>5369</v>
      </c>
      <c r="E186" s="6502" t="s">
        <v>5370</v>
      </c>
      <c r="F186" s="6503" t="s">
        <v>5371</v>
      </c>
      <c r="G186" s="6395" t="s">
        <v>5372</v>
      </c>
      <c r="H186" s="6264" t="s">
        <v>5373</v>
      </c>
      <c r="I186" s="6395" t="s">
        <v>5374</v>
      </c>
      <c r="J186" s="6264" t="s">
        <v>5375</v>
      </c>
      <c r="K186" s="6395" t="s">
        <v>5376</v>
      </c>
      <c r="L186" s="6264" t="s">
        <v>5377</v>
      </c>
      <c r="M186" s="6395" t="s">
        <v>5378</v>
      </c>
      <c r="N186" s="6264" t="s">
        <v>5379</v>
      </c>
      <c r="O186" s="6395" t="s">
        <v>5380</v>
      </c>
      <c r="P186" s="6264" t="s">
        <v>5381</v>
      </c>
      <c r="Q186" s="6395" t="s">
        <v>5382</v>
      </c>
      <c r="R186" s="6264" t="s">
        <v>5383</v>
      </c>
      <c r="S186" s="6395" t="s">
        <v>5384</v>
      </c>
      <c r="T186" s="6264" t="s">
        <v>5385</v>
      </c>
      <c r="U186" s="6395" t="s">
        <v>5386</v>
      </c>
      <c r="V186" s="6264" t="s">
        <v>5387</v>
      </c>
      <c r="W186" s="6395" t="s">
        <v>5388</v>
      </c>
      <c r="X186" s="6264" t="s">
        <v>5389</v>
      </c>
      <c r="Y186" s="6395" t="s">
        <v>5390</v>
      </c>
      <c r="Z186" s="6264" t="s">
        <v>5391</v>
      </c>
      <c r="AA186" s="6395" t="s">
        <v>5392</v>
      </c>
      <c r="AB186" s="6264" t="s">
        <v>5393</v>
      </c>
      <c r="AC186" s="6395" t="s">
        <v>5394</v>
      </c>
      <c r="AD186" s="6264" t="s">
        <v>5395</v>
      </c>
      <c r="AE186" s="6395" t="s">
        <v>5396</v>
      </c>
      <c r="AF186" s="6264" t="s">
        <v>5397</v>
      </c>
      <c r="AG186" s="6395" t="s">
        <v>5398</v>
      </c>
      <c r="AH186" s="6264" t="s">
        <v>5399</v>
      </c>
      <c r="AI186" s="6395" t="s">
        <v>5400</v>
      </c>
      <c r="AJ186" s="6264" t="s">
        <v>5401</v>
      </c>
      <c r="AK186" s="6395" t="s">
        <v>5402</v>
      </c>
      <c r="AL186" s="6264" t="s">
        <v>5403</v>
      </c>
      <c r="AM186" s="6395" t="s">
        <v>5404</v>
      </c>
      <c r="AN186" s="6504" t="s">
        <v>5405</v>
      </c>
      <c r="AO186" s="6505" t="s">
        <v>5406</v>
      </c>
      <c r="AP186" s="6397" t="s">
        <v>5407</v>
      </c>
      <c r="AQ186" s="6395" t="s">
        <v>5408</v>
      </c>
      <c r="AR186" s="6264" t="s">
        <v>5409</v>
      </c>
      <c r="AS186" s="6264" t="s">
        <v>5410</v>
      </c>
      <c r="AT186" s="6264" t="s">
        <v>5411</v>
      </c>
      <c r="AU186" s="6506" t="s">
        <v>5412</v>
      </c>
      <c r="AV186" s="6264" t="s">
        <v>5413</v>
      </c>
      <c r="AW186" s="6264" t="s">
        <v>5414</v>
      </c>
      <c r="AX186" s="6264" t="s">
        <v>5415</v>
      </c>
      <c r="AY186" s="1430"/>
      <c r="AZ186" s="6391"/>
      <c r="BA186" s="6391"/>
      <c r="BB186" s="4291"/>
      <c r="BC186" s="4291"/>
      <c r="BD186" s="4291"/>
      <c r="BE186" s="4291"/>
      <c r="BF186" s="4291"/>
      <c r="BG186" s="4291"/>
      <c r="BH186" s="4264"/>
      <c r="BI186" s="4264"/>
      <c r="CB186" s="4259"/>
      <c r="DB186" s="4295"/>
    </row>
    <row r="187" spans="1:127" ht="18" customHeight="1" x14ac:dyDescent="0.25">
      <c r="A187" s="7278" t="s">
        <v>4475</v>
      </c>
      <c r="B187" s="9120" t="s">
        <v>778</v>
      </c>
      <c r="C187" s="9121"/>
      <c r="D187" s="6487" t="s">
        <v>5369</v>
      </c>
      <c r="E187" s="6488" t="s">
        <v>5370</v>
      </c>
      <c r="F187" s="6507" t="s">
        <v>5371</v>
      </c>
      <c r="G187" s="6311" t="s">
        <v>5372</v>
      </c>
      <c r="H187" s="6312" t="s">
        <v>5373</v>
      </c>
      <c r="I187" s="6311" t="s">
        <v>5374</v>
      </c>
      <c r="J187" s="6312" t="s">
        <v>5375</v>
      </c>
      <c r="K187" s="6311" t="s">
        <v>5376</v>
      </c>
      <c r="L187" s="6312" t="s">
        <v>5377</v>
      </c>
      <c r="M187" s="6311" t="s">
        <v>5378</v>
      </c>
      <c r="N187" s="6312" t="s">
        <v>5379</v>
      </c>
      <c r="O187" s="6311" t="s">
        <v>5380</v>
      </c>
      <c r="P187" s="6312" t="s">
        <v>5381</v>
      </c>
      <c r="Q187" s="6311" t="s">
        <v>5382</v>
      </c>
      <c r="R187" s="6312" t="s">
        <v>5383</v>
      </c>
      <c r="S187" s="6311" t="s">
        <v>5384</v>
      </c>
      <c r="T187" s="6312" t="s">
        <v>5385</v>
      </c>
      <c r="U187" s="6311" t="s">
        <v>5386</v>
      </c>
      <c r="V187" s="6312" t="s">
        <v>5387</v>
      </c>
      <c r="W187" s="6311" t="s">
        <v>5388</v>
      </c>
      <c r="X187" s="6312" t="s">
        <v>5389</v>
      </c>
      <c r="Y187" s="6311" t="s">
        <v>5390</v>
      </c>
      <c r="Z187" s="6312" t="s">
        <v>5391</v>
      </c>
      <c r="AA187" s="6311" t="s">
        <v>5392</v>
      </c>
      <c r="AB187" s="6312" t="s">
        <v>5393</v>
      </c>
      <c r="AC187" s="6311" t="s">
        <v>5394</v>
      </c>
      <c r="AD187" s="6312" t="s">
        <v>5395</v>
      </c>
      <c r="AE187" s="6311" t="s">
        <v>5396</v>
      </c>
      <c r="AF187" s="6312" t="s">
        <v>5397</v>
      </c>
      <c r="AG187" s="6311" t="s">
        <v>5398</v>
      </c>
      <c r="AH187" s="6312" t="s">
        <v>5399</v>
      </c>
      <c r="AI187" s="6311" t="s">
        <v>5400</v>
      </c>
      <c r="AJ187" s="6312" t="s">
        <v>5401</v>
      </c>
      <c r="AK187" s="6311" t="s">
        <v>5402</v>
      </c>
      <c r="AL187" s="6312" t="s">
        <v>5403</v>
      </c>
      <c r="AM187" s="6311" t="s">
        <v>5404</v>
      </c>
      <c r="AN187" s="6508" t="s">
        <v>5405</v>
      </c>
      <c r="AO187" s="6490" t="s">
        <v>5406</v>
      </c>
      <c r="AP187" s="6305" t="s">
        <v>5407</v>
      </c>
      <c r="AQ187" s="6311" t="s">
        <v>5408</v>
      </c>
      <c r="AR187" s="6312" t="s">
        <v>5409</v>
      </c>
      <c r="AS187" s="6312" t="s">
        <v>5410</v>
      </c>
      <c r="AT187" s="6312" t="s">
        <v>5411</v>
      </c>
      <c r="AU187" s="6492" t="s">
        <v>5412</v>
      </c>
      <c r="AV187" s="6312" t="s">
        <v>5413</v>
      </c>
      <c r="AW187" s="6312" t="s">
        <v>5414</v>
      </c>
      <c r="AX187" s="6312" t="s">
        <v>5415</v>
      </c>
      <c r="AY187" s="1430"/>
      <c r="AZ187" s="6391"/>
      <c r="BA187" s="6391"/>
      <c r="BB187" s="4291"/>
      <c r="BC187" s="4291"/>
      <c r="BD187" s="4291"/>
      <c r="BE187" s="4291"/>
      <c r="BF187" s="4291"/>
      <c r="BG187" s="4291"/>
      <c r="BH187" s="4264"/>
      <c r="BI187" s="4264"/>
      <c r="CB187" s="4259"/>
      <c r="DB187" s="4295"/>
    </row>
    <row r="188" spans="1:127" ht="16.350000000000001" customHeight="1" x14ac:dyDescent="0.25">
      <c r="A188" s="7278" t="s">
        <v>4476</v>
      </c>
      <c r="B188" s="9088" t="s">
        <v>777</v>
      </c>
      <c r="C188" s="6495" t="s">
        <v>776</v>
      </c>
      <c r="D188" s="6496" t="s">
        <v>5369</v>
      </c>
      <c r="E188" s="6497" t="s">
        <v>5370</v>
      </c>
      <c r="F188" s="6495" t="s">
        <v>5371</v>
      </c>
      <c r="G188" s="7057" t="s">
        <v>5372</v>
      </c>
      <c r="H188" s="7058" t="s">
        <v>5373</v>
      </c>
      <c r="I188" s="6186" t="s">
        <v>5374</v>
      </c>
      <c r="J188" s="6224" t="s">
        <v>5375</v>
      </c>
      <c r="K188" s="6186" t="s">
        <v>5376</v>
      </c>
      <c r="L188" s="6224" t="s">
        <v>5377</v>
      </c>
      <c r="M188" s="6186" t="s">
        <v>5378</v>
      </c>
      <c r="N188" s="6224" t="s">
        <v>5379</v>
      </c>
      <c r="O188" s="6186" t="s">
        <v>5380</v>
      </c>
      <c r="P188" s="6224" t="s">
        <v>5381</v>
      </c>
      <c r="Q188" s="6186" t="s">
        <v>5382</v>
      </c>
      <c r="R188" s="6224" t="s">
        <v>5383</v>
      </c>
      <c r="S188" s="6186" t="s">
        <v>5384</v>
      </c>
      <c r="T188" s="6224" t="s">
        <v>5385</v>
      </c>
      <c r="U188" s="6186" t="s">
        <v>5386</v>
      </c>
      <c r="V188" s="6224" t="s">
        <v>5387</v>
      </c>
      <c r="W188" s="6186" t="s">
        <v>5388</v>
      </c>
      <c r="X188" s="6224" t="s">
        <v>5389</v>
      </c>
      <c r="Y188" s="6186" t="s">
        <v>5390</v>
      </c>
      <c r="Z188" s="6224" t="s">
        <v>5391</v>
      </c>
      <c r="AA188" s="6186" t="s">
        <v>5392</v>
      </c>
      <c r="AB188" s="6224" t="s">
        <v>5393</v>
      </c>
      <c r="AC188" s="6186" t="s">
        <v>5394</v>
      </c>
      <c r="AD188" s="6224" t="s">
        <v>5395</v>
      </c>
      <c r="AE188" s="6186" t="s">
        <v>5396</v>
      </c>
      <c r="AF188" s="6224" t="s">
        <v>5397</v>
      </c>
      <c r="AG188" s="6186" t="s">
        <v>5398</v>
      </c>
      <c r="AH188" s="6224" t="s">
        <v>5399</v>
      </c>
      <c r="AI188" s="6186" t="s">
        <v>5400</v>
      </c>
      <c r="AJ188" s="6224" t="s">
        <v>5401</v>
      </c>
      <c r="AK188" s="6186" t="s">
        <v>5402</v>
      </c>
      <c r="AL188" s="6224" t="s">
        <v>5403</v>
      </c>
      <c r="AM188" s="6186" t="s">
        <v>5404</v>
      </c>
      <c r="AN188" s="6436" t="s">
        <v>5405</v>
      </c>
      <c r="AO188" s="6498" t="s">
        <v>5406</v>
      </c>
      <c r="AP188" s="6325" t="s">
        <v>5407</v>
      </c>
      <c r="AQ188" s="6186" t="s">
        <v>5408</v>
      </c>
      <c r="AR188" s="6224" t="s">
        <v>5409</v>
      </c>
      <c r="AS188" s="6224" t="s">
        <v>5410</v>
      </c>
      <c r="AT188" s="6224" t="s">
        <v>5411</v>
      </c>
      <c r="AU188" s="6499" t="s">
        <v>5412</v>
      </c>
      <c r="AV188" s="6224" t="s">
        <v>5413</v>
      </c>
      <c r="AW188" s="6224" t="s">
        <v>5414</v>
      </c>
      <c r="AX188" s="6224" t="s">
        <v>5415</v>
      </c>
      <c r="AY188" s="1430"/>
      <c r="AZ188" s="6391"/>
      <c r="BA188" s="6391"/>
      <c r="BB188" s="4291"/>
      <c r="BC188" s="4291"/>
      <c r="BD188" s="4291"/>
      <c r="BE188" s="4291"/>
      <c r="BF188" s="4291"/>
      <c r="BG188" s="4291"/>
      <c r="BH188" s="4264"/>
      <c r="BI188" s="4264"/>
      <c r="CB188" s="4259"/>
      <c r="DB188" s="4295"/>
    </row>
    <row r="189" spans="1:127" ht="16.350000000000001" customHeight="1" x14ac:dyDescent="0.25">
      <c r="A189" s="7278" t="s">
        <v>4477</v>
      </c>
      <c r="B189" s="9089"/>
      <c r="C189" s="6500" t="s">
        <v>775</v>
      </c>
      <c r="D189" s="6509" t="s">
        <v>5369</v>
      </c>
      <c r="E189" s="6510" t="s">
        <v>5370</v>
      </c>
      <c r="F189" s="6066" t="s">
        <v>5371</v>
      </c>
      <c r="G189" s="7059" t="s">
        <v>5372</v>
      </c>
      <c r="H189" s="7060" t="s">
        <v>5373</v>
      </c>
      <c r="I189" s="6511" t="s">
        <v>5374</v>
      </c>
      <c r="J189" s="6489" t="s">
        <v>5375</v>
      </c>
      <c r="K189" s="6511" t="s">
        <v>5376</v>
      </c>
      <c r="L189" s="6489" t="s">
        <v>5377</v>
      </c>
      <c r="M189" s="6395" t="s">
        <v>5378</v>
      </c>
      <c r="N189" s="6264" t="s">
        <v>5379</v>
      </c>
      <c r="O189" s="6511" t="s">
        <v>5380</v>
      </c>
      <c r="P189" s="6489" t="s">
        <v>5381</v>
      </c>
      <c r="Q189" s="6511" t="s">
        <v>5382</v>
      </c>
      <c r="R189" s="6489" t="s">
        <v>5383</v>
      </c>
      <c r="S189" s="6511" t="s">
        <v>5384</v>
      </c>
      <c r="T189" s="6489" t="s">
        <v>5385</v>
      </c>
      <c r="U189" s="6511" t="s">
        <v>5386</v>
      </c>
      <c r="V189" s="6489" t="s">
        <v>5387</v>
      </c>
      <c r="W189" s="6511" t="s">
        <v>5388</v>
      </c>
      <c r="X189" s="6489" t="s">
        <v>5389</v>
      </c>
      <c r="Y189" s="6511" t="s">
        <v>5390</v>
      </c>
      <c r="Z189" s="6489" t="s">
        <v>5391</v>
      </c>
      <c r="AA189" s="6511" t="s">
        <v>5392</v>
      </c>
      <c r="AB189" s="6489" t="s">
        <v>5393</v>
      </c>
      <c r="AC189" s="6511" t="s">
        <v>5394</v>
      </c>
      <c r="AD189" s="6489" t="s">
        <v>5395</v>
      </c>
      <c r="AE189" s="6511" t="s">
        <v>5396</v>
      </c>
      <c r="AF189" s="6489" t="s">
        <v>5397</v>
      </c>
      <c r="AG189" s="6511" t="s">
        <v>5398</v>
      </c>
      <c r="AH189" s="6489" t="s">
        <v>5399</v>
      </c>
      <c r="AI189" s="6511" t="s">
        <v>5400</v>
      </c>
      <c r="AJ189" s="6489" t="s">
        <v>5401</v>
      </c>
      <c r="AK189" s="6511" t="s">
        <v>5402</v>
      </c>
      <c r="AL189" s="6489" t="s">
        <v>5403</v>
      </c>
      <c r="AM189" s="6511" t="s">
        <v>5404</v>
      </c>
      <c r="AN189" s="6476" t="s">
        <v>5405</v>
      </c>
      <c r="AO189" s="6505" t="s">
        <v>5406</v>
      </c>
      <c r="AP189" s="6397" t="s">
        <v>5407</v>
      </c>
      <c r="AQ189" s="6395" t="s">
        <v>5408</v>
      </c>
      <c r="AR189" s="6264" t="s">
        <v>5409</v>
      </c>
      <c r="AS189" s="6264" t="s">
        <v>5410</v>
      </c>
      <c r="AT189" s="6264" t="s">
        <v>5411</v>
      </c>
      <c r="AU189" s="6506" t="s">
        <v>5412</v>
      </c>
      <c r="AV189" s="6264" t="s">
        <v>5413</v>
      </c>
      <c r="AW189" s="6264" t="s">
        <v>5414</v>
      </c>
      <c r="AX189" s="6264" t="s">
        <v>5415</v>
      </c>
      <c r="AY189" s="1430"/>
      <c r="AZ189" s="6391"/>
      <c r="BA189" s="6391"/>
      <c r="BB189" s="4291"/>
      <c r="BC189" s="4291"/>
      <c r="BD189" s="4291"/>
      <c r="BE189" s="4291"/>
      <c r="BF189" s="4291"/>
      <c r="BG189" s="4291"/>
      <c r="BH189" s="4264"/>
      <c r="BI189" s="4264"/>
      <c r="CB189" s="4259"/>
      <c r="DB189" s="4295"/>
    </row>
    <row r="190" spans="1:127" ht="21.75" customHeight="1" x14ac:dyDescent="0.25">
      <c r="A190" s="7278" t="s">
        <v>4478</v>
      </c>
      <c r="B190" s="6512" t="s">
        <v>774</v>
      </c>
      <c r="C190" s="6513"/>
      <c r="D190" s="6404" t="s">
        <v>5369</v>
      </c>
      <c r="E190" s="6405" t="s">
        <v>5370</v>
      </c>
      <c r="F190" s="6406" t="s">
        <v>5371</v>
      </c>
      <c r="G190" s="6311" t="s">
        <v>5372</v>
      </c>
      <c r="H190" s="6312" t="s">
        <v>5373</v>
      </c>
      <c r="I190" s="6311" t="s">
        <v>5374</v>
      </c>
      <c r="J190" s="6312" t="s">
        <v>5375</v>
      </c>
      <c r="K190" s="6311" t="s">
        <v>5376</v>
      </c>
      <c r="L190" s="6312" t="s">
        <v>5377</v>
      </c>
      <c r="M190" s="6311" t="s">
        <v>5378</v>
      </c>
      <c r="N190" s="6312" t="s">
        <v>5379</v>
      </c>
      <c r="O190" s="6311" t="s">
        <v>5380</v>
      </c>
      <c r="P190" s="6312" t="s">
        <v>5381</v>
      </c>
      <c r="Q190" s="6311" t="s">
        <v>5382</v>
      </c>
      <c r="R190" s="6312" t="s">
        <v>5383</v>
      </c>
      <c r="S190" s="6311" t="s">
        <v>5384</v>
      </c>
      <c r="T190" s="6312" t="s">
        <v>5385</v>
      </c>
      <c r="U190" s="6311" t="s">
        <v>5386</v>
      </c>
      <c r="V190" s="6312" t="s">
        <v>5387</v>
      </c>
      <c r="W190" s="6311" t="s">
        <v>5388</v>
      </c>
      <c r="X190" s="6312" t="s">
        <v>5389</v>
      </c>
      <c r="Y190" s="6311" t="s">
        <v>5390</v>
      </c>
      <c r="Z190" s="6312" t="s">
        <v>5391</v>
      </c>
      <c r="AA190" s="6311" t="s">
        <v>5392</v>
      </c>
      <c r="AB190" s="6312" t="s">
        <v>5393</v>
      </c>
      <c r="AC190" s="6311" t="s">
        <v>5394</v>
      </c>
      <c r="AD190" s="6312" t="s">
        <v>5395</v>
      </c>
      <c r="AE190" s="6311" t="s">
        <v>5396</v>
      </c>
      <c r="AF190" s="6312" t="s">
        <v>5397</v>
      </c>
      <c r="AG190" s="6311" t="s">
        <v>5398</v>
      </c>
      <c r="AH190" s="6312" t="s">
        <v>5399</v>
      </c>
      <c r="AI190" s="6311" t="s">
        <v>5400</v>
      </c>
      <c r="AJ190" s="6312" t="s">
        <v>5401</v>
      </c>
      <c r="AK190" s="6311" t="s">
        <v>5402</v>
      </c>
      <c r="AL190" s="6312" t="s">
        <v>5403</v>
      </c>
      <c r="AM190" s="6311" t="s">
        <v>5404</v>
      </c>
      <c r="AN190" s="6508" t="s">
        <v>5405</v>
      </c>
      <c r="AO190" s="6490" t="s">
        <v>5406</v>
      </c>
      <c r="AP190" s="6305" t="s">
        <v>5407</v>
      </c>
      <c r="AQ190" s="6395" t="s">
        <v>5408</v>
      </c>
      <c r="AR190" s="6312" t="s">
        <v>5409</v>
      </c>
      <c r="AS190" s="6312" t="s">
        <v>5410</v>
      </c>
      <c r="AT190" s="6312" t="s">
        <v>5411</v>
      </c>
      <c r="AU190" s="6492" t="s">
        <v>5412</v>
      </c>
      <c r="AV190" s="6312" t="s">
        <v>5413</v>
      </c>
      <c r="AW190" s="6312" t="s">
        <v>5414</v>
      </c>
      <c r="AX190" s="6312" t="s">
        <v>5415</v>
      </c>
      <c r="AY190" s="1430"/>
      <c r="AZ190" s="6391"/>
      <c r="BA190" s="6391"/>
      <c r="BB190" s="4291"/>
      <c r="BC190" s="4291"/>
      <c r="BD190" s="4291"/>
      <c r="BE190" s="4291"/>
      <c r="BF190" s="4291"/>
      <c r="BG190" s="4291"/>
      <c r="BH190" s="4264"/>
      <c r="BI190" s="4264"/>
      <c r="CB190" s="4259"/>
      <c r="DB190" s="4295"/>
      <c r="DC190" s="5899">
        <v>0</v>
      </c>
      <c r="DE190" s="5899">
        <v>0</v>
      </c>
      <c r="DG190" s="5899">
        <v>0</v>
      </c>
      <c r="DI190" s="5899">
        <v>0</v>
      </c>
      <c r="DK190" s="5899">
        <v>0</v>
      </c>
      <c r="DM190" s="5899">
        <v>0</v>
      </c>
      <c r="DO190" s="5899">
        <v>0</v>
      </c>
      <c r="DQ190" s="5899">
        <v>0</v>
      </c>
    </row>
    <row r="191" spans="1:127" ht="16.350000000000001" customHeight="1" x14ac:dyDescent="0.25">
      <c r="A191" s="7278" t="s">
        <v>4479</v>
      </c>
      <c r="B191" s="9088" t="s">
        <v>773</v>
      </c>
      <c r="C191" s="6514" t="s">
        <v>772</v>
      </c>
      <c r="D191" s="6515" t="s">
        <v>5369</v>
      </c>
      <c r="E191" s="6516" t="s">
        <v>5370</v>
      </c>
      <c r="F191" s="6514" t="s">
        <v>5371</v>
      </c>
      <c r="G191" s="6400" t="s">
        <v>5372</v>
      </c>
      <c r="H191" s="6260" t="s">
        <v>5373</v>
      </c>
      <c r="I191" s="6400" t="s">
        <v>5374</v>
      </c>
      <c r="J191" s="6260" t="s">
        <v>5375</v>
      </c>
      <c r="K191" s="6400" t="s">
        <v>5376</v>
      </c>
      <c r="L191" s="6260" t="s">
        <v>5377</v>
      </c>
      <c r="M191" s="6400" t="s">
        <v>5378</v>
      </c>
      <c r="N191" s="6260" t="s">
        <v>5379</v>
      </c>
      <c r="O191" s="6400" t="s">
        <v>5380</v>
      </c>
      <c r="P191" s="6260" t="s">
        <v>5381</v>
      </c>
      <c r="Q191" s="6400" t="s">
        <v>5382</v>
      </c>
      <c r="R191" s="6260" t="s">
        <v>5383</v>
      </c>
      <c r="S191" s="6400" t="s">
        <v>5384</v>
      </c>
      <c r="T191" s="6260" t="s">
        <v>5385</v>
      </c>
      <c r="U191" s="6400" t="s">
        <v>5386</v>
      </c>
      <c r="V191" s="6260" t="s">
        <v>5387</v>
      </c>
      <c r="W191" s="6400" t="s">
        <v>5388</v>
      </c>
      <c r="X191" s="6260" t="s">
        <v>5389</v>
      </c>
      <c r="Y191" s="6400" t="s">
        <v>5390</v>
      </c>
      <c r="Z191" s="6260" t="s">
        <v>5391</v>
      </c>
      <c r="AA191" s="6400" t="s">
        <v>5392</v>
      </c>
      <c r="AB191" s="6260" t="s">
        <v>5393</v>
      </c>
      <c r="AC191" s="6400" t="s">
        <v>5394</v>
      </c>
      <c r="AD191" s="6260" t="s">
        <v>5395</v>
      </c>
      <c r="AE191" s="6400" t="s">
        <v>5396</v>
      </c>
      <c r="AF191" s="6260" t="s">
        <v>5397</v>
      </c>
      <c r="AG191" s="6400" t="s">
        <v>5398</v>
      </c>
      <c r="AH191" s="6260" t="s">
        <v>5399</v>
      </c>
      <c r="AI191" s="6400" t="s">
        <v>5400</v>
      </c>
      <c r="AJ191" s="6260" t="s">
        <v>5401</v>
      </c>
      <c r="AK191" s="6400" t="s">
        <v>5402</v>
      </c>
      <c r="AL191" s="6260" t="s">
        <v>5403</v>
      </c>
      <c r="AM191" s="6400" t="s">
        <v>5404</v>
      </c>
      <c r="AN191" s="4955" t="s">
        <v>5405</v>
      </c>
      <c r="AO191" s="6517" t="s">
        <v>5406</v>
      </c>
      <c r="AP191" s="5300" t="s">
        <v>5407</v>
      </c>
      <c r="AQ191" s="6400" t="s">
        <v>5408</v>
      </c>
      <c r="AR191" s="6489" t="s">
        <v>5409</v>
      </c>
      <c r="AS191" s="6489" t="s">
        <v>5410</v>
      </c>
      <c r="AT191" s="6489" t="s">
        <v>5411</v>
      </c>
      <c r="AU191" s="5044" t="s">
        <v>5412</v>
      </c>
      <c r="AV191" s="6489" t="s">
        <v>5413</v>
      </c>
      <c r="AW191" s="6489" t="s">
        <v>5414</v>
      </c>
      <c r="AX191" s="6489" t="s">
        <v>5415</v>
      </c>
      <c r="AY191" s="1430"/>
      <c r="AZ191" s="6391"/>
      <c r="BA191" s="6391"/>
      <c r="BB191" s="4291"/>
      <c r="BC191" s="4291"/>
      <c r="BD191" s="4291"/>
      <c r="BE191" s="4291"/>
      <c r="BF191" s="4291"/>
      <c r="BG191" s="4291"/>
      <c r="BH191" s="4264"/>
      <c r="BI191" s="4264"/>
      <c r="CB191" s="4259"/>
      <c r="DB191" s="4295"/>
    </row>
    <row r="192" spans="1:127" ht="16.350000000000001" customHeight="1" x14ac:dyDescent="0.25">
      <c r="A192" s="7278" t="s">
        <v>4480</v>
      </c>
      <c r="B192" s="9062"/>
      <c r="C192" s="6518" t="s">
        <v>771</v>
      </c>
      <c r="D192" s="6519" t="s">
        <v>5369</v>
      </c>
      <c r="E192" s="6520" t="s">
        <v>5370</v>
      </c>
      <c r="F192" s="6518" t="s">
        <v>5371</v>
      </c>
      <c r="G192" s="4369" t="s">
        <v>5372</v>
      </c>
      <c r="H192" s="5330" t="s">
        <v>5373</v>
      </c>
      <c r="I192" s="4369" t="s">
        <v>5374</v>
      </c>
      <c r="J192" s="5330" t="s">
        <v>5375</v>
      </c>
      <c r="K192" s="4369" t="s">
        <v>5376</v>
      </c>
      <c r="L192" s="5330" t="s">
        <v>5377</v>
      </c>
      <c r="M192" s="4369" t="s">
        <v>5378</v>
      </c>
      <c r="N192" s="5330" t="s">
        <v>5379</v>
      </c>
      <c r="O192" s="4369" t="s">
        <v>5380</v>
      </c>
      <c r="P192" s="5330" t="s">
        <v>5381</v>
      </c>
      <c r="Q192" s="4369" t="s">
        <v>5382</v>
      </c>
      <c r="R192" s="5330" t="s">
        <v>5383</v>
      </c>
      <c r="S192" s="4369" t="s">
        <v>5384</v>
      </c>
      <c r="T192" s="5330" t="s">
        <v>5385</v>
      </c>
      <c r="U192" s="4369" t="s">
        <v>5386</v>
      </c>
      <c r="V192" s="5330" t="s">
        <v>5387</v>
      </c>
      <c r="W192" s="4369" t="s">
        <v>5388</v>
      </c>
      <c r="X192" s="5330" t="s">
        <v>5389</v>
      </c>
      <c r="Y192" s="4369" t="s">
        <v>5390</v>
      </c>
      <c r="Z192" s="5330" t="s">
        <v>5391</v>
      </c>
      <c r="AA192" s="4369" t="s">
        <v>5392</v>
      </c>
      <c r="AB192" s="5330" t="s">
        <v>5393</v>
      </c>
      <c r="AC192" s="4369" t="s">
        <v>5394</v>
      </c>
      <c r="AD192" s="5330" t="s">
        <v>5395</v>
      </c>
      <c r="AE192" s="4369" t="s">
        <v>5396</v>
      </c>
      <c r="AF192" s="5330" t="s">
        <v>5397</v>
      </c>
      <c r="AG192" s="4369" t="s">
        <v>5398</v>
      </c>
      <c r="AH192" s="5330" t="s">
        <v>5399</v>
      </c>
      <c r="AI192" s="4369" t="s">
        <v>5400</v>
      </c>
      <c r="AJ192" s="5330" t="s">
        <v>5401</v>
      </c>
      <c r="AK192" s="4369" t="s">
        <v>5402</v>
      </c>
      <c r="AL192" s="5330" t="s">
        <v>5403</v>
      </c>
      <c r="AM192" s="4369" t="s">
        <v>5404</v>
      </c>
      <c r="AN192" s="5334" t="s">
        <v>5405</v>
      </c>
      <c r="AO192" s="4459" t="s">
        <v>5406</v>
      </c>
      <c r="AP192" s="4460" t="s">
        <v>5407</v>
      </c>
      <c r="AQ192" s="4369" t="s">
        <v>5408</v>
      </c>
      <c r="AR192" s="4926" t="s">
        <v>5409</v>
      </c>
      <c r="AS192" s="4926" t="s">
        <v>5410</v>
      </c>
      <c r="AT192" s="4926" t="s">
        <v>5411</v>
      </c>
      <c r="AU192" s="4926" t="s">
        <v>5412</v>
      </c>
      <c r="AV192" s="4926" t="s">
        <v>5413</v>
      </c>
      <c r="AW192" s="4926" t="s">
        <v>5414</v>
      </c>
      <c r="AX192" s="4926" t="s">
        <v>5415</v>
      </c>
      <c r="AY192" s="1430"/>
      <c r="AZ192" s="6391"/>
      <c r="BA192" s="6391"/>
      <c r="BB192" s="4291"/>
      <c r="BC192" s="4291"/>
      <c r="BD192" s="4291"/>
      <c r="BE192" s="4291"/>
      <c r="BF192" s="4291"/>
      <c r="BG192" s="4291"/>
      <c r="BH192" s="4264"/>
      <c r="BI192" s="4264"/>
      <c r="CB192" s="4259"/>
      <c r="DB192" s="4295"/>
    </row>
    <row r="193" spans="1:127" ht="16.350000000000001" customHeight="1" x14ac:dyDescent="0.25">
      <c r="A193" s="7278" t="s">
        <v>4481</v>
      </c>
      <c r="B193" s="9062"/>
      <c r="C193" s="6518" t="s">
        <v>770</v>
      </c>
      <c r="D193" s="6519" t="s">
        <v>5369</v>
      </c>
      <c r="E193" s="6521" t="s">
        <v>5370</v>
      </c>
      <c r="F193" s="6518" t="s">
        <v>5371</v>
      </c>
      <c r="G193" s="5306" t="s">
        <v>5372</v>
      </c>
      <c r="H193" s="4926" t="s">
        <v>5373</v>
      </c>
      <c r="I193" s="5306" t="s">
        <v>5374</v>
      </c>
      <c r="J193" s="4926" t="s">
        <v>5375</v>
      </c>
      <c r="K193" s="5306" t="s">
        <v>5376</v>
      </c>
      <c r="L193" s="4926" t="s">
        <v>5377</v>
      </c>
      <c r="M193" s="5306" t="s">
        <v>5378</v>
      </c>
      <c r="N193" s="4926" t="s">
        <v>5379</v>
      </c>
      <c r="O193" s="5306" t="s">
        <v>5380</v>
      </c>
      <c r="P193" s="4926" t="s">
        <v>5381</v>
      </c>
      <c r="Q193" s="5306" t="s">
        <v>5382</v>
      </c>
      <c r="R193" s="4926" t="s">
        <v>5383</v>
      </c>
      <c r="S193" s="5306" t="s">
        <v>5384</v>
      </c>
      <c r="T193" s="4926" t="s">
        <v>5385</v>
      </c>
      <c r="U193" s="5306" t="s">
        <v>5386</v>
      </c>
      <c r="V193" s="4926" t="s">
        <v>5387</v>
      </c>
      <c r="W193" s="5306" t="s">
        <v>5388</v>
      </c>
      <c r="X193" s="4926" t="s">
        <v>5389</v>
      </c>
      <c r="Y193" s="5306" t="s">
        <v>5390</v>
      </c>
      <c r="Z193" s="4926" t="s">
        <v>5391</v>
      </c>
      <c r="AA193" s="5306" t="s">
        <v>5392</v>
      </c>
      <c r="AB193" s="4926" t="s">
        <v>5393</v>
      </c>
      <c r="AC193" s="5306" t="s">
        <v>5394</v>
      </c>
      <c r="AD193" s="4926" t="s">
        <v>5395</v>
      </c>
      <c r="AE193" s="5306" t="s">
        <v>5396</v>
      </c>
      <c r="AF193" s="4926" t="s">
        <v>5397</v>
      </c>
      <c r="AG193" s="5306" t="s">
        <v>5398</v>
      </c>
      <c r="AH193" s="4926" t="s">
        <v>5399</v>
      </c>
      <c r="AI193" s="5306" t="s">
        <v>5400</v>
      </c>
      <c r="AJ193" s="4926" t="s">
        <v>5401</v>
      </c>
      <c r="AK193" s="5306" t="s">
        <v>5402</v>
      </c>
      <c r="AL193" s="4926" t="s">
        <v>5403</v>
      </c>
      <c r="AM193" s="5306" t="s">
        <v>5404</v>
      </c>
      <c r="AN193" s="6445" t="s">
        <v>5405</v>
      </c>
      <c r="AO193" s="6522" t="s">
        <v>5406</v>
      </c>
      <c r="AP193" s="5309" t="s">
        <v>5407</v>
      </c>
      <c r="AQ193" s="5306" t="s">
        <v>5408</v>
      </c>
      <c r="AR193" s="4926" t="s">
        <v>5409</v>
      </c>
      <c r="AS193" s="4926" t="s">
        <v>5410</v>
      </c>
      <c r="AT193" s="4926" t="s">
        <v>5411</v>
      </c>
      <c r="AU193" s="4926" t="s">
        <v>5412</v>
      </c>
      <c r="AV193" s="4926" t="s">
        <v>5413</v>
      </c>
      <c r="AW193" s="4926" t="s">
        <v>5414</v>
      </c>
      <c r="AX193" s="4926" t="s">
        <v>5415</v>
      </c>
      <c r="AY193" s="1430"/>
      <c r="AZ193" s="6391"/>
      <c r="BA193" s="6391"/>
      <c r="BB193" s="4291"/>
      <c r="BC193" s="4291"/>
      <c r="BD193" s="4291"/>
      <c r="BE193" s="4291"/>
      <c r="BF193" s="4291"/>
      <c r="BG193" s="4291"/>
      <c r="BH193" s="4264"/>
      <c r="BI193" s="4264"/>
      <c r="CB193" s="4259"/>
      <c r="DB193" s="4295"/>
    </row>
    <row r="194" spans="1:127" ht="16.350000000000001" customHeight="1" x14ac:dyDescent="0.25">
      <c r="A194" s="7278" t="s">
        <v>4482</v>
      </c>
      <c r="B194" s="9062"/>
      <c r="C194" s="6523" t="s">
        <v>769</v>
      </c>
      <c r="D194" s="6519" t="s">
        <v>5369</v>
      </c>
      <c r="E194" s="6524" t="s">
        <v>5370</v>
      </c>
      <c r="F194" s="6518" t="s">
        <v>5371</v>
      </c>
      <c r="G194" s="6525" t="s">
        <v>5372</v>
      </c>
      <c r="H194" s="6526" t="s">
        <v>5373</v>
      </c>
      <c r="I194" s="6525" t="s">
        <v>5374</v>
      </c>
      <c r="J194" s="6526" t="s">
        <v>5375</v>
      </c>
      <c r="K194" s="6525" t="s">
        <v>5376</v>
      </c>
      <c r="L194" s="5314" t="s">
        <v>5377</v>
      </c>
      <c r="M194" s="6525" t="s">
        <v>5378</v>
      </c>
      <c r="N194" s="5314" t="s">
        <v>5379</v>
      </c>
      <c r="O194" s="6525" t="s">
        <v>5380</v>
      </c>
      <c r="P194" s="5314" t="s">
        <v>5381</v>
      </c>
      <c r="Q194" s="6525" t="s">
        <v>5382</v>
      </c>
      <c r="R194" s="5314" t="s">
        <v>5383</v>
      </c>
      <c r="S194" s="6525" t="s">
        <v>5384</v>
      </c>
      <c r="T194" s="5314" t="s">
        <v>5385</v>
      </c>
      <c r="U194" s="6525" t="s">
        <v>5386</v>
      </c>
      <c r="V194" s="5314" t="s">
        <v>5387</v>
      </c>
      <c r="W194" s="6525" t="s">
        <v>5388</v>
      </c>
      <c r="X194" s="5314" t="s">
        <v>5389</v>
      </c>
      <c r="Y194" s="6525" t="s">
        <v>5390</v>
      </c>
      <c r="Z194" s="5314" t="s">
        <v>5391</v>
      </c>
      <c r="AA194" s="6525" t="s">
        <v>5392</v>
      </c>
      <c r="AB194" s="5314" t="s">
        <v>5393</v>
      </c>
      <c r="AC194" s="6525" t="s">
        <v>5394</v>
      </c>
      <c r="AD194" s="5314" t="s">
        <v>5395</v>
      </c>
      <c r="AE194" s="6525" t="s">
        <v>5396</v>
      </c>
      <c r="AF194" s="5314" t="s">
        <v>5397</v>
      </c>
      <c r="AG194" s="6525" t="s">
        <v>5398</v>
      </c>
      <c r="AH194" s="5314" t="s">
        <v>5399</v>
      </c>
      <c r="AI194" s="6525" t="s">
        <v>5400</v>
      </c>
      <c r="AJ194" s="5314" t="s">
        <v>5401</v>
      </c>
      <c r="AK194" s="6525" t="s">
        <v>5402</v>
      </c>
      <c r="AL194" s="5314" t="s">
        <v>5403</v>
      </c>
      <c r="AM194" s="6525" t="s">
        <v>5404</v>
      </c>
      <c r="AN194" s="6527" t="s">
        <v>5405</v>
      </c>
      <c r="AO194" s="6528" t="s">
        <v>5406</v>
      </c>
      <c r="AP194" s="5315" t="s">
        <v>5407</v>
      </c>
      <c r="AQ194" s="6525" t="s">
        <v>5408</v>
      </c>
      <c r="AR194" s="5314" t="s">
        <v>5409</v>
      </c>
      <c r="AS194" s="5314" t="s">
        <v>5410</v>
      </c>
      <c r="AT194" s="5314" t="s">
        <v>5411</v>
      </c>
      <c r="AU194" s="5855" t="s">
        <v>5412</v>
      </c>
      <c r="AV194" s="5314" t="s">
        <v>5413</v>
      </c>
      <c r="AW194" s="5314" t="s">
        <v>5414</v>
      </c>
      <c r="AX194" s="5314" t="s">
        <v>5415</v>
      </c>
      <c r="AY194" s="1430"/>
      <c r="AZ194" s="6391"/>
      <c r="BA194" s="6391"/>
      <c r="BB194" s="4291"/>
      <c r="BC194" s="4291"/>
      <c r="BD194" s="4291"/>
      <c r="BE194" s="4291"/>
      <c r="BF194" s="4291"/>
      <c r="BG194" s="4291"/>
      <c r="BH194" s="4264"/>
      <c r="BI194" s="4264"/>
      <c r="CB194" s="4259"/>
      <c r="DB194" s="4295"/>
      <c r="DC194" s="5899">
        <v>0</v>
      </c>
      <c r="DE194" s="5899">
        <v>0</v>
      </c>
      <c r="DI194" s="5899">
        <v>0</v>
      </c>
      <c r="DK194" s="5899">
        <v>0</v>
      </c>
      <c r="DO194" s="5899">
        <v>0</v>
      </c>
      <c r="DQ194" s="5899">
        <v>0</v>
      </c>
      <c r="DS194" s="5899">
        <v>0</v>
      </c>
      <c r="DU194" s="5899">
        <v>0</v>
      </c>
      <c r="DW194" s="5899">
        <v>0</v>
      </c>
    </row>
    <row r="195" spans="1:127" ht="16.350000000000001" customHeight="1" x14ac:dyDescent="0.25">
      <c r="A195" s="7278" t="s">
        <v>4483</v>
      </c>
      <c r="B195" s="9062"/>
      <c r="C195" s="6518" t="s">
        <v>768</v>
      </c>
      <c r="D195" s="6519" t="s">
        <v>5369</v>
      </c>
      <c r="E195" s="6516" t="s">
        <v>5370</v>
      </c>
      <c r="F195" s="6518" t="s">
        <v>5371</v>
      </c>
      <c r="G195" s="4017" t="s">
        <v>5372</v>
      </c>
      <c r="H195" s="6260" t="s">
        <v>5373</v>
      </c>
      <c r="I195" s="4017" t="s">
        <v>5374</v>
      </c>
      <c r="J195" s="6260" t="s">
        <v>5375</v>
      </c>
      <c r="K195" s="4017" t="s">
        <v>5376</v>
      </c>
      <c r="L195" s="6260" t="s">
        <v>5377</v>
      </c>
      <c r="M195" s="4017" t="s">
        <v>5378</v>
      </c>
      <c r="N195" s="6260" t="s">
        <v>5379</v>
      </c>
      <c r="O195" s="4017" t="s">
        <v>5380</v>
      </c>
      <c r="P195" s="6260" t="s">
        <v>5381</v>
      </c>
      <c r="Q195" s="4017" t="s">
        <v>5382</v>
      </c>
      <c r="R195" s="6260" t="s">
        <v>5383</v>
      </c>
      <c r="S195" s="4017" t="s">
        <v>5384</v>
      </c>
      <c r="T195" s="6260" t="s">
        <v>5385</v>
      </c>
      <c r="U195" s="4017" t="s">
        <v>5386</v>
      </c>
      <c r="V195" s="6260" t="s">
        <v>5387</v>
      </c>
      <c r="W195" s="4017" t="s">
        <v>5388</v>
      </c>
      <c r="X195" s="6260" t="s">
        <v>5389</v>
      </c>
      <c r="Y195" s="4017" t="s">
        <v>5390</v>
      </c>
      <c r="Z195" s="6260" t="s">
        <v>5391</v>
      </c>
      <c r="AA195" s="4017" t="s">
        <v>5392</v>
      </c>
      <c r="AB195" s="6260" t="s">
        <v>5393</v>
      </c>
      <c r="AC195" s="4017" t="s">
        <v>5394</v>
      </c>
      <c r="AD195" s="6260" t="s">
        <v>5395</v>
      </c>
      <c r="AE195" s="4017" t="s">
        <v>5396</v>
      </c>
      <c r="AF195" s="6260" t="s">
        <v>5397</v>
      </c>
      <c r="AG195" s="4017" t="s">
        <v>5398</v>
      </c>
      <c r="AH195" s="6260" t="s">
        <v>5399</v>
      </c>
      <c r="AI195" s="4017" t="s">
        <v>5400</v>
      </c>
      <c r="AJ195" s="6260" t="s">
        <v>5401</v>
      </c>
      <c r="AK195" s="4017" t="s">
        <v>5402</v>
      </c>
      <c r="AL195" s="6260" t="s">
        <v>5403</v>
      </c>
      <c r="AM195" s="4017" t="s">
        <v>5404</v>
      </c>
      <c r="AN195" s="4955" t="s">
        <v>5405</v>
      </c>
      <c r="AO195" s="6529" t="s">
        <v>5406</v>
      </c>
      <c r="AP195" s="4157" t="s">
        <v>5407</v>
      </c>
      <c r="AQ195" s="4017" t="s">
        <v>5408</v>
      </c>
      <c r="AR195" s="6260" t="s">
        <v>5409</v>
      </c>
      <c r="AS195" s="6260" t="s">
        <v>5410</v>
      </c>
      <c r="AT195" s="6260" t="s">
        <v>5411</v>
      </c>
      <c r="AU195" s="4038" t="s">
        <v>5412</v>
      </c>
      <c r="AV195" s="6260" t="s">
        <v>5413</v>
      </c>
      <c r="AW195" s="6260" t="s">
        <v>5414</v>
      </c>
      <c r="AX195" s="6260" t="s">
        <v>5415</v>
      </c>
      <c r="AY195" s="1430"/>
      <c r="AZ195" s="6391"/>
      <c r="BA195" s="6391"/>
      <c r="BB195" s="4291"/>
      <c r="BC195" s="4291"/>
      <c r="BD195" s="4291"/>
      <c r="BE195" s="4291"/>
      <c r="BF195" s="4291"/>
      <c r="BG195" s="4291"/>
      <c r="BH195" s="4264"/>
      <c r="BI195" s="4264"/>
      <c r="CB195" s="4259"/>
      <c r="DB195" s="4295"/>
      <c r="DC195" s="5899">
        <v>0</v>
      </c>
      <c r="DE195" s="5899">
        <v>0</v>
      </c>
      <c r="DI195" s="5899">
        <v>0</v>
      </c>
      <c r="DK195" s="5899">
        <v>0</v>
      </c>
      <c r="DM195" s="5899">
        <v>0</v>
      </c>
      <c r="DO195" s="5899">
        <v>0</v>
      </c>
      <c r="DQ195" s="5899">
        <v>0</v>
      </c>
      <c r="DS195" s="5899">
        <v>0</v>
      </c>
      <c r="DU195" s="5899">
        <v>0</v>
      </c>
      <c r="DW195" s="5899">
        <v>0</v>
      </c>
    </row>
    <row r="196" spans="1:127" ht="16.350000000000001" customHeight="1" x14ac:dyDescent="0.25">
      <c r="A196" s="7278" t="s">
        <v>4484</v>
      </c>
      <c r="B196" s="9062"/>
      <c r="C196" s="6530" t="s">
        <v>767</v>
      </c>
      <c r="D196" s="6519" t="s">
        <v>5369</v>
      </c>
      <c r="E196" s="6520" t="s">
        <v>5370</v>
      </c>
      <c r="F196" s="6518" t="s">
        <v>5371</v>
      </c>
      <c r="G196" s="4369" t="s">
        <v>5372</v>
      </c>
      <c r="H196" s="5330" t="s">
        <v>5373</v>
      </c>
      <c r="I196" s="4369" t="s">
        <v>5374</v>
      </c>
      <c r="J196" s="5330" t="s">
        <v>5375</v>
      </c>
      <c r="K196" s="4369" t="s">
        <v>5376</v>
      </c>
      <c r="L196" s="5330" t="s">
        <v>5377</v>
      </c>
      <c r="M196" s="4369" t="s">
        <v>5378</v>
      </c>
      <c r="N196" s="5330" t="s">
        <v>5379</v>
      </c>
      <c r="O196" s="4369" t="s">
        <v>5380</v>
      </c>
      <c r="P196" s="5330" t="s">
        <v>5381</v>
      </c>
      <c r="Q196" s="4369" t="s">
        <v>5382</v>
      </c>
      <c r="R196" s="5330" t="s">
        <v>5383</v>
      </c>
      <c r="S196" s="4369" t="s">
        <v>5384</v>
      </c>
      <c r="T196" s="5330" t="s">
        <v>5385</v>
      </c>
      <c r="U196" s="4369" t="s">
        <v>5386</v>
      </c>
      <c r="V196" s="5330" t="s">
        <v>5387</v>
      </c>
      <c r="W196" s="4369" t="s">
        <v>5388</v>
      </c>
      <c r="X196" s="5330" t="s">
        <v>5389</v>
      </c>
      <c r="Y196" s="4369" t="s">
        <v>5390</v>
      </c>
      <c r="Z196" s="5330" t="s">
        <v>5391</v>
      </c>
      <c r="AA196" s="4369" t="s">
        <v>5392</v>
      </c>
      <c r="AB196" s="5330" t="s">
        <v>5393</v>
      </c>
      <c r="AC196" s="4369" t="s">
        <v>5394</v>
      </c>
      <c r="AD196" s="5330" t="s">
        <v>5395</v>
      </c>
      <c r="AE196" s="4369" t="s">
        <v>5396</v>
      </c>
      <c r="AF196" s="5330" t="s">
        <v>5397</v>
      </c>
      <c r="AG196" s="4369" t="s">
        <v>5398</v>
      </c>
      <c r="AH196" s="5330" t="s">
        <v>5399</v>
      </c>
      <c r="AI196" s="4369" t="s">
        <v>5400</v>
      </c>
      <c r="AJ196" s="5330" t="s">
        <v>5401</v>
      </c>
      <c r="AK196" s="4369" t="s">
        <v>5402</v>
      </c>
      <c r="AL196" s="5330" t="s">
        <v>5403</v>
      </c>
      <c r="AM196" s="4369" t="s">
        <v>5404</v>
      </c>
      <c r="AN196" s="5334" t="s">
        <v>5405</v>
      </c>
      <c r="AO196" s="4459" t="s">
        <v>5406</v>
      </c>
      <c r="AP196" s="4460" t="s">
        <v>5407</v>
      </c>
      <c r="AQ196" s="4369" t="s">
        <v>5408</v>
      </c>
      <c r="AR196" s="6489" t="s">
        <v>5409</v>
      </c>
      <c r="AS196" s="6489" t="s">
        <v>5410</v>
      </c>
      <c r="AT196" s="6489" t="s">
        <v>5411</v>
      </c>
      <c r="AU196" s="5044" t="s">
        <v>5412</v>
      </c>
      <c r="AV196" s="6489" t="s">
        <v>5413</v>
      </c>
      <c r="AW196" s="6489" t="s">
        <v>5414</v>
      </c>
      <c r="AX196" s="6489" t="s">
        <v>5415</v>
      </c>
      <c r="AY196" s="1430"/>
      <c r="AZ196" s="6391"/>
      <c r="BA196" s="6391"/>
      <c r="BB196" s="4291"/>
      <c r="BC196" s="4291"/>
      <c r="BD196" s="4291"/>
      <c r="BE196" s="4291"/>
      <c r="BF196" s="4291"/>
      <c r="BG196" s="4291"/>
      <c r="BH196" s="4264"/>
      <c r="BI196" s="4264"/>
      <c r="CB196" s="4259"/>
      <c r="DB196" s="4295"/>
    </row>
    <row r="197" spans="1:127" ht="20.25" customHeight="1" x14ac:dyDescent="0.25">
      <c r="A197" s="7278" t="s">
        <v>4485</v>
      </c>
      <c r="B197" s="9062"/>
      <c r="C197" s="6531" t="s">
        <v>766</v>
      </c>
      <c r="D197" s="6519" t="s">
        <v>5369</v>
      </c>
      <c r="E197" s="6520" t="s">
        <v>5370</v>
      </c>
      <c r="F197" s="6518" t="s">
        <v>5371</v>
      </c>
      <c r="G197" s="4369" t="s">
        <v>5372</v>
      </c>
      <c r="H197" s="5330" t="s">
        <v>5373</v>
      </c>
      <c r="I197" s="4369" t="s">
        <v>5374</v>
      </c>
      <c r="J197" s="5330" t="s">
        <v>5375</v>
      </c>
      <c r="K197" s="4369" t="s">
        <v>5376</v>
      </c>
      <c r="L197" s="5330" t="s">
        <v>5377</v>
      </c>
      <c r="M197" s="4369" t="s">
        <v>5378</v>
      </c>
      <c r="N197" s="5330" t="s">
        <v>5379</v>
      </c>
      <c r="O197" s="4369" t="s">
        <v>5380</v>
      </c>
      <c r="P197" s="5330" t="s">
        <v>5381</v>
      </c>
      <c r="Q197" s="4369" t="s">
        <v>5382</v>
      </c>
      <c r="R197" s="5330" t="s">
        <v>5383</v>
      </c>
      <c r="S197" s="4369" t="s">
        <v>5384</v>
      </c>
      <c r="T197" s="5330" t="s">
        <v>5385</v>
      </c>
      <c r="U197" s="4369" t="s">
        <v>5386</v>
      </c>
      <c r="V197" s="5330" t="s">
        <v>5387</v>
      </c>
      <c r="W197" s="4369" t="s">
        <v>5388</v>
      </c>
      <c r="X197" s="5330" t="s">
        <v>5389</v>
      </c>
      <c r="Y197" s="4369" t="s">
        <v>5390</v>
      </c>
      <c r="Z197" s="5330" t="s">
        <v>5391</v>
      </c>
      <c r="AA197" s="4369" t="s">
        <v>5392</v>
      </c>
      <c r="AB197" s="5330" t="s">
        <v>5393</v>
      </c>
      <c r="AC197" s="4369" t="s">
        <v>5394</v>
      </c>
      <c r="AD197" s="5330" t="s">
        <v>5395</v>
      </c>
      <c r="AE197" s="4369" t="s">
        <v>5396</v>
      </c>
      <c r="AF197" s="5330" t="s">
        <v>5397</v>
      </c>
      <c r="AG197" s="4369" t="s">
        <v>5398</v>
      </c>
      <c r="AH197" s="5330" t="s">
        <v>5399</v>
      </c>
      <c r="AI197" s="4369" t="s">
        <v>5400</v>
      </c>
      <c r="AJ197" s="5330" t="s">
        <v>5401</v>
      </c>
      <c r="AK197" s="4369" t="s">
        <v>5402</v>
      </c>
      <c r="AL197" s="5330" t="s">
        <v>5403</v>
      </c>
      <c r="AM197" s="4369" t="s">
        <v>5404</v>
      </c>
      <c r="AN197" s="5334" t="s">
        <v>5405</v>
      </c>
      <c r="AO197" s="4459" t="s">
        <v>5406</v>
      </c>
      <c r="AP197" s="4460" t="s">
        <v>5407</v>
      </c>
      <c r="AQ197" s="4369" t="s">
        <v>5408</v>
      </c>
      <c r="AR197" s="4926" t="s">
        <v>5409</v>
      </c>
      <c r="AS197" s="4926" t="s">
        <v>5410</v>
      </c>
      <c r="AT197" s="4926" t="s">
        <v>5411</v>
      </c>
      <c r="AU197" s="4926" t="s">
        <v>5412</v>
      </c>
      <c r="AV197" s="4926" t="s">
        <v>5413</v>
      </c>
      <c r="AW197" s="4926" t="s">
        <v>5414</v>
      </c>
      <c r="AX197" s="4926" t="s">
        <v>5415</v>
      </c>
      <c r="AY197" s="1430"/>
      <c r="AZ197" s="6391"/>
      <c r="BA197" s="6391"/>
      <c r="BB197" s="4291"/>
      <c r="BC197" s="4291"/>
      <c r="BD197" s="4291"/>
      <c r="BE197" s="4291"/>
      <c r="BF197" s="4291"/>
      <c r="BG197" s="4291"/>
      <c r="BH197" s="4264"/>
      <c r="BI197" s="4264"/>
      <c r="CB197" s="4259"/>
      <c r="DB197" s="4295"/>
    </row>
    <row r="198" spans="1:127" ht="23.25" customHeight="1" x14ac:dyDescent="0.25">
      <c r="A198" s="7278" t="s">
        <v>4486</v>
      </c>
      <c r="B198" s="9089"/>
      <c r="C198" s="6532" t="s">
        <v>765</v>
      </c>
      <c r="D198" s="6533" t="s">
        <v>5369</v>
      </c>
      <c r="E198" s="6521" t="s">
        <v>5370</v>
      </c>
      <c r="F198" s="5305" t="s">
        <v>5371</v>
      </c>
      <c r="G198" s="6389" t="s">
        <v>5372</v>
      </c>
      <c r="H198" s="4926" t="s">
        <v>5373</v>
      </c>
      <c r="I198" s="6389" t="s">
        <v>5374</v>
      </c>
      <c r="J198" s="4926" t="s">
        <v>5375</v>
      </c>
      <c r="K198" s="6389" t="s">
        <v>5376</v>
      </c>
      <c r="L198" s="4926" t="s">
        <v>5377</v>
      </c>
      <c r="M198" s="6389" t="s">
        <v>5378</v>
      </c>
      <c r="N198" s="4926" t="s">
        <v>5379</v>
      </c>
      <c r="O198" s="6389" t="s">
        <v>5380</v>
      </c>
      <c r="P198" s="4926" t="s">
        <v>5381</v>
      </c>
      <c r="Q198" s="6389" t="s">
        <v>5382</v>
      </c>
      <c r="R198" s="4926" t="s">
        <v>5383</v>
      </c>
      <c r="S198" s="6389" t="s">
        <v>5384</v>
      </c>
      <c r="T198" s="4926" t="s">
        <v>5385</v>
      </c>
      <c r="U198" s="6389" t="s">
        <v>5386</v>
      </c>
      <c r="V198" s="4926" t="s">
        <v>5387</v>
      </c>
      <c r="W198" s="6389" t="s">
        <v>5388</v>
      </c>
      <c r="X198" s="4926" t="s">
        <v>5389</v>
      </c>
      <c r="Y198" s="6389" t="s">
        <v>5390</v>
      </c>
      <c r="Z198" s="4926" t="s">
        <v>5391</v>
      </c>
      <c r="AA198" s="6389" t="s">
        <v>5392</v>
      </c>
      <c r="AB198" s="4926" t="s">
        <v>5393</v>
      </c>
      <c r="AC198" s="6389" t="s">
        <v>5394</v>
      </c>
      <c r="AD198" s="4926" t="s">
        <v>5395</v>
      </c>
      <c r="AE198" s="6389" t="s">
        <v>5396</v>
      </c>
      <c r="AF198" s="4926" t="s">
        <v>5397</v>
      </c>
      <c r="AG198" s="6389" t="s">
        <v>5398</v>
      </c>
      <c r="AH198" s="4926" t="s">
        <v>5399</v>
      </c>
      <c r="AI198" s="6389" t="s">
        <v>5400</v>
      </c>
      <c r="AJ198" s="4926" t="s">
        <v>5401</v>
      </c>
      <c r="AK198" s="6389" t="s">
        <v>5402</v>
      </c>
      <c r="AL198" s="4926" t="s">
        <v>5403</v>
      </c>
      <c r="AM198" s="6389" t="s">
        <v>5404</v>
      </c>
      <c r="AN198" s="6445" t="s">
        <v>5405</v>
      </c>
      <c r="AO198" s="6522" t="s">
        <v>5406</v>
      </c>
      <c r="AP198" s="6390" t="s">
        <v>5407</v>
      </c>
      <c r="AQ198" s="6389" t="s">
        <v>5408</v>
      </c>
      <c r="AR198" s="4479" t="s">
        <v>5409</v>
      </c>
      <c r="AS198" s="4479" t="s">
        <v>5410</v>
      </c>
      <c r="AT198" s="4479" t="s">
        <v>5411</v>
      </c>
      <c r="AU198" s="4378" t="s">
        <v>5412</v>
      </c>
      <c r="AV198" s="4479" t="s">
        <v>5413</v>
      </c>
      <c r="AW198" s="4479" t="s">
        <v>5414</v>
      </c>
      <c r="AX198" s="4479" t="s">
        <v>5415</v>
      </c>
      <c r="AY198" s="1430"/>
      <c r="AZ198" s="6391"/>
      <c r="BA198" s="6391"/>
      <c r="BB198" s="4291"/>
      <c r="BC198" s="4291"/>
      <c r="BD198" s="4291"/>
      <c r="BE198" s="4291"/>
      <c r="BF198" s="4291"/>
      <c r="BG198" s="4291"/>
      <c r="BH198" s="4264"/>
      <c r="BI198" s="4264"/>
      <c r="CB198" s="4259"/>
      <c r="DB198" s="4295"/>
    </row>
    <row r="199" spans="1:127" ht="20.25" customHeight="1" x14ac:dyDescent="0.25">
      <c r="A199" s="7259" t="s">
        <v>4487</v>
      </c>
      <c r="B199" s="9088" t="s">
        <v>764</v>
      </c>
      <c r="C199" s="6534" t="s">
        <v>2803</v>
      </c>
      <c r="D199" s="6496" t="s">
        <v>5369</v>
      </c>
      <c r="E199" s="6497" t="s">
        <v>5370</v>
      </c>
      <c r="F199" s="6495" t="s">
        <v>5371</v>
      </c>
      <c r="G199" s="6186" t="s">
        <v>5372</v>
      </c>
      <c r="H199" s="6224" t="s">
        <v>5373</v>
      </c>
      <c r="I199" s="6186" t="s">
        <v>5374</v>
      </c>
      <c r="J199" s="6224" t="s">
        <v>5375</v>
      </c>
      <c r="K199" s="6186" t="s">
        <v>5376</v>
      </c>
      <c r="L199" s="6224" t="s">
        <v>5377</v>
      </c>
      <c r="M199" s="6186" t="s">
        <v>5378</v>
      </c>
      <c r="N199" s="6224" t="s">
        <v>5379</v>
      </c>
      <c r="O199" s="6186" t="s">
        <v>5380</v>
      </c>
      <c r="P199" s="6224" t="s">
        <v>5381</v>
      </c>
      <c r="Q199" s="6186" t="s">
        <v>5382</v>
      </c>
      <c r="R199" s="6224" t="s">
        <v>5383</v>
      </c>
      <c r="S199" s="6186" t="s">
        <v>5384</v>
      </c>
      <c r="T199" s="6224" t="s">
        <v>5385</v>
      </c>
      <c r="U199" s="6186" t="s">
        <v>5386</v>
      </c>
      <c r="V199" s="6224" t="s">
        <v>5387</v>
      </c>
      <c r="W199" s="6186" t="s">
        <v>5388</v>
      </c>
      <c r="X199" s="6224" t="s">
        <v>5389</v>
      </c>
      <c r="Y199" s="6186" t="s">
        <v>5390</v>
      </c>
      <c r="Z199" s="6224" t="s">
        <v>5391</v>
      </c>
      <c r="AA199" s="6186" t="s">
        <v>5392</v>
      </c>
      <c r="AB199" s="6224" t="s">
        <v>5393</v>
      </c>
      <c r="AC199" s="6186" t="s">
        <v>5394</v>
      </c>
      <c r="AD199" s="6224" t="s">
        <v>5395</v>
      </c>
      <c r="AE199" s="6186" t="s">
        <v>5396</v>
      </c>
      <c r="AF199" s="6224" t="s">
        <v>5397</v>
      </c>
      <c r="AG199" s="6186" t="s">
        <v>5398</v>
      </c>
      <c r="AH199" s="6224" t="s">
        <v>5399</v>
      </c>
      <c r="AI199" s="6186" t="s">
        <v>5400</v>
      </c>
      <c r="AJ199" s="6224" t="s">
        <v>5401</v>
      </c>
      <c r="AK199" s="6186" t="s">
        <v>5402</v>
      </c>
      <c r="AL199" s="6224" t="s">
        <v>5403</v>
      </c>
      <c r="AM199" s="6186" t="s">
        <v>5404</v>
      </c>
      <c r="AN199" s="6436" t="s">
        <v>5405</v>
      </c>
      <c r="AO199" s="6498" t="s">
        <v>5406</v>
      </c>
      <c r="AP199" s="6325" t="s">
        <v>5407</v>
      </c>
      <c r="AQ199" s="6186" t="s">
        <v>5408</v>
      </c>
      <c r="AR199" s="5349" t="s">
        <v>5409</v>
      </c>
      <c r="AS199" s="5349" t="s">
        <v>5410</v>
      </c>
      <c r="AT199" s="5349" t="s">
        <v>5411</v>
      </c>
      <c r="AU199" s="6535" t="s">
        <v>5412</v>
      </c>
      <c r="AV199" s="5349" t="s">
        <v>5413</v>
      </c>
      <c r="AW199" s="5349" t="s">
        <v>5414</v>
      </c>
      <c r="AX199" s="5349" t="s">
        <v>5415</v>
      </c>
      <c r="AY199" s="1430"/>
      <c r="AZ199" s="6391"/>
      <c r="BA199" s="6391"/>
      <c r="BB199" s="4291"/>
      <c r="BC199" s="4291"/>
      <c r="BD199" s="4291"/>
      <c r="BE199" s="4291"/>
      <c r="BF199" s="4291"/>
      <c r="BG199" s="4291"/>
      <c r="BH199" s="4264"/>
      <c r="BI199" s="4264"/>
      <c r="CB199" s="4259"/>
      <c r="DB199" s="4295"/>
    </row>
    <row r="200" spans="1:127" ht="20.25" customHeight="1" x14ac:dyDescent="0.25">
      <c r="A200" s="7259" t="s">
        <v>4488</v>
      </c>
      <c r="B200" s="9062"/>
      <c r="C200" s="6518" t="s">
        <v>2804</v>
      </c>
      <c r="D200" s="6519" t="s">
        <v>5369</v>
      </c>
      <c r="E200" s="6520" t="s">
        <v>5370</v>
      </c>
      <c r="F200" s="6518" t="s">
        <v>5371</v>
      </c>
      <c r="G200" s="4369" t="s">
        <v>5372</v>
      </c>
      <c r="H200" s="5330" t="s">
        <v>5373</v>
      </c>
      <c r="I200" s="4369" t="s">
        <v>5374</v>
      </c>
      <c r="J200" s="5330" t="s">
        <v>5375</v>
      </c>
      <c r="K200" s="4369" t="s">
        <v>5376</v>
      </c>
      <c r="L200" s="5330" t="s">
        <v>5377</v>
      </c>
      <c r="M200" s="4369" t="s">
        <v>5378</v>
      </c>
      <c r="N200" s="5330" t="s">
        <v>5379</v>
      </c>
      <c r="O200" s="4369" t="s">
        <v>5380</v>
      </c>
      <c r="P200" s="5330" t="s">
        <v>5381</v>
      </c>
      <c r="Q200" s="4369" t="s">
        <v>5382</v>
      </c>
      <c r="R200" s="5330" t="s">
        <v>5383</v>
      </c>
      <c r="S200" s="4369" t="s">
        <v>5384</v>
      </c>
      <c r="T200" s="5330" t="s">
        <v>5385</v>
      </c>
      <c r="U200" s="4369" t="s">
        <v>5386</v>
      </c>
      <c r="V200" s="5330" t="s">
        <v>5387</v>
      </c>
      <c r="W200" s="4369" t="s">
        <v>5388</v>
      </c>
      <c r="X200" s="5330" t="s">
        <v>5389</v>
      </c>
      <c r="Y200" s="4369" t="s">
        <v>5390</v>
      </c>
      <c r="Z200" s="5330" t="s">
        <v>5391</v>
      </c>
      <c r="AA200" s="4369" t="s">
        <v>5392</v>
      </c>
      <c r="AB200" s="5330" t="s">
        <v>5393</v>
      </c>
      <c r="AC200" s="4369" t="s">
        <v>5394</v>
      </c>
      <c r="AD200" s="5330" t="s">
        <v>5395</v>
      </c>
      <c r="AE200" s="4369" t="s">
        <v>5396</v>
      </c>
      <c r="AF200" s="5330" t="s">
        <v>5397</v>
      </c>
      <c r="AG200" s="4369" t="s">
        <v>5398</v>
      </c>
      <c r="AH200" s="5330" t="s">
        <v>5399</v>
      </c>
      <c r="AI200" s="4369" t="s">
        <v>5400</v>
      </c>
      <c r="AJ200" s="5330" t="s">
        <v>5401</v>
      </c>
      <c r="AK200" s="4369" t="s">
        <v>5402</v>
      </c>
      <c r="AL200" s="5330" t="s">
        <v>5403</v>
      </c>
      <c r="AM200" s="4369" t="s">
        <v>5404</v>
      </c>
      <c r="AN200" s="5334" t="s">
        <v>5405</v>
      </c>
      <c r="AO200" s="4459" t="s">
        <v>5406</v>
      </c>
      <c r="AP200" s="4460" t="s">
        <v>5407</v>
      </c>
      <c r="AQ200" s="4369" t="s">
        <v>5408</v>
      </c>
      <c r="AR200" s="4926" t="s">
        <v>5409</v>
      </c>
      <c r="AS200" s="4926" t="s">
        <v>5410</v>
      </c>
      <c r="AT200" s="4926" t="s">
        <v>5411</v>
      </c>
      <c r="AU200" s="4926" t="s">
        <v>5412</v>
      </c>
      <c r="AV200" s="4926" t="s">
        <v>5413</v>
      </c>
      <c r="AW200" s="4926" t="s">
        <v>5414</v>
      </c>
      <c r="AX200" s="4926" t="s">
        <v>5415</v>
      </c>
      <c r="AY200" s="1430"/>
      <c r="AZ200" s="6391"/>
      <c r="BA200" s="6391"/>
      <c r="BB200" s="4291"/>
      <c r="BC200" s="4291"/>
      <c r="BD200" s="4291"/>
      <c r="BE200" s="4291"/>
      <c r="BF200" s="4291"/>
      <c r="BG200" s="4291"/>
      <c r="BH200" s="4264"/>
      <c r="BI200" s="4264"/>
      <c r="CB200" s="4259"/>
      <c r="DB200" s="4295"/>
    </row>
    <row r="201" spans="1:127" ht="20.25" customHeight="1" x14ac:dyDescent="0.25">
      <c r="A201" s="7259" t="s">
        <v>4489</v>
      </c>
      <c r="B201" s="9104"/>
      <c r="C201" s="6536" t="s">
        <v>2805</v>
      </c>
      <c r="D201" s="6537" t="s">
        <v>5369</v>
      </c>
      <c r="E201" s="6538" t="s">
        <v>5370</v>
      </c>
      <c r="F201" s="6536" t="s">
        <v>5371</v>
      </c>
      <c r="G201" s="5307" t="s">
        <v>5372</v>
      </c>
      <c r="H201" s="5308" t="s">
        <v>5373</v>
      </c>
      <c r="I201" s="5307" t="s">
        <v>5374</v>
      </c>
      <c r="J201" s="5308" t="s">
        <v>5375</v>
      </c>
      <c r="K201" s="5307" t="s">
        <v>5376</v>
      </c>
      <c r="L201" s="5308" t="s">
        <v>5377</v>
      </c>
      <c r="M201" s="5307" t="s">
        <v>5378</v>
      </c>
      <c r="N201" s="5308" t="s">
        <v>5379</v>
      </c>
      <c r="O201" s="5307" t="s">
        <v>5380</v>
      </c>
      <c r="P201" s="5308" t="s">
        <v>5381</v>
      </c>
      <c r="Q201" s="5307" t="s">
        <v>5382</v>
      </c>
      <c r="R201" s="5308" t="s">
        <v>5383</v>
      </c>
      <c r="S201" s="5307" t="s">
        <v>5384</v>
      </c>
      <c r="T201" s="5308" t="s">
        <v>5385</v>
      </c>
      <c r="U201" s="5307" t="s">
        <v>5386</v>
      </c>
      <c r="V201" s="5308" t="s">
        <v>5387</v>
      </c>
      <c r="W201" s="5307" t="s">
        <v>5388</v>
      </c>
      <c r="X201" s="5308" t="s">
        <v>5389</v>
      </c>
      <c r="Y201" s="5307" t="s">
        <v>5390</v>
      </c>
      <c r="Z201" s="5308" t="s">
        <v>5391</v>
      </c>
      <c r="AA201" s="5307" t="s">
        <v>5392</v>
      </c>
      <c r="AB201" s="5308" t="s">
        <v>5393</v>
      </c>
      <c r="AC201" s="5307" t="s">
        <v>5394</v>
      </c>
      <c r="AD201" s="5308" t="s">
        <v>5395</v>
      </c>
      <c r="AE201" s="5307" t="s">
        <v>5396</v>
      </c>
      <c r="AF201" s="5308" t="s">
        <v>5397</v>
      </c>
      <c r="AG201" s="5307" t="s">
        <v>5398</v>
      </c>
      <c r="AH201" s="5308" t="s">
        <v>5399</v>
      </c>
      <c r="AI201" s="5307" t="s">
        <v>5400</v>
      </c>
      <c r="AJ201" s="5308" t="s">
        <v>5401</v>
      </c>
      <c r="AK201" s="5307" t="s">
        <v>5402</v>
      </c>
      <c r="AL201" s="5308" t="s">
        <v>5403</v>
      </c>
      <c r="AM201" s="5307" t="s">
        <v>5404</v>
      </c>
      <c r="AN201" s="6445" t="s">
        <v>5405</v>
      </c>
      <c r="AO201" s="6377" t="s">
        <v>5406</v>
      </c>
      <c r="AP201" s="6175" t="s">
        <v>5407</v>
      </c>
      <c r="AQ201" s="5307" t="s">
        <v>5408</v>
      </c>
      <c r="AR201" s="5308" t="s">
        <v>5409</v>
      </c>
      <c r="AS201" s="5308" t="s">
        <v>5410</v>
      </c>
      <c r="AT201" s="5308" t="s">
        <v>5411</v>
      </c>
      <c r="AU201" s="4926" t="s">
        <v>5412</v>
      </c>
      <c r="AV201" s="5308" t="s">
        <v>5413</v>
      </c>
      <c r="AW201" s="5308" t="s">
        <v>5414</v>
      </c>
      <c r="AX201" s="5308" t="s">
        <v>5415</v>
      </c>
      <c r="AY201" s="1430"/>
      <c r="AZ201" s="6391"/>
      <c r="BA201" s="6391"/>
      <c r="BB201" s="4291"/>
      <c r="BC201" s="4291"/>
      <c r="BD201" s="4291"/>
      <c r="BE201" s="4291"/>
      <c r="BF201" s="4291"/>
      <c r="BG201" s="4291"/>
      <c r="BH201" s="4264"/>
      <c r="BI201" s="4264"/>
      <c r="CB201" s="4259"/>
      <c r="DB201" s="4295"/>
    </row>
    <row r="202" spans="1:127" ht="20.25" customHeight="1" x14ac:dyDescent="0.25">
      <c r="A202" s="7288" t="s">
        <v>4490</v>
      </c>
      <c r="B202" s="9104"/>
      <c r="C202" s="6536" t="s">
        <v>2806</v>
      </c>
      <c r="D202" s="6537" t="s">
        <v>5369</v>
      </c>
      <c r="E202" s="6538" t="s">
        <v>5370</v>
      </c>
      <c r="F202" s="6536" t="s">
        <v>5371</v>
      </c>
      <c r="G202" s="5307" t="s">
        <v>5372</v>
      </c>
      <c r="H202" s="5308" t="s">
        <v>5373</v>
      </c>
      <c r="I202" s="5307" t="s">
        <v>5374</v>
      </c>
      <c r="J202" s="5308" t="s">
        <v>5375</v>
      </c>
      <c r="K202" s="5307" t="s">
        <v>5376</v>
      </c>
      <c r="L202" s="5308" t="s">
        <v>5377</v>
      </c>
      <c r="M202" s="5307" t="s">
        <v>5378</v>
      </c>
      <c r="N202" s="5308" t="s">
        <v>5379</v>
      </c>
      <c r="O202" s="5307" t="s">
        <v>5380</v>
      </c>
      <c r="P202" s="5308" t="s">
        <v>5381</v>
      </c>
      <c r="Q202" s="5307" t="s">
        <v>5382</v>
      </c>
      <c r="R202" s="5308" t="s">
        <v>5383</v>
      </c>
      <c r="S202" s="5307" t="s">
        <v>5384</v>
      </c>
      <c r="T202" s="5308" t="s">
        <v>5385</v>
      </c>
      <c r="U202" s="5307" t="s">
        <v>5386</v>
      </c>
      <c r="V202" s="5308" t="s">
        <v>5387</v>
      </c>
      <c r="W202" s="5307" t="s">
        <v>5388</v>
      </c>
      <c r="X202" s="5308" t="s">
        <v>5389</v>
      </c>
      <c r="Y202" s="5307" t="s">
        <v>5390</v>
      </c>
      <c r="Z202" s="5308" t="s">
        <v>5391</v>
      </c>
      <c r="AA202" s="5307" t="s">
        <v>5392</v>
      </c>
      <c r="AB202" s="5308" t="s">
        <v>5393</v>
      </c>
      <c r="AC202" s="5307" t="s">
        <v>5394</v>
      </c>
      <c r="AD202" s="5308" t="s">
        <v>5395</v>
      </c>
      <c r="AE202" s="5307" t="s">
        <v>5396</v>
      </c>
      <c r="AF202" s="5308" t="s">
        <v>5397</v>
      </c>
      <c r="AG202" s="5307" t="s">
        <v>5398</v>
      </c>
      <c r="AH202" s="5308" t="s">
        <v>5399</v>
      </c>
      <c r="AI202" s="5307" t="s">
        <v>5400</v>
      </c>
      <c r="AJ202" s="5308" t="s">
        <v>5401</v>
      </c>
      <c r="AK202" s="5307" t="s">
        <v>5402</v>
      </c>
      <c r="AL202" s="5308" t="s">
        <v>5403</v>
      </c>
      <c r="AM202" s="5307" t="s">
        <v>5404</v>
      </c>
      <c r="AN202" s="6445" t="s">
        <v>5405</v>
      </c>
      <c r="AO202" s="6377" t="s">
        <v>5406</v>
      </c>
      <c r="AP202" s="6175" t="s">
        <v>5407</v>
      </c>
      <c r="AQ202" s="5307" t="s">
        <v>5408</v>
      </c>
      <c r="AR202" s="5308" t="s">
        <v>5409</v>
      </c>
      <c r="AS202" s="5308" t="s">
        <v>5410</v>
      </c>
      <c r="AT202" s="5308" t="s">
        <v>5411</v>
      </c>
      <c r="AU202" s="4926" t="s">
        <v>5412</v>
      </c>
      <c r="AV202" s="5308" t="s">
        <v>5413</v>
      </c>
      <c r="AW202" s="5308" t="s">
        <v>5414</v>
      </c>
      <c r="AX202" s="5308" t="s">
        <v>5415</v>
      </c>
      <c r="AY202" s="1430"/>
      <c r="AZ202" s="6391"/>
      <c r="BA202" s="6391"/>
      <c r="BB202" s="4291"/>
      <c r="BC202" s="4291"/>
      <c r="BD202" s="4291"/>
      <c r="BE202" s="4291"/>
      <c r="BF202" s="4291"/>
      <c r="BG202" s="4291"/>
      <c r="BH202" s="4264"/>
      <c r="BI202" s="4264"/>
      <c r="CB202" s="4259"/>
      <c r="DB202" s="4295"/>
    </row>
    <row r="203" spans="1:127" ht="20.25" customHeight="1" x14ac:dyDescent="0.25">
      <c r="A203" s="7288" t="s">
        <v>4491</v>
      </c>
      <c r="B203" s="9062"/>
      <c r="C203" s="6500" t="s">
        <v>2807</v>
      </c>
      <c r="D203" s="6539" t="s">
        <v>5369</v>
      </c>
      <c r="E203" s="6540" t="s">
        <v>5370</v>
      </c>
      <c r="F203" s="6500" t="s">
        <v>5371</v>
      </c>
      <c r="G203" s="4387" t="s">
        <v>5372</v>
      </c>
      <c r="H203" s="4479" t="s">
        <v>5373</v>
      </c>
      <c r="I203" s="4387" t="s">
        <v>5374</v>
      </c>
      <c r="J203" s="4479" t="s">
        <v>5375</v>
      </c>
      <c r="K203" s="4387" t="s">
        <v>5376</v>
      </c>
      <c r="L203" s="4479" t="s">
        <v>5377</v>
      </c>
      <c r="M203" s="4387" t="s">
        <v>5378</v>
      </c>
      <c r="N203" s="4479" t="s">
        <v>5379</v>
      </c>
      <c r="O203" s="4387" t="s">
        <v>5380</v>
      </c>
      <c r="P203" s="4479" t="s">
        <v>5381</v>
      </c>
      <c r="Q203" s="4387" t="s">
        <v>5382</v>
      </c>
      <c r="R203" s="4479" t="s">
        <v>5383</v>
      </c>
      <c r="S203" s="4387" t="s">
        <v>5384</v>
      </c>
      <c r="T203" s="4479" t="s">
        <v>5385</v>
      </c>
      <c r="U203" s="4387" t="s">
        <v>5386</v>
      </c>
      <c r="V203" s="4479" t="s">
        <v>5387</v>
      </c>
      <c r="W203" s="4387" t="s">
        <v>5388</v>
      </c>
      <c r="X203" s="4479" t="s">
        <v>5389</v>
      </c>
      <c r="Y203" s="4387" t="s">
        <v>5390</v>
      </c>
      <c r="Z203" s="4479" t="s">
        <v>5391</v>
      </c>
      <c r="AA203" s="4387" t="s">
        <v>5392</v>
      </c>
      <c r="AB203" s="4479" t="s">
        <v>5393</v>
      </c>
      <c r="AC203" s="4387" t="s">
        <v>5394</v>
      </c>
      <c r="AD203" s="4479" t="s">
        <v>5395</v>
      </c>
      <c r="AE203" s="4387" t="s">
        <v>5396</v>
      </c>
      <c r="AF203" s="4479" t="s">
        <v>5397</v>
      </c>
      <c r="AG203" s="4387" t="s">
        <v>5398</v>
      </c>
      <c r="AH203" s="4479" t="s">
        <v>5399</v>
      </c>
      <c r="AI203" s="4387" t="s">
        <v>5400</v>
      </c>
      <c r="AJ203" s="4479" t="s">
        <v>5401</v>
      </c>
      <c r="AK203" s="4387" t="s">
        <v>5402</v>
      </c>
      <c r="AL203" s="4479" t="s">
        <v>5403</v>
      </c>
      <c r="AM203" s="4387" t="s">
        <v>5404</v>
      </c>
      <c r="AN203" s="6541" t="s">
        <v>5405</v>
      </c>
      <c r="AO203" s="4467" t="s">
        <v>5406</v>
      </c>
      <c r="AP203" s="4468" t="s">
        <v>5407</v>
      </c>
      <c r="AQ203" s="4387" t="s">
        <v>5408</v>
      </c>
      <c r="AR203" s="4479" t="s">
        <v>5409</v>
      </c>
      <c r="AS203" s="4479" t="s">
        <v>5410</v>
      </c>
      <c r="AT203" s="4479" t="s">
        <v>5411</v>
      </c>
      <c r="AU203" s="4378" t="s">
        <v>5412</v>
      </c>
      <c r="AV203" s="4479" t="s">
        <v>5413</v>
      </c>
      <c r="AW203" s="4479" t="s">
        <v>5414</v>
      </c>
      <c r="AX203" s="4479" t="s">
        <v>5415</v>
      </c>
      <c r="AY203" s="1430"/>
      <c r="AZ203" s="6391"/>
      <c r="BA203" s="6391"/>
      <c r="BB203" s="4291"/>
      <c r="BC203" s="4291"/>
      <c r="BD203" s="4291"/>
      <c r="BE203" s="4291"/>
      <c r="BF203" s="4291"/>
      <c r="BG203" s="4291"/>
      <c r="BH203" s="4264"/>
      <c r="BI203" s="4264"/>
      <c r="CB203" s="4259"/>
      <c r="DB203" s="4295"/>
    </row>
    <row r="204" spans="1:127" ht="22.35" customHeight="1" x14ac:dyDescent="0.25">
      <c r="A204" s="7278" t="s">
        <v>4492</v>
      </c>
      <c r="B204" s="9088" t="s">
        <v>763</v>
      </c>
      <c r="C204" s="6495" t="s">
        <v>762</v>
      </c>
      <c r="D204" s="6496" t="s">
        <v>5369</v>
      </c>
      <c r="E204" s="6497" t="s">
        <v>5370</v>
      </c>
      <c r="F204" s="6495" t="s">
        <v>5371</v>
      </c>
      <c r="G204" s="6186" t="s">
        <v>5372</v>
      </c>
      <c r="H204" s="6224" t="s">
        <v>5373</v>
      </c>
      <c r="I204" s="6186" t="s">
        <v>5374</v>
      </c>
      <c r="J204" s="6224" t="s">
        <v>5375</v>
      </c>
      <c r="K204" s="6186" t="s">
        <v>5376</v>
      </c>
      <c r="L204" s="6224" t="s">
        <v>5377</v>
      </c>
      <c r="M204" s="6186" t="s">
        <v>5378</v>
      </c>
      <c r="N204" s="6224" t="s">
        <v>5379</v>
      </c>
      <c r="O204" s="6186" t="s">
        <v>5380</v>
      </c>
      <c r="P204" s="6224" t="s">
        <v>5381</v>
      </c>
      <c r="Q204" s="7195" t="s">
        <v>5382</v>
      </c>
      <c r="R204" s="7196" t="s">
        <v>5383</v>
      </c>
      <c r="S204" s="7196" t="s">
        <v>5384</v>
      </c>
      <c r="T204" s="7196" t="s">
        <v>5385</v>
      </c>
      <c r="U204" s="7196" t="s">
        <v>5386</v>
      </c>
      <c r="V204" s="7196" t="s">
        <v>5387</v>
      </c>
      <c r="W204" s="7196" t="s">
        <v>5388</v>
      </c>
      <c r="X204" s="7196" t="s">
        <v>5389</v>
      </c>
      <c r="Y204" s="7196" t="s">
        <v>5390</v>
      </c>
      <c r="Z204" s="7196" t="s">
        <v>5391</v>
      </c>
      <c r="AA204" s="7196" t="s">
        <v>5392</v>
      </c>
      <c r="AB204" s="7196" t="s">
        <v>5393</v>
      </c>
      <c r="AC204" s="7196" t="s">
        <v>5394</v>
      </c>
      <c r="AD204" s="7196" t="s">
        <v>5395</v>
      </c>
      <c r="AE204" s="7196" t="s">
        <v>5396</v>
      </c>
      <c r="AF204" s="7196" t="s">
        <v>5397</v>
      </c>
      <c r="AG204" s="7196" t="s">
        <v>5398</v>
      </c>
      <c r="AH204" s="7196" t="s">
        <v>5399</v>
      </c>
      <c r="AI204" s="7196" t="s">
        <v>5400</v>
      </c>
      <c r="AJ204" s="7196" t="s">
        <v>5401</v>
      </c>
      <c r="AK204" s="7196" t="s">
        <v>5402</v>
      </c>
      <c r="AL204" s="7196" t="s">
        <v>5403</v>
      </c>
      <c r="AM204" s="7196" t="s">
        <v>5404</v>
      </c>
      <c r="AN204" s="7197" t="s">
        <v>5405</v>
      </c>
      <c r="AO204" s="6498" t="s">
        <v>5406</v>
      </c>
      <c r="AP204" s="7204" t="s">
        <v>5407</v>
      </c>
      <c r="AQ204" s="6186" t="s">
        <v>5408</v>
      </c>
      <c r="AR204" s="5349" t="s">
        <v>5409</v>
      </c>
      <c r="AS204" s="5349" t="s">
        <v>5410</v>
      </c>
      <c r="AT204" s="5349" t="s">
        <v>5411</v>
      </c>
      <c r="AU204" s="6535" t="s">
        <v>5412</v>
      </c>
      <c r="AV204" s="5349" t="s">
        <v>5413</v>
      </c>
      <c r="AW204" s="5349" t="s">
        <v>5414</v>
      </c>
      <c r="AX204" s="5349" t="s">
        <v>5415</v>
      </c>
      <c r="AY204" s="1430"/>
      <c r="AZ204" s="6391"/>
      <c r="BA204" s="6391"/>
      <c r="BB204" s="4291"/>
      <c r="BC204" s="4291"/>
      <c r="BD204" s="4291"/>
      <c r="BE204" s="4291"/>
      <c r="BF204" s="4291"/>
      <c r="BG204" s="4291"/>
      <c r="BH204" s="4264"/>
      <c r="BI204" s="4264"/>
      <c r="CB204" s="4259"/>
      <c r="DB204" s="4295"/>
    </row>
    <row r="205" spans="1:127" ht="27" customHeight="1" x14ac:dyDescent="0.25">
      <c r="A205" s="7278" t="s">
        <v>4493</v>
      </c>
      <c r="B205" s="9062"/>
      <c r="C205" s="6518" t="s">
        <v>761</v>
      </c>
      <c r="D205" s="6519" t="s">
        <v>5369</v>
      </c>
      <c r="E205" s="6520" t="s">
        <v>5370</v>
      </c>
      <c r="F205" s="6518" t="s">
        <v>5371</v>
      </c>
      <c r="G205" s="4369" t="s">
        <v>5372</v>
      </c>
      <c r="H205" s="5330" t="s">
        <v>5373</v>
      </c>
      <c r="I205" s="4369" t="s">
        <v>5374</v>
      </c>
      <c r="J205" s="5330" t="s">
        <v>5375</v>
      </c>
      <c r="K205" s="4369" t="s">
        <v>5376</v>
      </c>
      <c r="L205" s="5330" t="s">
        <v>5377</v>
      </c>
      <c r="M205" s="4369" t="s">
        <v>5378</v>
      </c>
      <c r="N205" s="5330" t="s">
        <v>5379</v>
      </c>
      <c r="O205" s="4369" t="s">
        <v>5380</v>
      </c>
      <c r="P205" s="5330" t="s">
        <v>5381</v>
      </c>
      <c r="Q205" s="7198" t="s">
        <v>5382</v>
      </c>
      <c r="R205" s="7199" t="s">
        <v>5383</v>
      </c>
      <c r="S205" s="7199" t="s">
        <v>5384</v>
      </c>
      <c r="T205" s="7199" t="s">
        <v>5385</v>
      </c>
      <c r="U205" s="7199" t="s">
        <v>5386</v>
      </c>
      <c r="V205" s="7199" t="s">
        <v>5387</v>
      </c>
      <c r="W205" s="7199" t="s">
        <v>5388</v>
      </c>
      <c r="X205" s="7199" t="s">
        <v>5389</v>
      </c>
      <c r="Y205" s="7199" t="s">
        <v>5390</v>
      </c>
      <c r="Z205" s="7199" t="s">
        <v>5391</v>
      </c>
      <c r="AA205" s="7199" t="s">
        <v>5392</v>
      </c>
      <c r="AB205" s="7199" t="s">
        <v>5393</v>
      </c>
      <c r="AC205" s="7199" t="s">
        <v>5394</v>
      </c>
      <c r="AD205" s="7199" t="s">
        <v>5395</v>
      </c>
      <c r="AE205" s="7199" t="s">
        <v>5396</v>
      </c>
      <c r="AF205" s="7199" t="s">
        <v>5397</v>
      </c>
      <c r="AG205" s="7199" t="s">
        <v>5398</v>
      </c>
      <c r="AH205" s="7199" t="s">
        <v>5399</v>
      </c>
      <c r="AI205" s="7199" t="s">
        <v>5400</v>
      </c>
      <c r="AJ205" s="7199" t="s">
        <v>5401</v>
      </c>
      <c r="AK205" s="7199" t="s">
        <v>5402</v>
      </c>
      <c r="AL205" s="7199" t="s">
        <v>5403</v>
      </c>
      <c r="AM205" s="7199" t="s">
        <v>5404</v>
      </c>
      <c r="AN205" s="7200" t="s">
        <v>5405</v>
      </c>
      <c r="AO205" s="4459" t="s">
        <v>5406</v>
      </c>
      <c r="AP205" s="7205" t="s">
        <v>5407</v>
      </c>
      <c r="AQ205" s="4369" t="s">
        <v>5408</v>
      </c>
      <c r="AR205" s="4926" t="s">
        <v>5409</v>
      </c>
      <c r="AS205" s="4926" t="s">
        <v>5410</v>
      </c>
      <c r="AT205" s="4926" t="s">
        <v>5411</v>
      </c>
      <c r="AU205" s="4926" t="s">
        <v>5412</v>
      </c>
      <c r="AV205" s="4926" t="s">
        <v>5413</v>
      </c>
      <c r="AW205" s="4926" t="s">
        <v>5414</v>
      </c>
      <c r="AX205" s="4926" t="s">
        <v>5415</v>
      </c>
      <c r="AY205" s="1430"/>
      <c r="AZ205" s="6391"/>
      <c r="BA205" s="6391"/>
      <c r="BB205" s="4291"/>
      <c r="BC205" s="4291"/>
      <c r="BD205" s="4291"/>
      <c r="BE205" s="4291"/>
      <c r="BF205" s="4291"/>
      <c r="BG205" s="4291"/>
      <c r="BH205" s="4264"/>
      <c r="BI205" s="4264"/>
      <c r="CB205" s="4259"/>
      <c r="DB205" s="4295"/>
    </row>
    <row r="206" spans="1:127" ht="25.5" customHeight="1" x14ac:dyDescent="0.25">
      <c r="A206" s="7278" t="s">
        <v>4494</v>
      </c>
      <c r="B206" s="9062"/>
      <c r="C206" s="6518" t="s">
        <v>760</v>
      </c>
      <c r="D206" s="6519" t="s">
        <v>5369</v>
      </c>
      <c r="E206" s="6520" t="s">
        <v>5370</v>
      </c>
      <c r="F206" s="6518" t="s">
        <v>5371</v>
      </c>
      <c r="G206" s="4369" t="s">
        <v>5372</v>
      </c>
      <c r="H206" s="5330" t="s">
        <v>5373</v>
      </c>
      <c r="I206" s="4369" t="s">
        <v>5374</v>
      </c>
      <c r="J206" s="5330" t="s">
        <v>5375</v>
      </c>
      <c r="K206" s="4369" t="s">
        <v>5376</v>
      </c>
      <c r="L206" s="5330" t="s">
        <v>5377</v>
      </c>
      <c r="M206" s="4369" t="s">
        <v>5378</v>
      </c>
      <c r="N206" s="5330" t="s">
        <v>5379</v>
      </c>
      <c r="O206" s="4369" t="s">
        <v>5380</v>
      </c>
      <c r="P206" s="5330" t="s">
        <v>5381</v>
      </c>
      <c r="Q206" s="7198" t="s">
        <v>5382</v>
      </c>
      <c r="R206" s="7199" t="s">
        <v>5383</v>
      </c>
      <c r="S206" s="7199" t="s">
        <v>5384</v>
      </c>
      <c r="T206" s="7199" t="s">
        <v>5385</v>
      </c>
      <c r="U206" s="7199" t="s">
        <v>5386</v>
      </c>
      <c r="V206" s="7199" t="s">
        <v>5387</v>
      </c>
      <c r="W206" s="7199" t="s">
        <v>5388</v>
      </c>
      <c r="X206" s="7199" t="s">
        <v>5389</v>
      </c>
      <c r="Y206" s="7199" t="s">
        <v>5390</v>
      </c>
      <c r="Z206" s="7199" t="s">
        <v>5391</v>
      </c>
      <c r="AA206" s="7199" t="s">
        <v>5392</v>
      </c>
      <c r="AB206" s="7199" t="s">
        <v>5393</v>
      </c>
      <c r="AC206" s="7199" t="s">
        <v>5394</v>
      </c>
      <c r="AD206" s="7199" t="s">
        <v>5395</v>
      </c>
      <c r="AE206" s="7199" t="s">
        <v>5396</v>
      </c>
      <c r="AF206" s="7199" t="s">
        <v>5397</v>
      </c>
      <c r="AG206" s="7199" t="s">
        <v>5398</v>
      </c>
      <c r="AH206" s="7199" t="s">
        <v>5399</v>
      </c>
      <c r="AI206" s="7199" t="s">
        <v>5400</v>
      </c>
      <c r="AJ206" s="7199" t="s">
        <v>5401</v>
      </c>
      <c r="AK206" s="7199" t="s">
        <v>5402</v>
      </c>
      <c r="AL206" s="7199" t="s">
        <v>5403</v>
      </c>
      <c r="AM206" s="7199" t="s">
        <v>5404</v>
      </c>
      <c r="AN206" s="7200" t="s">
        <v>5405</v>
      </c>
      <c r="AO206" s="4459" t="s">
        <v>5406</v>
      </c>
      <c r="AP206" s="7205" t="s">
        <v>5407</v>
      </c>
      <c r="AQ206" s="4369" t="s">
        <v>5408</v>
      </c>
      <c r="AR206" s="4926" t="s">
        <v>5409</v>
      </c>
      <c r="AS206" s="4926" t="s">
        <v>5410</v>
      </c>
      <c r="AT206" s="4926" t="s">
        <v>5411</v>
      </c>
      <c r="AU206" s="4926" t="s">
        <v>5412</v>
      </c>
      <c r="AV206" s="4926" t="s">
        <v>5413</v>
      </c>
      <c r="AW206" s="4926" t="s">
        <v>5414</v>
      </c>
      <c r="AX206" s="4926" t="s">
        <v>5415</v>
      </c>
      <c r="AY206" s="1430"/>
      <c r="AZ206" s="6391"/>
      <c r="BA206" s="6391"/>
      <c r="BB206" s="4291"/>
      <c r="BC206" s="4291"/>
      <c r="BD206" s="4291"/>
      <c r="BE206" s="4291"/>
      <c r="BF206" s="4291"/>
      <c r="BG206" s="4291"/>
      <c r="BH206" s="4264"/>
      <c r="BI206" s="4264"/>
      <c r="CB206" s="4259"/>
      <c r="DB206" s="4295"/>
    </row>
    <row r="207" spans="1:127" ht="46.5" customHeight="1" x14ac:dyDescent="0.25">
      <c r="A207" s="7278" t="s">
        <v>4495</v>
      </c>
      <c r="B207" s="9089"/>
      <c r="C207" s="6500" t="s">
        <v>759</v>
      </c>
      <c r="D207" s="6539" t="s">
        <v>5369</v>
      </c>
      <c r="E207" s="6540" t="s">
        <v>5370</v>
      </c>
      <c r="F207" s="6500" t="s">
        <v>5371</v>
      </c>
      <c r="G207" s="4387" t="s">
        <v>5372</v>
      </c>
      <c r="H207" s="4479" t="s">
        <v>5373</v>
      </c>
      <c r="I207" s="4387" t="s">
        <v>5374</v>
      </c>
      <c r="J207" s="4479" t="s">
        <v>5375</v>
      </c>
      <c r="K207" s="4387" t="s">
        <v>5376</v>
      </c>
      <c r="L207" s="4479" t="s">
        <v>5377</v>
      </c>
      <c r="M207" s="4387" t="s">
        <v>5378</v>
      </c>
      <c r="N207" s="4479" t="s">
        <v>5379</v>
      </c>
      <c r="O207" s="4387" t="s">
        <v>5380</v>
      </c>
      <c r="P207" s="4479" t="s">
        <v>5381</v>
      </c>
      <c r="Q207" s="7201" t="s">
        <v>5382</v>
      </c>
      <c r="R207" s="7202" t="s">
        <v>5383</v>
      </c>
      <c r="S207" s="7202" t="s">
        <v>5384</v>
      </c>
      <c r="T207" s="7202" t="s">
        <v>5385</v>
      </c>
      <c r="U207" s="7202" t="s">
        <v>5386</v>
      </c>
      <c r="V207" s="7202" t="s">
        <v>5387</v>
      </c>
      <c r="W207" s="7202" t="s">
        <v>5388</v>
      </c>
      <c r="X207" s="7202" t="s">
        <v>5389</v>
      </c>
      <c r="Y207" s="7202" t="s">
        <v>5390</v>
      </c>
      <c r="Z207" s="7202" t="s">
        <v>5391</v>
      </c>
      <c r="AA207" s="7202" t="s">
        <v>5392</v>
      </c>
      <c r="AB207" s="7202" t="s">
        <v>5393</v>
      </c>
      <c r="AC207" s="7202" t="s">
        <v>5394</v>
      </c>
      <c r="AD207" s="7202" t="s">
        <v>5395</v>
      </c>
      <c r="AE207" s="7202" t="s">
        <v>5396</v>
      </c>
      <c r="AF207" s="7202" t="s">
        <v>5397</v>
      </c>
      <c r="AG207" s="7202" t="s">
        <v>5398</v>
      </c>
      <c r="AH207" s="7202" t="s">
        <v>5399</v>
      </c>
      <c r="AI207" s="7202" t="s">
        <v>5400</v>
      </c>
      <c r="AJ207" s="7202" t="s">
        <v>5401</v>
      </c>
      <c r="AK207" s="7202" t="s">
        <v>5402</v>
      </c>
      <c r="AL207" s="7202" t="s">
        <v>5403</v>
      </c>
      <c r="AM207" s="7202" t="s">
        <v>5404</v>
      </c>
      <c r="AN207" s="7203" t="s">
        <v>5405</v>
      </c>
      <c r="AO207" s="4467" t="s">
        <v>5406</v>
      </c>
      <c r="AP207" s="7206" t="s">
        <v>5407</v>
      </c>
      <c r="AQ207" s="4387" t="s">
        <v>5408</v>
      </c>
      <c r="AR207" s="4479" t="s">
        <v>5409</v>
      </c>
      <c r="AS207" s="4479" t="s">
        <v>5410</v>
      </c>
      <c r="AT207" s="4479" t="s">
        <v>5411</v>
      </c>
      <c r="AU207" s="4378" t="s">
        <v>5412</v>
      </c>
      <c r="AV207" s="4479" t="s">
        <v>5413</v>
      </c>
      <c r="AW207" s="4479" t="s">
        <v>5414</v>
      </c>
      <c r="AX207" s="4479" t="s">
        <v>5415</v>
      </c>
      <c r="AY207" s="1430"/>
      <c r="AZ207" s="6391"/>
      <c r="BA207" s="6391"/>
      <c r="BB207" s="4291"/>
      <c r="BC207" s="4291"/>
      <c r="BD207" s="4291"/>
      <c r="BE207" s="4291"/>
      <c r="BF207" s="4291"/>
      <c r="BG207" s="4291"/>
      <c r="BH207" s="4264"/>
      <c r="BI207" s="4264"/>
      <c r="CB207" s="4259"/>
      <c r="DB207" s="4295"/>
    </row>
    <row r="208" spans="1:127" ht="24.75" customHeight="1" x14ac:dyDescent="0.25">
      <c r="A208" s="7278" t="s">
        <v>4496</v>
      </c>
      <c r="B208" s="9088" t="s">
        <v>758</v>
      </c>
      <c r="C208" s="6542" t="s">
        <v>789</v>
      </c>
      <c r="D208" s="6515" t="s">
        <v>5369</v>
      </c>
      <c r="E208" s="6516" t="s">
        <v>5370</v>
      </c>
      <c r="F208" s="6514" t="s">
        <v>5371</v>
      </c>
      <c r="G208" s="6400" t="s">
        <v>5372</v>
      </c>
      <c r="H208" s="6260" t="s">
        <v>5373</v>
      </c>
      <c r="I208" s="6400" t="s">
        <v>5374</v>
      </c>
      <c r="J208" s="6260" t="s">
        <v>5375</v>
      </c>
      <c r="K208" s="6400" t="s">
        <v>5376</v>
      </c>
      <c r="L208" s="6260" t="s">
        <v>5377</v>
      </c>
      <c r="M208" s="6400" t="s">
        <v>5378</v>
      </c>
      <c r="N208" s="6260" t="s">
        <v>5379</v>
      </c>
      <c r="O208" s="6400" t="s">
        <v>5380</v>
      </c>
      <c r="P208" s="6260" t="s">
        <v>5381</v>
      </c>
      <c r="Q208" s="6400" t="s">
        <v>5382</v>
      </c>
      <c r="R208" s="6260" t="s">
        <v>5383</v>
      </c>
      <c r="S208" s="6400" t="s">
        <v>5384</v>
      </c>
      <c r="T208" s="6260" t="s">
        <v>5385</v>
      </c>
      <c r="U208" s="6400" t="s">
        <v>5386</v>
      </c>
      <c r="V208" s="6260" t="s">
        <v>5387</v>
      </c>
      <c r="W208" s="6400" t="s">
        <v>5388</v>
      </c>
      <c r="X208" s="6260" t="s">
        <v>5389</v>
      </c>
      <c r="Y208" s="6400" t="s">
        <v>5390</v>
      </c>
      <c r="Z208" s="6260" t="s">
        <v>5391</v>
      </c>
      <c r="AA208" s="6400" t="s">
        <v>5392</v>
      </c>
      <c r="AB208" s="6260" t="s">
        <v>5393</v>
      </c>
      <c r="AC208" s="6400" t="s">
        <v>5394</v>
      </c>
      <c r="AD208" s="6260" t="s">
        <v>5395</v>
      </c>
      <c r="AE208" s="6400" t="s">
        <v>5396</v>
      </c>
      <c r="AF208" s="6260" t="s">
        <v>5397</v>
      </c>
      <c r="AG208" s="6400" t="s">
        <v>5398</v>
      </c>
      <c r="AH208" s="6260" t="s">
        <v>5399</v>
      </c>
      <c r="AI208" s="6400" t="s">
        <v>5400</v>
      </c>
      <c r="AJ208" s="6260" t="s">
        <v>5401</v>
      </c>
      <c r="AK208" s="6400" t="s">
        <v>5402</v>
      </c>
      <c r="AL208" s="6260" t="s">
        <v>5403</v>
      </c>
      <c r="AM208" s="6400" t="s">
        <v>5404</v>
      </c>
      <c r="AN208" s="6543" t="s">
        <v>5405</v>
      </c>
      <c r="AO208" s="6260" t="s">
        <v>5406</v>
      </c>
      <c r="AP208" s="6325" t="s">
        <v>5407</v>
      </c>
      <c r="AQ208" s="6336" t="s">
        <v>5408</v>
      </c>
      <c r="AR208" s="6260" t="s">
        <v>5409</v>
      </c>
      <c r="AS208" s="6260" t="s">
        <v>5410</v>
      </c>
      <c r="AT208" s="6260" t="s">
        <v>5411</v>
      </c>
      <c r="AU208" s="4038" t="s">
        <v>5412</v>
      </c>
      <c r="AV208" s="5300" t="s">
        <v>5413</v>
      </c>
      <c r="AW208" s="5300" t="s">
        <v>5414</v>
      </c>
      <c r="AX208" s="5300" t="s">
        <v>5415</v>
      </c>
      <c r="AY208" s="1430"/>
      <c r="AZ208" s="6391"/>
      <c r="BA208" s="6391"/>
      <c r="BB208" s="4291"/>
      <c r="BC208" s="4291"/>
      <c r="BD208" s="4291"/>
      <c r="BE208" s="4291"/>
      <c r="BF208" s="4291"/>
      <c r="BG208" s="4291"/>
      <c r="BH208" s="4264"/>
      <c r="BI208" s="4264"/>
      <c r="CB208" s="4259"/>
      <c r="DB208" s="4295"/>
      <c r="DC208" s="5899">
        <v>0</v>
      </c>
      <c r="DE208" s="5899">
        <v>0</v>
      </c>
      <c r="DI208" s="5899">
        <v>0</v>
      </c>
      <c r="DK208" s="5899">
        <v>0</v>
      </c>
      <c r="DM208" s="5899">
        <v>0</v>
      </c>
      <c r="DO208" s="5899">
        <v>0</v>
      </c>
      <c r="DQ208" s="5899">
        <v>0</v>
      </c>
      <c r="DS208" s="5899">
        <v>0</v>
      </c>
      <c r="DU208" s="5899">
        <v>0</v>
      </c>
      <c r="DW208" s="5899">
        <v>0</v>
      </c>
    </row>
    <row r="209" spans="1:122" ht="20.25" customHeight="1" x14ac:dyDescent="0.25">
      <c r="A209" s="7288" t="s">
        <v>4497</v>
      </c>
      <c r="B209" s="9062"/>
      <c r="C209" s="6544" t="s">
        <v>2667</v>
      </c>
      <c r="D209" s="6519" t="s">
        <v>5369</v>
      </c>
      <c r="E209" s="6520" t="s">
        <v>5370</v>
      </c>
      <c r="F209" s="6518" t="s">
        <v>5371</v>
      </c>
      <c r="G209" s="4369" t="s">
        <v>5372</v>
      </c>
      <c r="H209" s="5330" t="s">
        <v>5373</v>
      </c>
      <c r="I209" s="4369" t="s">
        <v>5374</v>
      </c>
      <c r="J209" s="5330" t="s">
        <v>5375</v>
      </c>
      <c r="K209" s="4369" t="s">
        <v>5376</v>
      </c>
      <c r="L209" s="5330" t="s">
        <v>5377</v>
      </c>
      <c r="M209" s="4369" t="s">
        <v>5378</v>
      </c>
      <c r="N209" s="5330" t="s">
        <v>5379</v>
      </c>
      <c r="O209" s="4369" t="s">
        <v>5380</v>
      </c>
      <c r="P209" s="5330" t="s">
        <v>5381</v>
      </c>
      <c r="Q209" s="4369" t="s">
        <v>5382</v>
      </c>
      <c r="R209" s="5330" t="s">
        <v>5383</v>
      </c>
      <c r="S209" s="4369" t="s">
        <v>5384</v>
      </c>
      <c r="T209" s="5330" t="s">
        <v>5385</v>
      </c>
      <c r="U209" s="4369" t="s">
        <v>5386</v>
      </c>
      <c r="V209" s="5330" t="s">
        <v>5387</v>
      </c>
      <c r="W209" s="4369" t="s">
        <v>5388</v>
      </c>
      <c r="X209" s="5330" t="s">
        <v>5389</v>
      </c>
      <c r="Y209" s="4369" t="s">
        <v>5390</v>
      </c>
      <c r="Z209" s="5330" t="s">
        <v>5391</v>
      </c>
      <c r="AA209" s="4369" t="s">
        <v>5392</v>
      </c>
      <c r="AB209" s="5330" t="s">
        <v>5393</v>
      </c>
      <c r="AC209" s="4369" t="s">
        <v>5394</v>
      </c>
      <c r="AD209" s="5330" t="s">
        <v>5395</v>
      </c>
      <c r="AE209" s="4369" t="s">
        <v>5396</v>
      </c>
      <c r="AF209" s="5330" t="s">
        <v>5397</v>
      </c>
      <c r="AG209" s="4369" t="s">
        <v>5398</v>
      </c>
      <c r="AH209" s="5330" t="s">
        <v>5399</v>
      </c>
      <c r="AI209" s="4369" t="s">
        <v>5400</v>
      </c>
      <c r="AJ209" s="5330" t="s">
        <v>5401</v>
      </c>
      <c r="AK209" s="4369" t="s">
        <v>5402</v>
      </c>
      <c r="AL209" s="5330" t="s">
        <v>5403</v>
      </c>
      <c r="AM209" s="4369" t="s">
        <v>5404</v>
      </c>
      <c r="AN209" s="6193" t="s">
        <v>5405</v>
      </c>
      <c r="AO209" s="5330" t="s">
        <v>5406</v>
      </c>
      <c r="AP209" s="4460" t="s">
        <v>5407</v>
      </c>
      <c r="AQ209" s="6338" t="s">
        <v>5408</v>
      </c>
      <c r="AR209" s="5330" t="s">
        <v>5409</v>
      </c>
      <c r="AS209" s="5330" t="s">
        <v>5410</v>
      </c>
      <c r="AT209" s="5330" t="s">
        <v>5411</v>
      </c>
      <c r="AU209" s="5855" t="s">
        <v>5412</v>
      </c>
      <c r="AV209" s="4460" t="s">
        <v>5413</v>
      </c>
      <c r="AW209" s="4460" t="s">
        <v>5414</v>
      </c>
      <c r="AX209" s="4460" t="s">
        <v>5415</v>
      </c>
      <c r="AY209" s="1430"/>
      <c r="AZ209" s="6391"/>
      <c r="BA209" s="6391"/>
      <c r="BB209" s="4291"/>
      <c r="BC209" s="4291"/>
      <c r="BD209" s="4291"/>
      <c r="BE209" s="4291"/>
      <c r="BF209" s="4291"/>
      <c r="BG209" s="4291"/>
      <c r="BH209" s="4264"/>
      <c r="BI209" s="4264"/>
      <c r="CB209" s="4259"/>
      <c r="DB209" s="4295"/>
    </row>
    <row r="210" spans="1:122" ht="20.25" customHeight="1" x14ac:dyDescent="0.25">
      <c r="A210" s="7278" t="s">
        <v>4498</v>
      </c>
      <c r="B210" s="9062"/>
      <c r="C210" s="6523" t="s">
        <v>756</v>
      </c>
      <c r="D210" s="6519" t="s">
        <v>5369</v>
      </c>
      <c r="E210" s="6520" t="s">
        <v>5370</v>
      </c>
      <c r="F210" s="6518" t="s">
        <v>5371</v>
      </c>
      <c r="G210" s="4369" t="s">
        <v>5372</v>
      </c>
      <c r="H210" s="5330" t="s">
        <v>5373</v>
      </c>
      <c r="I210" s="4369" t="s">
        <v>5374</v>
      </c>
      <c r="J210" s="5330" t="s">
        <v>5375</v>
      </c>
      <c r="K210" s="4369" t="s">
        <v>5376</v>
      </c>
      <c r="L210" s="5330" t="s">
        <v>5377</v>
      </c>
      <c r="M210" s="4369" t="s">
        <v>5378</v>
      </c>
      <c r="N210" s="5330" t="s">
        <v>5379</v>
      </c>
      <c r="O210" s="4369" t="s">
        <v>5380</v>
      </c>
      <c r="P210" s="5330" t="s">
        <v>5381</v>
      </c>
      <c r="Q210" s="4369" t="s">
        <v>5382</v>
      </c>
      <c r="R210" s="5330" t="s">
        <v>5383</v>
      </c>
      <c r="S210" s="4369" t="s">
        <v>5384</v>
      </c>
      <c r="T210" s="5330" t="s">
        <v>5385</v>
      </c>
      <c r="U210" s="4369" t="s">
        <v>5386</v>
      </c>
      <c r="V210" s="5330" t="s">
        <v>5387</v>
      </c>
      <c r="W210" s="4369" t="s">
        <v>5388</v>
      </c>
      <c r="X210" s="5330" t="s">
        <v>5389</v>
      </c>
      <c r="Y210" s="4369" t="s">
        <v>5390</v>
      </c>
      <c r="Z210" s="5330" t="s">
        <v>5391</v>
      </c>
      <c r="AA210" s="4369" t="s">
        <v>5392</v>
      </c>
      <c r="AB210" s="5330" t="s">
        <v>5393</v>
      </c>
      <c r="AC210" s="4369" t="s">
        <v>5394</v>
      </c>
      <c r="AD210" s="5330" t="s">
        <v>5395</v>
      </c>
      <c r="AE210" s="4369" t="s">
        <v>5396</v>
      </c>
      <c r="AF210" s="5330" t="s">
        <v>5397</v>
      </c>
      <c r="AG210" s="4369" t="s">
        <v>5398</v>
      </c>
      <c r="AH210" s="5330" t="s">
        <v>5399</v>
      </c>
      <c r="AI210" s="4369" t="s">
        <v>5400</v>
      </c>
      <c r="AJ210" s="5330" t="s">
        <v>5401</v>
      </c>
      <c r="AK210" s="4369" t="s">
        <v>5402</v>
      </c>
      <c r="AL210" s="5330" t="s">
        <v>5403</v>
      </c>
      <c r="AM210" s="4369" t="s">
        <v>5404</v>
      </c>
      <c r="AN210" s="6193" t="s">
        <v>5405</v>
      </c>
      <c r="AO210" s="5330" t="s">
        <v>5406</v>
      </c>
      <c r="AP210" s="4460" t="s">
        <v>5407</v>
      </c>
      <c r="AQ210" s="6338" t="s">
        <v>5408</v>
      </c>
      <c r="AR210" s="5330" t="s">
        <v>5409</v>
      </c>
      <c r="AS210" s="5330" t="s">
        <v>5410</v>
      </c>
      <c r="AT210" s="5330" t="s">
        <v>5411</v>
      </c>
      <c r="AU210" s="5855" t="s">
        <v>5412</v>
      </c>
      <c r="AV210" s="4460" t="s">
        <v>5413</v>
      </c>
      <c r="AW210" s="4460" t="s">
        <v>5414</v>
      </c>
      <c r="AX210" s="4460" t="s">
        <v>5415</v>
      </c>
      <c r="AY210" s="1430"/>
      <c r="AZ210" s="6391"/>
      <c r="BA210" s="6391"/>
      <c r="BB210" s="4291"/>
      <c r="BC210" s="4291"/>
      <c r="BD210" s="4291"/>
      <c r="BE210" s="4291"/>
      <c r="BF210" s="4291"/>
      <c r="BG210" s="4291"/>
      <c r="BH210" s="4264"/>
      <c r="BI210" s="4264"/>
      <c r="CB210" s="4259"/>
      <c r="DB210" s="4295"/>
    </row>
    <row r="211" spans="1:122" ht="23.25" customHeight="1" x14ac:dyDescent="0.25">
      <c r="A211" s="7278" t="s">
        <v>4499</v>
      </c>
      <c r="B211" s="9062"/>
      <c r="C211" s="6523" t="s">
        <v>755</v>
      </c>
      <c r="D211" s="6519" t="s">
        <v>5369</v>
      </c>
      <c r="E211" s="6520" t="s">
        <v>5370</v>
      </c>
      <c r="F211" s="6518" t="s">
        <v>5371</v>
      </c>
      <c r="G211" s="4369" t="s">
        <v>5372</v>
      </c>
      <c r="H211" s="5330" t="s">
        <v>5373</v>
      </c>
      <c r="I211" s="4369" t="s">
        <v>5374</v>
      </c>
      <c r="J211" s="5330" t="s">
        <v>5375</v>
      </c>
      <c r="K211" s="4369" t="s">
        <v>5376</v>
      </c>
      <c r="L211" s="5330" t="s">
        <v>5377</v>
      </c>
      <c r="M211" s="4369" t="s">
        <v>5378</v>
      </c>
      <c r="N211" s="5330" t="s">
        <v>5379</v>
      </c>
      <c r="O211" s="4369" t="s">
        <v>5380</v>
      </c>
      <c r="P211" s="5330" t="s">
        <v>5381</v>
      </c>
      <c r="Q211" s="4369" t="s">
        <v>5382</v>
      </c>
      <c r="R211" s="5330" t="s">
        <v>5383</v>
      </c>
      <c r="S211" s="4369" t="s">
        <v>5384</v>
      </c>
      <c r="T211" s="5330" t="s">
        <v>5385</v>
      </c>
      <c r="U211" s="4369" t="s">
        <v>5386</v>
      </c>
      <c r="V211" s="5330" t="s">
        <v>5387</v>
      </c>
      <c r="W211" s="4369" t="s">
        <v>5388</v>
      </c>
      <c r="X211" s="5330" t="s">
        <v>5389</v>
      </c>
      <c r="Y211" s="4369" t="s">
        <v>5390</v>
      </c>
      <c r="Z211" s="5330" t="s">
        <v>5391</v>
      </c>
      <c r="AA211" s="4369" t="s">
        <v>5392</v>
      </c>
      <c r="AB211" s="5330" t="s">
        <v>5393</v>
      </c>
      <c r="AC211" s="4369" t="s">
        <v>5394</v>
      </c>
      <c r="AD211" s="5330" t="s">
        <v>5395</v>
      </c>
      <c r="AE211" s="4369" t="s">
        <v>5396</v>
      </c>
      <c r="AF211" s="5330" t="s">
        <v>5397</v>
      </c>
      <c r="AG211" s="4369" t="s">
        <v>5398</v>
      </c>
      <c r="AH211" s="5330" t="s">
        <v>5399</v>
      </c>
      <c r="AI211" s="4369" t="s">
        <v>5400</v>
      </c>
      <c r="AJ211" s="5330" t="s">
        <v>5401</v>
      </c>
      <c r="AK211" s="4369" t="s">
        <v>5402</v>
      </c>
      <c r="AL211" s="5330" t="s">
        <v>5403</v>
      </c>
      <c r="AM211" s="4369" t="s">
        <v>5404</v>
      </c>
      <c r="AN211" s="6193" t="s">
        <v>5405</v>
      </c>
      <c r="AO211" s="5330" t="s">
        <v>5406</v>
      </c>
      <c r="AP211" s="4460" t="s">
        <v>5407</v>
      </c>
      <c r="AQ211" s="6338" t="s">
        <v>5408</v>
      </c>
      <c r="AR211" s="5330" t="s">
        <v>5409</v>
      </c>
      <c r="AS211" s="5330" t="s">
        <v>5410</v>
      </c>
      <c r="AT211" s="5330" t="s">
        <v>5411</v>
      </c>
      <c r="AU211" s="5855" t="s">
        <v>5412</v>
      </c>
      <c r="AV211" s="4460" t="s">
        <v>5413</v>
      </c>
      <c r="AW211" s="4460" t="s">
        <v>5414</v>
      </c>
      <c r="AX211" s="4460" t="s">
        <v>5415</v>
      </c>
      <c r="AY211" s="1430"/>
      <c r="AZ211" s="6391"/>
      <c r="BA211" s="6391"/>
      <c r="BB211" s="4291"/>
      <c r="BC211" s="4291"/>
      <c r="BD211" s="4291"/>
      <c r="BE211" s="4291"/>
      <c r="BF211" s="4291"/>
      <c r="BG211" s="4291"/>
      <c r="BH211" s="4264"/>
      <c r="BI211" s="4264"/>
      <c r="CB211" s="4259"/>
      <c r="DB211" s="4295"/>
    </row>
    <row r="212" spans="1:122" ht="20.25" customHeight="1" x14ac:dyDescent="0.25">
      <c r="A212" s="7278" t="s">
        <v>4500</v>
      </c>
      <c r="B212" s="9089"/>
      <c r="C212" s="6545" t="s">
        <v>754</v>
      </c>
      <c r="D212" s="6509" t="s">
        <v>5369</v>
      </c>
      <c r="E212" s="6510" t="s">
        <v>5370</v>
      </c>
      <c r="F212" s="6066" t="s">
        <v>5371</v>
      </c>
      <c r="G212" s="4369" t="s">
        <v>5372</v>
      </c>
      <c r="H212" s="5330" t="s">
        <v>5373</v>
      </c>
      <c r="I212" s="4369" t="s">
        <v>5374</v>
      </c>
      <c r="J212" s="5330" t="s">
        <v>5375</v>
      </c>
      <c r="K212" s="4369" t="s">
        <v>5376</v>
      </c>
      <c r="L212" s="5330" t="s">
        <v>5377</v>
      </c>
      <c r="M212" s="4369" t="s">
        <v>5378</v>
      </c>
      <c r="N212" s="5330" t="s">
        <v>5379</v>
      </c>
      <c r="O212" s="4369" t="s">
        <v>5380</v>
      </c>
      <c r="P212" s="5330" t="s">
        <v>5381</v>
      </c>
      <c r="Q212" s="4369" t="s">
        <v>5382</v>
      </c>
      <c r="R212" s="5330" t="s">
        <v>5383</v>
      </c>
      <c r="S212" s="4369" t="s">
        <v>5384</v>
      </c>
      <c r="T212" s="5330" t="s">
        <v>5385</v>
      </c>
      <c r="U212" s="4369" t="s">
        <v>5386</v>
      </c>
      <c r="V212" s="5330" t="s">
        <v>5387</v>
      </c>
      <c r="W212" s="4369" t="s">
        <v>5388</v>
      </c>
      <c r="X212" s="5330" t="s">
        <v>5389</v>
      </c>
      <c r="Y212" s="4369" t="s">
        <v>5390</v>
      </c>
      <c r="Z212" s="5330" t="s">
        <v>5391</v>
      </c>
      <c r="AA212" s="4369" t="s">
        <v>5392</v>
      </c>
      <c r="AB212" s="5330" t="s">
        <v>5393</v>
      </c>
      <c r="AC212" s="4369" t="s">
        <v>5394</v>
      </c>
      <c r="AD212" s="5330" t="s">
        <v>5395</v>
      </c>
      <c r="AE212" s="4369" t="s">
        <v>5396</v>
      </c>
      <c r="AF212" s="5330" t="s">
        <v>5397</v>
      </c>
      <c r="AG212" s="4369" t="s">
        <v>5398</v>
      </c>
      <c r="AH212" s="5330" t="s">
        <v>5399</v>
      </c>
      <c r="AI212" s="4369" t="s">
        <v>5400</v>
      </c>
      <c r="AJ212" s="5330" t="s">
        <v>5401</v>
      </c>
      <c r="AK212" s="4369" t="s">
        <v>5402</v>
      </c>
      <c r="AL212" s="5330" t="s">
        <v>5403</v>
      </c>
      <c r="AM212" s="4387" t="s">
        <v>5404</v>
      </c>
      <c r="AN212" s="6546" t="s">
        <v>5405</v>
      </c>
      <c r="AO212" s="4479" t="s">
        <v>5406</v>
      </c>
      <c r="AP212" s="4468" t="s">
        <v>5407</v>
      </c>
      <c r="AQ212" s="4389" t="s">
        <v>5408</v>
      </c>
      <c r="AR212" s="4479" t="s">
        <v>5409</v>
      </c>
      <c r="AS212" s="4479" t="s">
        <v>5410</v>
      </c>
      <c r="AT212" s="4479" t="s">
        <v>5411</v>
      </c>
      <c r="AU212" s="4378" t="s">
        <v>5412</v>
      </c>
      <c r="AV212" s="4468" t="s">
        <v>5413</v>
      </c>
      <c r="AW212" s="4468" t="s">
        <v>5414</v>
      </c>
      <c r="AX212" s="4468" t="s">
        <v>5415</v>
      </c>
      <c r="AY212" s="1430"/>
      <c r="AZ212" s="6391"/>
      <c r="BA212" s="6391"/>
      <c r="BB212" s="4291"/>
      <c r="BC212" s="4291"/>
      <c r="BD212" s="4291"/>
      <c r="BE212" s="4291"/>
      <c r="BF212" s="4291"/>
      <c r="BG212" s="4291"/>
      <c r="BH212" s="4264"/>
      <c r="BI212" s="4264"/>
      <c r="CB212" s="4259"/>
      <c r="DB212" s="4295"/>
    </row>
    <row r="213" spans="1:122" ht="20.25" customHeight="1" x14ac:dyDescent="0.25">
      <c r="A213" s="7278" t="s">
        <v>4501</v>
      </c>
      <c r="B213" s="9088" t="s">
        <v>753</v>
      </c>
      <c r="C213" s="6534" t="s">
        <v>752</v>
      </c>
      <c r="D213" s="6496" t="s">
        <v>5369</v>
      </c>
      <c r="E213" s="6497" t="s">
        <v>5370</v>
      </c>
      <c r="F213" s="6495" t="s">
        <v>5371</v>
      </c>
      <c r="G213" s="6186" t="s">
        <v>5372</v>
      </c>
      <c r="H213" s="6224" t="s">
        <v>5373</v>
      </c>
      <c r="I213" s="6186" t="s">
        <v>5374</v>
      </c>
      <c r="J213" s="6224" t="s">
        <v>5375</v>
      </c>
      <c r="K213" s="6186" t="s">
        <v>5376</v>
      </c>
      <c r="L213" s="6224" t="s">
        <v>5377</v>
      </c>
      <c r="M213" s="6186" t="s">
        <v>5378</v>
      </c>
      <c r="N213" s="6224" t="s">
        <v>5379</v>
      </c>
      <c r="O213" s="6186" t="s">
        <v>5380</v>
      </c>
      <c r="P213" s="6224" t="s">
        <v>5381</v>
      </c>
      <c r="Q213" s="6186" t="s">
        <v>5382</v>
      </c>
      <c r="R213" s="6224" t="s">
        <v>5383</v>
      </c>
      <c r="S213" s="6186" t="s">
        <v>5384</v>
      </c>
      <c r="T213" s="6224" t="s">
        <v>5385</v>
      </c>
      <c r="U213" s="6186" t="s">
        <v>5386</v>
      </c>
      <c r="V213" s="6224" t="s">
        <v>5387</v>
      </c>
      <c r="W213" s="6186" t="s">
        <v>5388</v>
      </c>
      <c r="X213" s="6224" t="s">
        <v>5389</v>
      </c>
      <c r="Y213" s="6186" t="s">
        <v>5390</v>
      </c>
      <c r="Z213" s="6224" t="s">
        <v>5391</v>
      </c>
      <c r="AA213" s="6186" t="s">
        <v>5392</v>
      </c>
      <c r="AB213" s="6224" t="s">
        <v>5393</v>
      </c>
      <c r="AC213" s="6186" t="s">
        <v>5394</v>
      </c>
      <c r="AD213" s="6224" t="s">
        <v>5395</v>
      </c>
      <c r="AE213" s="6186" t="s">
        <v>5396</v>
      </c>
      <c r="AF213" s="6224" t="s">
        <v>5397</v>
      </c>
      <c r="AG213" s="6186" t="s">
        <v>5398</v>
      </c>
      <c r="AH213" s="6224" t="s">
        <v>5399</v>
      </c>
      <c r="AI213" s="6186" t="s">
        <v>5400</v>
      </c>
      <c r="AJ213" s="6224" t="s">
        <v>5401</v>
      </c>
      <c r="AK213" s="6186" t="s">
        <v>5402</v>
      </c>
      <c r="AL213" s="6224" t="s">
        <v>5403</v>
      </c>
      <c r="AM213" s="6186" t="s">
        <v>5404</v>
      </c>
      <c r="AN213" s="6189" t="s">
        <v>5405</v>
      </c>
      <c r="AO213" s="7207" t="s">
        <v>5406</v>
      </c>
      <c r="AP213" s="7208" t="s">
        <v>5407</v>
      </c>
      <c r="AQ213" s="6336" t="s">
        <v>5408</v>
      </c>
      <c r="AR213" s="5349" t="s">
        <v>5409</v>
      </c>
      <c r="AS213" s="5349" t="s">
        <v>5410</v>
      </c>
      <c r="AT213" s="5349" t="s">
        <v>5411</v>
      </c>
      <c r="AU213" s="6535" t="s">
        <v>5412</v>
      </c>
      <c r="AV213" s="5349" t="s">
        <v>5413</v>
      </c>
      <c r="AW213" s="5349" t="s">
        <v>5414</v>
      </c>
      <c r="AX213" s="5349" t="s">
        <v>5415</v>
      </c>
      <c r="AY213" s="1430"/>
      <c r="AZ213" s="6391"/>
      <c r="BA213" s="6391"/>
      <c r="BB213" s="4291"/>
      <c r="BC213" s="4291"/>
      <c r="BD213" s="4291"/>
      <c r="BE213" s="4291"/>
      <c r="BF213" s="4291"/>
      <c r="BG213" s="4291"/>
      <c r="BH213" s="4264"/>
      <c r="BI213" s="4264"/>
      <c r="CB213" s="4259"/>
      <c r="DB213" s="4295"/>
    </row>
    <row r="214" spans="1:122" ht="20.25" customHeight="1" x14ac:dyDescent="0.25">
      <c r="A214" s="7278" t="s">
        <v>4502</v>
      </c>
      <c r="B214" s="9062"/>
      <c r="C214" s="6523" t="s">
        <v>751</v>
      </c>
      <c r="D214" s="6519" t="s">
        <v>5369</v>
      </c>
      <c r="E214" s="6520" t="s">
        <v>5370</v>
      </c>
      <c r="F214" s="6518" t="s">
        <v>5371</v>
      </c>
      <c r="G214" s="4369" t="s">
        <v>5372</v>
      </c>
      <c r="H214" s="5330" t="s">
        <v>5373</v>
      </c>
      <c r="I214" s="4369" t="s">
        <v>5374</v>
      </c>
      <c r="J214" s="5330" t="s">
        <v>5375</v>
      </c>
      <c r="K214" s="4369" t="s">
        <v>5376</v>
      </c>
      <c r="L214" s="5330" t="s">
        <v>5377</v>
      </c>
      <c r="M214" s="4369" t="s">
        <v>5378</v>
      </c>
      <c r="N214" s="5330" t="s">
        <v>5379</v>
      </c>
      <c r="O214" s="4369" t="s">
        <v>5380</v>
      </c>
      <c r="P214" s="5330" t="s">
        <v>5381</v>
      </c>
      <c r="Q214" s="4369" t="s">
        <v>5382</v>
      </c>
      <c r="R214" s="5330" t="s">
        <v>5383</v>
      </c>
      <c r="S214" s="4369" t="s">
        <v>5384</v>
      </c>
      <c r="T214" s="5330" t="s">
        <v>5385</v>
      </c>
      <c r="U214" s="4369" t="s">
        <v>5386</v>
      </c>
      <c r="V214" s="5330" t="s">
        <v>5387</v>
      </c>
      <c r="W214" s="4369" t="s">
        <v>5388</v>
      </c>
      <c r="X214" s="5330" t="s">
        <v>5389</v>
      </c>
      <c r="Y214" s="4369" t="s">
        <v>5390</v>
      </c>
      <c r="Z214" s="5330" t="s">
        <v>5391</v>
      </c>
      <c r="AA214" s="4369" t="s">
        <v>5392</v>
      </c>
      <c r="AB214" s="5330" t="s">
        <v>5393</v>
      </c>
      <c r="AC214" s="4369" t="s">
        <v>5394</v>
      </c>
      <c r="AD214" s="5330" t="s">
        <v>5395</v>
      </c>
      <c r="AE214" s="4369" t="s">
        <v>5396</v>
      </c>
      <c r="AF214" s="5330" t="s">
        <v>5397</v>
      </c>
      <c r="AG214" s="4369" t="s">
        <v>5398</v>
      </c>
      <c r="AH214" s="5330" t="s">
        <v>5399</v>
      </c>
      <c r="AI214" s="4369" t="s">
        <v>5400</v>
      </c>
      <c r="AJ214" s="5330" t="s">
        <v>5401</v>
      </c>
      <c r="AK214" s="4369" t="s">
        <v>5402</v>
      </c>
      <c r="AL214" s="5330" t="s">
        <v>5403</v>
      </c>
      <c r="AM214" s="4369" t="s">
        <v>5404</v>
      </c>
      <c r="AN214" s="6193" t="s">
        <v>5405</v>
      </c>
      <c r="AO214" s="7209" t="s">
        <v>5406</v>
      </c>
      <c r="AP214" s="7210" t="s">
        <v>5407</v>
      </c>
      <c r="AQ214" s="4369" t="s">
        <v>5408</v>
      </c>
      <c r="AR214" s="4926" t="s">
        <v>5409</v>
      </c>
      <c r="AS214" s="4926" t="s">
        <v>5410</v>
      </c>
      <c r="AT214" s="4926" t="s">
        <v>5411</v>
      </c>
      <c r="AU214" s="4926" t="s">
        <v>5412</v>
      </c>
      <c r="AV214" s="4926" t="s">
        <v>5413</v>
      </c>
      <c r="AW214" s="4926" t="s">
        <v>5414</v>
      </c>
      <c r="AX214" s="4926" t="s">
        <v>5415</v>
      </c>
      <c r="AY214" s="1430"/>
      <c r="AZ214" s="6391"/>
      <c r="BA214" s="6391"/>
      <c r="BB214" s="4291"/>
      <c r="BC214" s="4291"/>
      <c r="BD214" s="4291"/>
      <c r="BE214" s="4291"/>
      <c r="BF214" s="4291"/>
      <c r="BG214" s="4291"/>
      <c r="BH214" s="4264"/>
      <c r="BI214" s="4264"/>
      <c r="CB214" s="4259"/>
      <c r="DB214" s="4295"/>
    </row>
    <row r="215" spans="1:122" ht="20.25" customHeight="1" x14ac:dyDescent="0.25">
      <c r="A215" s="7278" t="s">
        <v>4503</v>
      </c>
      <c r="B215" s="9089"/>
      <c r="C215" s="6547" t="s">
        <v>750</v>
      </c>
      <c r="D215" s="6539" t="s">
        <v>5369</v>
      </c>
      <c r="E215" s="6540" t="s">
        <v>5370</v>
      </c>
      <c r="F215" s="6500" t="s">
        <v>5371</v>
      </c>
      <c r="G215" s="4387" t="s">
        <v>5372</v>
      </c>
      <c r="H215" s="4479" t="s">
        <v>5373</v>
      </c>
      <c r="I215" s="4387" t="s">
        <v>5374</v>
      </c>
      <c r="J215" s="4479" t="s">
        <v>5375</v>
      </c>
      <c r="K215" s="4387" t="s">
        <v>5376</v>
      </c>
      <c r="L215" s="4479" t="s">
        <v>5377</v>
      </c>
      <c r="M215" s="4387" t="s">
        <v>5378</v>
      </c>
      <c r="N215" s="4479" t="s">
        <v>5379</v>
      </c>
      <c r="O215" s="4387" t="s">
        <v>5380</v>
      </c>
      <c r="P215" s="4479" t="s">
        <v>5381</v>
      </c>
      <c r="Q215" s="4387" t="s">
        <v>5382</v>
      </c>
      <c r="R215" s="4479" t="s">
        <v>5383</v>
      </c>
      <c r="S215" s="4387" t="s">
        <v>5384</v>
      </c>
      <c r="T215" s="4479" t="s">
        <v>5385</v>
      </c>
      <c r="U215" s="4387" t="s">
        <v>5386</v>
      </c>
      <c r="V215" s="4479" t="s">
        <v>5387</v>
      </c>
      <c r="W215" s="4387" t="s">
        <v>5388</v>
      </c>
      <c r="X215" s="4479" t="s">
        <v>5389</v>
      </c>
      <c r="Y215" s="4387" t="s">
        <v>5390</v>
      </c>
      <c r="Z215" s="4479" t="s">
        <v>5391</v>
      </c>
      <c r="AA215" s="4387" t="s">
        <v>5392</v>
      </c>
      <c r="AB215" s="4479" t="s">
        <v>5393</v>
      </c>
      <c r="AC215" s="4387" t="s">
        <v>5394</v>
      </c>
      <c r="AD215" s="4479" t="s">
        <v>5395</v>
      </c>
      <c r="AE215" s="4387" t="s">
        <v>5396</v>
      </c>
      <c r="AF215" s="4479" t="s">
        <v>5397</v>
      </c>
      <c r="AG215" s="4387" t="s">
        <v>5398</v>
      </c>
      <c r="AH215" s="4479" t="s">
        <v>5399</v>
      </c>
      <c r="AI215" s="4387" t="s">
        <v>5400</v>
      </c>
      <c r="AJ215" s="4479" t="s">
        <v>5401</v>
      </c>
      <c r="AK215" s="4387" t="s">
        <v>5402</v>
      </c>
      <c r="AL215" s="4479" t="s">
        <v>5403</v>
      </c>
      <c r="AM215" s="4387" t="s">
        <v>5404</v>
      </c>
      <c r="AN215" s="6546" t="s">
        <v>5405</v>
      </c>
      <c r="AO215" s="7211" t="s">
        <v>5406</v>
      </c>
      <c r="AP215" s="7212" t="s">
        <v>5407</v>
      </c>
      <c r="AQ215" s="4387" t="s">
        <v>5408</v>
      </c>
      <c r="AR215" s="4479" t="s">
        <v>5409</v>
      </c>
      <c r="AS215" s="4479" t="s">
        <v>5410</v>
      </c>
      <c r="AT215" s="4479" t="s">
        <v>5411</v>
      </c>
      <c r="AU215" s="4378" t="s">
        <v>5412</v>
      </c>
      <c r="AV215" s="4479" t="s">
        <v>5413</v>
      </c>
      <c r="AW215" s="4479" t="s">
        <v>5414</v>
      </c>
      <c r="AX215" s="4479" t="s">
        <v>5415</v>
      </c>
      <c r="AY215" s="1430"/>
      <c r="AZ215" s="6391"/>
      <c r="BA215" s="6391"/>
      <c r="BB215" s="4291"/>
      <c r="BC215" s="4291"/>
      <c r="BD215" s="4291"/>
      <c r="BE215" s="4291"/>
      <c r="BF215" s="4291"/>
      <c r="BG215" s="4291"/>
      <c r="BH215" s="4264"/>
      <c r="BI215" s="4264"/>
      <c r="CB215" s="4259"/>
      <c r="DB215" s="4295"/>
    </row>
    <row r="216" spans="1:122" ht="16.350000000000001" customHeight="1" x14ac:dyDescent="0.25">
      <c r="A216" s="7288" t="s">
        <v>4504</v>
      </c>
      <c r="B216" s="9357" t="s">
        <v>3975</v>
      </c>
      <c r="C216" s="9358"/>
      <c r="D216" s="6745" t="s">
        <v>5369</v>
      </c>
      <c r="E216" s="6746" t="s">
        <v>5370</v>
      </c>
      <c r="F216" s="6747" t="s">
        <v>5371</v>
      </c>
      <c r="G216" s="6548" t="s">
        <v>5372</v>
      </c>
      <c r="H216" s="6549" t="s">
        <v>5373</v>
      </c>
      <c r="I216" s="6548" t="s">
        <v>5374</v>
      </c>
      <c r="J216" s="6549" t="s">
        <v>5375</v>
      </c>
      <c r="K216" s="6548" t="s">
        <v>5376</v>
      </c>
      <c r="L216" s="6549" t="s">
        <v>5377</v>
      </c>
      <c r="M216" s="6548" t="s">
        <v>5378</v>
      </c>
      <c r="N216" s="6549" t="s">
        <v>5379</v>
      </c>
      <c r="O216" s="6548" t="s">
        <v>5380</v>
      </c>
      <c r="P216" s="6549" t="s">
        <v>5381</v>
      </c>
      <c r="Q216" s="6548" t="s">
        <v>5382</v>
      </c>
      <c r="R216" s="6549" t="s">
        <v>5383</v>
      </c>
      <c r="S216" s="6548" t="s">
        <v>5384</v>
      </c>
      <c r="T216" s="6549" t="s">
        <v>5385</v>
      </c>
      <c r="U216" s="6548" t="s">
        <v>5386</v>
      </c>
      <c r="V216" s="6549" t="s">
        <v>5387</v>
      </c>
      <c r="W216" s="6548" t="s">
        <v>5388</v>
      </c>
      <c r="X216" s="6549" t="s">
        <v>5389</v>
      </c>
      <c r="Y216" s="6548" t="s">
        <v>5390</v>
      </c>
      <c r="Z216" s="6549" t="s">
        <v>5391</v>
      </c>
      <c r="AA216" s="6548" t="s">
        <v>5392</v>
      </c>
      <c r="AB216" s="6549" t="s">
        <v>5393</v>
      </c>
      <c r="AC216" s="6548" t="s">
        <v>5394</v>
      </c>
      <c r="AD216" s="6549" t="s">
        <v>5395</v>
      </c>
      <c r="AE216" s="6548" t="s">
        <v>5396</v>
      </c>
      <c r="AF216" s="6549" t="s">
        <v>5397</v>
      </c>
      <c r="AG216" s="6548" t="s">
        <v>5398</v>
      </c>
      <c r="AH216" s="6549" t="s">
        <v>5399</v>
      </c>
      <c r="AI216" s="6548" t="s">
        <v>5400</v>
      </c>
      <c r="AJ216" s="6549" t="s">
        <v>5401</v>
      </c>
      <c r="AK216" s="6548" t="s">
        <v>5402</v>
      </c>
      <c r="AL216" s="6549" t="s">
        <v>5403</v>
      </c>
      <c r="AM216" s="6548" t="s">
        <v>5404</v>
      </c>
      <c r="AN216" s="6550" t="s">
        <v>5405</v>
      </c>
      <c r="AO216" s="4459" t="s">
        <v>5406</v>
      </c>
      <c r="AP216" s="4460" t="s">
        <v>5407</v>
      </c>
      <c r="AQ216" s="6551" t="s">
        <v>5408</v>
      </c>
      <c r="AR216" s="6499" t="s">
        <v>5409</v>
      </c>
      <c r="AS216" s="6499" t="s">
        <v>5410</v>
      </c>
      <c r="AT216" s="6499" t="s">
        <v>5411</v>
      </c>
      <c r="AU216" s="6499" t="s">
        <v>5412</v>
      </c>
      <c r="AV216" s="6499" t="s">
        <v>5413</v>
      </c>
      <c r="AW216" s="6499" t="s">
        <v>5414</v>
      </c>
      <c r="AX216" s="6499" t="s">
        <v>5415</v>
      </c>
      <c r="AY216" s="1430"/>
      <c r="AZ216" s="6391"/>
      <c r="BA216" s="6391"/>
      <c r="BB216" s="4291"/>
      <c r="BC216" s="4291"/>
      <c r="BD216" s="4291"/>
      <c r="BE216" s="4291"/>
      <c r="BF216" s="4291"/>
      <c r="BG216" s="4291"/>
      <c r="BH216" s="4264"/>
      <c r="BI216" s="4264"/>
      <c r="CB216" s="4259"/>
      <c r="DB216" s="4295"/>
    </row>
    <row r="217" spans="1:122" ht="16.350000000000001" customHeight="1" x14ac:dyDescent="0.25">
      <c r="A217" s="7288" t="s">
        <v>4505</v>
      </c>
      <c r="B217" s="9355" t="s">
        <v>3708</v>
      </c>
      <c r="C217" s="9356"/>
      <c r="D217" s="6742" t="s">
        <v>5369</v>
      </c>
      <c r="E217" s="6743" t="s">
        <v>5370</v>
      </c>
      <c r="F217" s="6744" t="s">
        <v>5371</v>
      </c>
      <c r="G217" s="4999" t="s">
        <v>5372</v>
      </c>
      <c r="H217" s="4038" t="s">
        <v>5373</v>
      </c>
      <c r="I217" s="4999" t="s">
        <v>5374</v>
      </c>
      <c r="J217" s="4038" t="s">
        <v>5375</v>
      </c>
      <c r="K217" s="4999" t="s">
        <v>5376</v>
      </c>
      <c r="L217" s="4038" t="s">
        <v>5377</v>
      </c>
      <c r="M217" s="4999" t="s">
        <v>5378</v>
      </c>
      <c r="N217" s="4038" t="s">
        <v>5379</v>
      </c>
      <c r="O217" s="4999" t="s">
        <v>5380</v>
      </c>
      <c r="P217" s="4038" t="s">
        <v>5381</v>
      </c>
      <c r="Q217" s="4999" t="s">
        <v>5382</v>
      </c>
      <c r="R217" s="4038" t="s">
        <v>5383</v>
      </c>
      <c r="S217" s="4999" t="s">
        <v>5384</v>
      </c>
      <c r="T217" s="4038" t="s">
        <v>5385</v>
      </c>
      <c r="U217" s="4999" t="s">
        <v>5386</v>
      </c>
      <c r="V217" s="4038" t="s">
        <v>5387</v>
      </c>
      <c r="W217" s="4999" t="s">
        <v>5388</v>
      </c>
      <c r="X217" s="4038" t="s">
        <v>5389</v>
      </c>
      <c r="Y217" s="4999" t="s">
        <v>5390</v>
      </c>
      <c r="Z217" s="4038" t="s">
        <v>5391</v>
      </c>
      <c r="AA217" s="4999" t="s">
        <v>5392</v>
      </c>
      <c r="AB217" s="4038" t="s">
        <v>5393</v>
      </c>
      <c r="AC217" s="4999" t="s">
        <v>5394</v>
      </c>
      <c r="AD217" s="4038" t="s">
        <v>5395</v>
      </c>
      <c r="AE217" s="4999" t="s">
        <v>5396</v>
      </c>
      <c r="AF217" s="4038" t="s">
        <v>5397</v>
      </c>
      <c r="AG217" s="4999" t="s">
        <v>5398</v>
      </c>
      <c r="AH217" s="4038" t="s">
        <v>5399</v>
      </c>
      <c r="AI217" s="4999" t="s">
        <v>5400</v>
      </c>
      <c r="AJ217" s="4038" t="s">
        <v>5401</v>
      </c>
      <c r="AK217" s="4999" t="s">
        <v>5402</v>
      </c>
      <c r="AL217" s="4038" t="s">
        <v>5403</v>
      </c>
      <c r="AM217" s="4999" t="s">
        <v>5404</v>
      </c>
      <c r="AN217" s="4955" t="s">
        <v>5405</v>
      </c>
      <c r="AO217" s="4459" t="s">
        <v>5406</v>
      </c>
      <c r="AP217" s="4460" t="s">
        <v>5407</v>
      </c>
      <c r="AQ217" s="3830" t="s">
        <v>5408</v>
      </c>
      <c r="AR217" s="5855" t="s">
        <v>5409</v>
      </c>
      <c r="AS217" s="5855" t="s">
        <v>5410</v>
      </c>
      <c r="AT217" s="5855" t="s">
        <v>5411</v>
      </c>
      <c r="AU217" s="5855" t="s">
        <v>5412</v>
      </c>
      <c r="AV217" s="5855" t="s">
        <v>5413</v>
      </c>
      <c r="AW217" s="5855" t="s">
        <v>5414</v>
      </c>
      <c r="AX217" s="5855" t="s">
        <v>5415</v>
      </c>
      <c r="AY217" s="1430"/>
      <c r="AZ217" s="6391"/>
      <c r="BA217" s="6391"/>
      <c r="BB217" s="4291"/>
      <c r="BC217" s="4291"/>
      <c r="BD217" s="4291"/>
      <c r="BE217" s="4291"/>
      <c r="BF217" s="4291"/>
      <c r="BG217" s="4291"/>
      <c r="BH217" s="4264"/>
      <c r="BI217" s="4264"/>
      <c r="CB217" s="4259"/>
      <c r="DB217" s="4295"/>
    </row>
    <row r="218" spans="1:122" ht="16.350000000000001" customHeight="1" x14ac:dyDescent="0.25">
      <c r="A218" s="7278" t="s">
        <v>4506</v>
      </c>
      <c r="B218" s="9099" t="s">
        <v>749</v>
      </c>
      <c r="C218" s="9097"/>
      <c r="D218" s="6519" t="s">
        <v>5369</v>
      </c>
      <c r="E218" s="6520" t="s">
        <v>5370</v>
      </c>
      <c r="F218" s="6518" t="s">
        <v>5371</v>
      </c>
      <c r="G218" s="4369" t="s">
        <v>5372</v>
      </c>
      <c r="H218" s="5330" t="s">
        <v>5373</v>
      </c>
      <c r="I218" s="4369" t="s">
        <v>5374</v>
      </c>
      <c r="J218" s="5330" t="s">
        <v>5375</v>
      </c>
      <c r="K218" s="4369" t="s">
        <v>5376</v>
      </c>
      <c r="L218" s="5330" t="s">
        <v>5377</v>
      </c>
      <c r="M218" s="4369" t="s">
        <v>5378</v>
      </c>
      <c r="N218" s="5330" t="s">
        <v>5379</v>
      </c>
      <c r="O218" s="4369" t="s">
        <v>5380</v>
      </c>
      <c r="P218" s="5330" t="s">
        <v>5381</v>
      </c>
      <c r="Q218" s="4369" t="s">
        <v>5382</v>
      </c>
      <c r="R218" s="5330" t="s">
        <v>5383</v>
      </c>
      <c r="S218" s="4369" t="s">
        <v>5384</v>
      </c>
      <c r="T218" s="5330" t="s">
        <v>5385</v>
      </c>
      <c r="U218" s="4369" t="s">
        <v>5386</v>
      </c>
      <c r="V218" s="5330" t="s">
        <v>5387</v>
      </c>
      <c r="W218" s="4369" t="s">
        <v>5388</v>
      </c>
      <c r="X218" s="5330" t="s">
        <v>5389</v>
      </c>
      <c r="Y218" s="4369" t="s">
        <v>5390</v>
      </c>
      <c r="Z218" s="5330" t="s">
        <v>5391</v>
      </c>
      <c r="AA218" s="4369" t="s">
        <v>5392</v>
      </c>
      <c r="AB218" s="5330" t="s">
        <v>5393</v>
      </c>
      <c r="AC218" s="4369" t="s">
        <v>5394</v>
      </c>
      <c r="AD218" s="5330" t="s">
        <v>5395</v>
      </c>
      <c r="AE218" s="4369" t="s">
        <v>5396</v>
      </c>
      <c r="AF218" s="5330" t="s">
        <v>5397</v>
      </c>
      <c r="AG218" s="4369" t="s">
        <v>5398</v>
      </c>
      <c r="AH218" s="5330" t="s">
        <v>5399</v>
      </c>
      <c r="AI218" s="4369" t="s">
        <v>5400</v>
      </c>
      <c r="AJ218" s="5330" t="s">
        <v>5401</v>
      </c>
      <c r="AK218" s="4369" t="s">
        <v>5402</v>
      </c>
      <c r="AL218" s="5330" t="s">
        <v>5403</v>
      </c>
      <c r="AM218" s="4369" t="s">
        <v>5404</v>
      </c>
      <c r="AN218" s="5334" t="s">
        <v>5405</v>
      </c>
      <c r="AO218" s="4459" t="s">
        <v>5406</v>
      </c>
      <c r="AP218" s="4460" t="s">
        <v>5407</v>
      </c>
      <c r="AQ218" s="3830" t="s">
        <v>5408</v>
      </c>
      <c r="AR218" s="5855" t="s">
        <v>5409</v>
      </c>
      <c r="AS218" s="5855" t="s">
        <v>5410</v>
      </c>
      <c r="AT218" s="5855" t="s">
        <v>5411</v>
      </c>
      <c r="AU218" s="5855" t="s">
        <v>5412</v>
      </c>
      <c r="AV218" s="5855" t="s">
        <v>5413</v>
      </c>
      <c r="AW218" s="5855" t="s">
        <v>5414</v>
      </c>
      <c r="AX218" s="5855" t="s">
        <v>5415</v>
      </c>
      <c r="AY218" s="1430"/>
      <c r="AZ218" s="6391"/>
      <c r="BA218" s="6391"/>
      <c r="BB218" s="4291"/>
      <c r="BC218" s="4291"/>
      <c r="BD218" s="4291"/>
      <c r="BE218" s="4291"/>
      <c r="BF218" s="4291"/>
      <c r="BG218" s="4291"/>
      <c r="BH218" s="4264"/>
      <c r="BI218" s="4264"/>
      <c r="BJ218" s="4264"/>
      <c r="BK218" s="4264"/>
      <c r="BL218" s="4264"/>
      <c r="CB218" s="4259"/>
      <c r="DB218" s="4295"/>
      <c r="DD218" s="5899">
        <v>0</v>
      </c>
      <c r="DF218" s="5899">
        <v>0</v>
      </c>
      <c r="DH218" s="5899">
        <v>0</v>
      </c>
      <c r="DJ218" s="5899">
        <v>0</v>
      </c>
      <c r="DL218" s="5899">
        <v>0</v>
      </c>
      <c r="DN218" s="5899">
        <v>0</v>
      </c>
      <c r="DP218" s="5899">
        <v>0</v>
      </c>
      <c r="DR218" s="5899">
        <v>0</v>
      </c>
    </row>
    <row r="219" spans="1:122" ht="16.350000000000001" customHeight="1" x14ac:dyDescent="0.25">
      <c r="A219" s="7278" t="s">
        <v>4507</v>
      </c>
      <c r="B219" s="9099" t="s">
        <v>748</v>
      </c>
      <c r="C219" s="9097"/>
      <c r="D219" s="6519" t="s">
        <v>5369</v>
      </c>
      <c r="E219" s="6520" t="s">
        <v>5370</v>
      </c>
      <c r="F219" s="6518" t="s">
        <v>5371</v>
      </c>
      <c r="G219" s="4369" t="s">
        <v>5372</v>
      </c>
      <c r="H219" s="5330" t="s">
        <v>5373</v>
      </c>
      <c r="I219" s="4369" t="s">
        <v>5374</v>
      </c>
      <c r="J219" s="5330" t="s">
        <v>5375</v>
      </c>
      <c r="K219" s="4369" t="s">
        <v>5376</v>
      </c>
      <c r="L219" s="5330" t="s">
        <v>5377</v>
      </c>
      <c r="M219" s="4369" t="s">
        <v>5378</v>
      </c>
      <c r="N219" s="5330" t="s">
        <v>5379</v>
      </c>
      <c r="O219" s="4369" t="s">
        <v>5380</v>
      </c>
      <c r="P219" s="5330" t="s">
        <v>5381</v>
      </c>
      <c r="Q219" s="4369" t="s">
        <v>5382</v>
      </c>
      <c r="R219" s="5330" t="s">
        <v>5383</v>
      </c>
      <c r="S219" s="4369" t="s">
        <v>5384</v>
      </c>
      <c r="T219" s="5330" t="s">
        <v>5385</v>
      </c>
      <c r="U219" s="4369" t="s">
        <v>5386</v>
      </c>
      <c r="V219" s="5330" t="s">
        <v>5387</v>
      </c>
      <c r="W219" s="4369" t="s">
        <v>5388</v>
      </c>
      <c r="X219" s="5330" t="s">
        <v>5389</v>
      </c>
      <c r="Y219" s="4369" t="s">
        <v>5390</v>
      </c>
      <c r="Z219" s="5330" t="s">
        <v>5391</v>
      </c>
      <c r="AA219" s="4369" t="s">
        <v>5392</v>
      </c>
      <c r="AB219" s="5330" t="s">
        <v>5393</v>
      </c>
      <c r="AC219" s="4369" t="s">
        <v>5394</v>
      </c>
      <c r="AD219" s="5330" t="s">
        <v>5395</v>
      </c>
      <c r="AE219" s="4369" t="s">
        <v>5396</v>
      </c>
      <c r="AF219" s="5330" t="s">
        <v>5397</v>
      </c>
      <c r="AG219" s="4369" t="s">
        <v>5398</v>
      </c>
      <c r="AH219" s="5330" t="s">
        <v>5399</v>
      </c>
      <c r="AI219" s="4369" t="s">
        <v>5400</v>
      </c>
      <c r="AJ219" s="5330" t="s">
        <v>5401</v>
      </c>
      <c r="AK219" s="4369" t="s">
        <v>5402</v>
      </c>
      <c r="AL219" s="5330" t="s">
        <v>5403</v>
      </c>
      <c r="AM219" s="4369" t="s">
        <v>5404</v>
      </c>
      <c r="AN219" s="5334" t="s">
        <v>5405</v>
      </c>
      <c r="AO219" s="4459" t="s">
        <v>5406</v>
      </c>
      <c r="AP219" s="4460" t="s">
        <v>5407</v>
      </c>
      <c r="AQ219" s="3830" t="s">
        <v>5408</v>
      </c>
      <c r="AR219" s="5855" t="s">
        <v>5409</v>
      </c>
      <c r="AS219" s="5855" t="s">
        <v>5410</v>
      </c>
      <c r="AT219" s="5855" t="s">
        <v>5411</v>
      </c>
      <c r="AU219" s="5855" t="s">
        <v>5412</v>
      </c>
      <c r="AV219" s="5855" t="s">
        <v>5413</v>
      </c>
      <c r="AW219" s="5855" t="s">
        <v>5414</v>
      </c>
      <c r="AX219" s="5855" t="s">
        <v>5415</v>
      </c>
      <c r="AY219" s="1430"/>
      <c r="AZ219" s="6391"/>
      <c r="BA219" s="6391"/>
      <c r="BB219" s="4291"/>
      <c r="BC219" s="4291"/>
      <c r="BD219" s="4291"/>
      <c r="BE219" s="4291"/>
      <c r="BF219" s="4291"/>
      <c r="BG219" s="4291"/>
      <c r="BH219" s="4264"/>
      <c r="BI219" s="4264"/>
      <c r="BJ219" s="4264"/>
      <c r="BK219" s="4264"/>
      <c r="BL219" s="4264"/>
      <c r="CB219" s="4259"/>
      <c r="DB219" s="4295"/>
    </row>
    <row r="220" spans="1:122" ht="16.350000000000001" customHeight="1" x14ac:dyDescent="0.25">
      <c r="A220" s="7278" t="s">
        <v>4508</v>
      </c>
      <c r="B220" s="9098" t="s">
        <v>747</v>
      </c>
      <c r="C220" s="9204"/>
      <c r="D220" s="6552" t="s">
        <v>5369</v>
      </c>
      <c r="E220" s="6553" t="s">
        <v>5370</v>
      </c>
      <c r="F220" s="5305" t="s">
        <v>5371</v>
      </c>
      <c r="G220" s="4933" t="s">
        <v>5372</v>
      </c>
      <c r="H220" s="3981" t="s">
        <v>5373</v>
      </c>
      <c r="I220" s="4933" t="s">
        <v>5374</v>
      </c>
      <c r="J220" s="3981" t="s">
        <v>5375</v>
      </c>
      <c r="K220" s="4933" t="s">
        <v>5376</v>
      </c>
      <c r="L220" s="3981" t="s">
        <v>5377</v>
      </c>
      <c r="M220" s="4933" t="s">
        <v>5378</v>
      </c>
      <c r="N220" s="3981" t="s">
        <v>5379</v>
      </c>
      <c r="O220" s="4933" t="s">
        <v>5380</v>
      </c>
      <c r="P220" s="3981" t="s">
        <v>5381</v>
      </c>
      <c r="Q220" s="4933" t="s">
        <v>5382</v>
      </c>
      <c r="R220" s="3981" t="s">
        <v>5383</v>
      </c>
      <c r="S220" s="4933" t="s">
        <v>5384</v>
      </c>
      <c r="T220" s="3981" t="s">
        <v>5385</v>
      </c>
      <c r="U220" s="4933" t="s">
        <v>5386</v>
      </c>
      <c r="V220" s="3981" t="s">
        <v>5387</v>
      </c>
      <c r="W220" s="4933" t="s">
        <v>5388</v>
      </c>
      <c r="X220" s="3981" t="s">
        <v>5389</v>
      </c>
      <c r="Y220" s="4933" t="s">
        <v>5390</v>
      </c>
      <c r="Z220" s="3981" t="s">
        <v>5391</v>
      </c>
      <c r="AA220" s="4933" t="s">
        <v>5392</v>
      </c>
      <c r="AB220" s="3981" t="s">
        <v>5393</v>
      </c>
      <c r="AC220" s="4933" t="s">
        <v>5394</v>
      </c>
      <c r="AD220" s="3981" t="s">
        <v>5395</v>
      </c>
      <c r="AE220" s="4933" t="s">
        <v>5396</v>
      </c>
      <c r="AF220" s="3981" t="s">
        <v>5397</v>
      </c>
      <c r="AG220" s="4933" t="s">
        <v>5398</v>
      </c>
      <c r="AH220" s="3981" t="s">
        <v>5399</v>
      </c>
      <c r="AI220" s="4933" t="s">
        <v>5400</v>
      </c>
      <c r="AJ220" s="3981" t="s">
        <v>5401</v>
      </c>
      <c r="AK220" s="4933" t="s">
        <v>5402</v>
      </c>
      <c r="AL220" s="3981" t="s">
        <v>5403</v>
      </c>
      <c r="AM220" s="4933" t="s">
        <v>5404</v>
      </c>
      <c r="AN220" s="6554" t="s">
        <v>5405</v>
      </c>
      <c r="AO220" s="6555" t="s">
        <v>5406</v>
      </c>
      <c r="AP220" s="5918" t="s">
        <v>5407</v>
      </c>
      <c r="AQ220" s="3925" t="s">
        <v>5408</v>
      </c>
      <c r="AR220" s="4378" t="s">
        <v>5409</v>
      </c>
      <c r="AS220" s="4378" t="s">
        <v>5410</v>
      </c>
      <c r="AT220" s="4378" t="s">
        <v>5411</v>
      </c>
      <c r="AU220" s="4378" t="s">
        <v>5412</v>
      </c>
      <c r="AV220" s="4378" t="s">
        <v>5413</v>
      </c>
      <c r="AW220" s="4378" t="s">
        <v>5414</v>
      </c>
      <c r="AX220" s="4378" t="s">
        <v>5415</v>
      </c>
      <c r="AY220" s="1430"/>
      <c r="AZ220" s="6391"/>
      <c r="BA220" s="6391"/>
      <c r="BB220" s="4291"/>
      <c r="BC220" s="4291"/>
      <c r="BD220" s="4291"/>
      <c r="BE220" s="4291"/>
      <c r="BF220" s="4291"/>
      <c r="BG220" s="4291"/>
      <c r="BH220" s="4264"/>
      <c r="BI220" s="4264"/>
      <c r="BJ220" s="4264"/>
      <c r="BK220" s="4264"/>
      <c r="BL220" s="4264"/>
      <c r="CB220" s="4259"/>
      <c r="DB220" s="4295"/>
    </row>
    <row r="221" spans="1:122" ht="18" customHeight="1" x14ac:dyDescent="0.25">
      <c r="A221" s="7278" t="s">
        <v>4509</v>
      </c>
      <c r="B221" s="9088" t="s">
        <v>746</v>
      </c>
      <c r="C221" s="5435" t="s">
        <v>2156</v>
      </c>
      <c r="D221" s="6556" t="s">
        <v>5369</v>
      </c>
      <c r="E221" s="6557" t="s">
        <v>5370</v>
      </c>
      <c r="F221" s="6558" t="s">
        <v>5371</v>
      </c>
      <c r="G221" s="5014" t="s">
        <v>5372</v>
      </c>
      <c r="H221" s="5044" t="s">
        <v>5373</v>
      </c>
      <c r="I221" s="5014" t="s">
        <v>5374</v>
      </c>
      <c r="J221" s="5044" t="s">
        <v>5375</v>
      </c>
      <c r="K221" s="5014" t="s">
        <v>5376</v>
      </c>
      <c r="L221" s="5044" t="s">
        <v>5377</v>
      </c>
      <c r="M221" s="5014" t="s">
        <v>5378</v>
      </c>
      <c r="N221" s="5044" t="s">
        <v>5379</v>
      </c>
      <c r="O221" s="5014" t="s">
        <v>5380</v>
      </c>
      <c r="P221" s="5044" t="s">
        <v>5381</v>
      </c>
      <c r="Q221" s="5014" t="s">
        <v>5382</v>
      </c>
      <c r="R221" s="5044" t="s">
        <v>5383</v>
      </c>
      <c r="S221" s="5014" t="s">
        <v>5384</v>
      </c>
      <c r="T221" s="5044" t="s">
        <v>5385</v>
      </c>
      <c r="U221" s="5014" t="s">
        <v>5386</v>
      </c>
      <c r="V221" s="5044" t="s">
        <v>5387</v>
      </c>
      <c r="W221" s="5014" t="s">
        <v>5388</v>
      </c>
      <c r="X221" s="5044" t="s">
        <v>5389</v>
      </c>
      <c r="Y221" s="5014" t="s">
        <v>5390</v>
      </c>
      <c r="Z221" s="5044" t="s">
        <v>5391</v>
      </c>
      <c r="AA221" s="5014" t="s">
        <v>5392</v>
      </c>
      <c r="AB221" s="5044" t="s">
        <v>5393</v>
      </c>
      <c r="AC221" s="5014" t="s">
        <v>5394</v>
      </c>
      <c r="AD221" s="5044" t="s">
        <v>5395</v>
      </c>
      <c r="AE221" s="5014" t="s">
        <v>5396</v>
      </c>
      <c r="AF221" s="5044" t="s">
        <v>5397</v>
      </c>
      <c r="AG221" s="5014" t="s">
        <v>5398</v>
      </c>
      <c r="AH221" s="5044" t="s">
        <v>5399</v>
      </c>
      <c r="AI221" s="5014" t="s">
        <v>5400</v>
      </c>
      <c r="AJ221" s="5044" t="s">
        <v>5401</v>
      </c>
      <c r="AK221" s="5014" t="s">
        <v>5402</v>
      </c>
      <c r="AL221" s="5044" t="s">
        <v>5403</v>
      </c>
      <c r="AM221" s="5014" t="s">
        <v>5404</v>
      </c>
      <c r="AN221" s="6476" t="s">
        <v>5405</v>
      </c>
      <c r="AO221" s="6559" t="s">
        <v>5406</v>
      </c>
      <c r="AP221" s="6560" t="s">
        <v>5407</v>
      </c>
      <c r="AQ221" s="5014" t="s">
        <v>5408</v>
      </c>
      <c r="AR221" s="5044" t="s">
        <v>5409</v>
      </c>
      <c r="AS221" s="5044" t="s">
        <v>5410</v>
      </c>
      <c r="AT221" s="5044" t="s">
        <v>5411</v>
      </c>
      <c r="AU221" s="5044" t="s">
        <v>5412</v>
      </c>
      <c r="AV221" s="5044" t="s">
        <v>5413</v>
      </c>
      <c r="AW221" s="5044" t="s">
        <v>5414</v>
      </c>
      <c r="AX221" s="5044" t="s">
        <v>5415</v>
      </c>
      <c r="AY221" s="1430"/>
      <c r="BB221" s="4264"/>
      <c r="BC221" s="4264"/>
      <c r="BD221" s="4264"/>
      <c r="BE221" s="4264"/>
      <c r="BF221" s="4264"/>
      <c r="BG221" s="4264"/>
      <c r="BH221" s="4264"/>
      <c r="BI221" s="4264"/>
      <c r="BJ221" s="4264"/>
      <c r="BK221" s="4264"/>
      <c r="BL221" s="4264"/>
      <c r="BM221" s="4264"/>
      <c r="CB221" s="4259"/>
      <c r="DB221" s="4295"/>
    </row>
    <row r="222" spans="1:122" ht="18" customHeight="1" x14ac:dyDescent="0.25">
      <c r="A222" s="7278" t="s">
        <v>4510</v>
      </c>
      <c r="B222" s="9062"/>
      <c r="C222" s="5311" t="s">
        <v>2157</v>
      </c>
      <c r="D222" s="6561" t="s">
        <v>5369</v>
      </c>
      <c r="E222" s="6562" t="s">
        <v>5370</v>
      </c>
      <c r="F222" s="6563" t="s">
        <v>5371</v>
      </c>
      <c r="G222" s="5306" t="s">
        <v>5372</v>
      </c>
      <c r="H222" s="4926" t="s">
        <v>5373</v>
      </c>
      <c r="I222" s="5306" t="s">
        <v>5374</v>
      </c>
      <c r="J222" s="4926" t="s">
        <v>5375</v>
      </c>
      <c r="K222" s="5306" t="s">
        <v>5376</v>
      </c>
      <c r="L222" s="4926" t="s">
        <v>5377</v>
      </c>
      <c r="M222" s="5306" t="s">
        <v>5378</v>
      </c>
      <c r="N222" s="4926" t="s">
        <v>5379</v>
      </c>
      <c r="O222" s="5306" t="s">
        <v>5380</v>
      </c>
      <c r="P222" s="4926" t="s">
        <v>5381</v>
      </c>
      <c r="Q222" s="5306" t="s">
        <v>5382</v>
      </c>
      <c r="R222" s="4926" t="s">
        <v>5383</v>
      </c>
      <c r="S222" s="5306" t="s">
        <v>5384</v>
      </c>
      <c r="T222" s="4926" t="s">
        <v>5385</v>
      </c>
      <c r="U222" s="5306" t="s">
        <v>5386</v>
      </c>
      <c r="V222" s="4926" t="s">
        <v>5387</v>
      </c>
      <c r="W222" s="5306" t="s">
        <v>5388</v>
      </c>
      <c r="X222" s="4926" t="s">
        <v>5389</v>
      </c>
      <c r="Y222" s="5306" t="s">
        <v>5390</v>
      </c>
      <c r="Z222" s="4926" t="s">
        <v>5391</v>
      </c>
      <c r="AA222" s="5306" t="s">
        <v>5392</v>
      </c>
      <c r="AB222" s="4926" t="s">
        <v>5393</v>
      </c>
      <c r="AC222" s="5306" t="s">
        <v>5394</v>
      </c>
      <c r="AD222" s="4926" t="s">
        <v>5395</v>
      </c>
      <c r="AE222" s="5306" t="s">
        <v>5396</v>
      </c>
      <c r="AF222" s="4926" t="s">
        <v>5397</v>
      </c>
      <c r="AG222" s="5306" t="s">
        <v>5398</v>
      </c>
      <c r="AH222" s="4926" t="s">
        <v>5399</v>
      </c>
      <c r="AI222" s="5306" t="s">
        <v>5400</v>
      </c>
      <c r="AJ222" s="4926" t="s">
        <v>5401</v>
      </c>
      <c r="AK222" s="5306" t="s">
        <v>5402</v>
      </c>
      <c r="AL222" s="4926" t="s">
        <v>5403</v>
      </c>
      <c r="AM222" s="5306" t="s">
        <v>5404</v>
      </c>
      <c r="AN222" s="6445" t="s">
        <v>5405</v>
      </c>
      <c r="AO222" s="6522" t="s">
        <v>5406</v>
      </c>
      <c r="AP222" s="5309" t="s">
        <v>5407</v>
      </c>
      <c r="AQ222" s="5306" t="s">
        <v>5408</v>
      </c>
      <c r="AR222" s="4926" t="s">
        <v>5409</v>
      </c>
      <c r="AS222" s="4926" t="s">
        <v>5410</v>
      </c>
      <c r="AT222" s="4926" t="s">
        <v>5411</v>
      </c>
      <c r="AU222" s="4926" t="s">
        <v>5412</v>
      </c>
      <c r="AV222" s="4926" t="s">
        <v>5413</v>
      </c>
      <c r="AW222" s="4926" t="s">
        <v>5414</v>
      </c>
      <c r="AX222" s="4926" t="s">
        <v>5415</v>
      </c>
      <c r="AY222" s="1430"/>
      <c r="BB222" s="4264"/>
      <c r="BC222" s="4264"/>
      <c r="BD222" s="4264"/>
      <c r="BE222" s="4264"/>
      <c r="BF222" s="4264"/>
      <c r="BG222" s="4264"/>
      <c r="BH222" s="4264"/>
      <c r="BI222" s="4264"/>
      <c r="BJ222" s="4264"/>
      <c r="BK222" s="4264"/>
      <c r="BL222" s="4264"/>
      <c r="BM222" s="4264"/>
      <c r="CB222" s="4259"/>
      <c r="DB222" s="4295"/>
    </row>
    <row r="223" spans="1:122" ht="18" customHeight="1" x14ac:dyDescent="0.25">
      <c r="A223" s="7278" t="s">
        <v>4511</v>
      </c>
      <c r="B223" s="9062"/>
      <c r="C223" s="5311" t="s">
        <v>2158</v>
      </c>
      <c r="D223" s="6561" t="s">
        <v>5369</v>
      </c>
      <c r="E223" s="6562" t="s">
        <v>5370</v>
      </c>
      <c r="F223" s="6563" t="s">
        <v>5371</v>
      </c>
      <c r="G223" s="5306" t="s">
        <v>5372</v>
      </c>
      <c r="H223" s="4926" t="s">
        <v>5373</v>
      </c>
      <c r="I223" s="5306" t="s">
        <v>5374</v>
      </c>
      <c r="J223" s="4926" t="s">
        <v>5375</v>
      </c>
      <c r="K223" s="5306" t="s">
        <v>5376</v>
      </c>
      <c r="L223" s="4926" t="s">
        <v>5377</v>
      </c>
      <c r="M223" s="5306" t="s">
        <v>5378</v>
      </c>
      <c r="N223" s="4926" t="s">
        <v>5379</v>
      </c>
      <c r="O223" s="5306" t="s">
        <v>5380</v>
      </c>
      <c r="P223" s="4926" t="s">
        <v>5381</v>
      </c>
      <c r="Q223" s="5306" t="s">
        <v>5382</v>
      </c>
      <c r="R223" s="4926" t="s">
        <v>5383</v>
      </c>
      <c r="S223" s="5306" t="s">
        <v>5384</v>
      </c>
      <c r="T223" s="4926" t="s">
        <v>5385</v>
      </c>
      <c r="U223" s="5306" t="s">
        <v>5386</v>
      </c>
      <c r="V223" s="4926" t="s">
        <v>5387</v>
      </c>
      <c r="W223" s="5306" t="s">
        <v>5388</v>
      </c>
      <c r="X223" s="4926" t="s">
        <v>5389</v>
      </c>
      <c r="Y223" s="5306" t="s">
        <v>5390</v>
      </c>
      <c r="Z223" s="4926" t="s">
        <v>5391</v>
      </c>
      <c r="AA223" s="5306" t="s">
        <v>5392</v>
      </c>
      <c r="AB223" s="4926" t="s">
        <v>5393</v>
      </c>
      <c r="AC223" s="5306" t="s">
        <v>5394</v>
      </c>
      <c r="AD223" s="4926" t="s">
        <v>5395</v>
      </c>
      <c r="AE223" s="5306" t="s">
        <v>5396</v>
      </c>
      <c r="AF223" s="4926" t="s">
        <v>5397</v>
      </c>
      <c r="AG223" s="5306" t="s">
        <v>5398</v>
      </c>
      <c r="AH223" s="4926" t="s">
        <v>5399</v>
      </c>
      <c r="AI223" s="5306" t="s">
        <v>5400</v>
      </c>
      <c r="AJ223" s="4926" t="s">
        <v>5401</v>
      </c>
      <c r="AK223" s="5306" t="s">
        <v>5402</v>
      </c>
      <c r="AL223" s="4926" t="s">
        <v>5403</v>
      </c>
      <c r="AM223" s="5306" t="s">
        <v>5404</v>
      </c>
      <c r="AN223" s="6445" t="s">
        <v>5405</v>
      </c>
      <c r="AO223" s="6522" t="s">
        <v>5406</v>
      </c>
      <c r="AP223" s="5309" t="s">
        <v>5407</v>
      </c>
      <c r="AQ223" s="5306" t="s">
        <v>5408</v>
      </c>
      <c r="AR223" s="4926" t="s">
        <v>5409</v>
      </c>
      <c r="AS223" s="4926" t="s">
        <v>5410</v>
      </c>
      <c r="AT223" s="4926" t="s">
        <v>5411</v>
      </c>
      <c r="AU223" s="4926" t="s">
        <v>5412</v>
      </c>
      <c r="AV223" s="4926" t="s">
        <v>5413</v>
      </c>
      <c r="AW223" s="4926" t="s">
        <v>5414</v>
      </c>
      <c r="AX223" s="4926" t="s">
        <v>5415</v>
      </c>
      <c r="AY223" s="1430"/>
      <c r="BB223" s="4264"/>
      <c r="BC223" s="4264"/>
      <c r="BD223" s="4264"/>
      <c r="BE223" s="4264"/>
      <c r="BF223" s="4264"/>
      <c r="BG223" s="4264"/>
      <c r="BH223" s="4264"/>
      <c r="BI223" s="4264"/>
      <c r="BJ223" s="4264"/>
      <c r="BK223" s="4264"/>
      <c r="BL223" s="4264"/>
      <c r="BM223" s="4264"/>
      <c r="CB223" s="4259"/>
      <c r="DB223" s="4295"/>
    </row>
    <row r="224" spans="1:122" ht="21" customHeight="1" x14ac:dyDescent="0.25">
      <c r="A224" s="7289" t="s">
        <v>4512</v>
      </c>
      <c r="B224" s="9062"/>
      <c r="C224" s="5311" t="s">
        <v>2159</v>
      </c>
      <c r="D224" s="6561" t="s">
        <v>5369</v>
      </c>
      <c r="E224" s="6562" t="s">
        <v>5370</v>
      </c>
      <c r="F224" s="6563" t="s">
        <v>5371</v>
      </c>
      <c r="G224" s="5306" t="s">
        <v>5372</v>
      </c>
      <c r="H224" s="4926" t="s">
        <v>5373</v>
      </c>
      <c r="I224" s="5306" t="s">
        <v>5374</v>
      </c>
      <c r="J224" s="4926" t="s">
        <v>5375</v>
      </c>
      <c r="K224" s="5306" t="s">
        <v>5376</v>
      </c>
      <c r="L224" s="4926" t="s">
        <v>5377</v>
      </c>
      <c r="M224" s="5306" t="s">
        <v>5378</v>
      </c>
      <c r="N224" s="4926" t="s">
        <v>5379</v>
      </c>
      <c r="O224" s="5306" t="s">
        <v>5380</v>
      </c>
      <c r="P224" s="4926" t="s">
        <v>5381</v>
      </c>
      <c r="Q224" s="5306" t="s">
        <v>5382</v>
      </c>
      <c r="R224" s="4926" t="s">
        <v>5383</v>
      </c>
      <c r="S224" s="5306" t="s">
        <v>5384</v>
      </c>
      <c r="T224" s="4926" t="s">
        <v>5385</v>
      </c>
      <c r="U224" s="5306" t="s">
        <v>5386</v>
      </c>
      <c r="V224" s="4926" t="s">
        <v>5387</v>
      </c>
      <c r="W224" s="5306" t="s">
        <v>5388</v>
      </c>
      <c r="X224" s="4926" t="s">
        <v>5389</v>
      </c>
      <c r="Y224" s="5306" t="s">
        <v>5390</v>
      </c>
      <c r="Z224" s="4926" t="s">
        <v>5391</v>
      </c>
      <c r="AA224" s="5306" t="s">
        <v>5392</v>
      </c>
      <c r="AB224" s="4926" t="s">
        <v>5393</v>
      </c>
      <c r="AC224" s="5306" t="s">
        <v>5394</v>
      </c>
      <c r="AD224" s="4926" t="s">
        <v>5395</v>
      </c>
      <c r="AE224" s="5306" t="s">
        <v>5396</v>
      </c>
      <c r="AF224" s="4926" t="s">
        <v>5397</v>
      </c>
      <c r="AG224" s="5306" t="s">
        <v>5398</v>
      </c>
      <c r="AH224" s="4926" t="s">
        <v>5399</v>
      </c>
      <c r="AI224" s="5306" t="s">
        <v>5400</v>
      </c>
      <c r="AJ224" s="4926" t="s">
        <v>5401</v>
      </c>
      <c r="AK224" s="5306" t="s">
        <v>5402</v>
      </c>
      <c r="AL224" s="4926" t="s">
        <v>5403</v>
      </c>
      <c r="AM224" s="5306" t="s">
        <v>5404</v>
      </c>
      <c r="AN224" s="6445" t="s">
        <v>5405</v>
      </c>
      <c r="AO224" s="6522" t="s">
        <v>5406</v>
      </c>
      <c r="AP224" s="5309" t="s">
        <v>5407</v>
      </c>
      <c r="AQ224" s="5306" t="s">
        <v>5408</v>
      </c>
      <c r="AR224" s="4926" t="s">
        <v>5409</v>
      </c>
      <c r="AS224" s="4926" t="s">
        <v>5410</v>
      </c>
      <c r="AT224" s="4926" t="s">
        <v>5411</v>
      </c>
      <c r="AU224" s="4926" t="s">
        <v>5412</v>
      </c>
      <c r="AV224" s="4926" t="s">
        <v>5413</v>
      </c>
      <c r="AW224" s="4926" t="s">
        <v>5414</v>
      </c>
      <c r="AX224" s="4926" t="s">
        <v>5415</v>
      </c>
      <c r="AY224" s="1430"/>
      <c r="BB224" s="4264"/>
      <c r="BC224" s="4264"/>
      <c r="BD224" s="4264"/>
      <c r="BE224" s="4264"/>
      <c r="BF224" s="4264"/>
      <c r="BG224" s="4264"/>
      <c r="BH224" s="4264"/>
      <c r="BI224" s="4264"/>
      <c r="BJ224" s="4264"/>
      <c r="BK224" s="4264"/>
      <c r="BL224" s="4264"/>
      <c r="BM224" s="4264"/>
      <c r="CB224" s="4259"/>
      <c r="DB224" s="4295"/>
    </row>
    <row r="225" spans="1:131" ht="27.75" customHeight="1" x14ac:dyDescent="0.25">
      <c r="A225" s="7289" t="s">
        <v>4513</v>
      </c>
      <c r="B225" s="9089"/>
      <c r="C225" s="6564" t="s">
        <v>2160</v>
      </c>
      <c r="D225" s="6565" t="s">
        <v>5369</v>
      </c>
      <c r="E225" s="6566" t="s">
        <v>5370</v>
      </c>
      <c r="F225" s="6567" t="s">
        <v>5371</v>
      </c>
      <c r="G225" s="4933" t="s">
        <v>5372</v>
      </c>
      <c r="H225" s="3981" t="s">
        <v>5373</v>
      </c>
      <c r="I225" s="4933" t="s">
        <v>5374</v>
      </c>
      <c r="J225" s="3981" t="s">
        <v>5375</v>
      </c>
      <c r="K225" s="4933" t="s">
        <v>5376</v>
      </c>
      <c r="L225" s="3981" t="s">
        <v>5377</v>
      </c>
      <c r="M225" s="4933" t="s">
        <v>5378</v>
      </c>
      <c r="N225" s="3981" t="s">
        <v>5379</v>
      </c>
      <c r="O225" s="4933" t="s">
        <v>5380</v>
      </c>
      <c r="P225" s="3981" t="s">
        <v>5381</v>
      </c>
      <c r="Q225" s="4933" t="s">
        <v>5382</v>
      </c>
      <c r="R225" s="3981" t="s">
        <v>5383</v>
      </c>
      <c r="S225" s="4933" t="s">
        <v>5384</v>
      </c>
      <c r="T225" s="3981" t="s">
        <v>5385</v>
      </c>
      <c r="U225" s="4933" t="s">
        <v>5386</v>
      </c>
      <c r="V225" s="3981" t="s">
        <v>5387</v>
      </c>
      <c r="W225" s="4933" t="s">
        <v>5388</v>
      </c>
      <c r="X225" s="3981" t="s">
        <v>5389</v>
      </c>
      <c r="Y225" s="4933" t="s">
        <v>5390</v>
      </c>
      <c r="Z225" s="3981" t="s">
        <v>5391</v>
      </c>
      <c r="AA225" s="4933" t="s">
        <v>5392</v>
      </c>
      <c r="AB225" s="3981" t="s">
        <v>5393</v>
      </c>
      <c r="AC225" s="4933" t="s">
        <v>5394</v>
      </c>
      <c r="AD225" s="3981" t="s">
        <v>5395</v>
      </c>
      <c r="AE225" s="4933" t="s">
        <v>5396</v>
      </c>
      <c r="AF225" s="3981" t="s">
        <v>5397</v>
      </c>
      <c r="AG225" s="4933" t="s">
        <v>5398</v>
      </c>
      <c r="AH225" s="3981" t="s">
        <v>5399</v>
      </c>
      <c r="AI225" s="4933" t="s">
        <v>5400</v>
      </c>
      <c r="AJ225" s="3981" t="s">
        <v>5401</v>
      </c>
      <c r="AK225" s="4933" t="s">
        <v>5402</v>
      </c>
      <c r="AL225" s="3981" t="s">
        <v>5403</v>
      </c>
      <c r="AM225" s="4933" t="s">
        <v>5404</v>
      </c>
      <c r="AN225" s="6554" t="s">
        <v>5405</v>
      </c>
      <c r="AO225" s="4467" t="s">
        <v>5406</v>
      </c>
      <c r="AP225" s="5918" t="s">
        <v>5407</v>
      </c>
      <c r="AQ225" s="4933" t="s">
        <v>5408</v>
      </c>
      <c r="AR225" s="3981" t="s">
        <v>5409</v>
      </c>
      <c r="AS225" s="3981" t="s">
        <v>5410</v>
      </c>
      <c r="AT225" s="3981" t="s">
        <v>5411</v>
      </c>
      <c r="AU225" s="4378" t="s">
        <v>5412</v>
      </c>
      <c r="AV225" s="3981" t="s">
        <v>5413</v>
      </c>
      <c r="AW225" s="3981" t="s">
        <v>5414</v>
      </c>
      <c r="AX225" s="3981" t="s">
        <v>5415</v>
      </c>
      <c r="AY225" s="1430"/>
      <c r="BB225" s="4264"/>
      <c r="BC225" s="4264"/>
      <c r="BD225" s="4264"/>
      <c r="BE225" s="4264"/>
      <c r="BF225" s="4264"/>
      <c r="BG225" s="4264"/>
      <c r="BH225" s="4264"/>
      <c r="BI225" s="4264"/>
      <c r="BJ225" s="4264"/>
      <c r="BK225" s="4264"/>
      <c r="BL225" s="4264"/>
      <c r="BM225" s="4264"/>
      <c r="CB225" s="4259"/>
      <c r="DB225" s="4295"/>
    </row>
    <row r="226" spans="1:131" ht="18" customHeight="1" x14ac:dyDescent="0.25">
      <c r="A226" s="7289" t="s">
        <v>4514</v>
      </c>
      <c r="B226" s="9096" t="s">
        <v>745</v>
      </c>
      <c r="C226" s="9205"/>
      <c r="D226" s="6568" t="s">
        <v>5369</v>
      </c>
      <c r="E226" s="6569" t="s">
        <v>5370</v>
      </c>
      <c r="F226" s="6570" t="s">
        <v>5371</v>
      </c>
      <c r="G226" s="5014" t="s">
        <v>5372</v>
      </c>
      <c r="H226" s="5044" t="s">
        <v>5373</v>
      </c>
      <c r="I226" s="5014" t="s">
        <v>5374</v>
      </c>
      <c r="J226" s="5044" t="s">
        <v>5375</v>
      </c>
      <c r="K226" s="5014" t="s">
        <v>5376</v>
      </c>
      <c r="L226" s="5044" t="s">
        <v>5377</v>
      </c>
      <c r="M226" s="5014" t="s">
        <v>5378</v>
      </c>
      <c r="N226" s="5044" t="s">
        <v>5379</v>
      </c>
      <c r="O226" s="5014" t="s">
        <v>5380</v>
      </c>
      <c r="P226" s="5044" t="s">
        <v>5381</v>
      </c>
      <c r="Q226" s="5014" t="s">
        <v>5382</v>
      </c>
      <c r="R226" s="5044" t="s">
        <v>5383</v>
      </c>
      <c r="S226" s="5014" t="s">
        <v>5384</v>
      </c>
      <c r="T226" s="5044" t="s">
        <v>5385</v>
      </c>
      <c r="U226" s="5014" t="s">
        <v>5386</v>
      </c>
      <c r="V226" s="5044" t="s">
        <v>5387</v>
      </c>
      <c r="W226" s="5014" t="s">
        <v>5388</v>
      </c>
      <c r="X226" s="5044" t="s">
        <v>5389</v>
      </c>
      <c r="Y226" s="5014" t="s">
        <v>5390</v>
      </c>
      <c r="Z226" s="5044" t="s">
        <v>5391</v>
      </c>
      <c r="AA226" s="5014" t="s">
        <v>5392</v>
      </c>
      <c r="AB226" s="5044" t="s">
        <v>5393</v>
      </c>
      <c r="AC226" s="5014" t="s">
        <v>5394</v>
      </c>
      <c r="AD226" s="5044" t="s">
        <v>5395</v>
      </c>
      <c r="AE226" s="5014" t="s">
        <v>5396</v>
      </c>
      <c r="AF226" s="5044" t="s">
        <v>5397</v>
      </c>
      <c r="AG226" s="5014" t="s">
        <v>5398</v>
      </c>
      <c r="AH226" s="5044" t="s">
        <v>5399</v>
      </c>
      <c r="AI226" s="5014" t="s">
        <v>5400</v>
      </c>
      <c r="AJ226" s="5044" t="s">
        <v>5401</v>
      </c>
      <c r="AK226" s="5014" t="s">
        <v>5402</v>
      </c>
      <c r="AL226" s="5044" t="s">
        <v>5403</v>
      </c>
      <c r="AM226" s="5014" t="s">
        <v>5404</v>
      </c>
      <c r="AN226" s="6476" t="s">
        <v>5405</v>
      </c>
      <c r="AO226" s="6559" t="s">
        <v>5406</v>
      </c>
      <c r="AP226" s="6560" t="s">
        <v>5407</v>
      </c>
      <c r="AQ226" s="5014" t="s">
        <v>5408</v>
      </c>
      <c r="AR226" s="5044" t="s">
        <v>5409</v>
      </c>
      <c r="AS226" s="5044" t="s">
        <v>5410</v>
      </c>
      <c r="AT226" s="5044" t="s">
        <v>5411</v>
      </c>
      <c r="AU226" s="5044" t="s">
        <v>5412</v>
      </c>
      <c r="AV226" s="5044" t="s">
        <v>5413</v>
      </c>
      <c r="AW226" s="5044" t="s">
        <v>5414</v>
      </c>
      <c r="AX226" s="5044" t="s">
        <v>5415</v>
      </c>
      <c r="AY226" s="1430"/>
      <c r="BB226" s="4264"/>
      <c r="BC226" s="4264"/>
      <c r="BD226" s="4264"/>
      <c r="BE226" s="4264"/>
      <c r="BF226" s="4264"/>
      <c r="BG226" s="4264"/>
      <c r="BH226" s="4264"/>
      <c r="BI226" s="4264"/>
      <c r="BJ226" s="4264"/>
      <c r="BK226" s="4264"/>
      <c r="BL226" s="4264"/>
      <c r="BM226" s="4264"/>
      <c r="CB226" s="4259"/>
      <c r="DB226" s="4295"/>
    </row>
    <row r="227" spans="1:131" ht="18" customHeight="1" x14ac:dyDescent="0.25">
      <c r="A227" s="7289" t="s">
        <v>4515</v>
      </c>
      <c r="B227" s="9094" t="s">
        <v>28</v>
      </c>
      <c r="C227" s="9095"/>
      <c r="D227" s="6539" t="s">
        <v>5369</v>
      </c>
      <c r="E227" s="6540" t="s">
        <v>5370</v>
      </c>
      <c r="F227" s="6500" t="s">
        <v>5371</v>
      </c>
      <c r="G227" s="4387" t="s">
        <v>5372</v>
      </c>
      <c r="H227" s="4479" t="s">
        <v>5373</v>
      </c>
      <c r="I227" s="4387" t="s">
        <v>5374</v>
      </c>
      <c r="J227" s="4479" t="s">
        <v>5375</v>
      </c>
      <c r="K227" s="4387" t="s">
        <v>5376</v>
      </c>
      <c r="L227" s="4479" t="s">
        <v>5377</v>
      </c>
      <c r="M227" s="4387" t="s">
        <v>5378</v>
      </c>
      <c r="N227" s="4479" t="s">
        <v>5379</v>
      </c>
      <c r="O227" s="4387" t="s">
        <v>5380</v>
      </c>
      <c r="P227" s="4479" t="s">
        <v>5381</v>
      </c>
      <c r="Q227" s="4387" t="s">
        <v>5382</v>
      </c>
      <c r="R227" s="4479" t="s">
        <v>5383</v>
      </c>
      <c r="S227" s="4387" t="s">
        <v>5384</v>
      </c>
      <c r="T227" s="4479" t="s">
        <v>5385</v>
      </c>
      <c r="U227" s="4387" t="s">
        <v>5386</v>
      </c>
      <c r="V227" s="4479" t="s">
        <v>5387</v>
      </c>
      <c r="W227" s="4387" t="s">
        <v>5388</v>
      </c>
      <c r="X227" s="4479" t="s">
        <v>5389</v>
      </c>
      <c r="Y227" s="4387" t="s">
        <v>5390</v>
      </c>
      <c r="Z227" s="4479" t="s">
        <v>5391</v>
      </c>
      <c r="AA227" s="4387" t="s">
        <v>5392</v>
      </c>
      <c r="AB227" s="4479" t="s">
        <v>5393</v>
      </c>
      <c r="AC227" s="4387" t="s">
        <v>5394</v>
      </c>
      <c r="AD227" s="4479" t="s">
        <v>5395</v>
      </c>
      <c r="AE227" s="4387" t="s">
        <v>5396</v>
      </c>
      <c r="AF227" s="4479" t="s">
        <v>5397</v>
      </c>
      <c r="AG227" s="4387" t="s">
        <v>5398</v>
      </c>
      <c r="AH227" s="4479" t="s">
        <v>5399</v>
      </c>
      <c r="AI227" s="4387" t="s">
        <v>5400</v>
      </c>
      <c r="AJ227" s="4479" t="s">
        <v>5401</v>
      </c>
      <c r="AK227" s="4387" t="s">
        <v>5402</v>
      </c>
      <c r="AL227" s="4479" t="s">
        <v>5403</v>
      </c>
      <c r="AM227" s="4387" t="s">
        <v>5404</v>
      </c>
      <c r="AN227" s="6541" t="s">
        <v>5405</v>
      </c>
      <c r="AO227" s="6571" t="s">
        <v>5406</v>
      </c>
      <c r="AP227" s="6572" t="s">
        <v>5407</v>
      </c>
      <c r="AQ227" s="4387" t="s">
        <v>5408</v>
      </c>
      <c r="AR227" s="4479" t="s">
        <v>5409</v>
      </c>
      <c r="AS227" s="4479" t="s">
        <v>5410</v>
      </c>
      <c r="AT227" s="4479" t="s">
        <v>5411</v>
      </c>
      <c r="AU227" s="4378" t="s">
        <v>5412</v>
      </c>
      <c r="AV227" s="4479" t="s">
        <v>5413</v>
      </c>
      <c r="AW227" s="4479" t="s">
        <v>5414</v>
      </c>
      <c r="AX227" s="4479" t="s">
        <v>5415</v>
      </c>
      <c r="AY227" s="1430"/>
      <c r="BB227" s="4264"/>
      <c r="BC227" s="4264"/>
      <c r="BD227" s="4264"/>
      <c r="BE227" s="4264"/>
      <c r="BF227" s="4264"/>
      <c r="BG227" s="4264"/>
      <c r="BH227" s="4264"/>
      <c r="BI227" s="4264"/>
      <c r="BJ227" s="4264"/>
      <c r="BK227" s="4264"/>
      <c r="BL227" s="4264"/>
      <c r="BM227" s="4264"/>
      <c r="CB227" s="4259"/>
      <c r="DB227" s="4295"/>
      <c r="DC227" s="5899">
        <v>0</v>
      </c>
      <c r="DE227" s="5899">
        <v>0</v>
      </c>
      <c r="DI227" s="5899">
        <v>0</v>
      </c>
      <c r="DK227" s="5899">
        <v>0</v>
      </c>
      <c r="DM227" s="5899">
        <v>0</v>
      </c>
      <c r="DO227" s="5899">
        <v>0</v>
      </c>
      <c r="DQ227" s="5899">
        <v>0</v>
      </c>
      <c r="DS227" s="5899">
        <v>0</v>
      </c>
      <c r="DU227" s="5899">
        <v>0</v>
      </c>
      <c r="DW227" s="5899">
        <v>0</v>
      </c>
    </row>
    <row r="228" spans="1:131" ht="27.75" customHeight="1" x14ac:dyDescent="0.25">
      <c r="B228" s="6484" t="s">
        <v>788</v>
      </c>
      <c r="C228" s="6306"/>
      <c r="AZ228" s="6391"/>
      <c r="BA228" s="6391"/>
      <c r="BB228" s="4291"/>
      <c r="BC228" s="4291"/>
      <c r="BD228" s="4291"/>
      <c r="BE228" s="4291"/>
      <c r="BF228" s="4291"/>
      <c r="BG228" s="4291"/>
      <c r="BH228" s="4291"/>
      <c r="BI228" s="4291"/>
      <c r="BJ228" s="4264"/>
      <c r="BK228" s="4264"/>
    </row>
    <row r="229" spans="1:131" ht="23.25" customHeight="1" x14ac:dyDescent="0.25">
      <c r="B229" s="9090" t="s">
        <v>787</v>
      </c>
      <c r="C229" s="9091"/>
      <c r="D229" s="9168" t="s">
        <v>24</v>
      </c>
      <c r="E229" s="9168"/>
      <c r="F229" s="9168"/>
      <c r="G229" s="9139" t="s">
        <v>399</v>
      </c>
      <c r="H229" s="9139"/>
      <c r="I229" s="9139" t="s">
        <v>54</v>
      </c>
      <c r="J229" s="9139"/>
      <c r="K229" s="9139" t="s">
        <v>79</v>
      </c>
      <c r="L229" s="9139"/>
      <c r="M229" s="9139" t="s">
        <v>80</v>
      </c>
      <c r="N229" s="9139"/>
      <c r="O229" s="9220" t="s">
        <v>81</v>
      </c>
      <c r="P229" s="9221"/>
      <c r="Q229" s="9111" t="s">
        <v>115</v>
      </c>
      <c r="R229" s="9111"/>
      <c r="S229" s="9111" t="s">
        <v>116</v>
      </c>
      <c r="T229" s="9111"/>
      <c r="U229" s="9111" t="s">
        <v>117</v>
      </c>
      <c r="V229" s="9111"/>
      <c r="W229" s="9111" t="s">
        <v>118</v>
      </c>
      <c r="X229" s="9111"/>
      <c r="Y229" s="9111" t="s">
        <v>119</v>
      </c>
      <c r="Z229" s="9111"/>
      <c r="AA229" s="9111" t="s">
        <v>120</v>
      </c>
      <c r="AB229" s="9111"/>
      <c r="AC229" s="9111" t="s">
        <v>1414</v>
      </c>
      <c r="AD229" s="9111"/>
      <c r="AE229" s="9111" t="s">
        <v>1406</v>
      </c>
      <c r="AF229" s="9111"/>
      <c r="AG229" s="9111" t="s">
        <v>1397</v>
      </c>
      <c r="AH229" s="9111"/>
      <c r="AI229" s="9111" t="s">
        <v>1396</v>
      </c>
      <c r="AJ229" s="9111"/>
      <c r="AK229" s="9111" t="s">
        <v>1395</v>
      </c>
      <c r="AL229" s="9111"/>
      <c r="AM229" s="9111" t="s">
        <v>1405</v>
      </c>
      <c r="AN229" s="9057"/>
      <c r="AO229" s="9373" t="s">
        <v>73</v>
      </c>
      <c r="AP229" s="9374"/>
      <c r="AQ229" s="9375"/>
      <c r="AR229" s="9164" t="s">
        <v>78</v>
      </c>
      <c r="AS229" s="9131" t="s">
        <v>3468</v>
      </c>
      <c r="AT229" s="9372" t="s">
        <v>362</v>
      </c>
      <c r="AU229" s="9372"/>
      <c r="AV229" s="9079" t="s">
        <v>2957</v>
      </c>
      <c r="AW229" s="9079" t="s">
        <v>2615</v>
      </c>
      <c r="AX229" s="9381" t="s">
        <v>361</v>
      </c>
      <c r="AY229" s="9381" t="s">
        <v>2763</v>
      </c>
      <c r="AZ229" s="4264"/>
      <c r="BA229" s="4264"/>
      <c r="BB229" s="4264"/>
      <c r="BC229" s="4264"/>
      <c r="BD229" s="4264"/>
      <c r="BE229" s="4264"/>
      <c r="BF229" s="4264"/>
      <c r="BG229" s="4264"/>
      <c r="BH229" s="4264"/>
      <c r="BI229" s="4264"/>
      <c r="BJ229" s="4264"/>
      <c r="BZ229" s="4259"/>
      <c r="DA229" s="5899"/>
      <c r="EA229" s="4259"/>
    </row>
    <row r="230" spans="1:131" ht="37.5" customHeight="1" x14ac:dyDescent="0.25">
      <c r="B230" s="9092"/>
      <c r="C230" s="9093"/>
      <c r="D230" s="6181" t="s">
        <v>42</v>
      </c>
      <c r="E230" s="6573" t="s">
        <v>17</v>
      </c>
      <c r="F230" s="4527" t="s">
        <v>18</v>
      </c>
      <c r="G230" s="5284" t="s">
        <v>17</v>
      </c>
      <c r="H230" s="4527" t="s">
        <v>18</v>
      </c>
      <c r="I230" s="5284" t="s">
        <v>17</v>
      </c>
      <c r="J230" s="4527" t="s">
        <v>18</v>
      </c>
      <c r="K230" s="5284" t="s">
        <v>17</v>
      </c>
      <c r="L230" s="4527" t="s">
        <v>18</v>
      </c>
      <c r="M230" s="5284" t="s">
        <v>17</v>
      </c>
      <c r="N230" s="4527" t="s">
        <v>18</v>
      </c>
      <c r="O230" s="5284" t="s">
        <v>17</v>
      </c>
      <c r="P230" s="4527" t="s">
        <v>18</v>
      </c>
      <c r="Q230" s="5284" t="s">
        <v>17</v>
      </c>
      <c r="R230" s="4527" t="s">
        <v>18</v>
      </c>
      <c r="S230" s="5284" t="s">
        <v>17</v>
      </c>
      <c r="T230" s="4527" t="s">
        <v>18</v>
      </c>
      <c r="U230" s="5284" t="s">
        <v>17</v>
      </c>
      <c r="V230" s="4527" t="s">
        <v>18</v>
      </c>
      <c r="W230" s="5284" t="s">
        <v>17</v>
      </c>
      <c r="X230" s="4527" t="s">
        <v>18</v>
      </c>
      <c r="Y230" s="5284" t="s">
        <v>17</v>
      </c>
      <c r="Z230" s="4527" t="s">
        <v>18</v>
      </c>
      <c r="AA230" s="5284" t="s">
        <v>17</v>
      </c>
      <c r="AB230" s="4527" t="s">
        <v>18</v>
      </c>
      <c r="AC230" s="5284" t="s">
        <v>17</v>
      </c>
      <c r="AD230" s="4527" t="s">
        <v>18</v>
      </c>
      <c r="AE230" s="5284" t="s">
        <v>17</v>
      </c>
      <c r="AF230" s="4527" t="s">
        <v>18</v>
      </c>
      <c r="AG230" s="5284" t="s">
        <v>17</v>
      </c>
      <c r="AH230" s="4527" t="s">
        <v>18</v>
      </c>
      <c r="AI230" s="5284" t="s">
        <v>17</v>
      </c>
      <c r="AJ230" s="4527" t="s">
        <v>18</v>
      </c>
      <c r="AK230" s="5284" t="s">
        <v>17</v>
      </c>
      <c r="AL230" s="4527" t="s">
        <v>18</v>
      </c>
      <c r="AM230" s="5284" t="s">
        <v>17</v>
      </c>
      <c r="AN230" s="4525" t="s">
        <v>18</v>
      </c>
      <c r="AO230" s="6574" t="s">
        <v>786</v>
      </c>
      <c r="AP230" s="6575" t="s">
        <v>785</v>
      </c>
      <c r="AQ230" s="6576" t="s">
        <v>3418</v>
      </c>
      <c r="AR230" s="9165"/>
      <c r="AS230" s="9132"/>
      <c r="AT230" s="5284" t="s">
        <v>17</v>
      </c>
      <c r="AU230" s="4527" t="s">
        <v>18</v>
      </c>
      <c r="AV230" s="9080"/>
      <c r="AW230" s="9080"/>
      <c r="AX230" s="9250"/>
      <c r="AY230" s="9250"/>
      <c r="AZ230" s="4291"/>
      <c r="BA230" s="4291"/>
      <c r="BB230" s="4291"/>
      <c r="BC230" s="4291"/>
      <c r="BD230" s="4291"/>
      <c r="BE230" s="4291"/>
      <c r="BF230" s="4291"/>
      <c r="BG230" s="4291"/>
      <c r="BH230" s="4291"/>
      <c r="BI230" s="4264"/>
      <c r="BJ230" s="4264"/>
      <c r="BZ230" s="4259"/>
      <c r="DA230" s="5899"/>
      <c r="EA230" s="4259"/>
    </row>
    <row r="231" spans="1:131" ht="18.75" customHeight="1" x14ac:dyDescent="0.25">
      <c r="A231" s="7257" t="s">
        <v>4516</v>
      </c>
      <c r="B231" s="9118" t="s">
        <v>783</v>
      </c>
      <c r="C231" s="9119"/>
      <c r="D231" s="6487" t="s">
        <v>5369</v>
      </c>
      <c r="E231" s="6488" t="s">
        <v>5370</v>
      </c>
      <c r="F231" s="6066" t="s">
        <v>5371</v>
      </c>
      <c r="G231" s="6311" t="s">
        <v>5372</v>
      </c>
      <c r="H231" s="6312" t="s">
        <v>5373</v>
      </c>
      <c r="I231" s="6311" t="s">
        <v>5374</v>
      </c>
      <c r="J231" s="6312" t="s">
        <v>5375</v>
      </c>
      <c r="K231" s="6311" t="s">
        <v>5376</v>
      </c>
      <c r="L231" s="6312" t="s">
        <v>5377</v>
      </c>
      <c r="M231" s="6311" t="s">
        <v>5378</v>
      </c>
      <c r="N231" s="6312" t="s">
        <v>5379</v>
      </c>
      <c r="O231" s="6311" t="s">
        <v>5380</v>
      </c>
      <c r="P231" s="6312" t="s">
        <v>5381</v>
      </c>
      <c r="Q231" s="6311" t="s">
        <v>5382</v>
      </c>
      <c r="R231" s="6312" t="s">
        <v>5383</v>
      </c>
      <c r="S231" s="6311" t="s">
        <v>5384</v>
      </c>
      <c r="T231" s="6312" t="s">
        <v>5385</v>
      </c>
      <c r="U231" s="6311" t="s">
        <v>5386</v>
      </c>
      <c r="V231" s="6312" t="s">
        <v>5387</v>
      </c>
      <c r="W231" s="6311" t="s">
        <v>5388</v>
      </c>
      <c r="X231" s="6312" t="s">
        <v>5389</v>
      </c>
      <c r="Y231" s="6311" t="s">
        <v>5390</v>
      </c>
      <c r="Z231" s="6312" t="s">
        <v>5391</v>
      </c>
      <c r="AA231" s="6311" t="s">
        <v>5392</v>
      </c>
      <c r="AB231" s="6312" t="s">
        <v>5393</v>
      </c>
      <c r="AC231" s="6311" t="s">
        <v>5394</v>
      </c>
      <c r="AD231" s="6312" t="s">
        <v>5395</v>
      </c>
      <c r="AE231" s="6311" t="s">
        <v>5396</v>
      </c>
      <c r="AF231" s="6312" t="s">
        <v>5397</v>
      </c>
      <c r="AG231" s="6311" t="s">
        <v>5398</v>
      </c>
      <c r="AH231" s="6312" t="s">
        <v>5399</v>
      </c>
      <c r="AI231" s="6311" t="s">
        <v>5400</v>
      </c>
      <c r="AJ231" s="6312" t="s">
        <v>5401</v>
      </c>
      <c r="AK231" s="6311" t="s">
        <v>5402</v>
      </c>
      <c r="AL231" s="6312" t="s">
        <v>5403</v>
      </c>
      <c r="AM231" s="6311" t="s">
        <v>5404</v>
      </c>
      <c r="AN231" s="6508" t="s">
        <v>5405</v>
      </c>
      <c r="AO231" s="6577" t="s">
        <v>5406</v>
      </c>
      <c r="AP231" s="6578" t="s">
        <v>5407</v>
      </c>
      <c r="AQ231" s="4479" t="s">
        <v>5408</v>
      </c>
      <c r="AR231" s="6312" t="s">
        <v>5409</v>
      </c>
      <c r="AS231" s="6305" t="s">
        <v>5410</v>
      </c>
      <c r="AT231" s="6312" t="s">
        <v>5411</v>
      </c>
      <c r="AU231" s="6305" t="s">
        <v>5412</v>
      </c>
      <c r="AV231" s="6312" t="s">
        <v>5413</v>
      </c>
      <c r="AW231" s="6305" t="s">
        <v>5414</v>
      </c>
      <c r="AX231" s="6312" t="s">
        <v>5415</v>
      </c>
      <c r="AY231" s="6305" t="s">
        <v>5416</v>
      </c>
      <c r="AZ231" s="6191"/>
      <c r="BA231" s="4291"/>
      <c r="BB231" s="4291"/>
      <c r="BC231" s="4291"/>
      <c r="BD231" s="4291"/>
      <c r="BE231" s="4291"/>
      <c r="BF231" s="4291"/>
      <c r="BG231" s="4291"/>
      <c r="BH231" s="4291"/>
      <c r="BI231" s="4264"/>
      <c r="BJ231" s="4264"/>
      <c r="BZ231" s="4259"/>
      <c r="CB231" s="4295" t="s">
        <v>5435</v>
      </c>
      <c r="CD231" s="4295" t="s">
        <v>5475</v>
      </c>
      <c r="CF231" s="4295" t="s">
        <v>5476</v>
      </c>
      <c r="CH231" s="6197" t="s">
        <v>5472</v>
      </c>
      <c r="CJ231" s="4295" t="s">
        <v>5473</v>
      </c>
      <c r="CL231" s="4295" t="s">
        <v>5474</v>
      </c>
      <c r="CN231" s="4295" t="s">
        <v>5477</v>
      </c>
      <c r="CP231" s="4295" t="s">
        <v>5478</v>
      </c>
      <c r="DA231" s="5899"/>
      <c r="DB231" s="5899">
        <v>1</v>
      </c>
      <c r="DC231" s="5899">
        <v>0</v>
      </c>
      <c r="DD231" s="5899">
        <v>1</v>
      </c>
      <c r="DE231" s="5899">
        <v>0</v>
      </c>
      <c r="DF231" s="5899">
        <v>1</v>
      </c>
      <c r="DG231" s="5899">
        <v>0</v>
      </c>
      <c r="DH231" s="5899">
        <v>1</v>
      </c>
      <c r="DI231" s="5899">
        <v>0</v>
      </c>
      <c r="DJ231" s="5899">
        <v>1</v>
      </c>
      <c r="DK231" s="5899">
        <v>0</v>
      </c>
      <c r="DL231" s="5899">
        <v>1</v>
      </c>
      <c r="DM231" s="5899">
        <v>0</v>
      </c>
      <c r="DN231" s="5899">
        <v>1</v>
      </c>
      <c r="DO231" s="5899">
        <v>0</v>
      </c>
      <c r="DP231" s="5899">
        <v>1</v>
      </c>
      <c r="DQ231" s="5899">
        <v>0</v>
      </c>
      <c r="EA231" s="4259"/>
    </row>
    <row r="232" spans="1:131" ht="29.25" customHeight="1" x14ac:dyDescent="0.25">
      <c r="A232" s="7291"/>
      <c r="B232" s="9201" t="s">
        <v>782</v>
      </c>
      <c r="C232" s="9202"/>
      <c r="D232" s="6579"/>
      <c r="E232" s="6580"/>
      <c r="F232" s="6580"/>
      <c r="G232" s="6580"/>
      <c r="H232" s="6580"/>
      <c r="I232" s="6580"/>
      <c r="J232" s="6580"/>
      <c r="K232" s="6580"/>
      <c r="L232" s="6580"/>
      <c r="M232" s="6580"/>
      <c r="N232" s="6580"/>
      <c r="O232" s="6580"/>
      <c r="P232" s="6580"/>
      <c r="Q232" s="6580"/>
      <c r="R232" s="6580"/>
      <c r="S232" s="6580"/>
      <c r="T232" s="6580"/>
      <c r="U232" s="6580"/>
      <c r="V232" s="6580"/>
      <c r="W232" s="6580"/>
      <c r="X232" s="6580"/>
      <c r="Y232" s="6580"/>
      <c r="Z232" s="6580"/>
      <c r="AA232" s="6580"/>
      <c r="AB232" s="6580"/>
      <c r="AC232" s="6580"/>
      <c r="AD232" s="6580"/>
      <c r="AE232" s="6580"/>
      <c r="AF232" s="6580"/>
      <c r="AG232" s="6580"/>
      <c r="AH232" s="6580"/>
      <c r="AI232" s="6580"/>
      <c r="AJ232" s="6580"/>
      <c r="AK232" s="6580"/>
      <c r="AL232" s="6580"/>
      <c r="AM232" s="6580"/>
      <c r="AN232" s="7213"/>
      <c r="AO232" s="7213"/>
      <c r="AP232" s="7213"/>
      <c r="AQ232" s="7213"/>
      <c r="AR232" s="7213"/>
      <c r="AS232" s="7213"/>
      <c r="AT232" s="7213"/>
      <c r="AU232" s="7213"/>
      <c r="AV232" s="7213"/>
      <c r="AW232" s="7213"/>
      <c r="AX232" s="7213"/>
      <c r="AY232" s="7214"/>
      <c r="AZ232" s="6626"/>
      <c r="BA232" s="4291"/>
      <c r="BB232" s="4291"/>
      <c r="BC232" s="4291"/>
      <c r="BD232" s="4291"/>
      <c r="BE232" s="4291"/>
      <c r="BF232" s="4291"/>
      <c r="BG232" s="4291"/>
      <c r="BH232" s="4291"/>
      <c r="BI232" s="4264"/>
      <c r="BJ232" s="4264"/>
      <c r="BZ232" s="4259"/>
      <c r="DA232" s="5899"/>
      <c r="EA232" s="4259"/>
    </row>
    <row r="233" spans="1:131" ht="21" customHeight="1" x14ac:dyDescent="0.25">
      <c r="A233" s="7257" t="s">
        <v>4517</v>
      </c>
      <c r="B233" s="9088" t="s">
        <v>781</v>
      </c>
      <c r="C233" s="6581" t="s">
        <v>780</v>
      </c>
      <c r="D233" s="6496" t="s">
        <v>5369</v>
      </c>
      <c r="E233" s="6497" t="s">
        <v>5370</v>
      </c>
      <c r="F233" s="6495" t="s">
        <v>5371</v>
      </c>
      <c r="G233" s="6186" t="s">
        <v>5372</v>
      </c>
      <c r="H233" s="6224" t="s">
        <v>5373</v>
      </c>
      <c r="I233" s="6186" t="s">
        <v>5374</v>
      </c>
      <c r="J233" s="6224" t="s">
        <v>5375</v>
      </c>
      <c r="K233" s="6186" t="s">
        <v>5376</v>
      </c>
      <c r="L233" s="6224" t="s">
        <v>5377</v>
      </c>
      <c r="M233" s="6186" t="s">
        <v>5378</v>
      </c>
      <c r="N233" s="6224" t="s">
        <v>5379</v>
      </c>
      <c r="O233" s="6186" t="s">
        <v>5380</v>
      </c>
      <c r="P233" s="6224" t="s">
        <v>5381</v>
      </c>
      <c r="Q233" s="6186" t="s">
        <v>5382</v>
      </c>
      <c r="R233" s="6224" t="s">
        <v>5383</v>
      </c>
      <c r="S233" s="6186" t="s">
        <v>5384</v>
      </c>
      <c r="T233" s="6224" t="s">
        <v>5385</v>
      </c>
      <c r="U233" s="6186" t="s">
        <v>5386</v>
      </c>
      <c r="V233" s="6224" t="s">
        <v>5387</v>
      </c>
      <c r="W233" s="6186" t="s">
        <v>5388</v>
      </c>
      <c r="X233" s="6224" t="s">
        <v>5389</v>
      </c>
      <c r="Y233" s="6186" t="s">
        <v>5390</v>
      </c>
      <c r="Z233" s="6224" t="s">
        <v>5391</v>
      </c>
      <c r="AA233" s="6186" t="s">
        <v>5392</v>
      </c>
      <c r="AB233" s="6224" t="s">
        <v>5393</v>
      </c>
      <c r="AC233" s="6186" t="s">
        <v>5394</v>
      </c>
      <c r="AD233" s="6224" t="s">
        <v>5395</v>
      </c>
      <c r="AE233" s="6186" t="s">
        <v>5396</v>
      </c>
      <c r="AF233" s="6224" t="s">
        <v>5397</v>
      </c>
      <c r="AG233" s="6186" t="s">
        <v>5398</v>
      </c>
      <c r="AH233" s="6224" t="s">
        <v>5399</v>
      </c>
      <c r="AI233" s="6186" t="s">
        <v>5400</v>
      </c>
      <c r="AJ233" s="6224" t="s">
        <v>5401</v>
      </c>
      <c r="AK233" s="6186" t="s">
        <v>5402</v>
      </c>
      <c r="AL233" s="6224" t="s">
        <v>5403</v>
      </c>
      <c r="AM233" s="6186" t="s">
        <v>5404</v>
      </c>
      <c r="AN233" s="6436" t="s">
        <v>5405</v>
      </c>
      <c r="AO233" s="6582" t="s">
        <v>5406</v>
      </c>
      <c r="AP233" s="6336" t="s">
        <v>5407</v>
      </c>
      <c r="AQ233" s="6224" t="s">
        <v>5408</v>
      </c>
      <c r="AR233" s="6224" t="s">
        <v>5409</v>
      </c>
      <c r="AS233" s="6325" t="s">
        <v>5410</v>
      </c>
      <c r="AT233" s="6186" t="s">
        <v>5411</v>
      </c>
      <c r="AU233" s="6224" t="s">
        <v>5412</v>
      </c>
      <c r="AV233" s="6224" t="s">
        <v>5413</v>
      </c>
      <c r="AW233" s="6224" t="s">
        <v>5414</v>
      </c>
      <c r="AX233" s="6499" t="s">
        <v>5415</v>
      </c>
      <c r="AY233" s="6499" t="s">
        <v>5416</v>
      </c>
      <c r="AZ233" s="6626"/>
      <c r="BA233" s="4291"/>
      <c r="BB233" s="4291"/>
      <c r="BC233" s="4291"/>
      <c r="BD233" s="4291"/>
      <c r="BE233" s="4291"/>
      <c r="BF233" s="4291"/>
      <c r="BG233" s="4291"/>
      <c r="BH233" s="4291"/>
      <c r="BI233" s="4264"/>
      <c r="BJ233" s="4264"/>
      <c r="BZ233" s="4259"/>
      <c r="CH233" s="4295" t="s">
        <v>5472</v>
      </c>
      <c r="CJ233" s="4295" t="s">
        <v>5473</v>
      </c>
      <c r="CL233" s="4295" t="s">
        <v>5474</v>
      </c>
      <c r="CN233" s="4295" t="s">
        <v>5477</v>
      </c>
      <c r="DA233" s="5899"/>
      <c r="DB233" s="5899">
        <v>0</v>
      </c>
      <c r="DD233" s="5899">
        <v>0</v>
      </c>
      <c r="DF233" s="5899">
        <v>0</v>
      </c>
      <c r="DH233" s="5899">
        <v>1</v>
      </c>
      <c r="DJ233" s="5899">
        <v>1</v>
      </c>
      <c r="DL233" s="5899">
        <v>1</v>
      </c>
      <c r="DN233" s="5899">
        <v>1</v>
      </c>
      <c r="DP233" s="5899">
        <v>0</v>
      </c>
      <c r="EA233" s="4259"/>
    </row>
    <row r="234" spans="1:131" ht="21.75" customHeight="1" x14ac:dyDescent="0.25">
      <c r="A234" s="7257" t="s">
        <v>4518</v>
      </c>
      <c r="B234" s="9089"/>
      <c r="C234" s="5355" t="s">
        <v>779</v>
      </c>
      <c r="D234" s="6539" t="s">
        <v>5369</v>
      </c>
      <c r="E234" s="6540" t="s">
        <v>5370</v>
      </c>
      <c r="F234" s="6500" t="s">
        <v>5371</v>
      </c>
      <c r="G234" s="4387" t="s">
        <v>5372</v>
      </c>
      <c r="H234" s="4479" t="s">
        <v>5373</v>
      </c>
      <c r="I234" s="4387" t="s">
        <v>5374</v>
      </c>
      <c r="J234" s="4479" t="s">
        <v>5375</v>
      </c>
      <c r="K234" s="4387" t="s">
        <v>5376</v>
      </c>
      <c r="L234" s="4479" t="s">
        <v>5377</v>
      </c>
      <c r="M234" s="4387" t="s">
        <v>5378</v>
      </c>
      <c r="N234" s="4479" t="s">
        <v>5379</v>
      </c>
      <c r="O234" s="4387" t="s">
        <v>5380</v>
      </c>
      <c r="P234" s="4479" t="s">
        <v>5381</v>
      </c>
      <c r="Q234" s="4387" t="s">
        <v>5382</v>
      </c>
      <c r="R234" s="4479" t="s">
        <v>5383</v>
      </c>
      <c r="S234" s="4387" t="s">
        <v>5384</v>
      </c>
      <c r="T234" s="4479" t="s">
        <v>5385</v>
      </c>
      <c r="U234" s="4387" t="s">
        <v>5386</v>
      </c>
      <c r="V234" s="4479" t="s">
        <v>5387</v>
      </c>
      <c r="W234" s="4387" t="s">
        <v>5388</v>
      </c>
      <c r="X234" s="4479" t="s">
        <v>5389</v>
      </c>
      <c r="Y234" s="4387" t="s">
        <v>5390</v>
      </c>
      <c r="Z234" s="4479" t="s">
        <v>5391</v>
      </c>
      <c r="AA234" s="4387" t="s">
        <v>5392</v>
      </c>
      <c r="AB234" s="4479" t="s">
        <v>5393</v>
      </c>
      <c r="AC234" s="4387" t="s">
        <v>5394</v>
      </c>
      <c r="AD234" s="4479" t="s">
        <v>5395</v>
      </c>
      <c r="AE234" s="4387" t="s">
        <v>5396</v>
      </c>
      <c r="AF234" s="4479" t="s">
        <v>5397</v>
      </c>
      <c r="AG234" s="4387" t="s">
        <v>5398</v>
      </c>
      <c r="AH234" s="4479" t="s">
        <v>5399</v>
      </c>
      <c r="AI234" s="4387" t="s">
        <v>5400</v>
      </c>
      <c r="AJ234" s="4479" t="s">
        <v>5401</v>
      </c>
      <c r="AK234" s="6389" t="s">
        <v>5402</v>
      </c>
      <c r="AL234" s="4926" t="s">
        <v>5403</v>
      </c>
      <c r="AM234" s="4387" t="s">
        <v>5404</v>
      </c>
      <c r="AN234" s="6541" t="s">
        <v>5405</v>
      </c>
      <c r="AO234" s="6583" t="s">
        <v>5406</v>
      </c>
      <c r="AP234" s="4389" t="s">
        <v>5407</v>
      </c>
      <c r="AQ234" s="4479" t="s">
        <v>5408</v>
      </c>
      <c r="AR234" s="4479" t="s">
        <v>5409</v>
      </c>
      <c r="AS234" s="4468" t="s">
        <v>5410</v>
      </c>
      <c r="AT234" s="4387" t="s">
        <v>5411</v>
      </c>
      <c r="AU234" s="4479" t="s">
        <v>5412</v>
      </c>
      <c r="AV234" s="4479" t="s">
        <v>5413</v>
      </c>
      <c r="AW234" s="4479" t="s">
        <v>5414</v>
      </c>
      <c r="AX234" s="4378" t="s">
        <v>5415</v>
      </c>
      <c r="AY234" s="4378" t="s">
        <v>5416</v>
      </c>
      <c r="AZ234" s="6626"/>
      <c r="BA234" s="4291"/>
      <c r="BB234" s="4291"/>
      <c r="BC234" s="4291"/>
      <c r="BD234" s="4291"/>
      <c r="BE234" s="4291"/>
      <c r="BF234" s="4291"/>
      <c r="BG234" s="4291"/>
      <c r="BH234" s="4291"/>
      <c r="BI234" s="4264"/>
      <c r="BJ234" s="4264"/>
      <c r="BZ234" s="4259"/>
      <c r="DA234" s="5899"/>
      <c r="EA234" s="4259"/>
    </row>
    <row r="235" spans="1:131" ht="18.75" customHeight="1" x14ac:dyDescent="0.25">
      <c r="A235" s="7257" t="s">
        <v>4519</v>
      </c>
      <c r="B235" s="9120" t="s">
        <v>778</v>
      </c>
      <c r="C235" s="9121"/>
      <c r="D235" s="6584" t="s">
        <v>5369</v>
      </c>
      <c r="E235" s="6488" t="s">
        <v>5370</v>
      </c>
      <c r="F235" s="6507" t="s">
        <v>5371</v>
      </c>
      <c r="G235" s="6311" t="s">
        <v>5372</v>
      </c>
      <c r="H235" s="6312" t="s">
        <v>5373</v>
      </c>
      <c r="I235" s="6311" t="s">
        <v>5374</v>
      </c>
      <c r="J235" s="6312" t="s">
        <v>5375</v>
      </c>
      <c r="K235" s="6311" t="s">
        <v>5376</v>
      </c>
      <c r="L235" s="6312" t="s">
        <v>5377</v>
      </c>
      <c r="M235" s="6311" t="s">
        <v>5378</v>
      </c>
      <c r="N235" s="6312" t="s">
        <v>5379</v>
      </c>
      <c r="O235" s="6311" t="s">
        <v>5380</v>
      </c>
      <c r="P235" s="6312" t="s">
        <v>5381</v>
      </c>
      <c r="Q235" s="6311" t="s">
        <v>5382</v>
      </c>
      <c r="R235" s="6312" t="s">
        <v>5383</v>
      </c>
      <c r="S235" s="6311" t="s">
        <v>5384</v>
      </c>
      <c r="T235" s="6312" t="s">
        <v>5385</v>
      </c>
      <c r="U235" s="6311" t="s">
        <v>5386</v>
      </c>
      <c r="V235" s="6312" t="s">
        <v>5387</v>
      </c>
      <c r="W235" s="6311" t="s">
        <v>5388</v>
      </c>
      <c r="X235" s="6312" t="s">
        <v>5389</v>
      </c>
      <c r="Y235" s="6311" t="s">
        <v>5390</v>
      </c>
      <c r="Z235" s="6312" t="s">
        <v>5391</v>
      </c>
      <c r="AA235" s="6311" t="s">
        <v>5392</v>
      </c>
      <c r="AB235" s="6312" t="s">
        <v>5393</v>
      </c>
      <c r="AC235" s="6311" t="s">
        <v>5394</v>
      </c>
      <c r="AD235" s="6312" t="s">
        <v>5395</v>
      </c>
      <c r="AE235" s="6311" t="s">
        <v>5396</v>
      </c>
      <c r="AF235" s="6312" t="s">
        <v>5397</v>
      </c>
      <c r="AG235" s="6311" t="s">
        <v>5398</v>
      </c>
      <c r="AH235" s="6312" t="s">
        <v>5399</v>
      </c>
      <c r="AI235" s="6311" t="s">
        <v>5400</v>
      </c>
      <c r="AJ235" s="6312" t="s">
        <v>5401</v>
      </c>
      <c r="AK235" s="6311" t="s">
        <v>5402</v>
      </c>
      <c r="AL235" s="6312" t="s">
        <v>5403</v>
      </c>
      <c r="AM235" s="6311" t="s">
        <v>5404</v>
      </c>
      <c r="AN235" s="6508" t="s">
        <v>5405</v>
      </c>
      <c r="AO235" s="6585" t="s">
        <v>5406</v>
      </c>
      <c r="AP235" s="6586" t="s">
        <v>5407</v>
      </c>
      <c r="AQ235" s="6312" t="s">
        <v>5408</v>
      </c>
      <c r="AR235" s="6312" t="s">
        <v>5409</v>
      </c>
      <c r="AS235" s="6305" t="s">
        <v>5410</v>
      </c>
      <c r="AT235" s="6311" t="s">
        <v>5411</v>
      </c>
      <c r="AU235" s="6312" t="s">
        <v>5412</v>
      </c>
      <c r="AV235" s="6312" t="s">
        <v>5413</v>
      </c>
      <c r="AW235" s="6312" t="s">
        <v>5414</v>
      </c>
      <c r="AX235" s="6492" t="s">
        <v>5415</v>
      </c>
      <c r="AY235" s="6492" t="s">
        <v>5416</v>
      </c>
      <c r="AZ235" s="6626"/>
      <c r="BA235" s="4291"/>
      <c r="BB235" s="4291"/>
      <c r="BC235" s="4291"/>
      <c r="BD235" s="4291"/>
      <c r="BE235" s="4291"/>
      <c r="BF235" s="4291"/>
      <c r="BG235" s="4291"/>
      <c r="BH235" s="4291"/>
      <c r="BI235" s="4264"/>
      <c r="BJ235" s="4264"/>
      <c r="BZ235" s="4259"/>
      <c r="DA235" s="5899"/>
      <c r="EA235" s="4259"/>
    </row>
    <row r="236" spans="1:131" ht="13.5" customHeight="1" x14ac:dyDescent="0.25">
      <c r="A236" s="7257" t="s">
        <v>4520</v>
      </c>
      <c r="B236" s="9088" t="s">
        <v>777</v>
      </c>
      <c r="C236" s="6495" t="s">
        <v>776</v>
      </c>
      <c r="D236" s="6496" t="s">
        <v>5369</v>
      </c>
      <c r="E236" s="6497" t="s">
        <v>5370</v>
      </c>
      <c r="F236" s="6495" t="s">
        <v>5371</v>
      </c>
      <c r="G236" s="7057" t="s">
        <v>5372</v>
      </c>
      <c r="H236" s="7058" t="s">
        <v>5373</v>
      </c>
      <c r="I236" s="6186" t="s">
        <v>5374</v>
      </c>
      <c r="J236" s="6224" t="s">
        <v>5375</v>
      </c>
      <c r="K236" s="6186" t="s">
        <v>5376</v>
      </c>
      <c r="L236" s="6224" t="s">
        <v>5377</v>
      </c>
      <c r="M236" s="6186" t="s">
        <v>5378</v>
      </c>
      <c r="N236" s="6224" t="s">
        <v>5379</v>
      </c>
      <c r="O236" s="6186" t="s">
        <v>5380</v>
      </c>
      <c r="P236" s="6224" t="s">
        <v>5381</v>
      </c>
      <c r="Q236" s="6186" t="s">
        <v>5382</v>
      </c>
      <c r="R236" s="6224" t="s">
        <v>5383</v>
      </c>
      <c r="S236" s="6186" t="s">
        <v>5384</v>
      </c>
      <c r="T236" s="6224" t="s">
        <v>5385</v>
      </c>
      <c r="U236" s="6186" t="s">
        <v>5386</v>
      </c>
      <c r="V236" s="6224" t="s">
        <v>5387</v>
      </c>
      <c r="W236" s="6186" t="s">
        <v>5388</v>
      </c>
      <c r="X236" s="6224" t="s">
        <v>5389</v>
      </c>
      <c r="Y236" s="6186" t="s">
        <v>5390</v>
      </c>
      <c r="Z236" s="6224" t="s">
        <v>5391</v>
      </c>
      <c r="AA236" s="6186" t="s">
        <v>5392</v>
      </c>
      <c r="AB236" s="6224" t="s">
        <v>5393</v>
      </c>
      <c r="AC236" s="6186" t="s">
        <v>5394</v>
      </c>
      <c r="AD236" s="6224" t="s">
        <v>5395</v>
      </c>
      <c r="AE236" s="6186" t="s">
        <v>5396</v>
      </c>
      <c r="AF236" s="6224" t="s">
        <v>5397</v>
      </c>
      <c r="AG236" s="6186" t="s">
        <v>5398</v>
      </c>
      <c r="AH236" s="6224" t="s">
        <v>5399</v>
      </c>
      <c r="AI236" s="6186" t="s">
        <v>5400</v>
      </c>
      <c r="AJ236" s="6224" t="s">
        <v>5401</v>
      </c>
      <c r="AK236" s="6186" t="s">
        <v>5402</v>
      </c>
      <c r="AL236" s="6224" t="s">
        <v>5403</v>
      </c>
      <c r="AM236" s="6186" t="s">
        <v>5404</v>
      </c>
      <c r="AN236" s="6436" t="s">
        <v>5405</v>
      </c>
      <c r="AO236" s="6582" t="s">
        <v>5406</v>
      </c>
      <c r="AP236" s="6336" t="s">
        <v>5407</v>
      </c>
      <c r="AQ236" s="6224" t="s">
        <v>5408</v>
      </c>
      <c r="AR236" s="6224" t="s">
        <v>5409</v>
      </c>
      <c r="AS236" s="6325" t="s">
        <v>5410</v>
      </c>
      <c r="AT236" s="6186" t="s">
        <v>5411</v>
      </c>
      <c r="AU236" s="6224" t="s">
        <v>5412</v>
      </c>
      <c r="AV236" s="6224" t="s">
        <v>5413</v>
      </c>
      <c r="AW236" s="6224" t="s">
        <v>5414</v>
      </c>
      <c r="AX236" s="6499" t="s">
        <v>5415</v>
      </c>
      <c r="AY236" s="6499" t="s">
        <v>5416</v>
      </c>
      <c r="AZ236" s="6626"/>
      <c r="BA236" s="4291"/>
      <c r="BB236" s="4291"/>
      <c r="BC236" s="4291"/>
      <c r="BD236" s="4291"/>
      <c r="BE236" s="4291"/>
      <c r="BF236" s="4291"/>
      <c r="BG236" s="4291"/>
      <c r="BH236" s="4291"/>
      <c r="BI236" s="4264"/>
      <c r="BJ236" s="4264"/>
      <c r="BZ236" s="4259"/>
      <c r="DA236" s="5899"/>
      <c r="EA236" s="4259"/>
    </row>
    <row r="237" spans="1:131" ht="15" customHeight="1" x14ac:dyDescent="0.25">
      <c r="A237" s="7257" t="s">
        <v>4521</v>
      </c>
      <c r="B237" s="9089"/>
      <c r="C237" s="6503" t="s">
        <v>775</v>
      </c>
      <c r="D237" s="6509" t="s">
        <v>5369</v>
      </c>
      <c r="E237" s="6510" t="s">
        <v>5370</v>
      </c>
      <c r="F237" s="6066" t="s">
        <v>5371</v>
      </c>
      <c r="G237" s="7059" t="s">
        <v>5372</v>
      </c>
      <c r="H237" s="7060" t="s">
        <v>5373</v>
      </c>
      <c r="I237" s="6511" t="s">
        <v>5374</v>
      </c>
      <c r="J237" s="6489" t="s">
        <v>5375</v>
      </c>
      <c r="K237" s="6511" t="s">
        <v>5376</v>
      </c>
      <c r="L237" s="6489" t="s">
        <v>5377</v>
      </c>
      <c r="M237" s="6511" t="s">
        <v>5378</v>
      </c>
      <c r="N237" s="6489" t="s">
        <v>5379</v>
      </c>
      <c r="O237" s="6511" t="s">
        <v>5380</v>
      </c>
      <c r="P237" s="6489" t="s">
        <v>5381</v>
      </c>
      <c r="Q237" s="6511" t="s">
        <v>5382</v>
      </c>
      <c r="R237" s="6489" t="s">
        <v>5383</v>
      </c>
      <c r="S237" s="6511" t="s">
        <v>5384</v>
      </c>
      <c r="T237" s="6489" t="s">
        <v>5385</v>
      </c>
      <c r="U237" s="6511" t="s">
        <v>5386</v>
      </c>
      <c r="V237" s="6489" t="s">
        <v>5387</v>
      </c>
      <c r="W237" s="6511" t="s">
        <v>5388</v>
      </c>
      <c r="X237" s="6489" t="s">
        <v>5389</v>
      </c>
      <c r="Y237" s="6511" t="s">
        <v>5390</v>
      </c>
      <c r="Z237" s="6489" t="s">
        <v>5391</v>
      </c>
      <c r="AA237" s="6511" t="s">
        <v>5392</v>
      </c>
      <c r="AB237" s="6489" t="s">
        <v>5393</v>
      </c>
      <c r="AC237" s="6511" t="s">
        <v>5394</v>
      </c>
      <c r="AD237" s="6489" t="s">
        <v>5395</v>
      </c>
      <c r="AE237" s="6511" t="s">
        <v>5396</v>
      </c>
      <c r="AF237" s="6489" t="s">
        <v>5397</v>
      </c>
      <c r="AG237" s="6511" t="s">
        <v>5398</v>
      </c>
      <c r="AH237" s="6489" t="s">
        <v>5399</v>
      </c>
      <c r="AI237" s="6511" t="s">
        <v>5400</v>
      </c>
      <c r="AJ237" s="6489" t="s">
        <v>5401</v>
      </c>
      <c r="AK237" s="6395" t="s">
        <v>5402</v>
      </c>
      <c r="AL237" s="6264" t="s">
        <v>5403</v>
      </c>
      <c r="AM237" s="6511" t="s">
        <v>5404</v>
      </c>
      <c r="AN237" s="6476" t="s">
        <v>5405</v>
      </c>
      <c r="AO237" s="6587" t="s">
        <v>5406</v>
      </c>
      <c r="AP237" s="6588" t="s">
        <v>5407</v>
      </c>
      <c r="AQ237" s="6264" t="s">
        <v>5408</v>
      </c>
      <c r="AR237" s="6489" t="s">
        <v>5409</v>
      </c>
      <c r="AS237" s="6491" t="s">
        <v>5410</v>
      </c>
      <c r="AT237" s="6511" t="s">
        <v>5411</v>
      </c>
      <c r="AU237" s="6489" t="s">
        <v>5412</v>
      </c>
      <c r="AV237" s="6489" t="s">
        <v>5413</v>
      </c>
      <c r="AW237" s="6489" t="s">
        <v>5414</v>
      </c>
      <c r="AX237" s="5044" t="s">
        <v>5415</v>
      </c>
      <c r="AY237" s="5044" t="s">
        <v>5416</v>
      </c>
      <c r="AZ237" s="6626"/>
      <c r="BA237" s="4291"/>
      <c r="BB237" s="4291"/>
      <c r="BC237" s="4291"/>
      <c r="BD237" s="4291"/>
      <c r="BE237" s="4291"/>
      <c r="BF237" s="4291"/>
      <c r="BG237" s="4291"/>
      <c r="BH237" s="4291"/>
      <c r="BI237" s="4264"/>
      <c r="BJ237" s="4264"/>
      <c r="BZ237" s="4259"/>
      <c r="DA237" s="5899"/>
      <c r="EA237" s="4259"/>
    </row>
    <row r="238" spans="1:131" ht="20.25" customHeight="1" x14ac:dyDescent="0.25">
      <c r="A238" s="7257" t="s">
        <v>4522</v>
      </c>
      <c r="B238" s="6512" t="s">
        <v>774</v>
      </c>
      <c r="C238" s="6513"/>
      <c r="D238" s="6404" t="s">
        <v>5369</v>
      </c>
      <c r="E238" s="6405" t="s">
        <v>5370</v>
      </c>
      <c r="F238" s="6406" t="s">
        <v>5371</v>
      </c>
      <c r="G238" s="6311" t="s">
        <v>5372</v>
      </c>
      <c r="H238" s="6312" t="s">
        <v>5373</v>
      </c>
      <c r="I238" s="6311" t="s">
        <v>5374</v>
      </c>
      <c r="J238" s="6312" t="s">
        <v>5375</v>
      </c>
      <c r="K238" s="6311" t="s">
        <v>5376</v>
      </c>
      <c r="L238" s="6312" t="s">
        <v>5377</v>
      </c>
      <c r="M238" s="6311" t="s">
        <v>5378</v>
      </c>
      <c r="N238" s="6312" t="s">
        <v>5379</v>
      </c>
      <c r="O238" s="6311" t="s">
        <v>5380</v>
      </c>
      <c r="P238" s="6312" t="s">
        <v>5381</v>
      </c>
      <c r="Q238" s="6311" t="s">
        <v>5382</v>
      </c>
      <c r="R238" s="6312" t="s">
        <v>5383</v>
      </c>
      <c r="S238" s="6311" t="s">
        <v>5384</v>
      </c>
      <c r="T238" s="6312" t="s">
        <v>5385</v>
      </c>
      <c r="U238" s="6311" t="s">
        <v>5386</v>
      </c>
      <c r="V238" s="6312" t="s">
        <v>5387</v>
      </c>
      <c r="W238" s="6311" t="s">
        <v>5388</v>
      </c>
      <c r="X238" s="6312" t="s">
        <v>5389</v>
      </c>
      <c r="Y238" s="6311" t="s">
        <v>5390</v>
      </c>
      <c r="Z238" s="6312" t="s">
        <v>5391</v>
      </c>
      <c r="AA238" s="6311" t="s">
        <v>5392</v>
      </c>
      <c r="AB238" s="6312" t="s">
        <v>5393</v>
      </c>
      <c r="AC238" s="6311" t="s">
        <v>5394</v>
      </c>
      <c r="AD238" s="6312" t="s">
        <v>5395</v>
      </c>
      <c r="AE238" s="6311" t="s">
        <v>5396</v>
      </c>
      <c r="AF238" s="6312" t="s">
        <v>5397</v>
      </c>
      <c r="AG238" s="6311" t="s">
        <v>5398</v>
      </c>
      <c r="AH238" s="6312" t="s">
        <v>5399</v>
      </c>
      <c r="AI238" s="6311" t="s">
        <v>5400</v>
      </c>
      <c r="AJ238" s="6312" t="s">
        <v>5401</v>
      </c>
      <c r="AK238" s="6311" t="s">
        <v>5402</v>
      </c>
      <c r="AL238" s="6312" t="s">
        <v>5403</v>
      </c>
      <c r="AM238" s="6311" t="s">
        <v>5404</v>
      </c>
      <c r="AN238" s="6508" t="s">
        <v>5405</v>
      </c>
      <c r="AO238" s="6585" t="s">
        <v>5406</v>
      </c>
      <c r="AP238" s="6586" t="s">
        <v>5407</v>
      </c>
      <c r="AQ238" s="6312" t="s">
        <v>5408</v>
      </c>
      <c r="AR238" s="6312" t="s">
        <v>5409</v>
      </c>
      <c r="AS238" s="6305" t="s">
        <v>5410</v>
      </c>
      <c r="AT238" s="6311" t="s">
        <v>5411</v>
      </c>
      <c r="AU238" s="6312" t="s">
        <v>5412</v>
      </c>
      <c r="AV238" s="6312" t="s">
        <v>5413</v>
      </c>
      <c r="AW238" s="6312" t="s">
        <v>5414</v>
      </c>
      <c r="AX238" s="6492" t="s">
        <v>5415</v>
      </c>
      <c r="AY238" s="6492" t="s">
        <v>5416</v>
      </c>
      <c r="AZ238" s="6626"/>
      <c r="BA238" s="4291"/>
      <c r="BB238" s="4291"/>
      <c r="BC238" s="4291"/>
      <c r="BD238" s="4291"/>
      <c r="BE238" s="4291"/>
      <c r="BF238" s="4291"/>
      <c r="BG238" s="4291"/>
      <c r="BH238" s="4291"/>
      <c r="BI238" s="4264"/>
      <c r="BJ238" s="4264"/>
      <c r="BZ238" s="4259"/>
      <c r="DA238" s="5899"/>
      <c r="EA238" s="4259"/>
    </row>
    <row r="239" spans="1:131" ht="16.350000000000001" customHeight="1" x14ac:dyDescent="0.25">
      <c r="A239" s="7257" t="s">
        <v>4523</v>
      </c>
      <c r="B239" s="9088" t="s">
        <v>773</v>
      </c>
      <c r="C239" s="5388" t="s">
        <v>772</v>
      </c>
      <c r="D239" s="6515" t="s">
        <v>5369</v>
      </c>
      <c r="E239" s="6516" t="s">
        <v>5370</v>
      </c>
      <c r="F239" s="6514" t="s">
        <v>5371</v>
      </c>
      <c r="G239" s="6400" t="s">
        <v>5372</v>
      </c>
      <c r="H239" s="6260" t="s">
        <v>5373</v>
      </c>
      <c r="I239" s="6400" t="s">
        <v>5374</v>
      </c>
      <c r="J239" s="6260" t="s">
        <v>5375</v>
      </c>
      <c r="K239" s="6400" t="s">
        <v>5376</v>
      </c>
      <c r="L239" s="6260" t="s">
        <v>5377</v>
      </c>
      <c r="M239" s="6400" t="s">
        <v>5378</v>
      </c>
      <c r="N239" s="6260" t="s">
        <v>5379</v>
      </c>
      <c r="O239" s="6400" t="s">
        <v>5380</v>
      </c>
      <c r="P239" s="6260" t="s">
        <v>5381</v>
      </c>
      <c r="Q239" s="6400" t="s">
        <v>5382</v>
      </c>
      <c r="R239" s="6260" t="s">
        <v>5383</v>
      </c>
      <c r="S239" s="6400" t="s">
        <v>5384</v>
      </c>
      <c r="T239" s="6260" t="s">
        <v>5385</v>
      </c>
      <c r="U239" s="6400" t="s">
        <v>5386</v>
      </c>
      <c r="V239" s="6260" t="s">
        <v>5387</v>
      </c>
      <c r="W239" s="6400" t="s">
        <v>5388</v>
      </c>
      <c r="X239" s="6260" t="s">
        <v>5389</v>
      </c>
      <c r="Y239" s="6400" t="s">
        <v>5390</v>
      </c>
      <c r="Z239" s="6260" t="s">
        <v>5391</v>
      </c>
      <c r="AA239" s="6400" t="s">
        <v>5392</v>
      </c>
      <c r="AB239" s="6260" t="s">
        <v>5393</v>
      </c>
      <c r="AC239" s="6400" t="s">
        <v>5394</v>
      </c>
      <c r="AD239" s="6260" t="s">
        <v>5395</v>
      </c>
      <c r="AE239" s="6400" t="s">
        <v>5396</v>
      </c>
      <c r="AF239" s="6260" t="s">
        <v>5397</v>
      </c>
      <c r="AG239" s="6400" t="s">
        <v>5398</v>
      </c>
      <c r="AH239" s="6260" t="s">
        <v>5399</v>
      </c>
      <c r="AI239" s="6400" t="s">
        <v>5400</v>
      </c>
      <c r="AJ239" s="6260" t="s">
        <v>5401</v>
      </c>
      <c r="AK239" s="6400" t="s">
        <v>5402</v>
      </c>
      <c r="AL239" s="6260" t="s">
        <v>5403</v>
      </c>
      <c r="AM239" s="6400" t="s">
        <v>5404</v>
      </c>
      <c r="AN239" s="4955" t="s">
        <v>5405</v>
      </c>
      <c r="AO239" s="6589" t="s">
        <v>5406</v>
      </c>
      <c r="AP239" s="6590" t="s">
        <v>5407</v>
      </c>
      <c r="AQ239" s="6260" t="s">
        <v>5408</v>
      </c>
      <c r="AR239" s="6260" t="s">
        <v>5409</v>
      </c>
      <c r="AS239" s="5300" t="s">
        <v>5410</v>
      </c>
      <c r="AT239" s="6400" t="s">
        <v>5411</v>
      </c>
      <c r="AU239" s="6260" t="s">
        <v>5412</v>
      </c>
      <c r="AV239" s="6260" t="s">
        <v>5413</v>
      </c>
      <c r="AW239" s="6260" t="s">
        <v>5414</v>
      </c>
      <c r="AX239" s="4038" t="s">
        <v>5415</v>
      </c>
      <c r="AY239" s="4038" t="s">
        <v>5416</v>
      </c>
      <c r="AZ239" s="6626"/>
      <c r="BA239" s="4291"/>
      <c r="BB239" s="4291"/>
      <c r="BC239" s="4291"/>
      <c r="BD239" s="4291"/>
      <c r="BE239" s="4291"/>
      <c r="BF239" s="4291"/>
      <c r="BG239" s="4291"/>
      <c r="BH239" s="4291"/>
      <c r="BI239" s="4264"/>
      <c r="BJ239" s="4264"/>
      <c r="BZ239" s="4259"/>
      <c r="DA239" s="5899"/>
      <c r="EA239" s="4259"/>
    </row>
    <row r="240" spans="1:131" ht="16.350000000000001" customHeight="1" x14ac:dyDescent="0.25">
      <c r="A240" s="7257" t="s">
        <v>4524</v>
      </c>
      <c r="B240" s="9062"/>
      <c r="C240" s="5329" t="s">
        <v>771</v>
      </c>
      <c r="D240" s="6519" t="s">
        <v>5369</v>
      </c>
      <c r="E240" s="6520" t="s">
        <v>5370</v>
      </c>
      <c r="F240" s="6518" t="s">
        <v>5371</v>
      </c>
      <c r="G240" s="4369" t="s">
        <v>5372</v>
      </c>
      <c r="H240" s="5330" t="s">
        <v>5373</v>
      </c>
      <c r="I240" s="4369" t="s">
        <v>5374</v>
      </c>
      <c r="J240" s="5330" t="s">
        <v>5375</v>
      </c>
      <c r="K240" s="4369" t="s">
        <v>5376</v>
      </c>
      <c r="L240" s="5330" t="s">
        <v>5377</v>
      </c>
      <c r="M240" s="4369" t="s">
        <v>5378</v>
      </c>
      <c r="N240" s="5330" t="s">
        <v>5379</v>
      </c>
      <c r="O240" s="4369" t="s">
        <v>5380</v>
      </c>
      <c r="P240" s="5330" t="s">
        <v>5381</v>
      </c>
      <c r="Q240" s="4369" t="s">
        <v>5382</v>
      </c>
      <c r="R240" s="5330" t="s">
        <v>5383</v>
      </c>
      <c r="S240" s="4369" t="s">
        <v>5384</v>
      </c>
      <c r="T240" s="5330" t="s">
        <v>5385</v>
      </c>
      <c r="U240" s="4369" t="s">
        <v>5386</v>
      </c>
      <c r="V240" s="5330" t="s">
        <v>5387</v>
      </c>
      <c r="W240" s="4369" t="s">
        <v>5388</v>
      </c>
      <c r="X240" s="5330" t="s">
        <v>5389</v>
      </c>
      <c r="Y240" s="4369" t="s">
        <v>5390</v>
      </c>
      <c r="Z240" s="5330" t="s">
        <v>5391</v>
      </c>
      <c r="AA240" s="4369" t="s">
        <v>5392</v>
      </c>
      <c r="AB240" s="5330" t="s">
        <v>5393</v>
      </c>
      <c r="AC240" s="4369" t="s">
        <v>5394</v>
      </c>
      <c r="AD240" s="5330" t="s">
        <v>5395</v>
      </c>
      <c r="AE240" s="4369" t="s">
        <v>5396</v>
      </c>
      <c r="AF240" s="5330" t="s">
        <v>5397</v>
      </c>
      <c r="AG240" s="4369" t="s">
        <v>5398</v>
      </c>
      <c r="AH240" s="5330" t="s">
        <v>5399</v>
      </c>
      <c r="AI240" s="4369" t="s">
        <v>5400</v>
      </c>
      <c r="AJ240" s="5330" t="s">
        <v>5401</v>
      </c>
      <c r="AK240" s="4369" t="s">
        <v>5402</v>
      </c>
      <c r="AL240" s="5330" t="s">
        <v>5403</v>
      </c>
      <c r="AM240" s="4369" t="s">
        <v>5404</v>
      </c>
      <c r="AN240" s="5334" t="s">
        <v>5405</v>
      </c>
      <c r="AO240" s="6589" t="s">
        <v>5406</v>
      </c>
      <c r="AP240" s="6590" t="s">
        <v>5407</v>
      </c>
      <c r="AQ240" s="6260" t="s">
        <v>5408</v>
      </c>
      <c r="AR240" s="5330" t="s">
        <v>5409</v>
      </c>
      <c r="AS240" s="4460" t="s">
        <v>5410</v>
      </c>
      <c r="AT240" s="4369" t="s">
        <v>5411</v>
      </c>
      <c r="AU240" s="5330" t="s">
        <v>5412</v>
      </c>
      <c r="AV240" s="5330" t="s">
        <v>5413</v>
      </c>
      <c r="AW240" s="5330" t="s">
        <v>5414</v>
      </c>
      <c r="AX240" s="5855" t="s">
        <v>5415</v>
      </c>
      <c r="AY240" s="5855" t="s">
        <v>5416</v>
      </c>
      <c r="AZ240" s="6626"/>
      <c r="BA240" s="4291"/>
      <c r="BB240" s="4291"/>
      <c r="BC240" s="4291"/>
      <c r="BD240" s="4291"/>
      <c r="BE240" s="4291"/>
      <c r="BF240" s="4291"/>
      <c r="BG240" s="4291"/>
      <c r="BH240" s="4291"/>
      <c r="BI240" s="4264"/>
      <c r="BJ240" s="4264"/>
      <c r="BZ240" s="4259"/>
      <c r="DA240" s="5899"/>
      <c r="EA240" s="4259"/>
    </row>
    <row r="241" spans="1:131" ht="16.350000000000001" customHeight="1" x14ac:dyDescent="0.25">
      <c r="A241" s="7257" t="s">
        <v>4525</v>
      </c>
      <c r="B241" s="9062"/>
      <c r="C241" s="5329" t="s">
        <v>770</v>
      </c>
      <c r="D241" s="6519" t="s">
        <v>5369</v>
      </c>
      <c r="E241" s="6520" t="s">
        <v>5370</v>
      </c>
      <c r="F241" s="6518" t="s">
        <v>5371</v>
      </c>
      <c r="G241" s="4369" t="s">
        <v>5372</v>
      </c>
      <c r="H241" s="5330" t="s">
        <v>5373</v>
      </c>
      <c r="I241" s="4369" t="s">
        <v>5374</v>
      </c>
      <c r="J241" s="5330" t="s">
        <v>5375</v>
      </c>
      <c r="K241" s="4369" t="s">
        <v>5376</v>
      </c>
      <c r="L241" s="5330" t="s">
        <v>5377</v>
      </c>
      <c r="M241" s="4369" t="s">
        <v>5378</v>
      </c>
      <c r="N241" s="5330" t="s">
        <v>5379</v>
      </c>
      <c r="O241" s="4369" t="s">
        <v>5380</v>
      </c>
      <c r="P241" s="5330" t="s">
        <v>5381</v>
      </c>
      <c r="Q241" s="4369" t="s">
        <v>5382</v>
      </c>
      <c r="R241" s="5330" t="s">
        <v>5383</v>
      </c>
      <c r="S241" s="4369" t="s">
        <v>5384</v>
      </c>
      <c r="T241" s="5330" t="s">
        <v>5385</v>
      </c>
      <c r="U241" s="4369" t="s">
        <v>5386</v>
      </c>
      <c r="V241" s="5330" t="s">
        <v>5387</v>
      </c>
      <c r="W241" s="4369" t="s">
        <v>5388</v>
      </c>
      <c r="X241" s="5330" t="s">
        <v>5389</v>
      </c>
      <c r="Y241" s="4369" t="s">
        <v>5390</v>
      </c>
      <c r="Z241" s="5330" t="s">
        <v>5391</v>
      </c>
      <c r="AA241" s="4369" t="s">
        <v>5392</v>
      </c>
      <c r="AB241" s="5330" t="s">
        <v>5393</v>
      </c>
      <c r="AC241" s="4369" t="s">
        <v>5394</v>
      </c>
      <c r="AD241" s="5330" t="s">
        <v>5395</v>
      </c>
      <c r="AE241" s="4369" t="s">
        <v>5396</v>
      </c>
      <c r="AF241" s="5330" t="s">
        <v>5397</v>
      </c>
      <c r="AG241" s="4369" t="s">
        <v>5398</v>
      </c>
      <c r="AH241" s="5330" t="s">
        <v>5399</v>
      </c>
      <c r="AI241" s="4369" t="s">
        <v>5400</v>
      </c>
      <c r="AJ241" s="5330" t="s">
        <v>5401</v>
      </c>
      <c r="AK241" s="4369" t="s">
        <v>5402</v>
      </c>
      <c r="AL241" s="5330" t="s">
        <v>5403</v>
      </c>
      <c r="AM241" s="4369" t="s">
        <v>5404</v>
      </c>
      <c r="AN241" s="5334" t="s">
        <v>5405</v>
      </c>
      <c r="AO241" s="6589" t="s">
        <v>5406</v>
      </c>
      <c r="AP241" s="6590" t="s">
        <v>5407</v>
      </c>
      <c r="AQ241" s="6260" t="s">
        <v>5408</v>
      </c>
      <c r="AR241" s="5330" t="s">
        <v>5409</v>
      </c>
      <c r="AS241" s="4460" t="s">
        <v>5410</v>
      </c>
      <c r="AT241" s="3918" t="s">
        <v>5411</v>
      </c>
      <c r="AU241" s="5330" t="s">
        <v>5412</v>
      </c>
      <c r="AV241" s="5330" t="s">
        <v>5413</v>
      </c>
      <c r="AW241" s="5330" t="s">
        <v>5414</v>
      </c>
      <c r="AX241" s="5855" t="s">
        <v>5415</v>
      </c>
      <c r="AY241" s="5855" t="s">
        <v>5416</v>
      </c>
      <c r="AZ241" s="6626"/>
      <c r="BA241" s="4291"/>
      <c r="BB241" s="4291"/>
      <c r="BC241" s="4291"/>
      <c r="BD241" s="4291"/>
      <c r="BE241" s="4291"/>
      <c r="BF241" s="4291"/>
      <c r="BG241" s="4291"/>
      <c r="BH241" s="4291"/>
      <c r="BI241" s="4264"/>
      <c r="BJ241" s="4264"/>
      <c r="BZ241" s="4259"/>
      <c r="DA241" s="5899"/>
      <c r="DB241" s="5899">
        <v>0</v>
      </c>
      <c r="DD241" s="5899">
        <v>0</v>
      </c>
      <c r="DF241" s="5899">
        <v>0</v>
      </c>
      <c r="DH241" s="5899">
        <v>0</v>
      </c>
      <c r="DJ241" s="5899">
        <v>0</v>
      </c>
      <c r="DL241" s="5899">
        <v>0</v>
      </c>
      <c r="DN241" s="5899">
        <v>0</v>
      </c>
      <c r="DP241" s="5899">
        <v>0</v>
      </c>
      <c r="EA241" s="4259"/>
    </row>
    <row r="242" spans="1:131" ht="16.350000000000001" customHeight="1" x14ac:dyDescent="0.25">
      <c r="A242" s="7257" t="s">
        <v>4526</v>
      </c>
      <c r="B242" s="9062"/>
      <c r="C242" s="6591" t="s">
        <v>769</v>
      </c>
      <c r="D242" s="6519" t="s">
        <v>5369</v>
      </c>
      <c r="E242" s="6592" t="s">
        <v>5370</v>
      </c>
      <c r="F242" s="6518" t="s">
        <v>5371</v>
      </c>
      <c r="G242" s="6469" t="s">
        <v>5372</v>
      </c>
      <c r="H242" s="6470" t="s">
        <v>5373</v>
      </c>
      <c r="I242" s="6469" t="s">
        <v>5374</v>
      </c>
      <c r="J242" s="6470" t="s">
        <v>5375</v>
      </c>
      <c r="K242" s="6469" t="s">
        <v>5376</v>
      </c>
      <c r="L242" s="5330" t="s">
        <v>5377</v>
      </c>
      <c r="M242" s="6469" t="s">
        <v>5378</v>
      </c>
      <c r="N242" s="5330" t="s">
        <v>5379</v>
      </c>
      <c r="O242" s="6469" t="s">
        <v>5380</v>
      </c>
      <c r="P242" s="5330" t="s">
        <v>5381</v>
      </c>
      <c r="Q242" s="6469" t="s">
        <v>5382</v>
      </c>
      <c r="R242" s="5330" t="s">
        <v>5383</v>
      </c>
      <c r="S242" s="6469" t="s">
        <v>5384</v>
      </c>
      <c r="T242" s="5330" t="s">
        <v>5385</v>
      </c>
      <c r="U242" s="6469" t="s">
        <v>5386</v>
      </c>
      <c r="V242" s="5330" t="s">
        <v>5387</v>
      </c>
      <c r="W242" s="6469" t="s">
        <v>5388</v>
      </c>
      <c r="X242" s="5330" t="s">
        <v>5389</v>
      </c>
      <c r="Y242" s="6469" t="s">
        <v>5390</v>
      </c>
      <c r="Z242" s="5330" t="s">
        <v>5391</v>
      </c>
      <c r="AA242" s="6469" t="s">
        <v>5392</v>
      </c>
      <c r="AB242" s="5330" t="s">
        <v>5393</v>
      </c>
      <c r="AC242" s="6469" t="s">
        <v>5394</v>
      </c>
      <c r="AD242" s="5330" t="s">
        <v>5395</v>
      </c>
      <c r="AE242" s="6469" t="s">
        <v>5396</v>
      </c>
      <c r="AF242" s="5330" t="s">
        <v>5397</v>
      </c>
      <c r="AG242" s="6469" t="s">
        <v>5398</v>
      </c>
      <c r="AH242" s="5330" t="s">
        <v>5399</v>
      </c>
      <c r="AI242" s="6469" t="s">
        <v>5400</v>
      </c>
      <c r="AJ242" s="5330" t="s">
        <v>5401</v>
      </c>
      <c r="AK242" s="6469" t="s">
        <v>5402</v>
      </c>
      <c r="AL242" s="5330" t="s">
        <v>5403</v>
      </c>
      <c r="AM242" s="6469" t="s">
        <v>5404</v>
      </c>
      <c r="AN242" s="5334" t="s">
        <v>5405</v>
      </c>
      <c r="AO242" s="6589" t="s">
        <v>5406</v>
      </c>
      <c r="AP242" s="6590" t="s">
        <v>5407</v>
      </c>
      <c r="AQ242" s="6260" t="s">
        <v>5408</v>
      </c>
      <c r="AR242" s="5330" t="s">
        <v>5409</v>
      </c>
      <c r="AS242" s="4460" t="s">
        <v>5410</v>
      </c>
      <c r="AT242" s="6593" t="s">
        <v>5411</v>
      </c>
      <c r="AU242" s="5330" t="s">
        <v>5412</v>
      </c>
      <c r="AV242" s="5330" t="s">
        <v>5413</v>
      </c>
      <c r="AW242" s="5330" t="s">
        <v>5414</v>
      </c>
      <c r="AX242" s="5855" t="s">
        <v>5415</v>
      </c>
      <c r="AY242" s="5855" t="s">
        <v>5416</v>
      </c>
      <c r="AZ242" s="6626"/>
      <c r="BA242" s="4291"/>
      <c r="BB242" s="4291"/>
      <c r="BC242" s="4291"/>
      <c r="BD242" s="4291"/>
      <c r="BE242" s="4291"/>
      <c r="BF242" s="4291"/>
      <c r="BG242" s="4291"/>
      <c r="BH242" s="4291"/>
      <c r="BI242" s="4264"/>
      <c r="BJ242" s="4264"/>
      <c r="BZ242" s="4259"/>
      <c r="DA242" s="5899"/>
      <c r="DB242" s="5899">
        <v>0</v>
      </c>
      <c r="DD242" s="5899">
        <v>0</v>
      </c>
      <c r="DF242" s="5899">
        <v>0</v>
      </c>
      <c r="DH242" s="5899">
        <v>0</v>
      </c>
      <c r="DJ242" s="5899">
        <v>0</v>
      </c>
      <c r="DN242" s="5899">
        <v>0</v>
      </c>
      <c r="DP242" s="5899">
        <v>0</v>
      </c>
      <c r="EA242" s="4259"/>
    </row>
    <row r="243" spans="1:131" ht="16.350000000000001" customHeight="1" x14ac:dyDescent="0.25">
      <c r="A243" s="7257" t="s">
        <v>4527</v>
      </c>
      <c r="B243" s="9062"/>
      <c r="C243" s="5329" t="s">
        <v>768</v>
      </c>
      <c r="D243" s="6519" t="s">
        <v>5369</v>
      </c>
      <c r="E243" s="6520" t="s">
        <v>5370</v>
      </c>
      <c r="F243" s="6518" t="s">
        <v>5371</v>
      </c>
      <c r="G243" s="4369" t="s">
        <v>5372</v>
      </c>
      <c r="H243" s="5330" t="s">
        <v>5373</v>
      </c>
      <c r="I243" s="4369" t="s">
        <v>5374</v>
      </c>
      <c r="J243" s="5330" t="s">
        <v>5375</v>
      </c>
      <c r="K243" s="4369" t="s">
        <v>5376</v>
      </c>
      <c r="L243" s="5330" t="s">
        <v>5377</v>
      </c>
      <c r="M243" s="4369" t="s">
        <v>5378</v>
      </c>
      <c r="N243" s="5330" t="s">
        <v>5379</v>
      </c>
      <c r="O243" s="4369" t="s">
        <v>5380</v>
      </c>
      <c r="P243" s="5330" t="s">
        <v>5381</v>
      </c>
      <c r="Q243" s="4369" t="s">
        <v>5382</v>
      </c>
      <c r="R243" s="5330" t="s">
        <v>5383</v>
      </c>
      <c r="S243" s="4369" t="s">
        <v>5384</v>
      </c>
      <c r="T243" s="5330" t="s">
        <v>5385</v>
      </c>
      <c r="U243" s="4369" t="s">
        <v>5386</v>
      </c>
      <c r="V243" s="5330" t="s">
        <v>5387</v>
      </c>
      <c r="W243" s="4369" t="s">
        <v>5388</v>
      </c>
      <c r="X243" s="5330" t="s">
        <v>5389</v>
      </c>
      <c r="Y243" s="4369" t="s">
        <v>5390</v>
      </c>
      <c r="Z243" s="5330" t="s">
        <v>5391</v>
      </c>
      <c r="AA243" s="4369" t="s">
        <v>5392</v>
      </c>
      <c r="AB243" s="5330" t="s">
        <v>5393</v>
      </c>
      <c r="AC243" s="4369" t="s">
        <v>5394</v>
      </c>
      <c r="AD243" s="5330" t="s">
        <v>5395</v>
      </c>
      <c r="AE243" s="4369" t="s">
        <v>5396</v>
      </c>
      <c r="AF243" s="5330" t="s">
        <v>5397</v>
      </c>
      <c r="AG243" s="4369" t="s">
        <v>5398</v>
      </c>
      <c r="AH243" s="5330" t="s">
        <v>5399</v>
      </c>
      <c r="AI243" s="4369" t="s">
        <v>5400</v>
      </c>
      <c r="AJ243" s="5330" t="s">
        <v>5401</v>
      </c>
      <c r="AK243" s="4369" t="s">
        <v>5402</v>
      </c>
      <c r="AL243" s="5330" t="s">
        <v>5403</v>
      </c>
      <c r="AM243" s="4369" t="s">
        <v>5404</v>
      </c>
      <c r="AN243" s="5334" t="s">
        <v>5405</v>
      </c>
      <c r="AO243" s="6589" t="s">
        <v>5406</v>
      </c>
      <c r="AP243" s="6590" t="s">
        <v>5407</v>
      </c>
      <c r="AQ243" s="6260" t="s">
        <v>5408</v>
      </c>
      <c r="AR243" s="5330" t="s">
        <v>5409</v>
      </c>
      <c r="AS243" s="4460" t="s">
        <v>5410</v>
      </c>
      <c r="AT243" s="4369" t="s">
        <v>5411</v>
      </c>
      <c r="AU243" s="5330" t="s">
        <v>5412</v>
      </c>
      <c r="AV243" s="5330" t="s">
        <v>5413</v>
      </c>
      <c r="AW243" s="5330" t="s">
        <v>5414</v>
      </c>
      <c r="AX243" s="5855" t="s">
        <v>5415</v>
      </c>
      <c r="AY243" s="5855" t="s">
        <v>5416</v>
      </c>
      <c r="AZ243" s="6626"/>
      <c r="BA243" s="4291"/>
      <c r="BB243" s="4291"/>
      <c r="BC243" s="4291"/>
      <c r="BD243" s="4291"/>
      <c r="BE243" s="4291"/>
      <c r="BF243" s="4291"/>
      <c r="BG243" s="4291"/>
      <c r="BH243" s="4291"/>
      <c r="BI243" s="4264"/>
      <c r="BJ243" s="4264"/>
      <c r="BZ243" s="4259"/>
      <c r="DA243" s="5899"/>
      <c r="EA243" s="4259"/>
    </row>
    <row r="244" spans="1:131" ht="16.350000000000001" customHeight="1" x14ac:dyDescent="0.25">
      <c r="A244" s="7257" t="s">
        <v>4528</v>
      </c>
      <c r="B244" s="9062"/>
      <c r="C244" s="6594" t="s">
        <v>767</v>
      </c>
      <c r="D244" s="6519" t="s">
        <v>5369</v>
      </c>
      <c r="E244" s="6520" t="s">
        <v>5370</v>
      </c>
      <c r="F244" s="6518" t="s">
        <v>5371</v>
      </c>
      <c r="G244" s="4369" t="s">
        <v>5372</v>
      </c>
      <c r="H244" s="5330" t="s">
        <v>5373</v>
      </c>
      <c r="I244" s="4369" t="s">
        <v>5374</v>
      </c>
      <c r="J244" s="5330" t="s">
        <v>5375</v>
      </c>
      <c r="K244" s="4369" t="s">
        <v>5376</v>
      </c>
      <c r="L244" s="5330" t="s">
        <v>5377</v>
      </c>
      <c r="M244" s="4369" t="s">
        <v>5378</v>
      </c>
      <c r="N244" s="5330" t="s">
        <v>5379</v>
      </c>
      <c r="O244" s="4369" t="s">
        <v>5380</v>
      </c>
      <c r="P244" s="5330" t="s">
        <v>5381</v>
      </c>
      <c r="Q244" s="4369" t="s">
        <v>5382</v>
      </c>
      <c r="R244" s="5330" t="s">
        <v>5383</v>
      </c>
      <c r="S244" s="4369" t="s">
        <v>5384</v>
      </c>
      <c r="T244" s="5330" t="s">
        <v>5385</v>
      </c>
      <c r="U244" s="4369" t="s">
        <v>5386</v>
      </c>
      <c r="V244" s="5330" t="s">
        <v>5387</v>
      </c>
      <c r="W244" s="4369" t="s">
        <v>5388</v>
      </c>
      <c r="X244" s="5330" t="s">
        <v>5389</v>
      </c>
      <c r="Y244" s="4369" t="s">
        <v>5390</v>
      </c>
      <c r="Z244" s="5330" t="s">
        <v>5391</v>
      </c>
      <c r="AA244" s="4369" t="s">
        <v>5392</v>
      </c>
      <c r="AB244" s="5330" t="s">
        <v>5393</v>
      </c>
      <c r="AC244" s="4369" t="s">
        <v>5394</v>
      </c>
      <c r="AD244" s="5330" t="s">
        <v>5395</v>
      </c>
      <c r="AE244" s="4369" t="s">
        <v>5396</v>
      </c>
      <c r="AF244" s="5330" t="s">
        <v>5397</v>
      </c>
      <c r="AG244" s="4369" t="s">
        <v>5398</v>
      </c>
      <c r="AH244" s="5330" t="s">
        <v>5399</v>
      </c>
      <c r="AI244" s="4369" t="s">
        <v>5400</v>
      </c>
      <c r="AJ244" s="5330" t="s">
        <v>5401</v>
      </c>
      <c r="AK244" s="4369" t="s">
        <v>5402</v>
      </c>
      <c r="AL244" s="5330" t="s">
        <v>5403</v>
      </c>
      <c r="AM244" s="4369" t="s">
        <v>5404</v>
      </c>
      <c r="AN244" s="5334" t="s">
        <v>5405</v>
      </c>
      <c r="AO244" s="6589" t="s">
        <v>5406</v>
      </c>
      <c r="AP244" s="6590" t="s">
        <v>5407</v>
      </c>
      <c r="AQ244" s="6260" t="s">
        <v>5408</v>
      </c>
      <c r="AR244" s="5330" t="s">
        <v>5409</v>
      </c>
      <c r="AS244" s="4460" t="s">
        <v>5410</v>
      </c>
      <c r="AT244" s="4369" t="s">
        <v>5411</v>
      </c>
      <c r="AU244" s="5330" t="s">
        <v>5412</v>
      </c>
      <c r="AV244" s="5330" t="s">
        <v>5413</v>
      </c>
      <c r="AW244" s="5330" t="s">
        <v>5414</v>
      </c>
      <c r="AX244" s="5855" t="s">
        <v>5415</v>
      </c>
      <c r="AY244" s="5855" t="s">
        <v>5416</v>
      </c>
      <c r="AZ244" s="6626"/>
      <c r="BA244" s="4291"/>
      <c r="BB244" s="4291"/>
      <c r="BC244" s="4291"/>
      <c r="BD244" s="4291"/>
      <c r="BE244" s="4291"/>
      <c r="BF244" s="4291"/>
      <c r="BG244" s="4291"/>
      <c r="BH244" s="4291"/>
      <c r="BI244" s="4264"/>
      <c r="BJ244" s="4264"/>
      <c r="BZ244" s="4259"/>
      <c r="DA244" s="5899"/>
      <c r="EA244" s="4259"/>
    </row>
    <row r="245" spans="1:131" ht="17.25" customHeight="1" x14ac:dyDescent="0.25">
      <c r="A245" s="7257" t="s">
        <v>4529</v>
      </c>
      <c r="B245" s="9062"/>
      <c r="C245" s="6594" t="s">
        <v>766</v>
      </c>
      <c r="D245" s="6519" t="s">
        <v>5369</v>
      </c>
      <c r="E245" s="6520" t="s">
        <v>5370</v>
      </c>
      <c r="F245" s="6518" t="s">
        <v>5371</v>
      </c>
      <c r="G245" s="4369" t="s">
        <v>5372</v>
      </c>
      <c r="H245" s="5330" t="s">
        <v>5373</v>
      </c>
      <c r="I245" s="4369" t="s">
        <v>5374</v>
      </c>
      <c r="J245" s="5330" t="s">
        <v>5375</v>
      </c>
      <c r="K245" s="4369" t="s">
        <v>5376</v>
      </c>
      <c r="L245" s="5330" t="s">
        <v>5377</v>
      </c>
      <c r="M245" s="4369" t="s">
        <v>5378</v>
      </c>
      <c r="N245" s="5330" t="s">
        <v>5379</v>
      </c>
      <c r="O245" s="4369" t="s">
        <v>5380</v>
      </c>
      <c r="P245" s="5330" t="s">
        <v>5381</v>
      </c>
      <c r="Q245" s="4369" t="s">
        <v>5382</v>
      </c>
      <c r="R245" s="5330" t="s">
        <v>5383</v>
      </c>
      <c r="S245" s="4369" t="s">
        <v>5384</v>
      </c>
      <c r="T245" s="5330" t="s">
        <v>5385</v>
      </c>
      <c r="U245" s="4369" t="s">
        <v>5386</v>
      </c>
      <c r="V245" s="5330" t="s">
        <v>5387</v>
      </c>
      <c r="W245" s="4369" t="s">
        <v>5388</v>
      </c>
      <c r="X245" s="5330" t="s">
        <v>5389</v>
      </c>
      <c r="Y245" s="4369" t="s">
        <v>5390</v>
      </c>
      <c r="Z245" s="5330" t="s">
        <v>5391</v>
      </c>
      <c r="AA245" s="4369" t="s">
        <v>5392</v>
      </c>
      <c r="AB245" s="5330" t="s">
        <v>5393</v>
      </c>
      <c r="AC245" s="4369" t="s">
        <v>5394</v>
      </c>
      <c r="AD245" s="5330" t="s">
        <v>5395</v>
      </c>
      <c r="AE245" s="4369" t="s">
        <v>5396</v>
      </c>
      <c r="AF245" s="5330" t="s">
        <v>5397</v>
      </c>
      <c r="AG245" s="4369" t="s">
        <v>5398</v>
      </c>
      <c r="AH245" s="5330" t="s">
        <v>5399</v>
      </c>
      <c r="AI245" s="4369" t="s">
        <v>5400</v>
      </c>
      <c r="AJ245" s="5330" t="s">
        <v>5401</v>
      </c>
      <c r="AK245" s="4369" t="s">
        <v>5402</v>
      </c>
      <c r="AL245" s="5330" t="s">
        <v>5403</v>
      </c>
      <c r="AM245" s="4369" t="s">
        <v>5404</v>
      </c>
      <c r="AN245" s="5334" t="s">
        <v>5405</v>
      </c>
      <c r="AO245" s="6589" t="s">
        <v>5406</v>
      </c>
      <c r="AP245" s="6590" t="s">
        <v>5407</v>
      </c>
      <c r="AQ245" s="6260" t="s">
        <v>5408</v>
      </c>
      <c r="AR245" s="5330" t="s">
        <v>5409</v>
      </c>
      <c r="AS245" s="4460" t="s">
        <v>5410</v>
      </c>
      <c r="AT245" s="4369" t="s">
        <v>5411</v>
      </c>
      <c r="AU245" s="5330" t="s">
        <v>5412</v>
      </c>
      <c r="AV245" s="5330" t="s">
        <v>5413</v>
      </c>
      <c r="AW245" s="5330" t="s">
        <v>5414</v>
      </c>
      <c r="AX245" s="5855" t="s">
        <v>5415</v>
      </c>
      <c r="AY245" s="5855" t="s">
        <v>5416</v>
      </c>
      <c r="AZ245" s="6626"/>
      <c r="BA245" s="4291"/>
      <c r="BB245" s="4291"/>
      <c r="BC245" s="4291"/>
      <c r="BD245" s="4291"/>
      <c r="BE245" s="4291"/>
      <c r="BF245" s="4291"/>
      <c r="BG245" s="4291"/>
      <c r="BH245" s="4291"/>
      <c r="BI245" s="4264"/>
      <c r="BJ245" s="4264"/>
      <c r="BZ245" s="4259"/>
      <c r="DA245" s="5899"/>
      <c r="EA245" s="4259"/>
    </row>
    <row r="246" spans="1:131" ht="17.25" customHeight="1" x14ac:dyDescent="0.25">
      <c r="A246" s="7257" t="s">
        <v>4530</v>
      </c>
      <c r="B246" s="9089"/>
      <c r="C246" s="6595" t="s">
        <v>765</v>
      </c>
      <c r="D246" s="6533" t="s">
        <v>5369</v>
      </c>
      <c r="E246" s="6521" t="s">
        <v>5370</v>
      </c>
      <c r="F246" s="5305" t="s">
        <v>5371</v>
      </c>
      <c r="G246" s="6389" t="s">
        <v>5372</v>
      </c>
      <c r="H246" s="4926" t="s">
        <v>5373</v>
      </c>
      <c r="I246" s="6389" t="s">
        <v>5374</v>
      </c>
      <c r="J246" s="4926" t="s">
        <v>5375</v>
      </c>
      <c r="K246" s="6389" t="s">
        <v>5376</v>
      </c>
      <c r="L246" s="4926" t="s">
        <v>5377</v>
      </c>
      <c r="M246" s="6389" t="s">
        <v>5378</v>
      </c>
      <c r="N246" s="4926" t="s">
        <v>5379</v>
      </c>
      <c r="O246" s="6389" t="s">
        <v>5380</v>
      </c>
      <c r="P246" s="4926" t="s">
        <v>5381</v>
      </c>
      <c r="Q246" s="6389" t="s">
        <v>5382</v>
      </c>
      <c r="R246" s="4926" t="s">
        <v>5383</v>
      </c>
      <c r="S246" s="6389" t="s">
        <v>5384</v>
      </c>
      <c r="T246" s="4926" t="s">
        <v>5385</v>
      </c>
      <c r="U246" s="6389" t="s">
        <v>5386</v>
      </c>
      <c r="V246" s="4926" t="s">
        <v>5387</v>
      </c>
      <c r="W246" s="6389" t="s">
        <v>5388</v>
      </c>
      <c r="X246" s="4926" t="s">
        <v>5389</v>
      </c>
      <c r="Y246" s="6389" t="s">
        <v>5390</v>
      </c>
      <c r="Z246" s="4926" t="s">
        <v>5391</v>
      </c>
      <c r="AA246" s="6389" t="s">
        <v>5392</v>
      </c>
      <c r="AB246" s="4926" t="s">
        <v>5393</v>
      </c>
      <c r="AC246" s="6389" t="s">
        <v>5394</v>
      </c>
      <c r="AD246" s="4926" t="s">
        <v>5395</v>
      </c>
      <c r="AE246" s="6389" t="s">
        <v>5396</v>
      </c>
      <c r="AF246" s="4926" t="s">
        <v>5397</v>
      </c>
      <c r="AG246" s="6389" t="s">
        <v>5398</v>
      </c>
      <c r="AH246" s="4926" t="s">
        <v>5399</v>
      </c>
      <c r="AI246" s="6389" t="s">
        <v>5400</v>
      </c>
      <c r="AJ246" s="4926" t="s">
        <v>5401</v>
      </c>
      <c r="AK246" s="6389" t="s">
        <v>5402</v>
      </c>
      <c r="AL246" s="4926" t="s">
        <v>5403</v>
      </c>
      <c r="AM246" s="6389" t="s">
        <v>5404</v>
      </c>
      <c r="AN246" s="6445" t="s">
        <v>5405</v>
      </c>
      <c r="AO246" s="6583" t="s">
        <v>5406</v>
      </c>
      <c r="AP246" s="4389" t="s">
        <v>5407</v>
      </c>
      <c r="AQ246" s="4479" t="s">
        <v>5408</v>
      </c>
      <c r="AR246" s="4926" t="s">
        <v>5409</v>
      </c>
      <c r="AS246" s="6390" t="s">
        <v>5410</v>
      </c>
      <c r="AT246" s="6389" t="s">
        <v>5411</v>
      </c>
      <c r="AU246" s="4926" t="s">
        <v>5412</v>
      </c>
      <c r="AV246" s="4926" t="s">
        <v>5413</v>
      </c>
      <c r="AW246" s="4926" t="s">
        <v>5414</v>
      </c>
      <c r="AX246" s="4926" t="s">
        <v>5415</v>
      </c>
      <c r="AY246" s="4926" t="s">
        <v>5416</v>
      </c>
      <c r="AZ246" s="6626"/>
      <c r="BA246" s="4291"/>
      <c r="BB246" s="4291"/>
      <c r="BC246" s="4291"/>
      <c r="BD246" s="4291"/>
      <c r="BE246" s="4291"/>
      <c r="BF246" s="4291"/>
      <c r="BG246" s="4291"/>
      <c r="BH246" s="4291"/>
      <c r="BI246" s="4264"/>
      <c r="BJ246" s="4264"/>
      <c r="BZ246" s="4259"/>
      <c r="DA246" s="5899"/>
      <c r="EA246" s="4259"/>
    </row>
    <row r="247" spans="1:131" ht="16.2" customHeight="1" x14ac:dyDescent="0.25">
      <c r="A247" s="7288" t="s">
        <v>4531</v>
      </c>
      <c r="B247" s="9088" t="s">
        <v>764</v>
      </c>
      <c r="C247" s="6534" t="s">
        <v>2803</v>
      </c>
      <c r="D247" s="6496" t="s">
        <v>5369</v>
      </c>
      <c r="E247" s="6497" t="s">
        <v>5370</v>
      </c>
      <c r="F247" s="6495" t="s">
        <v>5371</v>
      </c>
      <c r="G247" s="6186" t="s">
        <v>5372</v>
      </c>
      <c r="H247" s="6224" t="s">
        <v>5373</v>
      </c>
      <c r="I247" s="6186" t="s">
        <v>5374</v>
      </c>
      <c r="J247" s="6224" t="s">
        <v>5375</v>
      </c>
      <c r="K247" s="6186" t="s">
        <v>5376</v>
      </c>
      <c r="L247" s="6224" t="s">
        <v>5377</v>
      </c>
      <c r="M247" s="6186" t="s">
        <v>5378</v>
      </c>
      <c r="N247" s="6224" t="s">
        <v>5379</v>
      </c>
      <c r="O247" s="6186" t="s">
        <v>5380</v>
      </c>
      <c r="P247" s="6224" t="s">
        <v>5381</v>
      </c>
      <c r="Q247" s="6186" t="s">
        <v>5382</v>
      </c>
      <c r="R247" s="6224" t="s">
        <v>5383</v>
      </c>
      <c r="S247" s="6186" t="s">
        <v>5384</v>
      </c>
      <c r="T247" s="6224" t="s">
        <v>5385</v>
      </c>
      <c r="U247" s="6186" t="s">
        <v>5386</v>
      </c>
      <c r="V247" s="6224" t="s">
        <v>5387</v>
      </c>
      <c r="W247" s="6186" t="s">
        <v>5388</v>
      </c>
      <c r="X247" s="6224" t="s">
        <v>5389</v>
      </c>
      <c r="Y247" s="6186" t="s">
        <v>5390</v>
      </c>
      <c r="Z247" s="6224" t="s">
        <v>5391</v>
      </c>
      <c r="AA247" s="6186" t="s">
        <v>5392</v>
      </c>
      <c r="AB247" s="6224" t="s">
        <v>5393</v>
      </c>
      <c r="AC247" s="6186" t="s">
        <v>5394</v>
      </c>
      <c r="AD247" s="6224" t="s">
        <v>5395</v>
      </c>
      <c r="AE247" s="6186" t="s">
        <v>5396</v>
      </c>
      <c r="AF247" s="6224" t="s">
        <v>5397</v>
      </c>
      <c r="AG247" s="6186" t="s">
        <v>5398</v>
      </c>
      <c r="AH247" s="6224" t="s">
        <v>5399</v>
      </c>
      <c r="AI247" s="6186" t="s">
        <v>5400</v>
      </c>
      <c r="AJ247" s="6224" t="s">
        <v>5401</v>
      </c>
      <c r="AK247" s="5348" t="s">
        <v>5402</v>
      </c>
      <c r="AL247" s="5349" t="s">
        <v>5403</v>
      </c>
      <c r="AM247" s="6186" t="s">
        <v>5404</v>
      </c>
      <c r="AN247" s="6436" t="s">
        <v>5405</v>
      </c>
      <c r="AO247" s="6589" t="s">
        <v>5406</v>
      </c>
      <c r="AP247" s="6590" t="s">
        <v>5407</v>
      </c>
      <c r="AQ247" s="6260" t="s">
        <v>5408</v>
      </c>
      <c r="AR247" s="6224" t="s">
        <v>5409</v>
      </c>
      <c r="AS247" s="6325" t="s">
        <v>5410</v>
      </c>
      <c r="AT247" s="6186" t="s">
        <v>5411</v>
      </c>
      <c r="AU247" s="6224" t="s">
        <v>5412</v>
      </c>
      <c r="AV247" s="6224" t="s">
        <v>5413</v>
      </c>
      <c r="AW247" s="6224" t="s">
        <v>5414</v>
      </c>
      <c r="AX247" s="6499" t="s">
        <v>5415</v>
      </c>
      <c r="AY247" s="6499" t="s">
        <v>5416</v>
      </c>
      <c r="AZ247" s="6626"/>
      <c r="BA247" s="4291"/>
      <c r="BB247" s="4291"/>
      <c r="BC247" s="4291"/>
      <c r="BD247" s="4291"/>
      <c r="BE247" s="4291"/>
      <c r="BF247" s="4291"/>
      <c r="BG247" s="4291"/>
      <c r="BH247" s="4291"/>
      <c r="BI247" s="4264"/>
      <c r="BJ247" s="4264"/>
      <c r="BZ247" s="4259"/>
      <c r="DA247" s="5899"/>
      <c r="EA247" s="4259"/>
    </row>
    <row r="248" spans="1:131" ht="16.2" customHeight="1" x14ac:dyDescent="0.25">
      <c r="A248" s="7288" t="s">
        <v>4532</v>
      </c>
      <c r="B248" s="9062"/>
      <c r="C248" s="6518" t="s">
        <v>2804</v>
      </c>
      <c r="D248" s="6519" t="s">
        <v>5369</v>
      </c>
      <c r="E248" s="6520" t="s">
        <v>5370</v>
      </c>
      <c r="F248" s="6518" t="s">
        <v>5371</v>
      </c>
      <c r="G248" s="4369" t="s">
        <v>5372</v>
      </c>
      <c r="H248" s="5330" t="s">
        <v>5373</v>
      </c>
      <c r="I248" s="4369" t="s">
        <v>5374</v>
      </c>
      <c r="J248" s="5330" t="s">
        <v>5375</v>
      </c>
      <c r="K248" s="4369" t="s">
        <v>5376</v>
      </c>
      <c r="L248" s="5330" t="s">
        <v>5377</v>
      </c>
      <c r="M248" s="4369" t="s">
        <v>5378</v>
      </c>
      <c r="N248" s="5330" t="s">
        <v>5379</v>
      </c>
      <c r="O248" s="4369" t="s">
        <v>5380</v>
      </c>
      <c r="P248" s="5330" t="s">
        <v>5381</v>
      </c>
      <c r="Q248" s="4369" t="s">
        <v>5382</v>
      </c>
      <c r="R248" s="5330" t="s">
        <v>5383</v>
      </c>
      <c r="S248" s="4369" t="s">
        <v>5384</v>
      </c>
      <c r="T248" s="5330" t="s">
        <v>5385</v>
      </c>
      <c r="U248" s="4369" t="s">
        <v>5386</v>
      </c>
      <c r="V248" s="5330" t="s">
        <v>5387</v>
      </c>
      <c r="W248" s="4369" t="s">
        <v>5388</v>
      </c>
      <c r="X248" s="5330" t="s">
        <v>5389</v>
      </c>
      <c r="Y248" s="4369" t="s">
        <v>5390</v>
      </c>
      <c r="Z248" s="5330" t="s">
        <v>5391</v>
      </c>
      <c r="AA248" s="4369" t="s">
        <v>5392</v>
      </c>
      <c r="AB248" s="5330" t="s">
        <v>5393</v>
      </c>
      <c r="AC248" s="4369" t="s">
        <v>5394</v>
      </c>
      <c r="AD248" s="5330" t="s">
        <v>5395</v>
      </c>
      <c r="AE248" s="4369" t="s">
        <v>5396</v>
      </c>
      <c r="AF248" s="5330" t="s">
        <v>5397</v>
      </c>
      <c r="AG248" s="4369" t="s">
        <v>5398</v>
      </c>
      <c r="AH248" s="5330" t="s">
        <v>5399</v>
      </c>
      <c r="AI248" s="4369" t="s">
        <v>5400</v>
      </c>
      <c r="AJ248" s="5330" t="s">
        <v>5401</v>
      </c>
      <c r="AK248" s="6389" t="s">
        <v>5402</v>
      </c>
      <c r="AL248" s="4926" t="s">
        <v>5403</v>
      </c>
      <c r="AM248" s="4369" t="s">
        <v>5404</v>
      </c>
      <c r="AN248" s="5334" t="s">
        <v>5405</v>
      </c>
      <c r="AO248" s="6589" t="s">
        <v>5406</v>
      </c>
      <c r="AP248" s="6590" t="s">
        <v>5407</v>
      </c>
      <c r="AQ248" s="6260" t="s">
        <v>5408</v>
      </c>
      <c r="AR248" s="5330" t="s">
        <v>5409</v>
      </c>
      <c r="AS248" s="4460" t="s">
        <v>5410</v>
      </c>
      <c r="AT248" s="4369" t="s">
        <v>5411</v>
      </c>
      <c r="AU248" s="5330" t="s">
        <v>5412</v>
      </c>
      <c r="AV248" s="5330" t="s">
        <v>5413</v>
      </c>
      <c r="AW248" s="5330" t="s">
        <v>5414</v>
      </c>
      <c r="AX248" s="5855" t="s">
        <v>5415</v>
      </c>
      <c r="AY248" s="5855" t="s">
        <v>5416</v>
      </c>
      <c r="AZ248" s="6626"/>
      <c r="BA248" s="4291"/>
      <c r="BB248" s="4291"/>
      <c r="BC248" s="4291"/>
      <c r="BD248" s="4291"/>
      <c r="BE248" s="4291"/>
      <c r="BF248" s="4291"/>
      <c r="BG248" s="4291"/>
      <c r="BH248" s="4291"/>
      <c r="BI248" s="4264"/>
      <c r="BJ248" s="4264"/>
      <c r="BZ248" s="4259"/>
      <c r="DA248" s="5899"/>
      <c r="EA248" s="4259"/>
    </row>
    <row r="249" spans="1:131" ht="16.2" customHeight="1" x14ac:dyDescent="0.25">
      <c r="A249" s="7288" t="s">
        <v>4533</v>
      </c>
      <c r="B249" s="9104"/>
      <c r="C249" s="6536" t="s">
        <v>2805</v>
      </c>
      <c r="D249" s="6537" t="s">
        <v>5369</v>
      </c>
      <c r="E249" s="6538" t="s">
        <v>5370</v>
      </c>
      <c r="F249" s="6536" t="s">
        <v>5371</v>
      </c>
      <c r="G249" s="5307" t="s">
        <v>5372</v>
      </c>
      <c r="H249" s="5308" t="s">
        <v>5373</v>
      </c>
      <c r="I249" s="5307" t="s">
        <v>5374</v>
      </c>
      <c r="J249" s="5308" t="s">
        <v>5375</v>
      </c>
      <c r="K249" s="5307" t="s">
        <v>5376</v>
      </c>
      <c r="L249" s="5308" t="s">
        <v>5377</v>
      </c>
      <c r="M249" s="5307" t="s">
        <v>5378</v>
      </c>
      <c r="N249" s="5308" t="s">
        <v>5379</v>
      </c>
      <c r="O249" s="5307" t="s">
        <v>5380</v>
      </c>
      <c r="P249" s="5308" t="s">
        <v>5381</v>
      </c>
      <c r="Q249" s="5307" t="s">
        <v>5382</v>
      </c>
      <c r="R249" s="5308" t="s">
        <v>5383</v>
      </c>
      <c r="S249" s="5307" t="s">
        <v>5384</v>
      </c>
      <c r="T249" s="5308" t="s">
        <v>5385</v>
      </c>
      <c r="U249" s="5307" t="s">
        <v>5386</v>
      </c>
      <c r="V249" s="5308" t="s">
        <v>5387</v>
      </c>
      <c r="W249" s="5307" t="s">
        <v>5388</v>
      </c>
      <c r="X249" s="5308" t="s">
        <v>5389</v>
      </c>
      <c r="Y249" s="5307" t="s">
        <v>5390</v>
      </c>
      <c r="Z249" s="5308" t="s">
        <v>5391</v>
      </c>
      <c r="AA249" s="5307" t="s">
        <v>5392</v>
      </c>
      <c r="AB249" s="5308" t="s">
        <v>5393</v>
      </c>
      <c r="AC249" s="5307" t="s">
        <v>5394</v>
      </c>
      <c r="AD249" s="5308" t="s">
        <v>5395</v>
      </c>
      <c r="AE249" s="5307" t="s">
        <v>5396</v>
      </c>
      <c r="AF249" s="5308" t="s">
        <v>5397</v>
      </c>
      <c r="AG249" s="5307" t="s">
        <v>5398</v>
      </c>
      <c r="AH249" s="5308" t="s">
        <v>5399</v>
      </c>
      <c r="AI249" s="5307" t="s">
        <v>5400</v>
      </c>
      <c r="AJ249" s="5308" t="s">
        <v>5401</v>
      </c>
      <c r="AK249" s="5307" t="s">
        <v>5402</v>
      </c>
      <c r="AL249" s="5308" t="s">
        <v>5403</v>
      </c>
      <c r="AM249" s="5307" t="s">
        <v>5404</v>
      </c>
      <c r="AN249" s="6445" t="s">
        <v>5405</v>
      </c>
      <c r="AO249" s="6596" t="s">
        <v>5406</v>
      </c>
      <c r="AP249" s="4923" t="s">
        <v>5407</v>
      </c>
      <c r="AQ249" s="4951" t="s">
        <v>5408</v>
      </c>
      <c r="AR249" s="5308" t="s">
        <v>5409</v>
      </c>
      <c r="AS249" s="6175" t="s">
        <v>5410</v>
      </c>
      <c r="AT249" s="5307" t="s">
        <v>5411</v>
      </c>
      <c r="AU249" s="5308" t="s">
        <v>5412</v>
      </c>
      <c r="AV249" s="5308" t="s">
        <v>5413</v>
      </c>
      <c r="AW249" s="5308" t="s">
        <v>5414</v>
      </c>
      <c r="AX249" s="4926" t="s">
        <v>5415</v>
      </c>
      <c r="AY249" s="4926" t="s">
        <v>5416</v>
      </c>
      <c r="AZ249" s="6626"/>
      <c r="BA249" s="4291"/>
      <c r="BB249" s="4291"/>
      <c r="BC249" s="4291"/>
      <c r="BD249" s="4291"/>
      <c r="BE249" s="4291"/>
      <c r="BF249" s="4291"/>
      <c r="BG249" s="4291"/>
      <c r="BH249" s="4291"/>
      <c r="BI249" s="4264"/>
      <c r="BJ249" s="4264"/>
      <c r="BZ249" s="4259"/>
      <c r="DA249" s="5899"/>
      <c r="EA249" s="4259"/>
    </row>
    <row r="250" spans="1:131" ht="16.2" customHeight="1" x14ac:dyDescent="0.25">
      <c r="A250" s="7288" t="s">
        <v>4534</v>
      </c>
      <c r="B250" s="9104"/>
      <c r="C250" s="6536" t="s">
        <v>2806</v>
      </c>
      <c r="D250" s="6537" t="s">
        <v>5369</v>
      </c>
      <c r="E250" s="6538" t="s">
        <v>5370</v>
      </c>
      <c r="F250" s="6536" t="s">
        <v>5371</v>
      </c>
      <c r="G250" s="5307" t="s">
        <v>5372</v>
      </c>
      <c r="H250" s="5308" t="s">
        <v>5373</v>
      </c>
      <c r="I250" s="5307" t="s">
        <v>5374</v>
      </c>
      <c r="J250" s="5308" t="s">
        <v>5375</v>
      </c>
      <c r="K250" s="5307" t="s">
        <v>5376</v>
      </c>
      <c r="L250" s="5308" t="s">
        <v>5377</v>
      </c>
      <c r="M250" s="5307" t="s">
        <v>5378</v>
      </c>
      <c r="N250" s="5308" t="s">
        <v>5379</v>
      </c>
      <c r="O250" s="5307" t="s">
        <v>5380</v>
      </c>
      <c r="P250" s="5308" t="s">
        <v>5381</v>
      </c>
      <c r="Q250" s="5307" t="s">
        <v>5382</v>
      </c>
      <c r="R250" s="5308" t="s">
        <v>5383</v>
      </c>
      <c r="S250" s="5307" t="s">
        <v>5384</v>
      </c>
      <c r="T250" s="5308" t="s">
        <v>5385</v>
      </c>
      <c r="U250" s="5307" t="s">
        <v>5386</v>
      </c>
      <c r="V250" s="5308" t="s">
        <v>5387</v>
      </c>
      <c r="W250" s="5307" t="s">
        <v>5388</v>
      </c>
      <c r="X250" s="5308" t="s">
        <v>5389</v>
      </c>
      <c r="Y250" s="5307" t="s">
        <v>5390</v>
      </c>
      <c r="Z250" s="5308" t="s">
        <v>5391</v>
      </c>
      <c r="AA250" s="5307" t="s">
        <v>5392</v>
      </c>
      <c r="AB250" s="5308" t="s">
        <v>5393</v>
      </c>
      <c r="AC250" s="5307" t="s">
        <v>5394</v>
      </c>
      <c r="AD250" s="5308" t="s">
        <v>5395</v>
      </c>
      <c r="AE250" s="5307" t="s">
        <v>5396</v>
      </c>
      <c r="AF250" s="5308" t="s">
        <v>5397</v>
      </c>
      <c r="AG250" s="5307" t="s">
        <v>5398</v>
      </c>
      <c r="AH250" s="5308" t="s">
        <v>5399</v>
      </c>
      <c r="AI250" s="5307" t="s">
        <v>5400</v>
      </c>
      <c r="AJ250" s="5308" t="s">
        <v>5401</v>
      </c>
      <c r="AK250" s="5307" t="s">
        <v>5402</v>
      </c>
      <c r="AL250" s="5308" t="s">
        <v>5403</v>
      </c>
      <c r="AM250" s="5307" t="s">
        <v>5404</v>
      </c>
      <c r="AN250" s="6445" t="s">
        <v>5405</v>
      </c>
      <c r="AO250" s="6587" t="s">
        <v>5406</v>
      </c>
      <c r="AP250" s="5048" t="s">
        <v>5407</v>
      </c>
      <c r="AQ250" s="5044" t="s">
        <v>5408</v>
      </c>
      <c r="AR250" s="5308" t="s">
        <v>5409</v>
      </c>
      <c r="AS250" s="6175" t="s">
        <v>5410</v>
      </c>
      <c r="AT250" s="5307" t="s">
        <v>5411</v>
      </c>
      <c r="AU250" s="5308" t="s">
        <v>5412</v>
      </c>
      <c r="AV250" s="5308" t="s">
        <v>5413</v>
      </c>
      <c r="AW250" s="5308" t="s">
        <v>5414</v>
      </c>
      <c r="AX250" s="4926" t="s">
        <v>5415</v>
      </c>
      <c r="AY250" s="4926" t="s">
        <v>5416</v>
      </c>
      <c r="AZ250" s="6626"/>
      <c r="BA250" s="4291"/>
      <c r="BB250" s="4291"/>
      <c r="BC250" s="4291"/>
      <c r="BD250" s="4291"/>
      <c r="BE250" s="4291"/>
      <c r="BF250" s="4291"/>
      <c r="BG250" s="4291"/>
      <c r="BH250" s="4291"/>
      <c r="BI250" s="4264"/>
      <c r="BJ250" s="4264"/>
      <c r="BZ250" s="4259"/>
      <c r="DA250" s="5899"/>
      <c r="EA250" s="4259"/>
    </row>
    <row r="251" spans="1:131" ht="16.2" customHeight="1" x14ac:dyDescent="0.25">
      <c r="A251" s="7288" t="s">
        <v>4535</v>
      </c>
      <c r="B251" s="9062"/>
      <c r="C251" s="6500" t="s">
        <v>2807</v>
      </c>
      <c r="D251" s="6539" t="s">
        <v>5369</v>
      </c>
      <c r="E251" s="6540" t="s">
        <v>5370</v>
      </c>
      <c r="F251" s="6500" t="s">
        <v>5371</v>
      </c>
      <c r="G251" s="4387" t="s">
        <v>5372</v>
      </c>
      <c r="H251" s="4479" t="s">
        <v>5373</v>
      </c>
      <c r="I251" s="4387" t="s">
        <v>5374</v>
      </c>
      <c r="J251" s="4479" t="s">
        <v>5375</v>
      </c>
      <c r="K251" s="4387" t="s">
        <v>5376</v>
      </c>
      <c r="L251" s="4479" t="s">
        <v>5377</v>
      </c>
      <c r="M251" s="4387" t="s">
        <v>5378</v>
      </c>
      <c r="N251" s="4479" t="s">
        <v>5379</v>
      </c>
      <c r="O251" s="4387" t="s">
        <v>5380</v>
      </c>
      <c r="P251" s="4479" t="s">
        <v>5381</v>
      </c>
      <c r="Q251" s="4387" t="s">
        <v>5382</v>
      </c>
      <c r="R251" s="4479" t="s">
        <v>5383</v>
      </c>
      <c r="S251" s="4387" t="s">
        <v>5384</v>
      </c>
      <c r="T251" s="4479" t="s">
        <v>5385</v>
      </c>
      <c r="U251" s="4387" t="s">
        <v>5386</v>
      </c>
      <c r="V251" s="4479" t="s">
        <v>5387</v>
      </c>
      <c r="W251" s="4387" t="s">
        <v>5388</v>
      </c>
      <c r="X251" s="4479" t="s">
        <v>5389</v>
      </c>
      <c r="Y251" s="4387" t="s">
        <v>5390</v>
      </c>
      <c r="Z251" s="4479" t="s">
        <v>5391</v>
      </c>
      <c r="AA251" s="4387" t="s">
        <v>5392</v>
      </c>
      <c r="AB251" s="4479" t="s">
        <v>5393</v>
      </c>
      <c r="AC251" s="4387" t="s">
        <v>5394</v>
      </c>
      <c r="AD251" s="4479" t="s">
        <v>5395</v>
      </c>
      <c r="AE251" s="4387" t="s">
        <v>5396</v>
      </c>
      <c r="AF251" s="4479" t="s">
        <v>5397</v>
      </c>
      <c r="AG251" s="4387" t="s">
        <v>5398</v>
      </c>
      <c r="AH251" s="4479" t="s">
        <v>5399</v>
      </c>
      <c r="AI251" s="4387" t="s">
        <v>5400</v>
      </c>
      <c r="AJ251" s="4479" t="s">
        <v>5401</v>
      </c>
      <c r="AK251" s="4387" t="s">
        <v>5402</v>
      </c>
      <c r="AL251" s="4479" t="s">
        <v>5403</v>
      </c>
      <c r="AM251" s="4387" t="s">
        <v>5404</v>
      </c>
      <c r="AN251" s="6541" t="s">
        <v>5405</v>
      </c>
      <c r="AO251" s="6583" t="s">
        <v>5406</v>
      </c>
      <c r="AP251" s="4389" t="s">
        <v>5407</v>
      </c>
      <c r="AQ251" s="4479" t="s">
        <v>5408</v>
      </c>
      <c r="AR251" s="4479" t="s">
        <v>5409</v>
      </c>
      <c r="AS251" s="4468" t="s">
        <v>5410</v>
      </c>
      <c r="AT251" s="4387" t="s">
        <v>5411</v>
      </c>
      <c r="AU251" s="4479" t="s">
        <v>5412</v>
      </c>
      <c r="AV251" s="4479" t="s">
        <v>5413</v>
      </c>
      <c r="AW251" s="4479" t="s">
        <v>5414</v>
      </c>
      <c r="AX251" s="4378" t="s">
        <v>5415</v>
      </c>
      <c r="AY251" s="4378" t="s">
        <v>5416</v>
      </c>
      <c r="AZ251" s="6626"/>
      <c r="BA251" s="4291"/>
      <c r="BB251" s="4291"/>
      <c r="BC251" s="4291"/>
      <c r="BD251" s="4291"/>
      <c r="BE251" s="4291"/>
      <c r="BF251" s="4291"/>
      <c r="BG251" s="4291"/>
      <c r="BH251" s="4291"/>
      <c r="BI251" s="4264"/>
      <c r="BJ251" s="4264"/>
      <c r="BZ251" s="4259"/>
      <c r="DA251" s="5899"/>
      <c r="EA251" s="4259"/>
    </row>
    <row r="252" spans="1:131" ht="18.75" customHeight="1" x14ac:dyDescent="0.25">
      <c r="A252" s="7257" t="s">
        <v>4536</v>
      </c>
      <c r="B252" s="9088" t="s">
        <v>763</v>
      </c>
      <c r="C252" s="6581" t="s">
        <v>762</v>
      </c>
      <c r="D252" s="6496" t="s">
        <v>5369</v>
      </c>
      <c r="E252" s="6497" t="s">
        <v>5370</v>
      </c>
      <c r="F252" s="6495" t="s">
        <v>5371</v>
      </c>
      <c r="G252" s="6186" t="s">
        <v>5372</v>
      </c>
      <c r="H252" s="6224" t="s">
        <v>5373</v>
      </c>
      <c r="I252" s="6186" t="s">
        <v>5374</v>
      </c>
      <c r="J252" s="6224" t="s">
        <v>5375</v>
      </c>
      <c r="K252" s="6186" t="s">
        <v>5376</v>
      </c>
      <c r="L252" s="6224" t="s">
        <v>5377</v>
      </c>
      <c r="M252" s="6186" t="s">
        <v>5378</v>
      </c>
      <c r="N252" s="6224" t="s">
        <v>5379</v>
      </c>
      <c r="O252" s="6186" t="s">
        <v>5380</v>
      </c>
      <c r="P252" s="6224" t="s">
        <v>5381</v>
      </c>
      <c r="Q252" s="7195" t="s">
        <v>5382</v>
      </c>
      <c r="R252" s="7196" t="s">
        <v>5383</v>
      </c>
      <c r="S252" s="7196" t="s">
        <v>5384</v>
      </c>
      <c r="T252" s="7196" t="s">
        <v>5385</v>
      </c>
      <c r="U252" s="7196" t="s">
        <v>5386</v>
      </c>
      <c r="V252" s="7196" t="s">
        <v>5387</v>
      </c>
      <c r="W252" s="7196" t="s">
        <v>5388</v>
      </c>
      <c r="X252" s="7196" t="s">
        <v>5389</v>
      </c>
      <c r="Y252" s="7196" t="s">
        <v>5390</v>
      </c>
      <c r="Z252" s="7196" t="s">
        <v>5391</v>
      </c>
      <c r="AA252" s="7196" t="s">
        <v>5392</v>
      </c>
      <c r="AB252" s="7196" t="s">
        <v>5393</v>
      </c>
      <c r="AC252" s="7196" t="s">
        <v>5394</v>
      </c>
      <c r="AD252" s="7196" t="s">
        <v>5395</v>
      </c>
      <c r="AE252" s="7196" t="s">
        <v>5396</v>
      </c>
      <c r="AF252" s="7196" t="s">
        <v>5397</v>
      </c>
      <c r="AG252" s="7196" t="s">
        <v>5398</v>
      </c>
      <c r="AH252" s="7196" t="s">
        <v>5399</v>
      </c>
      <c r="AI252" s="7196" t="s">
        <v>5400</v>
      </c>
      <c r="AJ252" s="7196" t="s">
        <v>5401</v>
      </c>
      <c r="AK252" s="7196" t="s">
        <v>5402</v>
      </c>
      <c r="AL252" s="7196" t="s">
        <v>5403</v>
      </c>
      <c r="AM252" s="7196" t="s">
        <v>5404</v>
      </c>
      <c r="AN252" s="7197" t="s">
        <v>5405</v>
      </c>
      <c r="AO252" s="6582" t="s">
        <v>5406</v>
      </c>
      <c r="AP252" s="6336" t="s">
        <v>5407</v>
      </c>
      <c r="AQ252" s="6224" t="s">
        <v>5408</v>
      </c>
      <c r="AR252" s="6224" t="s">
        <v>5409</v>
      </c>
      <c r="AS252" s="7204" t="s">
        <v>5410</v>
      </c>
      <c r="AT252" s="6186" t="s">
        <v>5411</v>
      </c>
      <c r="AU252" s="6224" t="s">
        <v>5412</v>
      </c>
      <c r="AV252" s="6224" t="s">
        <v>5413</v>
      </c>
      <c r="AW252" s="6224" t="s">
        <v>5414</v>
      </c>
      <c r="AX252" s="6499" t="s">
        <v>5415</v>
      </c>
      <c r="AY252" s="6499" t="s">
        <v>5416</v>
      </c>
      <c r="AZ252" s="6626"/>
      <c r="BA252" s="4291"/>
      <c r="BB252" s="4291"/>
      <c r="BC252" s="4291"/>
      <c r="BD252" s="4291"/>
      <c r="BE252" s="4291"/>
      <c r="BF252" s="4291"/>
      <c r="BG252" s="4291"/>
      <c r="BH252" s="4291"/>
      <c r="BI252" s="4264"/>
      <c r="BJ252" s="4264"/>
      <c r="BZ252" s="4259"/>
      <c r="DA252" s="5899"/>
      <c r="EA252" s="4259"/>
    </row>
    <row r="253" spans="1:131" ht="26.25" customHeight="1" x14ac:dyDescent="0.25">
      <c r="A253" s="7257" t="s">
        <v>4537</v>
      </c>
      <c r="B253" s="9062"/>
      <c r="C253" s="5329" t="s">
        <v>761</v>
      </c>
      <c r="D253" s="6519" t="s">
        <v>5369</v>
      </c>
      <c r="E253" s="6520" t="s">
        <v>5370</v>
      </c>
      <c r="F253" s="6518" t="s">
        <v>5371</v>
      </c>
      <c r="G253" s="4369" t="s">
        <v>5372</v>
      </c>
      <c r="H253" s="5330" t="s">
        <v>5373</v>
      </c>
      <c r="I253" s="4369" t="s">
        <v>5374</v>
      </c>
      <c r="J253" s="5330" t="s">
        <v>5375</v>
      </c>
      <c r="K253" s="4369" t="s">
        <v>5376</v>
      </c>
      <c r="L253" s="5330" t="s">
        <v>5377</v>
      </c>
      <c r="M253" s="4369" t="s">
        <v>5378</v>
      </c>
      <c r="N253" s="5330" t="s">
        <v>5379</v>
      </c>
      <c r="O253" s="4369" t="s">
        <v>5380</v>
      </c>
      <c r="P253" s="5330" t="s">
        <v>5381</v>
      </c>
      <c r="Q253" s="7198" t="s">
        <v>5382</v>
      </c>
      <c r="R253" s="7199" t="s">
        <v>5383</v>
      </c>
      <c r="S253" s="7199" t="s">
        <v>5384</v>
      </c>
      <c r="T253" s="7199" t="s">
        <v>5385</v>
      </c>
      <c r="U253" s="7199" t="s">
        <v>5386</v>
      </c>
      <c r="V253" s="7199" t="s">
        <v>5387</v>
      </c>
      <c r="W253" s="7199" t="s">
        <v>5388</v>
      </c>
      <c r="X253" s="7199" t="s">
        <v>5389</v>
      </c>
      <c r="Y253" s="7199" t="s">
        <v>5390</v>
      </c>
      <c r="Z253" s="7199" t="s">
        <v>5391</v>
      </c>
      <c r="AA253" s="7199" t="s">
        <v>5392</v>
      </c>
      <c r="AB253" s="7199" t="s">
        <v>5393</v>
      </c>
      <c r="AC253" s="7199" t="s">
        <v>5394</v>
      </c>
      <c r="AD253" s="7199" t="s">
        <v>5395</v>
      </c>
      <c r="AE253" s="7199" t="s">
        <v>5396</v>
      </c>
      <c r="AF253" s="7199" t="s">
        <v>5397</v>
      </c>
      <c r="AG253" s="7199" t="s">
        <v>5398</v>
      </c>
      <c r="AH253" s="7199" t="s">
        <v>5399</v>
      </c>
      <c r="AI253" s="7199" t="s">
        <v>5400</v>
      </c>
      <c r="AJ253" s="7199" t="s">
        <v>5401</v>
      </c>
      <c r="AK253" s="7199" t="s">
        <v>5402</v>
      </c>
      <c r="AL253" s="7199" t="s">
        <v>5403</v>
      </c>
      <c r="AM253" s="7199" t="s">
        <v>5404</v>
      </c>
      <c r="AN253" s="7200" t="s">
        <v>5405</v>
      </c>
      <c r="AO253" s="6589" t="s">
        <v>5406</v>
      </c>
      <c r="AP253" s="6590" t="s">
        <v>5407</v>
      </c>
      <c r="AQ253" s="6260" t="s">
        <v>5408</v>
      </c>
      <c r="AR253" s="5330" t="s">
        <v>5409</v>
      </c>
      <c r="AS253" s="7205" t="s">
        <v>5410</v>
      </c>
      <c r="AT253" s="4369" t="s">
        <v>5411</v>
      </c>
      <c r="AU253" s="5330" t="s">
        <v>5412</v>
      </c>
      <c r="AV253" s="5330" t="s">
        <v>5413</v>
      </c>
      <c r="AW253" s="5330" t="s">
        <v>5414</v>
      </c>
      <c r="AX253" s="5855" t="s">
        <v>5415</v>
      </c>
      <c r="AY253" s="5855" t="s">
        <v>5416</v>
      </c>
      <c r="AZ253" s="6626"/>
      <c r="BA253" s="4291"/>
      <c r="BB253" s="4291"/>
      <c r="BC253" s="4291"/>
      <c r="BD253" s="4291"/>
      <c r="BE253" s="4291"/>
      <c r="BF253" s="4264"/>
      <c r="BG253" s="4264"/>
      <c r="BZ253" s="4259"/>
      <c r="DA253" s="5899"/>
      <c r="EA253" s="4259"/>
    </row>
    <row r="254" spans="1:131" ht="27.75" customHeight="1" x14ac:dyDescent="0.25">
      <c r="A254" s="7257" t="s">
        <v>4538</v>
      </c>
      <c r="B254" s="9062"/>
      <c r="C254" s="5329" t="s">
        <v>760</v>
      </c>
      <c r="D254" s="6519" t="s">
        <v>5369</v>
      </c>
      <c r="E254" s="6520" t="s">
        <v>5370</v>
      </c>
      <c r="F254" s="6518" t="s">
        <v>5371</v>
      </c>
      <c r="G254" s="4369" t="s">
        <v>5372</v>
      </c>
      <c r="H254" s="5330" t="s">
        <v>5373</v>
      </c>
      <c r="I254" s="4369" t="s">
        <v>5374</v>
      </c>
      <c r="J254" s="5330" t="s">
        <v>5375</v>
      </c>
      <c r="K254" s="4369" t="s">
        <v>5376</v>
      </c>
      <c r="L254" s="5330" t="s">
        <v>5377</v>
      </c>
      <c r="M254" s="4369" t="s">
        <v>5378</v>
      </c>
      <c r="N254" s="5330" t="s">
        <v>5379</v>
      </c>
      <c r="O254" s="4369" t="s">
        <v>5380</v>
      </c>
      <c r="P254" s="5330" t="s">
        <v>5381</v>
      </c>
      <c r="Q254" s="7198" t="s">
        <v>5382</v>
      </c>
      <c r="R254" s="7199" t="s">
        <v>5383</v>
      </c>
      <c r="S254" s="7199" t="s">
        <v>5384</v>
      </c>
      <c r="T254" s="7199" t="s">
        <v>5385</v>
      </c>
      <c r="U254" s="7199" t="s">
        <v>5386</v>
      </c>
      <c r="V254" s="7199" t="s">
        <v>5387</v>
      </c>
      <c r="W254" s="7199" t="s">
        <v>5388</v>
      </c>
      <c r="X254" s="7199" t="s">
        <v>5389</v>
      </c>
      <c r="Y254" s="7199" t="s">
        <v>5390</v>
      </c>
      <c r="Z254" s="7199" t="s">
        <v>5391</v>
      </c>
      <c r="AA254" s="7199" t="s">
        <v>5392</v>
      </c>
      <c r="AB254" s="7199" t="s">
        <v>5393</v>
      </c>
      <c r="AC254" s="7199" t="s">
        <v>5394</v>
      </c>
      <c r="AD254" s="7199" t="s">
        <v>5395</v>
      </c>
      <c r="AE254" s="7199" t="s">
        <v>5396</v>
      </c>
      <c r="AF254" s="7199" t="s">
        <v>5397</v>
      </c>
      <c r="AG254" s="7199" t="s">
        <v>5398</v>
      </c>
      <c r="AH254" s="7199" t="s">
        <v>5399</v>
      </c>
      <c r="AI254" s="7199" t="s">
        <v>5400</v>
      </c>
      <c r="AJ254" s="7199" t="s">
        <v>5401</v>
      </c>
      <c r="AK254" s="7199" t="s">
        <v>5402</v>
      </c>
      <c r="AL254" s="7199" t="s">
        <v>5403</v>
      </c>
      <c r="AM254" s="7199" t="s">
        <v>5404</v>
      </c>
      <c r="AN254" s="7200" t="s">
        <v>5405</v>
      </c>
      <c r="AO254" s="6589" t="s">
        <v>5406</v>
      </c>
      <c r="AP254" s="6590" t="s">
        <v>5407</v>
      </c>
      <c r="AQ254" s="6260" t="s">
        <v>5408</v>
      </c>
      <c r="AR254" s="5330" t="s">
        <v>5409</v>
      </c>
      <c r="AS254" s="7205" t="s">
        <v>5410</v>
      </c>
      <c r="AT254" s="4369" t="s">
        <v>5411</v>
      </c>
      <c r="AU254" s="5330" t="s">
        <v>5412</v>
      </c>
      <c r="AV254" s="5330" t="s">
        <v>5413</v>
      </c>
      <c r="AW254" s="5330" t="s">
        <v>5414</v>
      </c>
      <c r="AX254" s="5855" t="s">
        <v>5415</v>
      </c>
      <c r="AY254" s="5855" t="s">
        <v>5416</v>
      </c>
      <c r="AZ254" s="6626"/>
      <c r="BA254" s="4291"/>
      <c r="BB254" s="4291"/>
      <c r="BC254" s="4291"/>
      <c r="BD254" s="4291"/>
      <c r="BE254" s="4291"/>
      <c r="BF254" s="4264"/>
      <c r="BG254" s="4264"/>
      <c r="BZ254" s="4259"/>
      <c r="DA254" s="5899"/>
      <c r="EA254" s="4259"/>
    </row>
    <row r="255" spans="1:131" ht="48" customHeight="1" x14ac:dyDescent="0.25">
      <c r="A255" s="7257" t="s">
        <v>4539</v>
      </c>
      <c r="B255" s="9062"/>
      <c r="C255" s="5355" t="s">
        <v>759</v>
      </c>
      <c r="D255" s="6539" t="s">
        <v>5369</v>
      </c>
      <c r="E255" s="6540" t="s">
        <v>5370</v>
      </c>
      <c r="F255" s="6500" t="s">
        <v>5371</v>
      </c>
      <c r="G255" s="4387" t="s">
        <v>5372</v>
      </c>
      <c r="H255" s="4479" t="s">
        <v>5373</v>
      </c>
      <c r="I255" s="4387" t="s">
        <v>5374</v>
      </c>
      <c r="J255" s="4479" t="s">
        <v>5375</v>
      </c>
      <c r="K255" s="4387" t="s">
        <v>5376</v>
      </c>
      <c r="L255" s="4479" t="s">
        <v>5377</v>
      </c>
      <c r="M255" s="4387" t="s">
        <v>5378</v>
      </c>
      <c r="N255" s="4479" t="s">
        <v>5379</v>
      </c>
      <c r="O255" s="4387" t="s">
        <v>5380</v>
      </c>
      <c r="P255" s="4479" t="s">
        <v>5381</v>
      </c>
      <c r="Q255" s="7201" t="s">
        <v>5382</v>
      </c>
      <c r="R255" s="7202" t="s">
        <v>5383</v>
      </c>
      <c r="S255" s="7202" t="s">
        <v>5384</v>
      </c>
      <c r="T255" s="7202" t="s">
        <v>5385</v>
      </c>
      <c r="U255" s="7202" t="s">
        <v>5386</v>
      </c>
      <c r="V255" s="7202" t="s">
        <v>5387</v>
      </c>
      <c r="W255" s="7202" t="s">
        <v>5388</v>
      </c>
      <c r="X255" s="7202" t="s">
        <v>5389</v>
      </c>
      <c r="Y255" s="7202" t="s">
        <v>5390</v>
      </c>
      <c r="Z255" s="7202" t="s">
        <v>5391</v>
      </c>
      <c r="AA255" s="7202" t="s">
        <v>5392</v>
      </c>
      <c r="AB255" s="7202" t="s">
        <v>5393</v>
      </c>
      <c r="AC255" s="7202" t="s">
        <v>5394</v>
      </c>
      <c r="AD255" s="7202" t="s">
        <v>5395</v>
      </c>
      <c r="AE255" s="7202" t="s">
        <v>5396</v>
      </c>
      <c r="AF255" s="7202" t="s">
        <v>5397</v>
      </c>
      <c r="AG255" s="7202" t="s">
        <v>5398</v>
      </c>
      <c r="AH255" s="7202" t="s">
        <v>5399</v>
      </c>
      <c r="AI255" s="7202" t="s">
        <v>5400</v>
      </c>
      <c r="AJ255" s="7202" t="s">
        <v>5401</v>
      </c>
      <c r="AK255" s="7202" t="s">
        <v>5402</v>
      </c>
      <c r="AL255" s="7202" t="s">
        <v>5403</v>
      </c>
      <c r="AM255" s="7202" t="s">
        <v>5404</v>
      </c>
      <c r="AN255" s="7203" t="s">
        <v>5405</v>
      </c>
      <c r="AO255" s="6589" t="s">
        <v>5406</v>
      </c>
      <c r="AP255" s="6590" t="s">
        <v>5407</v>
      </c>
      <c r="AQ255" s="4465" t="s">
        <v>5408</v>
      </c>
      <c r="AR255" s="4387" t="s">
        <v>5409</v>
      </c>
      <c r="AS255" s="7206" t="s">
        <v>5410</v>
      </c>
      <c r="AT255" s="4387" t="s">
        <v>5411</v>
      </c>
      <c r="AU255" s="4479" t="s">
        <v>5412</v>
      </c>
      <c r="AV255" s="4479" t="s">
        <v>5413</v>
      </c>
      <c r="AW255" s="4479" t="s">
        <v>5414</v>
      </c>
      <c r="AX255" s="4378" t="s">
        <v>5415</v>
      </c>
      <c r="AY255" s="4378" t="s">
        <v>5416</v>
      </c>
      <c r="AZ255" s="6626"/>
      <c r="BA255" s="4291"/>
      <c r="BB255" s="4291"/>
      <c r="BC255" s="4291"/>
      <c r="BD255" s="4291"/>
      <c r="BE255" s="4291"/>
      <c r="BF255" s="4264"/>
      <c r="BG255" s="4264"/>
      <c r="BZ255" s="4259"/>
      <c r="DA255" s="5899"/>
      <c r="EA255" s="4259"/>
    </row>
    <row r="256" spans="1:131" ht="22.5" customHeight="1" x14ac:dyDescent="0.25">
      <c r="A256" s="7257" t="s">
        <v>4540</v>
      </c>
      <c r="B256" s="9088" t="s">
        <v>758</v>
      </c>
      <c r="C256" s="6597" t="s">
        <v>757</v>
      </c>
      <c r="D256" s="6515" t="s">
        <v>5369</v>
      </c>
      <c r="E256" s="6516" t="s">
        <v>5370</v>
      </c>
      <c r="F256" s="6514" t="s">
        <v>5371</v>
      </c>
      <c r="G256" s="6400" t="s">
        <v>5372</v>
      </c>
      <c r="H256" s="6260" t="s">
        <v>5373</v>
      </c>
      <c r="I256" s="6400" t="s">
        <v>5374</v>
      </c>
      <c r="J256" s="6260" t="s">
        <v>5375</v>
      </c>
      <c r="K256" s="6400" t="s">
        <v>5376</v>
      </c>
      <c r="L256" s="6260" t="s">
        <v>5377</v>
      </c>
      <c r="M256" s="6400" t="s">
        <v>5378</v>
      </c>
      <c r="N256" s="6260" t="s">
        <v>5379</v>
      </c>
      <c r="O256" s="6400" t="s">
        <v>5380</v>
      </c>
      <c r="P256" s="6260" t="s">
        <v>5381</v>
      </c>
      <c r="Q256" s="6400" t="s">
        <v>5382</v>
      </c>
      <c r="R256" s="6260" t="s">
        <v>5383</v>
      </c>
      <c r="S256" s="6400" t="s">
        <v>5384</v>
      </c>
      <c r="T256" s="6260" t="s">
        <v>5385</v>
      </c>
      <c r="U256" s="6400" t="s">
        <v>5386</v>
      </c>
      <c r="V256" s="6260" t="s">
        <v>5387</v>
      </c>
      <c r="W256" s="6400" t="s">
        <v>5388</v>
      </c>
      <c r="X256" s="6260" t="s">
        <v>5389</v>
      </c>
      <c r="Y256" s="6400" t="s">
        <v>5390</v>
      </c>
      <c r="Z256" s="6260" t="s">
        <v>5391</v>
      </c>
      <c r="AA256" s="6400" t="s">
        <v>5392</v>
      </c>
      <c r="AB256" s="6260" t="s">
        <v>5393</v>
      </c>
      <c r="AC256" s="6400" t="s">
        <v>5394</v>
      </c>
      <c r="AD256" s="6260" t="s">
        <v>5395</v>
      </c>
      <c r="AE256" s="6400" t="s">
        <v>5396</v>
      </c>
      <c r="AF256" s="6260" t="s">
        <v>5397</v>
      </c>
      <c r="AG256" s="6400" t="s">
        <v>5398</v>
      </c>
      <c r="AH256" s="6260" t="s">
        <v>5399</v>
      </c>
      <c r="AI256" s="6400" t="s">
        <v>5400</v>
      </c>
      <c r="AJ256" s="6260" t="s">
        <v>5401</v>
      </c>
      <c r="AK256" s="6400" t="s">
        <v>5402</v>
      </c>
      <c r="AL256" s="6260" t="s">
        <v>5403</v>
      </c>
      <c r="AM256" s="6400" t="s">
        <v>5404</v>
      </c>
      <c r="AN256" s="6189" t="s">
        <v>5405</v>
      </c>
      <c r="AO256" s="6336" t="s">
        <v>5406</v>
      </c>
      <c r="AP256" s="6187" t="s">
        <v>5407</v>
      </c>
      <c r="AQ256" s="6190" t="s">
        <v>5408</v>
      </c>
      <c r="AR256" s="6260" t="s">
        <v>5409</v>
      </c>
      <c r="AS256" s="6260" t="s">
        <v>5410</v>
      </c>
      <c r="AT256" s="6186" t="s">
        <v>5411</v>
      </c>
      <c r="AU256" s="5330" t="s">
        <v>5412</v>
      </c>
      <c r="AV256" s="5330" t="s">
        <v>5413</v>
      </c>
      <c r="AW256" s="5330" t="s">
        <v>5414</v>
      </c>
      <c r="AX256" s="5855" t="s">
        <v>5415</v>
      </c>
      <c r="AY256" s="5855" t="s">
        <v>5416</v>
      </c>
      <c r="AZ256" s="6626"/>
      <c r="BA256" s="4291"/>
      <c r="BB256" s="4291"/>
      <c r="BC256" s="4291"/>
      <c r="BD256" s="4291"/>
      <c r="BE256" s="4291"/>
      <c r="BF256" s="4264"/>
      <c r="BG256" s="4264"/>
      <c r="BZ256" s="4259"/>
      <c r="DA256" s="5899"/>
      <c r="DC256" s="5899">
        <v>0</v>
      </c>
      <c r="DE256" s="5899">
        <v>0</v>
      </c>
      <c r="DG256" s="5899">
        <v>0</v>
      </c>
      <c r="DI256" s="5899">
        <v>0</v>
      </c>
      <c r="DK256" s="5899">
        <v>0</v>
      </c>
      <c r="DM256" s="5899">
        <v>0</v>
      </c>
      <c r="DO256" s="5899">
        <v>0</v>
      </c>
      <c r="DQ256" s="5899">
        <v>0</v>
      </c>
      <c r="EA256" s="4259"/>
    </row>
    <row r="257" spans="1:131" ht="19.2" customHeight="1" x14ac:dyDescent="0.25">
      <c r="A257" s="7288" t="s">
        <v>4541</v>
      </c>
      <c r="B257" s="9062"/>
      <c r="C257" s="6544" t="s">
        <v>2667</v>
      </c>
      <c r="D257" s="6519" t="s">
        <v>5369</v>
      </c>
      <c r="E257" s="6520" t="s">
        <v>5370</v>
      </c>
      <c r="F257" s="6518" t="s">
        <v>5371</v>
      </c>
      <c r="G257" s="4369" t="s">
        <v>5372</v>
      </c>
      <c r="H257" s="5330" t="s">
        <v>5373</v>
      </c>
      <c r="I257" s="4369" t="s">
        <v>5374</v>
      </c>
      <c r="J257" s="5330" t="s">
        <v>5375</v>
      </c>
      <c r="K257" s="4369" t="s">
        <v>5376</v>
      </c>
      <c r="L257" s="5330" t="s">
        <v>5377</v>
      </c>
      <c r="M257" s="4369" t="s">
        <v>5378</v>
      </c>
      <c r="N257" s="5330" t="s">
        <v>5379</v>
      </c>
      <c r="O257" s="4369" t="s">
        <v>5380</v>
      </c>
      <c r="P257" s="5330" t="s">
        <v>5381</v>
      </c>
      <c r="Q257" s="4369" t="s">
        <v>5382</v>
      </c>
      <c r="R257" s="5330" t="s">
        <v>5383</v>
      </c>
      <c r="S257" s="4369" t="s">
        <v>5384</v>
      </c>
      <c r="T257" s="5330" t="s">
        <v>5385</v>
      </c>
      <c r="U257" s="4369" t="s">
        <v>5386</v>
      </c>
      <c r="V257" s="5330" t="s">
        <v>5387</v>
      </c>
      <c r="W257" s="4369" t="s">
        <v>5388</v>
      </c>
      <c r="X257" s="5330" t="s">
        <v>5389</v>
      </c>
      <c r="Y257" s="4369" t="s">
        <v>5390</v>
      </c>
      <c r="Z257" s="5330" t="s">
        <v>5391</v>
      </c>
      <c r="AA257" s="4369" t="s">
        <v>5392</v>
      </c>
      <c r="AB257" s="5330" t="s">
        <v>5393</v>
      </c>
      <c r="AC257" s="4369" t="s">
        <v>5394</v>
      </c>
      <c r="AD257" s="5330" t="s">
        <v>5395</v>
      </c>
      <c r="AE257" s="4369" t="s">
        <v>5396</v>
      </c>
      <c r="AF257" s="5330" t="s">
        <v>5397</v>
      </c>
      <c r="AG257" s="4369" t="s">
        <v>5398</v>
      </c>
      <c r="AH257" s="5330" t="s">
        <v>5399</v>
      </c>
      <c r="AI257" s="4369" t="s">
        <v>5400</v>
      </c>
      <c r="AJ257" s="5330" t="s">
        <v>5401</v>
      </c>
      <c r="AK257" s="4369" t="s">
        <v>5402</v>
      </c>
      <c r="AL257" s="5330" t="s">
        <v>5403</v>
      </c>
      <c r="AM257" s="4369" t="s">
        <v>5404</v>
      </c>
      <c r="AN257" s="6193" t="s">
        <v>5405</v>
      </c>
      <c r="AO257" s="6338" t="s">
        <v>5406</v>
      </c>
      <c r="AP257" s="4370" t="s">
        <v>5407</v>
      </c>
      <c r="AQ257" s="4457" t="s">
        <v>5408</v>
      </c>
      <c r="AR257" s="5330" t="s">
        <v>5409</v>
      </c>
      <c r="AS257" s="5330" t="s">
        <v>5410</v>
      </c>
      <c r="AT257" s="4369" t="s">
        <v>5411</v>
      </c>
      <c r="AU257" s="5330" t="s">
        <v>5412</v>
      </c>
      <c r="AV257" s="5330" t="s">
        <v>5413</v>
      </c>
      <c r="AW257" s="5330" t="s">
        <v>5414</v>
      </c>
      <c r="AX257" s="5855" t="s">
        <v>5415</v>
      </c>
      <c r="AY257" s="5855" t="s">
        <v>5416</v>
      </c>
      <c r="AZ257" s="6626"/>
      <c r="BA257" s="4291"/>
      <c r="BB257" s="4291"/>
      <c r="BC257" s="4291"/>
      <c r="BD257" s="4291"/>
      <c r="BE257" s="4291"/>
      <c r="BF257" s="4264"/>
      <c r="BG257" s="4264"/>
      <c r="BZ257" s="4259"/>
      <c r="DA257" s="5899"/>
      <c r="EA257" s="4259"/>
    </row>
    <row r="258" spans="1:131" ht="18.75" customHeight="1" x14ac:dyDescent="0.25">
      <c r="A258" s="7257" t="s">
        <v>4542</v>
      </c>
      <c r="B258" s="9062"/>
      <c r="C258" s="6544" t="s">
        <v>756</v>
      </c>
      <c r="D258" s="6519" t="s">
        <v>5369</v>
      </c>
      <c r="E258" s="6520" t="s">
        <v>5370</v>
      </c>
      <c r="F258" s="6518" t="s">
        <v>5371</v>
      </c>
      <c r="G258" s="4369" t="s">
        <v>5372</v>
      </c>
      <c r="H258" s="5330" t="s">
        <v>5373</v>
      </c>
      <c r="I258" s="4369" t="s">
        <v>5374</v>
      </c>
      <c r="J258" s="5330" t="s">
        <v>5375</v>
      </c>
      <c r="K258" s="4369" t="s">
        <v>5376</v>
      </c>
      <c r="L258" s="5330" t="s">
        <v>5377</v>
      </c>
      <c r="M258" s="4369" t="s">
        <v>5378</v>
      </c>
      <c r="N258" s="5330" t="s">
        <v>5379</v>
      </c>
      <c r="O258" s="4369" t="s">
        <v>5380</v>
      </c>
      <c r="P258" s="5330" t="s">
        <v>5381</v>
      </c>
      <c r="Q258" s="4369" t="s">
        <v>5382</v>
      </c>
      <c r="R258" s="5330" t="s">
        <v>5383</v>
      </c>
      <c r="S258" s="4369" t="s">
        <v>5384</v>
      </c>
      <c r="T258" s="5330" t="s">
        <v>5385</v>
      </c>
      <c r="U258" s="4369" t="s">
        <v>5386</v>
      </c>
      <c r="V258" s="5330" t="s">
        <v>5387</v>
      </c>
      <c r="W258" s="4369" t="s">
        <v>5388</v>
      </c>
      <c r="X258" s="5330" t="s">
        <v>5389</v>
      </c>
      <c r="Y258" s="4369" t="s">
        <v>5390</v>
      </c>
      <c r="Z258" s="5330" t="s">
        <v>5391</v>
      </c>
      <c r="AA258" s="4369" t="s">
        <v>5392</v>
      </c>
      <c r="AB258" s="5330" t="s">
        <v>5393</v>
      </c>
      <c r="AC258" s="4369" t="s">
        <v>5394</v>
      </c>
      <c r="AD258" s="5330" t="s">
        <v>5395</v>
      </c>
      <c r="AE258" s="4369" t="s">
        <v>5396</v>
      </c>
      <c r="AF258" s="5330" t="s">
        <v>5397</v>
      </c>
      <c r="AG258" s="4369" t="s">
        <v>5398</v>
      </c>
      <c r="AH258" s="5330" t="s">
        <v>5399</v>
      </c>
      <c r="AI258" s="4369" t="s">
        <v>5400</v>
      </c>
      <c r="AJ258" s="5330" t="s">
        <v>5401</v>
      </c>
      <c r="AK258" s="4369" t="s">
        <v>5402</v>
      </c>
      <c r="AL258" s="5330" t="s">
        <v>5403</v>
      </c>
      <c r="AM258" s="4369" t="s">
        <v>5404</v>
      </c>
      <c r="AN258" s="6193" t="s">
        <v>5405</v>
      </c>
      <c r="AO258" s="6338" t="s">
        <v>5406</v>
      </c>
      <c r="AP258" s="4370" t="s">
        <v>5407</v>
      </c>
      <c r="AQ258" s="4457" t="s">
        <v>5408</v>
      </c>
      <c r="AR258" s="5330" t="s">
        <v>5409</v>
      </c>
      <c r="AS258" s="5330" t="s">
        <v>5410</v>
      </c>
      <c r="AT258" s="4369" t="s">
        <v>5411</v>
      </c>
      <c r="AU258" s="5330" t="s">
        <v>5412</v>
      </c>
      <c r="AV258" s="5330" t="s">
        <v>5413</v>
      </c>
      <c r="AW258" s="5330" t="s">
        <v>5414</v>
      </c>
      <c r="AX258" s="5855" t="s">
        <v>5415</v>
      </c>
      <c r="AY258" s="5855" t="s">
        <v>5416</v>
      </c>
      <c r="AZ258" s="6626"/>
      <c r="BA258" s="4291"/>
      <c r="BB258" s="4291"/>
      <c r="BC258" s="4291"/>
      <c r="BD258" s="4291"/>
      <c r="BE258" s="4291"/>
      <c r="BF258" s="4291"/>
      <c r="BG258" s="4291"/>
      <c r="BH258" s="4291"/>
      <c r="BI258" s="4264"/>
      <c r="BJ258" s="4264"/>
      <c r="BZ258" s="4259"/>
      <c r="DA258" s="5899"/>
      <c r="EA258" s="4259"/>
    </row>
    <row r="259" spans="1:131" ht="24.75" customHeight="1" x14ac:dyDescent="0.25">
      <c r="A259" s="7257" t="s">
        <v>4543</v>
      </c>
      <c r="B259" s="9062"/>
      <c r="C259" s="6544" t="s">
        <v>755</v>
      </c>
      <c r="D259" s="6515" t="s">
        <v>5369</v>
      </c>
      <c r="E259" s="6516" t="s">
        <v>5370</v>
      </c>
      <c r="F259" s="6514" t="s">
        <v>5371</v>
      </c>
      <c r="G259" s="4369" t="s">
        <v>5372</v>
      </c>
      <c r="H259" s="5330" t="s">
        <v>5373</v>
      </c>
      <c r="I259" s="4369" t="s">
        <v>5374</v>
      </c>
      <c r="J259" s="5330" t="s">
        <v>5375</v>
      </c>
      <c r="K259" s="4369" t="s">
        <v>5376</v>
      </c>
      <c r="L259" s="5330" t="s">
        <v>5377</v>
      </c>
      <c r="M259" s="4369" t="s">
        <v>5378</v>
      </c>
      <c r="N259" s="5330" t="s">
        <v>5379</v>
      </c>
      <c r="O259" s="4369" t="s">
        <v>5380</v>
      </c>
      <c r="P259" s="5330" t="s">
        <v>5381</v>
      </c>
      <c r="Q259" s="4369" t="s">
        <v>5382</v>
      </c>
      <c r="R259" s="5330" t="s">
        <v>5383</v>
      </c>
      <c r="S259" s="4369" t="s">
        <v>5384</v>
      </c>
      <c r="T259" s="5330" t="s">
        <v>5385</v>
      </c>
      <c r="U259" s="4369" t="s">
        <v>5386</v>
      </c>
      <c r="V259" s="5330" t="s">
        <v>5387</v>
      </c>
      <c r="W259" s="4369" t="s">
        <v>5388</v>
      </c>
      <c r="X259" s="5330" t="s">
        <v>5389</v>
      </c>
      <c r="Y259" s="4369" t="s">
        <v>5390</v>
      </c>
      <c r="Z259" s="5330" t="s">
        <v>5391</v>
      </c>
      <c r="AA259" s="4369" t="s">
        <v>5392</v>
      </c>
      <c r="AB259" s="5330" t="s">
        <v>5393</v>
      </c>
      <c r="AC259" s="4369" t="s">
        <v>5394</v>
      </c>
      <c r="AD259" s="5330" t="s">
        <v>5395</v>
      </c>
      <c r="AE259" s="4369" t="s">
        <v>5396</v>
      </c>
      <c r="AF259" s="5330" t="s">
        <v>5397</v>
      </c>
      <c r="AG259" s="4369" t="s">
        <v>5398</v>
      </c>
      <c r="AH259" s="5330" t="s">
        <v>5399</v>
      </c>
      <c r="AI259" s="4369" t="s">
        <v>5400</v>
      </c>
      <c r="AJ259" s="5330" t="s">
        <v>5401</v>
      </c>
      <c r="AK259" s="4369" t="s">
        <v>5402</v>
      </c>
      <c r="AL259" s="5330" t="s">
        <v>5403</v>
      </c>
      <c r="AM259" s="4369" t="s">
        <v>5404</v>
      </c>
      <c r="AN259" s="6193" t="s">
        <v>5405</v>
      </c>
      <c r="AO259" s="6338" t="s">
        <v>5406</v>
      </c>
      <c r="AP259" s="4370" t="s">
        <v>5407</v>
      </c>
      <c r="AQ259" s="4457" t="s">
        <v>5408</v>
      </c>
      <c r="AR259" s="5330" t="s">
        <v>5409</v>
      </c>
      <c r="AS259" s="5330" t="s">
        <v>5410</v>
      </c>
      <c r="AT259" s="4369" t="s">
        <v>5411</v>
      </c>
      <c r="AU259" s="5330" t="s">
        <v>5412</v>
      </c>
      <c r="AV259" s="5330" t="s">
        <v>5413</v>
      </c>
      <c r="AW259" s="5330" t="s">
        <v>5414</v>
      </c>
      <c r="AX259" s="5855" t="s">
        <v>5415</v>
      </c>
      <c r="AY259" s="5855" t="s">
        <v>5416</v>
      </c>
      <c r="AZ259" s="6626"/>
      <c r="BA259" s="4291"/>
      <c r="BB259" s="4291"/>
      <c r="BC259" s="4291"/>
      <c r="BD259" s="4291"/>
      <c r="BE259" s="4291"/>
      <c r="BF259" s="4291"/>
      <c r="BG259" s="4291"/>
      <c r="BH259" s="4291"/>
      <c r="BI259" s="4264"/>
      <c r="BJ259" s="4264"/>
      <c r="BZ259" s="4259"/>
      <c r="DA259" s="5899"/>
      <c r="EA259" s="4259"/>
    </row>
    <row r="260" spans="1:131" ht="18.75" customHeight="1" x14ac:dyDescent="0.25">
      <c r="A260" s="7257" t="s">
        <v>4544</v>
      </c>
      <c r="B260" s="9089"/>
      <c r="C260" s="6545" t="s">
        <v>754</v>
      </c>
      <c r="D260" s="6509" t="s">
        <v>5369</v>
      </c>
      <c r="E260" s="6510" t="s">
        <v>5370</v>
      </c>
      <c r="F260" s="6066" t="s">
        <v>5371</v>
      </c>
      <c r="G260" s="4369" t="s">
        <v>5372</v>
      </c>
      <c r="H260" s="5330" t="s">
        <v>5373</v>
      </c>
      <c r="I260" s="4369" t="s">
        <v>5374</v>
      </c>
      <c r="J260" s="5330" t="s">
        <v>5375</v>
      </c>
      <c r="K260" s="4369" t="s">
        <v>5376</v>
      </c>
      <c r="L260" s="5330" t="s">
        <v>5377</v>
      </c>
      <c r="M260" s="4369" t="s">
        <v>5378</v>
      </c>
      <c r="N260" s="5330" t="s">
        <v>5379</v>
      </c>
      <c r="O260" s="4369" t="s">
        <v>5380</v>
      </c>
      <c r="P260" s="5330" t="s">
        <v>5381</v>
      </c>
      <c r="Q260" s="4369" t="s">
        <v>5382</v>
      </c>
      <c r="R260" s="5330" t="s">
        <v>5383</v>
      </c>
      <c r="S260" s="4369" t="s">
        <v>5384</v>
      </c>
      <c r="T260" s="5330" t="s">
        <v>5385</v>
      </c>
      <c r="U260" s="4369" t="s">
        <v>5386</v>
      </c>
      <c r="V260" s="5330" t="s">
        <v>5387</v>
      </c>
      <c r="W260" s="4369" t="s">
        <v>5388</v>
      </c>
      <c r="X260" s="5330" t="s">
        <v>5389</v>
      </c>
      <c r="Y260" s="4369" t="s">
        <v>5390</v>
      </c>
      <c r="Z260" s="5330" t="s">
        <v>5391</v>
      </c>
      <c r="AA260" s="4369" t="s">
        <v>5392</v>
      </c>
      <c r="AB260" s="5330" t="s">
        <v>5393</v>
      </c>
      <c r="AC260" s="4369" t="s">
        <v>5394</v>
      </c>
      <c r="AD260" s="5330" t="s">
        <v>5395</v>
      </c>
      <c r="AE260" s="4369" t="s">
        <v>5396</v>
      </c>
      <c r="AF260" s="5330" t="s">
        <v>5397</v>
      </c>
      <c r="AG260" s="4369" t="s">
        <v>5398</v>
      </c>
      <c r="AH260" s="5330" t="s">
        <v>5399</v>
      </c>
      <c r="AI260" s="4369" t="s">
        <v>5400</v>
      </c>
      <c r="AJ260" s="5330" t="s">
        <v>5401</v>
      </c>
      <c r="AK260" s="4369" t="s">
        <v>5402</v>
      </c>
      <c r="AL260" s="5330" t="s">
        <v>5403</v>
      </c>
      <c r="AM260" s="4387" t="s">
        <v>5404</v>
      </c>
      <c r="AN260" s="6546" t="s">
        <v>5405</v>
      </c>
      <c r="AO260" s="4389" t="s">
        <v>5406</v>
      </c>
      <c r="AP260" s="4388" t="s">
        <v>5407</v>
      </c>
      <c r="AQ260" s="4465" t="s">
        <v>5408</v>
      </c>
      <c r="AR260" s="4479" t="s">
        <v>5409</v>
      </c>
      <c r="AS260" s="4479" t="s">
        <v>5410</v>
      </c>
      <c r="AT260" s="4369" t="s">
        <v>5411</v>
      </c>
      <c r="AU260" s="5330" t="s">
        <v>5412</v>
      </c>
      <c r="AV260" s="5330" t="s">
        <v>5413</v>
      </c>
      <c r="AW260" s="5330" t="s">
        <v>5414</v>
      </c>
      <c r="AX260" s="5855" t="s">
        <v>5415</v>
      </c>
      <c r="AY260" s="5855" t="s">
        <v>5416</v>
      </c>
      <c r="AZ260" s="6626"/>
      <c r="BA260" s="4291"/>
      <c r="BB260" s="4291"/>
      <c r="BC260" s="4291"/>
      <c r="BD260" s="4291"/>
      <c r="BE260" s="4291"/>
      <c r="BF260" s="4291"/>
      <c r="BG260" s="4291"/>
      <c r="BH260" s="4291"/>
      <c r="BI260" s="4264"/>
      <c r="BJ260" s="4264"/>
      <c r="BZ260" s="4259"/>
      <c r="DA260" s="5899"/>
      <c r="EA260" s="4259"/>
    </row>
    <row r="261" spans="1:131" ht="16.350000000000001" customHeight="1" x14ac:dyDescent="0.25">
      <c r="A261" s="7257" t="s">
        <v>4545</v>
      </c>
      <c r="B261" s="9088" t="s">
        <v>753</v>
      </c>
      <c r="C261" s="6597" t="s">
        <v>752</v>
      </c>
      <c r="D261" s="6496" t="s">
        <v>5369</v>
      </c>
      <c r="E261" s="6497" t="s">
        <v>5370</v>
      </c>
      <c r="F261" s="6495" t="s">
        <v>5371</v>
      </c>
      <c r="G261" s="6186" t="s">
        <v>5372</v>
      </c>
      <c r="H261" s="6224" t="s">
        <v>5373</v>
      </c>
      <c r="I261" s="6186" t="s">
        <v>5374</v>
      </c>
      <c r="J261" s="6224" t="s">
        <v>5375</v>
      </c>
      <c r="K261" s="6186" t="s">
        <v>5376</v>
      </c>
      <c r="L261" s="6224" t="s">
        <v>5377</v>
      </c>
      <c r="M261" s="6186" t="s">
        <v>5378</v>
      </c>
      <c r="N261" s="6224" t="s">
        <v>5379</v>
      </c>
      <c r="O261" s="6186" t="s">
        <v>5380</v>
      </c>
      <c r="P261" s="6224" t="s">
        <v>5381</v>
      </c>
      <c r="Q261" s="6186" t="s">
        <v>5382</v>
      </c>
      <c r="R261" s="6224" t="s">
        <v>5383</v>
      </c>
      <c r="S261" s="6186" t="s">
        <v>5384</v>
      </c>
      <c r="T261" s="6224" t="s">
        <v>5385</v>
      </c>
      <c r="U261" s="6186" t="s">
        <v>5386</v>
      </c>
      <c r="V261" s="6224" t="s">
        <v>5387</v>
      </c>
      <c r="W261" s="6186" t="s">
        <v>5388</v>
      </c>
      <c r="X261" s="6224" t="s">
        <v>5389</v>
      </c>
      <c r="Y261" s="6186" t="s">
        <v>5390</v>
      </c>
      <c r="Z261" s="6224" t="s">
        <v>5391</v>
      </c>
      <c r="AA261" s="6186" t="s">
        <v>5392</v>
      </c>
      <c r="AB261" s="6224" t="s">
        <v>5393</v>
      </c>
      <c r="AC261" s="6186" t="s">
        <v>5394</v>
      </c>
      <c r="AD261" s="6224" t="s">
        <v>5395</v>
      </c>
      <c r="AE261" s="6186" t="s">
        <v>5396</v>
      </c>
      <c r="AF261" s="6224" t="s">
        <v>5397</v>
      </c>
      <c r="AG261" s="6186" t="s">
        <v>5398</v>
      </c>
      <c r="AH261" s="6224" t="s">
        <v>5399</v>
      </c>
      <c r="AI261" s="6186" t="s">
        <v>5400</v>
      </c>
      <c r="AJ261" s="6224" t="s">
        <v>5401</v>
      </c>
      <c r="AK261" s="6186" t="s">
        <v>5402</v>
      </c>
      <c r="AL261" s="6224" t="s">
        <v>5403</v>
      </c>
      <c r="AM261" s="6186" t="s">
        <v>5404</v>
      </c>
      <c r="AN261" s="6436" t="s">
        <v>5405</v>
      </c>
      <c r="AO261" s="6589" t="s">
        <v>5406</v>
      </c>
      <c r="AP261" s="6590" t="s">
        <v>5407</v>
      </c>
      <c r="AQ261" s="6260" t="s">
        <v>5408</v>
      </c>
      <c r="AR261" s="7195" t="s">
        <v>5409</v>
      </c>
      <c r="AS261" s="7208" t="s">
        <v>5410</v>
      </c>
      <c r="AT261" s="6186" t="s">
        <v>5411</v>
      </c>
      <c r="AU261" s="6224" t="s">
        <v>5412</v>
      </c>
      <c r="AV261" s="6224" t="s">
        <v>5413</v>
      </c>
      <c r="AW261" s="6224" t="s">
        <v>5414</v>
      </c>
      <c r="AX261" s="6499" t="s">
        <v>5415</v>
      </c>
      <c r="AY261" s="6499" t="s">
        <v>5416</v>
      </c>
      <c r="AZ261" s="6626"/>
      <c r="BA261" s="4291"/>
      <c r="BB261" s="4291"/>
      <c r="BC261" s="4291"/>
      <c r="BD261" s="4291"/>
      <c r="BE261" s="4291"/>
      <c r="BF261" s="4291"/>
      <c r="BG261" s="4291"/>
      <c r="BH261" s="4291"/>
      <c r="BI261" s="4264"/>
      <c r="BJ261" s="4264"/>
      <c r="BZ261" s="4259"/>
      <c r="DA261" s="5899"/>
      <c r="EA261" s="4259"/>
    </row>
    <row r="262" spans="1:131" ht="16.350000000000001" customHeight="1" x14ac:dyDescent="0.25">
      <c r="A262" s="7257" t="s">
        <v>4546</v>
      </c>
      <c r="B262" s="9062"/>
      <c r="C262" s="5333" t="s">
        <v>751</v>
      </c>
      <c r="D262" s="6515" t="s">
        <v>5369</v>
      </c>
      <c r="E262" s="6516" t="s">
        <v>5370</v>
      </c>
      <c r="F262" s="6514" t="s">
        <v>5371</v>
      </c>
      <c r="G262" s="6400" t="s">
        <v>5372</v>
      </c>
      <c r="H262" s="6260" t="s">
        <v>5373</v>
      </c>
      <c r="I262" s="6400" t="s">
        <v>5374</v>
      </c>
      <c r="J262" s="6260" t="s">
        <v>5375</v>
      </c>
      <c r="K262" s="6400" t="s">
        <v>5376</v>
      </c>
      <c r="L262" s="6260" t="s">
        <v>5377</v>
      </c>
      <c r="M262" s="6400" t="s">
        <v>5378</v>
      </c>
      <c r="N262" s="6260" t="s">
        <v>5379</v>
      </c>
      <c r="O262" s="6400" t="s">
        <v>5380</v>
      </c>
      <c r="P262" s="6260" t="s">
        <v>5381</v>
      </c>
      <c r="Q262" s="6400" t="s">
        <v>5382</v>
      </c>
      <c r="R262" s="6260" t="s">
        <v>5383</v>
      </c>
      <c r="S262" s="6400" t="s">
        <v>5384</v>
      </c>
      <c r="T262" s="6260" t="s">
        <v>5385</v>
      </c>
      <c r="U262" s="6400" t="s">
        <v>5386</v>
      </c>
      <c r="V262" s="6260" t="s">
        <v>5387</v>
      </c>
      <c r="W262" s="6400" t="s">
        <v>5388</v>
      </c>
      <c r="X262" s="6260" t="s">
        <v>5389</v>
      </c>
      <c r="Y262" s="6400" t="s">
        <v>5390</v>
      </c>
      <c r="Z262" s="6260" t="s">
        <v>5391</v>
      </c>
      <c r="AA262" s="6400" t="s">
        <v>5392</v>
      </c>
      <c r="AB262" s="6260" t="s">
        <v>5393</v>
      </c>
      <c r="AC262" s="6400" t="s">
        <v>5394</v>
      </c>
      <c r="AD262" s="6260" t="s">
        <v>5395</v>
      </c>
      <c r="AE262" s="6400" t="s">
        <v>5396</v>
      </c>
      <c r="AF262" s="6260" t="s">
        <v>5397</v>
      </c>
      <c r="AG262" s="6400" t="s">
        <v>5398</v>
      </c>
      <c r="AH262" s="6260" t="s">
        <v>5399</v>
      </c>
      <c r="AI262" s="6400" t="s">
        <v>5400</v>
      </c>
      <c r="AJ262" s="6260" t="s">
        <v>5401</v>
      </c>
      <c r="AK262" s="6400" t="s">
        <v>5402</v>
      </c>
      <c r="AL262" s="6260" t="s">
        <v>5403</v>
      </c>
      <c r="AM262" s="6400" t="s">
        <v>5404</v>
      </c>
      <c r="AN262" s="4955" t="s">
        <v>5405</v>
      </c>
      <c r="AO262" s="6589" t="s">
        <v>5406</v>
      </c>
      <c r="AP262" s="6590" t="s">
        <v>5407</v>
      </c>
      <c r="AQ262" s="6260" t="s">
        <v>5408</v>
      </c>
      <c r="AR262" s="7198" t="s">
        <v>5409</v>
      </c>
      <c r="AS262" s="7210" t="s">
        <v>5410</v>
      </c>
      <c r="AT262" s="6400" t="s">
        <v>5411</v>
      </c>
      <c r="AU262" s="6260" t="s">
        <v>5412</v>
      </c>
      <c r="AV262" s="6260" t="s">
        <v>5413</v>
      </c>
      <c r="AW262" s="6260" t="s">
        <v>5414</v>
      </c>
      <c r="AX262" s="4038" t="s">
        <v>5415</v>
      </c>
      <c r="AY262" s="4038" t="s">
        <v>5416</v>
      </c>
      <c r="AZ262" s="6626"/>
      <c r="BA262" s="4291"/>
      <c r="BB262" s="4291"/>
      <c r="BC262" s="4291"/>
      <c r="BD262" s="4291"/>
      <c r="BE262" s="4291"/>
      <c r="BF262" s="4291"/>
      <c r="BG262" s="4291"/>
      <c r="BH262" s="4291"/>
      <c r="BI262" s="4264"/>
      <c r="BJ262" s="4264"/>
      <c r="BZ262" s="4259"/>
      <c r="DA262" s="5899"/>
      <c r="EA262" s="4259"/>
    </row>
    <row r="263" spans="1:131" ht="16.350000000000001" customHeight="1" x14ac:dyDescent="0.25">
      <c r="A263" s="7257" t="s">
        <v>4547</v>
      </c>
      <c r="B263" s="9089"/>
      <c r="C263" s="6598" t="s">
        <v>750</v>
      </c>
      <c r="D263" s="6501" t="s">
        <v>5369</v>
      </c>
      <c r="E263" s="6502" t="s">
        <v>5370</v>
      </c>
      <c r="F263" s="6503" t="s">
        <v>5371</v>
      </c>
      <c r="G263" s="6395" t="s">
        <v>5372</v>
      </c>
      <c r="H263" s="6264" t="s">
        <v>5373</v>
      </c>
      <c r="I263" s="6395" t="s">
        <v>5374</v>
      </c>
      <c r="J263" s="6264" t="s">
        <v>5375</v>
      </c>
      <c r="K263" s="6395" t="s">
        <v>5376</v>
      </c>
      <c r="L263" s="6264" t="s">
        <v>5377</v>
      </c>
      <c r="M263" s="6395" t="s">
        <v>5378</v>
      </c>
      <c r="N263" s="6264" t="s">
        <v>5379</v>
      </c>
      <c r="O263" s="6395" t="s">
        <v>5380</v>
      </c>
      <c r="P263" s="6264" t="s">
        <v>5381</v>
      </c>
      <c r="Q263" s="6395" t="s">
        <v>5382</v>
      </c>
      <c r="R263" s="6264" t="s">
        <v>5383</v>
      </c>
      <c r="S263" s="6395" t="s">
        <v>5384</v>
      </c>
      <c r="T263" s="6264" t="s">
        <v>5385</v>
      </c>
      <c r="U263" s="6395" t="s">
        <v>5386</v>
      </c>
      <c r="V263" s="6264" t="s">
        <v>5387</v>
      </c>
      <c r="W263" s="6395" t="s">
        <v>5388</v>
      </c>
      <c r="X263" s="6264" t="s">
        <v>5389</v>
      </c>
      <c r="Y263" s="6395" t="s">
        <v>5390</v>
      </c>
      <c r="Z263" s="6264" t="s">
        <v>5391</v>
      </c>
      <c r="AA263" s="6395" t="s">
        <v>5392</v>
      </c>
      <c r="AB263" s="6264" t="s">
        <v>5393</v>
      </c>
      <c r="AC263" s="6395" t="s">
        <v>5394</v>
      </c>
      <c r="AD263" s="6264" t="s">
        <v>5395</v>
      </c>
      <c r="AE263" s="6395" t="s">
        <v>5396</v>
      </c>
      <c r="AF263" s="6264" t="s">
        <v>5397</v>
      </c>
      <c r="AG263" s="6395" t="s">
        <v>5398</v>
      </c>
      <c r="AH263" s="6264" t="s">
        <v>5399</v>
      </c>
      <c r="AI263" s="6395" t="s">
        <v>5400</v>
      </c>
      <c r="AJ263" s="6264" t="s">
        <v>5401</v>
      </c>
      <c r="AK263" s="6395" t="s">
        <v>5402</v>
      </c>
      <c r="AL263" s="6264" t="s">
        <v>5403</v>
      </c>
      <c r="AM263" s="6395" t="s">
        <v>5404</v>
      </c>
      <c r="AN263" s="6504" t="s">
        <v>5405</v>
      </c>
      <c r="AO263" s="6577" t="s">
        <v>5406</v>
      </c>
      <c r="AP263" s="6578" t="s">
        <v>5407</v>
      </c>
      <c r="AQ263" s="6264" t="s">
        <v>5408</v>
      </c>
      <c r="AR263" s="7201" t="s">
        <v>5409</v>
      </c>
      <c r="AS263" s="7212" t="s">
        <v>5410</v>
      </c>
      <c r="AT263" s="6395" t="s">
        <v>5411</v>
      </c>
      <c r="AU263" s="6264" t="s">
        <v>5412</v>
      </c>
      <c r="AV263" s="6264" t="s">
        <v>5413</v>
      </c>
      <c r="AW263" s="6264" t="s">
        <v>5414</v>
      </c>
      <c r="AX263" s="6506" t="s">
        <v>5415</v>
      </c>
      <c r="AY263" s="6506" t="s">
        <v>5416</v>
      </c>
      <c r="AZ263" s="6626"/>
      <c r="BA263" s="4291"/>
      <c r="BB263" s="4291"/>
      <c r="BC263" s="4291"/>
      <c r="BD263" s="4291"/>
      <c r="BE263" s="4291"/>
      <c r="BF263" s="4291"/>
      <c r="BG263" s="4291"/>
      <c r="BH263" s="4291"/>
      <c r="BI263" s="4264"/>
      <c r="BJ263" s="4264"/>
      <c r="BZ263" s="4259"/>
      <c r="DA263" s="5899"/>
      <c r="EA263" s="4259"/>
    </row>
    <row r="264" spans="1:131" ht="16.350000000000001" customHeight="1" x14ac:dyDescent="0.25">
      <c r="A264" s="7288" t="s">
        <v>4548</v>
      </c>
      <c r="B264" s="9359" t="s">
        <v>3975</v>
      </c>
      <c r="C264" s="9360"/>
      <c r="D264" s="6599" t="s">
        <v>5369</v>
      </c>
      <c r="E264" s="6600" t="s">
        <v>5370</v>
      </c>
      <c r="F264" s="6601" t="s">
        <v>5371</v>
      </c>
      <c r="G264" s="6548" t="s">
        <v>5372</v>
      </c>
      <c r="H264" s="6549" t="s">
        <v>5373</v>
      </c>
      <c r="I264" s="6548" t="s">
        <v>5374</v>
      </c>
      <c r="J264" s="6549" t="s">
        <v>5375</v>
      </c>
      <c r="K264" s="6548" t="s">
        <v>5376</v>
      </c>
      <c r="L264" s="6549" t="s">
        <v>5377</v>
      </c>
      <c r="M264" s="6548" t="s">
        <v>5378</v>
      </c>
      <c r="N264" s="6549" t="s">
        <v>5379</v>
      </c>
      <c r="O264" s="6548" t="s">
        <v>5380</v>
      </c>
      <c r="P264" s="6549" t="s">
        <v>5381</v>
      </c>
      <c r="Q264" s="6548" t="s">
        <v>5382</v>
      </c>
      <c r="R264" s="6549" t="s">
        <v>5383</v>
      </c>
      <c r="S264" s="6548" t="s">
        <v>5384</v>
      </c>
      <c r="T264" s="6549" t="s">
        <v>5385</v>
      </c>
      <c r="U264" s="6548" t="s">
        <v>5386</v>
      </c>
      <c r="V264" s="6549" t="s">
        <v>5387</v>
      </c>
      <c r="W264" s="6548" t="s">
        <v>5388</v>
      </c>
      <c r="X264" s="6549" t="s">
        <v>5389</v>
      </c>
      <c r="Y264" s="6548" t="s">
        <v>5390</v>
      </c>
      <c r="Z264" s="6549" t="s">
        <v>5391</v>
      </c>
      <c r="AA264" s="6548" t="s">
        <v>5392</v>
      </c>
      <c r="AB264" s="6549" t="s">
        <v>5393</v>
      </c>
      <c r="AC264" s="6548" t="s">
        <v>5394</v>
      </c>
      <c r="AD264" s="6549" t="s">
        <v>5395</v>
      </c>
      <c r="AE264" s="6548" t="s">
        <v>5396</v>
      </c>
      <c r="AF264" s="6549" t="s">
        <v>5397</v>
      </c>
      <c r="AG264" s="6548" t="s">
        <v>5398</v>
      </c>
      <c r="AH264" s="6549" t="s">
        <v>5399</v>
      </c>
      <c r="AI264" s="6548" t="s">
        <v>5400</v>
      </c>
      <c r="AJ264" s="6549" t="s">
        <v>5401</v>
      </c>
      <c r="AK264" s="6548" t="s">
        <v>5402</v>
      </c>
      <c r="AL264" s="6549" t="s">
        <v>5403</v>
      </c>
      <c r="AM264" s="6548" t="s">
        <v>5404</v>
      </c>
      <c r="AN264" s="6602" t="s">
        <v>5405</v>
      </c>
      <c r="AO264" s="6603" t="s">
        <v>5406</v>
      </c>
      <c r="AP264" s="6604" t="s">
        <v>5407</v>
      </c>
      <c r="AQ264" s="6549" t="s">
        <v>5408</v>
      </c>
      <c r="AR264" s="5528" t="s">
        <v>5409</v>
      </c>
      <c r="AS264" s="6549" t="s">
        <v>5410</v>
      </c>
      <c r="AT264" s="6548" t="s">
        <v>5411</v>
      </c>
      <c r="AU264" s="6549" t="s">
        <v>5412</v>
      </c>
      <c r="AV264" s="6549" t="s">
        <v>5413</v>
      </c>
      <c r="AW264" s="6549" t="s">
        <v>5414</v>
      </c>
      <c r="AX264" s="6499" t="s">
        <v>5415</v>
      </c>
      <c r="AY264" s="6499" t="s">
        <v>5416</v>
      </c>
      <c r="AZ264" s="6626"/>
      <c r="BA264" s="4291"/>
      <c r="BB264" s="4291"/>
      <c r="BC264" s="4291"/>
      <c r="BD264" s="4291"/>
      <c r="BE264" s="4291"/>
      <c r="BF264" s="4291"/>
      <c r="BG264" s="4291"/>
      <c r="BH264" s="4291"/>
      <c r="BI264" s="4264"/>
      <c r="BJ264" s="4264"/>
      <c r="BZ264" s="4259"/>
      <c r="DA264" s="5899"/>
      <c r="DC264" s="5899">
        <v>0</v>
      </c>
      <c r="DE264" s="5899">
        <v>0</v>
      </c>
      <c r="DG264" s="5899">
        <v>0</v>
      </c>
      <c r="DI264" s="5899">
        <v>0</v>
      </c>
      <c r="DK264" s="5899">
        <v>0</v>
      </c>
      <c r="DM264" s="5899">
        <v>0</v>
      </c>
      <c r="DO264" s="5899">
        <v>0</v>
      </c>
      <c r="DQ264" s="5899">
        <v>0</v>
      </c>
      <c r="EA264" s="4259"/>
    </row>
    <row r="265" spans="1:131" ht="16.350000000000001" customHeight="1" x14ac:dyDescent="0.25">
      <c r="A265" s="7288" t="s">
        <v>4549</v>
      </c>
      <c r="B265" s="9355" t="s">
        <v>3708</v>
      </c>
      <c r="C265" s="9356"/>
      <c r="D265" s="6605" t="s">
        <v>5369</v>
      </c>
      <c r="E265" s="6606" t="s">
        <v>5370</v>
      </c>
      <c r="F265" s="6607" t="s">
        <v>5371</v>
      </c>
      <c r="G265" s="4999" t="s">
        <v>5372</v>
      </c>
      <c r="H265" s="4038" t="s">
        <v>5373</v>
      </c>
      <c r="I265" s="4999" t="s">
        <v>5374</v>
      </c>
      <c r="J265" s="4038" t="s">
        <v>5375</v>
      </c>
      <c r="K265" s="4999" t="s">
        <v>5376</v>
      </c>
      <c r="L265" s="4038" t="s">
        <v>5377</v>
      </c>
      <c r="M265" s="4999" t="s">
        <v>5378</v>
      </c>
      <c r="N265" s="4038" t="s">
        <v>5379</v>
      </c>
      <c r="O265" s="4999" t="s">
        <v>5380</v>
      </c>
      <c r="P265" s="4038" t="s">
        <v>5381</v>
      </c>
      <c r="Q265" s="4999" t="s">
        <v>5382</v>
      </c>
      <c r="R265" s="4038" t="s">
        <v>5383</v>
      </c>
      <c r="S265" s="4999" t="s">
        <v>5384</v>
      </c>
      <c r="T265" s="4038" t="s">
        <v>5385</v>
      </c>
      <c r="U265" s="4999" t="s">
        <v>5386</v>
      </c>
      <c r="V265" s="4038" t="s">
        <v>5387</v>
      </c>
      <c r="W265" s="4999" t="s">
        <v>5388</v>
      </c>
      <c r="X265" s="4038" t="s">
        <v>5389</v>
      </c>
      <c r="Y265" s="4999" t="s">
        <v>5390</v>
      </c>
      <c r="Z265" s="4038" t="s">
        <v>5391</v>
      </c>
      <c r="AA265" s="4999" t="s">
        <v>5392</v>
      </c>
      <c r="AB265" s="4038" t="s">
        <v>5393</v>
      </c>
      <c r="AC265" s="4999" t="s">
        <v>5394</v>
      </c>
      <c r="AD265" s="4038" t="s">
        <v>5395</v>
      </c>
      <c r="AE265" s="4999" t="s">
        <v>5396</v>
      </c>
      <c r="AF265" s="4038" t="s">
        <v>5397</v>
      </c>
      <c r="AG265" s="4999" t="s">
        <v>5398</v>
      </c>
      <c r="AH265" s="4038" t="s">
        <v>5399</v>
      </c>
      <c r="AI265" s="4999" t="s">
        <v>5400</v>
      </c>
      <c r="AJ265" s="4038" t="s">
        <v>5401</v>
      </c>
      <c r="AK265" s="4999" t="s">
        <v>5402</v>
      </c>
      <c r="AL265" s="4038" t="s">
        <v>5403</v>
      </c>
      <c r="AM265" s="4999" t="s">
        <v>5404</v>
      </c>
      <c r="AN265" s="4955" t="s">
        <v>5405</v>
      </c>
      <c r="AO265" s="4039" t="s">
        <v>5406</v>
      </c>
      <c r="AP265" s="6608" t="s">
        <v>5407</v>
      </c>
      <c r="AQ265" s="4038" t="s">
        <v>5408</v>
      </c>
      <c r="AR265" s="6609" t="s">
        <v>5409</v>
      </c>
      <c r="AS265" s="4038" t="s">
        <v>5410</v>
      </c>
      <c r="AT265" s="6610" t="s">
        <v>5411</v>
      </c>
      <c r="AU265" s="4038" t="s">
        <v>5412</v>
      </c>
      <c r="AV265" s="4038" t="s">
        <v>5413</v>
      </c>
      <c r="AW265" s="4038" t="s">
        <v>5414</v>
      </c>
      <c r="AX265" s="4038" t="s">
        <v>5415</v>
      </c>
      <c r="AY265" s="4038" t="s">
        <v>5416</v>
      </c>
      <c r="AZ265" s="6626"/>
      <c r="BA265" s="4291"/>
      <c r="BB265" s="4291"/>
      <c r="BC265" s="4291"/>
      <c r="BD265" s="4291"/>
      <c r="BE265" s="4291"/>
      <c r="BF265" s="4291"/>
      <c r="BG265" s="4291"/>
      <c r="BH265" s="4291"/>
      <c r="BI265" s="4264"/>
      <c r="BJ265" s="4264"/>
      <c r="BZ265" s="4259"/>
      <c r="DA265" s="5899"/>
      <c r="EA265" s="4259"/>
    </row>
    <row r="266" spans="1:131" ht="16.350000000000001" customHeight="1" x14ac:dyDescent="0.25">
      <c r="A266" s="7257" t="s">
        <v>4550</v>
      </c>
      <c r="B266" s="9099" t="s">
        <v>749</v>
      </c>
      <c r="C266" s="9097"/>
      <c r="D266" s="6519" t="s">
        <v>5369</v>
      </c>
      <c r="E266" s="6520" t="s">
        <v>5370</v>
      </c>
      <c r="F266" s="6518" t="s">
        <v>5371</v>
      </c>
      <c r="G266" s="4369" t="s">
        <v>5372</v>
      </c>
      <c r="H266" s="5330" t="s">
        <v>5373</v>
      </c>
      <c r="I266" s="4369" t="s">
        <v>5374</v>
      </c>
      <c r="J266" s="5330" t="s">
        <v>5375</v>
      </c>
      <c r="K266" s="4369" t="s">
        <v>5376</v>
      </c>
      <c r="L266" s="5330" t="s">
        <v>5377</v>
      </c>
      <c r="M266" s="4369" t="s">
        <v>5378</v>
      </c>
      <c r="N266" s="5330" t="s">
        <v>5379</v>
      </c>
      <c r="O266" s="4369" t="s">
        <v>5380</v>
      </c>
      <c r="P266" s="5330" t="s">
        <v>5381</v>
      </c>
      <c r="Q266" s="4369" t="s">
        <v>5382</v>
      </c>
      <c r="R266" s="5330" t="s">
        <v>5383</v>
      </c>
      <c r="S266" s="4369" t="s">
        <v>5384</v>
      </c>
      <c r="T266" s="5330" t="s">
        <v>5385</v>
      </c>
      <c r="U266" s="4369" t="s">
        <v>5386</v>
      </c>
      <c r="V266" s="5330" t="s">
        <v>5387</v>
      </c>
      <c r="W266" s="4369" t="s">
        <v>5388</v>
      </c>
      <c r="X266" s="5330" t="s">
        <v>5389</v>
      </c>
      <c r="Y266" s="4369" t="s">
        <v>5390</v>
      </c>
      <c r="Z266" s="5330" t="s">
        <v>5391</v>
      </c>
      <c r="AA266" s="4369" t="s">
        <v>5392</v>
      </c>
      <c r="AB266" s="5330" t="s">
        <v>5393</v>
      </c>
      <c r="AC266" s="4369" t="s">
        <v>5394</v>
      </c>
      <c r="AD266" s="5330" t="s">
        <v>5395</v>
      </c>
      <c r="AE266" s="4369" t="s">
        <v>5396</v>
      </c>
      <c r="AF266" s="5330" t="s">
        <v>5397</v>
      </c>
      <c r="AG266" s="4369" t="s">
        <v>5398</v>
      </c>
      <c r="AH266" s="5330" t="s">
        <v>5399</v>
      </c>
      <c r="AI266" s="4369" t="s">
        <v>5400</v>
      </c>
      <c r="AJ266" s="5330" t="s">
        <v>5401</v>
      </c>
      <c r="AK266" s="4369" t="s">
        <v>5402</v>
      </c>
      <c r="AL266" s="5330" t="s">
        <v>5403</v>
      </c>
      <c r="AM266" s="4369" t="s">
        <v>5404</v>
      </c>
      <c r="AN266" s="5334" t="s">
        <v>5405</v>
      </c>
      <c r="AO266" s="6589" t="s">
        <v>5406</v>
      </c>
      <c r="AP266" s="6590" t="s">
        <v>5407</v>
      </c>
      <c r="AQ266" s="6260" t="s">
        <v>5408</v>
      </c>
      <c r="AR266" s="5330" t="s">
        <v>5409</v>
      </c>
      <c r="AS266" s="4460" t="s">
        <v>5410</v>
      </c>
      <c r="AT266" s="4369" t="s">
        <v>5411</v>
      </c>
      <c r="AU266" s="5330" t="s">
        <v>5412</v>
      </c>
      <c r="AV266" s="5330" t="s">
        <v>5413</v>
      </c>
      <c r="AW266" s="5330" t="s">
        <v>5414</v>
      </c>
      <c r="AX266" s="5855" t="s">
        <v>5415</v>
      </c>
      <c r="AY266" s="5855" t="s">
        <v>5416</v>
      </c>
      <c r="AZ266" s="6626"/>
      <c r="BA266" s="4291"/>
      <c r="BB266" s="4291"/>
      <c r="BC266" s="4291"/>
      <c r="BD266" s="4291"/>
      <c r="BE266" s="4291"/>
      <c r="BF266" s="4291"/>
      <c r="BG266" s="4291"/>
      <c r="BH266" s="4291"/>
      <c r="BI266" s="4264"/>
      <c r="BJ266" s="4264"/>
      <c r="BZ266" s="4259"/>
      <c r="DA266" s="5899"/>
      <c r="DB266" s="5899">
        <v>0</v>
      </c>
      <c r="DD266" s="5899">
        <v>0</v>
      </c>
      <c r="DF266" s="5899">
        <v>0</v>
      </c>
      <c r="DH266" s="5899">
        <v>0</v>
      </c>
      <c r="DJ266" s="5899">
        <v>0</v>
      </c>
      <c r="DL266" s="5899">
        <v>0</v>
      </c>
      <c r="DN266" s="5899">
        <v>0</v>
      </c>
      <c r="DP266" s="5899">
        <v>0</v>
      </c>
      <c r="EA266" s="4259"/>
    </row>
    <row r="267" spans="1:131" ht="16.350000000000001" customHeight="1" x14ac:dyDescent="0.25">
      <c r="A267" s="7257" t="s">
        <v>4551</v>
      </c>
      <c r="B267" s="9099" t="s">
        <v>748</v>
      </c>
      <c r="C267" s="9097"/>
      <c r="D267" s="6519" t="s">
        <v>5369</v>
      </c>
      <c r="E267" s="6520" t="s">
        <v>5370</v>
      </c>
      <c r="F267" s="6518" t="s">
        <v>5371</v>
      </c>
      <c r="G267" s="4369" t="s">
        <v>5372</v>
      </c>
      <c r="H267" s="5330" t="s">
        <v>5373</v>
      </c>
      <c r="I267" s="4369" t="s">
        <v>5374</v>
      </c>
      <c r="J267" s="5330" t="s">
        <v>5375</v>
      </c>
      <c r="K267" s="4369" t="s">
        <v>5376</v>
      </c>
      <c r="L267" s="5330" t="s">
        <v>5377</v>
      </c>
      <c r="M267" s="4369" t="s">
        <v>5378</v>
      </c>
      <c r="N267" s="5330" t="s">
        <v>5379</v>
      </c>
      <c r="O267" s="4369" t="s">
        <v>5380</v>
      </c>
      <c r="P267" s="5330" t="s">
        <v>5381</v>
      </c>
      <c r="Q267" s="4369" t="s">
        <v>5382</v>
      </c>
      <c r="R267" s="5330" t="s">
        <v>5383</v>
      </c>
      <c r="S267" s="4369" t="s">
        <v>5384</v>
      </c>
      <c r="T267" s="5330" t="s">
        <v>5385</v>
      </c>
      <c r="U267" s="4369" t="s">
        <v>5386</v>
      </c>
      <c r="V267" s="5330" t="s">
        <v>5387</v>
      </c>
      <c r="W267" s="4369" t="s">
        <v>5388</v>
      </c>
      <c r="X267" s="5330" t="s">
        <v>5389</v>
      </c>
      <c r="Y267" s="4369" t="s">
        <v>5390</v>
      </c>
      <c r="Z267" s="5330" t="s">
        <v>5391</v>
      </c>
      <c r="AA267" s="4369" t="s">
        <v>5392</v>
      </c>
      <c r="AB267" s="5330" t="s">
        <v>5393</v>
      </c>
      <c r="AC267" s="4369" t="s">
        <v>5394</v>
      </c>
      <c r="AD267" s="5330" t="s">
        <v>5395</v>
      </c>
      <c r="AE267" s="4369" t="s">
        <v>5396</v>
      </c>
      <c r="AF267" s="5330" t="s">
        <v>5397</v>
      </c>
      <c r="AG267" s="4369" t="s">
        <v>5398</v>
      </c>
      <c r="AH267" s="5330" t="s">
        <v>5399</v>
      </c>
      <c r="AI267" s="4369" t="s">
        <v>5400</v>
      </c>
      <c r="AJ267" s="5330" t="s">
        <v>5401</v>
      </c>
      <c r="AK267" s="4369" t="s">
        <v>5402</v>
      </c>
      <c r="AL267" s="5330" t="s">
        <v>5403</v>
      </c>
      <c r="AM267" s="4369" t="s">
        <v>5404</v>
      </c>
      <c r="AN267" s="5334" t="s">
        <v>5405</v>
      </c>
      <c r="AO267" s="6589" t="s">
        <v>5406</v>
      </c>
      <c r="AP267" s="6590" t="s">
        <v>5407</v>
      </c>
      <c r="AQ267" s="6260" t="s">
        <v>5408</v>
      </c>
      <c r="AR267" s="5330" t="s">
        <v>5409</v>
      </c>
      <c r="AS267" s="4460" t="s">
        <v>5410</v>
      </c>
      <c r="AT267" s="4369" t="s">
        <v>5411</v>
      </c>
      <c r="AU267" s="5330" t="s">
        <v>5412</v>
      </c>
      <c r="AV267" s="5330" t="s">
        <v>5413</v>
      </c>
      <c r="AW267" s="5330" t="s">
        <v>5414</v>
      </c>
      <c r="AX267" s="5855" t="s">
        <v>5415</v>
      </c>
      <c r="AY267" s="5855" t="s">
        <v>5416</v>
      </c>
      <c r="AZ267" s="6626"/>
      <c r="BA267" s="4291"/>
      <c r="BB267" s="4291"/>
      <c r="BC267" s="4291"/>
      <c r="BD267" s="4291"/>
      <c r="BE267" s="4291"/>
      <c r="BF267" s="4291"/>
      <c r="BG267" s="4291"/>
      <c r="BH267" s="4291"/>
      <c r="BI267" s="4264"/>
      <c r="BJ267" s="4264"/>
      <c r="BZ267" s="4259"/>
      <c r="DA267" s="5899"/>
      <c r="EA267" s="4259"/>
    </row>
    <row r="268" spans="1:131" ht="16.350000000000001" customHeight="1" x14ac:dyDescent="0.25">
      <c r="A268" s="7257" t="s">
        <v>4552</v>
      </c>
      <c r="B268" s="9098" t="s">
        <v>747</v>
      </c>
      <c r="C268" s="9097"/>
      <c r="D268" s="5117" t="s">
        <v>5369</v>
      </c>
      <c r="E268" s="6748" t="s">
        <v>5370</v>
      </c>
      <c r="F268" s="5116" t="s">
        <v>5371</v>
      </c>
      <c r="G268" s="4369" t="s">
        <v>5372</v>
      </c>
      <c r="H268" s="5330" t="s">
        <v>5373</v>
      </c>
      <c r="I268" s="4369" t="s">
        <v>5374</v>
      </c>
      <c r="J268" s="5330" t="s">
        <v>5375</v>
      </c>
      <c r="K268" s="4369" t="s">
        <v>5376</v>
      </c>
      <c r="L268" s="5330" t="s">
        <v>5377</v>
      </c>
      <c r="M268" s="4369" t="s">
        <v>5378</v>
      </c>
      <c r="N268" s="5330" t="s">
        <v>5379</v>
      </c>
      <c r="O268" s="4369" t="s">
        <v>5380</v>
      </c>
      <c r="P268" s="5330" t="s">
        <v>5381</v>
      </c>
      <c r="Q268" s="4369" t="s">
        <v>5382</v>
      </c>
      <c r="R268" s="5330" t="s">
        <v>5383</v>
      </c>
      <c r="S268" s="4369" t="s">
        <v>5384</v>
      </c>
      <c r="T268" s="5330" t="s">
        <v>5385</v>
      </c>
      <c r="U268" s="4369" t="s">
        <v>5386</v>
      </c>
      <c r="V268" s="5330" t="s">
        <v>5387</v>
      </c>
      <c r="W268" s="4369" t="s">
        <v>5388</v>
      </c>
      <c r="X268" s="5330" t="s">
        <v>5389</v>
      </c>
      <c r="Y268" s="4369" t="s">
        <v>5390</v>
      </c>
      <c r="Z268" s="5330" t="s">
        <v>5391</v>
      </c>
      <c r="AA268" s="4369" t="s">
        <v>5392</v>
      </c>
      <c r="AB268" s="5330" t="s">
        <v>5393</v>
      </c>
      <c r="AC268" s="4369" t="s">
        <v>5394</v>
      </c>
      <c r="AD268" s="5330" t="s">
        <v>5395</v>
      </c>
      <c r="AE268" s="4369" t="s">
        <v>5396</v>
      </c>
      <c r="AF268" s="5330" t="s">
        <v>5397</v>
      </c>
      <c r="AG268" s="4369" t="s">
        <v>5398</v>
      </c>
      <c r="AH268" s="5330" t="s">
        <v>5399</v>
      </c>
      <c r="AI268" s="4369" t="s">
        <v>5400</v>
      </c>
      <c r="AJ268" s="5330" t="s">
        <v>5401</v>
      </c>
      <c r="AK268" s="4369" t="s">
        <v>5402</v>
      </c>
      <c r="AL268" s="5330" t="s">
        <v>5403</v>
      </c>
      <c r="AM268" s="4369" t="s">
        <v>5404</v>
      </c>
      <c r="AN268" s="5334" t="s">
        <v>5405</v>
      </c>
      <c r="AO268" s="6589" t="s">
        <v>5406</v>
      </c>
      <c r="AP268" s="6590" t="s">
        <v>5407</v>
      </c>
      <c r="AQ268" s="6260" t="s">
        <v>5408</v>
      </c>
      <c r="AR268" s="5330" t="s">
        <v>5409</v>
      </c>
      <c r="AS268" s="4460" t="s">
        <v>5410</v>
      </c>
      <c r="AT268" s="4369" t="s">
        <v>5411</v>
      </c>
      <c r="AU268" s="5330" t="s">
        <v>5412</v>
      </c>
      <c r="AV268" s="5330" t="s">
        <v>5413</v>
      </c>
      <c r="AW268" s="5330" t="s">
        <v>5414</v>
      </c>
      <c r="AX268" s="5855" t="s">
        <v>5415</v>
      </c>
      <c r="AY268" s="5855" t="s">
        <v>5416</v>
      </c>
      <c r="AZ268" s="6626"/>
      <c r="BA268" s="4291"/>
      <c r="BB268" s="4291"/>
      <c r="BC268" s="4291"/>
      <c r="BD268" s="4291"/>
      <c r="BE268" s="4291"/>
      <c r="BF268" s="4291"/>
      <c r="BG268" s="4291"/>
      <c r="BH268" s="4291"/>
      <c r="BI268" s="4264"/>
      <c r="BJ268" s="4264"/>
      <c r="BZ268" s="4259"/>
      <c r="DA268" s="5899"/>
      <c r="EA268" s="4259"/>
    </row>
    <row r="269" spans="1:131" ht="19.5" customHeight="1" x14ac:dyDescent="0.25">
      <c r="A269" s="7257" t="s">
        <v>4553</v>
      </c>
      <c r="B269" s="9088" t="s">
        <v>746</v>
      </c>
      <c r="C269" s="5435" t="s">
        <v>2156</v>
      </c>
      <c r="D269" s="6742" t="s">
        <v>5369</v>
      </c>
      <c r="E269" s="6743" t="s">
        <v>5370</v>
      </c>
      <c r="F269" s="6744" t="s">
        <v>5371</v>
      </c>
      <c r="G269" s="6389" t="s">
        <v>5372</v>
      </c>
      <c r="H269" s="4926" t="s">
        <v>5373</v>
      </c>
      <c r="I269" s="6389" t="s">
        <v>5374</v>
      </c>
      <c r="J269" s="4926" t="s">
        <v>5375</v>
      </c>
      <c r="K269" s="6389" t="s">
        <v>5376</v>
      </c>
      <c r="L269" s="4926" t="s">
        <v>5377</v>
      </c>
      <c r="M269" s="6389" t="s">
        <v>5378</v>
      </c>
      <c r="N269" s="4926" t="s">
        <v>5379</v>
      </c>
      <c r="O269" s="6389" t="s">
        <v>5380</v>
      </c>
      <c r="P269" s="4926" t="s">
        <v>5381</v>
      </c>
      <c r="Q269" s="6389" t="s">
        <v>5382</v>
      </c>
      <c r="R269" s="4926" t="s">
        <v>5383</v>
      </c>
      <c r="S269" s="6389" t="s">
        <v>5384</v>
      </c>
      <c r="T269" s="4926" t="s">
        <v>5385</v>
      </c>
      <c r="U269" s="6389" t="s">
        <v>5386</v>
      </c>
      <c r="V269" s="4926" t="s">
        <v>5387</v>
      </c>
      <c r="W269" s="6389" t="s">
        <v>5388</v>
      </c>
      <c r="X269" s="4926" t="s">
        <v>5389</v>
      </c>
      <c r="Y269" s="6389" t="s">
        <v>5390</v>
      </c>
      <c r="Z269" s="4926" t="s">
        <v>5391</v>
      </c>
      <c r="AA269" s="6389" t="s">
        <v>5392</v>
      </c>
      <c r="AB269" s="4926" t="s">
        <v>5393</v>
      </c>
      <c r="AC269" s="6389" t="s">
        <v>5394</v>
      </c>
      <c r="AD269" s="4926" t="s">
        <v>5395</v>
      </c>
      <c r="AE269" s="6389" t="s">
        <v>5396</v>
      </c>
      <c r="AF269" s="4926" t="s">
        <v>5397</v>
      </c>
      <c r="AG269" s="6389" t="s">
        <v>5398</v>
      </c>
      <c r="AH269" s="4926" t="s">
        <v>5399</v>
      </c>
      <c r="AI269" s="6389" t="s">
        <v>5400</v>
      </c>
      <c r="AJ269" s="4926" t="s">
        <v>5401</v>
      </c>
      <c r="AK269" s="6389" t="s">
        <v>5402</v>
      </c>
      <c r="AL269" s="4926" t="s">
        <v>5403</v>
      </c>
      <c r="AM269" s="6389" t="s">
        <v>5404</v>
      </c>
      <c r="AN269" s="6445" t="s">
        <v>5405</v>
      </c>
      <c r="AO269" s="6589" t="s">
        <v>5406</v>
      </c>
      <c r="AP269" s="6590" t="s">
        <v>5407</v>
      </c>
      <c r="AQ269" s="6260" t="s">
        <v>5408</v>
      </c>
      <c r="AR269" s="4926" t="s">
        <v>5409</v>
      </c>
      <c r="AS269" s="6390" t="s">
        <v>5410</v>
      </c>
      <c r="AT269" s="6389" t="s">
        <v>5411</v>
      </c>
      <c r="AU269" s="4926" t="s">
        <v>5412</v>
      </c>
      <c r="AV269" s="4926" t="s">
        <v>5413</v>
      </c>
      <c r="AW269" s="4926" t="s">
        <v>5414</v>
      </c>
      <c r="AX269" s="4926" t="s">
        <v>5415</v>
      </c>
      <c r="AY269" s="4926" t="s">
        <v>5416</v>
      </c>
      <c r="AZ269" s="4260"/>
      <c r="BA269" s="4264"/>
      <c r="BB269" s="4264"/>
      <c r="BC269" s="4264"/>
      <c r="BD269" s="4264"/>
      <c r="BE269" s="4264"/>
      <c r="BF269" s="4264"/>
      <c r="BG269" s="4264"/>
      <c r="BH269" s="4264"/>
      <c r="BI269" s="4264"/>
      <c r="BJ269" s="4264"/>
      <c r="DA269" s="5899"/>
      <c r="EA269" s="4259"/>
    </row>
    <row r="270" spans="1:131" ht="19.5" customHeight="1" x14ac:dyDescent="0.25">
      <c r="A270" s="7257" t="s">
        <v>4554</v>
      </c>
      <c r="B270" s="9062"/>
      <c r="C270" s="5311" t="s">
        <v>2157</v>
      </c>
      <c r="D270" s="6519" t="s">
        <v>5369</v>
      </c>
      <c r="E270" s="6520" t="s">
        <v>5370</v>
      </c>
      <c r="F270" s="6518" t="s">
        <v>5371</v>
      </c>
      <c r="G270" s="5306" t="s">
        <v>5372</v>
      </c>
      <c r="H270" s="4926" t="s">
        <v>5373</v>
      </c>
      <c r="I270" s="5306" t="s">
        <v>5374</v>
      </c>
      <c r="J270" s="4926" t="s">
        <v>5375</v>
      </c>
      <c r="K270" s="5306" t="s">
        <v>5376</v>
      </c>
      <c r="L270" s="4926" t="s">
        <v>5377</v>
      </c>
      <c r="M270" s="5306" t="s">
        <v>5378</v>
      </c>
      <c r="N270" s="4926" t="s">
        <v>5379</v>
      </c>
      <c r="O270" s="5306" t="s">
        <v>5380</v>
      </c>
      <c r="P270" s="4926" t="s">
        <v>5381</v>
      </c>
      <c r="Q270" s="5306" t="s">
        <v>5382</v>
      </c>
      <c r="R270" s="4926" t="s">
        <v>5383</v>
      </c>
      <c r="S270" s="5306" t="s">
        <v>5384</v>
      </c>
      <c r="T270" s="4926" t="s">
        <v>5385</v>
      </c>
      <c r="U270" s="5306" t="s">
        <v>5386</v>
      </c>
      <c r="V270" s="4926" t="s">
        <v>5387</v>
      </c>
      <c r="W270" s="5306" t="s">
        <v>5388</v>
      </c>
      <c r="X270" s="4926" t="s">
        <v>5389</v>
      </c>
      <c r="Y270" s="5306" t="s">
        <v>5390</v>
      </c>
      <c r="Z270" s="4926" t="s">
        <v>5391</v>
      </c>
      <c r="AA270" s="5306" t="s">
        <v>5392</v>
      </c>
      <c r="AB270" s="4926" t="s">
        <v>5393</v>
      </c>
      <c r="AC270" s="5306" t="s">
        <v>5394</v>
      </c>
      <c r="AD270" s="4926" t="s">
        <v>5395</v>
      </c>
      <c r="AE270" s="5306" t="s">
        <v>5396</v>
      </c>
      <c r="AF270" s="4926" t="s">
        <v>5397</v>
      </c>
      <c r="AG270" s="5306" t="s">
        <v>5398</v>
      </c>
      <c r="AH270" s="4926" t="s">
        <v>5399</v>
      </c>
      <c r="AI270" s="5306" t="s">
        <v>5400</v>
      </c>
      <c r="AJ270" s="4926" t="s">
        <v>5401</v>
      </c>
      <c r="AK270" s="5306" t="s">
        <v>5402</v>
      </c>
      <c r="AL270" s="4926" t="s">
        <v>5403</v>
      </c>
      <c r="AM270" s="5306" t="s">
        <v>5404</v>
      </c>
      <c r="AN270" s="6445" t="s">
        <v>5405</v>
      </c>
      <c r="AO270" s="4020" t="s">
        <v>5406</v>
      </c>
      <c r="AP270" s="3961" t="s">
        <v>5407</v>
      </c>
      <c r="AQ270" s="6260" t="s">
        <v>5408</v>
      </c>
      <c r="AR270" s="4926" t="s">
        <v>5409</v>
      </c>
      <c r="AS270" s="5309" t="s">
        <v>5410</v>
      </c>
      <c r="AT270" s="5306" t="s">
        <v>5411</v>
      </c>
      <c r="AU270" s="4926" t="s">
        <v>5412</v>
      </c>
      <c r="AV270" s="4926" t="s">
        <v>5413</v>
      </c>
      <c r="AW270" s="4926" t="s">
        <v>5414</v>
      </c>
      <c r="AX270" s="4926" t="s">
        <v>5415</v>
      </c>
      <c r="AY270" s="4926" t="s">
        <v>5416</v>
      </c>
      <c r="AZ270" s="4260"/>
      <c r="BA270" s="4264"/>
      <c r="BB270" s="4264"/>
      <c r="BC270" s="4264"/>
      <c r="BD270" s="4264"/>
      <c r="BE270" s="4264"/>
      <c r="BF270" s="4264"/>
      <c r="BG270" s="4264"/>
      <c r="BH270" s="4264"/>
      <c r="BI270" s="4264"/>
      <c r="BJ270" s="4264"/>
      <c r="DA270" s="5899"/>
      <c r="EA270" s="4259"/>
    </row>
    <row r="271" spans="1:131" ht="19.5" customHeight="1" x14ac:dyDescent="0.25">
      <c r="A271" s="7257" t="s">
        <v>4555</v>
      </c>
      <c r="B271" s="9062"/>
      <c r="C271" s="5311" t="s">
        <v>2158</v>
      </c>
      <c r="D271" s="6519" t="s">
        <v>5369</v>
      </c>
      <c r="E271" s="6520" t="s">
        <v>5370</v>
      </c>
      <c r="F271" s="6518" t="s">
        <v>5371</v>
      </c>
      <c r="G271" s="5306" t="s">
        <v>5372</v>
      </c>
      <c r="H271" s="4926" t="s">
        <v>5373</v>
      </c>
      <c r="I271" s="5306" t="s">
        <v>5374</v>
      </c>
      <c r="J271" s="4926" t="s">
        <v>5375</v>
      </c>
      <c r="K271" s="5306" t="s">
        <v>5376</v>
      </c>
      <c r="L271" s="4926" t="s">
        <v>5377</v>
      </c>
      <c r="M271" s="5306" t="s">
        <v>5378</v>
      </c>
      <c r="N271" s="4926" t="s">
        <v>5379</v>
      </c>
      <c r="O271" s="5306" t="s">
        <v>5380</v>
      </c>
      <c r="P271" s="4926" t="s">
        <v>5381</v>
      </c>
      <c r="Q271" s="5306" t="s">
        <v>5382</v>
      </c>
      <c r="R271" s="4926" t="s">
        <v>5383</v>
      </c>
      <c r="S271" s="5306" t="s">
        <v>5384</v>
      </c>
      <c r="T271" s="4926" t="s">
        <v>5385</v>
      </c>
      <c r="U271" s="5306" t="s">
        <v>5386</v>
      </c>
      <c r="V271" s="4926" t="s">
        <v>5387</v>
      </c>
      <c r="W271" s="5306" t="s">
        <v>5388</v>
      </c>
      <c r="X271" s="4926" t="s">
        <v>5389</v>
      </c>
      <c r="Y271" s="5306" t="s">
        <v>5390</v>
      </c>
      <c r="Z271" s="4926" t="s">
        <v>5391</v>
      </c>
      <c r="AA271" s="5306" t="s">
        <v>5392</v>
      </c>
      <c r="AB271" s="4926" t="s">
        <v>5393</v>
      </c>
      <c r="AC271" s="5306" t="s">
        <v>5394</v>
      </c>
      <c r="AD271" s="4926" t="s">
        <v>5395</v>
      </c>
      <c r="AE271" s="5306" t="s">
        <v>5396</v>
      </c>
      <c r="AF271" s="4926" t="s">
        <v>5397</v>
      </c>
      <c r="AG271" s="5306" t="s">
        <v>5398</v>
      </c>
      <c r="AH271" s="4926" t="s">
        <v>5399</v>
      </c>
      <c r="AI271" s="5306" t="s">
        <v>5400</v>
      </c>
      <c r="AJ271" s="4926" t="s">
        <v>5401</v>
      </c>
      <c r="AK271" s="5306" t="s">
        <v>5402</v>
      </c>
      <c r="AL271" s="4926" t="s">
        <v>5403</v>
      </c>
      <c r="AM271" s="5306" t="s">
        <v>5404</v>
      </c>
      <c r="AN271" s="6445" t="s">
        <v>5405</v>
      </c>
      <c r="AO271" s="4020" t="s">
        <v>5406</v>
      </c>
      <c r="AP271" s="3961" t="s">
        <v>5407</v>
      </c>
      <c r="AQ271" s="6260" t="s">
        <v>5408</v>
      </c>
      <c r="AR271" s="4926" t="s">
        <v>5409</v>
      </c>
      <c r="AS271" s="5309" t="s">
        <v>5410</v>
      </c>
      <c r="AT271" s="5306" t="s">
        <v>5411</v>
      </c>
      <c r="AU271" s="4926" t="s">
        <v>5412</v>
      </c>
      <c r="AV271" s="4926" t="s">
        <v>5413</v>
      </c>
      <c r="AW271" s="4926" t="s">
        <v>5414</v>
      </c>
      <c r="AX271" s="4926" t="s">
        <v>5415</v>
      </c>
      <c r="AY271" s="4926" t="s">
        <v>5416</v>
      </c>
      <c r="AZ271" s="4260"/>
      <c r="BA271" s="4264"/>
      <c r="BB271" s="4264"/>
      <c r="BC271" s="4264"/>
      <c r="BD271" s="4264"/>
      <c r="BE271" s="4264"/>
      <c r="BF271" s="4264"/>
      <c r="BG271" s="4264"/>
      <c r="BH271" s="4264"/>
      <c r="BI271" s="4264"/>
      <c r="BJ271" s="4264"/>
      <c r="DA271" s="5899"/>
      <c r="EA271" s="4259"/>
    </row>
    <row r="272" spans="1:131" ht="26.25" customHeight="1" x14ac:dyDescent="0.25">
      <c r="A272" s="7257" t="s">
        <v>4556</v>
      </c>
      <c r="B272" s="9062"/>
      <c r="C272" s="5311" t="s">
        <v>2159</v>
      </c>
      <c r="D272" s="6519" t="s">
        <v>5369</v>
      </c>
      <c r="E272" s="6520" t="s">
        <v>5370</v>
      </c>
      <c r="F272" s="6518" t="s">
        <v>5371</v>
      </c>
      <c r="G272" s="5306" t="s">
        <v>5372</v>
      </c>
      <c r="H272" s="4926" t="s">
        <v>5373</v>
      </c>
      <c r="I272" s="5306" t="s">
        <v>5374</v>
      </c>
      <c r="J272" s="4926" t="s">
        <v>5375</v>
      </c>
      <c r="K272" s="5306" t="s">
        <v>5376</v>
      </c>
      <c r="L272" s="4926" t="s">
        <v>5377</v>
      </c>
      <c r="M272" s="5306" t="s">
        <v>5378</v>
      </c>
      <c r="N272" s="4926" t="s">
        <v>5379</v>
      </c>
      <c r="O272" s="5306" t="s">
        <v>5380</v>
      </c>
      <c r="P272" s="4926" t="s">
        <v>5381</v>
      </c>
      <c r="Q272" s="5306" t="s">
        <v>5382</v>
      </c>
      <c r="R272" s="4926" t="s">
        <v>5383</v>
      </c>
      <c r="S272" s="5306" t="s">
        <v>5384</v>
      </c>
      <c r="T272" s="4926" t="s">
        <v>5385</v>
      </c>
      <c r="U272" s="5306" t="s">
        <v>5386</v>
      </c>
      <c r="V272" s="4926" t="s">
        <v>5387</v>
      </c>
      <c r="W272" s="5306" t="s">
        <v>5388</v>
      </c>
      <c r="X272" s="4926" t="s">
        <v>5389</v>
      </c>
      <c r="Y272" s="5306" t="s">
        <v>5390</v>
      </c>
      <c r="Z272" s="4926" t="s">
        <v>5391</v>
      </c>
      <c r="AA272" s="5306" t="s">
        <v>5392</v>
      </c>
      <c r="AB272" s="4926" t="s">
        <v>5393</v>
      </c>
      <c r="AC272" s="5306" t="s">
        <v>5394</v>
      </c>
      <c r="AD272" s="4926" t="s">
        <v>5395</v>
      </c>
      <c r="AE272" s="5306" t="s">
        <v>5396</v>
      </c>
      <c r="AF272" s="4926" t="s">
        <v>5397</v>
      </c>
      <c r="AG272" s="5306" t="s">
        <v>5398</v>
      </c>
      <c r="AH272" s="4926" t="s">
        <v>5399</v>
      </c>
      <c r="AI272" s="5306" t="s">
        <v>5400</v>
      </c>
      <c r="AJ272" s="4926" t="s">
        <v>5401</v>
      </c>
      <c r="AK272" s="5306" t="s">
        <v>5402</v>
      </c>
      <c r="AL272" s="4926" t="s">
        <v>5403</v>
      </c>
      <c r="AM272" s="5306" t="s">
        <v>5404</v>
      </c>
      <c r="AN272" s="6445" t="s">
        <v>5405</v>
      </c>
      <c r="AO272" s="4020" t="s">
        <v>5406</v>
      </c>
      <c r="AP272" s="3961" t="s">
        <v>5407</v>
      </c>
      <c r="AQ272" s="6260" t="s">
        <v>5408</v>
      </c>
      <c r="AR272" s="4926" t="s">
        <v>5409</v>
      </c>
      <c r="AS272" s="5309" t="s">
        <v>5410</v>
      </c>
      <c r="AT272" s="5306" t="s">
        <v>5411</v>
      </c>
      <c r="AU272" s="4926" t="s">
        <v>5412</v>
      </c>
      <c r="AV272" s="4926" t="s">
        <v>5413</v>
      </c>
      <c r="AW272" s="4926" t="s">
        <v>5414</v>
      </c>
      <c r="AX272" s="4926" t="s">
        <v>5415</v>
      </c>
      <c r="AY272" s="4926" t="s">
        <v>5416</v>
      </c>
      <c r="AZ272" s="4260"/>
      <c r="BA272" s="4264"/>
      <c r="BB272" s="4264"/>
      <c r="BC272" s="4264"/>
      <c r="BD272" s="4264"/>
      <c r="BE272" s="4264"/>
      <c r="BF272" s="4264"/>
      <c r="BG272" s="4264"/>
      <c r="BH272" s="4264"/>
      <c r="BI272" s="4264"/>
      <c r="BJ272" s="4264"/>
      <c r="DA272" s="5899"/>
      <c r="EA272" s="4259"/>
    </row>
    <row r="273" spans="1:131" ht="24.75" customHeight="1" x14ac:dyDescent="0.25">
      <c r="A273" s="7257" t="s">
        <v>4557</v>
      </c>
      <c r="B273" s="9089"/>
      <c r="C273" s="6564" t="s">
        <v>2160</v>
      </c>
      <c r="D273" s="6611" t="s">
        <v>5369</v>
      </c>
      <c r="E273" s="6612" t="s">
        <v>5370</v>
      </c>
      <c r="F273" s="6613" t="s">
        <v>5371</v>
      </c>
      <c r="G273" s="4933" t="s">
        <v>5372</v>
      </c>
      <c r="H273" s="3981" t="s">
        <v>5373</v>
      </c>
      <c r="I273" s="4933" t="s">
        <v>5374</v>
      </c>
      <c r="J273" s="3981" t="s">
        <v>5375</v>
      </c>
      <c r="K273" s="4933" t="s">
        <v>5376</v>
      </c>
      <c r="L273" s="3981" t="s">
        <v>5377</v>
      </c>
      <c r="M273" s="4933" t="s">
        <v>5378</v>
      </c>
      <c r="N273" s="3981" t="s">
        <v>5379</v>
      </c>
      <c r="O273" s="4933" t="s">
        <v>5380</v>
      </c>
      <c r="P273" s="3981" t="s">
        <v>5381</v>
      </c>
      <c r="Q273" s="4933" t="s">
        <v>5382</v>
      </c>
      <c r="R273" s="3981" t="s">
        <v>5383</v>
      </c>
      <c r="S273" s="4933" t="s">
        <v>5384</v>
      </c>
      <c r="T273" s="3981" t="s">
        <v>5385</v>
      </c>
      <c r="U273" s="4933" t="s">
        <v>5386</v>
      </c>
      <c r="V273" s="3981" t="s">
        <v>5387</v>
      </c>
      <c r="W273" s="4933" t="s">
        <v>5388</v>
      </c>
      <c r="X273" s="3981" t="s">
        <v>5389</v>
      </c>
      <c r="Y273" s="4933" t="s">
        <v>5390</v>
      </c>
      <c r="Z273" s="3981" t="s">
        <v>5391</v>
      </c>
      <c r="AA273" s="4933" t="s">
        <v>5392</v>
      </c>
      <c r="AB273" s="3981" t="s">
        <v>5393</v>
      </c>
      <c r="AC273" s="4933" t="s">
        <v>5394</v>
      </c>
      <c r="AD273" s="3981" t="s">
        <v>5395</v>
      </c>
      <c r="AE273" s="4933" t="s">
        <v>5396</v>
      </c>
      <c r="AF273" s="3981" t="s">
        <v>5397</v>
      </c>
      <c r="AG273" s="4933" t="s">
        <v>5398</v>
      </c>
      <c r="AH273" s="3981" t="s">
        <v>5399</v>
      </c>
      <c r="AI273" s="4933" t="s">
        <v>5400</v>
      </c>
      <c r="AJ273" s="3981" t="s">
        <v>5401</v>
      </c>
      <c r="AK273" s="4933" t="s">
        <v>5402</v>
      </c>
      <c r="AL273" s="3981" t="s">
        <v>5403</v>
      </c>
      <c r="AM273" s="4933" t="s">
        <v>5404</v>
      </c>
      <c r="AN273" s="6554" t="s">
        <v>5405</v>
      </c>
      <c r="AO273" s="6614" t="s">
        <v>5406</v>
      </c>
      <c r="AP273" s="4389" t="s">
        <v>5407</v>
      </c>
      <c r="AQ273" s="3981" t="s">
        <v>5408</v>
      </c>
      <c r="AR273" s="3981" t="s">
        <v>5409</v>
      </c>
      <c r="AS273" s="5918" t="s">
        <v>5410</v>
      </c>
      <c r="AT273" s="4933" t="s">
        <v>5411</v>
      </c>
      <c r="AU273" s="3981" t="s">
        <v>5412</v>
      </c>
      <c r="AV273" s="3981" t="s">
        <v>5413</v>
      </c>
      <c r="AW273" s="3981" t="s">
        <v>5414</v>
      </c>
      <c r="AX273" s="4378" t="s">
        <v>5415</v>
      </c>
      <c r="AY273" s="4378" t="s">
        <v>5416</v>
      </c>
      <c r="AZ273" s="4260"/>
      <c r="BA273" s="4264"/>
      <c r="BB273" s="4264"/>
      <c r="BC273" s="4264"/>
      <c r="BD273" s="4264"/>
      <c r="BE273" s="4264"/>
      <c r="BF273" s="4264"/>
      <c r="BG273" s="4264"/>
      <c r="BH273" s="4264"/>
      <c r="BI273" s="4264"/>
      <c r="BJ273" s="4264"/>
      <c r="DA273" s="5899"/>
      <c r="EA273" s="4259"/>
    </row>
    <row r="274" spans="1:131" ht="19.5" customHeight="1" x14ac:dyDescent="0.25">
      <c r="A274" s="7257" t="s">
        <v>4558</v>
      </c>
      <c r="B274" s="9096" t="s">
        <v>745</v>
      </c>
      <c r="C274" s="9097"/>
      <c r="D274" s="6568" t="s">
        <v>5369</v>
      </c>
      <c r="E274" s="6569" t="s">
        <v>5370</v>
      </c>
      <c r="F274" s="6570" t="s">
        <v>5371</v>
      </c>
      <c r="G274" s="5014" t="s">
        <v>5372</v>
      </c>
      <c r="H274" s="5044" t="s">
        <v>5373</v>
      </c>
      <c r="I274" s="5014" t="s">
        <v>5374</v>
      </c>
      <c r="J274" s="5044" t="s">
        <v>5375</v>
      </c>
      <c r="K274" s="5014" t="s">
        <v>5376</v>
      </c>
      <c r="L274" s="5044" t="s">
        <v>5377</v>
      </c>
      <c r="M274" s="5014" t="s">
        <v>5378</v>
      </c>
      <c r="N274" s="5044" t="s">
        <v>5379</v>
      </c>
      <c r="O274" s="5014" t="s">
        <v>5380</v>
      </c>
      <c r="P274" s="5044" t="s">
        <v>5381</v>
      </c>
      <c r="Q274" s="5014" t="s">
        <v>5382</v>
      </c>
      <c r="R274" s="5044" t="s">
        <v>5383</v>
      </c>
      <c r="S274" s="5014" t="s">
        <v>5384</v>
      </c>
      <c r="T274" s="5044" t="s">
        <v>5385</v>
      </c>
      <c r="U274" s="5014" t="s">
        <v>5386</v>
      </c>
      <c r="V274" s="5044" t="s">
        <v>5387</v>
      </c>
      <c r="W274" s="5014" t="s">
        <v>5388</v>
      </c>
      <c r="X274" s="5044" t="s">
        <v>5389</v>
      </c>
      <c r="Y274" s="5014" t="s">
        <v>5390</v>
      </c>
      <c r="Z274" s="5044" t="s">
        <v>5391</v>
      </c>
      <c r="AA274" s="5014" t="s">
        <v>5392</v>
      </c>
      <c r="AB274" s="5044" t="s">
        <v>5393</v>
      </c>
      <c r="AC274" s="5014" t="s">
        <v>5394</v>
      </c>
      <c r="AD274" s="5044" t="s">
        <v>5395</v>
      </c>
      <c r="AE274" s="5014" t="s">
        <v>5396</v>
      </c>
      <c r="AF274" s="5044" t="s">
        <v>5397</v>
      </c>
      <c r="AG274" s="5014" t="s">
        <v>5398</v>
      </c>
      <c r="AH274" s="5044" t="s">
        <v>5399</v>
      </c>
      <c r="AI274" s="5014" t="s">
        <v>5400</v>
      </c>
      <c r="AJ274" s="5044" t="s">
        <v>5401</v>
      </c>
      <c r="AK274" s="5014" t="s">
        <v>5402</v>
      </c>
      <c r="AL274" s="5044" t="s">
        <v>5403</v>
      </c>
      <c r="AM274" s="5014" t="s">
        <v>5404</v>
      </c>
      <c r="AN274" s="6476" t="s">
        <v>5405</v>
      </c>
      <c r="AO274" s="4020" t="s">
        <v>5406</v>
      </c>
      <c r="AP274" s="3961" t="s">
        <v>5407</v>
      </c>
      <c r="AQ274" s="6260" t="s">
        <v>5408</v>
      </c>
      <c r="AR274" s="5044" t="s">
        <v>5409</v>
      </c>
      <c r="AS274" s="6560" t="s">
        <v>5410</v>
      </c>
      <c r="AT274" s="5014" t="s">
        <v>5411</v>
      </c>
      <c r="AU274" s="5044" t="s">
        <v>5412</v>
      </c>
      <c r="AV274" s="5044" t="s">
        <v>5413</v>
      </c>
      <c r="AW274" s="5044" t="s">
        <v>5414</v>
      </c>
      <c r="AX274" s="5044" t="s">
        <v>5415</v>
      </c>
      <c r="AY274" s="5044" t="s">
        <v>5416</v>
      </c>
      <c r="AZ274" s="4260"/>
      <c r="BA274" s="4264"/>
      <c r="BB274" s="4264"/>
      <c r="BC274" s="4264"/>
      <c r="BD274" s="4264"/>
      <c r="BE274" s="4264"/>
      <c r="BF274" s="4264"/>
      <c r="BG274" s="4264"/>
      <c r="BH274" s="4264"/>
      <c r="BI274" s="4264"/>
      <c r="BJ274" s="4264"/>
      <c r="BZ274" s="4259"/>
      <c r="DA274" s="5899"/>
      <c r="EA274" s="4259"/>
    </row>
    <row r="275" spans="1:131" ht="19.5" customHeight="1" x14ac:dyDescent="0.25">
      <c r="A275" s="7257" t="s">
        <v>4559</v>
      </c>
      <c r="B275" s="9094" t="s">
        <v>28</v>
      </c>
      <c r="C275" s="9095"/>
      <c r="D275" s="6539" t="s">
        <v>5369</v>
      </c>
      <c r="E275" s="6540" t="s">
        <v>5370</v>
      </c>
      <c r="F275" s="6500" t="s">
        <v>5371</v>
      </c>
      <c r="G275" s="4387" t="s">
        <v>5372</v>
      </c>
      <c r="H275" s="4479" t="s">
        <v>5373</v>
      </c>
      <c r="I275" s="4387" t="s">
        <v>5374</v>
      </c>
      <c r="J275" s="4479" t="s">
        <v>5375</v>
      </c>
      <c r="K275" s="4387" t="s">
        <v>5376</v>
      </c>
      <c r="L275" s="4479" t="s">
        <v>5377</v>
      </c>
      <c r="M275" s="4387" t="s">
        <v>5378</v>
      </c>
      <c r="N275" s="4479" t="s">
        <v>5379</v>
      </c>
      <c r="O275" s="4387" t="s">
        <v>5380</v>
      </c>
      <c r="P275" s="4479" t="s">
        <v>5381</v>
      </c>
      <c r="Q275" s="4387" t="s">
        <v>5382</v>
      </c>
      <c r="R275" s="4479" t="s">
        <v>5383</v>
      </c>
      <c r="S275" s="4387" t="s">
        <v>5384</v>
      </c>
      <c r="T275" s="4479" t="s">
        <v>5385</v>
      </c>
      <c r="U275" s="4387" t="s">
        <v>5386</v>
      </c>
      <c r="V275" s="4479" t="s">
        <v>5387</v>
      </c>
      <c r="W275" s="4387" t="s">
        <v>5388</v>
      </c>
      <c r="X275" s="4479" t="s">
        <v>5389</v>
      </c>
      <c r="Y275" s="4387" t="s">
        <v>5390</v>
      </c>
      <c r="Z275" s="4479" t="s">
        <v>5391</v>
      </c>
      <c r="AA275" s="4387" t="s">
        <v>5392</v>
      </c>
      <c r="AB275" s="4479" t="s">
        <v>5393</v>
      </c>
      <c r="AC275" s="4387" t="s">
        <v>5394</v>
      </c>
      <c r="AD275" s="4479" t="s">
        <v>5395</v>
      </c>
      <c r="AE275" s="4387" t="s">
        <v>5396</v>
      </c>
      <c r="AF275" s="4479" t="s">
        <v>5397</v>
      </c>
      <c r="AG275" s="4387" t="s">
        <v>5398</v>
      </c>
      <c r="AH275" s="4479" t="s">
        <v>5399</v>
      </c>
      <c r="AI275" s="4387" t="s">
        <v>5400</v>
      </c>
      <c r="AJ275" s="4479" t="s">
        <v>5401</v>
      </c>
      <c r="AK275" s="4387" t="s">
        <v>5402</v>
      </c>
      <c r="AL275" s="4479" t="s">
        <v>5403</v>
      </c>
      <c r="AM275" s="4387" t="s">
        <v>5404</v>
      </c>
      <c r="AN275" s="6541" t="s">
        <v>5405</v>
      </c>
      <c r="AO275" s="6577" t="s">
        <v>5406</v>
      </c>
      <c r="AP275" s="6578" t="s">
        <v>5407</v>
      </c>
      <c r="AQ275" s="6264" t="s">
        <v>5408</v>
      </c>
      <c r="AR275" s="6615" t="s">
        <v>5409</v>
      </c>
      <c r="AS275" s="6572" t="s">
        <v>5410</v>
      </c>
      <c r="AT275" s="4387" t="s">
        <v>5411</v>
      </c>
      <c r="AU275" s="4479" t="s">
        <v>5412</v>
      </c>
      <c r="AV275" s="4479" t="s">
        <v>5413</v>
      </c>
      <c r="AW275" s="4479" t="s">
        <v>5414</v>
      </c>
      <c r="AX275" s="4378" t="s">
        <v>5415</v>
      </c>
      <c r="AY275" s="4378" t="s">
        <v>5416</v>
      </c>
      <c r="AZ275" s="4260"/>
      <c r="BA275" s="4264"/>
      <c r="BB275" s="4264"/>
      <c r="BC275" s="4264"/>
      <c r="BD275" s="4264"/>
      <c r="BE275" s="4264"/>
      <c r="BF275" s="4264"/>
      <c r="BG275" s="4264"/>
      <c r="BH275" s="4264"/>
      <c r="BI275" s="4264"/>
      <c r="BJ275" s="4264"/>
      <c r="BZ275" s="4259"/>
      <c r="DA275" s="5899"/>
      <c r="EA275" s="4259"/>
    </row>
    <row r="276" spans="1:131" ht="22.5" customHeight="1" x14ac:dyDescent="0.25">
      <c r="A276" s="7280"/>
      <c r="B276" s="4469" t="s">
        <v>3162</v>
      </c>
      <c r="C276" s="4979"/>
      <c r="AN276" s="4234"/>
      <c r="AO276" s="4234"/>
      <c r="AP276" s="4234"/>
      <c r="AQ276" s="4234"/>
      <c r="AR276" s="4234"/>
      <c r="AS276" s="4234"/>
      <c r="AT276" s="4234"/>
      <c r="AU276" s="4234"/>
      <c r="AV276" s="4264"/>
      <c r="AW276" s="4264"/>
      <c r="AX276" s="4264"/>
      <c r="BB276" s="4264"/>
    </row>
    <row r="277" spans="1:131" ht="16.350000000000001" customHeight="1" x14ac:dyDescent="0.25">
      <c r="A277" s="7280"/>
      <c r="B277" s="9123" t="s">
        <v>743</v>
      </c>
      <c r="C277" s="9126" t="s">
        <v>742</v>
      </c>
      <c r="D277" s="9172" t="s">
        <v>1</v>
      </c>
      <c r="E277" s="9173"/>
      <c r="F277" s="9174"/>
      <c r="G277" s="9169" t="s">
        <v>84</v>
      </c>
      <c r="H277" s="9170"/>
      <c r="I277" s="9170"/>
      <c r="J277" s="9170"/>
      <c r="K277" s="9170"/>
      <c r="L277" s="9170"/>
      <c r="M277" s="9170"/>
      <c r="N277" s="9170"/>
      <c r="O277" s="9170"/>
      <c r="P277" s="9170"/>
      <c r="Q277" s="9170"/>
      <c r="R277" s="9170"/>
      <c r="S277" s="9170"/>
      <c r="T277" s="9170"/>
      <c r="U277" s="9170"/>
      <c r="V277" s="9170"/>
      <c r="W277" s="9170"/>
      <c r="X277" s="9170"/>
      <c r="Y277" s="9170"/>
      <c r="Z277" s="9170"/>
      <c r="AA277" s="9170"/>
      <c r="AB277" s="9170"/>
      <c r="AC277" s="9170"/>
      <c r="AD277" s="9170"/>
      <c r="AE277" s="9170"/>
      <c r="AF277" s="9170"/>
      <c r="AG277" s="9170"/>
      <c r="AH277" s="9170"/>
      <c r="AI277" s="9170"/>
      <c r="AJ277" s="9170"/>
      <c r="AK277" s="9170"/>
      <c r="AL277" s="9171"/>
      <c r="AM277" s="8636" t="s">
        <v>362</v>
      </c>
      <c r="AN277" s="8636" t="s">
        <v>361</v>
      </c>
      <c r="AO277" s="8636" t="s">
        <v>2957</v>
      </c>
      <c r="AP277" s="8636" t="s">
        <v>2615</v>
      </c>
      <c r="AQ277" s="4291"/>
      <c r="AR277" s="4291"/>
      <c r="AS277" s="4291"/>
      <c r="AT277" s="4291"/>
      <c r="AU277" s="4291"/>
      <c r="AV277" s="4291"/>
      <c r="AW277" s="4291"/>
      <c r="AX277" s="4291"/>
      <c r="AY277" s="6391"/>
      <c r="AZ277" s="6391"/>
      <c r="BB277" s="4264"/>
      <c r="BC277" s="4264"/>
    </row>
    <row r="278" spans="1:131" ht="16.350000000000001" customHeight="1" x14ac:dyDescent="0.25">
      <c r="A278" s="7280"/>
      <c r="B278" s="9124"/>
      <c r="C278" s="9247"/>
      <c r="D278" s="9085"/>
      <c r="E278" s="9086"/>
      <c r="F278" s="9087"/>
      <c r="G278" s="9139" t="s">
        <v>54</v>
      </c>
      <c r="H278" s="9139"/>
      <c r="I278" s="9139" t="s">
        <v>79</v>
      </c>
      <c r="J278" s="9139"/>
      <c r="K278" s="9139" t="s">
        <v>80</v>
      </c>
      <c r="L278" s="9139"/>
      <c r="M278" s="9220" t="s">
        <v>81</v>
      </c>
      <c r="N278" s="9221"/>
      <c r="O278" s="9111" t="s">
        <v>115</v>
      </c>
      <c r="P278" s="9111"/>
      <c r="Q278" s="9111" t="s">
        <v>116</v>
      </c>
      <c r="R278" s="9111"/>
      <c r="S278" s="9111" t="s">
        <v>117</v>
      </c>
      <c r="T278" s="9111"/>
      <c r="U278" s="9111" t="s">
        <v>118</v>
      </c>
      <c r="V278" s="9111"/>
      <c r="W278" s="9111" t="s">
        <v>119</v>
      </c>
      <c r="X278" s="9111"/>
      <c r="Y278" s="9111" t="s">
        <v>120</v>
      </c>
      <c r="Z278" s="9111"/>
      <c r="AA278" s="9111" t="s">
        <v>1414</v>
      </c>
      <c r="AB278" s="9111"/>
      <c r="AC278" s="9111" t="s">
        <v>1406</v>
      </c>
      <c r="AD278" s="9111"/>
      <c r="AE278" s="9111" t="s">
        <v>1397</v>
      </c>
      <c r="AF278" s="9111"/>
      <c r="AG278" s="9111" t="s">
        <v>1396</v>
      </c>
      <c r="AH278" s="9111"/>
      <c r="AI278" s="9111" t="s">
        <v>1395</v>
      </c>
      <c r="AJ278" s="9111"/>
      <c r="AK278" s="9111" t="s">
        <v>1405</v>
      </c>
      <c r="AL278" s="9222"/>
      <c r="AM278" s="9116"/>
      <c r="AN278" s="9116"/>
      <c r="AO278" s="9116"/>
      <c r="AP278" s="9116"/>
      <c r="AQ278" s="4291"/>
      <c r="AR278" s="4291"/>
      <c r="AS278" s="4291"/>
      <c r="AT278" s="4291"/>
      <c r="AU278" s="4291"/>
      <c r="AV278" s="4291"/>
      <c r="AW278" s="4291"/>
      <c r="AX278" s="4291"/>
      <c r="AY278" s="6391"/>
      <c r="AZ278" s="6391"/>
      <c r="BB278" s="4264"/>
      <c r="BC278" s="4264"/>
    </row>
    <row r="279" spans="1:131" ht="33" customHeight="1" x14ac:dyDescent="0.25">
      <c r="A279" s="7280"/>
      <c r="B279" s="9125"/>
      <c r="C279" s="9127"/>
      <c r="D279" s="6616" t="s">
        <v>42</v>
      </c>
      <c r="E279" s="6617" t="s">
        <v>17</v>
      </c>
      <c r="F279" s="5840" t="s">
        <v>18</v>
      </c>
      <c r="G279" s="6618" t="s">
        <v>17</v>
      </c>
      <c r="H279" s="6619" t="s">
        <v>18</v>
      </c>
      <c r="I279" s="6618" t="s">
        <v>17</v>
      </c>
      <c r="J279" s="6619" t="s">
        <v>18</v>
      </c>
      <c r="K279" s="6618" t="s">
        <v>17</v>
      </c>
      <c r="L279" s="6619" t="s">
        <v>18</v>
      </c>
      <c r="M279" s="6618" t="s">
        <v>17</v>
      </c>
      <c r="N279" s="6619" t="s">
        <v>18</v>
      </c>
      <c r="O279" s="6618" t="s">
        <v>17</v>
      </c>
      <c r="P279" s="6619" t="s">
        <v>18</v>
      </c>
      <c r="Q279" s="6618" t="s">
        <v>17</v>
      </c>
      <c r="R279" s="6619" t="s">
        <v>18</v>
      </c>
      <c r="S279" s="6618" t="s">
        <v>17</v>
      </c>
      <c r="T279" s="6619" t="s">
        <v>18</v>
      </c>
      <c r="U279" s="6620" t="s">
        <v>17</v>
      </c>
      <c r="V279" s="6620" t="s">
        <v>18</v>
      </c>
      <c r="W279" s="6621" t="s">
        <v>17</v>
      </c>
      <c r="X279" s="6619" t="s">
        <v>18</v>
      </c>
      <c r="Y279" s="6618" t="s">
        <v>17</v>
      </c>
      <c r="Z279" s="6619" t="s">
        <v>18</v>
      </c>
      <c r="AA279" s="6618" t="s">
        <v>17</v>
      </c>
      <c r="AB279" s="6619" t="s">
        <v>18</v>
      </c>
      <c r="AC279" s="6618" t="s">
        <v>17</v>
      </c>
      <c r="AD279" s="6619" t="s">
        <v>18</v>
      </c>
      <c r="AE279" s="6618" t="s">
        <v>17</v>
      </c>
      <c r="AF279" s="6619" t="s">
        <v>18</v>
      </c>
      <c r="AG279" s="6618" t="s">
        <v>17</v>
      </c>
      <c r="AH279" s="6619" t="s">
        <v>18</v>
      </c>
      <c r="AI279" s="6618" t="s">
        <v>17</v>
      </c>
      <c r="AJ279" s="6619" t="s">
        <v>18</v>
      </c>
      <c r="AK279" s="6618" t="s">
        <v>17</v>
      </c>
      <c r="AL279" s="6622" t="s">
        <v>18</v>
      </c>
      <c r="AM279" s="9156"/>
      <c r="AN279" s="9156"/>
      <c r="AO279" s="9156"/>
      <c r="AP279" s="9156"/>
      <c r="AQ279" s="4291"/>
      <c r="AR279" s="4291"/>
      <c r="AS279" s="4291"/>
      <c r="AT279" s="4291"/>
      <c r="AU279" s="4291"/>
      <c r="AV279" s="4291"/>
      <c r="AW279" s="4291"/>
      <c r="AX279" s="4291"/>
      <c r="AY279" s="6391"/>
      <c r="AZ279" s="6391"/>
      <c r="BB279" s="4264"/>
      <c r="BC279" s="4264"/>
    </row>
    <row r="280" spans="1:131" ht="16.350000000000001" customHeight="1" x14ac:dyDescent="0.25">
      <c r="A280" s="7257" t="s">
        <v>4560</v>
      </c>
      <c r="B280" s="9126" t="s">
        <v>741</v>
      </c>
      <c r="C280" s="6623" t="s">
        <v>29</v>
      </c>
      <c r="D280" s="5882" t="s">
        <v>5369</v>
      </c>
      <c r="E280" s="6624" t="s">
        <v>5370</v>
      </c>
      <c r="F280" s="6435" t="s">
        <v>5371</v>
      </c>
      <c r="G280" s="3897" t="s">
        <v>5372</v>
      </c>
      <c r="H280" s="3838" t="s">
        <v>5373</v>
      </c>
      <c r="I280" s="3897" t="s">
        <v>5374</v>
      </c>
      <c r="J280" s="3838" t="s">
        <v>5375</v>
      </c>
      <c r="K280" s="3897" t="s">
        <v>5376</v>
      </c>
      <c r="L280" s="3838" t="s">
        <v>5377</v>
      </c>
      <c r="M280" s="3897" t="s">
        <v>5378</v>
      </c>
      <c r="N280" s="3838" t="s">
        <v>5379</v>
      </c>
      <c r="O280" s="3897" t="s">
        <v>5380</v>
      </c>
      <c r="P280" s="3838" t="s">
        <v>5381</v>
      </c>
      <c r="Q280" s="3897" t="s">
        <v>5382</v>
      </c>
      <c r="R280" s="3838" t="s">
        <v>5383</v>
      </c>
      <c r="S280" s="3897" t="s">
        <v>5384</v>
      </c>
      <c r="T280" s="3838" t="s">
        <v>5385</v>
      </c>
      <c r="U280" s="3897" t="s">
        <v>5386</v>
      </c>
      <c r="V280" s="3838" t="s">
        <v>5387</v>
      </c>
      <c r="W280" s="3897" t="s">
        <v>5388</v>
      </c>
      <c r="X280" s="3838" t="s">
        <v>5389</v>
      </c>
      <c r="Y280" s="3897" t="s">
        <v>5390</v>
      </c>
      <c r="Z280" s="3838" t="s">
        <v>5391</v>
      </c>
      <c r="AA280" s="3897" t="s">
        <v>5392</v>
      </c>
      <c r="AB280" s="3838" t="s">
        <v>5393</v>
      </c>
      <c r="AC280" s="3897" t="s">
        <v>5394</v>
      </c>
      <c r="AD280" s="3838" t="s">
        <v>5395</v>
      </c>
      <c r="AE280" s="3897" t="s">
        <v>5396</v>
      </c>
      <c r="AF280" s="3838" t="s">
        <v>5397</v>
      </c>
      <c r="AG280" s="3897" t="s">
        <v>5398</v>
      </c>
      <c r="AH280" s="3838" t="s">
        <v>5399</v>
      </c>
      <c r="AI280" s="3897" t="s">
        <v>5400</v>
      </c>
      <c r="AJ280" s="3838" t="s">
        <v>5401</v>
      </c>
      <c r="AK280" s="3897" t="s">
        <v>5402</v>
      </c>
      <c r="AL280" s="6625" t="s">
        <v>5403</v>
      </c>
      <c r="AM280" s="3838" t="s">
        <v>5404</v>
      </c>
      <c r="AN280" s="3838" t="s">
        <v>5405</v>
      </c>
      <c r="AO280" s="3838" t="s">
        <v>5406</v>
      </c>
      <c r="AP280" s="3838"/>
      <c r="AQ280" s="4260"/>
      <c r="AR280" s="4291"/>
      <c r="AS280" s="4291"/>
      <c r="AT280" s="4291"/>
      <c r="AU280" s="4291"/>
      <c r="AV280" s="4291"/>
      <c r="AW280" s="4291"/>
      <c r="AX280" s="4291"/>
      <c r="AY280" s="6391"/>
      <c r="AZ280" s="6391"/>
      <c r="BB280" s="4264"/>
      <c r="BC280" s="4264"/>
      <c r="DB280" s="5899">
        <v>0</v>
      </c>
      <c r="DC280" s="5899">
        <v>0</v>
      </c>
      <c r="DD280" s="5899">
        <v>0</v>
      </c>
      <c r="DE280" s="5899">
        <v>0</v>
      </c>
      <c r="DF280" s="5899">
        <v>0</v>
      </c>
      <c r="DG280" s="5899">
        <v>0</v>
      </c>
      <c r="DH280" s="5899">
        <v>0</v>
      </c>
      <c r="DI280" s="5899">
        <v>0</v>
      </c>
    </row>
    <row r="281" spans="1:131" ht="16.5" customHeight="1" x14ac:dyDescent="0.25">
      <c r="A281" s="7257" t="s">
        <v>4561</v>
      </c>
      <c r="B281" s="9127"/>
      <c r="C281" s="6247" t="s">
        <v>73</v>
      </c>
      <c r="D281" s="6011" t="s">
        <v>5369</v>
      </c>
      <c r="E281" s="5863" t="s">
        <v>5370</v>
      </c>
      <c r="F281" s="6012" t="s">
        <v>5371</v>
      </c>
      <c r="G281" s="3979" t="s">
        <v>5372</v>
      </c>
      <c r="H281" s="3981" t="s">
        <v>5373</v>
      </c>
      <c r="I281" s="3979" t="s">
        <v>5374</v>
      </c>
      <c r="J281" s="3981" t="s">
        <v>5375</v>
      </c>
      <c r="K281" s="3979" t="s">
        <v>5376</v>
      </c>
      <c r="L281" s="3981" t="s">
        <v>5377</v>
      </c>
      <c r="M281" s="3979" t="s">
        <v>5378</v>
      </c>
      <c r="N281" s="3981" t="s">
        <v>5379</v>
      </c>
      <c r="O281" s="3979" t="s">
        <v>5380</v>
      </c>
      <c r="P281" s="3981" t="s">
        <v>5381</v>
      </c>
      <c r="Q281" s="3979" t="s">
        <v>5382</v>
      </c>
      <c r="R281" s="3981" t="s">
        <v>5383</v>
      </c>
      <c r="S281" s="3979" t="s">
        <v>5384</v>
      </c>
      <c r="T281" s="3981" t="s">
        <v>5385</v>
      </c>
      <c r="U281" s="3979" t="s">
        <v>5386</v>
      </c>
      <c r="V281" s="3981" t="s">
        <v>5387</v>
      </c>
      <c r="W281" s="3979" t="s">
        <v>5388</v>
      </c>
      <c r="X281" s="3981" t="s">
        <v>5389</v>
      </c>
      <c r="Y281" s="3979" t="s">
        <v>5390</v>
      </c>
      <c r="Z281" s="3981" t="s">
        <v>5391</v>
      </c>
      <c r="AA281" s="3979" t="s">
        <v>5392</v>
      </c>
      <c r="AB281" s="3981" t="s">
        <v>5393</v>
      </c>
      <c r="AC281" s="3979" t="s">
        <v>5394</v>
      </c>
      <c r="AD281" s="3981" t="s">
        <v>5395</v>
      </c>
      <c r="AE281" s="3979" t="s">
        <v>5396</v>
      </c>
      <c r="AF281" s="3981" t="s">
        <v>5397</v>
      </c>
      <c r="AG281" s="3979" t="s">
        <v>5398</v>
      </c>
      <c r="AH281" s="3981" t="s">
        <v>5399</v>
      </c>
      <c r="AI281" s="3979" t="s">
        <v>5400</v>
      </c>
      <c r="AJ281" s="3981" t="s">
        <v>5401</v>
      </c>
      <c r="AK281" s="3979" t="s">
        <v>5402</v>
      </c>
      <c r="AL281" s="4934" t="s">
        <v>5403</v>
      </c>
      <c r="AM281" s="3981" t="s">
        <v>5404</v>
      </c>
      <c r="AN281" s="3981" t="s">
        <v>5405</v>
      </c>
      <c r="AO281" s="3981" t="s">
        <v>5406</v>
      </c>
      <c r="AP281" s="3981" t="s">
        <v>5407</v>
      </c>
      <c r="AQ281" s="4260"/>
      <c r="AR281" s="5168"/>
      <c r="AS281" s="5168"/>
      <c r="AT281" s="5168"/>
      <c r="AU281" s="5168"/>
      <c r="AV281" s="5168"/>
      <c r="AW281" s="5168"/>
      <c r="AX281" s="5168"/>
      <c r="BB281" s="4264"/>
      <c r="BC281" s="4264"/>
      <c r="DC281" s="5899">
        <v>0</v>
      </c>
      <c r="DE281" s="5899">
        <v>0</v>
      </c>
      <c r="DG281" s="5899">
        <v>0</v>
      </c>
      <c r="DI281" s="5899">
        <v>0</v>
      </c>
    </row>
    <row r="282" spans="1:131" ht="18" customHeight="1" x14ac:dyDescent="0.25">
      <c r="A282" s="7257" t="s">
        <v>4562</v>
      </c>
      <c r="B282" s="9126" t="s">
        <v>740</v>
      </c>
      <c r="C282" s="6627" t="s">
        <v>29</v>
      </c>
      <c r="D282" s="6628" t="s">
        <v>5369</v>
      </c>
      <c r="E282" s="6629" t="s">
        <v>5370</v>
      </c>
      <c r="F282" s="6457" t="s">
        <v>5371</v>
      </c>
      <c r="G282" s="3986" t="s">
        <v>5372</v>
      </c>
      <c r="H282" s="3963" t="s">
        <v>5373</v>
      </c>
      <c r="I282" s="3986" t="s">
        <v>5374</v>
      </c>
      <c r="J282" s="3963" t="s">
        <v>5375</v>
      </c>
      <c r="K282" s="3986" t="s">
        <v>5376</v>
      </c>
      <c r="L282" s="3963" t="s">
        <v>5377</v>
      </c>
      <c r="M282" s="3986" t="s">
        <v>5378</v>
      </c>
      <c r="N282" s="3963" t="s">
        <v>5379</v>
      </c>
      <c r="O282" s="3986" t="s">
        <v>5380</v>
      </c>
      <c r="P282" s="3963" t="s">
        <v>5381</v>
      </c>
      <c r="Q282" s="3986" t="s">
        <v>5382</v>
      </c>
      <c r="R282" s="3963" t="s">
        <v>5383</v>
      </c>
      <c r="S282" s="3986" t="s">
        <v>5384</v>
      </c>
      <c r="T282" s="3963" t="s">
        <v>5385</v>
      </c>
      <c r="U282" s="3986" t="s">
        <v>5386</v>
      </c>
      <c r="V282" s="3963" t="s">
        <v>5387</v>
      </c>
      <c r="W282" s="3986" t="s">
        <v>5388</v>
      </c>
      <c r="X282" s="3963" t="s">
        <v>5389</v>
      </c>
      <c r="Y282" s="3986" t="s">
        <v>5390</v>
      </c>
      <c r="Z282" s="3963" t="s">
        <v>5391</v>
      </c>
      <c r="AA282" s="3986" t="s">
        <v>5392</v>
      </c>
      <c r="AB282" s="3963" t="s">
        <v>5393</v>
      </c>
      <c r="AC282" s="3986" t="s">
        <v>5394</v>
      </c>
      <c r="AD282" s="3963" t="s">
        <v>5395</v>
      </c>
      <c r="AE282" s="3986" t="s">
        <v>5396</v>
      </c>
      <c r="AF282" s="3963" t="s">
        <v>5397</v>
      </c>
      <c r="AG282" s="3986" t="s">
        <v>5398</v>
      </c>
      <c r="AH282" s="3963" t="s">
        <v>5399</v>
      </c>
      <c r="AI282" s="3986" t="s">
        <v>5400</v>
      </c>
      <c r="AJ282" s="3963" t="s">
        <v>5401</v>
      </c>
      <c r="AK282" s="3986" t="s">
        <v>5402</v>
      </c>
      <c r="AL282" s="4919" t="s">
        <v>5403</v>
      </c>
      <c r="AM282" s="3963" t="s">
        <v>5404</v>
      </c>
      <c r="AN282" s="3963" t="s">
        <v>5405</v>
      </c>
      <c r="AO282" s="3963" t="s">
        <v>5406</v>
      </c>
      <c r="AP282" s="3963" t="s">
        <v>5407</v>
      </c>
      <c r="AQ282" s="4260"/>
      <c r="AX282" s="6630"/>
      <c r="AY282" s="6184"/>
    </row>
    <row r="283" spans="1:131" ht="17.25" customHeight="1" x14ac:dyDescent="0.25">
      <c r="A283" s="7257" t="s">
        <v>4563</v>
      </c>
      <c r="B283" s="9127"/>
      <c r="C283" s="6247" t="s">
        <v>73</v>
      </c>
      <c r="D283" s="6011" t="s">
        <v>5369</v>
      </c>
      <c r="E283" s="5863" t="s">
        <v>5370</v>
      </c>
      <c r="F283" s="6012" t="s">
        <v>5371</v>
      </c>
      <c r="G283" s="3979" t="s">
        <v>5372</v>
      </c>
      <c r="H283" s="3981" t="s">
        <v>5373</v>
      </c>
      <c r="I283" s="3979" t="s">
        <v>5374</v>
      </c>
      <c r="J283" s="3981" t="s">
        <v>5375</v>
      </c>
      <c r="K283" s="3979" t="s">
        <v>5376</v>
      </c>
      <c r="L283" s="3981" t="s">
        <v>5377</v>
      </c>
      <c r="M283" s="3979" t="s">
        <v>5378</v>
      </c>
      <c r="N283" s="3981" t="s">
        <v>5379</v>
      </c>
      <c r="O283" s="3979" t="s">
        <v>5380</v>
      </c>
      <c r="P283" s="3981" t="s">
        <v>5381</v>
      </c>
      <c r="Q283" s="3979" t="s">
        <v>5382</v>
      </c>
      <c r="R283" s="3981" t="s">
        <v>5383</v>
      </c>
      <c r="S283" s="3979" t="s">
        <v>5384</v>
      </c>
      <c r="T283" s="3981" t="s">
        <v>5385</v>
      </c>
      <c r="U283" s="3979" t="s">
        <v>5386</v>
      </c>
      <c r="V283" s="3981" t="s">
        <v>5387</v>
      </c>
      <c r="W283" s="3979" t="s">
        <v>5388</v>
      </c>
      <c r="X283" s="3981" t="s">
        <v>5389</v>
      </c>
      <c r="Y283" s="3979" t="s">
        <v>5390</v>
      </c>
      <c r="Z283" s="3981" t="s">
        <v>5391</v>
      </c>
      <c r="AA283" s="3979" t="s">
        <v>5392</v>
      </c>
      <c r="AB283" s="3981" t="s">
        <v>5393</v>
      </c>
      <c r="AC283" s="3979" t="s">
        <v>5394</v>
      </c>
      <c r="AD283" s="3981" t="s">
        <v>5395</v>
      </c>
      <c r="AE283" s="3979" t="s">
        <v>5396</v>
      </c>
      <c r="AF283" s="3981" t="s">
        <v>5397</v>
      </c>
      <c r="AG283" s="3979" t="s">
        <v>5398</v>
      </c>
      <c r="AH283" s="3981" t="s">
        <v>5399</v>
      </c>
      <c r="AI283" s="3979" t="s">
        <v>5400</v>
      </c>
      <c r="AJ283" s="3981" t="s">
        <v>5401</v>
      </c>
      <c r="AK283" s="3979" t="s">
        <v>5402</v>
      </c>
      <c r="AL283" s="4934" t="s">
        <v>5403</v>
      </c>
      <c r="AM283" s="3981" t="s">
        <v>5404</v>
      </c>
      <c r="AN283" s="3981" t="s">
        <v>5405</v>
      </c>
      <c r="AO283" s="3981" t="s">
        <v>5406</v>
      </c>
      <c r="AP283" s="3981" t="s">
        <v>5407</v>
      </c>
      <c r="AQ283" s="4260"/>
      <c r="AX283" s="6631"/>
      <c r="AY283" s="6184"/>
      <c r="BB283" s="4264"/>
      <c r="BC283" s="4264"/>
      <c r="BD283" s="4264"/>
      <c r="BE283" s="4264"/>
      <c r="BF283" s="4264"/>
      <c r="BG283" s="4264"/>
      <c r="BH283" s="4264"/>
      <c r="BI283" s="4264"/>
      <c r="BJ283" s="4264"/>
      <c r="BK283" s="4264"/>
      <c r="DC283" s="5899">
        <v>0</v>
      </c>
      <c r="DE283" s="5899">
        <v>0</v>
      </c>
      <c r="DG283" s="5899">
        <v>0</v>
      </c>
      <c r="DI283" s="5899">
        <v>0</v>
      </c>
    </row>
    <row r="284" spans="1:131" ht="21.75" customHeight="1" x14ac:dyDescent="0.25">
      <c r="B284" s="4469" t="s">
        <v>3163</v>
      </c>
      <c r="C284" s="6302"/>
      <c r="AW284" s="6631"/>
      <c r="AX284" s="6352"/>
      <c r="BB284" s="4264"/>
      <c r="BC284" s="4264"/>
      <c r="BD284" s="4264"/>
      <c r="BE284" s="4264"/>
      <c r="BF284" s="4264"/>
      <c r="BG284" s="4264"/>
      <c r="BH284" s="4264"/>
      <c r="BI284" s="4264"/>
      <c r="BJ284" s="4264"/>
    </row>
    <row r="285" spans="1:131" ht="16.350000000000001" customHeight="1" x14ac:dyDescent="0.25">
      <c r="B285" s="9090" t="s">
        <v>739</v>
      </c>
      <c r="C285" s="9091"/>
      <c r="D285" s="9168" t="s">
        <v>39</v>
      </c>
      <c r="E285" s="9168"/>
      <c r="F285" s="9168"/>
      <c r="G285" s="9261" t="s">
        <v>738</v>
      </c>
      <c r="H285" s="9262"/>
      <c r="I285" s="9262"/>
      <c r="J285" s="9262"/>
      <c r="K285" s="9262"/>
      <c r="L285" s="9262"/>
      <c r="M285" s="9262"/>
      <c r="N285" s="9262"/>
      <c r="O285" s="9262"/>
      <c r="P285" s="9262"/>
      <c r="Q285" s="9262"/>
      <c r="R285" s="9262"/>
      <c r="S285" s="9262"/>
      <c r="T285" s="9262"/>
      <c r="U285" s="9262"/>
      <c r="V285" s="9262"/>
      <c r="W285" s="9262"/>
      <c r="X285" s="9262"/>
      <c r="Y285" s="9262"/>
      <c r="Z285" s="9262"/>
      <c r="AA285" s="9262"/>
      <c r="AB285" s="9262"/>
      <c r="AC285" s="9262"/>
      <c r="AD285" s="9262"/>
      <c r="AE285" s="9262"/>
      <c r="AF285" s="9262"/>
      <c r="AG285" s="9262"/>
      <c r="AH285" s="9262"/>
      <c r="AI285" s="9262"/>
      <c r="AJ285" s="9262"/>
      <c r="AK285" s="9262"/>
      <c r="AL285" s="9262"/>
      <c r="AM285" s="9262"/>
      <c r="AN285" s="9263"/>
      <c r="AO285" s="9219" t="s">
        <v>73</v>
      </c>
      <c r="AP285" s="9219"/>
      <c r="AQ285" s="9150"/>
      <c r="AR285" s="9207" t="s">
        <v>713</v>
      </c>
      <c r="AS285" s="9208"/>
      <c r="AT285" s="9079" t="s">
        <v>362</v>
      </c>
      <c r="AU285" s="9079" t="s">
        <v>361</v>
      </c>
      <c r="AV285" s="9174" t="s">
        <v>2956</v>
      </c>
      <c r="AW285" s="9174" t="s">
        <v>2615</v>
      </c>
      <c r="AX285" s="6352"/>
      <c r="BB285" s="4264"/>
      <c r="BC285" s="4264"/>
      <c r="BD285" s="4264"/>
      <c r="BE285" s="4264"/>
      <c r="BF285" s="4264"/>
      <c r="BG285" s="4264"/>
      <c r="BH285" s="4264"/>
      <c r="BI285" s="4264"/>
      <c r="BJ285" s="4264"/>
      <c r="DJ285" s="5899">
        <v>0</v>
      </c>
    </row>
    <row r="286" spans="1:131" ht="16.350000000000001" customHeight="1" x14ac:dyDescent="0.25">
      <c r="B286" s="9122"/>
      <c r="C286" s="9116"/>
      <c r="D286" s="9168"/>
      <c r="E286" s="9168"/>
      <c r="F286" s="9168"/>
      <c r="G286" s="9139" t="s">
        <v>399</v>
      </c>
      <c r="H286" s="9139"/>
      <c r="I286" s="9139" t="s">
        <v>54</v>
      </c>
      <c r="J286" s="9139"/>
      <c r="K286" s="9139" t="s">
        <v>79</v>
      </c>
      <c r="L286" s="9139"/>
      <c r="M286" s="9139" t="s">
        <v>80</v>
      </c>
      <c r="N286" s="9139"/>
      <c r="O286" s="9220" t="s">
        <v>81</v>
      </c>
      <c r="P286" s="9221"/>
      <c r="Q286" s="9111" t="s">
        <v>115</v>
      </c>
      <c r="R286" s="9111"/>
      <c r="S286" s="9111" t="s">
        <v>116</v>
      </c>
      <c r="T286" s="9111"/>
      <c r="U286" s="9111" t="s">
        <v>117</v>
      </c>
      <c r="V286" s="9111"/>
      <c r="W286" s="9111" t="s">
        <v>118</v>
      </c>
      <c r="X286" s="9111"/>
      <c r="Y286" s="9111" t="s">
        <v>119</v>
      </c>
      <c r="Z286" s="9111"/>
      <c r="AA286" s="9111" t="s">
        <v>120</v>
      </c>
      <c r="AB286" s="9111"/>
      <c r="AC286" s="9111" t="s">
        <v>1414</v>
      </c>
      <c r="AD286" s="9111"/>
      <c r="AE286" s="9111" t="s">
        <v>1406</v>
      </c>
      <c r="AF286" s="9111"/>
      <c r="AG286" s="9111" t="s">
        <v>1397</v>
      </c>
      <c r="AH286" s="9111"/>
      <c r="AI286" s="9111" t="s">
        <v>1396</v>
      </c>
      <c r="AJ286" s="9111"/>
      <c r="AK286" s="9111" t="s">
        <v>1395</v>
      </c>
      <c r="AL286" s="9111"/>
      <c r="AM286" s="9111" t="s">
        <v>1405</v>
      </c>
      <c r="AN286" s="9222"/>
      <c r="AO286" s="9223" t="s">
        <v>44</v>
      </c>
      <c r="AP286" s="9223" t="s">
        <v>737</v>
      </c>
      <c r="AQ286" s="9174" t="s">
        <v>736</v>
      </c>
      <c r="AR286" s="9209"/>
      <c r="AS286" s="9210"/>
      <c r="AT286" s="9133"/>
      <c r="AU286" s="9133"/>
      <c r="AV286" s="9182"/>
      <c r="AW286" s="9182"/>
      <c r="AX286" s="4291"/>
      <c r="AY286" s="6391"/>
      <c r="AZ286" s="6391"/>
      <c r="BA286" s="6391"/>
      <c r="BB286" s="4291"/>
      <c r="BC286" s="4291"/>
      <c r="BD286" s="4291"/>
      <c r="BE286" s="4291"/>
      <c r="BF286" s="4291"/>
      <c r="BG286" s="4291"/>
      <c r="BH286" s="4264"/>
      <c r="BI286" s="4264"/>
      <c r="BJ286" s="4264"/>
    </row>
    <row r="287" spans="1:131" ht="30" customHeight="1" x14ac:dyDescent="0.25">
      <c r="B287" s="9092"/>
      <c r="C287" s="9093"/>
      <c r="D287" s="6181" t="s">
        <v>42</v>
      </c>
      <c r="E287" s="5368" t="s">
        <v>17</v>
      </c>
      <c r="F287" s="5510" t="s">
        <v>18</v>
      </c>
      <c r="G287" s="6181" t="s">
        <v>708</v>
      </c>
      <c r="H287" s="6307" t="s">
        <v>18</v>
      </c>
      <c r="I287" s="6181" t="s">
        <v>708</v>
      </c>
      <c r="J287" s="6307" t="s">
        <v>18</v>
      </c>
      <c r="K287" s="6181" t="s">
        <v>708</v>
      </c>
      <c r="L287" s="6307" t="s">
        <v>18</v>
      </c>
      <c r="M287" s="6181" t="s">
        <v>708</v>
      </c>
      <c r="N287" s="6307" t="s">
        <v>18</v>
      </c>
      <c r="O287" s="6181" t="s">
        <v>708</v>
      </c>
      <c r="P287" s="6307" t="s">
        <v>18</v>
      </c>
      <c r="Q287" s="6181" t="s">
        <v>708</v>
      </c>
      <c r="R287" s="6307" t="s">
        <v>18</v>
      </c>
      <c r="S287" s="6181" t="s">
        <v>708</v>
      </c>
      <c r="T287" s="6307" t="s">
        <v>18</v>
      </c>
      <c r="U287" s="6181" t="s">
        <v>708</v>
      </c>
      <c r="V287" s="6307" t="s">
        <v>18</v>
      </c>
      <c r="W287" s="6181" t="s">
        <v>708</v>
      </c>
      <c r="X287" s="6307" t="s">
        <v>18</v>
      </c>
      <c r="Y287" s="6181" t="s">
        <v>708</v>
      </c>
      <c r="Z287" s="6307" t="s">
        <v>18</v>
      </c>
      <c r="AA287" s="6181" t="s">
        <v>708</v>
      </c>
      <c r="AB287" s="6307" t="s">
        <v>18</v>
      </c>
      <c r="AC287" s="6181" t="s">
        <v>708</v>
      </c>
      <c r="AD287" s="6307" t="s">
        <v>18</v>
      </c>
      <c r="AE287" s="6181" t="s">
        <v>708</v>
      </c>
      <c r="AF287" s="6307" t="s">
        <v>18</v>
      </c>
      <c r="AG287" s="6181" t="s">
        <v>708</v>
      </c>
      <c r="AH287" s="6307" t="s">
        <v>18</v>
      </c>
      <c r="AI287" s="6181" t="s">
        <v>708</v>
      </c>
      <c r="AJ287" s="6307" t="s">
        <v>18</v>
      </c>
      <c r="AK287" s="6181" t="s">
        <v>708</v>
      </c>
      <c r="AL287" s="6307" t="s">
        <v>18</v>
      </c>
      <c r="AM287" s="6181" t="s">
        <v>708</v>
      </c>
      <c r="AN287" s="6632" t="s">
        <v>18</v>
      </c>
      <c r="AO287" s="9224"/>
      <c r="AP287" s="9224"/>
      <c r="AQ287" s="9087"/>
      <c r="AR287" s="6181" t="s">
        <v>358</v>
      </c>
      <c r="AS287" s="6095" t="s">
        <v>359</v>
      </c>
      <c r="AT287" s="9080"/>
      <c r="AU287" s="9080"/>
      <c r="AV287" s="9087"/>
      <c r="AW287" s="9087"/>
      <c r="AX287" s="4291"/>
      <c r="AY287" s="6391"/>
      <c r="AZ287" s="6391"/>
      <c r="BA287" s="6391"/>
      <c r="BB287" s="4291"/>
      <c r="BC287" s="4291"/>
      <c r="BD287" s="4291"/>
      <c r="BE287" s="4291"/>
      <c r="BF287" s="4291"/>
      <c r="BG287" s="4291"/>
      <c r="BH287" s="4264"/>
      <c r="BI287" s="4264"/>
      <c r="BJ287" s="4264"/>
    </row>
    <row r="288" spans="1:131" ht="23.25" customHeight="1" x14ac:dyDescent="0.25">
      <c r="A288" s="7290"/>
      <c r="B288" s="9120" t="s">
        <v>735</v>
      </c>
      <c r="C288" s="9121"/>
      <c r="D288" s="6487" t="s">
        <v>5369</v>
      </c>
      <c r="E288" s="6488" t="s">
        <v>5370</v>
      </c>
      <c r="F288" s="6507" t="s">
        <v>5371</v>
      </c>
      <c r="G288" s="6487" t="s">
        <v>5372</v>
      </c>
      <c r="H288" s="6633" t="s">
        <v>5373</v>
      </c>
      <c r="I288" s="6487" t="s">
        <v>5374</v>
      </c>
      <c r="J288" s="6633" t="s">
        <v>5375</v>
      </c>
      <c r="K288" s="6487" t="s">
        <v>5376</v>
      </c>
      <c r="L288" s="6633" t="s">
        <v>5377</v>
      </c>
      <c r="M288" s="6487" t="s">
        <v>5378</v>
      </c>
      <c r="N288" s="6633" t="s">
        <v>5379</v>
      </c>
      <c r="O288" s="6487" t="s">
        <v>5380</v>
      </c>
      <c r="P288" s="6633" t="s">
        <v>5381</v>
      </c>
      <c r="Q288" s="6487" t="s">
        <v>5382</v>
      </c>
      <c r="R288" s="6633" t="s">
        <v>5383</v>
      </c>
      <c r="S288" s="6487" t="s">
        <v>5384</v>
      </c>
      <c r="T288" s="6633" t="s">
        <v>5385</v>
      </c>
      <c r="U288" s="6487" t="s">
        <v>5386</v>
      </c>
      <c r="V288" s="6633" t="s">
        <v>5387</v>
      </c>
      <c r="W288" s="6487" t="s">
        <v>5388</v>
      </c>
      <c r="X288" s="6633" t="s">
        <v>5389</v>
      </c>
      <c r="Y288" s="6487" t="s">
        <v>5390</v>
      </c>
      <c r="Z288" s="6633" t="s">
        <v>5391</v>
      </c>
      <c r="AA288" s="6487" t="s">
        <v>5392</v>
      </c>
      <c r="AB288" s="6633" t="s">
        <v>5393</v>
      </c>
      <c r="AC288" s="6487" t="s">
        <v>5394</v>
      </c>
      <c r="AD288" s="6633" t="s">
        <v>5395</v>
      </c>
      <c r="AE288" s="6487" t="s">
        <v>5396</v>
      </c>
      <c r="AF288" s="6633" t="s">
        <v>5397</v>
      </c>
      <c r="AG288" s="6487" t="s">
        <v>5398</v>
      </c>
      <c r="AH288" s="6633" t="s">
        <v>5399</v>
      </c>
      <c r="AI288" s="6487" t="s">
        <v>5400</v>
      </c>
      <c r="AJ288" s="6633" t="s">
        <v>5401</v>
      </c>
      <c r="AK288" s="6487" t="s">
        <v>5402</v>
      </c>
      <c r="AL288" s="6633" t="s">
        <v>5403</v>
      </c>
      <c r="AM288" s="6487" t="s">
        <v>5404</v>
      </c>
      <c r="AN288" s="6634" t="s">
        <v>5405</v>
      </c>
      <c r="AO288" s="6584" t="s">
        <v>5406</v>
      </c>
      <c r="AP288" s="6584" t="s">
        <v>5407</v>
      </c>
      <c r="AQ288" s="6635" t="s">
        <v>5408</v>
      </c>
      <c r="AR288" s="6487" t="s">
        <v>5409</v>
      </c>
      <c r="AS288" s="6635" t="s">
        <v>5410</v>
      </c>
      <c r="AT288" s="5373" t="s">
        <v>5411</v>
      </c>
      <c r="AU288" s="5373" t="s">
        <v>5412</v>
      </c>
      <c r="AV288" s="6507" t="s">
        <v>5413</v>
      </c>
      <c r="AW288" s="6507" t="s">
        <v>5414</v>
      </c>
      <c r="AX288" s="6626"/>
      <c r="AY288" s="6391"/>
      <c r="AZ288" s="6391"/>
      <c r="BA288" s="6391"/>
      <c r="BB288" s="4291"/>
      <c r="BC288" s="4291"/>
      <c r="BD288" s="4291"/>
      <c r="BE288" s="4291"/>
      <c r="BF288" s="4291"/>
      <c r="BG288" s="4291"/>
      <c r="BH288" s="4264"/>
      <c r="BI288" s="4264"/>
      <c r="BJ288" s="4264"/>
      <c r="DI288" s="5899">
        <v>0</v>
      </c>
    </row>
    <row r="289" spans="1:114" ht="16.350000000000001" customHeight="1" x14ac:dyDescent="0.25">
      <c r="A289" s="7278" t="s">
        <v>4564</v>
      </c>
      <c r="B289" s="9211" t="s">
        <v>85</v>
      </c>
      <c r="C289" s="6636" t="s">
        <v>734</v>
      </c>
      <c r="D289" s="6326" t="s">
        <v>5369</v>
      </c>
      <c r="E289" s="7221" t="s">
        <v>5370</v>
      </c>
      <c r="F289" s="6495" t="s">
        <v>5371</v>
      </c>
      <c r="G289" s="7195" t="s">
        <v>5372</v>
      </c>
      <c r="H289" s="7196" t="s">
        <v>5373</v>
      </c>
      <c r="I289" s="7196" t="s">
        <v>5374</v>
      </c>
      <c r="J289" s="7196" t="s">
        <v>5375</v>
      </c>
      <c r="K289" s="7218" t="s">
        <v>5376</v>
      </c>
      <c r="L289" s="6260" t="s">
        <v>5377</v>
      </c>
      <c r="M289" s="7215" t="s">
        <v>5378</v>
      </c>
      <c r="N289" s="6260" t="s">
        <v>5379</v>
      </c>
      <c r="O289" s="7215" t="s">
        <v>5380</v>
      </c>
      <c r="P289" s="6260" t="s">
        <v>5381</v>
      </c>
      <c r="Q289" s="7215" t="s">
        <v>5382</v>
      </c>
      <c r="R289" s="6260" t="s">
        <v>5383</v>
      </c>
      <c r="S289" s="7215" t="s">
        <v>5384</v>
      </c>
      <c r="T289" s="6260" t="s">
        <v>5385</v>
      </c>
      <c r="U289" s="7215" t="s">
        <v>5386</v>
      </c>
      <c r="V289" s="6260" t="s">
        <v>5387</v>
      </c>
      <c r="W289" s="7215" t="s">
        <v>5388</v>
      </c>
      <c r="X289" s="6260" t="s">
        <v>5389</v>
      </c>
      <c r="Y289" s="7215" t="s">
        <v>5390</v>
      </c>
      <c r="Z289" s="6260" t="s">
        <v>5391</v>
      </c>
      <c r="AA289" s="7215" t="s">
        <v>5392</v>
      </c>
      <c r="AB289" s="6260" t="s">
        <v>5393</v>
      </c>
      <c r="AC289" s="7215" t="s">
        <v>5394</v>
      </c>
      <c r="AD289" s="6260" t="s">
        <v>5395</v>
      </c>
      <c r="AE289" s="7195" t="s">
        <v>5396</v>
      </c>
      <c r="AF289" s="7196" t="s">
        <v>5397</v>
      </c>
      <c r="AG289" s="7196" t="s">
        <v>5398</v>
      </c>
      <c r="AH289" s="7196" t="s">
        <v>5399</v>
      </c>
      <c r="AI289" s="7196" t="s">
        <v>5400</v>
      </c>
      <c r="AJ289" s="7196" t="s">
        <v>5401</v>
      </c>
      <c r="AK289" s="7196" t="s">
        <v>5402</v>
      </c>
      <c r="AL289" s="7196" t="s">
        <v>5403</v>
      </c>
      <c r="AM289" s="7196" t="s">
        <v>5404</v>
      </c>
      <c r="AN289" s="7197" t="s">
        <v>5405</v>
      </c>
      <c r="AO289" s="6336" t="s">
        <v>5406</v>
      </c>
      <c r="AP289" s="6590" t="s">
        <v>5407</v>
      </c>
      <c r="AQ289" s="6260" t="s">
        <v>5408</v>
      </c>
      <c r="AR289" s="6400" t="s">
        <v>5409</v>
      </c>
      <c r="AS289" s="6260" t="s">
        <v>5410</v>
      </c>
      <c r="AT289" s="5300" t="s">
        <v>5411</v>
      </c>
      <c r="AU289" s="5300" t="s">
        <v>5412</v>
      </c>
      <c r="AV289" s="6260" t="s">
        <v>5413</v>
      </c>
      <c r="AW289" s="6260" t="s">
        <v>5414</v>
      </c>
      <c r="AX289" s="4260"/>
      <c r="AY289" s="6391"/>
      <c r="AZ289" s="6391"/>
      <c r="BA289" s="6391"/>
      <c r="BB289" s="4291"/>
      <c r="BC289" s="4291"/>
      <c r="BD289" s="4291"/>
      <c r="BE289" s="4291"/>
      <c r="BF289" s="4291"/>
      <c r="BG289" s="4291"/>
      <c r="BH289" s="4264"/>
      <c r="BI289" s="4264"/>
      <c r="BJ289" s="4264"/>
      <c r="CD289" s="6197"/>
      <c r="DC289" s="5899">
        <v>0</v>
      </c>
      <c r="DE289" s="5899">
        <v>0</v>
      </c>
      <c r="DG289" s="5899">
        <v>0</v>
      </c>
      <c r="DI289" s="5899">
        <v>0</v>
      </c>
      <c r="DJ289" s="5899">
        <v>0</v>
      </c>
    </row>
    <row r="290" spans="1:114" ht="16.350000000000001" customHeight="1" x14ac:dyDescent="0.25">
      <c r="A290" s="7278" t="s">
        <v>4565</v>
      </c>
      <c r="B290" s="9055"/>
      <c r="C290" s="6637" t="s">
        <v>733</v>
      </c>
      <c r="D290" s="6326" t="s">
        <v>5369</v>
      </c>
      <c r="E290" s="7222" t="s">
        <v>5370</v>
      </c>
      <c r="F290" s="6514" t="s">
        <v>5371</v>
      </c>
      <c r="G290" s="7198" t="s">
        <v>5372</v>
      </c>
      <c r="H290" s="7199" t="s">
        <v>5373</v>
      </c>
      <c r="I290" s="7199" t="s">
        <v>5374</v>
      </c>
      <c r="J290" s="7199" t="s">
        <v>5375</v>
      </c>
      <c r="K290" s="7219" t="s">
        <v>5376</v>
      </c>
      <c r="L290" s="6260" t="s">
        <v>5377</v>
      </c>
      <c r="M290" s="7216" t="s">
        <v>5378</v>
      </c>
      <c r="N290" s="6260" t="s">
        <v>5379</v>
      </c>
      <c r="O290" s="7216" t="s">
        <v>5380</v>
      </c>
      <c r="P290" s="6260" t="s">
        <v>5381</v>
      </c>
      <c r="Q290" s="7216" t="s">
        <v>5382</v>
      </c>
      <c r="R290" s="6260" t="s">
        <v>5383</v>
      </c>
      <c r="S290" s="7216" t="s">
        <v>5384</v>
      </c>
      <c r="T290" s="6260" t="s">
        <v>5385</v>
      </c>
      <c r="U290" s="7216" t="s">
        <v>5386</v>
      </c>
      <c r="V290" s="6260" t="s">
        <v>5387</v>
      </c>
      <c r="W290" s="7216" t="s">
        <v>5388</v>
      </c>
      <c r="X290" s="6260" t="s">
        <v>5389</v>
      </c>
      <c r="Y290" s="7216" t="s">
        <v>5390</v>
      </c>
      <c r="Z290" s="6260" t="s">
        <v>5391</v>
      </c>
      <c r="AA290" s="7216" t="s">
        <v>5392</v>
      </c>
      <c r="AB290" s="6260" t="s">
        <v>5393</v>
      </c>
      <c r="AC290" s="7216" t="s">
        <v>5394</v>
      </c>
      <c r="AD290" s="6260" t="s">
        <v>5395</v>
      </c>
      <c r="AE290" s="7198" t="s">
        <v>5396</v>
      </c>
      <c r="AF290" s="7199" t="s">
        <v>5397</v>
      </c>
      <c r="AG290" s="7199" t="s">
        <v>5398</v>
      </c>
      <c r="AH290" s="7199" t="s">
        <v>5399</v>
      </c>
      <c r="AI290" s="7199" t="s">
        <v>5400</v>
      </c>
      <c r="AJ290" s="7199" t="s">
        <v>5401</v>
      </c>
      <c r="AK290" s="7199" t="s">
        <v>5402</v>
      </c>
      <c r="AL290" s="7199" t="s">
        <v>5403</v>
      </c>
      <c r="AM290" s="7199" t="s">
        <v>5404</v>
      </c>
      <c r="AN290" s="7200" t="s">
        <v>5405</v>
      </c>
      <c r="AO290" s="6590" t="s">
        <v>5406</v>
      </c>
      <c r="AP290" s="6590" t="s">
        <v>5407</v>
      </c>
      <c r="AQ290" s="6260" t="s">
        <v>5408</v>
      </c>
      <c r="AR290" s="6400" t="s">
        <v>5409</v>
      </c>
      <c r="AS290" s="6260" t="s">
        <v>5410</v>
      </c>
      <c r="AT290" s="5300" t="s">
        <v>5411</v>
      </c>
      <c r="AU290" s="5300" t="s">
        <v>5412</v>
      </c>
      <c r="AV290" s="6260" t="s">
        <v>5413</v>
      </c>
      <c r="AW290" s="6260" t="s">
        <v>5414</v>
      </c>
      <c r="AX290" s="4260"/>
      <c r="AY290" s="6391"/>
      <c r="AZ290" s="6391"/>
      <c r="BA290" s="6391"/>
      <c r="BB290" s="4291"/>
      <c r="BC290" s="4291"/>
      <c r="BD290" s="4291"/>
      <c r="BE290" s="4291"/>
      <c r="BF290" s="4291"/>
      <c r="BG290" s="4291"/>
      <c r="BH290" s="4264"/>
      <c r="BI290" s="4264"/>
      <c r="BJ290" s="4264"/>
      <c r="CD290" s="6197"/>
    </row>
    <row r="291" spans="1:114" ht="16.350000000000001" customHeight="1" x14ac:dyDescent="0.25">
      <c r="A291" s="7278" t="s">
        <v>4566</v>
      </c>
      <c r="B291" s="9055"/>
      <c r="C291" s="6169" t="s">
        <v>732</v>
      </c>
      <c r="D291" s="6326" t="s">
        <v>5369</v>
      </c>
      <c r="E291" s="7222" t="s">
        <v>5370</v>
      </c>
      <c r="F291" s="6518" t="s">
        <v>5371</v>
      </c>
      <c r="G291" s="7198" t="s">
        <v>5372</v>
      </c>
      <c r="H291" s="7199" t="s">
        <v>5373</v>
      </c>
      <c r="I291" s="7199" t="s">
        <v>5374</v>
      </c>
      <c r="J291" s="7199" t="s">
        <v>5375</v>
      </c>
      <c r="K291" s="7219" t="s">
        <v>5376</v>
      </c>
      <c r="L291" s="5330" t="s">
        <v>5377</v>
      </c>
      <c r="M291" s="7216" t="s">
        <v>5378</v>
      </c>
      <c r="N291" s="5330" t="s">
        <v>5379</v>
      </c>
      <c r="O291" s="7216" t="s">
        <v>5380</v>
      </c>
      <c r="P291" s="5330" t="s">
        <v>5381</v>
      </c>
      <c r="Q291" s="7216" t="s">
        <v>5382</v>
      </c>
      <c r="R291" s="5330" t="s">
        <v>5383</v>
      </c>
      <c r="S291" s="7216" t="s">
        <v>5384</v>
      </c>
      <c r="T291" s="5330" t="s">
        <v>5385</v>
      </c>
      <c r="U291" s="7216" t="s">
        <v>5386</v>
      </c>
      <c r="V291" s="5330" t="s">
        <v>5387</v>
      </c>
      <c r="W291" s="7216" t="s">
        <v>5388</v>
      </c>
      <c r="X291" s="5330" t="s">
        <v>5389</v>
      </c>
      <c r="Y291" s="7216" t="s">
        <v>5390</v>
      </c>
      <c r="Z291" s="5330" t="s">
        <v>5391</v>
      </c>
      <c r="AA291" s="7216" t="s">
        <v>5392</v>
      </c>
      <c r="AB291" s="5330" t="s">
        <v>5393</v>
      </c>
      <c r="AC291" s="7216" t="s">
        <v>5394</v>
      </c>
      <c r="AD291" s="5330" t="s">
        <v>5395</v>
      </c>
      <c r="AE291" s="7198" t="s">
        <v>5396</v>
      </c>
      <c r="AF291" s="7199" t="s">
        <v>5397</v>
      </c>
      <c r="AG291" s="7199" t="s">
        <v>5398</v>
      </c>
      <c r="AH291" s="7199" t="s">
        <v>5399</v>
      </c>
      <c r="AI291" s="7199" t="s">
        <v>5400</v>
      </c>
      <c r="AJ291" s="7199" t="s">
        <v>5401</v>
      </c>
      <c r="AK291" s="7199" t="s">
        <v>5402</v>
      </c>
      <c r="AL291" s="7199" t="s">
        <v>5403</v>
      </c>
      <c r="AM291" s="7199" t="s">
        <v>5404</v>
      </c>
      <c r="AN291" s="7200" t="s">
        <v>5405</v>
      </c>
      <c r="AO291" s="6338" t="s">
        <v>5406</v>
      </c>
      <c r="AP291" s="6338" t="s">
        <v>5407</v>
      </c>
      <c r="AQ291" s="5330" t="s">
        <v>5408</v>
      </c>
      <c r="AR291" s="4369" t="s">
        <v>5409</v>
      </c>
      <c r="AS291" s="5330" t="s">
        <v>5410</v>
      </c>
      <c r="AT291" s="4460" t="s">
        <v>5411</v>
      </c>
      <c r="AU291" s="4460" t="s">
        <v>5412</v>
      </c>
      <c r="AV291" s="5330" t="s">
        <v>5413</v>
      </c>
      <c r="AW291" s="5330" t="s">
        <v>5414</v>
      </c>
      <c r="AX291" s="4260"/>
      <c r="AY291" s="6391"/>
      <c r="AZ291" s="6391"/>
      <c r="BA291" s="6391"/>
      <c r="BB291" s="4291"/>
      <c r="BC291" s="4291"/>
      <c r="BD291" s="4291"/>
      <c r="BE291" s="4291"/>
      <c r="BF291" s="4291"/>
      <c r="BG291" s="4291"/>
      <c r="BH291" s="4264"/>
      <c r="BI291" s="4264"/>
      <c r="BJ291" s="4264"/>
      <c r="CD291" s="6197"/>
    </row>
    <row r="292" spans="1:114" ht="16.350000000000001" customHeight="1" x14ac:dyDescent="0.25">
      <c r="A292" s="7278" t="s">
        <v>4567</v>
      </c>
      <c r="B292" s="9055"/>
      <c r="C292" s="6169" t="s">
        <v>731</v>
      </c>
      <c r="D292" s="6326" t="s">
        <v>5369</v>
      </c>
      <c r="E292" s="7222" t="s">
        <v>5370</v>
      </c>
      <c r="F292" s="6518" t="s">
        <v>5371</v>
      </c>
      <c r="G292" s="7198" t="s">
        <v>5372</v>
      </c>
      <c r="H292" s="7199" t="s">
        <v>5373</v>
      </c>
      <c r="I292" s="7199" t="s">
        <v>5374</v>
      </c>
      <c r="J292" s="7199" t="s">
        <v>5375</v>
      </c>
      <c r="K292" s="7219" t="s">
        <v>5376</v>
      </c>
      <c r="L292" s="5330" t="s">
        <v>5377</v>
      </c>
      <c r="M292" s="7216" t="s">
        <v>5378</v>
      </c>
      <c r="N292" s="5330" t="s">
        <v>5379</v>
      </c>
      <c r="O292" s="7216" t="s">
        <v>5380</v>
      </c>
      <c r="P292" s="5330" t="s">
        <v>5381</v>
      </c>
      <c r="Q292" s="7216" t="s">
        <v>5382</v>
      </c>
      <c r="R292" s="5330" t="s">
        <v>5383</v>
      </c>
      <c r="S292" s="7216" t="s">
        <v>5384</v>
      </c>
      <c r="T292" s="5330" t="s">
        <v>5385</v>
      </c>
      <c r="U292" s="7216" t="s">
        <v>5386</v>
      </c>
      <c r="V292" s="5330" t="s">
        <v>5387</v>
      </c>
      <c r="W292" s="7216" t="s">
        <v>5388</v>
      </c>
      <c r="X292" s="5330" t="s">
        <v>5389</v>
      </c>
      <c r="Y292" s="7216" t="s">
        <v>5390</v>
      </c>
      <c r="Z292" s="5330" t="s">
        <v>5391</v>
      </c>
      <c r="AA292" s="7216" t="s">
        <v>5392</v>
      </c>
      <c r="AB292" s="5330" t="s">
        <v>5393</v>
      </c>
      <c r="AC292" s="7216" t="s">
        <v>5394</v>
      </c>
      <c r="AD292" s="5330" t="s">
        <v>5395</v>
      </c>
      <c r="AE292" s="7198" t="s">
        <v>5396</v>
      </c>
      <c r="AF292" s="7199" t="s">
        <v>5397</v>
      </c>
      <c r="AG292" s="7199" t="s">
        <v>5398</v>
      </c>
      <c r="AH292" s="7199" t="s">
        <v>5399</v>
      </c>
      <c r="AI292" s="7199" t="s">
        <v>5400</v>
      </c>
      <c r="AJ292" s="7199" t="s">
        <v>5401</v>
      </c>
      <c r="AK292" s="7199" t="s">
        <v>5402</v>
      </c>
      <c r="AL292" s="7199" t="s">
        <v>5403</v>
      </c>
      <c r="AM292" s="7199" t="s">
        <v>5404</v>
      </c>
      <c r="AN292" s="7200" t="s">
        <v>5405</v>
      </c>
      <c r="AO292" s="6338" t="s">
        <v>5406</v>
      </c>
      <c r="AP292" s="6338" t="s">
        <v>5407</v>
      </c>
      <c r="AQ292" s="5330" t="s">
        <v>5408</v>
      </c>
      <c r="AR292" s="4369" t="s">
        <v>5409</v>
      </c>
      <c r="AS292" s="5330" t="s">
        <v>5410</v>
      </c>
      <c r="AT292" s="4460" t="s">
        <v>5411</v>
      </c>
      <c r="AU292" s="4460" t="s">
        <v>5412</v>
      </c>
      <c r="AV292" s="5330" t="s">
        <v>5413</v>
      </c>
      <c r="AW292" s="5330" t="s">
        <v>5414</v>
      </c>
      <c r="AX292" s="4260"/>
      <c r="AY292" s="6391"/>
      <c r="AZ292" s="6391"/>
      <c r="BA292" s="6391"/>
      <c r="BB292" s="4291"/>
      <c r="BC292" s="4291"/>
      <c r="BD292" s="4291"/>
      <c r="BE292" s="4291"/>
      <c r="BF292" s="4291"/>
      <c r="BG292" s="4291"/>
      <c r="BH292" s="4264"/>
      <c r="BI292" s="4264"/>
      <c r="BJ292" s="4264"/>
      <c r="CD292" s="6197"/>
    </row>
    <row r="293" spans="1:114" ht="16.350000000000001" customHeight="1" x14ac:dyDescent="0.25">
      <c r="A293" s="7278" t="s">
        <v>4568</v>
      </c>
      <c r="B293" s="9055"/>
      <c r="C293" s="6169" t="s">
        <v>730</v>
      </c>
      <c r="D293" s="6326" t="s">
        <v>5369</v>
      </c>
      <c r="E293" s="7222" t="s">
        <v>5370</v>
      </c>
      <c r="F293" s="6518" t="s">
        <v>5371</v>
      </c>
      <c r="G293" s="7198" t="s">
        <v>5372</v>
      </c>
      <c r="H293" s="7199" t="s">
        <v>5373</v>
      </c>
      <c r="I293" s="7199" t="s">
        <v>5374</v>
      </c>
      <c r="J293" s="7199" t="s">
        <v>5375</v>
      </c>
      <c r="K293" s="7219" t="s">
        <v>5376</v>
      </c>
      <c r="L293" s="5330" t="s">
        <v>5377</v>
      </c>
      <c r="M293" s="7216" t="s">
        <v>5378</v>
      </c>
      <c r="N293" s="5330" t="s">
        <v>5379</v>
      </c>
      <c r="O293" s="7216" t="s">
        <v>5380</v>
      </c>
      <c r="P293" s="5330" t="s">
        <v>5381</v>
      </c>
      <c r="Q293" s="7216" t="s">
        <v>5382</v>
      </c>
      <c r="R293" s="5330" t="s">
        <v>5383</v>
      </c>
      <c r="S293" s="7216" t="s">
        <v>5384</v>
      </c>
      <c r="T293" s="5330" t="s">
        <v>5385</v>
      </c>
      <c r="U293" s="7216" t="s">
        <v>5386</v>
      </c>
      <c r="V293" s="5330" t="s">
        <v>5387</v>
      </c>
      <c r="W293" s="7216" t="s">
        <v>5388</v>
      </c>
      <c r="X293" s="5330" t="s">
        <v>5389</v>
      </c>
      <c r="Y293" s="7216" t="s">
        <v>5390</v>
      </c>
      <c r="Z293" s="5330" t="s">
        <v>5391</v>
      </c>
      <c r="AA293" s="7216" t="s">
        <v>5392</v>
      </c>
      <c r="AB293" s="5330" t="s">
        <v>5393</v>
      </c>
      <c r="AC293" s="7216" t="s">
        <v>5394</v>
      </c>
      <c r="AD293" s="5330" t="s">
        <v>5395</v>
      </c>
      <c r="AE293" s="7198" t="s">
        <v>5396</v>
      </c>
      <c r="AF293" s="7199" t="s">
        <v>5397</v>
      </c>
      <c r="AG293" s="7199" t="s">
        <v>5398</v>
      </c>
      <c r="AH293" s="7199" t="s">
        <v>5399</v>
      </c>
      <c r="AI293" s="7199" t="s">
        <v>5400</v>
      </c>
      <c r="AJ293" s="7199" t="s">
        <v>5401</v>
      </c>
      <c r="AK293" s="7199" t="s">
        <v>5402</v>
      </c>
      <c r="AL293" s="7199" t="s">
        <v>5403</v>
      </c>
      <c r="AM293" s="7199" t="s">
        <v>5404</v>
      </c>
      <c r="AN293" s="7200" t="s">
        <v>5405</v>
      </c>
      <c r="AO293" s="6338" t="s">
        <v>5406</v>
      </c>
      <c r="AP293" s="6338" t="s">
        <v>5407</v>
      </c>
      <c r="AQ293" s="5330" t="s">
        <v>5408</v>
      </c>
      <c r="AR293" s="4369" t="s">
        <v>5409</v>
      </c>
      <c r="AS293" s="5330" t="s">
        <v>5410</v>
      </c>
      <c r="AT293" s="4460" t="s">
        <v>5411</v>
      </c>
      <c r="AU293" s="4460" t="s">
        <v>5412</v>
      </c>
      <c r="AV293" s="5330" t="s">
        <v>5413</v>
      </c>
      <c r="AW293" s="5330" t="s">
        <v>5414</v>
      </c>
      <c r="AX293" s="4260"/>
      <c r="AY293" s="6391"/>
      <c r="AZ293" s="6391"/>
      <c r="BA293" s="6391"/>
      <c r="BB293" s="4291"/>
      <c r="BC293" s="4291"/>
      <c r="BD293" s="4291"/>
      <c r="BE293" s="4291"/>
      <c r="BF293" s="4291"/>
      <c r="BG293" s="4291"/>
      <c r="BH293" s="4264"/>
      <c r="BI293" s="4264"/>
      <c r="BJ293" s="4264"/>
      <c r="CD293" s="6197"/>
    </row>
    <row r="294" spans="1:114" ht="16.350000000000001" customHeight="1" x14ac:dyDescent="0.25">
      <c r="A294" s="7278" t="s">
        <v>4569</v>
      </c>
      <c r="B294" s="9055"/>
      <c r="C294" s="6169" t="s">
        <v>729</v>
      </c>
      <c r="D294" s="6326" t="s">
        <v>5369</v>
      </c>
      <c r="E294" s="7222" t="s">
        <v>5370</v>
      </c>
      <c r="F294" s="6518" t="s">
        <v>5371</v>
      </c>
      <c r="G294" s="7198" t="s">
        <v>5372</v>
      </c>
      <c r="H294" s="7199" t="s">
        <v>5373</v>
      </c>
      <c r="I294" s="7199" t="s">
        <v>5374</v>
      </c>
      <c r="J294" s="7199" t="s">
        <v>5375</v>
      </c>
      <c r="K294" s="7219" t="s">
        <v>5376</v>
      </c>
      <c r="L294" s="5330" t="s">
        <v>5377</v>
      </c>
      <c r="M294" s="7216" t="s">
        <v>5378</v>
      </c>
      <c r="N294" s="5330" t="s">
        <v>5379</v>
      </c>
      <c r="O294" s="7216" t="s">
        <v>5380</v>
      </c>
      <c r="P294" s="5330" t="s">
        <v>5381</v>
      </c>
      <c r="Q294" s="7216" t="s">
        <v>5382</v>
      </c>
      <c r="R294" s="5330" t="s">
        <v>5383</v>
      </c>
      <c r="S294" s="7216" t="s">
        <v>5384</v>
      </c>
      <c r="T294" s="5330" t="s">
        <v>5385</v>
      </c>
      <c r="U294" s="7216" t="s">
        <v>5386</v>
      </c>
      <c r="V294" s="5330" t="s">
        <v>5387</v>
      </c>
      <c r="W294" s="7216" t="s">
        <v>5388</v>
      </c>
      <c r="X294" s="5330" t="s">
        <v>5389</v>
      </c>
      <c r="Y294" s="7216" t="s">
        <v>5390</v>
      </c>
      <c r="Z294" s="5330" t="s">
        <v>5391</v>
      </c>
      <c r="AA294" s="7216" t="s">
        <v>5392</v>
      </c>
      <c r="AB294" s="5330" t="s">
        <v>5393</v>
      </c>
      <c r="AC294" s="7216" t="s">
        <v>5394</v>
      </c>
      <c r="AD294" s="5330" t="s">
        <v>5395</v>
      </c>
      <c r="AE294" s="7198" t="s">
        <v>5396</v>
      </c>
      <c r="AF294" s="7199" t="s">
        <v>5397</v>
      </c>
      <c r="AG294" s="7199" t="s">
        <v>5398</v>
      </c>
      <c r="AH294" s="7199" t="s">
        <v>5399</v>
      </c>
      <c r="AI294" s="7199" t="s">
        <v>5400</v>
      </c>
      <c r="AJ294" s="7199" t="s">
        <v>5401</v>
      </c>
      <c r="AK294" s="7199" t="s">
        <v>5402</v>
      </c>
      <c r="AL294" s="7199" t="s">
        <v>5403</v>
      </c>
      <c r="AM294" s="7199" t="s">
        <v>5404</v>
      </c>
      <c r="AN294" s="7200" t="s">
        <v>5405</v>
      </c>
      <c r="AO294" s="6338" t="s">
        <v>5406</v>
      </c>
      <c r="AP294" s="6338" t="s">
        <v>5407</v>
      </c>
      <c r="AQ294" s="5330" t="s">
        <v>5408</v>
      </c>
      <c r="AR294" s="4369" t="s">
        <v>5409</v>
      </c>
      <c r="AS294" s="5330" t="s">
        <v>5410</v>
      </c>
      <c r="AT294" s="4460" t="s">
        <v>5411</v>
      </c>
      <c r="AU294" s="4460" t="s">
        <v>5412</v>
      </c>
      <c r="AV294" s="5330" t="s">
        <v>5413</v>
      </c>
      <c r="AW294" s="5330" t="s">
        <v>5414</v>
      </c>
      <c r="AX294" s="4260"/>
      <c r="AY294" s="6391"/>
      <c r="AZ294" s="6391"/>
      <c r="BA294" s="6391"/>
      <c r="BB294" s="4291"/>
      <c r="BC294" s="4291"/>
      <c r="BD294" s="4291"/>
      <c r="BE294" s="4291"/>
      <c r="BF294" s="4291"/>
      <c r="BG294" s="4291"/>
      <c r="BH294" s="4264"/>
      <c r="BI294" s="4264"/>
      <c r="BJ294" s="4264"/>
      <c r="CD294" s="6197"/>
    </row>
    <row r="295" spans="1:114" ht="16.350000000000001" customHeight="1" x14ac:dyDescent="0.25">
      <c r="A295" s="7278" t="s">
        <v>4570</v>
      </c>
      <c r="B295" s="9055"/>
      <c r="C295" s="6169" t="s">
        <v>728</v>
      </c>
      <c r="D295" s="6326" t="s">
        <v>5369</v>
      </c>
      <c r="E295" s="7222" t="s">
        <v>5370</v>
      </c>
      <c r="F295" s="6518" t="s">
        <v>5371</v>
      </c>
      <c r="G295" s="7198" t="s">
        <v>5372</v>
      </c>
      <c r="H295" s="7199" t="s">
        <v>5373</v>
      </c>
      <c r="I295" s="7199" t="s">
        <v>5374</v>
      </c>
      <c r="J295" s="7199" t="s">
        <v>5375</v>
      </c>
      <c r="K295" s="7219" t="s">
        <v>5376</v>
      </c>
      <c r="L295" s="5330" t="s">
        <v>5377</v>
      </c>
      <c r="M295" s="7216" t="s">
        <v>5378</v>
      </c>
      <c r="N295" s="5330" t="s">
        <v>5379</v>
      </c>
      <c r="O295" s="7216" t="s">
        <v>5380</v>
      </c>
      <c r="P295" s="5330" t="s">
        <v>5381</v>
      </c>
      <c r="Q295" s="7216" t="s">
        <v>5382</v>
      </c>
      <c r="R295" s="5330" t="s">
        <v>5383</v>
      </c>
      <c r="S295" s="7216" t="s">
        <v>5384</v>
      </c>
      <c r="T295" s="5330" t="s">
        <v>5385</v>
      </c>
      <c r="U295" s="7216" t="s">
        <v>5386</v>
      </c>
      <c r="V295" s="5330" t="s">
        <v>5387</v>
      </c>
      <c r="W295" s="7216" t="s">
        <v>5388</v>
      </c>
      <c r="X295" s="5330" t="s">
        <v>5389</v>
      </c>
      <c r="Y295" s="7216" t="s">
        <v>5390</v>
      </c>
      <c r="Z295" s="5330" t="s">
        <v>5391</v>
      </c>
      <c r="AA295" s="7216" t="s">
        <v>5392</v>
      </c>
      <c r="AB295" s="5330" t="s">
        <v>5393</v>
      </c>
      <c r="AC295" s="7216" t="s">
        <v>5394</v>
      </c>
      <c r="AD295" s="5330" t="s">
        <v>5395</v>
      </c>
      <c r="AE295" s="7198" t="s">
        <v>5396</v>
      </c>
      <c r="AF295" s="7199" t="s">
        <v>5397</v>
      </c>
      <c r="AG295" s="7199" t="s">
        <v>5398</v>
      </c>
      <c r="AH295" s="7199" t="s">
        <v>5399</v>
      </c>
      <c r="AI295" s="7199" t="s">
        <v>5400</v>
      </c>
      <c r="AJ295" s="7199" t="s">
        <v>5401</v>
      </c>
      <c r="AK295" s="7199" t="s">
        <v>5402</v>
      </c>
      <c r="AL295" s="7199" t="s">
        <v>5403</v>
      </c>
      <c r="AM295" s="7199" t="s">
        <v>5404</v>
      </c>
      <c r="AN295" s="7200" t="s">
        <v>5405</v>
      </c>
      <c r="AO295" s="6338" t="s">
        <v>5406</v>
      </c>
      <c r="AP295" s="6338" t="s">
        <v>5407</v>
      </c>
      <c r="AQ295" s="5330" t="s">
        <v>5408</v>
      </c>
      <c r="AR295" s="4369" t="s">
        <v>5409</v>
      </c>
      <c r="AS295" s="5330" t="s">
        <v>5410</v>
      </c>
      <c r="AT295" s="4460" t="s">
        <v>5411</v>
      </c>
      <c r="AU295" s="4460" t="s">
        <v>5412</v>
      </c>
      <c r="AV295" s="5330" t="s">
        <v>5413</v>
      </c>
      <c r="AW295" s="5330" t="s">
        <v>5414</v>
      </c>
      <c r="AX295" s="4260"/>
      <c r="AY295" s="6391"/>
      <c r="AZ295" s="6391"/>
      <c r="BA295" s="6391"/>
      <c r="BB295" s="4291"/>
      <c r="BC295" s="4291"/>
      <c r="BD295" s="4291"/>
      <c r="BE295" s="4291"/>
      <c r="BF295" s="4291"/>
      <c r="BG295" s="4291"/>
      <c r="BH295" s="4264"/>
      <c r="BI295" s="4264"/>
      <c r="BJ295" s="4264"/>
      <c r="CD295" s="6197"/>
    </row>
    <row r="296" spans="1:114" ht="16.350000000000001" customHeight="1" x14ac:dyDescent="0.25">
      <c r="A296" s="7278" t="s">
        <v>4571</v>
      </c>
      <c r="B296" s="9055"/>
      <c r="C296" s="6169" t="s">
        <v>727</v>
      </c>
      <c r="D296" s="6326" t="s">
        <v>5369</v>
      </c>
      <c r="E296" s="7222" t="s">
        <v>5370</v>
      </c>
      <c r="F296" s="6518" t="s">
        <v>5371</v>
      </c>
      <c r="G296" s="7198" t="s">
        <v>5372</v>
      </c>
      <c r="H296" s="7199" t="s">
        <v>5373</v>
      </c>
      <c r="I296" s="7199" t="s">
        <v>5374</v>
      </c>
      <c r="J296" s="7199" t="s">
        <v>5375</v>
      </c>
      <c r="K296" s="7219" t="s">
        <v>5376</v>
      </c>
      <c r="L296" s="5330" t="s">
        <v>5377</v>
      </c>
      <c r="M296" s="7216" t="s">
        <v>5378</v>
      </c>
      <c r="N296" s="5330" t="s">
        <v>5379</v>
      </c>
      <c r="O296" s="7216" t="s">
        <v>5380</v>
      </c>
      <c r="P296" s="5330" t="s">
        <v>5381</v>
      </c>
      <c r="Q296" s="7216" t="s">
        <v>5382</v>
      </c>
      <c r="R296" s="5330" t="s">
        <v>5383</v>
      </c>
      <c r="S296" s="7216" t="s">
        <v>5384</v>
      </c>
      <c r="T296" s="5330" t="s">
        <v>5385</v>
      </c>
      <c r="U296" s="7216" t="s">
        <v>5386</v>
      </c>
      <c r="V296" s="5330" t="s">
        <v>5387</v>
      </c>
      <c r="W296" s="7216" t="s">
        <v>5388</v>
      </c>
      <c r="X296" s="5330" t="s">
        <v>5389</v>
      </c>
      <c r="Y296" s="7216" t="s">
        <v>5390</v>
      </c>
      <c r="Z296" s="5330" t="s">
        <v>5391</v>
      </c>
      <c r="AA296" s="7216" t="s">
        <v>5392</v>
      </c>
      <c r="AB296" s="5330" t="s">
        <v>5393</v>
      </c>
      <c r="AC296" s="7216" t="s">
        <v>5394</v>
      </c>
      <c r="AD296" s="5330" t="s">
        <v>5395</v>
      </c>
      <c r="AE296" s="7198" t="s">
        <v>5396</v>
      </c>
      <c r="AF296" s="7199" t="s">
        <v>5397</v>
      </c>
      <c r="AG296" s="7199" t="s">
        <v>5398</v>
      </c>
      <c r="AH296" s="7199" t="s">
        <v>5399</v>
      </c>
      <c r="AI296" s="7199" t="s">
        <v>5400</v>
      </c>
      <c r="AJ296" s="7199" t="s">
        <v>5401</v>
      </c>
      <c r="AK296" s="7199" t="s">
        <v>5402</v>
      </c>
      <c r="AL296" s="7199" t="s">
        <v>5403</v>
      </c>
      <c r="AM296" s="7199" t="s">
        <v>5404</v>
      </c>
      <c r="AN296" s="7200" t="s">
        <v>5405</v>
      </c>
      <c r="AO296" s="6338" t="s">
        <v>5406</v>
      </c>
      <c r="AP296" s="6338" t="s">
        <v>5407</v>
      </c>
      <c r="AQ296" s="5330" t="s">
        <v>5408</v>
      </c>
      <c r="AR296" s="4369" t="s">
        <v>5409</v>
      </c>
      <c r="AS296" s="5330" t="s">
        <v>5410</v>
      </c>
      <c r="AT296" s="4460" t="s">
        <v>5411</v>
      </c>
      <c r="AU296" s="4460" t="s">
        <v>5412</v>
      </c>
      <c r="AV296" s="5330" t="s">
        <v>5413</v>
      </c>
      <c r="AW296" s="5330" t="s">
        <v>5414</v>
      </c>
      <c r="AX296" s="4260"/>
      <c r="AY296" s="6391"/>
      <c r="AZ296" s="6391"/>
      <c r="BA296" s="6391"/>
      <c r="BB296" s="4291"/>
      <c r="BC296" s="4291"/>
      <c r="BD296" s="4291"/>
      <c r="BE296" s="4291"/>
      <c r="BF296" s="4291"/>
      <c r="BG296" s="4291"/>
      <c r="BH296" s="4264"/>
      <c r="BI296" s="4264"/>
      <c r="BJ296" s="4264"/>
      <c r="CD296" s="6197"/>
    </row>
    <row r="297" spans="1:114" ht="16.350000000000001" customHeight="1" x14ac:dyDescent="0.25">
      <c r="A297" s="7278" t="s">
        <v>4572</v>
      </c>
      <c r="B297" s="9212"/>
      <c r="C297" s="6638" t="s">
        <v>726</v>
      </c>
      <c r="D297" s="6392" t="s">
        <v>5369</v>
      </c>
      <c r="E297" s="7223" t="s">
        <v>5370</v>
      </c>
      <c r="F297" s="6500" t="s">
        <v>5371</v>
      </c>
      <c r="G297" s="7201" t="s">
        <v>5372</v>
      </c>
      <c r="H297" s="7202" t="s">
        <v>5373</v>
      </c>
      <c r="I297" s="7202" t="s">
        <v>5374</v>
      </c>
      <c r="J297" s="7202" t="s">
        <v>5375</v>
      </c>
      <c r="K297" s="7220" t="s">
        <v>5376</v>
      </c>
      <c r="L297" s="4479" t="s">
        <v>5377</v>
      </c>
      <c r="M297" s="7217" t="s">
        <v>5378</v>
      </c>
      <c r="N297" s="4479" t="s">
        <v>5379</v>
      </c>
      <c r="O297" s="7217" t="s">
        <v>5380</v>
      </c>
      <c r="P297" s="4479" t="s">
        <v>5381</v>
      </c>
      <c r="Q297" s="7217" t="s">
        <v>5382</v>
      </c>
      <c r="R297" s="4479" t="s">
        <v>5383</v>
      </c>
      <c r="S297" s="7217" t="s">
        <v>5384</v>
      </c>
      <c r="T297" s="4479" t="s">
        <v>5385</v>
      </c>
      <c r="U297" s="7217" t="s">
        <v>5386</v>
      </c>
      <c r="V297" s="4479" t="s">
        <v>5387</v>
      </c>
      <c r="W297" s="7217" t="s">
        <v>5388</v>
      </c>
      <c r="X297" s="4479" t="s">
        <v>5389</v>
      </c>
      <c r="Y297" s="7217" t="s">
        <v>5390</v>
      </c>
      <c r="Z297" s="4479" t="s">
        <v>5391</v>
      </c>
      <c r="AA297" s="7217" t="s">
        <v>5392</v>
      </c>
      <c r="AB297" s="4479" t="s">
        <v>5393</v>
      </c>
      <c r="AC297" s="7217" t="s">
        <v>5394</v>
      </c>
      <c r="AD297" s="4479" t="s">
        <v>5395</v>
      </c>
      <c r="AE297" s="7201" t="s">
        <v>5396</v>
      </c>
      <c r="AF297" s="7202" t="s">
        <v>5397</v>
      </c>
      <c r="AG297" s="7202" t="s">
        <v>5398</v>
      </c>
      <c r="AH297" s="7202" t="s">
        <v>5399</v>
      </c>
      <c r="AI297" s="7202" t="s">
        <v>5400</v>
      </c>
      <c r="AJ297" s="7202" t="s">
        <v>5401</v>
      </c>
      <c r="AK297" s="7202" t="s">
        <v>5402</v>
      </c>
      <c r="AL297" s="7202" t="s">
        <v>5403</v>
      </c>
      <c r="AM297" s="7202" t="s">
        <v>5404</v>
      </c>
      <c r="AN297" s="7203" t="s">
        <v>5405</v>
      </c>
      <c r="AO297" s="4389" t="s">
        <v>5406</v>
      </c>
      <c r="AP297" s="4389" t="s">
        <v>5407</v>
      </c>
      <c r="AQ297" s="4479" t="s">
        <v>5408</v>
      </c>
      <c r="AR297" s="4387" t="s">
        <v>5409</v>
      </c>
      <c r="AS297" s="4479" t="s">
        <v>5410</v>
      </c>
      <c r="AT297" s="4468" t="s">
        <v>5411</v>
      </c>
      <c r="AU297" s="4468" t="s">
        <v>5412</v>
      </c>
      <c r="AV297" s="4479" t="s">
        <v>5413</v>
      </c>
      <c r="AW297" s="4479" t="s">
        <v>5414</v>
      </c>
      <c r="AX297" s="4260"/>
      <c r="AY297" s="6391"/>
      <c r="AZ297" s="6391"/>
      <c r="BA297" s="6391"/>
      <c r="BB297" s="4291"/>
      <c r="BC297" s="4291"/>
      <c r="BD297" s="4291"/>
      <c r="BE297" s="4291"/>
      <c r="BF297" s="4291"/>
      <c r="BG297" s="4291"/>
      <c r="BH297" s="4264"/>
      <c r="BI297" s="4264"/>
      <c r="BJ297" s="4264"/>
      <c r="CD297" s="6197"/>
    </row>
    <row r="298" spans="1:114" ht="16.350000000000001" customHeight="1" x14ac:dyDescent="0.25">
      <c r="A298" s="7278" t="s">
        <v>4573</v>
      </c>
      <c r="B298" s="9211" t="s">
        <v>720</v>
      </c>
      <c r="C298" s="6636" t="s">
        <v>734</v>
      </c>
      <c r="D298" s="6515" t="s">
        <v>5369</v>
      </c>
      <c r="E298" s="6516" t="s">
        <v>5370</v>
      </c>
      <c r="F298" s="6514" t="s">
        <v>5371</v>
      </c>
      <c r="G298" s="6639" t="s">
        <v>5372</v>
      </c>
      <c r="H298" s="6640" t="s">
        <v>5373</v>
      </c>
      <c r="I298" s="6641" t="s">
        <v>5374</v>
      </c>
      <c r="J298" s="6640" t="s">
        <v>5375</v>
      </c>
      <c r="K298" s="6641" t="s">
        <v>5376</v>
      </c>
      <c r="L298" s="6642" t="s">
        <v>5377</v>
      </c>
      <c r="M298" s="6643" t="s">
        <v>5378</v>
      </c>
      <c r="N298" s="6640" t="s">
        <v>5379</v>
      </c>
      <c r="O298" s="6641" t="s">
        <v>5380</v>
      </c>
      <c r="P298" s="6644" t="s">
        <v>5381</v>
      </c>
      <c r="Q298" s="6639" t="s">
        <v>5382</v>
      </c>
      <c r="R298" s="6640" t="s">
        <v>5383</v>
      </c>
      <c r="S298" s="6641" t="s">
        <v>5384</v>
      </c>
      <c r="T298" s="6644" t="s">
        <v>5385</v>
      </c>
      <c r="U298" s="6639" t="s">
        <v>5386</v>
      </c>
      <c r="V298" s="6640" t="s">
        <v>5387</v>
      </c>
      <c r="W298" s="6641" t="s">
        <v>5388</v>
      </c>
      <c r="X298" s="6644" t="s">
        <v>5389</v>
      </c>
      <c r="Y298" s="6639" t="s">
        <v>5390</v>
      </c>
      <c r="Z298" s="6640" t="s">
        <v>5391</v>
      </c>
      <c r="AA298" s="6641" t="s">
        <v>5392</v>
      </c>
      <c r="AB298" s="6644" t="s">
        <v>5393</v>
      </c>
      <c r="AC298" s="6639" t="s">
        <v>5394</v>
      </c>
      <c r="AD298" s="6640" t="s">
        <v>5395</v>
      </c>
      <c r="AE298" s="6641" t="s">
        <v>5396</v>
      </c>
      <c r="AF298" s="6644" t="s">
        <v>5397</v>
      </c>
      <c r="AG298" s="6639" t="s">
        <v>5398</v>
      </c>
      <c r="AH298" s="6640" t="s">
        <v>5399</v>
      </c>
      <c r="AI298" s="6641" t="s">
        <v>5400</v>
      </c>
      <c r="AJ298" s="6644" t="s">
        <v>5401</v>
      </c>
      <c r="AK298" s="6639" t="s">
        <v>5402</v>
      </c>
      <c r="AL298" s="6640" t="s">
        <v>5403</v>
      </c>
      <c r="AM298" s="6641" t="s">
        <v>5404</v>
      </c>
      <c r="AN298" s="6645" t="s">
        <v>5405</v>
      </c>
      <c r="AO298" s="6336" t="s">
        <v>5406</v>
      </c>
      <c r="AP298" s="6590" t="s">
        <v>5407</v>
      </c>
      <c r="AQ298" s="6260" t="s">
        <v>5408</v>
      </c>
      <c r="AR298" s="6400" t="s">
        <v>5409</v>
      </c>
      <c r="AS298" s="6260" t="s">
        <v>5410</v>
      </c>
      <c r="AT298" s="5300" t="s">
        <v>5411</v>
      </c>
      <c r="AU298" s="5300" t="s">
        <v>5412</v>
      </c>
      <c r="AV298" s="6260" t="s">
        <v>5413</v>
      </c>
      <c r="AW298" s="6260" t="s">
        <v>5414</v>
      </c>
      <c r="AX298" s="4260"/>
      <c r="AY298" s="6391"/>
      <c r="AZ298" s="6391"/>
      <c r="BA298" s="6391"/>
      <c r="BB298" s="4291"/>
      <c r="BC298" s="4291"/>
      <c r="BD298" s="4291"/>
      <c r="BE298" s="4291"/>
      <c r="BF298" s="4291"/>
      <c r="BG298" s="4291"/>
      <c r="BH298" s="4264"/>
      <c r="BI298" s="4264"/>
      <c r="BJ298" s="4264"/>
      <c r="CD298" s="6197"/>
    </row>
    <row r="299" spans="1:114" ht="16.350000000000001" customHeight="1" x14ac:dyDescent="0.25">
      <c r="A299" s="7278" t="s">
        <v>4574</v>
      </c>
      <c r="B299" s="9055"/>
      <c r="C299" s="6637" t="s">
        <v>733</v>
      </c>
      <c r="D299" s="6410" t="s">
        <v>5369</v>
      </c>
      <c r="E299" s="6411" t="s">
        <v>5370</v>
      </c>
      <c r="F299" s="6514" t="s">
        <v>5371</v>
      </c>
      <c r="G299" s="6400" t="s">
        <v>5372</v>
      </c>
      <c r="H299" s="6642" t="s">
        <v>5373</v>
      </c>
      <c r="I299" s="6400" t="s">
        <v>5374</v>
      </c>
      <c r="J299" s="6642" t="s">
        <v>5375</v>
      </c>
      <c r="K299" s="6400" t="s">
        <v>5376</v>
      </c>
      <c r="L299" s="6642" t="s">
        <v>5377</v>
      </c>
      <c r="M299" s="6400" t="s">
        <v>5378</v>
      </c>
      <c r="N299" s="6642" t="s">
        <v>5379</v>
      </c>
      <c r="O299" s="6590" t="s">
        <v>5380</v>
      </c>
      <c r="P299" s="4156" t="s">
        <v>5381</v>
      </c>
      <c r="Q299" s="6400" t="s">
        <v>5382</v>
      </c>
      <c r="R299" s="6642" t="s">
        <v>5383</v>
      </c>
      <c r="S299" s="6590" t="s">
        <v>5384</v>
      </c>
      <c r="T299" s="4156" t="s">
        <v>5385</v>
      </c>
      <c r="U299" s="6400" t="s">
        <v>5386</v>
      </c>
      <c r="V299" s="6642" t="s">
        <v>5387</v>
      </c>
      <c r="W299" s="6590" t="s">
        <v>5388</v>
      </c>
      <c r="X299" s="4156" t="s">
        <v>5389</v>
      </c>
      <c r="Y299" s="6400" t="s">
        <v>5390</v>
      </c>
      <c r="Z299" s="6642" t="s">
        <v>5391</v>
      </c>
      <c r="AA299" s="6590" t="s">
        <v>5392</v>
      </c>
      <c r="AB299" s="4156" t="s">
        <v>5393</v>
      </c>
      <c r="AC299" s="6400" t="s">
        <v>5394</v>
      </c>
      <c r="AD299" s="6642" t="s">
        <v>5395</v>
      </c>
      <c r="AE299" s="6590" t="s">
        <v>5396</v>
      </c>
      <c r="AF299" s="4156" t="s">
        <v>5397</v>
      </c>
      <c r="AG299" s="6400" t="s">
        <v>5398</v>
      </c>
      <c r="AH299" s="6642" t="s">
        <v>5399</v>
      </c>
      <c r="AI299" s="6590" t="s">
        <v>5400</v>
      </c>
      <c r="AJ299" s="4156" t="s">
        <v>5401</v>
      </c>
      <c r="AK299" s="6400" t="s">
        <v>5402</v>
      </c>
      <c r="AL299" s="6642" t="s">
        <v>5403</v>
      </c>
      <c r="AM299" s="6590" t="s">
        <v>5404</v>
      </c>
      <c r="AN299" s="6543" t="s">
        <v>5405</v>
      </c>
      <c r="AO299" s="6590" t="s">
        <v>5406</v>
      </c>
      <c r="AP299" s="6590" t="s">
        <v>5407</v>
      </c>
      <c r="AQ299" s="6260" t="s">
        <v>5408</v>
      </c>
      <c r="AR299" s="6400" t="s">
        <v>5409</v>
      </c>
      <c r="AS299" s="6260" t="s">
        <v>5410</v>
      </c>
      <c r="AT299" s="5300" t="s">
        <v>5411</v>
      </c>
      <c r="AU299" s="5300" t="s">
        <v>5412</v>
      </c>
      <c r="AV299" s="6260" t="s">
        <v>5413</v>
      </c>
      <c r="AW299" s="6260" t="s">
        <v>5414</v>
      </c>
      <c r="AX299" s="4260"/>
      <c r="AY299" s="6391"/>
      <c r="AZ299" s="6391"/>
      <c r="BA299" s="6391"/>
      <c r="BB299" s="4291"/>
      <c r="BC299" s="4291"/>
      <c r="BD299" s="4291"/>
      <c r="BE299" s="4291"/>
      <c r="BF299" s="4291"/>
      <c r="BG299" s="4291"/>
      <c r="BH299" s="4264"/>
      <c r="BI299" s="4264"/>
      <c r="BJ299" s="4264"/>
      <c r="CD299" s="6197"/>
    </row>
    <row r="300" spans="1:114" ht="16.350000000000001" customHeight="1" x14ac:dyDescent="0.25">
      <c r="A300" s="7278" t="s">
        <v>4575</v>
      </c>
      <c r="B300" s="9055"/>
      <c r="C300" s="6169" t="s">
        <v>732</v>
      </c>
      <c r="D300" s="6326" t="s">
        <v>5369</v>
      </c>
      <c r="E300" s="6327" t="s">
        <v>5370</v>
      </c>
      <c r="F300" s="6518" t="s">
        <v>5371</v>
      </c>
      <c r="G300" s="4369" t="s">
        <v>5372</v>
      </c>
      <c r="H300" s="4457" t="s">
        <v>5373</v>
      </c>
      <c r="I300" s="4369" t="s">
        <v>5374</v>
      </c>
      <c r="J300" s="4457" t="s">
        <v>5375</v>
      </c>
      <c r="K300" s="4369" t="s">
        <v>5376</v>
      </c>
      <c r="L300" s="4457" t="s">
        <v>5377</v>
      </c>
      <c r="M300" s="4369" t="s">
        <v>5378</v>
      </c>
      <c r="N300" s="4457" t="s">
        <v>5379</v>
      </c>
      <c r="O300" s="4369" t="s">
        <v>5380</v>
      </c>
      <c r="P300" s="4371" t="s">
        <v>5381</v>
      </c>
      <c r="Q300" s="4369" t="s">
        <v>5382</v>
      </c>
      <c r="R300" s="4457" t="s">
        <v>5383</v>
      </c>
      <c r="S300" s="6338" t="s">
        <v>5384</v>
      </c>
      <c r="T300" s="4371" t="s">
        <v>5385</v>
      </c>
      <c r="U300" s="4369" t="s">
        <v>5386</v>
      </c>
      <c r="V300" s="4457" t="s">
        <v>5387</v>
      </c>
      <c r="W300" s="6338" t="s">
        <v>5388</v>
      </c>
      <c r="X300" s="4371" t="s">
        <v>5389</v>
      </c>
      <c r="Y300" s="4369" t="s">
        <v>5390</v>
      </c>
      <c r="Z300" s="4457" t="s">
        <v>5391</v>
      </c>
      <c r="AA300" s="6338" t="s">
        <v>5392</v>
      </c>
      <c r="AB300" s="4371" t="s">
        <v>5393</v>
      </c>
      <c r="AC300" s="4369" t="s">
        <v>5394</v>
      </c>
      <c r="AD300" s="4457" t="s">
        <v>5395</v>
      </c>
      <c r="AE300" s="6338" t="s">
        <v>5396</v>
      </c>
      <c r="AF300" s="4371" t="s">
        <v>5397</v>
      </c>
      <c r="AG300" s="4369" t="s">
        <v>5398</v>
      </c>
      <c r="AH300" s="4457" t="s">
        <v>5399</v>
      </c>
      <c r="AI300" s="6338" t="s">
        <v>5400</v>
      </c>
      <c r="AJ300" s="4371" t="s">
        <v>5401</v>
      </c>
      <c r="AK300" s="4369" t="s">
        <v>5402</v>
      </c>
      <c r="AL300" s="4457" t="s">
        <v>5403</v>
      </c>
      <c r="AM300" s="6338" t="s">
        <v>5404</v>
      </c>
      <c r="AN300" s="6193" t="s">
        <v>5405</v>
      </c>
      <c r="AO300" s="6338" t="s">
        <v>5406</v>
      </c>
      <c r="AP300" s="6338" t="s">
        <v>5407</v>
      </c>
      <c r="AQ300" s="5330" t="s">
        <v>5408</v>
      </c>
      <c r="AR300" s="4369" t="s">
        <v>5409</v>
      </c>
      <c r="AS300" s="5330" t="s">
        <v>5410</v>
      </c>
      <c r="AT300" s="4460" t="s">
        <v>5411</v>
      </c>
      <c r="AU300" s="4460" t="s">
        <v>5412</v>
      </c>
      <c r="AV300" s="5330" t="s">
        <v>5413</v>
      </c>
      <c r="AW300" s="5330" t="s">
        <v>5414</v>
      </c>
      <c r="AX300" s="4260"/>
      <c r="AY300" s="6391"/>
      <c r="AZ300" s="6391"/>
      <c r="BA300" s="6391"/>
      <c r="BB300" s="4291"/>
      <c r="BC300" s="4291"/>
      <c r="BD300" s="4291"/>
      <c r="BE300" s="4291"/>
      <c r="BF300" s="4291"/>
      <c r="BG300" s="4291"/>
      <c r="BH300" s="4264"/>
      <c r="BI300" s="4264"/>
      <c r="BJ300" s="4264"/>
      <c r="CD300" s="6197"/>
      <c r="DC300" s="5899">
        <v>0</v>
      </c>
      <c r="DE300" s="5899">
        <v>0</v>
      </c>
      <c r="DG300" s="5899">
        <v>0</v>
      </c>
      <c r="DI300" s="5899">
        <v>0</v>
      </c>
      <c r="DJ300" s="5899">
        <v>0</v>
      </c>
    </row>
    <row r="301" spans="1:114" ht="16.350000000000001" customHeight="1" x14ac:dyDescent="0.25">
      <c r="A301" s="7278" t="s">
        <v>4576</v>
      </c>
      <c r="B301" s="9055"/>
      <c r="C301" s="6169" t="s">
        <v>731</v>
      </c>
      <c r="D301" s="6326" t="s">
        <v>5369</v>
      </c>
      <c r="E301" s="6327" t="s">
        <v>5370</v>
      </c>
      <c r="F301" s="6518" t="s">
        <v>5371</v>
      </c>
      <c r="G301" s="4369" t="s">
        <v>5372</v>
      </c>
      <c r="H301" s="4457" t="s">
        <v>5373</v>
      </c>
      <c r="I301" s="4369" t="s">
        <v>5374</v>
      </c>
      <c r="J301" s="4457" t="s">
        <v>5375</v>
      </c>
      <c r="K301" s="4369" t="s">
        <v>5376</v>
      </c>
      <c r="L301" s="4457" t="s">
        <v>5377</v>
      </c>
      <c r="M301" s="4369" t="s">
        <v>5378</v>
      </c>
      <c r="N301" s="4457" t="s">
        <v>5379</v>
      </c>
      <c r="O301" s="4369" t="s">
        <v>5380</v>
      </c>
      <c r="P301" s="4371" t="s">
        <v>5381</v>
      </c>
      <c r="Q301" s="4369" t="s">
        <v>5382</v>
      </c>
      <c r="R301" s="4457" t="s">
        <v>5383</v>
      </c>
      <c r="S301" s="6338" t="s">
        <v>5384</v>
      </c>
      <c r="T301" s="4371" t="s">
        <v>5385</v>
      </c>
      <c r="U301" s="4369" t="s">
        <v>5386</v>
      </c>
      <c r="V301" s="4457" t="s">
        <v>5387</v>
      </c>
      <c r="W301" s="6338" t="s">
        <v>5388</v>
      </c>
      <c r="X301" s="4371" t="s">
        <v>5389</v>
      </c>
      <c r="Y301" s="4369" t="s">
        <v>5390</v>
      </c>
      <c r="Z301" s="4457" t="s">
        <v>5391</v>
      </c>
      <c r="AA301" s="6338" t="s">
        <v>5392</v>
      </c>
      <c r="AB301" s="4371" t="s">
        <v>5393</v>
      </c>
      <c r="AC301" s="4369" t="s">
        <v>5394</v>
      </c>
      <c r="AD301" s="4457" t="s">
        <v>5395</v>
      </c>
      <c r="AE301" s="6338" t="s">
        <v>5396</v>
      </c>
      <c r="AF301" s="4371" t="s">
        <v>5397</v>
      </c>
      <c r="AG301" s="4369" t="s">
        <v>5398</v>
      </c>
      <c r="AH301" s="4457" t="s">
        <v>5399</v>
      </c>
      <c r="AI301" s="6338" t="s">
        <v>5400</v>
      </c>
      <c r="AJ301" s="4371" t="s">
        <v>5401</v>
      </c>
      <c r="AK301" s="4369" t="s">
        <v>5402</v>
      </c>
      <c r="AL301" s="4457" t="s">
        <v>5403</v>
      </c>
      <c r="AM301" s="6338" t="s">
        <v>5404</v>
      </c>
      <c r="AN301" s="6193" t="s">
        <v>5405</v>
      </c>
      <c r="AO301" s="6338" t="s">
        <v>5406</v>
      </c>
      <c r="AP301" s="6338" t="s">
        <v>5407</v>
      </c>
      <c r="AQ301" s="5330" t="s">
        <v>5408</v>
      </c>
      <c r="AR301" s="4369" t="s">
        <v>5409</v>
      </c>
      <c r="AS301" s="5330" t="s">
        <v>5410</v>
      </c>
      <c r="AT301" s="4460" t="s">
        <v>5411</v>
      </c>
      <c r="AU301" s="4460" t="s">
        <v>5412</v>
      </c>
      <c r="AV301" s="5330" t="s">
        <v>5413</v>
      </c>
      <c r="AW301" s="5330" t="s">
        <v>5414</v>
      </c>
      <c r="AX301" s="4260"/>
      <c r="AY301" s="6391"/>
      <c r="AZ301" s="6391"/>
      <c r="BA301" s="6391"/>
      <c r="BB301" s="4291"/>
      <c r="BC301" s="4291"/>
      <c r="BD301" s="4291"/>
      <c r="BE301" s="4291"/>
      <c r="BF301" s="4291"/>
      <c r="BG301" s="4291"/>
      <c r="BH301" s="4264"/>
      <c r="BI301" s="4264"/>
      <c r="BJ301" s="4264"/>
      <c r="CD301" s="6197"/>
    </row>
    <row r="302" spans="1:114" ht="16.350000000000001" customHeight="1" x14ac:dyDescent="0.25">
      <c r="A302" s="7278" t="s">
        <v>4577</v>
      </c>
      <c r="B302" s="9055"/>
      <c r="C302" s="6169" t="s">
        <v>730</v>
      </c>
      <c r="D302" s="6326" t="s">
        <v>5369</v>
      </c>
      <c r="E302" s="6327" t="s">
        <v>5370</v>
      </c>
      <c r="F302" s="6518" t="s">
        <v>5371</v>
      </c>
      <c r="G302" s="4369" t="s">
        <v>5372</v>
      </c>
      <c r="H302" s="4457" t="s">
        <v>5373</v>
      </c>
      <c r="I302" s="4369" t="s">
        <v>5374</v>
      </c>
      <c r="J302" s="4457" t="s">
        <v>5375</v>
      </c>
      <c r="K302" s="4369" t="s">
        <v>5376</v>
      </c>
      <c r="L302" s="4457" t="s">
        <v>5377</v>
      </c>
      <c r="M302" s="4369" t="s">
        <v>5378</v>
      </c>
      <c r="N302" s="4457" t="s">
        <v>5379</v>
      </c>
      <c r="O302" s="4369" t="s">
        <v>5380</v>
      </c>
      <c r="P302" s="4371" t="s">
        <v>5381</v>
      </c>
      <c r="Q302" s="4369" t="s">
        <v>5382</v>
      </c>
      <c r="R302" s="4457" t="s">
        <v>5383</v>
      </c>
      <c r="S302" s="6338" t="s">
        <v>5384</v>
      </c>
      <c r="T302" s="4371" t="s">
        <v>5385</v>
      </c>
      <c r="U302" s="4369" t="s">
        <v>5386</v>
      </c>
      <c r="V302" s="4457" t="s">
        <v>5387</v>
      </c>
      <c r="W302" s="6338" t="s">
        <v>5388</v>
      </c>
      <c r="X302" s="4371" t="s">
        <v>5389</v>
      </c>
      <c r="Y302" s="4369" t="s">
        <v>5390</v>
      </c>
      <c r="Z302" s="4457" t="s">
        <v>5391</v>
      </c>
      <c r="AA302" s="6338" t="s">
        <v>5392</v>
      </c>
      <c r="AB302" s="4371" t="s">
        <v>5393</v>
      </c>
      <c r="AC302" s="4369" t="s">
        <v>5394</v>
      </c>
      <c r="AD302" s="4457" t="s">
        <v>5395</v>
      </c>
      <c r="AE302" s="6338" t="s">
        <v>5396</v>
      </c>
      <c r="AF302" s="4371" t="s">
        <v>5397</v>
      </c>
      <c r="AG302" s="4369" t="s">
        <v>5398</v>
      </c>
      <c r="AH302" s="4457" t="s">
        <v>5399</v>
      </c>
      <c r="AI302" s="6338" t="s">
        <v>5400</v>
      </c>
      <c r="AJ302" s="4371" t="s">
        <v>5401</v>
      </c>
      <c r="AK302" s="4369" t="s">
        <v>5402</v>
      </c>
      <c r="AL302" s="4457" t="s">
        <v>5403</v>
      </c>
      <c r="AM302" s="6338" t="s">
        <v>5404</v>
      </c>
      <c r="AN302" s="6193" t="s">
        <v>5405</v>
      </c>
      <c r="AO302" s="6338" t="s">
        <v>5406</v>
      </c>
      <c r="AP302" s="6338" t="s">
        <v>5407</v>
      </c>
      <c r="AQ302" s="5330" t="s">
        <v>5408</v>
      </c>
      <c r="AR302" s="4369" t="s">
        <v>5409</v>
      </c>
      <c r="AS302" s="5330" t="s">
        <v>5410</v>
      </c>
      <c r="AT302" s="4460" t="s">
        <v>5411</v>
      </c>
      <c r="AU302" s="4460" t="s">
        <v>5412</v>
      </c>
      <c r="AV302" s="5330" t="s">
        <v>5413</v>
      </c>
      <c r="AW302" s="5330" t="s">
        <v>5414</v>
      </c>
      <c r="AX302" s="4260"/>
      <c r="AY302" s="6391"/>
      <c r="AZ302" s="6391"/>
      <c r="BA302" s="6391"/>
      <c r="BB302" s="4291"/>
      <c r="BC302" s="4291"/>
      <c r="BD302" s="4291"/>
      <c r="BE302" s="4291"/>
      <c r="BF302" s="4291"/>
      <c r="BG302" s="4291"/>
      <c r="BH302" s="4264"/>
      <c r="BI302" s="4264"/>
      <c r="BJ302" s="4264"/>
      <c r="CD302" s="6197"/>
    </row>
    <row r="303" spans="1:114" ht="16.350000000000001" customHeight="1" x14ac:dyDescent="0.25">
      <c r="A303" s="7278" t="s">
        <v>4578</v>
      </c>
      <c r="B303" s="9055"/>
      <c r="C303" s="6169" t="s">
        <v>729</v>
      </c>
      <c r="D303" s="6326" t="s">
        <v>5369</v>
      </c>
      <c r="E303" s="6327" t="s">
        <v>5370</v>
      </c>
      <c r="F303" s="6518" t="s">
        <v>5371</v>
      </c>
      <c r="G303" s="4369" t="s">
        <v>5372</v>
      </c>
      <c r="H303" s="4457" t="s">
        <v>5373</v>
      </c>
      <c r="I303" s="4369" t="s">
        <v>5374</v>
      </c>
      <c r="J303" s="4457" t="s">
        <v>5375</v>
      </c>
      <c r="K303" s="4369" t="s">
        <v>5376</v>
      </c>
      <c r="L303" s="4457" t="s">
        <v>5377</v>
      </c>
      <c r="M303" s="4369" t="s">
        <v>5378</v>
      </c>
      <c r="N303" s="4457" t="s">
        <v>5379</v>
      </c>
      <c r="O303" s="4369" t="s">
        <v>5380</v>
      </c>
      <c r="P303" s="4371" t="s">
        <v>5381</v>
      </c>
      <c r="Q303" s="4369" t="s">
        <v>5382</v>
      </c>
      <c r="R303" s="4457" t="s">
        <v>5383</v>
      </c>
      <c r="S303" s="6338" t="s">
        <v>5384</v>
      </c>
      <c r="T303" s="4371" t="s">
        <v>5385</v>
      </c>
      <c r="U303" s="4369" t="s">
        <v>5386</v>
      </c>
      <c r="V303" s="4457" t="s">
        <v>5387</v>
      </c>
      <c r="W303" s="6338" t="s">
        <v>5388</v>
      </c>
      <c r="X303" s="4371" t="s">
        <v>5389</v>
      </c>
      <c r="Y303" s="4369" t="s">
        <v>5390</v>
      </c>
      <c r="Z303" s="4457" t="s">
        <v>5391</v>
      </c>
      <c r="AA303" s="6338" t="s">
        <v>5392</v>
      </c>
      <c r="AB303" s="4371" t="s">
        <v>5393</v>
      </c>
      <c r="AC303" s="4369" t="s">
        <v>5394</v>
      </c>
      <c r="AD303" s="4457" t="s">
        <v>5395</v>
      </c>
      <c r="AE303" s="6338" t="s">
        <v>5396</v>
      </c>
      <c r="AF303" s="4371" t="s">
        <v>5397</v>
      </c>
      <c r="AG303" s="4369" t="s">
        <v>5398</v>
      </c>
      <c r="AH303" s="4457" t="s">
        <v>5399</v>
      </c>
      <c r="AI303" s="6338" t="s">
        <v>5400</v>
      </c>
      <c r="AJ303" s="4371" t="s">
        <v>5401</v>
      </c>
      <c r="AK303" s="4369" t="s">
        <v>5402</v>
      </c>
      <c r="AL303" s="4457" t="s">
        <v>5403</v>
      </c>
      <c r="AM303" s="6338" t="s">
        <v>5404</v>
      </c>
      <c r="AN303" s="6193" t="s">
        <v>5405</v>
      </c>
      <c r="AO303" s="6338" t="s">
        <v>5406</v>
      </c>
      <c r="AP303" s="6338" t="s">
        <v>5407</v>
      </c>
      <c r="AQ303" s="5330" t="s">
        <v>5408</v>
      </c>
      <c r="AR303" s="4369" t="s">
        <v>5409</v>
      </c>
      <c r="AS303" s="5330" t="s">
        <v>5410</v>
      </c>
      <c r="AT303" s="4460" t="s">
        <v>5411</v>
      </c>
      <c r="AU303" s="4460" t="s">
        <v>5412</v>
      </c>
      <c r="AV303" s="5330" t="s">
        <v>5413</v>
      </c>
      <c r="AW303" s="5330" t="s">
        <v>5414</v>
      </c>
      <c r="AX303" s="4260"/>
      <c r="AY303" s="6391"/>
      <c r="AZ303" s="6391"/>
      <c r="BA303" s="6391"/>
      <c r="BB303" s="4291"/>
      <c r="BC303" s="4291"/>
      <c r="BD303" s="4291"/>
      <c r="BE303" s="4291"/>
      <c r="BF303" s="4291"/>
      <c r="BG303" s="4291"/>
      <c r="BH303" s="4264"/>
      <c r="BI303" s="4264"/>
      <c r="BJ303" s="4264"/>
      <c r="CD303" s="6197"/>
    </row>
    <row r="304" spans="1:114" ht="15.75" customHeight="1" x14ac:dyDescent="0.25">
      <c r="A304" s="7278" t="s">
        <v>4579</v>
      </c>
      <c r="B304" s="9055"/>
      <c r="C304" s="6169" t="s">
        <v>728</v>
      </c>
      <c r="D304" s="6326" t="s">
        <v>5369</v>
      </c>
      <c r="E304" s="6327" t="s">
        <v>5370</v>
      </c>
      <c r="F304" s="6518" t="s">
        <v>5371</v>
      </c>
      <c r="G304" s="4369" t="s">
        <v>5372</v>
      </c>
      <c r="H304" s="4457" t="s">
        <v>5373</v>
      </c>
      <c r="I304" s="4369" t="s">
        <v>5374</v>
      </c>
      <c r="J304" s="4457" t="s">
        <v>5375</v>
      </c>
      <c r="K304" s="4369" t="s">
        <v>5376</v>
      </c>
      <c r="L304" s="4457" t="s">
        <v>5377</v>
      </c>
      <c r="M304" s="4369" t="s">
        <v>5378</v>
      </c>
      <c r="N304" s="4457" t="s">
        <v>5379</v>
      </c>
      <c r="O304" s="4369" t="s">
        <v>5380</v>
      </c>
      <c r="P304" s="4371" t="s">
        <v>5381</v>
      </c>
      <c r="Q304" s="4369" t="s">
        <v>5382</v>
      </c>
      <c r="R304" s="4457" t="s">
        <v>5383</v>
      </c>
      <c r="S304" s="6338" t="s">
        <v>5384</v>
      </c>
      <c r="T304" s="4371" t="s">
        <v>5385</v>
      </c>
      <c r="U304" s="4369" t="s">
        <v>5386</v>
      </c>
      <c r="V304" s="4457" t="s">
        <v>5387</v>
      </c>
      <c r="W304" s="6338" t="s">
        <v>5388</v>
      </c>
      <c r="X304" s="4371" t="s">
        <v>5389</v>
      </c>
      <c r="Y304" s="4369" t="s">
        <v>5390</v>
      </c>
      <c r="Z304" s="4457" t="s">
        <v>5391</v>
      </c>
      <c r="AA304" s="6338" t="s">
        <v>5392</v>
      </c>
      <c r="AB304" s="4371" t="s">
        <v>5393</v>
      </c>
      <c r="AC304" s="4369" t="s">
        <v>5394</v>
      </c>
      <c r="AD304" s="4457" t="s">
        <v>5395</v>
      </c>
      <c r="AE304" s="6338" t="s">
        <v>5396</v>
      </c>
      <c r="AF304" s="4371" t="s">
        <v>5397</v>
      </c>
      <c r="AG304" s="4369" t="s">
        <v>5398</v>
      </c>
      <c r="AH304" s="4457" t="s">
        <v>5399</v>
      </c>
      <c r="AI304" s="6338" t="s">
        <v>5400</v>
      </c>
      <c r="AJ304" s="4371" t="s">
        <v>5401</v>
      </c>
      <c r="AK304" s="4369" t="s">
        <v>5402</v>
      </c>
      <c r="AL304" s="4457" t="s">
        <v>5403</v>
      </c>
      <c r="AM304" s="6338" t="s">
        <v>5404</v>
      </c>
      <c r="AN304" s="6193" t="s">
        <v>5405</v>
      </c>
      <c r="AO304" s="6338" t="s">
        <v>5406</v>
      </c>
      <c r="AP304" s="6338" t="s">
        <v>5407</v>
      </c>
      <c r="AQ304" s="5330" t="s">
        <v>5408</v>
      </c>
      <c r="AR304" s="4369" t="s">
        <v>5409</v>
      </c>
      <c r="AS304" s="5330" t="s">
        <v>5410</v>
      </c>
      <c r="AT304" s="4460" t="s">
        <v>5411</v>
      </c>
      <c r="AU304" s="4460" t="s">
        <v>5412</v>
      </c>
      <c r="AV304" s="5330" t="s">
        <v>5413</v>
      </c>
      <c r="AW304" s="5330" t="s">
        <v>5414</v>
      </c>
      <c r="AX304" s="4260"/>
      <c r="BB304" s="4264"/>
      <c r="BC304" s="4264"/>
      <c r="BD304" s="4264"/>
      <c r="BE304" s="4264"/>
      <c r="BF304" s="4264"/>
      <c r="BG304" s="4264"/>
      <c r="BH304" s="4264"/>
      <c r="BI304" s="4264"/>
      <c r="BJ304" s="4264"/>
      <c r="BK304" s="4264"/>
      <c r="BL304" s="4264"/>
      <c r="BM304" s="4264"/>
      <c r="BN304" s="4264"/>
      <c r="CD304" s="6197"/>
    </row>
    <row r="305" spans="1:116" ht="16.350000000000001" customHeight="1" x14ac:dyDescent="0.25">
      <c r="A305" s="7278" t="s">
        <v>4580</v>
      </c>
      <c r="B305" s="9055"/>
      <c r="C305" s="6169" t="s">
        <v>727</v>
      </c>
      <c r="D305" s="6326" t="s">
        <v>5369</v>
      </c>
      <c r="E305" s="6327" t="s">
        <v>5370</v>
      </c>
      <c r="F305" s="6518" t="s">
        <v>5371</v>
      </c>
      <c r="G305" s="4369" t="s">
        <v>5372</v>
      </c>
      <c r="H305" s="4457" t="s">
        <v>5373</v>
      </c>
      <c r="I305" s="4369" t="s">
        <v>5374</v>
      </c>
      <c r="J305" s="4457" t="s">
        <v>5375</v>
      </c>
      <c r="K305" s="4369" t="s">
        <v>5376</v>
      </c>
      <c r="L305" s="4457" t="s">
        <v>5377</v>
      </c>
      <c r="M305" s="4369" t="s">
        <v>5378</v>
      </c>
      <c r="N305" s="4457" t="s">
        <v>5379</v>
      </c>
      <c r="O305" s="4369" t="s">
        <v>5380</v>
      </c>
      <c r="P305" s="4371" t="s">
        <v>5381</v>
      </c>
      <c r="Q305" s="4369" t="s">
        <v>5382</v>
      </c>
      <c r="R305" s="4457" t="s">
        <v>5383</v>
      </c>
      <c r="S305" s="6338" t="s">
        <v>5384</v>
      </c>
      <c r="T305" s="4371" t="s">
        <v>5385</v>
      </c>
      <c r="U305" s="4369" t="s">
        <v>5386</v>
      </c>
      <c r="V305" s="4457" t="s">
        <v>5387</v>
      </c>
      <c r="W305" s="6338" t="s">
        <v>5388</v>
      </c>
      <c r="X305" s="4371" t="s">
        <v>5389</v>
      </c>
      <c r="Y305" s="4369" t="s">
        <v>5390</v>
      </c>
      <c r="Z305" s="4457" t="s">
        <v>5391</v>
      </c>
      <c r="AA305" s="6338" t="s">
        <v>5392</v>
      </c>
      <c r="AB305" s="4371" t="s">
        <v>5393</v>
      </c>
      <c r="AC305" s="4369" t="s">
        <v>5394</v>
      </c>
      <c r="AD305" s="4457" t="s">
        <v>5395</v>
      </c>
      <c r="AE305" s="6338" t="s">
        <v>5396</v>
      </c>
      <c r="AF305" s="4371" t="s">
        <v>5397</v>
      </c>
      <c r="AG305" s="4369" t="s">
        <v>5398</v>
      </c>
      <c r="AH305" s="4457" t="s">
        <v>5399</v>
      </c>
      <c r="AI305" s="6338" t="s">
        <v>5400</v>
      </c>
      <c r="AJ305" s="4371" t="s">
        <v>5401</v>
      </c>
      <c r="AK305" s="4369" t="s">
        <v>5402</v>
      </c>
      <c r="AL305" s="4457" t="s">
        <v>5403</v>
      </c>
      <c r="AM305" s="6338" t="s">
        <v>5404</v>
      </c>
      <c r="AN305" s="6193" t="s">
        <v>5405</v>
      </c>
      <c r="AO305" s="6338" t="s">
        <v>5406</v>
      </c>
      <c r="AP305" s="6338" t="s">
        <v>5407</v>
      </c>
      <c r="AQ305" s="5330" t="s">
        <v>5408</v>
      </c>
      <c r="AR305" s="4369" t="s">
        <v>5409</v>
      </c>
      <c r="AS305" s="5330" t="s">
        <v>5410</v>
      </c>
      <c r="AT305" s="4460" t="s">
        <v>5411</v>
      </c>
      <c r="AU305" s="4460" t="s">
        <v>5412</v>
      </c>
      <c r="AV305" s="5330" t="s">
        <v>5413</v>
      </c>
      <c r="AW305" s="5330" t="s">
        <v>5414</v>
      </c>
      <c r="AX305" s="4260"/>
      <c r="BB305" s="4264"/>
      <c r="BC305" s="4264"/>
      <c r="BD305" s="4264"/>
      <c r="BE305" s="4264"/>
      <c r="BF305" s="4264"/>
      <c r="BG305" s="4264"/>
      <c r="BH305" s="4264"/>
      <c r="BI305" s="4264"/>
      <c r="BJ305" s="4264"/>
      <c r="BK305" s="4264"/>
      <c r="BL305" s="4264"/>
      <c r="BM305" s="4264"/>
      <c r="BZ305" s="4259"/>
      <c r="CE305" s="6197"/>
    </row>
    <row r="306" spans="1:116" ht="16.350000000000001" customHeight="1" x14ac:dyDescent="0.25">
      <c r="A306" s="7278" t="s">
        <v>4581</v>
      </c>
      <c r="B306" s="9212"/>
      <c r="C306" s="6638" t="s">
        <v>726</v>
      </c>
      <c r="D306" s="6392" t="s">
        <v>5369</v>
      </c>
      <c r="E306" s="6393" t="s">
        <v>5370</v>
      </c>
      <c r="F306" s="6500" t="s">
        <v>5371</v>
      </c>
      <c r="G306" s="4387" t="s">
        <v>5372</v>
      </c>
      <c r="H306" s="4465" t="s">
        <v>5373</v>
      </c>
      <c r="I306" s="4387" t="s">
        <v>5374</v>
      </c>
      <c r="J306" s="4465" t="s">
        <v>5375</v>
      </c>
      <c r="K306" s="4387" t="s">
        <v>5376</v>
      </c>
      <c r="L306" s="4465" t="s">
        <v>5377</v>
      </c>
      <c r="M306" s="4387" t="s">
        <v>5378</v>
      </c>
      <c r="N306" s="4465" t="s">
        <v>5379</v>
      </c>
      <c r="O306" s="4387" t="s">
        <v>5380</v>
      </c>
      <c r="P306" s="4395" t="s">
        <v>5381</v>
      </c>
      <c r="Q306" s="4387" t="s">
        <v>5382</v>
      </c>
      <c r="R306" s="4465" t="s">
        <v>5383</v>
      </c>
      <c r="S306" s="4389" t="s">
        <v>5384</v>
      </c>
      <c r="T306" s="4395" t="s">
        <v>5385</v>
      </c>
      <c r="U306" s="4387" t="s">
        <v>5386</v>
      </c>
      <c r="V306" s="4465" t="s">
        <v>5387</v>
      </c>
      <c r="W306" s="4389" t="s">
        <v>5388</v>
      </c>
      <c r="X306" s="4395" t="s">
        <v>5389</v>
      </c>
      <c r="Y306" s="4387" t="s">
        <v>5390</v>
      </c>
      <c r="Z306" s="4465" t="s">
        <v>5391</v>
      </c>
      <c r="AA306" s="4389" t="s">
        <v>5392</v>
      </c>
      <c r="AB306" s="4395" t="s">
        <v>5393</v>
      </c>
      <c r="AC306" s="4387" t="s">
        <v>5394</v>
      </c>
      <c r="AD306" s="4465" t="s">
        <v>5395</v>
      </c>
      <c r="AE306" s="4389" t="s">
        <v>5396</v>
      </c>
      <c r="AF306" s="4395" t="s">
        <v>5397</v>
      </c>
      <c r="AG306" s="4387" t="s">
        <v>5398</v>
      </c>
      <c r="AH306" s="4465" t="s">
        <v>5399</v>
      </c>
      <c r="AI306" s="4389" t="s">
        <v>5400</v>
      </c>
      <c r="AJ306" s="4395" t="s">
        <v>5401</v>
      </c>
      <c r="AK306" s="4387" t="s">
        <v>5402</v>
      </c>
      <c r="AL306" s="4465" t="s">
        <v>5403</v>
      </c>
      <c r="AM306" s="4389" t="s">
        <v>5404</v>
      </c>
      <c r="AN306" s="6546" t="s">
        <v>5405</v>
      </c>
      <c r="AO306" s="4389" t="s">
        <v>5406</v>
      </c>
      <c r="AP306" s="4389" t="s">
        <v>5407</v>
      </c>
      <c r="AQ306" s="4479" t="s">
        <v>5408</v>
      </c>
      <c r="AR306" s="4387" t="s">
        <v>5409</v>
      </c>
      <c r="AS306" s="4479" t="s">
        <v>5410</v>
      </c>
      <c r="AT306" s="4468" t="s">
        <v>5411</v>
      </c>
      <c r="AU306" s="4479" t="s">
        <v>5412</v>
      </c>
      <c r="AV306" s="4479" t="s">
        <v>5413</v>
      </c>
      <c r="AW306" s="4479" t="s">
        <v>5414</v>
      </c>
      <c r="AX306" s="4260"/>
      <c r="AY306" s="6630"/>
      <c r="AZ306" s="6184"/>
      <c r="BA306" s="6184"/>
      <c r="BB306" s="4264"/>
      <c r="BC306" s="4264"/>
      <c r="BD306" s="4264"/>
      <c r="BE306" s="4264"/>
      <c r="BF306" s="4264"/>
      <c r="BG306" s="4264"/>
      <c r="BH306" s="4264"/>
      <c r="BI306" s="4264"/>
      <c r="BJ306" s="4264"/>
      <c r="BK306" s="4264"/>
      <c r="BL306" s="4264"/>
      <c r="BM306" s="4264"/>
      <c r="CE306" s="6197"/>
      <c r="DC306" s="5899">
        <v>0</v>
      </c>
      <c r="DE306" s="5899">
        <v>0</v>
      </c>
      <c r="DG306" s="5899">
        <v>0</v>
      </c>
      <c r="DI306" s="5899">
        <v>0</v>
      </c>
      <c r="DJ306" s="5899">
        <v>0</v>
      </c>
    </row>
    <row r="307" spans="1:116" ht="21" customHeight="1" x14ac:dyDescent="0.25">
      <c r="A307" s="7280"/>
      <c r="B307" s="4469" t="s">
        <v>3164</v>
      </c>
      <c r="C307" s="6308"/>
      <c r="AX307" s="5509"/>
      <c r="AY307" s="6630"/>
      <c r="AZ307" s="6184"/>
      <c r="BA307" s="6184"/>
      <c r="BB307" s="4264"/>
      <c r="BC307" s="4264"/>
      <c r="BD307" s="4264"/>
      <c r="BE307" s="4264"/>
      <c r="BF307" s="4264"/>
      <c r="BG307" s="4264"/>
      <c r="BH307" s="4264"/>
      <c r="BI307" s="4264"/>
      <c r="BJ307" s="4264"/>
      <c r="BK307" s="4264"/>
      <c r="BL307" s="4264"/>
      <c r="BM307" s="4264"/>
    </row>
    <row r="308" spans="1:116" ht="16.350000000000001" customHeight="1" x14ac:dyDescent="0.25">
      <c r="A308" s="7280"/>
      <c r="B308" s="9090" t="s">
        <v>31</v>
      </c>
      <c r="C308" s="9091"/>
      <c r="D308" s="9213" t="s">
        <v>39</v>
      </c>
      <c r="E308" s="9214"/>
      <c r="F308" s="9215"/>
      <c r="G308" s="9383" t="s">
        <v>725</v>
      </c>
      <c r="H308" s="9384"/>
      <c r="I308" s="9384"/>
      <c r="J308" s="9384"/>
      <c r="K308" s="9384"/>
      <c r="L308" s="9384"/>
      <c r="M308" s="9384"/>
      <c r="N308" s="9384"/>
      <c r="O308" s="9384"/>
      <c r="P308" s="9384"/>
      <c r="Q308" s="9384"/>
      <c r="R308" s="9384"/>
      <c r="S308" s="9384"/>
      <c r="T308" s="9384"/>
      <c r="U308" s="9384"/>
      <c r="V308" s="9384"/>
      <c r="W308" s="9384"/>
      <c r="X308" s="9384"/>
      <c r="Y308" s="9384"/>
      <c r="Z308" s="9384"/>
      <c r="AA308" s="9384"/>
      <c r="AB308" s="9384"/>
      <c r="AC308" s="9384"/>
      <c r="AD308" s="9384"/>
      <c r="AE308" s="9384"/>
      <c r="AF308" s="9384"/>
      <c r="AG308" s="9384"/>
      <c r="AH308" s="9384"/>
      <c r="AI308" s="9384"/>
      <c r="AJ308" s="9384"/>
      <c r="AK308" s="9384"/>
      <c r="AL308" s="9384"/>
      <c r="AM308" s="9384"/>
      <c r="AN308" s="9384"/>
      <c r="AO308" s="9384"/>
      <c r="AP308" s="9384"/>
      <c r="AQ308" s="9384"/>
      <c r="AR308" s="9385"/>
      <c r="AS308" s="9386" t="s">
        <v>713</v>
      </c>
      <c r="AT308" s="9387"/>
      <c r="AU308" s="9382" t="s">
        <v>362</v>
      </c>
      <c r="AV308" s="9382" t="s">
        <v>361</v>
      </c>
      <c r="AW308" s="9382" t="s">
        <v>2956</v>
      </c>
      <c r="AX308" s="9382" t="s">
        <v>2615</v>
      </c>
      <c r="AY308" s="6391"/>
      <c r="AZ308" s="4291"/>
      <c r="BA308" s="4291"/>
      <c r="BB308" s="4291"/>
      <c r="BC308" s="4291"/>
      <c r="BD308" s="4291"/>
      <c r="BE308" s="4291"/>
      <c r="BF308" s="4264"/>
      <c r="BG308" s="4264"/>
      <c r="BH308" s="4264"/>
      <c r="BV308" s="4259"/>
      <c r="BY308" s="4259"/>
    </row>
    <row r="309" spans="1:116" ht="16.350000000000001" customHeight="1" x14ac:dyDescent="0.25">
      <c r="A309" s="7280"/>
      <c r="B309" s="9122"/>
      <c r="C309" s="9116"/>
      <c r="D309" s="9216"/>
      <c r="E309" s="9217"/>
      <c r="F309" s="9218"/>
      <c r="G309" s="9166" t="s">
        <v>724</v>
      </c>
      <c r="H309" s="9167"/>
      <c r="I309" s="9166" t="s">
        <v>723</v>
      </c>
      <c r="J309" s="9167"/>
      <c r="K309" s="9166" t="s">
        <v>722</v>
      </c>
      <c r="L309" s="9167"/>
      <c r="M309" s="9057" t="s">
        <v>1823</v>
      </c>
      <c r="N309" s="9059"/>
      <c r="O309" s="9057" t="s">
        <v>1415</v>
      </c>
      <c r="P309" s="9059"/>
      <c r="Q309" s="9057" t="s">
        <v>79</v>
      </c>
      <c r="R309" s="9059"/>
      <c r="S309" s="9057" t="s">
        <v>80</v>
      </c>
      <c r="T309" s="9059"/>
      <c r="U309" s="9057" t="s">
        <v>81</v>
      </c>
      <c r="V309" s="9059"/>
      <c r="W309" s="9057" t="s">
        <v>115</v>
      </c>
      <c r="X309" s="9058"/>
      <c r="Y309" s="9057" t="s">
        <v>116</v>
      </c>
      <c r="Z309" s="9058"/>
      <c r="AA309" s="9057" t="s">
        <v>117</v>
      </c>
      <c r="AB309" s="9058"/>
      <c r="AC309" s="9057" t="s">
        <v>118</v>
      </c>
      <c r="AD309" s="9058"/>
      <c r="AE309" s="9057" t="s">
        <v>119</v>
      </c>
      <c r="AF309" s="9058"/>
      <c r="AG309" s="9057" t="s">
        <v>120</v>
      </c>
      <c r="AH309" s="9058"/>
      <c r="AI309" s="9057" t="s">
        <v>1414</v>
      </c>
      <c r="AJ309" s="9058"/>
      <c r="AK309" s="9057" t="s">
        <v>1406</v>
      </c>
      <c r="AL309" s="9058"/>
      <c r="AM309" s="9057" t="s">
        <v>1397</v>
      </c>
      <c r="AN309" s="9058"/>
      <c r="AO309" s="9057" t="s">
        <v>1396</v>
      </c>
      <c r="AP309" s="9058"/>
      <c r="AQ309" s="9376" t="s">
        <v>2131</v>
      </c>
      <c r="AR309" s="9377"/>
      <c r="AS309" s="9388"/>
      <c r="AT309" s="9389"/>
      <c r="AU309" s="9062"/>
      <c r="AV309" s="9062"/>
      <c r="AW309" s="9062"/>
      <c r="AX309" s="9062"/>
      <c r="AY309" s="6391"/>
      <c r="AZ309" s="4291"/>
      <c r="BA309" s="4291"/>
      <c r="BB309" s="4291"/>
      <c r="BC309" s="4291"/>
      <c r="BD309" s="4291"/>
      <c r="BE309" s="4291"/>
      <c r="BF309" s="4264"/>
      <c r="BG309" s="4264"/>
      <c r="BH309" s="4264"/>
      <c r="BV309" s="4259"/>
      <c r="BY309" s="4259"/>
    </row>
    <row r="310" spans="1:116" ht="32.25" customHeight="1" x14ac:dyDescent="0.25">
      <c r="A310" s="7280"/>
      <c r="B310" s="9092"/>
      <c r="C310" s="9093"/>
      <c r="D310" s="6646" t="s">
        <v>42</v>
      </c>
      <c r="E310" s="6647" t="s">
        <v>17</v>
      </c>
      <c r="F310" s="6648" t="s">
        <v>18</v>
      </c>
      <c r="G310" s="4903" t="s">
        <v>708</v>
      </c>
      <c r="H310" s="6649" t="s">
        <v>18</v>
      </c>
      <c r="I310" s="4903" t="s">
        <v>708</v>
      </c>
      <c r="J310" s="6649" t="s">
        <v>18</v>
      </c>
      <c r="K310" s="4903" t="s">
        <v>708</v>
      </c>
      <c r="L310" s="6649" t="s">
        <v>18</v>
      </c>
      <c r="M310" s="4903" t="s">
        <v>708</v>
      </c>
      <c r="N310" s="6649" t="s">
        <v>18</v>
      </c>
      <c r="O310" s="4903" t="s">
        <v>708</v>
      </c>
      <c r="P310" s="6649" t="s">
        <v>18</v>
      </c>
      <c r="Q310" s="4903" t="s">
        <v>708</v>
      </c>
      <c r="R310" s="6649" t="s">
        <v>18</v>
      </c>
      <c r="S310" s="4903" t="s">
        <v>708</v>
      </c>
      <c r="T310" s="6649" t="s">
        <v>18</v>
      </c>
      <c r="U310" s="4903" t="s">
        <v>708</v>
      </c>
      <c r="V310" s="6649" t="s">
        <v>18</v>
      </c>
      <c r="W310" s="4903" t="s">
        <v>708</v>
      </c>
      <c r="X310" s="6649" t="s">
        <v>18</v>
      </c>
      <c r="Y310" s="4903" t="s">
        <v>708</v>
      </c>
      <c r="Z310" s="6649" t="s">
        <v>18</v>
      </c>
      <c r="AA310" s="4903" t="s">
        <v>708</v>
      </c>
      <c r="AB310" s="6649" t="s">
        <v>18</v>
      </c>
      <c r="AC310" s="4903" t="s">
        <v>708</v>
      </c>
      <c r="AD310" s="6649" t="s">
        <v>18</v>
      </c>
      <c r="AE310" s="4903" t="s">
        <v>708</v>
      </c>
      <c r="AF310" s="6649" t="s">
        <v>18</v>
      </c>
      <c r="AG310" s="4903" t="s">
        <v>708</v>
      </c>
      <c r="AH310" s="6649" t="s">
        <v>18</v>
      </c>
      <c r="AI310" s="4903" t="s">
        <v>708</v>
      </c>
      <c r="AJ310" s="6649" t="s">
        <v>18</v>
      </c>
      <c r="AK310" s="4903" t="s">
        <v>708</v>
      </c>
      <c r="AL310" s="6649" t="s">
        <v>18</v>
      </c>
      <c r="AM310" s="4903" t="s">
        <v>708</v>
      </c>
      <c r="AN310" s="6649" t="s">
        <v>18</v>
      </c>
      <c r="AO310" s="4903" t="s">
        <v>708</v>
      </c>
      <c r="AP310" s="6649" t="s">
        <v>18</v>
      </c>
      <c r="AQ310" s="6650" t="s">
        <v>708</v>
      </c>
      <c r="AR310" s="6651" t="s">
        <v>18</v>
      </c>
      <c r="AS310" s="6652" t="s">
        <v>358</v>
      </c>
      <c r="AT310" s="6653" t="s">
        <v>359</v>
      </c>
      <c r="AU310" s="9250"/>
      <c r="AV310" s="9250"/>
      <c r="AW310" s="9250"/>
      <c r="AX310" s="9250"/>
      <c r="AY310" s="6391"/>
      <c r="AZ310" s="4291"/>
      <c r="BA310" s="4291"/>
      <c r="BB310" s="4291"/>
      <c r="BC310" s="4291"/>
      <c r="BD310" s="4291"/>
      <c r="BE310" s="4291"/>
      <c r="BF310" s="4264"/>
      <c r="BG310" s="4264"/>
      <c r="BH310" s="4264"/>
      <c r="BV310" s="4259"/>
      <c r="BY310" s="4259"/>
    </row>
    <row r="311" spans="1:116" ht="16.350000000000001" customHeight="1" x14ac:dyDescent="0.25">
      <c r="A311" s="7257" t="s">
        <v>4582</v>
      </c>
      <c r="B311" s="9227" t="s">
        <v>712</v>
      </c>
      <c r="C311" s="6654" t="s">
        <v>85</v>
      </c>
      <c r="D311" s="6655" t="s">
        <v>5369</v>
      </c>
      <c r="E311" s="6656" t="s">
        <v>5370</v>
      </c>
      <c r="F311" s="6657" t="s">
        <v>5371</v>
      </c>
      <c r="G311" s="7224" t="s">
        <v>5372</v>
      </c>
      <c r="H311" s="7225" t="s">
        <v>5373</v>
      </c>
      <c r="I311" s="7225" t="s">
        <v>5374</v>
      </c>
      <c r="J311" s="7225" t="s">
        <v>5375</v>
      </c>
      <c r="K311" s="7225" t="s">
        <v>5376</v>
      </c>
      <c r="L311" s="7225" t="s">
        <v>5377</v>
      </c>
      <c r="M311" s="7225" t="s">
        <v>5378</v>
      </c>
      <c r="N311" s="7225" t="s">
        <v>5379</v>
      </c>
      <c r="O311" s="7225" t="s">
        <v>5380</v>
      </c>
      <c r="P311" s="7225" t="s">
        <v>5381</v>
      </c>
      <c r="Q311" s="7226" t="s">
        <v>5382</v>
      </c>
      <c r="R311" s="6266" t="s">
        <v>5383</v>
      </c>
      <c r="S311" s="6658" t="s">
        <v>5384</v>
      </c>
      <c r="T311" s="6266" t="s">
        <v>5385</v>
      </c>
      <c r="U311" s="6658" t="s">
        <v>5386</v>
      </c>
      <c r="V311" s="6266" t="s">
        <v>5387</v>
      </c>
      <c r="W311" s="6658" t="s">
        <v>5388</v>
      </c>
      <c r="X311" s="6266" t="s">
        <v>5389</v>
      </c>
      <c r="Y311" s="6658" t="s">
        <v>5390</v>
      </c>
      <c r="Z311" s="6266" t="s">
        <v>5391</v>
      </c>
      <c r="AA311" s="6658" t="s">
        <v>5392</v>
      </c>
      <c r="AB311" s="6266" t="s">
        <v>5393</v>
      </c>
      <c r="AC311" s="6658" t="s">
        <v>5394</v>
      </c>
      <c r="AD311" s="6266" t="s">
        <v>5395</v>
      </c>
      <c r="AE311" s="6658" t="s">
        <v>5396</v>
      </c>
      <c r="AF311" s="6266" t="s">
        <v>5397</v>
      </c>
      <c r="AG311" s="6658" t="s">
        <v>5398</v>
      </c>
      <c r="AH311" s="6266" t="s">
        <v>5399</v>
      </c>
      <c r="AI311" s="6658" t="s">
        <v>5400</v>
      </c>
      <c r="AJ311" s="6266" t="s">
        <v>5401</v>
      </c>
      <c r="AK311" s="6658" t="s">
        <v>5402</v>
      </c>
      <c r="AL311" s="6221" t="s">
        <v>5403</v>
      </c>
      <c r="AM311" s="6658" t="s">
        <v>5404</v>
      </c>
      <c r="AN311" s="6221" t="s">
        <v>5405</v>
      </c>
      <c r="AO311" s="6658" t="s">
        <v>5406</v>
      </c>
      <c r="AP311" s="6221" t="s">
        <v>5407</v>
      </c>
      <c r="AQ311" s="6659" t="s">
        <v>5408</v>
      </c>
      <c r="AR311" s="6660" t="s">
        <v>5409</v>
      </c>
      <c r="AS311" s="6661" t="s">
        <v>5410</v>
      </c>
      <c r="AT311" s="6662" t="s">
        <v>5411</v>
      </c>
      <c r="AU311" s="6663" t="s">
        <v>5412</v>
      </c>
      <c r="AV311" s="6662" t="s">
        <v>5413</v>
      </c>
      <c r="AW311" s="6663" t="s">
        <v>5414</v>
      </c>
      <c r="AX311" s="6662"/>
      <c r="AY311" s="4260"/>
      <c r="AZ311" s="4291"/>
      <c r="BA311" s="4290"/>
      <c r="BB311" s="4291"/>
      <c r="BC311" s="4291"/>
      <c r="BD311" s="4291"/>
      <c r="BE311" s="4291"/>
      <c r="BF311" s="4264"/>
      <c r="BG311" s="4264"/>
      <c r="BH311" s="4264"/>
      <c r="BY311" s="4259"/>
      <c r="DB311" s="5899">
        <v>0</v>
      </c>
      <c r="DC311" s="5899">
        <v>0</v>
      </c>
      <c r="DD311" s="5899">
        <v>0</v>
      </c>
      <c r="DE311" s="5899">
        <v>0</v>
      </c>
      <c r="DF311" s="5899">
        <v>0</v>
      </c>
      <c r="DG311" s="5899">
        <v>0</v>
      </c>
      <c r="DH311" s="5899">
        <v>0</v>
      </c>
      <c r="DI311" s="5899">
        <v>0</v>
      </c>
      <c r="DJ311" s="5899">
        <v>0</v>
      </c>
      <c r="DK311" s="5899">
        <v>0</v>
      </c>
      <c r="DL311" s="5899">
        <v>0</v>
      </c>
    </row>
    <row r="312" spans="1:116" ht="16.350000000000001" customHeight="1" x14ac:dyDescent="0.25">
      <c r="A312" s="7257" t="s">
        <v>4583</v>
      </c>
      <c r="B312" s="9228"/>
      <c r="C312" s="6503" t="s">
        <v>720</v>
      </c>
      <c r="D312" s="6369" t="s">
        <v>5369</v>
      </c>
      <c r="E312" s="6370" t="s">
        <v>5370</v>
      </c>
      <c r="F312" s="5271" t="s">
        <v>5371</v>
      </c>
      <c r="G312" s="5014" t="s">
        <v>5372</v>
      </c>
      <c r="H312" s="5048" t="s">
        <v>5373</v>
      </c>
      <c r="I312" s="5014" t="s">
        <v>5374</v>
      </c>
      <c r="J312" s="5048" t="s">
        <v>5375</v>
      </c>
      <c r="K312" s="5014" t="s">
        <v>5376</v>
      </c>
      <c r="L312" s="5044" t="s">
        <v>5377</v>
      </c>
      <c r="M312" s="5014" t="s">
        <v>5378</v>
      </c>
      <c r="N312" s="6476" t="s">
        <v>5379</v>
      </c>
      <c r="O312" s="5014" t="s">
        <v>5380</v>
      </c>
      <c r="P312" s="5044" t="s">
        <v>5381</v>
      </c>
      <c r="Q312" s="5014" t="s">
        <v>5382</v>
      </c>
      <c r="R312" s="5048" t="s">
        <v>5383</v>
      </c>
      <c r="S312" s="5014" t="s">
        <v>5384</v>
      </c>
      <c r="T312" s="5048" t="s">
        <v>5385</v>
      </c>
      <c r="U312" s="5014" t="s">
        <v>5386</v>
      </c>
      <c r="V312" s="5048" t="s">
        <v>5387</v>
      </c>
      <c r="W312" s="5014" t="s">
        <v>5388</v>
      </c>
      <c r="X312" s="5048" t="s">
        <v>5389</v>
      </c>
      <c r="Y312" s="5014" t="s">
        <v>5390</v>
      </c>
      <c r="Z312" s="5048" t="s">
        <v>5391</v>
      </c>
      <c r="AA312" s="5014" t="s">
        <v>5392</v>
      </c>
      <c r="AB312" s="5048" t="s">
        <v>5393</v>
      </c>
      <c r="AC312" s="5014" t="s">
        <v>5394</v>
      </c>
      <c r="AD312" s="5048" t="s">
        <v>5395</v>
      </c>
      <c r="AE312" s="5014" t="s">
        <v>5396</v>
      </c>
      <c r="AF312" s="5048" t="s">
        <v>5397</v>
      </c>
      <c r="AG312" s="5014" t="s">
        <v>5398</v>
      </c>
      <c r="AH312" s="5048" t="s">
        <v>5399</v>
      </c>
      <c r="AI312" s="5014" t="s">
        <v>5400</v>
      </c>
      <c r="AJ312" s="5048" t="s">
        <v>5401</v>
      </c>
      <c r="AK312" s="5014" t="s">
        <v>5402</v>
      </c>
      <c r="AL312" s="5048" t="s">
        <v>5403</v>
      </c>
      <c r="AM312" s="5014" t="s">
        <v>5404</v>
      </c>
      <c r="AN312" s="5048" t="s">
        <v>5405</v>
      </c>
      <c r="AO312" s="5014" t="s">
        <v>5406</v>
      </c>
      <c r="AP312" s="5048" t="s">
        <v>5407</v>
      </c>
      <c r="AQ312" s="6236" t="s">
        <v>5408</v>
      </c>
      <c r="AR312" s="5200" t="s">
        <v>5409</v>
      </c>
      <c r="AS312" s="5048" t="s">
        <v>5410</v>
      </c>
      <c r="AT312" s="5044" t="s">
        <v>5411</v>
      </c>
      <c r="AU312" s="6560" t="s">
        <v>5412</v>
      </c>
      <c r="AV312" s="5044" t="s">
        <v>5413</v>
      </c>
      <c r="AW312" s="6560" t="s">
        <v>5414</v>
      </c>
      <c r="AX312" s="5044"/>
      <c r="AY312" s="4260"/>
      <c r="AZ312" s="4291"/>
      <c r="BA312" s="4291"/>
      <c r="BB312" s="4291"/>
      <c r="BC312" s="4291"/>
      <c r="BD312" s="4291"/>
      <c r="BE312" s="4291"/>
      <c r="BF312" s="4264"/>
      <c r="BG312" s="4264"/>
      <c r="BH312" s="4264"/>
      <c r="BY312" s="4259"/>
      <c r="DB312" s="5899">
        <v>0</v>
      </c>
      <c r="DC312" s="5899">
        <v>0</v>
      </c>
      <c r="DD312" s="5899">
        <v>0</v>
      </c>
      <c r="DE312" s="5899">
        <v>0</v>
      </c>
      <c r="DF312" s="5899">
        <v>0</v>
      </c>
      <c r="DG312" s="5899">
        <v>0</v>
      </c>
      <c r="DH312" s="5899">
        <v>0</v>
      </c>
      <c r="DI312" s="5899">
        <v>0</v>
      </c>
      <c r="DJ312" s="5899">
        <v>0</v>
      </c>
      <c r="DK312" s="5899">
        <v>0</v>
      </c>
    </row>
    <row r="313" spans="1:116" ht="20.25" customHeight="1" x14ac:dyDescent="0.25">
      <c r="A313" s="7278" t="s">
        <v>4584</v>
      </c>
      <c r="B313" s="9245" t="s">
        <v>2161</v>
      </c>
      <c r="C313" s="9246"/>
      <c r="D313" s="6673" t="s">
        <v>5369</v>
      </c>
      <c r="E313" s="6674" t="s">
        <v>5370</v>
      </c>
      <c r="F313" s="6675" t="s">
        <v>5371</v>
      </c>
      <c r="G313" s="6664" t="s">
        <v>5372</v>
      </c>
      <c r="H313" s="6665" t="s">
        <v>5373</v>
      </c>
      <c r="I313" s="6664" t="s">
        <v>5374</v>
      </c>
      <c r="J313" s="6665" t="s">
        <v>5375</v>
      </c>
      <c r="K313" s="6664" t="s">
        <v>5376</v>
      </c>
      <c r="L313" s="6666" t="s">
        <v>5377</v>
      </c>
      <c r="M313" s="6664" t="s">
        <v>5378</v>
      </c>
      <c r="N313" s="6667" t="s">
        <v>5379</v>
      </c>
      <c r="O313" s="6664" t="s">
        <v>5380</v>
      </c>
      <c r="P313" s="6666" t="s">
        <v>5381</v>
      </c>
      <c r="Q313" s="6664" t="s">
        <v>5382</v>
      </c>
      <c r="R313" s="6665" t="s">
        <v>5383</v>
      </c>
      <c r="S313" s="6664" t="s">
        <v>5384</v>
      </c>
      <c r="T313" s="6665" t="s">
        <v>5385</v>
      </c>
      <c r="U313" s="6664" t="s">
        <v>5386</v>
      </c>
      <c r="V313" s="6665" t="s">
        <v>5387</v>
      </c>
      <c r="W313" s="6664" t="s">
        <v>5388</v>
      </c>
      <c r="X313" s="6665" t="s">
        <v>5389</v>
      </c>
      <c r="Y313" s="6664" t="s">
        <v>5390</v>
      </c>
      <c r="Z313" s="6665" t="s">
        <v>5391</v>
      </c>
      <c r="AA313" s="6664" t="s">
        <v>5392</v>
      </c>
      <c r="AB313" s="6665" t="s">
        <v>5393</v>
      </c>
      <c r="AC313" s="6664" t="s">
        <v>5394</v>
      </c>
      <c r="AD313" s="6665" t="s">
        <v>5395</v>
      </c>
      <c r="AE313" s="6664" t="s">
        <v>5396</v>
      </c>
      <c r="AF313" s="6665" t="s">
        <v>5397</v>
      </c>
      <c r="AG313" s="6664" t="s">
        <v>5398</v>
      </c>
      <c r="AH313" s="6665" t="s">
        <v>5399</v>
      </c>
      <c r="AI313" s="6664" t="s">
        <v>5400</v>
      </c>
      <c r="AJ313" s="6665" t="s">
        <v>5401</v>
      </c>
      <c r="AK313" s="6664" t="s">
        <v>5402</v>
      </c>
      <c r="AL313" s="6665" t="s">
        <v>5403</v>
      </c>
      <c r="AM313" s="6664" t="s">
        <v>5404</v>
      </c>
      <c r="AN313" s="6665" t="s">
        <v>5405</v>
      </c>
      <c r="AO313" s="6664" t="s">
        <v>5406</v>
      </c>
      <c r="AP313" s="6665" t="s">
        <v>5407</v>
      </c>
      <c r="AQ313" s="6668" t="s">
        <v>5408</v>
      </c>
      <c r="AR313" s="6669" t="s">
        <v>5409</v>
      </c>
      <c r="AS313" s="6670" t="s">
        <v>5410</v>
      </c>
      <c r="AT313" s="6671" t="s">
        <v>5411</v>
      </c>
      <c r="AU313" s="6672" t="s">
        <v>5412</v>
      </c>
      <c r="AV313" s="6671" t="s">
        <v>5413</v>
      </c>
      <c r="AW313" s="6672" t="s">
        <v>5414</v>
      </c>
      <c r="AX313" s="6671"/>
      <c r="AY313" s="4260"/>
      <c r="AZ313" s="4291"/>
      <c r="BA313" s="4291"/>
      <c r="BB313" s="4291"/>
      <c r="BC313" s="4291"/>
      <c r="BD313" s="4291"/>
      <c r="BE313" s="4291"/>
      <c r="BF313" s="4264"/>
      <c r="BG313" s="4264"/>
      <c r="BH313" s="4264"/>
      <c r="BY313" s="4259"/>
    </row>
    <row r="314" spans="1:116" ht="21" customHeight="1" x14ac:dyDescent="0.25">
      <c r="A314" s="7257" t="s">
        <v>4585</v>
      </c>
      <c r="B314" s="9248" t="s">
        <v>711</v>
      </c>
      <c r="C314" s="9248"/>
      <c r="D314" s="6673" t="s">
        <v>5369</v>
      </c>
      <c r="E314" s="6674" t="s">
        <v>5370</v>
      </c>
      <c r="F314" s="6675" t="s">
        <v>5371</v>
      </c>
      <c r="G314" s="6668" t="s">
        <v>5372</v>
      </c>
      <c r="H314" s="6670" t="s">
        <v>5373</v>
      </c>
      <c r="I314" s="6668" t="s">
        <v>5374</v>
      </c>
      <c r="J314" s="6670" t="s">
        <v>5375</v>
      </c>
      <c r="K314" s="6668" t="s">
        <v>5376</v>
      </c>
      <c r="L314" s="6676" t="s">
        <v>5377</v>
      </c>
      <c r="M314" s="6668" t="s">
        <v>5378</v>
      </c>
      <c r="N314" s="6677" t="s">
        <v>5379</v>
      </c>
      <c r="O314" s="6668" t="s">
        <v>5380</v>
      </c>
      <c r="P314" s="6676" t="s">
        <v>5381</v>
      </c>
      <c r="Q314" s="6668" t="s">
        <v>5382</v>
      </c>
      <c r="R314" s="6670" t="s">
        <v>5383</v>
      </c>
      <c r="S314" s="6668" t="s">
        <v>5384</v>
      </c>
      <c r="T314" s="6670" t="s">
        <v>5385</v>
      </c>
      <c r="U314" s="6668" t="s">
        <v>5386</v>
      </c>
      <c r="V314" s="6670" t="s">
        <v>5387</v>
      </c>
      <c r="W314" s="6668" t="s">
        <v>5388</v>
      </c>
      <c r="X314" s="6670" t="s">
        <v>5389</v>
      </c>
      <c r="Y314" s="6668" t="s">
        <v>5390</v>
      </c>
      <c r="Z314" s="6670" t="s">
        <v>5391</v>
      </c>
      <c r="AA314" s="6668" t="s">
        <v>5392</v>
      </c>
      <c r="AB314" s="6670" t="s">
        <v>5393</v>
      </c>
      <c r="AC314" s="6668" t="s">
        <v>5394</v>
      </c>
      <c r="AD314" s="6670" t="s">
        <v>5395</v>
      </c>
      <c r="AE314" s="6668" t="s">
        <v>5396</v>
      </c>
      <c r="AF314" s="6670" t="s">
        <v>5397</v>
      </c>
      <c r="AG314" s="6668" t="s">
        <v>5398</v>
      </c>
      <c r="AH314" s="6670" t="s">
        <v>5399</v>
      </c>
      <c r="AI314" s="6668" t="s">
        <v>5400</v>
      </c>
      <c r="AJ314" s="6670" t="s">
        <v>5401</v>
      </c>
      <c r="AK314" s="6668" t="s">
        <v>5402</v>
      </c>
      <c r="AL314" s="6670" t="s">
        <v>5403</v>
      </c>
      <c r="AM314" s="6668" t="s">
        <v>5404</v>
      </c>
      <c r="AN314" s="6670" t="s">
        <v>5405</v>
      </c>
      <c r="AO314" s="6668" t="s">
        <v>5406</v>
      </c>
      <c r="AP314" s="6670" t="s">
        <v>5407</v>
      </c>
      <c r="AQ314" s="6668" t="s">
        <v>5408</v>
      </c>
      <c r="AR314" s="6669" t="s">
        <v>5409</v>
      </c>
      <c r="AS314" s="6670" t="s">
        <v>5410</v>
      </c>
      <c r="AT314" s="6676" t="s">
        <v>5411</v>
      </c>
      <c r="AU314" s="6678" t="s">
        <v>5412</v>
      </c>
      <c r="AV314" s="6676" t="s">
        <v>5413</v>
      </c>
      <c r="AW314" s="6678" t="s">
        <v>5414</v>
      </c>
      <c r="AX314" s="6676"/>
      <c r="AY314" s="4260"/>
      <c r="AZ314" s="4291"/>
      <c r="BA314" s="4291"/>
      <c r="BB314" s="4291"/>
      <c r="BC314" s="4291"/>
      <c r="BD314" s="4291"/>
      <c r="BE314" s="4291"/>
      <c r="BF314" s="4264"/>
      <c r="BG314" s="4264"/>
      <c r="BH314" s="4264"/>
      <c r="BY314" s="4259"/>
    </row>
    <row r="315" spans="1:116" ht="18" customHeight="1" x14ac:dyDescent="0.25">
      <c r="A315" s="7257" t="s">
        <v>4586</v>
      </c>
      <c r="B315" s="9243" t="s">
        <v>719</v>
      </c>
      <c r="C315" s="9244"/>
      <c r="D315" s="6749" t="s">
        <v>5369</v>
      </c>
      <c r="E315" s="6358" t="s">
        <v>5370</v>
      </c>
      <c r="F315" s="6683" t="s">
        <v>5371</v>
      </c>
      <c r="G315" s="4999" t="s">
        <v>5372</v>
      </c>
      <c r="H315" s="6608" t="s">
        <v>5373</v>
      </c>
      <c r="I315" s="4999" t="s">
        <v>5374</v>
      </c>
      <c r="J315" s="6608" t="s">
        <v>5375</v>
      </c>
      <c r="K315" s="4999" t="s">
        <v>5376</v>
      </c>
      <c r="L315" s="4038" t="s">
        <v>5377</v>
      </c>
      <c r="M315" s="4999" t="s">
        <v>5378</v>
      </c>
      <c r="N315" s="4955" t="s">
        <v>5379</v>
      </c>
      <c r="O315" s="4999" t="s">
        <v>5380</v>
      </c>
      <c r="P315" s="4038" t="s">
        <v>5381</v>
      </c>
      <c r="Q315" s="4999" t="s">
        <v>5382</v>
      </c>
      <c r="R315" s="6608" t="s">
        <v>5383</v>
      </c>
      <c r="S315" s="4999" t="s">
        <v>5384</v>
      </c>
      <c r="T315" s="6608" t="s">
        <v>5385</v>
      </c>
      <c r="U315" s="4999" t="s">
        <v>5386</v>
      </c>
      <c r="V315" s="6608" t="s">
        <v>5387</v>
      </c>
      <c r="W315" s="4999" t="s">
        <v>5388</v>
      </c>
      <c r="X315" s="6608" t="s">
        <v>5389</v>
      </c>
      <c r="Y315" s="4999" t="s">
        <v>5390</v>
      </c>
      <c r="Z315" s="6608" t="s">
        <v>5391</v>
      </c>
      <c r="AA315" s="4999" t="s">
        <v>5392</v>
      </c>
      <c r="AB315" s="6608" t="s">
        <v>5393</v>
      </c>
      <c r="AC315" s="4999" t="s">
        <v>5394</v>
      </c>
      <c r="AD315" s="6608" t="s">
        <v>5395</v>
      </c>
      <c r="AE315" s="4999" t="s">
        <v>5396</v>
      </c>
      <c r="AF315" s="6608" t="s">
        <v>5397</v>
      </c>
      <c r="AG315" s="4999" t="s">
        <v>5398</v>
      </c>
      <c r="AH315" s="6608" t="s">
        <v>5399</v>
      </c>
      <c r="AI315" s="4999" t="s">
        <v>5400</v>
      </c>
      <c r="AJ315" s="6608" t="s">
        <v>5401</v>
      </c>
      <c r="AK315" s="4999" t="s">
        <v>5402</v>
      </c>
      <c r="AL315" s="6608" t="s">
        <v>5403</v>
      </c>
      <c r="AM315" s="4999" t="s">
        <v>5404</v>
      </c>
      <c r="AN315" s="6608" t="s">
        <v>5405</v>
      </c>
      <c r="AO315" s="4999" t="s">
        <v>5406</v>
      </c>
      <c r="AP315" s="6608" t="s">
        <v>5407</v>
      </c>
      <c r="AQ315" s="4999" t="s">
        <v>5408</v>
      </c>
      <c r="AR315" s="6402" t="s">
        <v>5409</v>
      </c>
      <c r="AS315" s="6608" t="s">
        <v>5410</v>
      </c>
      <c r="AT315" s="4383" t="s">
        <v>5411</v>
      </c>
      <c r="AU315" s="6609" t="s">
        <v>5412</v>
      </c>
      <c r="AV315" s="4383" t="s">
        <v>5413</v>
      </c>
      <c r="AW315" s="6609" t="s">
        <v>5414</v>
      </c>
      <c r="AX315" s="4383"/>
      <c r="AY315" s="4260"/>
      <c r="AZ315" s="4291"/>
      <c r="BA315" s="4291"/>
      <c r="BB315" s="4291"/>
      <c r="BC315" s="4291"/>
      <c r="BD315" s="4291"/>
      <c r="BE315" s="4291"/>
      <c r="BF315" s="4264"/>
      <c r="BG315" s="4264"/>
      <c r="BH315" s="4264"/>
      <c r="BY315" s="4259"/>
    </row>
    <row r="316" spans="1:116" ht="28.5" customHeight="1" x14ac:dyDescent="0.25">
      <c r="A316" s="7257" t="s">
        <v>4587</v>
      </c>
      <c r="B316" s="9258" t="s">
        <v>718</v>
      </c>
      <c r="C316" s="9259"/>
      <c r="D316" s="6679" t="s">
        <v>5369</v>
      </c>
      <c r="E316" s="6680" t="s">
        <v>5370</v>
      </c>
      <c r="F316" s="5018" t="s">
        <v>5371</v>
      </c>
      <c r="G316" s="5136" t="s">
        <v>5372</v>
      </c>
      <c r="H316" s="5339" t="s">
        <v>5373</v>
      </c>
      <c r="I316" s="5136" t="s">
        <v>5374</v>
      </c>
      <c r="J316" s="5339" t="s">
        <v>5375</v>
      </c>
      <c r="K316" s="5136" t="s">
        <v>5376</v>
      </c>
      <c r="L316" s="5027" t="s">
        <v>5377</v>
      </c>
      <c r="M316" s="5136" t="s">
        <v>5378</v>
      </c>
      <c r="N316" s="4956" t="s">
        <v>5379</v>
      </c>
      <c r="O316" s="7227" t="s">
        <v>5380</v>
      </c>
      <c r="P316" s="7228" t="s">
        <v>5381</v>
      </c>
      <c r="Q316" s="7228" t="s">
        <v>5382</v>
      </c>
      <c r="R316" s="7228" t="s">
        <v>5383</v>
      </c>
      <c r="S316" s="7228" t="s">
        <v>5384</v>
      </c>
      <c r="T316" s="7228" t="s">
        <v>5385</v>
      </c>
      <c r="U316" s="7228" t="s">
        <v>5386</v>
      </c>
      <c r="V316" s="7228" t="s">
        <v>5387</v>
      </c>
      <c r="W316" s="7228" t="s">
        <v>5388</v>
      </c>
      <c r="X316" s="7228" t="s">
        <v>5389</v>
      </c>
      <c r="Y316" s="7228" t="s">
        <v>5390</v>
      </c>
      <c r="Z316" s="7228" t="s">
        <v>5391</v>
      </c>
      <c r="AA316" s="7228" t="s">
        <v>5392</v>
      </c>
      <c r="AB316" s="7228" t="s">
        <v>5393</v>
      </c>
      <c r="AC316" s="7228" t="s">
        <v>5394</v>
      </c>
      <c r="AD316" s="7228" t="s">
        <v>5395</v>
      </c>
      <c r="AE316" s="7228" t="s">
        <v>5396</v>
      </c>
      <c r="AF316" s="7228" t="s">
        <v>5397</v>
      </c>
      <c r="AG316" s="7228" t="s">
        <v>5398</v>
      </c>
      <c r="AH316" s="7228" t="s">
        <v>5399</v>
      </c>
      <c r="AI316" s="7228" t="s">
        <v>5400</v>
      </c>
      <c r="AJ316" s="7228" t="s">
        <v>5401</v>
      </c>
      <c r="AK316" s="7228" t="s">
        <v>5402</v>
      </c>
      <c r="AL316" s="7228" t="s">
        <v>5403</v>
      </c>
      <c r="AM316" s="7228" t="s">
        <v>5404</v>
      </c>
      <c r="AN316" s="7228" t="s">
        <v>5405</v>
      </c>
      <c r="AO316" s="7228" t="s">
        <v>5406</v>
      </c>
      <c r="AP316" s="7228" t="s">
        <v>5407</v>
      </c>
      <c r="AQ316" s="7228" t="s">
        <v>5408</v>
      </c>
      <c r="AR316" s="7228" t="s">
        <v>5409</v>
      </c>
      <c r="AS316" s="7228" t="s">
        <v>5410</v>
      </c>
      <c r="AT316" s="6681" t="s">
        <v>5411</v>
      </c>
      <c r="AU316" s="5025" t="s">
        <v>5412</v>
      </c>
      <c r="AV316" s="5027" t="s">
        <v>5413</v>
      </c>
      <c r="AW316" s="5025" t="s">
        <v>5414</v>
      </c>
      <c r="AX316" s="5027"/>
      <c r="AY316" s="4260"/>
      <c r="AZ316" s="4264"/>
      <c r="BA316" s="4264"/>
      <c r="BB316" s="4264"/>
      <c r="BC316" s="4264"/>
      <c r="BD316" s="4264"/>
      <c r="BE316" s="4264"/>
      <c r="BF316" s="4264"/>
      <c r="BG316" s="4264"/>
      <c r="BH316" s="4264"/>
      <c r="BI316" s="4264"/>
      <c r="BY316" s="4259"/>
    </row>
    <row r="317" spans="1:116" ht="15" customHeight="1" x14ac:dyDescent="0.25">
      <c r="A317" s="7257" t="s">
        <v>4588</v>
      </c>
      <c r="B317" s="9062" t="s">
        <v>717</v>
      </c>
      <c r="C317" s="6682" t="s">
        <v>716</v>
      </c>
      <c r="D317" s="6357" t="s">
        <v>5369</v>
      </c>
      <c r="E317" s="6358" t="s">
        <v>5370</v>
      </c>
      <c r="F317" s="6683" t="s">
        <v>5371</v>
      </c>
      <c r="G317" s="4999" t="s">
        <v>5372</v>
      </c>
      <c r="H317" s="6608" t="s">
        <v>5373</v>
      </c>
      <c r="I317" s="4999" t="s">
        <v>5374</v>
      </c>
      <c r="J317" s="6608" t="s">
        <v>5375</v>
      </c>
      <c r="K317" s="4999" t="s">
        <v>5376</v>
      </c>
      <c r="L317" s="4383" t="s">
        <v>5377</v>
      </c>
      <c r="M317" s="4999" t="s">
        <v>5378</v>
      </c>
      <c r="N317" s="4955" t="s">
        <v>5379</v>
      </c>
      <c r="O317" s="4999" t="s">
        <v>5380</v>
      </c>
      <c r="P317" s="4383" t="s">
        <v>5381</v>
      </c>
      <c r="Q317" s="4999" t="s">
        <v>5382</v>
      </c>
      <c r="R317" s="6608" t="s">
        <v>5383</v>
      </c>
      <c r="S317" s="4999" t="s">
        <v>5384</v>
      </c>
      <c r="T317" s="6608" t="s">
        <v>5385</v>
      </c>
      <c r="U317" s="4999" t="s">
        <v>5386</v>
      </c>
      <c r="V317" s="6608" t="s">
        <v>5387</v>
      </c>
      <c r="W317" s="4999" t="s">
        <v>5388</v>
      </c>
      <c r="X317" s="6608" t="s">
        <v>5389</v>
      </c>
      <c r="Y317" s="4999" t="s">
        <v>5390</v>
      </c>
      <c r="Z317" s="6608" t="s">
        <v>5391</v>
      </c>
      <c r="AA317" s="4999" t="s">
        <v>5392</v>
      </c>
      <c r="AB317" s="6608" t="s">
        <v>5393</v>
      </c>
      <c r="AC317" s="4999" t="s">
        <v>5394</v>
      </c>
      <c r="AD317" s="6608" t="s">
        <v>5395</v>
      </c>
      <c r="AE317" s="4999" t="s">
        <v>5396</v>
      </c>
      <c r="AF317" s="6608" t="s">
        <v>5397</v>
      </c>
      <c r="AG317" s="4999" t="s">
        <v>5398</v>
      </c>
      <c r="AH317" s="6608" t="s">
        <v>5399</v>
      </c>
      <c r="AI317" s="4999" t="s">
        <v>5400</v>
      </c>
      <c r="AJ317" s="6608" t="s">
        <v>5401</v>
      </c>
      <c r="AK317" s="4999" t="s">
        <v>5402</v>
      </c>
      <c r="AL317" s="6608" t="s">
        <v>5403</v>
      </c>
      <c r="AM317" s="4999" t="s">
        <v>5404</v>
      </c>
      <c r="AN317" s="6608" t="s">
        <v>5405</v>
      </c>
      <c r="AO317" s="4999" t="s">
        <v>5406</v>
      </c>
      <c r="AP317" s="6608" t="s">
        <v>5407</v>
      </c>
      <c r="AQ317" s="4999" t="s">
        <v>5408</v>
      </c>
      <c r="AR317" s="6402" t="s">
        <v>5409</v>
      </c>
      <c r="AS317" s="6608" t="s">
        <v>5410</v>
      </c>
      <c r="AT317" s="4383" t="s">
        <v>5411</v>
      </c>
      <c r="AU317" s="6609" t="s">
        <v>5412</v>
      </c>
      <c r="AV317" s="4383" t="s">
        <v>5413</v>
      </c>
      <c r="AW317" s="6609" t="s">
        <v>5414</v>
      </c>
      <c r="AX317" s="4383"/>
      <c r="AY317" s="4260"/>
      <c r="AZ317" s="4264"/>
      <c r="BA317" s="4264"/>
      <c r="BB317" s="4264"/>
      <c r="BC317" s="4264"/>
      <c r="BD317" s="4264"/>
      <c r="BE317" s="4264"/>
      <c r="BF317" s="4264"/>
      <c r="BG317" s="4264"/>
      <c r="BH317" s="4264"/>
      <c r="BI317" s="4264"/>
      <c r="BY317" s="4259"/>
    </row>
    <row r="318" spans="1:116" x14ac:dyDescent="0.25">
      <c r="A318" s="7257" t="s">
        <v>4589</v>
      </c>
      <c r="B318" s="9062"/>
      <c r="C318" s="6684" t="s">
        <v>715</v>
      </c>
      <c r="D318" s="6357" t="s">
        <v>5369</v>
      </c>
      <c r="E318" s="6358" t="s">
        <v>5370</v>
      </c>
      <c r="F318" s="6683" t="s">
        <v>5371</v>
      </c>
      <c r="G318" s="4920" t="s">
        <v>5372</v>
      </c>
      <c r="H318" s="4923" t="s">
        <v>5373</v>
      </c>
      <c r="I318" s="4920" t="s">
        <v>5374</v>
      </c>
      <c r="J318" s="4923" t="s">
        <v>5375</v>
      </c>
      <c r="K318" s="4920" t="s">
        <v>5376</v>
      </c>
      <c r="L318" s="4921" t="s">
        <v>5377</v>
      </c>
      <c r="M318" s="4920" t="s">
        <v>5378</v>
      </c>
      <c r="N318" s="6685" t="s">
        <v>5379</v>
      </c>
      <c r="O318" s="4920" t="s">
        <v>5380</v>
      </c>
      <c r="P318" s="4921" t="s">
        <v>5381</v>
      </c>
      <c r="Q318" s="4920" t="s">
        <v>5382</v>
      </c>
      <c r="R318" s="4923" t="s">
        <v>5383</v>
      </c>
      <c r="S318" s="4920" t="s">
        <v>5384</v>
      </c>
      <c r="T318" s="4923" t="s">
        <v>5385</v>
      </c>
      <c r="U318" s="4920" t="s">
        <v>5386</v>
      </c>
      <c r="V318" s="4923" t="s">
        <v>5387</v>
      </c>
      <c r="W318" s="4920" t="s">
        <v>5388</v>
      </c>
      <c r="X318" s="4923" t="s">
        <v>5389</v>
      </c>
      <c r="Y318" s="4920" t="s">
        <v>5390</v>
      </c>
      <c r="Z318" s="4923" t="s">
        <v>5391</v>
      </c>
      <c r="AA318" s="4920" t="s">
        <v>5392</v>
      </c>
      <c r="AB318" s="4923" t="s">
        <v>5393</v>
      </c>
      <c r="AC318" s="4920" t="s">
        <v>5394</v>
      </c>
      <c r="AD318" s="4923" t="s">
        <v>5395</v>
      </c>
      <c r="AE318" s="4920" t="s">
        <v>5396</v>
      </c>
      <c r="AF318" s="4923" t="s">
        <v>5397</v>
      </c>
      <c r="AG318" s="4920" t="s">
        <v>5398</v>
      </c>
      <c r="AH318" s="4923" t="s">
        <v>5399</v>
      </c>
      <c r="AI318" s="4920" t="s">
        <v>5400</v>
      </c>
      <c r="AJ318" s="4923" t="s">
        <v>5401</v>
      </c>
      <c r="AK318" s="4920" t="s">
        <v>5402</v>
      </c>
      <c r="AL318" s="4923" t="s">
        <v>5403</v>
      </c>
      <c r="AM318" s="4920" t="s">
        <v>5404</v>
      </c>
      <c r="AN318" s="4923" t="s">
        <v>5405</v>
      </c>
      <c r="AO318" s="4920" t="s">
        <v>5406</v>
      </c>
      <c r="AP318" s="4923" t="s">
        <v>5407</v>
      </c>
      <c r="AQ318" s="3918" t="s">
        <v>5408</v>
      </c>
      <c r="AR318" s="6686" t="s">
        <v>5409</v>
      </c>
      <c r="AS318" s="6362" t="s">
        <v>5410</v>
      </c>
      <c r="AT318" s="5314" t="s">
        <v>5411</v>
      </c>
      <c r="AU318" s="5315" t="s">
        <v>5412</v>
      </c>
      <c r="AV318" s="5314" t="s">
        <v>5413</v>
      </c>
      <c r="AW318" s="5315" t="s">
        <v>5414</v>
      </c>
      <c r="AX318" s="5314"/>
      <c r="AY318" s="4260"/>
      <c r="AZ318" s="4264"/>
      <c r="BA318" s="4264"/>
      <c r="BB318" s="4264"/>
      <c r="BC318" s="4264"/>
      <c r="BD318" s="4264"/>
      <c r="BE318" s="4264"/>
      <c r="BF318" s="4264"/>
      <c r="BG318" s="4264"/>
      <c r="BH318" s="4264"/>
      <c r="BI318" s="4264"/>
      <c r="BY318" s="4259"/>
    </row>
    <row r="319" spans="1:116" x14ac:dyDescent="0.25">
      <c r="A319" s="7257" t="s">
        <v>4590</v>
      </c>
      <c r="B319" s="9062"/>
      <c r="C319" s="6687" t="s">
        <v>714</v>
      </c>
      <c r="D319" s="6357" t="s">
        <v>5369</v>
      </c>
      <c r="E319" s="6358" t="s">
        <v>5370</v>
      </c>
      <c r="F319" s="6683" t="s">
        <v>5371</v>
      </c>
      <c r="G319" s="4920" t="s">
        <v>5372</v>
      </c>
      <c r="H319" s="4923" t="s">
        <v>5373</v>
      </c>
      <c r="I319" s="4920" t="s">
        <v>5374</v>
      </c>
      <c r="J319" s="4923" t="s">
        <v>5375</v>
      </c>
      <c r="K319" s="4920" t="s">
        <v>5376</v>
      </c>
      <c r="L319" s="4921" t="s">
        <v>5377</v>
      </c>
      <c r="M319" s="4920" t="s">
        <v>5378</v>
      </c>
      <c r="N319" s="6685" t="s">
        <v>5379</v>
      </c>
      <c r="O319" s="4920" t="s">
        <v>5380</v>
      </c>
      <c r="P319" s="4921" t="s">
        <v>5381</v>
      </c>
      <c r="Q319" s="4920" t="s">
        <v>5382</v>
      </c>
      <c r="R319" s="4923" t="s">
        <v>5383</v>
      </c>
      <c r="S319" s="4920" t="s">
        <v>5384</v>
      </c>
      <c r="T319" s="4923" t="s">
        <v>5385</v>
      </c>
      <c r="U319" s="4920" t="s">
        <v>5386</v>
      </c>
      <c r="V319" s="4923" t="s">
        <v>5387</v>
      </c>
      <c r="W319" s="4920" t="s">
        <v>5388</v>
      </c>
      <c r="X319" s="4923" t="s">
        <v>5389</v>
      </c>
      <c r="Y319" s="4920" t="s">
        <v>5390</v>
      </c>
      <c r="Z319" s="4923" t="s">
        <v>5391</v>
      </c>
      <c r="AA319" s="4920" t="s">
        <v>5392</v>
      </c>
      <c r="AB319" s="4923" t="s">
        <v>5393</v>
      </c>
      <c r="AC319" s="4920" t="s">
        <v>5394</v>
      </c>
      <c r="AD319" s="4923" t="s">
        <v>5395</v>
      </c>
      <c r="AE319" s="4920" t="s">
        <v>5396</v>
      </c>
      <c r="AF319" s="4923" t="s">
        <v>5397</v>
      </c>
      <c r="AG319" s="4920" t="s">
        <v>5398</v>
      </c>
      <c r="AH319" s="4923" t="s">
        <v>5399</v>
      </c>
      <c r="AI319" s="4920" t="s">
        <v>5400</v>
      </c>
      <c r="AJ319" s="4923" t="s">
        <v>5401</v>
      </c>
      <c r="AK319" s="4920" t="s">
        <v>5402</v>
      </c>
      <c r="AL319" s="4923" t="s">
        <v>5403</v>
      </c>
      <c r="AM319" s="4920" t="s">
        <v>5404</v>
      </c>
      <c r="AN319" s="4923" t="s">
        <v>5405</v>
      </c>
      <c r="AO319" s="4920" t="s">
        <v>5406</v>
      </c>
      <c r="AP319" s="4923" t="s">
        <v>5407</v>
      </c>
      <c r="AQ319" s="3918" t="s">
        <v>5408</v>
      </c>
      <c r="AR319" s="6686" t="s">
        <v>5409</v>
      </c>
      <c r="AS319" s="6362" t="s">
        <v>5410</v>
      </c>
      <c r="AT319" s="4921" t="s">
        <v>5411</v>
      </c>
      <c r="AU319" s="6177" t="s">
        <v>5412</v>
      </c>
      <c r="AV319" s="4921" t="s">
        <v>5413</v>
      </c>
      <c r="AW319" s="6177" t="s">
        <v>5414</v>
      </c>
      <c r="AX319" s="4921"/>
      <c r="AY319" s="4260"/>
      <c r="AZ319" s="4264"/>
      <c r="BA319" s="4264"/>
      <c r="BB319" s="4264"/>
      <c r="BC319" s="4264"/>
      <c r="BD319" s="4264"/>
      <c r="BE319" s="4264"/>
      <c r="BF319" s="4264"/>
      <c r="BG319" s="4264"/>
      <c r="BH319" s="4264"/>
      <c r="BI319" s="4264"/>
      <c r="BY319" s="4259"/>
    </row>
    <row r="320" spans="1:116" x14ac:dyDescent="0.25">
      <c r="A320" s="7257" t="s">
        <v>4591</v>
      </c>
      <c r="B320" s="9062"/>
      <c r="C320" s="4924" t="s">
        <v>2162</v>
      </c>
      <c r="D320" s="6357" t="s">
        <v>5369</v>
      </c>
      <c r="E320" s="6358" t="s">
        <v>5370</v>
      </c>
      <c r="F320" s="6683" t="s">
        <v>5371</v>
      </c>
      <c r="G320" s="4920" t="s">
        <v>5372</v>
      </c>
      <c r="H320" s="4923" t="s">
        <v>5373</v>
      </c>
      <c r="I320" s="4920" t="s">
        <v>5374</v>
      </c>
      <c r="J320" s="4923" t="s">
        <v>5375</v>
      </c>
      <c r="K320" s="4920" t="s">
        <v>5376</v>
      </c>
      <c r="L320" s="4921" t="s">
        <v>5377</v>
      </c>
      <c r="M320" s="4920" t="s">
        <v>5378</v>
      </c>
      <c r="N320" s="6685" t="s">
        <v>5379</v>
      </c>
      <c r="O320" s="4920" t="s">
        <v>5380</v>
      </c>
      <c r="P320" s="4921" t="s">
        <v>5381</v>
      </c>
      <c r="Q320" s="4920" t="s">
        <v>5382</v>
      </c>
      <c r="R320" s="4923" t="s">
        <v>5383</v>
      </c>
      <c r="S320" s="4920" t="s">
        <v>5384</v>
      </c>
      <c r="T320" s="4923" t="s">
        <v>5385</v>
      </c>
      <c r="U320" s="4920" t="s">
        <v>5386</v>
      </c>
      <c r="V320" s="4923" t="s">
        <v>5387</v>
      </c>
      <c r="W320" s="4920" t="s">
        <v>5388</v>
      </c>
      <c r="X320" s="4923" t="s">
        <v>5389</v>
      </c>
      <c r="Y320" s="4920" t="s">
        <v>5390</v>
      </c>
      <c r="Z320" s="4923" t="s">
        <v>5391</v>
      </c>
      <c r="AA320" s="4920" t="s">
        <v>5392</v>
      </c>
      <c r="AB320" s="4923" t="s">
        <v>5393</v>
      </c>
      <c r="AC320" s="4920" t="s">
        <v>5394</v>
      </c>
      <c r="AD320" s="4923" t="s">
        <v>5395</v>
      </c>
      <c r="AE320" s="4920" t="s">
        <v>5396</v>
      </c>
      <c r="AF320" s="4923" t="s">
        <v>5397</v>
      </c>
      <c r="AG320" s="4920" t="s">
        <v>5398</v>
      </c>
      <c r="AH320" s="4923" t="s">
        <v>5399</v>
      </c>
      <c r="AI320" s="4920" t="s">
        <v>5400</v>
      </c>
      <c r="AJ320" s="4923" t="s">
        <v>5401</v>
      </c>
      <c r="AK320" s="4920" t="s">
        <v>5402</v>
      </c>
      <c r="AL320" s="4923" t="s">
        <v>5403</v>
      </c>
      <c r="AM320" s="4920" t="s">
        <v>5404</v>
      </c>
      <c r="AN320" s="4923" t="s">
        <v>5405</v>
      </c>
      <c r="AO320" s="4920" t="s">
        <v>5406</v>
      </c>
      <c r="AP320" s="4923" t="s">
        <v>5407</v>
      </c>
      <c r="AQ320" s="3918" t="s">
        <v>5408</v>
      </c>
      <c r="AR320" s="6686" t="s">
        <v>5409</v>
      </c>
      <c r="AS320" s="6362" t="s">
        <v>5410</v>
      </c>
      <c r="AT320" s="4921" t="s">
        <v>5411</v>
      </c>
      <c r="AU320" s="6177" t="s">
        <v>5412</v>
      </c>
      <c r="AV320" s="4921" t="s">
        <v>5413</v>
      </c>
      <c r="AW320" s="6177" t="s">
        <v>5414</v>
      </c>
      <c r="AX320" s="4921"/>
      <c r="AY320" s="4260"/>
      <c r="AZ320" s="4264"/>
      <c r="BA320" s="4264"/>
      <c r="BB320" s="4264"/>
      <c r="BC320" s="4264"/>
      <c r="BD320" s="4264"/>
      <c r="BE320" s="4264"/>
      <c r="BF320" s="4264"/>
      <c r="BG320" s="4264"/>
      <c r="BH320" s="4264"/>
      <c r="BI320" s="4264"/>
      <c r="BY320" s="4259"/>
    </row>
    <row r="321" spans="1:115" x14ac:dyDescent="0.25">
      <c r="A321" s="7257" t="s">
        <v>4592</v>
      </c>
      <c r="B321" s="9089"/>
      <c r="C321" s="6688" t="s">
        <v>2163</v>
      </c>
      <c r="D321" s="6679" t="s">
        <v>5369</v>
      </c>
      <c r="E321" s="6680" t="s">
        <v>5370</v>
      </c>
      <c r="F321" s="5018" t="s">
        <v>5371</v>
      </c>
      <c r="G321" s="5948" t="s">
        <v>5372</v>
      </c>
      <c r="H321" s="5947" t="s">
        <v>5373</v>
      </c>
      <c r="I321" s="5948" t="s">
        <v>5374</v>
      </c>
      <c r="J321" s="5947" t="s">
        <v>5375</v>
      </c>
      <c r="K321" s="5948" t="s">
        <v>5376</v>
      </c>
      <c r="L321" s="5052" t="s">
        <v>5377</v>
      </c>
      <c r="M321" s="5948" t="s">
        <v>5378</v>
      </c>
      <c r="N321" s="5994" t="s">
        <v>5379</v>
      </c>
      <c r="O321" s="5948" t="s">
        <v>5380</v>
      </c>
      <c r="P321" s="5052" t="s">
        <v>5381</v>
      </c>
      <c r="Q321" s="5948" t="s">
        <v>5382</v>
      </c>
      <c r="R321" s="5947" t="s">
        <v>5383</v>
      </c>
      <c r="S321" s="5948" t="s">
        <v>5384</v>
      </c>
      <c r="T321" s="5947" t="s">
        <v>5385</v>
      </c>
      <c r="U321" s="5948" t="s">
        <v>5386</v>
      </c>
      <c r="V321" s="5947" t="s">
        <v>5387</v>
      </c>
      <c r="W321" s="5948" t="s">
        <v>5388</v>
      </c>
      <c r="X321" s="5947" t="s">
        <v>5389</v>
      </c>
      <c r="Y321" s="5948" t="s">
        <v>5390</v>
      </c>
      <c r="Z321" s="5947" t="s">
        <v>5391</v>
      </c>
      <c r="AA321" s="5948" t="s">
        <v>5392</v>
      </c>
      <c r="AB321" s="5947" t="s">
        <v>5393</v>
      </c>
      <c r="AC321" s="5948" t="s">
        <v>5394</v>
      </c>
      <c r="AD321" s="5947" t="s">
        <v>5395</v>
      </c>
      <c r="AE321" s="5948" t="s">
        <v>5396</v>
      </c>
      <c r="AF321" s="5947" t="s">
        <v>5397</v>
      </c>
      <c r="AG321" s="5948" t="s">
        <v>5398</v>
      </c>
      <c r="AH321" s="5947" t="s">
        <v>5399</v>
      </c>
      <c r="AI321" s="5948" t="s">
        <v>5400</v>
      </c>
      <c r="AJ321" s="5947" t="s">
        <v>5401</v>
      </c>
      <c r="AK321" s="5948" t="s">
        <v>5402</v>
      </c>
      <c r="AL321" s="5947" t="s">
        <v>5403</v>
      </c>
      <c r="AM321" s="5948" t="s">
        <v>5404</v>
      </c>
      <c r="AN321" s="5947" t="s">
        <v>5405</v>
      </c>
      <c r="AO321" s="5948" t="s">
        <v>5406</v>
      </c>
      <c r="AP321" s="5947" t="s">
        <v>5407</v>
      </c>
      <c r="AQ321" s="6689" t="s">
        <v>5408</v>
      </c>
      <c r="AR321" s="6690" t="s">
        <v>5409</v>
      </c>
      <c r="AS321" s="6691" t="s">
        <v>5410</v>
      </c>
      <c r="AT321" s="6692" t="s">
        <v>5411</v>
      </c>
      <c r="AU321" s="6693" t="s">
        <v>5412</v>
      </c>
      <c r="AV321" s="6692" t="s">
        <v>5413</v>
      </c>
      <c r="AW321" s="6693" t="s">
        <v>5414</v>
      </c>
      <c r="AX321" s="6692"/>
      <c r="AY321" s="4260"/>
      <c r="AZ321" s="4264"/>
      <c r="BA321" s="4264"/>
      <c r="BB321" s="4264"/>
      <c r="BC321" s="4264"/>
      <c r="BD321" s="4264"/>
      <c r="BE321" s="4264"/>
      <c r="BF321" s="4264"/>
      <c r="BG321" s="4264"/>
      <c r="BH321" s="4264"/>
      <c r="BI321" s="4264"/>
      <c r="BY321" s="4259"/>
      <c r="DC321" s="5899">
        <v>0</v>
      </c>
      <c r="DE321" s="5899">
        <v>0</v>
      </c>
      <c r="DG321" s="5899">
        <v>0</v>
      </c>
      <c r="DI321" s="5899">
        <v>0</v>
      </c>
      <c r="DJ321" s="5899">
        <v>0</v>
      </c>
      <c r="DK321" s="5899">
        <v>0</v>
      </c>
    </row>
    <row r="322" spans="1:115" ht="19.5" customHeight="1" x14ac:dyDescent="0.25">
      <c r="A322" s="7280"/>
      <c r="B322" s="5053" t="s">
        <v>3165</v>
      </c>
      <c r="C322" s="6308"/>
      <c r="AM322" s="4234"/>
      <c r="AN322" s="6694"/>
      <c r="AO322" s="6694"/>
      <c r="AP322" s="6694"/>
      <c r="AQ322" s="6694"/>
      <c r="AR322" s="6694"/>
      <c r="AS322" s="6694"/>
      <c r="AT322" s="6694"/>
      <c r="AU322" s="6694"/>
      <c r="AV322" s="6694"/>
      <c r="AW322" s="6631"/>
      <c r="AX322" s="6631"/>
      <c r="AY322" s="6630"/>
      <c r="BB322" s="4264"/>
      <c r="BC322" s="4264"/>
      <c r="BD322" s="4264"/>
      <c r="BE322" s="4264"/>
      <c r="BF322" s="4264"/>
      <c r="BG322" s="4264"/>
      <c r="BH322" s="4264"/>
      <c r="BI322" s="4264"/>
      <c r="BJ322" s="4264"/>
      <c r="BK322" s="4264"/>
      <c r="BL322" s="4264"/>
      <c r="BM322" s="4264"/>
      <c r="BN322" s="4264"/>
    </row>
    <row r="323" spans="1:115" ht="16.350000000000001" customHeight="1" x14ac:dyDescent="0.25">
      <c r="A323" s="7280"/>
      <c r="B323" s="9090" t="s">
        <v>31</v>
      </c>
      <c r="C323" s="9091"/>
      <c r="D323" s="9260" t="s">
        <v>39</v>
      </c>
      <c r="E323" s="9260"/>
      <c r="F323" s="9260"/>
      <c r="G323" s="9261" t="s">
        <v>84</v>
      </c>
      <c r="H323" s="9262"/>
      <c r="I323" s="9262"/>
      <c r="J323" s="9262"/>
      <c r="K323" s="9262"/>
      <c r="L323" s="9262"/>
      <c r="M323" s="9262"/>
      <c r="N323" s="9262"/>
      <c r="O323" s="9262"/>
      <c r="P323" s="9262"/>
      <c r="Q323" s="9262"/>
      <c r="R323" s="9262"/>
      <c r="S323" s="9262"/>
      <c r="T323" s="9262"/>
      <c r="U323" s="9262"/>
      <c r="V323" s="9262"/>
      <c r="W323" s="9262"/>
      <c r="X323" s="9262"/>
      <c r="Y323" s="9262"/>
      <c r="Z323" s="9262"/>
      <c r="AA323" s="9262"/>
      <c r="AB323" s="9262"/>
      <c r="AC323" s="9262"/>
      <c r="AD323" s="9262"/>
      <c r="AE323" s="9262"/>
      <c r="AF323" s="9262"/>
      <c r="AG323" s="9262"/>
      <c r="AH323" s="9263"/>
      <c r="AI323" s="9336" t="s">
        <v>713</v>
      </c>
      <c r="AJ323" s="9208"/>
      <c r="AK323" s="9378" t="s">
        <v>362</v>
      </c>
      <c r="AL323" s="9174" t="s">
        <v>361</v>
      </c>
      <c r="AM323" s="6196"/>
      <c r="AN323" s="4291"/>
      <c r="AO323" s="4291"/>
      <c r="AP323" s="4291"/>
      <c r="AQ323" s="4291"/>
      <c r="AR323" s="4291"/>
      <c r="AS323" s="4291"/>
      <c r="AT323" s="4291"/>
      <c r="AU323" s="4291"/>
      <c r="AV323" s="4291"/>
      <c r="AW323" s="4291"/>
      <c r="AX323" s="4291"/>
      <c r="AY323" s="6391"/>
      <c r="CC323" s="6197"/>
      <c r="CD323" s="6197"/>
    </row>
    <row r="324" spans="1:115" ht="16.350000000000001" customHeight="1" x14ac:dyDescent="0.25">
      <c r="A324" s="7280"/>
      <c r="B324" s="9122"/>
      <c r="C324" s="9116"/>
      <c r="D324" s="9260"/>
      <c r="E324" s="9260"/>
      <c r="F324" s="9260"/>
      <c r="G324" s="9139" t="s">
        <v>80</v>
      </c>
      <c r="H324" s="9139"/>
      <c r="I324" s="9220" t="s">
        <v>81</v>
      </c>
      <c r="J324" s="9221"/>
      <c r="K324" s="9111" t="s">
        <v>115</v>
      </c>
      <c r="L324" s="9111"/>
      <c r="M324" s="9111" t="s">
        <v>116</v>
      </c>
      <c r="N324" s="9111"/>
      <c r="O324" s="9111" t="s">
        <v>117</v>
      </c>
      <c r="P324" s="9111"/>
      <c r="Q324" s="9111" t="s">
        <v>118</v>
      </c>
      <c r="R324" s="9111"/>
      <c r="S324" s="9111" t="s">
        <v>119</v>
      </c>
      <c r="T324" s="9111"/>
      <c r="U324" s="9111" t="s">
        <v>120</v>
      </c>
      <c r="V324" s="9111"/>
      <c r="W324" s="9111" t="s">
        <v>1414</v>
      </c>
      <c r="X324" s="9111"/>
      <c r="Y324" s="9111" t="s">
        <v>1406</v>
      </c>
      <c r="Z324" s="9111"/>
      <c r="AA324" s="9111" t="s">
        <v>1397</v>
      </c>
      <c r="AB324" s="9111"/>
      <c r="AC324" s="9111" t="s">
        <v>1396</v>
      </c>
      <c r="AD324" s="9111"/>
      <c r="AE324" s="9111" t="s">
        <v>1395</v>
      </c>
      <c r="AF324" s="9111"/>
      <c r="AG324" s="9111" t="s">
        <v>1405</v>
      </c>
      <c r="AH324" s="9222"/>
      <c r="AI324" s="9337"/>
      <c r="AJ324" s="9210"/>
      <c r="AK324" s="9379"/>
      <c r="AL324" s="9182"/>
      <c r="AM324" s="6196"/>
      <c r="AN324" s="4291"/>
      <c r="AO324" s="4291"/>
      <c r="AP324" s="4291"/>
      <c r="AQ324" s="4291"/>
      <c r="AR324" s="4291"/>
      <c r="AS324" s="4291"/>
      <c r="AT324" s="4291"/>
      <c r="AU324" s="4291"/>
      <c r="AV324" s="4291"/>
      <c r="AW324" s="4291"/>
      <c r="AX324" s="4291"/>
      <c r="AY324" s="6391"/>
      <c r="CC324" s="6197"/>
      <c r="CD324" s="6197"/>
    </row>
    <row r="325" spans="1:115" ht="16.350000000000001" customHeight="1" x14ac:dyDescent="0.25">
      <c r="A325" s="7280"/>
      <c r="B325" s="9092"/>
      <c r="C325" s="9093"/>
      <c r="D325" s="6695" t="s">
        <v>42</v>
      </c>
      <c r="E325" s="6696" t="s">
        <v>17</v>
      </c>
      <c r="F325" s="5510" t="s">
        <v>18</v>
      </c>
      <c r="G325" s="6695" t="s">
        <v>708</v>
      </c>
      <c r="H325" s="6697" t="s">
        <v>18</v>
      </c>
      <c r="I325" s="6695" t="s">
        <v>708</v>
      </c>
      <c r="J325" s="6697" t="s">
        <v>18</v>
      </c>
      <c r="K325" s="6695" t="s">
        <v>708</v>
      </c>
      <c r="L325" s="6697" t="s">
        <v>18</v>
      </c>
      <c r="M325" s="6695" t="s">
        <v>708</v>
      </c>
      <c r="N325" s="6697" t="s">
        <v>18</v>
      </c>
      <c r="O325" s="6695" t="s">
        <v>708</v>
      </c>
      <c r="P325" s="6697" t="s">
        <v>18</v>
      </c>
      <c r="Q325" s="6695" t="s">
        <v>708</v>
      </c>
      <c r="R325" s="6697" t="s">
        <v>18</v>
      </c>
      <c r="S325" s="6695" t="s">
        <v>708</v>
      </c>
      <c r="T325" s="6697" t="s">
        <v>18</v>
      </c>
      <c r="U325" s="6695" t="s">
        <v>708</v>
      </c>
      <c r="V325" s="6697" t="s">
        <v>18</v>
      </c>
      <c r="W325" s="6695" t="s">
        <v>708</v>
      </c>
      <c r="X325" s="6697" t="s">
        <v>18</v>
      </c>
      <c r="Y325" s="6695" t="s">
        <v>708</v>
      </c>
      <c r="Z325" s="6697" t="s">
        <v>18</v>
      </c>
      <c r="AA325" s="6695" t="s">
        <v>708</v>
      </c>
      <c r="AB325" s="6697" t="s">
        <v>18</v>
      </c>
      <c r="AC325" s="6695" t="s">
        <v>708</v>
      </c>
      <c r="AD325" s="6697" t="s">
        <v>18</v>
      </c>
      <c r="AE325" s="6695" t="s">
        <v>708</v>
      </c>
      <c r="AF325" s="6697" t="s">
        <v>18</v>
      </c>
      <c r="AG325" s="6695" t="s">
        <v>708</v>
      </c>
      <c r="AH325" s="6698" t="s">
        <v>18</v>
      </c>
      <c r="AI325" s="6699" t="s">
        <v>358</v>
      </c>
      <c r="AJ325" s="6095" t="s">
        <v>359</v>
      </c>
      <c r="AK325" s="9380"/>
      <c r="AL325" s="9087"/>
      <c r="AM325" s="6196"/>
      <c r="AN325" s="4291"/>
      <c r="AO325" s="4291"/>
      <c r="AP325" s="4291"/>
      <c r="AQ325" s="4291"/>
      <c r="AR325" s="4291"/>
      <c r="AS325" s="4291"/>
      <c r="AT325" s="4291"/>
      <c r="AU325" s="4291"/>
      <c r="AV325" s="4291"/>
      <c r="AW325" s="4291"/>
      <c r="AX325" s="4291"/>
      <c r="AY325" s="6391"/>
      <c r="CC325" s="6197"/>
      <c r="CD325" s="6197"/>
    </row>
    <row r="326" spans="1:115" ht="20.25" customHeight="1" x14ac:dyDescent="0.25">
      <c r="A326" s="7257" t="s">
        <v>4593</v>
      </c>
      <c r="B326" s="9081" t="s">
        <v>712</v>
      </c>
      <c r="C326" s="9081"/>
      <c r="D326" s="6673" t="s">
        <v>5369</v>
      </c>
      <c r="E326" s="6674" t="s">
        <v>5370</v>
      </c>
      <c r="F326" s="6700" t="s">
        <v>5371</v>
      </c>
      <c r="G326" s="6668" t="s">
        <v>5372</v>
      </c>
      <c r="H326" s="6670" t="s">
        <v>5373</v>
      </c>
      <c r="I326" s="6668" t="s">
        <v>5374</v>
      </c>
      <c r="J326" s="6670" t="s">
        <v>5375</v>
      </c>
      <c r="K326" s="6668" t="s">
        <v>5376</v>
      </c>
      <c r="L326" s="6670" t="s">
        <v>5377</v>
      </c>
      <c r="M326" s="6668" t="s">
        <v>5378</v>
      </c>
      <c r="N326" s="6670" t="s">
        <v>5379</v>
      </c>
      <c r="O326" s="6668" t="s">
        <v>5380</v>
      </c>
      <c r="P326" s="6670" t="s">
        <v>5381</v>
      </c>
      <c r="Q326" s="6668" t="s">
        <v>5382</v>
      </c>
      <c r="R326" s="6670" t="s">
        <v>5383</v>
      </c>
      <c r="S326" s="6668" t="s">
        <v>5384</v>
      </c>
      <c r="T326" s="6670" t="s">
        <v>5385</v>
      </c>
      <c r="U326" s="6668" t="s">
        <v>5386</v>
      </c>
      <c r="V326" s="6670" t="s">
        <v>5387</v>
      </c>
      <c r="W326" s="6668" t="s">
        <v>5388</v>
      </c>
      <c r="X326" s="6670" t="s">
        <v>5389</v>
      </c>
      <c r="Y326" s="6668" t="s">
        <v>5390</v>
      </c>
      <c r="Z326" s="6670" t="s">
        <v>5391</v>
      </c>
      <c r="AA326" s="6668" t="s">
        <v>5392</v>
      </c>
      <c r="AB326" s="6670" t="s">
        <v>5393</v>
      </c>
      <c r="AC326" s="6668" t="s">
        <v>5394</v>
      </c>
      <c r="AD326" s="6670" t="s">
        <v>5395</v>
      </c>
      <c r="AE326" s="6668" t="s">
        <v>5396</v>
      </c>
      <c r="AF326" s="6670" t="s">
        <v>5397</v>
      </c>
      <c r="AG326" s="6668" t="s">
        <v>5398</v>
      </c>
      <c r="AH326" s="6669" t="s">
        <v>5399</v>
      </c>
      <c r="AI326" s="6670" t="s">
        <v>5400</v>
      </c>
      <c r="AJ326" s="6676" t="s">
        <v>5401</v>
      </c>
      <c r="AK326" s="6668" t="s">
        <v>5402</v>
      </c>
      <c r="AL326" s="6676" t="s">
        <v>5403</v>
      </c>
      <c r="AM326" s="6196"/>
      <c r="AN326" s="5168"/>
      <c r="AO326" s="5168"/>
      <c r="AP326" s="5168"/>
      <c r="AQ326" s="5168"/>
      <c r="AR326" s="5168"/>
      <c r="AS326" s="6364"/>
      <c r="AT326" s="6364"/>
      <c r="AU326" s="6364"/>
      <c r="AV326" s="6364"/>
      <c r="AW326" s="6364"/>
      <c r="AX326" s="6364"/>
      <c r="AY326" s="6180"/>
      <c r="CB326" s="4295" t="s">
        <v>5435</v>
      </c>
      <c r="CD326" s="4295" t="s">
        <v>5436</v>
      </c>
      <c r="DB326" s="5899">
        <v>1</v>
      </c>
      <c r="DC326" s="5899">
        <v>0</v>
      </c>
      <c r="DD326" s="5899">
        <v>1</v>
      </c>
      <c r="DE326" s="5899">
        <v>0</v>
      </c>
      <c r="DI326" s="5899">
        <v>0</v>
      </c>
      <c r="DJ326" s="5899">
        <v>0</v>
      </c>
    </row>
    <row r="327" spans="1:115" ht="22.5" customHeight="1" x14ac:dyDescent="0.25">
      <c r="A327" s="7257" t="s">
        <v>4594</v>
      </c>
      <c r="B327" s="9081" t="s">
        <v>711</v>
      </c>
      <c r="C327" s="9081"/>
      <c r="D327" s="6673" t="s">
        <v>5369</v>
      </c>
      <c r="E327" s="6674" t="s">
        <v>5370</v>
      </c>
      <c r="F327" s="6700" t="s">
        <v>5371</v>
      </c>
      <c r="G327" s="6668" t="s">
        <v>5372</v>
      </c>
      <c r="H327" s="6670" t="s">
        <v>5373</v>
      </c>
      <c r="I327" s="6668" t="s">
        <v>5374</v>
      </c>
      <c r="J327" s="6670" t="s">
        <v>5375</v>
      </c>
      <c r="K327" s="6668" t="s">
        <v>5376</v>
      </c>
      <c r="L327" s="6670" t="s">
        <v>5377</v>
      </c>
      <c r="M327" s="6668" t="s">
        <v>5378</v>
      </c>
      <c r="N327" s="6670" t="s">
        <v>5379</v>
      </c>
      <c r="O327" s="6668" t="s">
        <v>5380</v>
      </c>
      <c r="P327" s="6670" t="s">
        <v>5381</v>
      </c>
      <c r="Q327" s="6668" t="s">
        <v>5382</v>
      </c>
      <c r="R327" s="6670" t="s">
        <v>5383</v>
      </c>
      <c r="S327" s="6668" t="s">
        <v>5384</v>
      </c>
      <c r="T327" s="6670" t="s">
        <v>5385</v>
      </c>
      <c r="U327" s="6668" t="s">
        <v>5386</v>
      </c>
      <c r="V327" s="6670" t="s">
        <v>5387</v>
      </c>
      <c r="W327" s="6668" t="s">
        <v>5388</v>
      </c>
      <c r="X327" s="6670" t="s">
        <v>5389</v>
      </c>
      <c r="Y327" s="6668" t="s">
        <v>5390</v>
      </c>
      <c r="Z327" s="6670" t="s">
        <v>5391</v>
      </c>
      <c r="AA327" s="6668" t="s">
        <v>5392</v>
      </c>
      <c r="AB327" s="6670" t="s">
        <v>5393</v>
      </c>
      <c r="AC327" s="6668" t="s">
        <v>5394</v>
      </c>
      <c r="AD327" s="6670" t="s">
        <v>5395</v>
      </c>
      <c r="AE327" s="6668" t="s">
        <v>5396</v>
      </c>
      <c r="AF327" s="6670" t="s">
        <v>5397</v>
      </c>
      <c r="AG327" s="6668" t="s">
        <v>5398</v>
      </c>
      <c r="AH327" s="6669" t="s">
        <v>5399</v>
      </c>
      <c r="AI327" s="6670" t="s">
        <v>5400</v>
      </c>
      <c r="AJ327" s="6676" t="s">
        <v>5401</v>
      </c>
      <c r="AK327" s="6668" t="s">
        <v>5402</v>
      </c>
      <c r="AL327" s="6676" t="s">
        <v>5403</v>
      </c>
      <c r="AM327" s="6196"/>
      <c r="AN327" s="5168"/>
      <c r="AO327" s="5168"/>
      <c r="AP327" s="5168"/>
      <c r="AQ327" s="5168"/>
      <c r="AR327" s="5168"/>
      <c r="AS327" s="6364"/>
      <c r="AT327" s="6364"/>
      <c r="AU327" s="6364"/>
      <c r="AV327" s="6364"/>
      <c r="AW327" s="6364"/>
      <c r="AX327" s="6364"/>
      <c r="AY327" s="6180"/>
    </row>
    <row r="328" spans="1:115" ht="18.75" customHeight="1" x14ac:dyDescent="0.25">
      <c r="A328" s="7257" t="s">
        <v>4595</v>
      </c>
      <c r="B328" s="9081" t="s">
        <v>710</v>
      </c>
      <c r="C328" s="9081"/>
      <c r="D328" s="6673" t="s">
        <v>5369</v>
      </c>
      <c r="E328" s="6674" t="s">
        <v>5370</v>
      </c>
      <c r="F328" s="6700" t="s">
        <v>5371</v>
      </c>
      <c r="G328" s="6668" t="s">
        <v>5372</v>
      </c>
      <c r="H328" s="6670" t="s">
        <v>5373</v>
      </c>
      <c r="I328" s="6668" t="s">
        <v>5374</v>
      </c>
      <c r="J328" s="6670" t="s">
        <v>5375</v>
      </c>
      <c r="K328" s="6668" t="s">
        <v>5376</v>
      </c>
      <c r="L328" s="6670" t="s">
        <v>5377</v>
      </c>
      <c r="M328" s="6668" t="s">
        <v>5378</v>
      </c>
      <c r="N328" s="6670" t="s">
        <v>5379</v>
      </c>
      <c r="O328" s="6668" t="s">
        <v>5380</v>
      </c>
      <c r="P328" s="6670" t="s">
        <v>5381</v>
      </c>
      <c r="Q328" s="6668" t="s">
        <v>5382</v>
      </c>
      <c r="R328" s="6670" t="s">
        <v>5383</v>
      </c>
      <c r="S328" s="6668" t="s">
        <v>5384</v>
      </c>
      <c r="T328" s="6670" t="s">
        <v>5385</v>
      </c>
      <c r="U328" s="6668" t="s">
        <v>5386</v>
      </c>
      <c r="V328" s="6670" t="s">
        <v>5387</v>
      </c>
      <c r="W328" s="6668" t="s">
        <v>5388</v>
      </c>
      <c r="X328" s="6670" t="s">
        <v>5389</v>
      </c>
      <c r="Y328" s="6668" t="s">
        <v>5390</v>
      </c>
      <c r="Z328" s="6670" t="s">
        <v>5391</v>
      </c>
      <c r="AA328" s="6668" t="s">
        <v>5392</v>
      </c>
      <c r="AB328" s="6670" t="s">
        <v>5393</v>
      </c>
      <c r="AC328" s="6668" t="s">
        <v>5394</v>
      </c>
      <c r="AD328" s="6670" t="s">
        <v>5395</v>
      </c>
      <c r="AE328" s="6668" t="s">
        <v>5396</v>
      </c>
      <c r="AF328" s="6670" t="s">
        <v>5397</v>
      </c>
      <c r="AG328" s="6668" t="s">
        <v>5398</v>
      </c>
      <c r="AH328" s="6669" t="s">
        <v>5399</v>
      </c>
      <c r="AI328" s="6670" t="s">
        <v>5400</v>
      </c>
      <c r="AJ328" s="6676" t="s">
        <v>5401</v>
      </c>
      <c r="AK328" s="6668" t="s">
        <v>5402</v>
      </c>
      <c r="AL328" s="6676" t="s">
        <v>5403</v>
      </c>
      <c r="AM328" s="6196"/>
      <c r="AN328" s="4979"/>
      <c r="AO328" s="4979"/>
      <c r="AP328" s="4979"/>
      <c r="AQ328" s="4979"/>
      <c r="AR328" s="4979"/>
      <c r="AS328" s="4979"/>
      <c r="AT328" s="4979"/>
      <c r="AU328" s="4979"/>
      <c r="AV328" s="4979"/>
      <c r="AW328" s="4979"/>
      <c r="AX328" s="4979"/>
      <c r="AY328" s="5204"/>
      <c r="DC328" s="5899">
        <v>0</v>
      </c>
      <c r="DE328" s="5899">
        <v>0</v>
      </c>
      <c r="DJ328" s="5899">
        <v>0</v>
      </c>
    </row>
    <row r="329" spans="1:115" ht="30" customHeight="1" x14ac:dyDescent="0.25">
      <c r="A329" s="7280"/>
      <c r="B329" s="6701" t="s">
        <v>3166</v>
      </c>
      <c r="C329" s="6702"/>
      <c r="D329" s="6703"/>
      <c r="E329" s="6703"/>
      <c r="F329" s="6703"/>
      <c r="G329" s="6703"/>
      <c r="H329" s="6703"/>
      <c r="I329" s="6703"/>
      <c r="J329" s="6703"/>
      <c r="K329" s="6703"/>
      <c r="L329" s="6703"/>
      <c r="M329" s="6703"/>
      <c r="N329" s="6703"/>
      <c r="O329" s="6703"/>
      <c r="P329" s="3940"/>
      <c r="Q329" s="3940"/>
      <c r="R329" s="3940"/>
      <c r="S329" s="3940"/>
      <c r="T329" s="3940"/>
      <c r="U329" s="3940"/>
      <c r="V329" s="3940"/>
      <c r="W329" s="3940"/>
      <c r="X329" s="3940"/>
      <c r="Y329" s="3940"/>
      <c r="Z329" s="3940"/>
      <c r="AA329" s="3940"/>
      <c r="AB329" s="3940"/>
      <c r="AC329" s="3940"/>
      <c r="AD329" s="3940"/>
      <c r="AE329" s="3940"/>
      <c r="AF329" s="3940"/>
      <c r="AG329" s="3940"/>
      <c r="AH329" s="3940"/>
      <c r="AI329" s="4979"/>
      <c r="AJ329" s="3940"/>
      <c r="AK329" s="3940"/>
      <c r="AL329" s="3940"/>
      <c r="AM329" s="4979"/>
      <c r="AN329" s="4979"/>
      <c r="AO329" s="4979"/>
      <c r="AP329" s="4979"/>
      <c r="AQ329" s="4979"/>
      <c r="AR329" s="4979"/>
      <c r="AS329" s="4979"/>
      <c r="AT329" s="4979"/>
      <c r="AU329" s="4979"/>
      <c r="AV329" s="4979"/>
      <c r="AW329" s="4979"/>
      <c r="AX329" s="4979"/>
      <c r="AY329" s="5204"/>
    </row>
    <row r="330" spans="1:115" ht="16.350000000000001" customHeight="1" x14ac:dyDescent="0.25">
      <c r="A330" s="7280"/>
      <c r="B330" s="9088" t="s">
        <v>41</v>
      </c>
      <c r="C330" s="9082" t="s">
        <v>86</v>
      </c>
      <c r="D330" s="9083"/>
      <c r="E330" s="9084"/>
      <c r="F330" s="9289" t="s">
        <v>709</v>
      </c>
      <c r="G330" s="9290"/>
      <c r="H330" s="9290"/>
      <c r="I330" s="9290"/>
      <c r="J330" s="9290"/>
      <c r="K330" s="9290"/>
      <c r="L330" s="9290"/>
      <c r="M330" s="9290"/>
      <c r="N330" s="9290"/>
      <c r="O330" s="6704"/>
      <c r="P330" s="8636" t="s">
        <v>362</v>
      </c>
      <c r="Q330" s="8636" t="s">
        <v>361</v>
      </c>
      <c r="R330" s="9366" t="s">
        <v>363</v>
      </c>
      <c r="S330" s="9367"/>
      <c r="T330" s="3940"/>
      <c r="U330" s="3940"/>
      <c r="V330" s="3940"/>
      <c r="W330" s="3940"/>
      <c r="X330" s="3940"/>
      <c r="Y330" s="3940"/>
      <c r="Z330" s="3940"/>
      <c r="AA330" s="3940"/>
      <c r="AB330" s="3940"/>
      <c r="AC330" s="3940"/>
      <c r="AD330" s="3940"/>
      <c r="AE330" s="3940"/>
      <c r="AF330" s="3940"/>
      <c r="AG330" s="3940"/>
      <c r="AH330" s="3940"/>
      <c r="AI330" s="3940"/>
      <c r="AJ330" s="3940"/>
      <c r="AK330" s="3940"/>
      <c r="AL330" s="4979"/>
      <c r="AM330" s="3914"/>
      <c r="AN330" s="4979"/>
      <c r="AO330" s="4979"/>
      <c r="AP330" s="4979"/>
      <c r="AQ330" s="4979"/>
      <c r="AR330" s="4979"/>
      <c r="AS330" s="4979"/>
      <c r="AT330" s="4979"/>
      <c r="AU330" s="4979"/>
      <c r="AV330" s="4979"/>
      <c r="AW330" s="4979"/>
      <c r="AX330" s="4979"/>
      <c r="BZ330" s="4259"/>
    </row>
    <row r="331" spans="1:115" ht="16.350000000000001" customHeight="1" x14ac:dyDescent="0.25">
      <c r="A331" s="7280"/>
      <c r="B331" s="9062"/>
      <c r="C331" s="9085"/>
      <c r="D331" s="9086"/>
      <c r="E331" s="9087"/>
      <c r="F331" s="9057" t="s">
        <v>399</v>
      </c>
      <c r="G331" s="9058"/>
      <c r="H331" s="9057" t="s">
        <v>54</v>
      </c>
      <c r="I331" s="9058"/>
      <c r="J331" s="9057" t="s">
        <v>79</v>
      </c>
      <c r="K331" s="9058"/>
      <c r="L331" s="9057" t="s">
        <v>80</v>
      </c>
      <c r="M331" s="9058"/>
      <c r="N331" s="9057" t="s">
        <v>81</v>
      </c>
      <c r="O331" s="9060"/>
      <c r="P331" s="9116"/>
      <c r="Q331" s="9116"/>
      <c r="R331" s="9368"/>
      <c r="S331" s="9369"/>
      <c r="T331" s="3940"/>
      <c r="U331" s="3940"/>
      <c r="V331" s="3940"/>
      <c r="W331" s="3940"/>
      <c r="X331" s="3940"/>
      <c r="Y331" s="3940"/>
      <c r="Z331" s="3940"/>
      <c r="AA331" s="3940"/>
      <c r="AB331" s="3940"/>
      <c r="AC331" s="3940"/>
      <c r="AD331" s="3940"/>
      <c r="AE331" s="3940"/>
      <c r="AF331" s="3940"/>
      <c r="AG331" s="3940"/>
      <c r="AH331" s="3940"/>
      <c r="AI331" s="3940"/>
      <c r="AJ331" s="3940"/>
      <c r="AK331" s="3940"/>
      <c r="AL331" s="4979"/>
      <c r="AM331" s="4979"/>
      <c r="AN331" s="4979"/>
      <c r="AO331" s="4979"/>
      <c r="AP331" s="4979"/>
      <c r="AQ331" s="4979"/>
      <c r="AR331" s="4979"/>
      <c r="AS331" s="4979"/>
      <c r="AT331" s="4979"/>
      <c r="AU331" s="4979"/>
      <c r="AV331" s="4979"/>
      <c r="AW331" s="4979"/>
      <c r="AX331" s="4979"/>
      <c r="BZ331" s="4259"/>
    </row>
    <row r="332" spans="1:115" ht="19.5" customHeight="1" x14ac:dyDescent="0.25">
      <c r="A332" s="7280"/>
      <c r="B332" s="9089"/>
      <c r="C332" s="6705" t="s">
        <v>42</v>
      </c>
      <c r="D332" s="6706" t="s">
        <v>17</v>
      </c>
      <c r="E332" s="6095" t="s">
        <v>18</v>
      </c>
      <c r="F332" s="6707" t="s">
        <v>17</v>
      </c>
      <c r="G332" s="6708" t="s">
        <v>18</v>
      </c>
      <c r="H332" s="6707" t="s">
        <v>17</v>
      </c>
      <c r="I332" s="6708" t="s">
        <v>18</v>
      </c>
      <c r="J332" s="6707" t="s">
        <v>17</v>
      </c>
      <c r="K332" s="6708" t="s">
        <v>18</v>
      </c>
      <c r="L332" s="6707" t="s">
        <v>17</v>
      </c>
      <c r="M332" s="6708" t="s">
        <v>18</v>
      </c>
      <c r="N332" s="6707" t="s">
        <v>17</v>
      </c>
      <c r="O332" s="6097" t="s">
        <v>18</v>
      </c>
      <c r="P332" s="8637"/>
      <c r="Q332" s="9117"/>
      <c r="R332" s="6709" t="s">
        <v>358</v>
      </c>
      <c r="S332" s="6709" t="s">
        <v>359</v>
      </c>
      <c r="BZ332" s="4259"/>
    </row>
    <row r="333" spans="1:115" ht="20.25" customHeight="1" x14ac:dyDescent="0.25">
      <c r="A333" s="7257" t="s">
        <v>4596</v>
      </c>
      <c r="B333" s="6710" t="s">
        <v>29</v>
      </c>
      <c r="C333" s="6710" t="s">
        <v>5369</v>
      </c>
      <c r="D333" s="6711" t="s">
        <v>5370</v>
      </c>
      <c r="E333" s="6712" t="s">
        <v>5371</v>
      </c>
      <c r="F333" s="6275" t="s">
        <v>5372</v>
      </c>
      <c r="G333" s="4394" t="s">
        <v>5373</v>
      </c>
      <c r="H333" s="6275" t="s">
        <v>5374</v>
      </c>
      <c r="I333" s="4394" t="s">
        <v>5375</v>
      </c>
      <c r="J333" s="6275" t="s">
        <v>5376</v>
      </c>
      <c r="K333" s="6713" t="s">
        <v>5377</v>
      </c>
      <c r="L333" s="6275" t="s">
        <v>5378</v>
      </c>
      <c r="M333" s="6713" t="s">
        <v>5379</v>
      </c>
      <c r="N333" s="6714" t="s">
        <v>5380</v>
      </c>
      <c r="O333" s="6298" t="s">
        <v>5381</v>
      </c>
      <c r="P333" s="4394" t="s">
        <v>5382</v>
      </c>
      <c r="Q333" s="4394" t="s">
        <v>5383</v>
      </c>
      <c r="R333" s="4394" t="s">
        <v>5384</v>
      </c>
      <c r="S333" s="4394" t="s">
        <v>5385</v>
      </c>
      <c r="T333" s="4259"/>
      <c r="BZ333" s="4259"/>
      <c r="DB333" s="5899">
        <v>0</v>
      </c>
      <c r="DC333" s="5899">
        <v>0</v>
      </c>
      <c r="DD333" s="5899">
        <v>0</v>
      </c>
      <c r="DE333" s="5899">
        <v>0</v>
      </c>
      <c r="DF333" s="5899">
        <v>0</v>
      </c>
      <c r="DG333" s="5899">
        <v>0</v>
      </c>
      <c r="DH333" s="5899">
        <v>0</v>
      </c>
      <c r="DI333" s="5899">
        <v>0</v>
      </c>
    </row>
    <row r="334" spans="1:115" ht="21.75" customHeight="1" x14ac:dyDescent="0.25">
      <c r="A334" s="7257" t="s">
        <v>4597</v>
      </c>
      <c r="B334" s="6715" t="s">
        <v>73</v>
      </c>
      <c r="C334" s="6715" t="s">
        <v>5369</v>
      </c>
      <c r="D334" s="6716" t="s">
        <v>5370</v>
      </c>
      <c r="E334" s="5991" t="s">
        <v>5371</v>
      </c>
      <c r="F334" s="6301" t="s">
        <v>5372</v>
      </c>
      <c r="G334" s="6717" t="s">
        <v>5373</v>
      </c>
      <c r="H334" s="6301" t="s">
        <v>5374</v>
      </c>
      <c r="I334" s="4233" t="s">
        <v>5375</v>
      </c>
      <c r="J334" s="6301" t="s">
        <v>5376</v>
      </c>
      <c r="K334" s="6717" t="s">
        <v>5377</v>
      </c>
      <c r="L334" s="6301" t="s">
        <v>5378</v>
      </c>
      <c r="M334" s="6717" t="s">
        <v>5379</v>
      </c>
      <c r="N334" s="6718" t="s">
        <v>5380</v>
      </c>
      <c r="O334" s="5995" t="s">
        <v>5381</v>
      </c>
      <c r="P334" s="6717" t="s">
        <v>5382</v>
      </c>
      <c r="Q334" s="6300" t="s">
        <v>5383</v>
      </c>
      <c r="R334" s="6717" t="s">
        <v>5384</v>
      </c>
      <c r="S334" s="6300" t="s">
        <v>5385</v>
      </c>
      <c r="T334" s="4259"/>
      <c r="BZ334" s="4259"/>
      <c r="DC334" s="5899">
        <v>0</v>
      </c>
      <c r="DE334" s="5899">
        <v>0</v>
      </c>
      <c r="DG334" s="5899">
        <v>0</v>
      </c>
      <c r="DI334" s="5899">
        <v>0</v>
      </c>
    </row>
    <row r="335" spans="1:115" ht="22.5" customHeight="1" x14ac:dyDescent="0.25">
      <c r="A335" s="7280"/>
      <c r="B335" s="5053" t="s">
        <v>3167</v>
      </c>
      <c r="C335" s="4470"/>
    </row>
    <row r="336" spans="1:115" ht="14.25" customHeight="1" x14ac:dyDescent="0.25">
      <c r="A336" s="7280"/>
      <c r="B336" s="9088" t="s">
        <v>41</v>
      </c>
      <c r="C336" s="9088" t="s">
        <v>651</v>
      </c>
      <c r="D336" s="9100" t="s">
        <v>86</v>
      </c>
      <c r="E336" s="9100"/>
      <c r="F336" s="9100"/>
      <c r="G336" s="9278" t="s">
        <v>709</v>
      </c>
      <c r="H336" s="9279"/>
      <c r="I336" s="9279"/>
      <c r="J336" s="9279"/>
      <c r="K336" s="9279"/>
      <c r="L336" s="9279"/>
      <c r="M336" s="9279"/>
      <c r="N336" s="9279"/>
      <c r="O336" s="9279"/>
      <c r="P336" s="9279"/>
      <c r="Q336" s="9279"/>
      <c r="R336" s="9279"/>
      <c r="S336" s="9279"/>
      <c r="T336" s="9279"/>
      <c r="U336" s="9279"/>
      <c r="V336" s="9279"/>
      <c r="W336" s="9279"/>
      <c r="X336" s="9279"/>
      <c r="Y336" s="9279"/>
      <c r="Z336" s="9279"/>
      <c r="AA336" s="9279"/>
      <c r="AB336" s="9279"/>
      <c r="AC336" s="9279"/>
      <c r="AD336" s="9279"/>
      <c r="AE336" s="9279"/>
      <c r="AF336" s="9279"/>
      <c r="AG336" s="9279"/>
      <c r="AH336" s="9291"/>
      <c r="AI336" s="9128" t="s">
        <v>362</v>
      </c>
      <c r="AJ336" s="9338" t="s">
        <v>361</v>
      </c>
      <c r="AK336" s="9286" t="s">
        <v>2568</v>
      </c>
      <c r="AL336" s="9287"/>
      <c r="AM336" s="9288"/>
      <c r="AN336" s="9227" t="s">
        <v>2570</v>
      </c>
      <c r="BT336" s="4259"/>
      <c r="BZ336" s="4259"/>
    </row>
    <row r="337" spans="1:110" ht="30.6" customHeight="1" x14ac:dyDescent="0.25">
      <c r="A337" s="7280"/>
      <c r="B337" s="9062"/>
      <c r="C337" s="9062"/>
      <c r="D337" s="9100"/>
      <c r="E337" s="9100"/>
      <c r="F337" s="9100"/>
      <c r="G337" s="9057" t="s">
        <v>80</v>
      </c>
      <c r="H337" s="9058"/>
      <c r="I337" s="9057" t="s">
        <v>81</v>
      </c>
      <c r="J337" s="9058"/>
      <c r="K337" s="9057" t="s">
        <v>115</v>
      </c>
      <c r="L337" s="9058"/>
      <c r="M337" s="9057" t="s">
        <v>116</v>
      </c>
      <c r="N337" s="9058"/>
      <c r="O337" s="9057" t="s">
        <v>117</v>
      </c>
      <c r="P337" s="9058"/>
      <c r="Q337" s="9057" t="s">
        <v>118</v>
      </c>
      <c r="R337" s="9058"/>
      <c r="S337" s="9057" t="s">
        <v>119</v>
      </c>
      <c r="T337" s="9058"/>
      <c r="U337" s="9057" t="s">
        <v>120</v>
      </c>
      <c r="V337" s="9058"/>
      <c r="W337" s="9057" t="s">
        <v>1414</v>
      </c>
      <c r="X337" s="9058"/>
      <c r="Y337" s="9057" t="s">
        <v>1406</v>
      </c>
      <c r="Z337" s="9058"/>
      <c r="AA337" s="9057" t="s">
        <v>1397</v>
      </c>
      <c r="AB337" s="9058"/>
      <c r="AC337" s="9057" t="s">
        <v>1396</v>
      </c>
      <c r="AD337" s="9058"/>
      <c r="AE337" s="9057" t="s">
        <v>1395</v>
      </c>
      <c r="AF337" s="9058"/>
      <c r="AG337" s="9057" t="s">
        <v>1405</v>
      </c>
      <c r="AH337" s="9060"/>
      <c r="AI337" s="9129"/>
      <c r="AJ337" s="9116"/>
      <c r="AK337" s="9333" t="s">
        <v>2572</v>
      </c>
      <c r="AL337" s="9255" t="s">
        <v>66</v>
      </c>
      <c r="AM337" s="9334" t="s">
        <v>2569</v>
      </c>
      <c r="AN337" s="9062"/>
      <c r="BT337" s="4259"/>
      <c r="BZ337" s="4259"/>
    </row>
    <row r="338" spans="1:110" x14ac:dyDescent="0.25">
      <c r="A338" s="7280"/>
      <c r="B338" s="9089"/>
      <c r="C338" s="9089"/>
      <c r="D338" s="6719" t="s">
        <v>42</v>
      </c>
      <c r="E338" s="4227" t="s">
        <v>17</v>
      </c>
      <c r="F338" s="4228" t="s">
        <v>18</v>
      </c>
      <c r="G338" s="4903" t="s">
        <v>17</v>
      </c>
      <c r="H338" s="4901" t="s">
        <v>18</v>
      </c>
      <c r="I338" s="4903" t="s">
        <v>17</v>
      </c>
      <c r="J338" s="4901" t="s">
        <v>18</v>
      </c>
      <c r="K338" s="4903" t="s">
        <v>708</v>
      </c>
      <c r="L338" s="4901" t="s">
        <v>18</v>
      </c>
      <c r="M338" s="4903" t="s">
        <v>708</v>
      </c>
      <c r="N338" s="4901" t="s">
        <v>18</v>
      </c>
      <c r="O338" s="4903" t="s">
        <v>708</v>
      </c>
      <c r="P338" s="4901" t="s">
        <v>18</v>
      </c>
      <c r="Q338" s="4903" t="s">
        <v>708</v>
      </c>
      <c r="R338" s="4901" t="s">
        <v>18</v>
      </c>
      <c r="S338" s="4903" t="s">
        <v>708</v>
      </c>
      <c r="T338" s="4901" t="s">
        <v>18</v>
      </c>
      <c r="U338" s="4903" t="s">
        <v>708</v>
      </c>
      <c r="V338" s="4901" t="s">
        <v>18</v>
      </c>
      <c r="W338" s="4903" t="s">
        <v>708</v>
      </c>
      <c r="X338" s="4901" t="s">
        <v>18</v>
      </c>
      <c r="Y338" s="4903" t="s">
        <v>708</v>
      </c>
      <c r="Z338" s="4901" t="s">
        <v>18</v>
      </c>
      <c r="AA338" s="4903" t="s">
        <v>708</v>
      </c>
      <c r="AB338" s="4901" t="s">
        <v>18</v>
      </c>
      <c r="AC338" s="4903" t="s">
        <v>708</v>
      </c>
      <c r="AD338" s="4901" t="s">
        <v>18</v>
      </c>
      <c r="AE338" s="4903" t="s">
        <v>708</v>
      </c>
      <c r="AF338" s="4901" t="s">
        <v>18</v>
      </c>
      <c r="AG338" s="4903" t="s">
        <v>708</v>
      </c>
      <c r="AH338" s="6317" t="s">
        <v>18</v>
      </c>
      <c r="AI338" s="9130"/>
      <c r="AJ338" s="9093"/>
      <c r="AK338" s="9254"/>
      <c r="AL338" s="9256"/>
      <c r="AM338" s="9335"/>
      <c r="AN338" s="9228"/>
      <c r="BT338" s="4259"/>
      <c r="BZ338" s="4259"/>
    </row>
    <row r="339" spans="1:110" ht="20.25" customHeight="1" x14ac:dyDescent="0.25">
      <c r="A339" s="7257" t="s">
        <v>4598</v>
      </c>
      <c r="B339" s="9088" t="s">
        <v>2791</v>
      </c>
      <c r="C339" s="6720" t="s">
        <v>650</v>
      </c>
      <c r="D339" s="6721" t="s">
        <v>5369</v>
      </c>
      <c r="E339" s="6721" t="s">
        <v>5370</v>
      </c>
      <c r="F339" s="6721" t="s">
        <v>5371</v>
      </c>
      <c r="G339" s="6220" t="s">
        <v>5372</v>
      </c>
      <c r="H339" s="6322" t="s">
        <v>5373</v>
      </c>
      <c r="I339" s="6220" t="s">
        <v>5374</v>
      </c>
      <c r="J339" s="6322" t="s">
        <v>5375</v>
      </c>
      <c r="K339" s="6220" t="s">
        <v>5376</v>
      </c>
      <c r="L339" s="6322" t="s">
        <v>5377</v>
      </c>
      <c r="M339" s="6220" t="s">
        <v>5378</v>
      </c>
      <c r="N339" s="6322" t="s">
        <v>5379</v>
      </c>
      <c r="O339" s="6220" t="s">
        <v>5380</v>
      </c>
      <c r="P339" s="6322" t="s">
        <v>5381</v>
      </c>
      <c r="Q339" s="6220" t="s">
        <v>5382</v>
      </c>
      <c r="R339" s="6322" t="s">
        <v>5383</v>
      </c>
      <c r="S339" s="6220" t="s">
        <v>5384</v>
      </c>
      <c r="T339" s="6322" t="s">
        <v>5385</v>
      </c>
      <c r="U339" s="6220" t="s">
        <v>5386</v>
      </c>
      <c r="V339" s="6322" t="s">
        <v>5387</v>
      </c>
      <c r="W339" s="6220" t="s">
        <v>5388</v>
      </c>
      <c r="X339" s="6322" t="s">
        <v>5389</v>
      </c>
      <c r="Y339" s="6220" t="s">
        <v>5390</v>
      </c>
      <c r="Z339" s="6322" t="s">
        <v>5391</v>
      </c>
      <c r="AA339" s="6220" t="s">
        <v>5392</v>
      </c>
      <c r="AB339" s="6322" t="s">
        <v>5393</v>
      </c>
      <c r="AC339" s="6220" t="s">
        <v>5394</v>
      </c>
      <c r="AD339" s="6322" t="s">
        <v>5395</v>
      </c>
      <c r="AE339" s="6220" t="s">
        <v>5396</v>
      </c>
      <c r="AF339" s="6322" t="s">
        <v>5397</v>
      </c>
      <c r="AG339" s="6220" t="s">
        <v>5398</v>
      </c>
      <c r="AH339" s="6323" t="s">
        <v>5399</v>
      </c>
      <c r="AI339" s="6722" t="s">
        <v>5400</v>
      </c>
      <c r="AJ339" s="6723" t="s">
        <v>5401</v>
      </c>
      <c r="AK339" s="6266" t="s">
        <v>5402</v>
      </c>
      <c r="AL339" s="6722" t="s">
        <v>5403</v>
      </c>
      <c r="AM339" s="6723" t="s">
        <v>5404</v>
      </c>
      <c r="AN339" s="6723"/>
      <c r="AO339" s="4259"/>
      <c r="BT339" s="4259"/>
      <c r="BZ339" s="4259"/>
      <c r="DB339" s="5899">
        <v>0</v>
      </c>
      <c r="DC339" s="5899">
        <v>0</v>
      </c>
      <c r="DD339" s="5899">
        <v>0</v>
      </c>
      <c r="DE339" s="5899">
        <v>0</v>
      </c>
      <c r="DF339" s="5899">
        <v>0</v>
      </c>
    </row>
    <row r="340" spans="1:110" ht="20.25" customHeight="1" x14ac:dyDescent="0.25">
      <c r="A340" s="7257" t="s">
        <v>4599</v>
      </c>
      <c r="B340" s="9062"/>
      <c r="C340" s="5387" t="s">
        <v>649</v>
      </c>
      <c r="D340" s="6724" t="s">
        <v>5369</v>
      </c>
      <c r="E340" s="6724" t="s">
        <v>5370</v>
      </c>
      <c r="F340" s="6724" t="s">
        <v>5371</v>
      </c>
      <c r="G340" s="4920" t="s">
        <v>5372</v>
      </c>
      <c r="H340" s="4921" t="s">
        <v>5373</v>
      </c>
      <c r="I340" s="4920" t="s">
        <v>5374</v>
      </c>
      <c r="J340" s="4921" t="s">
        <v>5375</v>
      </c>
      <c r="K340" s="4920" t="s">
        <v>5376</v>
      </c>
      <c r="L340" s="4921" t="s">
        <v>5377</v>
      </c>
      <c r="M340" s="4920" t="s">
        <v>5378</v>
      </c>
      <c r="N340" s="4921" t="s">
        <v>5379</v>
      </c>
      <c r="O340" s="4920" t="s">
        <v>5380</v>
      </c>
      <c r="P340" s="4921" t="s">
        <v>5381</v>
      </c>
      <c r="Q340" s="4920" t="s">
        <v>5382</v>
      </c>
      <c r="R340" s="4921" t="s">
        <v>5383</v>
      </c>
      <c r="S340" s="4920" t="s">
        <v>5384</v>
      </c>
      <c r="T340" s="4921" t="s">
        <v>5385</v>
      </c>
      <c r="U340" s="4920" t="s">
        <v>5386</v>
      </c>
      <c r="V340" s="4921" t="s">
        <v>5387</v>
      </c>
      <c r="W340" s="4920" t="s">
        <v>5388</v>
      </c>
      <c r="X340" s="4921" t="s">
        <v>5389</v>
      </c>
      <c r="Y340" s="4920" t="s">
        <v>5390</v>
      </c>
      <c r="Z340" s="4921" t="s">
        <v>5391</v>
      </c>
      <c r="AA340" s="4920" t="s">
        <v>5392</v>
      </c>
      <c r="AB340" s="4921" t="s">
        <v>5393</v>
      </c>
      <c r="AC340" s="4920" t="s">
        <v>5394</v>
      </c>
      <c r="AD340" s="4921" t="s">
        <v>5395</v>
      </c>
      <c r="AE340" s="4920" t="s">
        <v>5396</v>
      </c>
      <c r="AF340" s="4921" t="s">
        <v>5397</v>
      </c>
      <c r="AG340" s="4920" t="s">
        <v>5398</v>
      </c>
      <c r="AH340" s="4922" t="s">
        <v>5399</v>
      </c>
      <c r="AI340" s="4370" t="s">
        <v>5400</v>
      </c>
      <c r="AJ340" s="4457" t="s">
        <v>5401</v>
      </c>
      <c r="AK340" s="4923" t="s">
        <v>5402</v>
      </c>
      <c r="AL340" s="4370" t="s">
        <v>5403</v>
      </c>
      <c r="AM340" s="4457" t="s">
        <v>5404</v>
      </c>
      <c r="AN340" s="4457" t="s">
        <v>5405</v>
      </c>
      <c r="AO340" s="4259"/>
      <c r="BT340" s="4259"/>
      <c r="BZ340" s="4259"/>
      <c r="DB340" s="5899">
        <v>0</v>
      </c>
      <c r="DD340" s="5899">
        <v>0</v>
      </c>
    </row>
    <row r="341" spans="1:110" ht="20.25" customHeight="1" x14ac:dyDescent="0.25">
      <c r="A341" s="7257" t="s">
        <v>4600</v>
      </c>
      <c r="B341" s="9089"/>
      <c r="C341" s="4478" t="s">
        <v>648</v>
      </c>
      <c r="D341" s="6750" t="s">
        <v>5369</v>
      </c>
      <c r="E341" s="6750" t="s">
        <v>5370</v>
      </c>
      <c r="F341" s="6750" t="s">
        <v>5371</v>
      </c>
      <c r="G341" s="4933" t="s">
        <v>5372</v>
      </c>
      <c r="H341" s="3981" t="s">
        <v>5373</v>
      </c>
      <c r="I341" s="4933" t="s">
        <v>5374</v>
      </c>
      <c r="J341" s="3981" t="s">
        <v>5375</v>
      </c>
      <c r="K341" s="4933" t="s">
        <v>5376</v>
      </c>
      <c r="L341" s="3981" t="s">
        <v>5377</v>
      </c>
      <c r="M341" s="4933" t="s">
        <v>5378</v>
      </c>
      <c r="N341" s="3981" t="s">
        <v>5379</v>
      </c>
      <c r="O341" s="4933" t="s">
        <v>5380</v>
      </c>
      <c r="P341" s="3981" t="s">
        <v>5381</v>
      </c>
      <c r="Q341" s="4933" t="s">
        <v>5382</v>
      </c>
      <c r="R341" s="3981" t="s">
        <v>5383</v>
      </c>
      <c r="S341" s="4933" t="s">
        <v>5384</v>
      </c>
      <c r="T341" s="3981" t="s">
        <v>5385</v>
      </c>
      <c r="U341" s="4933" t="s">
        <v>5386</v>
      </c>
      <c r="V341" s="3981" t="s">
        <v>5387</v>
      </c>
      <c r="W341" s="4933" t="s">
        <v>5388</v>
      </c>
      <c r="X341" s="3981" t="s">
        <v>5389</v>
      </c>
      <c r="Y341" s="4933" t="s">
        <v>5390</v>
      </c>
      <c r="Z341" s="3981" t="s">
        <v>5391</v>
      </c>
      <c r="AA341" s="4933" t="s">
        <v>5392</v>
      </c>
      <c r="AB341" s="3981" t="s">
        <v>5393</v>
      </c>
      <c r="AC341" s="4933" t="s">
        <v>5394</v>
      </c>
      <c r="AD341" s="3981" t="s">
        <v>5395</v>
      </c>
      <c r="AE341" s="4933" t="s">
        <v>5396</v>
      </c>
      <c r="AF341" s="3981" t="s">
        <v>5397</v>
      </c>
      <c r="AG341" s="4933" t="s">
        <v>5398</v>
      </c>
      <c r="AH341" s="4934" t="s">
        <v>5399</v>
      </c>
      <c r="AI341" s="6725" t="s">
        <v>5400</v>
      </c>
      <c r="AJ341" s="6726" t="s">
        <v>5401</v>
      </c>
      <c r="AK341" s="4935" t="s">
        <v>5402</v>
      </c>
      <c r="AL341" s="6725" t="s">
        <v>5403</v>
      </c>
      <c r="AM341" s="6726" t="s">
        <v>5404</v>
      </c>
      <c r="AN341" s="6726" t="s">
        <v>5405</v>
      </c>
      <c r="AO341" s="4259"/>
      <c r="BT341" s="4259"/>
      <c r="BZ341" s="4259"/>
      <c r="DB341" s="5899">
        <v>0</v>
      </c>
      <c r="DD341" s="5899">
        <v>0</v>
      </c>
    </row>
    <row r="342" spans="1:110" ht="20.25" customHeight="1" x14ac:dyDescent="0.25">
      <c r="A342" s="7257" t="s">
        <v>4601</v>
      </c>
      <c r="B342" s="9088" t="s">
        <v>707</v>
      </c>
      <c r="C342" s="6720" t="s">
        <v>650</v>
      </c>
      <c r="D342" s="6752" t="s">
        <v>5369</v>
      </c>
      <c r="E342" s="6752" t="s">
        <v>5370</v>
      </c>
      <c r="F342" s="6752" t="s">
        <v>5371</v>
      </c>
      <c r="G342" s="4918" t="s">
        <v>5372</v>
      </c>
      <c r="H342" s="3963" t="s">
        <v>5373</v>
      </c>
      <c r="I342" s="4918" t="s">
        <v>5374</v>
      </c>
      <c r="J342" s="3963" t="s">
        <v>5375</v>
      </c>
      <c r="K342" s="4918" t="s">
        <v>5376</v>
      </c>
      <c r="L342" s="3963" t="s">
        <v>5377</v>
      </c>
      <c r="M342" s="4918" t="s">
        <v>5378</v>
      </c>
      <c r="N342" s="3963" t="s">
        <v>5379</v>
      </c>
      <c r="O342" s="4918" t="s">
        <v>5380</v>
      </c>
      <c r="P342" s="3963" t="s">
        <v>5381</v>
      </c>
      <c r="Q342" s="4918" t="s">
        <v>5382</v>
      </c>
      <c r="R342" s="3963" t="s">
        <v>5383</v>
      </c>
      <c r="S342" s="4918" t="s">
        <v>5384</v>
      </c>
      <c r="T342" s="3963" t="s">
        <v>5385</v>
      </c>
      <c r="U342" s="4918" t="s">
        <v>5386</v>
      </c>
      <c r="V342" s="3963" t="s">
        <v>5387</v>
      </c>
      <c r="W342" s="4918" t="s">
        <v>5388</v>
      </c>
      <c r="X342" s="3963" t="s">
        <v>5389</v>
      </c>
      <c r="Y342" s="4918" t="s">
        <v>5390</v>
      </c>
      <c r="Z342" s="3963" t="s">
        <v>5391</v>
      </c>
      <c r="AA342" s="4918" t="s">
        <v>5392</v>
      </c>
      <c r="AB342" s="3963" t="s">
        <v>5393</v>
      </c>
      <c r="AC342" s="4918" t="s">
        <v>5394</v>
      </c>
      <c r="AD342" s="3963" t="s">
        <v>5395</v>
      </c>
      <c r="AE342" s="4918" t="s">
        <v>5396</v>
      </c>
      <c r="AF342" s="3963" t="s">
        <v>5397</v>
      </c>
      <c r="AG342" s="4918" t="s">
        <v>5398</v>
      </c>
      <c r="AH342" s="4919" t="s">
        <v>5399</v>
      </c>
      <c r="AI342" s="4018" t="s">
        <v>5400</v>
      </c>
      <c r="AJ342" s="4155" t="s">
        <v>5401</v>
      </c>
      <c r="AK342" s="3961" t="s">
        <v>5402</v>
      </c>
      <c r="AL342" s="4018" t="s">
        <v>5403</v>
      </c>
      <c r="AM342" s="4155" t="s">
        <v>5404</v>
      </c>
      <c r="AN342" s="4155" t="s">
        <v>5405</v>
      </c>
      <c r="AO342" s="4259"/>
      <c r="BT342" s="4259"/>
      <c r="BZ342" s="4259"/>
    </row>
    <row r="343" spans="1:110" ht="20.25" customHeight="1" x14ac:dyDescent="0.25">
      <c r="A343" s="7257" t="s">
        <v>4602</v>
      </c>
      <c r="B343" s="9062"/>
      <c r="C343" s="5394" t="s">
        <v>649</v>
      </c>
      <c r="D343" s="6724" t="s">
        <v>5369</v>
      </c>
      <c r="E343" s="6724" t="s">
        <v>5370</v>
      </c>
      <c r="F343" s="6724" t="s">
        <v>5371</v>
      </c>
      <c r="G343" s="4920" t="s">
        <v>5372</v>
      </c>
      <c r="H343" s="4921" t="s">
        <v>5373</v>
      </c>
      <c r="I343" s="4920" t="s">
        <v>5374</v>
      </c>
      <c r="J343" s="4921" t="s">
        <v>5375</v>
      </c>
      <c r="K343" s="4920" t="s">
        <v>5376</v>
      </c>
      <c r="L343" s="4921" t="s">
        <v>5377</v>
      </c>
      <c r="M343" s="4920" t="s">
        <v>5378</v>
      </c>
      <c r="N343" s="4921" t="s">
        <v>5379</v>
      </c>
      <c r="O343" s="4920" t="s">
        <v>5380</v>
      </c>
      <c r="P343" s="4921" t="s">
        <v>5381</v>
      </c>
      <c r="Q343" s="4920" t="s">
        <v>5382</v>
      </c>
      <c r="R343" s="4921" t="s">
        <v>5383</v>
      </c>
      <c r="S343" s="4920" t="s">
        <v>5384</v>
      </c>
      <c r="T343" s="4921" t="s">
        <v>5385</v>
      </c>
      <c r="U343" s="4920" t="s">
        <v>5386</v>
      </c>
      <c r="V343" s="4921" t="s">
        <v>5387</v>
      </c>
      <c r="W343" s="4920" t="s">
        <v>5388</v>
      </c>
      <c r="X343" s="4921" t="s">
        <v>5389</v>
      </c>
      <c r="Y343" s="4920" t="s">
        <v>5390</v>
      </c>
      <c r="Z343" s="4921" t="s">
        <v>5391</v>
      </c>
      <c r="AA343" s="4920" t="s">
        <v>5392</v>
      </c>
      <c r="AB343" s="4921" t="s">
        <v>5393</v>
      </c>
      <c r="AC343" s="4920" t="s">
        <v>5394</v>
      </c>
      <c r="AD343" s="4921" t="s">
        <v>5395</v>
      </c>
      <c r="AE343" s="4920" t="s">
        <v>5396</v>
      </c>
      <c r="AF343" s="4921" t="s">
        <v>5397</v>
      </c>
      <c r="AG343" s="4920" t="s">
        <v>5398</v>
      </c>
      <c r="AH343" s="4922" t="s">
        <v>5399</v>
      </c>
      <c r="AI343" s="4370" t="s">
        <v>5400</v>
      </c>
      <c r="AJ343" s="4457" t="s">
        <v>5401</v>
      </c>
      <c r="AK343" s="4923" t="s">
        <v>5402</v>
      </c>
      <c r="AL343" s="4370" t="s">
        <v>5403</v>
      </c>
      <c r="AM343" s="4457" t="s">
        <v>5404</v>
      </c>
      <c r="AN343" s="4457" t="s">
        <v>5405</v>
      </c>
      <c r="AO343" s="4259"/>
      <c r="BT343" s="4259"/>
      <c r="BZ343" s="4259"/>
    </row>
    <row r="344" spans="1:110" ht="20.25" customHeight="1" x14ac:dyDescent="0.25">
      <c r="A344" s="7257" t="s">
        <v>4603</v>
      </c>
      <c r="B344" s="9089"/>
      <c r="C344" s="4478" t="s">
        <v>648</v>
      </c>
      <c r="D344" s="6730" t="s">
        <v>5369</v>
      </c>
      <c r="E344" s="6730" t="s">
        <v>5370</v>
      </c>
      <c r="F344" s="6730" t="s">
        <v>5371</v>
      </c>
      <c r="G344" s="5948" t="s">
        <v>5372</v>
      </c>
      <c r="H344" s="5052" t="s">
        <v>5373</v>
      </c>
      <c r="I344" s="5948" t="s">
        <v>5374</v>
      </c>
      <c r="J344" s="5052" t="s">
        <v>5375</v>
      </c>
      <c r="K344" s="5948" t="s">
        <v>5376</v>
      </c>
      <c r="L344" s="5052" t="s">
        <v>5377</v>
      </c>
      <c r="M344" s="5948" t="s">
        <v>5378</v>
      </c>
      <c r="N344" s="5052" t="s">
        <v>5379</v>
      </c>
      <c r="O344" s="5948" t="s">
        <v>5380</v>
      </c>
      <c r="P344" s="5052" t="s">
        <v>5381</v>
      </c>
      <c r="Q344" s="5948" t="s">
        <v>5382</v>
      </c>
      <c r="R344" s="5052" t="s">
        <v>5383</v>
      </c>
      <c r="S344" s="5948" t="s">
        <v>5384</v>
      </c>
      <c r="T344" s="5052" t="s">
        <v>5385</v>
      </c>
      <c r="U344" s="5948" t="s">
        <v>5386</v>
      </c>
      <c r="V344" s="5052" t="s">
        <v>5387</v>
      </c>
      <c r="W344" s="5948" t="s">
        <v>5388</v>
      </c>
      <c r="X344" s="5052" t="s">
        <v>5389</v>
      </c>
      <c r="Y344" s="5948" t="s">
        <v>5390</v>
      </c>
      <c r="Z344" s="5052" t="s">
        <v>5391</v>
      </c>
      <c r="AA344" s="5948" t="s">
        <v>5392</v>
      </c>
      <c r="AB344" s="5052" t="s">
        <v>5393</v>
      </c>
      <c r="AC344" s="5948" t="s">
        <v>5394</v>
      </c>
      <c r="AD344" s="5052" t="s">
        <v>5395</v>
      </c>
      <c r="AE344" s="5948" t="s">
        <v>5396</v>
      </c>
      <c r="AF344" s="5052" t="s">
        <v>5397</v>
      </c>
      <c r="AG344" s="5948" t="s">
        <v>5398</v>
      </c>
      <c r="AH344" s="6727" t="s">
        <v>5399</v>
      </c>
      <c r="AI344" s="4388" t="s">
        <v>5400</v>
      </c>
      <c r="AJ344" s="4465" t="s">
        <v>5401</v>
      </c>
      <c r="AK344" s="4935" t="s">
        <v>5402</v>
      </c>
      <c r="AL344" s="4388" t="s">
        <v>5403</v>
      </c>
      <c r="AM344" s="4465" t="s">
        <v>5404</v>
      </c>
      <c r="AN344" s="4465" t="s">
        <v>5405</v>
      </c>
      <c r="AO344" s="4259"/>
      <c r="BT344" s="4259"/>
      <c r="BZ344" s="4259"/>
    </row>
    <row r="345" spans="1:110" ht="20.25" customHeight="1" x14ac:dyDescent="0.25">
      <c r="A345" s="7288" t="s">
        <v>4604</v>
      </c>
      <c r="B345" s="9295" t="s">
        <v>2790</v>
      </c>
      <c r="C345" s="6720" t="s">
        <v>2792</v>
      </c>
      <c r="D345" s="6751" t="s">
        <v>5369</v>
      </c>
      <c r="E345" s="6751" t="s">
        <v>5370</v>
      </c>
      <c r="F345" s="6751" t="s">
        <v>5371</v>
      </c>
      <c r="G345" s="4918" t="s">
        <v>5372</v>
      </c>
      <c r="H345" s="3963" t="s">
        <v>5373</v>
      </c>
      <c r="I345" s="4918" t="s">
        <v>5374</v>
      </c>
      <c r="J345" s="3963" t="s">
        <v>5375</v>
      </c>
      <c r="K345" s="4918" t="s">
        <v>5376</v>
      </c>
      <c r="L345" s="3963" t="s">
        <v>5377</v>
      </c>
      <c r="M345" s="4918" t="s">
        <v>5378</v>
      </c>
      <c r="N345" s="3963" t="s">
        <v>5379</v>
      </c>
      <c r="O345" s="4918" t="s">
        <v>5380</v>
      </c>
      <c r="P345" s="3963" t="s">
        <v>5381</v>
      </c>
      <c r="Q345" s="4918" t="s">
        <v>5382</v>
      </c>
      <c r="R345" s="3963" t="s">
        <v>5383</v>
      </c>
      <c r="S345" s="4918" t="s">
        <v>5384</v>
      </c>
      <c r="T345" s="3963" t="s">
        <v>5385</v>
      </c>
      <c r="U345" s="4918" t="s">
        <v>5386</v>
      </c>
      <c r="V345" s="3963" t="s">
        <v>5387</v>
      </c>
      <c r="W345" s="4918" t="s">
        <v>5388</v>
      </c>
      <c r="X345" s="3963" t="s">
        <v>5389</v>
      </c>
      <c r="Y345" s="4918" t="s">
        <v>5390</v>
      </c>
      <c r="Z345" s="3963" t="s">
        <v>5391</v>
      </c>
      <c r="AA345" s="4918" t="s">
        <v>5392</v>
      </c>
      <c r="AB345" s="3963" t="s">
        <v>5393</v>
      </c>
      <c r="AC345" s="4918" t="s">
        <v>5394</v>
      </c>
      <c r="AD345" s="3963" t="s">
        <v>5395</v>
      </c>
      <c r="AE345" s="4918" t="s">
        <v>5396</v>
      </c>
      <c r="AF345" s="3963" t="s">
        <v>5397</v>
      </c>
      <c r="AG345" s="4918" t="s">
        <v>5398</v>
      </c>
      <c r="AH345" s="4919" t="s">
        <v>5399</v>
      </c>
      <c r="AI345" s="4018" t="s">
        <v>5400</v>
      </c>
      <c r="AJ345" s="4155" t="s">
        <v>5401</v>
      </c>
      <c r="AK345" s="3961" t="s">
        <v>5402</v>
      </c>
      <c r="AL345" s="4018" t="s">
        <v>5403</v>
      </c>
      <c r="AM345" s="4155" t="s">
        <v>5404</v>
      </c>
      <c r="AN345" s="4155" t="s">
        <v>5405</v>
      </c>
      <c r="AO345" s="4259"/>
      <c r="BT345" s="4259"/>
      <c r="BZ345" s="4259"/>
      <c r="DB345" s="5899">
        <v>0</v>
      </c>
      <c r="DD345" s="5899">
        <v>0</v>
      </c>
    </row>
    <row r="346" spans="1:110" ht="20.25" customHeight="1" x14ac:dyDescent="0.25">
      <c r="A346" s="7288" t="s">
        <v>4605</v>
      </c>
      <c r="B346" s="9116"/>
      <c r="C346" s="5394" t="s">
        <v>3588</v>
      </c>
      <c r="D346" s="6724" t="s">
        <v>5369</v>
      </c>
      <c r="E346" s="6724" t="s">
        <v>5370</v>
      </c>
      <c r="F346" s="6724" t="s">
        <v>5371</v>
      </c>
      <c r="G346" s="4920" t="s">
        <v>5372</v>
      </c>
      <c r="H346" s="4921" t="s">
        <v>5373</v>
      </c>
      <c r="I346" s="4920" t="s">
        <v>5374</v>
      </c>
      <c r="J346" s="4921" t="s">
        <v>5375</v>
      </c>
      <c r="K346" s="4920" t="s">
        <v>5376</v>
      </c>
      <c r="L346" s="4921" t="s">
        <v>5377</v>
      </c>
      <c r="M346" s="4920" t="s">
        <v>5378</v>
      </c>
      <c r="N346" s="4921" t="s">
        <v>5379</v>
      </c>
      <c r="O346" s="4920" t="s">
        <v>5380</v>
      </c>
      <c r="P346" s="4921" t="s">
        <v>5381</v>
      </c>
      <c r="Q346" s="4920" t="s">
        <v>5382</v>
      </c>
      <c r="R346" s="4921" t="s">
        <v>5383</v>
      </c>
      <c r="S346" s="4920" t="s">
        <v>5384</v>
      </c>
      <c r="T346" s="4921" t="s">
        <v>5385</v>
      </c>
      <c r="U346" s="4920" t="s">
        <v>5386</v>
      </c>
      <c r="V346" s="4921" t="s">
        <v>5387</v>
      </c>
      <c r="W346" s="4920" t="s">
        <v>5388</v>
      </c>
      <c r="X346" s="4921" t="s">
        <v>5389</v>
      </c>
      <c r="Y346" s="4920" t="s">
        <v>5390</v>
      </c>
      <c r="Z346" s="4921" t="s">
        <v>5391</v>
      </c>
      <c r="AA346" s="4920" t="s">
        <v>5392</v>
      </c>
      <c r="AB346" s="4921" t="s">
        <v>5393</v>
      </c>
      <c r="AC346" s="4920" t="s">
        <v>5394</v>
      </c>
      <c r="AD346" s="4921" t="s">
        <v>5395</v>
      </c>
      <c r="AE346" s="4920" t="s">
        <v>5396</v>
      </c>
      <c r="AF346" s="4921" t="s">
        <v>5397</v>
      </c>
      <c r="AG346" s="4920" t="s">
        <v>5398</v>
      </c>
      <c r="AH346" s="4922" t="s">
        <v>5399</v>
      </c>
      <c r="AI346" s="4370" t="s">
        <v>5400</v>
      </c>
      <c r="AJ346" s="4457" t="s">
        <v>5401</v>
      </c>
      <c r="AK346" s="4923" t="s">
        <v>5402</v>
      </c>
      <c r="AL346" s="4370" t="s">
        <v>5403</v>
      </c>
      <c r="AM346" s="4457" t="s">
        <v>5404</v>
      </c>
      <c r="AN346" s="4457" t="s">
        <v>5405</v>
      </c>
      <c r="AO346" s="4259"/>
      <c r="BT346" s="4259"/>
      <c r="BZ346" s="4259"/>
    </row>
    <row r="347" spans="1:110" ht="20.25" customHeight="1" x14ac:dyDescent="0.25">
      <c r="A347" s="7288" t="s">
        <v>4606</v>
      </c>
      <c r="B347" s="9116"/>
      <c r="C347" s="6728" t="s">
        <v>2793</v>
      </c>
      <c r="D347" s="6724" t="s">
        <v>5369</v>
      </c>
      <c r="E347" s="6724" t="s">
        <v>5370</v>
      </c>
      <c r="F347" s="6724" t="s">
        <v>5371</v>
      </c>
      <c r="G347" s="3918" t="s">
        <v>5372</v>
      </c>
      <c r="H347" s="3908" t="s">
        <v>5373</v>
      </c>
      <c r="I347" s="3918" t="s">
        <v>5374</v>
      </c>
      <c r="J347" s="3908" t="s">
        <v>5375</v>
      </c>
      <c r="K347" s="3918" t="s">
        <v>5376</v>
      </c>
      <c r="L347" s="3908" t="s">
        <v>5377</v>
      </c>
      <c r="M347" s="3918" t="s">
        <v>5378</v>
      </c>
      <c r="N347" s="3908" t="s">
        <v>5379</v>
      </c>
      <c r="O347" s="3918" t="s">
        <v>5380</v>
      </c>
      <c r="P347" s="3908" t="s">
        <v>5381</v>
      </c>
      <c r="Q347" s="3918" t="s">
        <v>5382</v>
      </c>
      <c r="R347" s="3908" t="s">
        <v>5383</v>
      </c>
      <c r="S347" s="3918" t="s">
        <v>5384</v>
      </c>
      <c r="T347" s="3908" t="s">
        <v>5385</v>
      </c>
      <c r="U347" s="3918" t="s">
        <v>5386</v>
      </c>
      <c r="V347" s="3908" t="s">
        <v>5387</v>
      </c>
      <c r="W347" s="3918" t="s">
        <v>5388</v>
      </c>
      <c r="X347" s="3908" t="s">
        <v>5389</v>
      </c>
      <c r="Y347" s="3918" t="s">
        <v>5390</v>
      </c>
      <c r="Z347" s="3908" t="s">
        <v>5391</v>
      </c>
      <c r="AA347" s="3918" t="s">
        <v>5392</v>
      </c>
      <c r="AB347" s="3908" t="s">
        <v>5393</v>
      </c>
      <c r="AC347" s="3918" t="s">
        <v>5394</v>
      </c>
      <c r="AD347" s="3908" t="s">
        <v>5395</v>
      </c>
      <c r="AE347" s="3918" t="s">
        <v>5396</v>
      </c>
      <c r="AF347" s="3908" t="s">
        <v>5397</v>
      </c>
      <c r="AG347" s="3918" t="s">
        <v>5398</v>
      </c>
      <c r="AH347" s="6686" t="s">
        <v>5399</v>
      </c>
      <c r="AI347" s="3920" t="s">
        <v>5400</v>
      </c>
      <c r="AJ347" s="3919" t="s">
        <v>5401</v>
      </c>
      <c r="AK347" s="6362" t="s">
        <v>5402</v>
      </c>
      <c r="AL347" s="3920" t="s">
        <v>5403</v>
      </c>
      <c r="AM347" s="3919" t="s">
        <v>5404</v>
      </c>
      <c r="AN347" s="3919" t="s">
        <v>5405</v>
      </c>
      <c r="AO347" s="4259"/>
      <c r="BT347" s="4259"/>
      <c r="BZ347" s="4259"/>
    </row>
    <row r="348" spans="1:110" ht="20.25" customHeight="1" x14ac:dyDescent="0.25">
      <c r="A348" s="7288" t="s">
        <v>4607</v>
      </c>
      <c r="B348" s="9296"/>
      <c r="C348" s="6729" t="s">
        <v>3589</v>
      </c>
      <c r="D348" s="6730" t="s">
        <v>5369</v>
      </c>
      <c r="E348" s="6730" t="s">
        <v>5370</v>
      </c>
      <c r="F348" s="6730" t="s">
        <v>5371</v>
      </c>
      <c r="G348" s="6731" t="s">
        <v>5372</v>
      </c>
      <c r="H348" s="6732" t="s">
        <v>5373</v>
      </c>
      <c r="I348" s="6731" t="s">
        <v>5374</v>
      </c>
      <c r="J348" s="6732" t="s">
        <v>5375</v>
      </c>
      <c r="K348" s="6731" t="s">
        <v>5376</v>
      </c>
      <c r="L348" s="6732" t="s">
        <v>5377</v>
      </c>
      <c r="M348" s="6731" t="s">
        <v>5378</v>
      </c>
      <c r="N348" s="6732" t="s">
        <v>5379</v>
      </c>
      <c r="O348" s="6731" t="s">
        <v>5380</v>
      </c>
      <c r="P348" s="6732" t="s">
        <v>5381</v>
      </c>
      <c r="Q348" s="6731" t="s">
        <v>5382</v>
      </c>
      <c r="R348" s="6732" t="s">
        <v>5383</v>
      </c>
      <c r="S348" s="6731" t="s">
        <v>5384</v>
      </c>
      <c r="T348" s="6732" t="s">
        <v>5385</v>
      </c>
      <c r="U348" s="6731" t="s">
        <v>5386</v>
      </c>
      <c r="V348" s="6732" t="s">
        <v>5387</v>
      </c>
      <c r="W348" s="6731" t="s">
        <v>5388</v>
      </c>
      <c r="X348" s="6732" t="s">
        <v>5389</v>
      </c>
      <c r="Y348" s="6731" t="s">
        <v>5390</v>
      </c>
      <c r="Z348" s="6732" t="s">
        <v>5391</v>
      </c>
      <c r="AA348" s="6731" t="s">
        <v>5392</v>
      </c>
      <c r="AB348" s="6732" t="s">
        <v>5393</v>
      </c>
      <c r="AC348" s="6731" t="s">
        <v>5394</v>
      </c>
      <c r="AD348" s="6732" t="s">
        <v>5395</v>
      </c>
      <c r="AE348" s="6731" t="s">
        <v>5396</v>
      </c>
      <c r="AF348" s="6732" t="s">
        <v>5397</v>
      </c>
      <c r="AG348" s="6731" t="s">
        <v>5398</v>
      </c>
      <c r="AH348" s="6733" t="s">
        <v>5399</v>
      </c>
      <c r="AI348" s="6293" t="s">
        <v>5400</v>
      </c>
      <c r="AJ348" s="4233" t="s">
        <v>5401</v>
      </c>
      <c r="AK348" s="6734" t="s">
        <v>5402</v>
      </c>
      <c r="AL348" s="6293" t="s">
        <v>5403</v>
      </c>
      <c r="AM348" s="4233" t="s">
        <v>5404</v>
      </c>
      <c r="AN348" s="4233" t="s">
        <v>5405</v>
      </c>
      <c r="AO348" s="4259"/>
      <c r="BT348" s="4259"/>
      <c r="BZ348" s="4259"/>
    </row>
    <row r="349" spans="1:110" ht="22.95" customHeight="1" x14ac:dyDescent="0.25">
      <c r="A349" s="7280"/>
      <c r="B349" s="8397" t="s">
        <v>3766</v>
      </c>
      <c r="C349" s="8397"/>
      <c r="D349" s="8397"/>
      <c r="E349" s="8397"/>
      <c r="F349" s="8397"/>
      <c r="G349" s="8397"/>
      <c r="H349" s="8397"/>
      <c r="I349" s="8397"/>
      <c r="J349" s="8397"/>
      <c r="K349" s="8397"/>
      <c r="L349" s="8397"/>
      <c r="M349" s="8397"/>
      <c r="N349" s="8397"/>
      <c r="O349" s="8397"/>
      <c r="P349" s="8397"/>
      <c r="Q349" s="8397"/>
      <c r="R349" s="8396"/>
      <c r="S349" s="8396"/>
      <c r="T349" s="8396"/>
      <c r="U349" s="8396"/>
      <c r="V349" s="8396"/>
      <c r="W349" s="8396"/>
      <c r="X349" s="8396"/>
      <c r="Y349" s="8396"/>
      <c r="Z349" s="8396"/>
      <c r="AA349" s="8396"/>
      <c r="AB349" s="8396"/>
      <c r="AC349" s="8396"/>
      <c r="AD349" s="8396"/>
      <c r="AE349" s="8396"/>
      <c r="AF349" s="8396"/>
      <c r="AG349" s="8396"/>
      <c r="AH349" s="8396"/>
      <c r="AI349" s="8396"/>
      <c r="AJ349" s="8396"/>
      <c r="AK349" s="8396"/>
      <c r="AL349" s="8396"/>
      <c r="AM349" s="8396"/>
      <c r="AN349" s="8396"/>
    </row>
    <row r="350" spans="1:110" ht="14.4" x14ac:dyDescent="0.3">
      <c r="A350" s="7280"/>
      <c r="B350" s="8398" t="s">
        <v>3767</v>
      </c>
      <c r="C350" s="8399"/>
      <c r="D350" s="8400"/>
      <c r="E350" s="8400"/>
      <c r="F350" s="8400"/>
      <c r="G350" s="8401"/>
      <c r="H350" s="8401"/>
      <c r="I350" s="8401"/>
      <c r="J350" s="8401"/>
      <c r="K350" s="8401"/>
      <c r="L350" s="8401"/>
      <c r="M350" s="8401"/>
      <c r="N350" s="8401"/>
      <c r="O350" s="8401"/>
      <c r="P350" s="8401"/>
      <c r="Q350" s="8401"/>
    </row>
    <row r="351" spans="1:110" x14ac:dyDescent="0.25">
      <c r="A351" s="7280"/>
      <c r="B351" s="9115" t="s">
        <v>3159</v>
      </c>
      <c r="C351" s="9115" t="s">
        <v>942</v>
      </c>
      <c r="D351" s="9115" t="s">
        <v>3126</v>
      </c>
      <c r="E351" s="9115"/>
      <c r="F351" s="9115"/>
      <c r="G351" s="9115"/>
      <c r="H351" s="9115"/>
      <c r="I351" s="9115"/>
      <c r="J351" s="9115"/>
      <c r="K351" s="9115"/>
      <c r="L351" s="9339" t="s">
        <v>3127</v>
      </c>
      <c r="M351" s="9339"/>
      <c r="N351" s="9339"/>
      <c r="O351" s="9339"/>
      <c r="P351" s="9339"/>
      <c r="Q351" s="9115" t="s">
        <v>3128</v>
      </c>
      <c r="R351" s="4234"/>
      <c r="S351" s="4234"/>
      <c r="T351" s="4234"/>
      <c r="U351" s="4234"/>
      <c r="V351" s="4234"/>
      <c r="W351" s="4234"/>
      <c r="X351" s="4234"/>
      <c r="Y351" s="4234"/>
      <c r="Z351" s="4234"/>
      <c r="AA351" s="4234"/>
      <c r="AB351" s="4234"/>
      <c r="AC351" s="4234"/>
      <c r="AD351" s="4234"/>
      <c r="AE351" s="4234"/>
      <c r="AF351" s="4234"/>
      <c r="AG351" s="4234"/>
      <c r="AH351" s="4234"/>
      <c r="AI351" s="4234"/>
      <c r="AJ351" s="4234"/>
      <c r="AK351" s="4234"/>
      <c r="AL351" s="4234"/>
      <c r="AM351" s="4234"/>
      <c r="AN351" s="4234"/>
      <c r="AO351" s="4234"/>
      <c r="AP351" s="4234"/>
      <c r="AQ351" s="4234"/>
    </row>
    <row r="352" spans="1:110" x14ac:dyDescent="0.25">
      <c r="A352" s="7280"/>
      <c r="B352" s="9115"/>
      <c r="C352" s="9115"/>
      <c r="D352" s="9115" t="s">
        <v>3129</v>
      </c>
      <c r="E352" s="9115" t="s">
        <v>3130</v>
      </c>
      <c r="F352" s="9115" t="s">
        <v>3131</v>
      </c>
      <c r="G352" s="9115" t="s">
        <v>3132</v>
      </c>
      <c r="H352" s="9115" t="s">
        <v>3133</v>
      </c>
      <c r="I352" s="9115"/>
      <c r="J352" s="9115"/>
      <c r="K352" s="9115"/>
      <c r="L352" s="9115" t="s">
        <v>3134</v>
      </c>
      <c r="M352" s="9115" t="s">
        <v>3135</v>
      </c>
      <c r="N352" s="9115" t="s">
        <v>3136</v>
      </c>
      <c r="O352" s="9115" t="s">
        <v>3137</v>
      </c>
      <c r="P352" s="9115" t="s">
        <v>3138</v>
      </c>
      <c r="Q352" s="9115"/>
      <c r="R352" s="4234"/>
      <c r="S352" s="4234"/>
      <c r="T352" s="4234"/>
      <c r="U352" s="4234"/>
      <c r="V352" s="4234"/>
      <c r="W352" s="4234"/>
      <c r="X352" s="4234"/>
      <c r="Y352" s="4234"/>
      <c r="Z352" s="4234"/>
      <c r="AA352" s="4234"/>
      <c r="AB352" s="4234"/>
      <c r="AC352" s="4234"/>
      <c r="AD352" s="4234"/>
      <c r="AE352" s="4234"/>
      <c r="AF352" s="4234"/>
      <c r="AG352" s="4234"/>
      <c r="AH352" s="4234"/>
      <c r="AI352" s="4234"/>
      <c r="AJ352" s="4234"/>
      <c r="AK352" s="4234"/>
      <c r="AL352" s="4234"/>
      <c r="AM352" s="4234"/>
      <c r="AN352" s="4234"/>
      <c r="AO352" s="4234"/>
      <c r="AP352" s="4234"/>
      <c r="AQ352" s="4234"/>
    </row>
    <row r="353" spans="1:109" ht="41.4" customHeight="1" x14ac:dyDescent="0.25">
      <c r="A353" s="7280"/>
      <c r="B353" s="9115"/>
      <c r="C353" s="9115"/>
      <c r="D353" s="9115"/>
      <c r="E353" s="9115"/>
      <c r="F353" s="9115"/>
      <c r="G353" s="9115"/>
      <c r="H353" s="8380" t="s">
        <v>3135</v>
      </c>
      <c r="I353" s="8380" t="s">
        <v>3138</v>
      </c>
      <c r="J353" s="8380" t="s">
        <v>3139</v>
      </c>
      <c r="K353" s="8380" t="s">
        <v>135</v>
      </c>
      <c r="L353" s="9115"/>
      <c r="M353" s="9115"/>
      <c r="N353" s="9115"/>
      <c r="O353" s="9115"/>
      <c r="P353" s="9115"/>
      <c r="Q353" s="9115"/>
      <c r="R353" s="4234"/>
      <c r="S353" s="4234"/>
      <c r="T353" s="4234"/>
      <c r="U353" s="4234"/>
      <c r="V353" s="4234"/>
      <c r="W353" s="4234"/>
      <c r="X353" s="4234"/>
      <c r="Y353" s="4234"/>
      <c r="Z353" s="4234"/>
      <c r="AA353" s="4234"/>
      <c r="AB353" s="4234"/>
      <c r="AC353" s="4234"/>
      <c r="AD353" s="4234"/>
      <c r="AE353" s="4234"/>
      <c r="AF353" s="4234"/>
      <c r="AG353" s="4234"/>
      <c r="AH353" s="4234"/>
      <c r="AI353" s="4234"/>
      <c r="AJ353" s="4234"/>
      <c r="AK353" s="4234"/>
      <c r="AL353" s="4234"/>
      <c r="AM353" s="4234"/>
      <c r="AN353" s="4234"/>
      <c r="AO353" s="4234"/>
      <c r="AP353" s="4234"/>
      <c r="AQ353" s="4234"/>
    </row>
    <row r="354" spans="1:109" ht="20.25" customHeight="1" x14ac:dyDescent="0.25">
      <c r="A354" s="7280"/>
      <c r="B354" s="8381" t="s">
        <v>3140</v>
      </c>
      <c r="C354" s="8382" t="s">
        <v>5369</v>
      </c>
      <c r="D354" s="8383" t="s">
        <v>5370</v>
      </c>
      <c r="E354" s="8384" t="s">
        <v>5371</v>
      </c>
      <c r="F354" s="8384" t="s">
        <v>5372</v>
      </c>
      <c r="G354" s="8384" t="s">
        <v>5373</v>
      </c>
      <c r="H354" s="8384" t="s">
        <v>5374</v>
      </c>
      <c r="I354" s="8384" t="s">
        <v>5375</v>
      </c>
      <c r="J354" s="8384" t="s">
        <v>5376</v>
      </c>
      <c r="K354" s="8384" t="s">
        <v>5377</v>
      </c>
      <c r="L354" s="8384" t="s">
        <v>5378</v>
      </c>
      <c r="M354" s="8384" t="s">
        <v>5379</v>
      </c>
      <c r="N354" s="8384" t="s">
        <v>5380</v>
      </c>
      <c r="O354" s="8384" t="s">
        <v>5381</v>
      </c>
      <c r="P354" s="8384" t="s">
        <v>5382</v>
      </c>
      <c r="Q354" s="8385" t="s">
        <v>5383</v>
      </c>
      <c r="R354" s="4234"/>
      <c r="S354" s="4234"/>
      <c r="T354" s="4234"/>
      <c r="U354" s="4234"/>
      <c r="V354" s="4234"/>
      <c r="W354" s="4234"/>
      <c r="X354" s="4234"/>
      <c r="Y354" s="4234"/>
      <c r="Z354" s="4234"/>
      <c r="AA354" s="4234"/>
      <c r="AB354" s="4234"/>
      <c r="AC354" s="4234"/>
      <c r="AD354" s="4234"/>
      <c r="AE354" s="4234"/>
      <c r="AF354" s="4234"/>
      <c r="AG354" s="4234"/>
      <c r="AH354" s="4234"/>
      <c r="AI354" s="4234"/>
      <c r="AJ354" s="4234"/>
      <c r="AK354" s="4234"/>
      <c r="AL354" s="4234"/>
      <c r="AM354" s="4234"/>
      <c r="AN354" s="4234"/>
      <c r="AO354" s="4234"/>
      <c r="AP354" s="4234"/>
      <c r="AQ354" s="4234"/>
    </row>
    <row r="355" spans="1:109" ht="20.25" customHeight="1" x14ac:dyDescent="0.25">
      <c r="A355" s="7280"/>
      <c r="B355" s="8386" t="s">
        <v>3141</v>
      </c>
      <c r="C355" s="8387" t="s">
        <v>5369</v>
      </c>
      <c r="D355" s="8388" t="s">
        <v>5370</v>
      </c>
      <c r="E355" s="8388" t="s">
        <v>5371</v>
      </c>
      <c r="F355" s="8388" t="s">
        <v>5372</v>
      </c>
      <c r="G355" s="8388" t="s">
        <v>5373</v>
      </c>
      <c r="H355" s="8388" t="s">
        <v>5374</v>
      </c>
      <c r="I355" s="8388" t="s">
        <v>5375</v>
      </c>
      <c r="J355" s="8388" t="s">
        <v>5376</v>
      </c>
      <c r="K355" s="8388" t="s">
        <v>5377</v>
      </c>
      <c r="L355" s="8388" t="s">
        <v>5378</v>
      </c>
      <c r="M355" s="8388" t="s">
        <v>5379</v>
      </c>
      <c r="N355" s="8388" t="s">
        <v>5380</v>
      </c>
      <c r="O355" s="8388" t="s">
        <v>5381</v>
      </c>
      <c r="P355" s="8388" t="s">
        <v>5382</v>
      </c>
      <c r="Q355" s="8389" t="s">
        <v>5383</v>
      </c>
      <c r="R355" s="4234"/>
      <c r="S355" s="4234"/>
      <c r="T355" s="4234"/>
      <c r="U355" s="4234"/>
      <c r="V355" s="4234"/>
      <c r="W355" s="4234"/>
      <c r="X355" s="4234"/>
      <c r="Y355" s="4234"/>
      <c r="Z355" s="4234"/>
      <c r="AA355" s="4234"/>
      <c r="AB355" s="4234"/>
      <c r="AC355" s="4234"/>
      <c r="AD355" s="4234"/>
      <c r="AE355" s="4234"/>
      <c r="AF355" s="4234"/>
      <c r="AG355" s="4234"/>
      <c r="AH355" s="4234"/>
      <c r="AI355" s="4234"/>
      <c r="AJ355" s="4234"/>
      <c r="AK355" s="4234"/>
      <c r="AL355" s="4234"/>
      <c r="AM355" s="4234"/>
      <c r="AN355" s="4234"/>
      <c r="AO355" s="4234"/>
      <c r="AP355" s="4234"/>
      <c r="AQ355" s="4234"/>
    </row>
    <row r="356" spans="1:109" ht="20.25" customHeight="1" x14ac:dyDescent="0.25">
      <c r="A356" s="7280"/>
      <c r="B356" s="8386" t="s">
        <v>3142</v>
      </c>
      <c r="C356" s="8387" t="s">
        <v>5369</v>
      </c>
      <c r="D356" s="8388" t="s">
        <v>5370</v>
      </c>
      <c r="E356" s="8388" t="s">
        <v>5371</v>
      </c>
      <c r="F356" s="8388" t="s">
        <v>5372</v>
      </c>
      <c r="G356" s="8388" t="s">
        <v>5373</v>
      </c>
      <c r="H356" s="8388" t="s">
        <v>5374</v>
      </c>
      <c r="I356" s="8388" t="s">
        <v>5375</v>
      </c>
      <c r="J356" s="8388" t="s">
        <v>5376</v>
      </c>
      <c r="K356" s="8388" t="s">
        <v>5377</v>
      </c>
      <c r="L356" s="8388" t="s">
        <v>5378</v>
      </c>
      <c r="M356" s="8388" t="s">
        <v>5379</v>
      </c>
      <c r="N356" s="8388" t="s">
        <v>5380</v>
      </c>
      <c r="O356" s="8388" t="s">
        <v>5381</v>
      </c>
      <c r="P356" s="8388" t="s">
        <v>5382</v>
      </c>
      <c r="Q356" s="8389" t="s">
        <v>5383</v>
      </c>
      <c r="R356" s="4234"/>
      <c r="S356" s="4234"/>
      <c r="T356" s="4234"/>
      <c r="U356" s="4234"/>
      <c r="V356" s="4234"/>
      <c r="W356" s="4234"/>
      <c r="X356" s="4234"/>
      <c r="Y356" s="4234"/>
      <c r="Z356" s="4234"/>
      <c r="AA356" s="4234"/>
      <c r="AB356" s="4234"/>
      <c r="AC356" s="4234"/>
      <c r="AD356" s="4234"/>
      <c r="AE356" s="4234"/>
      <c r="AF356" s="4234"/>
      <c r="AG356" s="4234"/>
      <c r="AH356" s="4234"/>
      <c r="AI356" s="4234"/>
      <c r="AJ356" s="4234"/>
      <c r="AK356" s="4234"/>
      <c r="AL356" s="4234"/>
      <c r="AM356" s="4234"/>
      <c r="AN356" s="4234"/>
      <c r="AO356" s="4234"/>
      <c r="AP356" s="4234"/>
      <c r="AQ356" s="4234"/>
    </row>
    <row r="357" spans="1:109" ht="20.25" customHeight="1" x14ac:dyDescent="0.25">
      <c r="A357" s="7280"/>
      <c r="B357" s="8386" t="s">
        <v>3143</v>
      </c>
      <c r="C357" s="8387" t="s">
        <v>5369</v>
      </c>
      <c r="D357" s="8388" t="s">
        <v>5370</v>
      </c>
      <c r="E357" s="8388" t="s">
        <v>5371</v>
      </c>
      <c r="F357" s="8388" t="s">
        <v>5372</v>
      </c>
      <c r="G357" s="8388" t="s">
        <v>5373</v>
      </c>
      <c r="H357" s="8388" t="s">
        <v>5374</v>
      </c>
      <c r="I357" s="8388" t="s">
        <v>5375</v>
      </c>
      <c r="J357" s="8388" t="s">
        <v>5376</v>
      </c>
      <c r="K357" s="8388" t="s">
        <v>5377</v>
      </c>
      <c r="L357" s="8388" t="s">
        <v>5378</v>
      </c>
      <c r="M357" s="8388" t="s">
        <v>5379</v>
      </c>
      <c r="N357" s="8388" t="s">
        <v>5380</v>
      </c>
      <c r="O357" s="8388" t="s">
        <v>5381</v>
      </c>
      <c r="P357" s="8388" t="s">
        <v>5382</v>
      </c>
      <c r="Q357" s="8390" t="s">
        <v>5383</v>
      </c>
      <c r="R357" s="4234"/>
      <c r="S357" s="4234"/>
      <c r="T357" s="4234"/>
      <c r="U357" s="4234"/>
      <c r="V357" s="4234"/>
      <c r="W357" s="4234"/>
      <c r="X357" s="4234"/>
      <c r="Y357" s="4234"/>
      <c r="Z357" s="4234"/>
      <c r="AA357" s="4234"/>
      <c r="AB357" s="4234"/>
      <c r="AC357" s="4234"/>
      <c r="AD357" s="4234"/>
      <c r="AE357" s="4234"/>
      <c r="AF357" s="4234"/>
      <c r="AG357" s="4234"/>
      <c r="AH357" s="4234"/>
      <c r="AI357" s="4234"/>
      <c r="AJ357" s="4234"/>
      <c r="AK357" s="4234"/>
      <c r="AL357" s="4234"/>
      <c r="AM357" s="4234"/>
      <c r="AN357" s="4234"/>
      <c r="AO357" s="4234"/>
      <c r="AP357" s="4234"/>
      <c r="AQ357" s="4234"/>
    </row>
    <row r="358" spans="1:109" ht="20.25" customHeight="1" x14ac:dyDescent="0.25">
      <c r="A358" s="7280"/>
      <c r="B358" s="8386" t="s">
        <v>3144</v>
      </c>
      <c r="C358" s="8387" t="s">
        <v>5369</v>
      </c>
      <c r="D358" s="8391" t="s">
        <v>5370</v>
      </c>
      <c r="E358" s="8392" t="s">
        <v>5371</v>
      </c>
      <c r="F358" s="8392" t="s">
        <v>5372</v>
      </c>
      <c r="G358" s="8392" t="s">
        <v>5373</v>
      </c>
      <c r="H358" s="8392" t="s">
        <v>5374</v>
      </c>
      <c r="I358" s="8392" t="s">
        <v>5375</v>
      </c>
      <c r="J358" s="8392" t="s">
        <v>5376</v>
      </c>
      <c r="K358" s="8392" t="s">
        <v>5377</v>
      </c>
      <c r="L358" s="8392" t="s">
        <v>5378</v>
      </c>
      <c r="M358" s="8392" t="s">
        <v>5379</v>
      </c>
      <c r="N358" s="8392" t="s">
        <v>5380</v>
      </c>
      <c r="O358" s="8392" t="s">
        <v>5381</v>
      </c>
      <c r="P358" s="8393" t="s">
        <v>5382</v>
      </c>
      <c r="Q358" s="8388" t="s">
        <v>5383</v>
      </c>
      <c r="R358" s="4234"/>
      <c r="S358" s="4234"/>
      <c r="T358" s="4234"/>
      <c r="U358" s="4234"/>
      <c r="V358" s="4234"/>
      <c r="W358" s="4234"/>
      <c r="X358" s="4234"/>
      <c r="Y358" s="4234"/>
      <c r="Z358" s="4234"/>
      <c r="AA358" s="4234"/>
      <c r="AB358" s="4234"/>
      <c r="AC358" s="4234"/>
      <c r="AD358" s="4234"/>
      <c r="AE358" s="4234"/>
      <c r="AF358" s="4234"/>
      <c r="AG358" s="4234"/>
      <c r="AH358" s="4234"/>
      <c r="AI358" s="4234"/>
      <c r="AJ358" s="4234"/>
      <c r="AK358" s="4234"/>
      <c r="AL358" s="4234"/>
      <c r="AM358" s="4234"/>
      <c r="AN358" s="4234"/>
      <c r="AO358" s="4234"/>
      <c r="AP358" s="4234"/>
      <c r="AQ358" s="4234"/>
    </row>
    <row r="359" spans="1:109" ht="20.25" customHeight="1" x14ac:dyDescent="0.25">
      <c r="A359" s="7280"/>
      <c r="B359" s="8394" t="s">
        <v>24</v>
      </c>
      <c r="C359" s="8395">
        <f>SUM(C354:C358)</f>
        <v>0</v>
      </c>
      <c r="D359" s="8395">
        <f>SUM(D355:D357)</f>
        <v>0</v>
      </c>
      <c r="E359" s="8395">
        <f>SUM(E354:E357)</f>
        <v>0</v>
      </c>
      <c r="F359" s="8395">
        <f t="shared" ref="F359:P359" si="11">SUM(F354:F357)</f>
        <v>0</v>
      </c>
      <c r="G359" s="8395">
        <f t="shared" si="11"/>
        <v>0</v>
      </c>
      <c r="H359" s="8395">
        <f t="shared" si="11"/>
        <v>0</v>
      </c>
      <c r="I359" s="8395">
        <f t="shared" si="11"/>
        <v>0</v>
      </c>
      <c r="J359" s="8395">
        <f t="shared" si="11"/>
        <v>0</v>
      </c>
      <c r="K359" s="8395">
        <f t="shared" si="11"/>
        <v>0</v>
      </c>
      <c r="L359" s="8395">
        <f t="shared" si="11"/>
        <v>0</v>
      </c>
      <c r="M359" s="8395">
        <f t="shared" si="11"/>
        <v>0</v>
      </c>
      <c r="N359" s="8395">
        <f t="shared" si="11"/>
        <v>0</v>
      </c>
      <c r="O359" s="8395">
        <f t="shared" si="11"/>
        <v>0</v>
      </c>
      <c r="P359" s="8395">
        <f t="shared" si="11"/>
        <v>0</v>
      </c>
      <c r="Q359" s="8395">
        <f>SUM(Q358)</f>
        <v>0</v>
      </c>
      <c r="R359" s="4234"/>
      <c r="S359" s="4234"/>
      <c r="T359" s="4234"/>
      <c r="U359" s="4234"/>
      <c r="V359" s="4234"/>
      <c r="W359" s="4234"/>
      <c r="X359" s="4234"/>
      <c r="Y359" s="4234"/>
      <c r="Z359" s="4234"/>
      <c r="AA359" s="4234"/>
      <c r="AB359" s="4234"/>
      <c r="AC359" s="4234"/>
      <c r="AD359" s="4234"/>
      <c r="AE359" s="4234"/>
      <c r="AF359" s="4234"/>
      <c r="AG359" s="4234"/>
      <c r="AH359" s="4234"/>
      <c r="AI359" s="4234"/>
      <c r="AJ359" s="4234"/>
      <c r="AK359" s="4234"/>
      <c r="AL359" s="4234"/>
      <c r="AM359" s="4234"/>
      <c r="AN359" s="4234"/>
      <c r="AO359" s="4234"/>
      <c r="AP359" s="4234"/>
      <c r="AQ359" s="4234"/>
    </row>
    <row r="360" spans="1:109" ht="27" customHeight="1" x14ac:dyDescent="0.25">
      <c r="A360" s="7280"/>
      <c r="B360" s="8398" t="s">
        <v>3768</v>
      </c>
      <c r="C360" s="8402"/>
      <c r="D360" s="8403"/>
      <c r="E360" s="8403"/>
      <c r="F360" s="8403"/>
      <c r="G360" s="8400"/>
      <c r="H360" s="8400"/>
      <c r="I360" s="8400"/>
      <c r="J360" s="8400"/>
      <c r="K360" s="8400"/>
      <c r="L360" s="8400"/>
      <c r="M360" s="8400"/>
      <c r="N360" s="8400"/>
      <c r="O360" s="8400"/>
      <c r="P360" s="8400"/>
      <c r="Q360" s="8400"/>
      <c r="R360" s="8400"/>
      <c r="S360" s="8400"/>
      <c r="T360" s="8400"/>
      <c r="U360" s="8400"/>
      <c r="V360" s="8400"/>
      <c r="W360" s="8400"/>
      <c r="X360" s="8400"/>
      <c r="Y360" s="8400"/>
      <c r="Z360" s="8400"/>
      <c r="AA360" s="8400"/>
      <c r="AB360" s="8400"/>
      <c r="AC360" s="8400"/>
      <c r="AD360" s="8400"/>
      <c r="AE360" s="8400"/>
      <c r="AF360" s="8400"/>
      <c r="AG360" s="8400"/>
      <c r="AH360" s="8400"/>
      <c r="AI360" s="8400"/>
      <c r="AJ360" s="8400"/>
      <c r="AK360" s="8400"/>
      <c r="AL360" s="8400"/>
      <c r="AM360" s="8400"/>
      <c r="AN360" s="8400"/>
      <c r="AO360" s="8400"/>
      <c r="AP360" s="4234"/>
      <c r="AQ360" s="4234"/>
    </row>
    <row r="361" spans="1:109" x14ac:dyDescent="0.25">
      <c r="A361" s="7280"/>
      <c r="B361" s="9321" t="s">
        <v>3160</v>
      </c>
      <c r="C361" s="9324" t="s">
        <v>86</v>
      </c>
      <c r="D361" s="9325"/>
      <c r="E361" s="9326"/>
      <c r="F361" s="9330" t="s">
        <v>709</v>
      </c>
      <c r="G361" s="9331"/>
      <c r="H361" s="9331"/>
      <c r="I361" s="9331"/>
      <c r="J361" s="9331"/>
      <c r="K361" s="9331"/>
      <c r="L361" s="9331"/>
      <c r="M361" s="9331"/>
      <c r="N361" s="9331"/>
      <c r="O361" s="9331"/>
      <c r="P361" s="9331"/>
      <c r="Q361" s="9331"/>
      <c r="R361" s="9331"/>
      <c r="S361" s="9331"/>
      <c r="T361" s="9331"/>
      <c r="U361" s="9331"/>
      <c r="V361" s="9331"/>
      <c r="W361" s="9331"/>
      <c r="X361" s="9331"/>
      <c r="Y361" s="9331"/>
      <c r="Z361" s="9331"/>
      <c r="AA361" s="9331"/>
      <c r="AB361" s="9331"/>
      <c r="AC361" s="9331"/>
      <c r="AD361" s="9331"/>
      <c r="AE361" s="9331"/>
      <c r="AF361" s="9331"/>
      <c r="AG361" s="9331"/>
      <c r="AH361" s="9331"/>
      <c r="AI361" s="9331"/>
      <c r="AJ361" s="9331"/>
      <c r="AK361" s="9331"/>
      <c r="AL361" s="9331"/>
      <c r="AM361" s="9332"/>
      <c r="AN361" s="9326" t="s">
        <v>2813</v>
      </c>
      <c r="AO361" s="9340" t="s">
        <v>362</v>
      </c>
      <c r="AP361" s="4234"/>
      <c r="AQ361" s="4234"/>
    </row>
    <row r="362" spans="1:109" ht="22.95" customHeight="1" x14ac:dyDescent="0.25">
      <c r="A362" s="7280"/>
      <c r="B362" s="9322"/>
      <c r="C362" s="9327"/>
      <c r="D362" s="9328"/>
      <c r="E362" s="9329"/>
      <c r="F362" s="9343" t="s">
        <v>399</v>
      </c>
      <c r="G362" s="9344"/>
      <c r="H362" s="9343" t="s">
        <v>54</v>
      </c>
      <c r="I362" s="9344"/>
      <c r="J362" s="9343" t="s">
        <v>79</v>
      </c>
      <c r="K362" s="9344"/>
      <c r="L362" s="9343" t="s">
        <v>80</v>
      </c>
      <c r="M362" s="9344"/>
      <c r="N362" s="9343" t="s">
        <v>81</v>
      </c>
      <c r="O362" s="9344"/>
      <c r="P362" s="9345" t="s">
        <v>115</v>
      </c>
      <c r="Q362" s="9344"/>
      <c r="R362" s="9343" t="s">
        <v>116</v>
      </c>
      <c r="S362" s="9344"/>
      <c r="T362" s="9343" t="s">
        <v>117</v>
      </c>
      <c r="U362" s="9344"/>
      <c r="V362" s="9343" t="s">
        <v>118</v>
      </c>
      <c r="W362" s="9344"/>
      <c r="X362" s="9343" t="s">
        <v>119</v>
      </c>
      <c r="Y362" s="9344"/>
      <c r="Z362" s="9343" t="s">
        <v>120</v>
      </c>
      <c r="AA362" s="9344"/>
      <c r="AB362" s="9343" t="s">
        <v>1414</v>
      </c>
      <c r="AC362" s="9344"/>
      <c r="AD362" s="9343" t="s">
        <v>1406</v>
      </c>
      <c r="AE362" s="9344"/>
      <c r="AF362" s="9343" t="s">
        <v>1397</v>
      </c>
      <c r="AG362" s="9344"/>
      <c r="AH362" s="9343" t="s">
        <v>1396</v>
      </c>
      <c r="AI362" s="9344"/>
      <c r="AJ362" s="9343" t="s">
        <v>1395</v>
      </c>
      <c r="AK362" s="9344"/>
      <c r="AL362" s="9343" t="s">
        <v>1405</v>
      </c>
      <c r="AM362" s="9346"/>
      <c r="AN362" s="9347"/>
      <c r="AO362" s="9341"/>
      <c r="AP362" s="4234"/>
      <c r="AQ362" s="4234"/>
    </row>
    <row r="363" spans="1:109" ht="20.399999999999999" customHeight="1" x14ac:dyDescent="0.25">
      <c r="A363" s="7280"/>
      <c r="B363" s="9323"/>
      <c r="C363" s="8405" t="s">
        <v>42</v>
      </c>
      <c r="D363" s="8406" t="s">
        <v>17</v>
      </c>
      <c r="E363" s="8404" t="s">
        <v>18</v>
      </c>
      <c r="F363" s="8407" t="s">
        <v>17</v>
      </c>
      <c r="G363" s="8404" t="s">
        <v>18</v>
      </c>
      <c r="H363" s="8407" t="s">
        <v>17</v>
      </c>
      <c r="I363" s="8404" t="s">
        <v>18</v>
      </c>
      <c r="J363" s="8407" t="s">
        <v>17</v>
      </c>
      <c r="K363" s="8404" t="s">
        <v>18</v>
      </c>
      <c r="L363" s="8407" t="s">
        <v>17</v>
      </c>
      <c r="M363" s="8404" t="s">
        <v>18</v>
      </c>
      <c r="N363" s="8407" t="s">
        <v>17</v>
      </c>
      <c r="O363" s="8404" t="s">
        <v>18</v>
      </c>
      <c r="P363" s="8407" t="s">
        <v>17</v>
      </c>
      <c r="Q363" s="8404" t="s">
        <v>18</v>
      </c>
      <c r="R363" s="8407" t="s">
        <v>17</v>
      </c>
      <c r="S363" s="8404" t="s">
        <v>18</v>
      </c>
      <c r="T363" s="8407" t="s">
        <v>17</v>
      </c>
      <c r="U363" s="8404" t="s">
        <v>18</v>
      </c>
      <c r="V363" s="8407" t="s">
        <v>17</v>
      </c>
      <c r="W363" s="8404" t="s">
        <v>18</v>
      </c>
      <c r="X363" s="8407" t="s">
        <v>17</v>
      </c>
      <c r="Y363" s="8404" t="s">
        <v>18</v>
      </c>
      <c r="Z363" s="8407" t="s">
        <v>17</v>
      </c>
      <c r="AA363" s="8404" t="s">
        <v>18</v>
      </c>
      <c r="AB363" s="8407" t="s">
        <v>17</v>
      </c>
      <c r="AC363" s="8404" t="s">
        <v>18</v>
      </c>
      <c r="AD363" s="8407" t="s">
        <v>17</v>
      </c>
      <c r="AE363" s="8404" t="s">
        <v>18</v>
      </c>
      <c r="AF363" s="8407" t="s">
        <v>17</v>
      </c>
      <c r="AG363" s="8404" t="s">
        <v>18</v>
      </c>
      <c r="AH363" s="8407" t="s">
        <v>17</v>
      </c>
      <c r="AI363" s="8404" t="s">
        <v>18</v>
      </c>
      <c r="AJ363" s="8407" t="s">
        <v>17</v>
      </c>
      <c r="AK363" s="8404" t="s">
        <v>18</v>
      </c>
      <c r="AL363" s="8407" t="s">
        <v>17</v>
      </c>
      <c r="AM363" s="8408" t="s">
        <v>18</v>
      </c>
      <c r="AN363" s="9329"/>
      <c r="AO363" s="9342"/>
      <c r="AP363" s="4234"/>
      <c r="AQ363" s="4234"/>
    </row>
    <row r="364" spans="1:109" ht="23.4" customHeight="1" x14ac:dyDescent="0.25">
      <c r="A364" s="7280"/>
      <c r="B364" s="8409" t="s">
        <v>3161</v>
      </c>
      <c r="C364" s="8410" t="s">
        <v>5369</v>
      </c>
      <c r="D364" s="8411" t="s">
        <v>5370</v>
      </c>
      <c r="E364" s="8412" t="s">
        <v>5371</v>
      </c>
      <c r="F364" s="8413" t="s">
        <v>5372</v>
      </c>
      <c r="G364" s="8414" t="s">
        <v>5373</v>
      </c>
      <c r="H364" s="8413" t="s">
        <v>5374</v>
      </c>
      <c r="I364" s="8414" t="s">
        <v>5375</v>
      </c>
      <c r="J364" s="8413" t="s">
        <v>5376</v>
      </c>
      <c r="K364" s="8414" t="s">
        <v>5377</v>
      </c>
      <c r="L364" s="8413" t="s">
        <v>5378</v>
      </c>
      <c r="M364" s="8414" t="s">
        <v>5379</v>
      </c>
      <c r="N364" s="8413" t="s">
        <v>5380</v>
      </c>
      <c r="O364" s="8414" t="s">
        <v>5381</v>
      </c>
      <c r="P364" s="8413" t="s">
        <v>5382</v>
      </c>
      <c r="Q364" s="8414" t="s">
        <v>5383</v>
      </c>
      <c r="R364" s="8413" t="s">
        <v>5384</v>
      </c>
      <c r="S364" s="8414" t="s">
        <v>5385</v>
      </c>
      <c r="T364" s="8413" t="s">
        <v>5386</v>
      </c>
      <c r="U364" s="8414" t="s">
        <v>5387</v>
      </c>
      <c r="V364" s="8413" t="s">
        <v>5388</v>
      </c>
      <c r="W364" s="8414" t="s">
        <v>5389</v>
      </c>
      <c r="X364" s="8413" t="s">
        <v>5390</v>
      </c>
      <c r="Y364" s="8414" t="s">
        <v>5391</v>
      </c>
      <c r="Z364" s="8413" t="s">
        <v>5392</v>
      </c>
      <c r="AA364" s="8414" t="s">
        <v>5393</v>
      </c>
      <c r="AB364" s="8413" t="s">
        <v>5394</v>
      </c>
      <c r="AC364" s="8414" t="s">
        <v>5395</v>
      </c>
      <c r="AD364" s="8413" t="s">
        <v>5396</v>
      </c>
      <c r="AE364" s="8414" t="s">
        <v>5397</v>
      </c>
      <c r="AF364" s="8413" t="s">
        <v>5398</v>
      </c>
      <c r="AG364" s="8414" t="s">
        <v>5399</v>
      </c>
      <c r="AH364" s="8413" t="s">
        <v>5400</v>
      </c>
      <c r="AI364" s="8414" t="s">
        <v>5401</v>
      </c>
      <c r="AJ364" s="8413" t="s">
        <v>5402</v>
      </c>
      <c r="AK364" s="8414" t="s">
        <v>5403</v>
      </c>
      <c r="AL364" s="8413" t="s">
        <v>5404</v>
      </c>
      <c r="AM364" s="8415" t="s">
        <v>5405</v>
      </c>
      <c r="AN364" s="8416" t="s">
        <v>5406</v>
      </c>
      <c r="AO364" s="8417"/>
      <c r="AP364" s="4944"/>
      <c r="AQ364" s="4945"/>
      <c r="DB364" s="5899">
        <v>0</v>
      </c>
      <c r="DC364" s="5899">
        <v>0</v>
      </c>
      <c r="DD364" s="5899">
        <v>0</v>
      </c>
      <c r="DE364" s="5899">
        <v>0</v>
      </c>
    </row>
    <row r="365" spans="1:109" ht="25.95" customHeight="1" x14ac:dyDescent="0.25">
      <c r="B365" s="9297" t="s">
        <v>3769</v>
      </c>
      <c r="C365" s="9297"/>
      <c r="D365" s="9297"/>
      <c r="E365" s="9297"/>
      <c r="F365" s="9297"/>
      <c r="G365" s="9297"/>
      <c r="H365" s="9297"/>
      <c r="I365" s="9297"/>
      <c r="J365" s="9297"/>
      <c r="K365" s="9297"/>
      <c r="L365" s="9297"/>
      <c r="M365" s="9297"/>
      <c r="N365" s="9297"/>
      <c r="O365" s="9297"/>
      <c r="P365" s="9297"/>
      <c r="Q365" s="9297"/>
      <c r="R365" s="9297"/>
      <c r="S365" s="9297"/>
      <c r="T365" s="9297"/>
      <c r="U365" s="9297"/>
      <c r="V365" s="9297"/>
      <c r="W365" s="9297"/>
      <c r="X365" s="9297"/>
      <c r="Y365" s="9297"/>
      <c r="Z365" s="9297"/>
      <c r="AA365" s="9297"/>
      <c r="AB365" s="9297"/>
      <c r="AC365" s="9297"/>
      <c r="AD365" s="9297"/>
      <c r="AE365" s="9297"/>
      <c r="AF365" s="9297"/>
      <c r="AG365" s="9297"/>
      <c r="AH365" s="9297"/>
      <c r="AI365" s="9297"/>
      <c r="AJ365" s="9297"/>
      <c r="AK365" s="9297"/>
      <c r="AL365" s="9297"/>
      <c r="AM365" s="9297"/>
      <c r="AN365" s="9297"/>
      <c r="AO365" s="9297"/>
      <c r="AP365" s="9297"/>
      <c r="AQ365" s="9297"/>
    </row>
    <row r="366" spans="1:109" ht="14.4" x14ac:dyDescent="0.3">
      <c r="B366" s="7270" t="s">
        <v>3770</v>
      </c>
      <c r="C366" s="2384"/>
      <c r="D366" s="2391"/>
      <c r="E366" s="2391"/>
      <c r="F366" s="2391"/>
      <c r="G366" s="2385"/>
      <c r="H366" s="2385"/>
      <c r="I366" s="2385"/>
      <c r="J366" s="2385"/>
      <c r="K366" s="2385"/>
      <c r="L366" s="2385"/>
      <c r="M366" s="2385"/>
      <c r="N366" s="2385"/>
      <c r="O366" s="2385"/>
      <c r="P366" s="2385"/>
      <c r="Q366" s="2385"/>
      <c r="R366" s="2385"/>
      <c r="S366" s="2385"/>
      <c r="T366" s="2385"/>
      <c r="U366" s="2385"/>
      <c r="V366" s="2385"/>
      <c r="W366" s="2385"/>
      <c r="X366" s="2385"/>
      <c r="Y366" s="2385"/>
      <c r="Z366" s="2385"/>
      <c r="AA366" s="2385"/>
      <c r="AB366" s="2385"/>
      <c r="AC366" s="2385"/>
      <c r="AD366" s="2385"/>
      <c r="AE366" s="2385"/>
      <c r="AF366" s="2385"/>
      <c r="AG366" s="2385"/>
      <c r="AH366" s="2385"/>
      <c r="AI366" s="2385"/>
      <c r="AJ366" s="2385"/>
      <c r="AK366" s="2385"/>
      <c r="AL366" s="2385"/>
      <c r="AM366" s="2385"/>
      <c r="AN366" s="2385"/>
      <c r="AO366" s="2385"/>
      <c r="AP366" s="2385"/>
      <c r="AQ366" s="2385"/>
    </row>
    <row r="367" spans="1:109" x14ac:dyDescent="0.25">
      <c r="B367" s="9298" t="s">
        <v>41</v>
      </c>
      <c r="C367" s="9298" t="s">
        <v>0</v>
      </c>
      <c r="D367" s="9301" t="s">
        <v>86</v>
      </c>
      <c r="E367" s="9302"/>
      <c r="F367" s="9303"/>
      <c r="G367" s="9307" t="s">
        <v>709</v>
      </c>
      <c r="H367" s="9308"/>
      <c r="I367" s="9308"/>
      <c r="J367" s="9308"/>
      <c r="K367" s="9308"/>
      <c r="L367" s="9308"/>
      <c r="M367" s="9308"/>
      <c r="N367" s="9308"/>
      <c r="O367" s="9308"/>
      <c r="P367" s="9308"/>
      <c r="Q367" s="9308"/>
      <c r="R367" s="9308"/>
      <c r="S367" s="9308"/>
      <c r="T367" s="9308"/>
      <c r="U367" s="9308"/>
      <c r="V367" s="9308"/>
      <c r="W367" s="9308"/>
      <c r="X367" s="9308"/>
      <c r="Y367" s="9308"/>
      <c r="Z367" s="9308"/>
      <c r="AA367" s="9308"/>
      <c r="AB367" s="9308"/>
      <c r="AC367" s="9308"/>
      <c r="AD367" s="9308"/>
      <c r="AE367" s="9308"/>
      <c r="AF367" s="9308"/>
      <c r="AG367" s="9308"/>
      <c r="AH367" s="9308"/>
      <c r="AI367" s="9308"/>
      <c r="AJ367" s="9308"/>
      <c r="AK367" s="9308"/>
      <c r="AL367" s="9308"/>
      <c r="AM367" s="9308"/>
      <c r="AN367" s="9309"/>
      <c r="AO367" s="9303" t="s">
        <v>2813</v>
      </c>
      <c r="AP367" s="9311" t="s">
        <v>362</v>
      </c>
      <c r="AQ367" s="2385"/>
      <c r="BZ367" s="4259"/>
    </row>
    <row r="368" spans="1:109" ht="27" customHeight="1" x14ac:dyDescent="0.25">
      <c r="B368" s="9299"/>
      <c r="C368" s="9299"/>
      <c r="D368" s="9304"/>
      <c r="E368" s="9305"/>
      <c r="F368" s="9306"/>
      <c r="G368" s="9293" t="s">
        <v>399</v>
      </c>
      <c r="H368" s="9314"/>
      <c r="I368" s="9293" t="s">
        <v>54</v>
      </c>
      <c r="J368" s="9314"/>
      <c r="K368" s="9293" t="s">
        <v>79</v>
      </c>
      <c r="L368" s="9314"/>
      <c r="M368" s="9293" t="s">
        <v>80</v>
      </c>
      <c r="N368" s="9314"/>
      <c r="O368" s="9293" t="s">
        <v>81</v>
      </c>
      <c r="P368" s="9314"/>
      <c r="Q368" s="9315" t="s">
        <v>115</v>
      </c>
      <c r="R368" s="9314"/>
      <c r="S368" s="9293" t="s">
        <v>116</v>
      </c>
      <c r="T368" s="9314"/>
      <c r="U368" s="9293" t="s">
        <v>117</v>
      </c>
      <c r="V368" s="9314"/>
      <c r="W368" s="9293" t="s">
        <v>118</v>
      </c>
      <c r="X368" s="9314"/>
      <c r="Y368" s="9293" t="s">
        <v>119</v>
      </c>
      <c r="Z368" s="9314"/>
      <c r="AA368" s="9293" t="s">
        <v>120</v>
      </c>
      <c r="AB368" s="9314"/>
      <c r="AC368" s="9293" t="s">
        <v>1414</v>
      </c>
      <c r="AD368" s="9314"/>
      <c r="AE368" s="9293" t="s">
        <v>1406</v>
      </c>
      <c r="AF368" s="9314"/>
      <c r="AG368" s="9293" t="s">
        <v>1397</v>
      </c>
      <c r="AH368" s="9314"/>
      <c r="AI368" s="9293" t="s">
        <v>1396</v>
      </c>
      <c r="AJ368" s="9314"/>
      <c r="AK368" s="9293" t="s">
        <v>1395</v>
      </c>
      <c r="AL368" s="9314"/>
      <c r="AM368" s="9293" t="s">
        <v>1405</v>
      </c>
      <c r="AN368" s="9294"/>
      <c r="AO368" s="9310"/>
      <c r="AP368" s="9312"/>
      <c r="AQ368" s="2385"/>
      <c r="BZ368" s="4259"/>
    </row>
    <row r="369" spans="1:109" x14ac:dyDescent="0.25">
      <c r="B369" s="9300"/>
      <c r="C369" s="9300"/>
      <c r="D369" s="8017" t="s">
        <v>42</v>
      </c>
      <c r="E369" s="8158" t="s">
        <v>17</v>
      </c>
      <c r="F369" s="8203" t="s">
        <v>18</v>
      </c>
      <c r="G369" s="7869" t="s">
        <v>17</v>
      </c>
      <c r="H369" s="8203" t="s">
        <v>18</v>
      </c>
      <c r="I369" s="7869" t="s">
        <v>17</v>
      </c>
      <c r="J369" s="8203" t="s">
        <v>18</v>
      </c>
      <c r="K369" s="7869" t="s">
        <v>17</v>
      </c>
      <c r="L369" s="8203" t="s">
        <v>18</v>
      </c>
      <c r="M369" s="7869" t="s">
        <v>17</v>
      </c>
      <c r="N369" s="8203" t="s">
        <v>18</v>
      </c>
      <c r="O369" s="7869" t="s">
        <v>17</v>
      </c>
      <c r="P369" s="8203" t="s">
        <v>18</v>
      </c>
      <c r="Q369" s="7869" t="s">
        <v>17</v>
      </c>
      <c r="R369" s="8203" t="s">
        <v>18</v>
      </c>
      <c r="S369" s="7869" t="s">
        <v>17</v>
      </c>
      <c r="T369" s="8203" t="s">
        <v>18</v>
      </c>
      <c r="U369" s="7869" t="s">
        <v>17</v>
      </c>
      <c r="V369" s="8203" t="s">
        <v>18</v>
      </c>
      <c r="W369" s="7869" t="s">
        <v>17</v>
      </c>
      <c r="X369" s="8203" t="s">
        <v>18</v>
      </c>
      <c r="Y369" s="7869" t="s">
        <v>17</v>
      </c>
      <c r="Z369" s="8203" t="s">
        <v>18</v>
      </c>
      <c r="AA369" s="7869" t="s">
        <v>17</v>
      </c>
      <c r="AB369" s="8203" t="s">
        <v>18</v>
      </c>
      <c r="AC369" s="7869" t="s">
        <v>17</v>
      </c>
      <c r="AD369" s="8203" t="s">
        <v>18</v>
      </c>
      <c r="AE369" s="7869" t="s">
        <v>17</v>
      </c>
      <c r="AF369" s="8203" t="s">
        <v>18</v>
      </c>
      <c r="AG369" s="7869" t="s">
        <v>17</v>
      </c>
      <c r="AH369" s="8203" t="s">
        <v>18</v>
      </c>
      <c r="AI369" s="7869" t="s">
        <v>17</v>
      </c>
      <c r="AJ369" s="8203" t="s">
        <v>18</v>
      </c>
      <c r="AK369" s="7869" t="s">
        <v>17</v>
      </c>
      <c r="AL369" s="8203" t="s">
        <v>18</v>
      </c>
      <c r="AM369" s="7869" t="s">
        <v>17</v>
      </c>
      <c r="AN369" s="8210" t="s">
        <v>18</v>
      </c>
      <c r="AO369" s="9306"/>
      <c r="AP369" s="9313"/>
      <c r="AQ369" s="2385"/>
      <c r="BZ369" s="4259"/>
    </row>
    <row r="370" spans="1:109" ht="20.25" customHeight="1" x14ac:dyDescent="0.25">
      <c r="A370" s="7288" t="s">
        <v>4614</v>
      </c>
      <c r="B370" s="9316" t="s">
        <v>3122</v>
      </c>
      <c r="C370" s="8212" t="s">
        <v>3123</v>
      </c>
      <c r="D370" s="8213" t="s">
        <v>5369</v>
      </c>
      <c r="E370" s="8214" t="s">
        <v>5370</v>
      </c>
      <c r="F370" s="8215" t="s">
        <v>5371</v>
      </c>
      <c r="G370" s="8181" t="s">
        <v>5372</v>
      </c>
      <c r="H370" s="7794" t="s">
        <v>5373</v>
      </c>
      <c r="I370" s="8181" t="s">
        <v>5374</v>
      </c>
      <c r="J370" s="7794" t="s">
        <v>5375</v>
      </c>
      <c r="K370" s="8181" t="s">
        <v>5376</v>
      </c>
      <c r="L370" s="7794" t="s">
        <v>5377</v>
      </c>
      <c r="M370" s="8181" t="s">
        <v>5378</v>
      </c>
      <c r="N370" s="7794" t="s">
        <v>5379</v>
      </c>
      <c r="O370" s="8181" t="s">
        <v>5380</v>
      </c>
      <c r="P370" s="7794" t="s">
        <v>5381</v>
      </c>
      <c r="Q370" s="8181" t="s">
        <v>5382</v>
      </c>
      <c r="R370" s="7794" t="s">
        <v>5383</v>
      </c>
      <c r="S370" s="8181" t="s">
        <v>5384</v>
      </c>
      <c r="T370" s="7794" t="s">
        <v>5385</v>
      </c>
      <c r="U370" s="8181" t="s">
        <v>5386</v>
      </c>
      <c r="V370" s="7794" t="s">
        <v>5387</v>
      </c>
      <c r="W370" s="8181" t="s">
        <v>5388</v>
      </c>
      <c r="X370" s="7794" t="s">
        <v>5389</v>
      </c>
      <c r="Y370" s="8181" t="s">
        <v>5390</v>
      </c>
      <c r="Z370" s="7794" t="s">
        <v>5391</v>
      </c>
      <c r="AA370" s="8181" t="s">
        <v>5392</v>
      </c>
      <c r="AB370" s="7794" t="s">
        <v>5393</v>
      </c>
      <c r="AC370" s="8181" t="s">
        <v>5394</v>
      </c>
      <c r="AD370" s="7794" t="s">
        <v>5395</v>
      </c>
      <c r="AE370" s="8181" t="s">
        <v>5396</v>
      </c>
      <c r="AF370" s="7794" t="s">
        <v>5397</v>
      </c>
      <c r="AG370" s="8181" t="s">
        <v>5398</v>
      </c>
      <c r="AH370" s="7794" t="s">
        <v>5399</v>
      </c>
      <c r="AI370" s="8181" t="s">
        <v>5400</v>
      </c>
      <c r="AJ370" s="7794" t="s">
        <v>5401</v>
      </c>
      <c r="AK370" s="8181" t="s">
        <v>5402</v>
      </c>
      <c r="AL370" s="7794" t="s">
        <v>5403</v>
      </c>
      <c r="AM370" s="8181" t="s">
        <v>5404</v>
      </c>
      <c r="AN370" s="7794" t="s">
        <v>5405</v>
      </c>
      <c r="AO370" s="8181" t="s">
        <v>5406</v>
      </c>
      <c r="AP370" s="7794" t="s">
        <v>5407</v>
      </c>
      <c r="AQ370" s="8216"/>
      <c r="BZ370" s="4259"/>
      <c r="CB370" s="4295" t="s">
        <v>5435</v>
      </c>
      <c r="CD370" s="4295" t="s">
        <v>5467</v>
      </c>
      <c r="DB370" s="5899">
        <v>1</v>
      </c>
      <c r="DC370" s="5899">
        <v>0</v>
      </c>
      <c r="DD370" s="5899">
        <v>1</v>
      </c>
      <c r="DE370" s="5899">
        <v>0</v>
      </c>
    </row>
    <row r="371" spans="1:109" ht="20.25" customHeight="1" x14ac:dyDescent="0.25">
      <c r="A371" s="7288" t="s">
        <v>4615</v>
      </c>
      <c r="B371" s="9317"/>
      <c r="C371" s="7274" t="s">
        <v>60</v>
      </c>
      <c r="D371" s="8217" t="s">
        <v>5369</v>
      </c>
      <c r="E371" s="8218" t="s">
        <v>5370</v>
      </c>
      <c r="F371" s="8048" t="s">
        <v>5371</v>
      </c>
      <c r="G371" s="7401" t="s">
        <v>5372</v>
      </c>
      <c r="H371" s="7371" t="s">
        <v>5373</v>
      </c>
      <c r="I371" s="7401" t="s">
        <v>5374</v>
      </c>
      <c r="J371" s="7371" t="s">
        <v>5375</v>
      </c>
      <c r="K371" s="7401" t="s">
        <v>5376</v>
      </c>
      <c r="L371" s="7371" t="s">
        <v>5377</v>
      </c>
      <c r="M371" s="7401" t="s">
        <v>5378</v>
      </c>
      <c r="N371" s="7371" t="s">
        <v>5379</v>
      </c>
      <c r="O371" s="7401" t="s">
        <v>5380</v>
      </c>
      <c r="P371" s="7371" t="s">
        <v>5381</v>
      </c>
      <c r="Q371" s="7401" t="s">
        <v>5382</v>
      </c>
      <c r="R371" s="7371" t="s">
        <v>5383</v>
      </c>
      <c r="S371" s="7401" t="s">
        <v>5384</v>
      </c>
      <c r="T371" s="7371" t="s">
        <v>5385</v>
      </c>
      <c r="U371" s="7401" t="s">
        <v>5386</v>
      </c>
      <c r="V371" s="7371" t="s">
        <v>5387</v>
      </c>
      <c r="W371" s="7401" t="s">
        <v>5388</v>
      </c>
      <c r="X371" s="7371" t="s">
        <v>5389</v>
      </c>
      <c r="Y371" s="7401" t="s">
        <v>5390</v>
      </c>
      <c r="Z371" s="7371" t="s">
        <v>5391</v>
      </c>
      <c r="AA371" s="7401" t="s">
        <v>5392</v>
      </c>
      <c r="AB371" s="7371" t="s">
        <v>5393</v>
      </c>
      <c r="AC371" s="7401" t="s">
        <v>5394</v>
      </c>
      <c r="AD371" s="7371" t="s">
        <v>5395</v>
      </c>
      <c r="AE371" s="7401" t="s">
        <v>5396</v>
      </c>
      <c r="AF371" s="7371" t="s">
        <v>5397</v>
      </c>
      <c r="AG371" s="7401" t="s">
        <v>5398</v>
      </c>
      <c r="AH371" s="7371" t="s">
        <v>5399</v>
      </c>
      <c r="AI371" s="7401" t="s">
        <v>5400</v>
      </c>
      <c r="AJ371" s="7371" t="s">
        <v>5401</v>
      </c>
      <c r="AK371" s="7401" t="s">
        <v>5402</v>
      </c>
      <c r="AL371" s="7371" t="s">
        <v>5403</v>
      </c>
      <c r="AM371" s="7401" t="s">
        <v>5404</v>
      </c>
      <c r="AN371" s="7371" t="s">
        <v>5405</v>
      </c>
      <c r="AO371" s="7401" t="s">
        <v>5406</v>
      </c>
      <c r="AP371" s="7371" t="s">
        <v>5407</v>
      </c>
      <c r="AQ371" s="8216"/>
      <c r="BZ371" s="4259"/>
    </row>
    <row r="372" spans="1:109" ht="20.25" customHeight="1" x14ac:dyDescent="0.25">
      <c r="A372" s="7288" t="s">
        <v>4616</v>
      </c>
      <c r="B372" s="9318"/>
      <c r="C372" s="8219" t="s">
        <v>3124</v>
      </c>
      <c r="D372" s="8220" t="s">
        <v>5369</v>
      </c>
      <c r="E372" s="8221" t="s">
        <v>5370</v>
      </c>
      <c r="F372" s="8222" t="s">
        <v>5371</v>
      </c>
      <c r="G372" s="8170" t="s">
        <v>5372</v>
      </c>
      <c r="H372" s="8223" t="s">
        <v>5373</v>
      </c>
      <c r="I372" s="8170" t="s">
        <v>5374</v>
      </c>
      <c r="J372" s="8223" t="s">
        <v>5375</v>
      </c>
      <c r="K372" s="8170" t="s">
        <v>5376</v>
      </c>
      <c r="L372" s="8223" t="s">
        <v>5377</v>
      </c>
      <c r="M372" s="8170" t="s">
        <v>5378</v>
      </c>
      <c r="N372" s="8223" t="s">
        <v>5379</v>
      </c>
      <c r="O372" s="8170" t="s">
        <v>5380</v>
      </c>
      <c r="P372" s="8223" t="s">
        <v>5381</v>
      </c>
      <c r="Q372" s="8170" t="s">
        <v>5382</v>
      </c>
      <c r="R372" s="8223" t="s">
        <v>5383</v>
      </c>
      <c r="S372" s="8170" t="s">
        <v>5384</v>
      </c>
      <c r="T372" s="8223" t="s">
        <v>5385</v>
      </c>
      <c r="U372" s="8170" t="s">
        <v>5386</v>
      </c>
      <c r="V372" s="8223" t="s">
        <v>5387</v>
      </c>
      <c r="W372" s="8170" t="s">
        <v>5388</v>
      </c>
      <c r="X372" s="8223" t="s">
        <v>5389</v>
      </c>
      <c r="Y372" s="8170" t="s">
        <v>5390</v>
      </c>
      <c r="Z372" s="8223" t="s">
        <v>5391</v>
      </c>
      <c r="AA372" s="8170" t="s">
        <v>5392</v>
      </c>
      <c r="AB372" s="8223" t="s">
        <v>5393</v>
      </c>
      <c r="AC372" s="8170" t="s">
        <v>5394</v>
      </c>
      <c r="AD372" s="8223" t="s">
        <v>5395</v>
      </c>
      <c r="AE372" s="8170" t="s">
        <v>5396</v>
      </c>
      <c r="AF372" s="8223" t="s">
        <v>5397</v>
      </c>
      <c r="AG372" s="8170" t="s">
        <v>5398</v>
      </c>
      <c r="AH372" s="8223" t="s">
        <v>5399</v>
      </c>
      <c r="AI372" s="8170" t="s">
        <v>5400</v>
      </c>
      <c r="AJ372" s="8223" t="s">
        <v>5401</v>
      </c>
      <c r="AK372" s="8170" t="s">
        <v>5402</v>
      </c>
      <c r="AL372" s="8223" t="s">
        <v>5403</v>
      </c>
      <c r="AM372" s="8170" t="s">
        <v>5404</v>
      </c>
      <c r="AN372" s="8223" t="s">
        <v>5405</v>
      </c>
      <c r="AO372" s="8170" t="s">
        <v>5406</v>
      </c>
      <c r="AP372" s="8223" t="s">
        <v>5407</v>
      </c>
      <c r="AQ372" s="8216"/>
      <c r="BZ372" s="4259"/>
    </row>
    <row r="373" spans="1:109" ht="14.4" customHeight="1" x14ac:dyDescent="0.25">
      <c r="A373" s="7291"/>
      <c r="B373" s="9319" t="s">
        <v>24</v>
      </c>
      <c r="C373" s="9320"/>
      <c r="D373" s="8224">
        <f>SUM(E373,F373)</f>
        <v>0</v>
      </c>
      <c r="E373" s="8225">
        <f t="shared" ref="E373:F373" si="12">SUM(G373,I373,K373,M373,O373,Q373,S373,U373,W373,Y373,AA373,AC373,AE373,AG373,AI373,AK373,AM373)</f>
        <v>0</v>
      </c>
      <c r="F373" s="8226">
        <f t="shared" si="12"/>
        <v>0</v>
      </c>
      <c r="G373" s="8227">
        <f t="shared" ref="G373:AP373" si="13">SUM(G370:G372)</f>
        <v>0</v>
      </c>
      <c r="H373" s="8228">
        <f t="shared" si="13"/>
        <v>0</v>
      </c>
      <c r="I373" s="8227">
        <f t="shared" si="13"/>
        <v>0</v>
      </c>
      <c r="J373" s="8228">
        <f t="shared" si="13"/>
        <v>0</v>
      </c>
      <c r="K373" s="8227">
        <f t="shared" si="13"/>
        <v>0</v>
      </c>
      <c r="L373" s="8229">
        <f t="shared" si="13"/>
        <v>0</v>
      </c>
      <c r="M373" s="8227">
        <f t="shared" si="13"/>
        <v>0</v>
      </c>
      <c r="N373" s="8229">
        <f t="shared" si="13"/>
        <v>0</v>
      </c>
      <c r="O373" s="8227">
        <f t="shared" si="13"/>
        <v>0</v>
      </c>
      <c r="P373" s="8229">
        <f t="shared" si="13"/>
        <v>0</v>
      </c>
      <c r="Q373" s="8227">
        <f t="shared" si="13"/>
        <v>0</v>
      </c>
      <c r="R373" s="8229">
        <f t="shared" si="13"/>
        <v>0</v>
      </c>
      <c r="S373" s="8227">
        <f t="shared" si="13"/>
        <v>0</v>
      </c>
      <c r="T373" s="8229">
        <f t="shared" si="13"/>
        <v>0</v>
      </c>
      <c r="U373" s="8227">
        <f t="shared" si="13"/>
        <v>0</v>
      </c>
      <c r="V373" s="8229">
        <f t="shared" si="13"/>
        <v>0</v>
      </c>
      <c r="W373" s="8227">
        <f t="shared" si="13"/>
        <v>0</v>
      </c>
      <c r="X373" s="8229">
        <f t="shared" si="13"/>
        <v>0</v>
      </c>
      <c r="Y373" s="8227">
        <f t="shared" si="13"/>
        <v>0</v>
      </c>
      <c r="Z373" s="8229">
        <f t="shared" si="13"/>
        <v>0</v>
      </c>
      <c r="AA373" s="8227">
        <f t="shared" si="13"/>
        <v>0</v>
      </c>
      <c r="AB373" s="8229">
        <f t="shared" si="13"/>
        <v>0</v>
      </c>
      <c r="AC373" s="8227">
        <f t="shared" si="13"/>
        <v>0</v>
      </c>
      <c r="AD373" s="8229">
        <f t="shared" si="13"/>
        <v>0</v>
      </c>
      <c r="AE373" s="8227">
        <f t="shared" si="13"/>
        <v>0</v>
      </c>
      <c r="AF373" s="8229">
        <f t="shared" si="13"/>
        <v>0</v>
      </c>
      <c r="AG373" s="8227">
        <f t="shared" si="13"/>
        <v>0</v>
      </c>
      <c r="AH373" s="8229">
        <f t="shared" si="13"/>
        <v>0</v>
      </c>
      <c r="AI373" s="8227">
        <f t="shared" si="13"/>
        <v>0</v>
      </c>
      <c r="AJ373" s="8229">
        <f t="shared" si="13"/>
        <v>0</v>
      </c>
      <c r="AK373" s="8227">
        <f t="shared" si="13"/>
        <v>0</v>
      </c>
      <c r="AL373" s="8229">
        <f t="shared" si="13"/>
        <v>0</v>
      </c>
      <c r="AM373" s="8230">
        <f t="shared" si="13"/>
        <v>0</v>
      </c>
      <c r="AN373" s="8231">
        <f t="shared" si="13"/>
        <v>0</v>
      </c>
      <c r="AO373" s="8228">
        <f t="shared" si="13"/>
        <v>0</v>
      </c>
      <c r="AP373" s="8232">
        <f t="shared" si="13"/>
        <v>0</v>
      </c>
      <c r="AQ373" s="2385"/>
      <c r="BZ373" s="4259"/>
    </row>
    <row r="374" spans="1:109" ht="21" customHeight="1" x14ac:dyDescent="0.3">
      <c r="A374" s="7280"/>
      <c r="B374" s="7270" t="s">
        <v>3771</v>
      </c>
      <c r="C374" s="2384"/>
      <c r="D374" s="2391"/>
      <c r="E374" s="2391"/>
      <c r="F374" s="2391"/>
      <c r="G374" s="2385"/>
      <c r="H374" s="2385"/>
      <c r="I374" s="2385"/>
      <c r="J374" s="2385"/>
      <c r="K374" s="2385"/>
      <c r="L374" s="2385"/>
      <c r="M374" s="2385"/>
      <c r="N374" s="2385"/>
      <c r="O374" s="2385"/>
      <c r="P374" s="2385"/>
      <c r="Q374" s="2385"/>
      <c r="R374" s="2591"/>
      <c r="S374" s="2591"/>
      <c r="T374" s="2591"/>
      <c r="U374" s="2591"/>
      <c r="V374" s="2591"/>
      <c r="W374" s="2591"/>
      <c r="X374" s="2591"/>
      <c r="Y374" s="2591"/>
      <c r="Z374" s="2591"/>
      <c r="AA374" s="2591"/>
      <c r="AB374" s="2591"/>
      <c r="AC374" s="2591"/>
      <c r="AD374" s="2591"/>
      <c r="AE374" s="2591"/>
      <c r="AF374" s="2591"/>
      <c r="AG374" s="2591"/>
      <c r="AH374" s="2591"/>
      <c r="AI374" s="2591"/>
      <c r="AJ374" s="2591"/>
      <c r="AK374" s="2591"/>
      <c r="AL374" s="2591"/>
      <c r="AM374" s="2591"/>
      <c r="AN374" s="2591"/>
      <c r="AO374" s="2591"/>
      <c r="AP374" s="2591"/>
      <c r="AQ374" s="2591"/>
    </row>
    <row r="375" spans="1:109" x14ac:dyDescent="0.25">
      <c r="A375" s="7280"/>
      <c r="B375" s="9292" t="s">
        <v>3125</v>
      </c>
      <c r="C375" s="9292" t="s">
        <v>942</v>
      </c>
      <c r="D375" s="9348" t="s">
        <v>3126</v>
      </c>
      <c r="E375" s="9348"/>
      <c r="F375" s="9348"/>
      <c r="G375" s="9348"/>
      <c r="H375" s="9348"/>
      <c r="I375" s="9348"/>
      <c r="J375" s="9348"/>
      <c r="K375" s="9348"/>
      <c r="L375" s="9349" t="s">
        <v>3127</v>
      </c>
      <c r="M375" s="9349"/>
      <c r="N375" s="9349"/>
      <c r="O375" s="9349"/>
      <c r="P375" s="9349"/>
      <c r="Q375" s="9348" t="s">
        <v>3128</v>
      </c>
      <c r="R375" s="2591"/>
      <c r="S375" s="2591"/>
      <c r="T375" s="2591"/>
      <c r="U375" s="2591"/>
      <c r="V375" s="2591"/>
      <c r="W375" s="2591"/>
      <c r="X375" s="2591"/>
      <c r="Y375" s="2591"/>
      <c r="Z375" s="2591"/>
      <c r="AA375" s="2591"/>
      <c r="AB375" s="2591"/>
      <c r="AC375" s="2591"/>
      <c r="AD375" s="2591"/>
      <c r="AE375" s="2591"/>
      <c r="AF375" s="2591"/>
      <c r="AG375" s="2591"/>
      <c r="AH375" s="2591"/>
      <c r="AI375" s="2591"/>
      <c r="AJ375" s="2591"/>
      <c r="AK375" s="2591"/>
      <c r="AL375" s="2591"/>
      <c r="AM375" s="2591"/>
      <c r="AN375" s="2591"/>
      <c r="AO375" s="2591"/>
      <c r="AP375" s="2591"/>
      <c r="AQ375" s="2591"/>
    </row>
    <row r="376" spans="1:109" ht="35.4" customHeight="1" x14ac:dyDescent="0.25">
      <c r="A376" s="7280"/>
      <c r="B376" s="9292"/>
      <c r="C376" s="9292"/>
      <c r="D376" s="9348" t="s">
        <v>3129</v>
      </c>
      <c r="E376" s="9348" t="s">
        <v>3130</v>
      </c>
      <c r="F376" s="9348" t="s">
        <v>3131</v>
      </c>
      <c r="G376" s="9348" t="s">
        <v>3132</v>
      </c>
      <c r="H376" s="9348" t="s">
        <v>3133</v>
      </c>
      <c r="I376" s="9348"/>
      <c r="J376" s="9348"/>
      <c r="K376" s="9348"/>
      <c r="L376" s="9348" t="s">
        <v>3134</v>
      </c>
      <c r="M376" s="9348" t="s">
        <v>3135</v>
      </c>
      <c r="N376" s="9348" t="s">
        <v>3136</v>
      </c>
      <c r="O376" s="9348" t="s">
        <v>3137</v>
      </c>
      <c r="P376" s="9348" t="s">
        <v>3138</v>
      </c>
      <c r="Q376" s="9348"/>
      <c r="R376" s="2591"/>
      <c r="S376" s="2591"/>
      <c r="T376" s="2591"/>
      <c r="U376" s="2591"/>
      <c r="V376" s="2591"/>
      <c r="W376" s="2591"/>
      <c r="X376" s="2591"/>
      <c r="Y376" s="2591"/>
      <c r="Z376" s="2591"/>
      <c r="AA376" s="2591"/>
      <c r="AB376" s="2591"/>
      <c r="AC376" s="2591"/>
      <c r="AD376" s="2591"/>
      <c r="AE376" s="2591"/>
      <c r="AF376" s="2591"/>
      <c r="AG376" s="2591"/>
      <c r="AH376" s="2591"/>
      <c r="AI376" s="2591"/>
      <c r="AJ376" s="2591"/>
      <c r="AK376" s="2591"/>
      <c r="AL376" s="2591"/>
      <c r="AM376" s="2591"/>
      <c r="AN376" s="2591"/>
      <c r="AO376" s="2591"/>
      <c r="AP376" s="2591"/>
      <c r="AQ376" s="2591"/>
    </row>
    <row r="377" spans="1:109" ht="35.4" customHeight="1" x14ac:dyDescent="0.25">
      <c r="A377" s="7280"/>
      <c r="B377" s="9292"/>
      <c r="C377" s="9292"/>
      <c r="D377" s="9348"/>
      <c r="E377" s="9348"/>
      <c r="F377" s="9348"/>
      <c r="G377" s="9348"/>
      <c r="H377" s="8208" t="s">
        <v>3135</v>
      </c>
      <c r="I377" s="8208" t="s">
        <v>3138</v>
      </c>
      <c r="J377" s="8208" t="s">
        <v>3139</v>
      </c>
      <c r="K377" s="8208" t="s">
        <v>135</v>
      </c>
      <c r="L377" s="9348"/>
      <c r="M377" s="9348"/>
      <c r="N377" s="9348"/>
      <c r="O377" s="9348"/>
      <c r="P377" s="9348"/>
      <c r="Q377" s="9348"/>
      <c r="R377" s="2591"/>
      <c r="S377" s="2591"/>
      <c r="T377" s="2591"/>
      <c r="U377" s="2591"/>
      <c r="V377" s="2591"/>
      <c r="W377" s="2591"/>
      <c r="X377" s="2591"/>
      <c r="Y377" s="2591"/>
      <c r="Z377" s="2591"/>
      <c r="AA377" s="2591"/>
      <c r="AB377" s="2591"/>
      <c r="AC377" s="2591"/>
      <c r="AD377" s="2591"/>
      <c r="AE377" s="2591"/>
      <c r="AF377" s="2591"/>
      <c r="AG377" s="2591"/>
      <c r="AH377" s="2591"/>
      <c r="AI377" s="2591"/>
      <c r="AJ377" s="2591"/>
      <c r="AK377" s="2591"/>
      <c r="AL377" s="2591"/>
      <c r="AM377" s="2591"/>
      <c r="AN377" s="2591"/>
      <c r="AO377" s="2591"/>
      <c r="AP377" s="2591"/>
      <c r="AQ377" s="2591"/>
    </row>
    <row r="378" spans="1:109" ht="20.25" customHeight="1" x14ac:dyDescent="0.25">
      <c r="A378" s="7288" t="s">
        <v>4617</v>
      </c>
      <c r="B378" s="7272" t="s">
        <v>3140</v>
      </c>
      <c r="C378" s="8233" t="s">
        <v>5369</v>
      </c>
      <c r="D378" s="8234" t="s">
        <v>5370</v>
      </c>
      <c r="E378" s="8235" t="s">
        <v>5371</v>
      </c>
      <c r="F378" s="8235" t="s">
        <v>5372</v>
      </c>
      <c r="G378" s="8235" t="s">
        <v>5373</v>
      </c>
      <c r="H378" s="8235" t="s">
        <v>5374</v>
      </c>
      <c r="I378" s="8235" t="s">
        <v>5375</v>
      </c>
      <c r="J378" s="8235" t="s">
        <v>5376</v>
      </c>
      <c r="K378" s="8235" t="s">
        <v>5377</v>
      </c>
      <c r="L378" s="8235" t="s">
        <v>5378</v>
      </c>
      <c r="M378" s="8235" t="s">
        <v>5379</v>
      </c>
      <c r="N378" s="8235" t="s">
        <v>5380</v>
      </c>
      <c r="O378" s="8235" t="s">
        <v>5381</v>
      </c>
      <c r="P378" s="8235" t="s">
        <v>5382</v>
      </c>
      <c r="Q378" s="8236" t="s">
        <v>5383</v>
      </c>
      <c r="R378" s="2591"/>
      <c r="S378" s="2591"/>
      <c r="T378" s="2591"/>
      <c r="U378" s="2591"/>
      <c r="V378" s="2591"/>
      <c r="W378" s="2591"/>
      <c r="X378" s="2591"/>
      <c r="Y378" s="2591"/>
      <c r="Z378" s="2591"/>
      <c r="AA378" s="2591"/>
      <c r="AB378" s="2591"/>
      <c r="AC378" s="2591"/>
      <c r="AD378" s="2591"/>
      <c r="AE378" s="2591"/>
      <c r="AF378" s="2591"/>
      <c r="AG378" s="2591"/>
      <c r="AH378" s="2591"/>
      <c r="AI378" s="2591"/>
      <c r="AJ378" s="2591"/>
      <c r="AK378" s="2591"/>
      <c r="AL378" s="2591"/>
      <c r="AM378" s="2591"/>
      <c r="AN378" s="2591"/>
      <c r="AO378" s="2591"/>
      <c r="AP378" s="2591"/>
      <c r="AQ378" s="2591"/>
    </row>
    <row r="379" spans="1:109" ht="20.25" customHeight="1" x14ac:dyDescent="0.25">
      <c r="A379" s="7288" t="s">
        <v>4618</v>
      </c>
      <c r="B379" s="8209" t="s">
        <v>3141</v>
      </c>
      <c r="C379" s="8237" t="s">
        <v>5369</v>
      </c>
      <c r="D379" s="7995" t="s">
        <v>5370</v>
      </c>
      <c r="E379" s="7995" t="s">
        <v>5371</v>
      </c>
      <c r="F379" s="7995" t="s">
        <v>5372</v>
      </c>
      <c r="G379" s="7995" t="s">
        <v>5373</v>
      </c>
      <c r="H379" s="7995" t="s">
        <v>5374</v>
      </c>
      <c r="I379" s="7995" t="s">
        <v>5375</v>
      </c>
      <c r="J379" s="7995" t="s">
        <v>5376</v>
      </c>
      <c r="K379" s="7995" t="s">
        <v>5377</v>
      </c>
      <c r="L379" s="7995" t="s">
        <v>5378</v>
      </c>
      <c r="M379" s="7995" t="s">
        <v>5379</v>
      </c>
      <c r="N379" s="7995" t="s">
        <v>5380</v>
      </c>
      <c r="O379" s="7995" t="s">
        <v>5381</v>
      </c>
      <c r="P379" s="7995" t="s">
        <v>5382</v>
      </c>
      <c r="Q379" s="8238" t="s">
        <v>5383</v>
      </c>
      <c r="R379" s="2591"/>
      <c r="S379" s="2591"/>
      <c r="T379" s="2591"/>
      <c r="U379" s="2591"/>
      <c r="V379" s="2591"/>
      <c r="W379" s="2591"/>
      <c r="X379" s="2591"/>
      <c r="Y379" s="2591"/>
      <c r="Z379" s="2591"/>
      <c r="AA379" s="2591"/>
      <c r="AB379" s="2591"/>
      <c r="AC379" s="2591"/>
      <c r="AD379" s="2591"/>
      <c r="AE379" s="2591"/>
      <c r="AF379" s="2591"/>
      <c r="AG379" s="2591"/>
      <c r="AH379" s="2591"/>
      <c r="AI379" s="2591"/>
      <c r="AJ379" s="2591"/>
      <c r="AK379" s="2591"/>
      <c r="AL379" s="2591"/>
      <c r="AM379" s="2591"/>
      <c r="AN379" s="2591"/>
      <c r="AO379" s="2591"/>
      <c r="AP379" s="2591"/>
      <c r="AQ379" s="2591"/>
    </row>
    <row r="380" spans="1:109" ht="20.25" customHeight="1" x14ac:dyDescent="0.25">
      <c r="A380" s="7288" t="s">
        <v>4619</v>
      </c>
      <c r="B380" s="8209" t="s">
        <v>3142</v>
      </c>
      <c r="C380" s="8237" t="s">
        <v>5369</v>
      </c>
      <c r="D380" s="7995" t="s">
        <v>5370</v>
      </c>
      <c r="E380" s="7995" t="s">
        <v>5371</v>
      </c>
      <c r="F380" s="7995" t="s">
        <v>5372</v>
      </c>
      <c r="G380" s="7995" t="s">
        <v>5373</v>
      </c>
      <c r="H380" s="7995" t="s">
        <v>5374</v>
      </c>
      <c r="I380" s="7995" t="s">
        <v>5375</v>
      </c>
      <c r="J380" s="7995" t="s">
        <v>5376</v>
      </c>
      <c r="K380" s="7995" t="s">
        <v>5377</v>
      </c>
      <c r="L380" s="7995" t="s">
        <v>5378</v>
      </c>
      <c r="M380" s="7995" t="s">
        <v>5379</v>
      </c>
      <c r="N380" s="7995" t="s">
        <v>5380</v>
      </c>
      <c r="O380" s="7995" t="s">
        <v>5381</v>
      </c>
      <c r="P380" s="7995" t="s">
        <v>5382</v>
      </c>
      <c r="Q380" s="8238" t="s">
        <v>5383</v>
      </c>
      <c r="R380" s="2591"/>
      <c r="S380" s="2591"/>
      <c r="T380" s="2591"/>
      <c r="U380" s="2591"/>
      <c r="V380" s="2591"/>
      <c r="W380" s="2591"/>
      <c r="X380" s="2591"/>
      <c r="Y380" s="2591"/>
      <c r="Z380" s="2591"/>
      <c r="AA380" s="2591"/>
      <c r="AB380" s="2591"/>
      <c r="AC380" s="2591"/>
      <c r="AD380" s="2591"/>
      <c r="AE380" s="2591"/>
      <c r="AF380" s="2591"/>
      <c r="AG380" s="2591"/>
      <c r="AH380" s="2591"/>
      <c r="AI380" s="2591"/>
      <c r="AJ380" s="2591"/>
      <c r="AK380" s="2591"/>
      <c r="AL380" s="2591"/>
      <c r="AM380" s="2591"/>
      <c r="AN380" s="2591"/>
      <c r="AO380" s="2591"/>
      <c r="AP380" s="2591"/>
      <c r="AQ380" s="2591"/>
    </row>
    <row r="381" spans="1:109" ht="20.25" customHeight="1" x14ac:dyDescent="0.25">
      <c r="A381" s="7288" t="s">
        <v>4620</v>
      </c>
      <c r="B381" s="8209" t="s">
        <v>3143</v>
      </c>
      <c r="C381" s="8237" t="s">
        <v>5369</v>
      </c>
      <c r="D381" s="7995" t="s">
        <v>5370</v>
      </c>
      <c r="E381" s="7995" t="s">
        <v>5371</v>
      </c>
      <c r="F381" s="7995" t="s">
        <v>5372</v>
      </c>
      <c r="G381" s="7995" t="s">
        <v>5373</v>
      </c>
      <c r="H381" s="7995" t="s">
        <v>5374</v>
      </c>
      <c r="I381" s="7995" t="s">
        <v>5375</v>
      </c>
      <c r="J381" s="7995" t="s">
        <v>5376</v>
      </c>
      <c r="K381" s="7995" t="s">
        <v>5377</v>
      </c>
      <c r="L381" s="7995" t="s">
        <v>5378</v>
      </c>
      <c r="M381" s="7995" t="s">
        <v>5379</v>
      </c>
      <c r="N381" s="7995" t="s">
        <v>5380</v>
      </c>
      <c r="O381" s="7995" t="s">
        <v>5381</v>
      </c>
      <c r="P381" s="7995" t="s">
        <v>5382</v>
      </c>
      <c r="Q381" s="8239" t="s">
        <v>5383</v>
      </c>
      <c r="R381" s="2591"/>
      <c r="S381" s="2591"/>
      <c r="T381" s="2591"/>
      <c r="U381" s="2591"/>
      <c r="V381" s="2591"/>
      <c r="W381" s="2591"/>
      <c r="X381" s="2591"/>
      <c r="Y381" s="2591"/>
      <c r="Z381" s="2591"/>
      <c r="AA381" s="2591"/>
      <c r="AB381" s="2591"/>
      <c r="AC381" s="2591"/>
      <c r="AD381" s="2591"/>
      <c r="AE381" s="2591"/>
      <c r="AF381" s="2591"/>
      <c r="AG381" s="2591"/>
      <c r="AH381" s="2591"/>
      <c r="AI381" s="2591"/>
      <c r="AJ381" s="2591"/>
      <c r="AK381" s="2591"/>
      <c r="AL381" s="2591"/>
      <c r="AM381" s="2591"/>
      <c r="AN381" s="2591"/>
      <c r="AO381" s="2591"/>
      <c r="AP381" s="2591"/>
      <c r="AQ381" s="2591"/>
    </row>
    <row r="382" spans="1:109" ht="20.25" customHeight="1" x14ac:dyDescent="0.25">
      <c r="A382" s="7259" t="s">
        <v>4621</v>
      </c>
      <c r="B382" s="8209" t="s">
        <v>3144</v>
      </c>
      <c r="C382" s="8237" t="s">
        <v>5369</v>
      </c>
      <c r="D382" s="8240" t="s">
        <v>5370</v>
      </c>
      <c r="E382" s="8241" t="s">
        <v>5371</v>
      </c>
      <c r="F382" s="8241" t="s">
        <v>5372</v>
      </c>
      <c r="G382" s="8241" t="s">
        <v>5373</v>
      </c>
      <c r="H382" s="8241" t="s">
        <v>5374</v>
      </c>
      <c r="I382" s="8241" t="s">
        <v>5375</v>
      </c>
      <c r="J382" s="8241" t="s">
        <v>5376</v>
      </c>
      <c r="K382" s="8241" t="s">
        <v>5377</v>
      </c>
      <c r="L382" s="8241" t="s">
        <v>5378</v>
      </c>
      <c r="M382" s="8241" t="s">
        <v>5379</v>
      </c>
      <c r="N382" s="8241" t="s">
        <v>5380</v>
      </c>
      <c r="O382" s="8241" t="s">
        <v>5381</v>
      </c>
      <c r="P382" s="8242" t="s">
        <v>5382</v>
      </c>
      <c r="Q382" s="7995" t="s">
        <v>5383</v>
      </c>
      <c r="R382" s="2591"/>
      <c r="S382" s="2591"/>
      <c r="T382" s="2591"/>
      <c r="U382" s="2591"/>
      <c r="V382" s="2591"/>
      <c r="W382" s="2591"/>
      <c r="X382" s="2591"/>
      <c r="Y382" s="2591"/>
      <c r="Z382" s="2591"/>
      <c r="AA382" s="2591"/>
      <c r="AB382" s="2591"/>
      <c r="AC382" s="2591"/>
      <c r="AD382" s="2591"/>
      <c r="AE382" s="2591"/>
      <c r="AF382" s="2591"/>
      <c r="AG382" s="2591"/>
      <c r="AH382" s="2591"/>
      <c r="AI382" s="2591"/>
      <c r="AJ382" s="2591"/>
      <c r="AK382" s="2591"/>
      <c r="AL382" s="2591"/>
      <c r="AM382" s="2591"/>
      <c r="AN382" s="2591"/>
      <c r="AO382" s="2591"/>
      <c r="AP382" s="2591"/>
      <c r="AQ382" s="2591"/>
    </row>
    <row r="383" spans="1:109" ht="20.25" customHeight="1" x14ac:dyDescent="0.25">
      <c r="A383" s="7291"/>
      <c r="B383" s="8243" t="s">
        <v>24</v>
      </c>
      <c r="C383" s="7621">
        <f>SUM(C378:C382)</f>
        <v>0</v>
      </c>
      <c r="D383" s="7621">
        <f>SUM(D379:D381)</f>
        <v>0</v>
      </c>
      <c r="E383" s="7621">
        <f>SUM(E378:E381)</f>
        <v>0</v>
      </c>
      <c r="F383" s="7621">
        <f t="shared" ref="F383:P383" si="14">SUM(F378:F381)</f>
        <v>0</v>
      </c>
      <c r="G383" s="7621">
        <f t="shared" si="14"/>
        <v>0</v>
      </c>
      <c r="H383" s="7621">
        <f t="shared" si="14"/>
        <v>0</v>
      </c>
      <c r="I383" s="7621">
        <f t="shared" si="14"/>
        <v>0</v>
      </c>
      <c r="J383" s="7621">
        <f t="shared" si="14"/>
        <v>0</v>
      </c>
      <c r="K383" s="7621">
        <f t="shared" si="14"/>
        <v>0</v>
      </c>
      <c r="L383" s="7621">
        <f t="shared" si="14"/>
        <v>0</v>
      </c>
      <c r="M383" s="7621">
        <f t="shared" si="14"/>
        <v>0</v>
      </c>
      <c r="N383" s="7621">
        <f t="shared" si="14"/>
        <v>0</v>
      </c>
      <c r="O383" s="7621">
        <f t="shared" si="14"/>
        <v>0</v>
      </c>
      <c r="P383" s="7621">
        <f t="shared" si="14"/>
        <v>0</v>
      </c>
      <c r="Q383" s="7621">
        <f>SUM(Q382)</f>
        <v>0</v>
      </c>
      <c r="R383" s="2591"/>
      <c r="S383" s="2591"/>
      <c r="T383" s="2591"/>
      <c r="U383" s="2591"/>
      <c r="V383" s="2591"/>
      <c r="W383" s="2591"/>
      <c r="X383" s="2591"/>
      <c r="Y383" s="2591"/>
      <c r="Z383" s="2591"/>
      <c r="AA383" s="2591"/>
      <c r="AB383" s="2591"/>
      <c r="AC383" s="2591"/>
      <c r="AD383" s="2591"/>
      <c r="AE383" s="2591"/>
      <c r="AF383" s="2591"/>
      <c r="AG383" s="2591"/>
      <c r="AH383" s="2591"/>
      <c r="AI383" s="2591"/>
      <c r="AJ383" s="2591"/>
      <c r="AK383" s="2591"/>
      <c r="AL383" s="2591"/>
      <c r="AM383" s="2591"/>
      <c r="AN383" s="2591"/>
      <c r="AO383" s="2591"/>
      <c r="AP383" s="2591"/>
      <c r="AQ383" s="2591"/>
    </row>
    <row r="386" spans="1:1" x14ac:dyDescent="0.25">
      <c r="A386" s="4258" t="s">
        <v>4068</v>
      </c>
    </row>
    <row r="387" spans="1:1" x14ac:dyDescent="0.25">
      <c r="A387" s="7288" t="s">
        <v>4490</v>
      </c>
    </row>
    <row r="388" spans="1:1" x14ac:dyDescent="0.25">
      <c r="A388" s="7288" t="s">
        <v>4491</v>
      </c>
    </row>
    <row r="389" spans="1:1" x14ac:dyDescent="0.25">
      <c r="A389" s="7288" t="s">
        <v>4497</v>
      </c>
    </row>
    <row r="390" spans="1:1" x14ac:dyDescent="0.25">
      <c r="A390" s="7288" t="s">
        <v>4504</v>
      </c>
    </row>
    <row r="391" spans="1:1" x14ac:dyDescent="0.25">
      <c r="A391" s="7288" t="s">
        <v>4505</v>
      </c>
    </row>
    <row r="392" spans="1:1" x14ac:dyDescent="0.25">
      <c r="A392" s="7288" t="s">
        <v>4531</v>
      </c>
    </row>
    <row r="393" spans="1:1" x14ac:dyDescent="0.25">
      <c r="A393" s="7288" t="s">
        <v>4532</v>
      </c>
    </row>
    <row r="394" spans="1:1" x14ac:dyDescent="0.25">
      <c r="A394" s="7288" t="s">
        <v>4533</v>
      </c>
    </row>
    <row r="395" spans="1:1" x14ac:dyDescent="0.25">
      <c r="A395" s="7288" t="s">
        <v>4534</v>
      </c>
    </row>
    <row r="396" spans="1:1" x14ac:dyDescent="0.25">
      <c r="A396" s="7288" t="s">
        <v>4535</v>
      </c>
    </row>
    <row r="397" spans="1:1" x14ac:dyDescent="0.25">
      <c r="A397" s="7288" t="s">
        <v>4541</v>
      </c>
    </row>
    <row r="398" spans="1:1" x14ac:dyDescent="0.25">
      <c r="A398" s="7288" t="s">
        <v>4548</v>
      </c>
    </row>
    <row r="399" spans="1:1" x14ac:dyDescent="0.25">
      <c r="A399" s="7288" t="s">
        <v>4549</v>
      </c>
    </row>
    <row r="400" spans="1:1" x14ac:dyDescent="0.25">
      <c r="A400" s="7288" t="s">
        <v>4604</v>
      </c>
    </row>
    <row r="401" spans="1:131" x14ac:dyDescent="0.25">
      <c r="A401" s="7288" t="s">
        <v>4605</v>
      </c>
    </row>
    <row r="402" spans="1:131" x14ac:dyDescent="0.25">
      <c r="A402" s="7288" t="s">
        <v>4606</v>
      </c>
    </row>
    <row r="403" spans="1:131" x14ac:dyDescent="0.25">
      <c r="A403" s="7288" t="s">
        <v>4607</v>
      </c>
    </row>
    <row r="404" spans="1:131" x14ac:dyDescent="0.25">
      <c r="A404" s="7288" t="s">
        <v>4614</v>
      </c>
    </row>
    <row r="405" spans="1:131" x14ac:dyDescent="0.25">
      <c r="A405" s="7288" t="s">
        <v>4615</v>
      </c>
    </row>
    <row r="406" spans="1:131" x14ac:dyDescent="0.25">
      <c r="A406" s="7288" t="s">
        <v>4616</v>
      </c>
    </row>
    <row r="407" spans="1:131" x14ac:dyDescent="0.25">
      <c r="A407" s="7288" t="s">
        <v>4617</v>
      </c>
    </row>
    <row r="408" spans="1:131" x14ac:dyDescent="0.25">
      <c r="A408" s="7288" t="s">
        <v>4618</v>
      </c>
    </row>
    <row r="409" spans="1:131" x14ac:dyDescent="0.25">
      <c r="A409" s="7288" t="s">
        <v>4619</v>
      </c>
    </row>
    <row r="410" spans="1:131" x14ac:dyDescent="0.25">
      <c r="A410" s="7288" t="s">
        <v>4620</v>
      </c>
    </row>
    <row r="411" spans="1:131" s="5293" customFormat="1" hidden="1" x14ac:dyDescent="0.25">
      <c r="B411" s="5293">
        <f>SUM(D11:D14,D18:G31,D35,D59,C82,D85,D90:D93,D98:D101,D106,D111:D119,D124:D131,D136:D140,D153,D166,D173,D174:D177,D183,D185:D227,D231,D233:D275,D280:D283,D288,D311:D321,D326:D328,C333:C334,D339:D348,C359,C364,D373,C383)</f>
        <v>0</v>
      </c>
      <c r="C411" s="5293">
        <f>SUM(DB10:EA383)</f>
        <v>58</v>
      </c>
      <c r="AY411" s="4470"/>
      <c r="AZ411" s="4470"/>
      <c r="BA411" s="4470"/>
      <c r="CB411" s="6735"/>
      <c r="CC411" s="6735"/>
      <c r="CD411" s="6735"/>
      <c r="CE411" s="6735"/>
      <c r="CF411" s="6735"/>
      <c r="CG411" s="6735"/>
      <c r="CH411" s="6735"/>
      <c r="CI411" s="6735"/>
      <c r="CJ411" s="6735"/>
      <c r="CK411" s="6735"/>
      <c r="CL411" s="6735"/>
      <c r="CM411" s="6735"/>
      <c r="CN411" s="6735"/>
      <c r="CO411" s="6735"/>
      <c r="CP411" s="6735"/>
      <c r="CQ411" s="6735"/>
      <c r="CR411" s="6735"/>
      <c r="CS411" s="6735"/>
      <c r="CT411" s="6735"/>
      <c r="CU411" s="6735"/>
      <c r="CV411" s="6735"/>
      <c r="CW411" s="6735"/>
      <c r="CX411" s="6735"/>
      <c r="CY411" s="6735"/>
      <c r="CZ411" s="6735"/>
      <c r="DA411" s="6735"/>
      <c r="DB411" s="6735"/>
      <c r="DC411" s="6735"/>
      <c r="DD411" s="6735"/>
      <c r="DE411" s="6735"/>
      <c r="DF411" s="6735"/>
      <c r="DG411" s="6735"/>
      <c r="DH411" s="6735"/>
      <c r="DI411" s="6735"/>
      <c r="DJ411" s="6735"/>
      <c r="DK411" s="6735"/>
      <c r="DL411" s="6735"/>
      <c r="DM411" s="6735"/>
      <c r="DN411" s="6735"/>
      <c r="DO411" s="6735"/>
      <c r="DP411" s="6735"/>
      <c r="DQ411" s="6735"/>
      <c r="DR411" s="6735"/>
      <c r="DS411" s="6735"/>
      <c r="DT411" s="6735"/>
      <c r="DU411" s="6735"/>
      <c r="DV411" s="6735"/>
      <c r="DW411" s="6735"/>
      <c r="DX411" s="6735"/>
      <c r="DY411" s="6735"/>
      <c r="DZ411" s="6735"/>
      <c r="EA411" s="6735"/>
    </row>
    <row r="412" spans="1:131" x14ac:dyDescent="0.25">
      <c r="A412" s="7259" t="s">
        <v>4386</v>
      </c>
    </row>
    <row r="413" spans="1:131" x14ac:dyDescent="0.25">
      <c r="A413" s="7259" t="s">
        <v>4406</v>
      </c>
    </row>
    <row r="414" spans="1:131" x14ac:dyDescent="0.25">
      <c r="A414" s="7259" t="s">
        <v>4434</v>
      </c>
    </row>
    <row r="415" spans="1:131" x14ac:dyDescent="0.25">
      <c r="A415" s="7259" t="s">
        <v>4435</v>
      </c>
    </row>
    <row r="416" spans="1:131" x14ac:dyDescent="0.25">
      <c r="A416" s="7259" t="s">
        <v>4437</v>
      </c>
    </row>
    <row r="417" spans="1:1" x14ac:dyDescent="0.25">
      <c r="A417" s="7259" t="s">
        <v>4443</v>
      </c>
    </row>
    <row r="418" spans="1:1" x14ac:dyDescent="0.25">
      <c r="A418" s="7259" t="s">
        <v>4444</v>
      </c>
    </row>
    <row r="419" spans="1:1" x14ac:dyDescent="0.25">
      <c r="A419" s="7259" t="s">
        <v>4487</v>
      </c>
    </row>
    <row r="420" spans="1:1" x14ac:dyDescent="0.25">
      <c r="A420" s="7259" t="s">
        <v>4488</v>
      </c>
    </row>
    <row r="421" spans="1:1" x14ac:dyDescent="0.25">
      <c r="A421" s="7259" t="s">
        <v>4489</v>
      </c>
    </row>
    <row r="422" spans="1:1" x14ac:dyDescent="0.25">
      <c r="A422" s="4258" t="s">
        <v>4069</v>
      </c>
    </row>
    <row r="423" spans="1:1" x14ac:dyDescent="0.25">
      <c r="A423" s="7292" t="s">
        <v>4622</v>
      </c>
    </row>
    <row r="424" spans="1:1" x14ac:dyDescent="0.25">
      <c r="A424" s="7292" t="s">
        <v>4623</v>
      </c>
    </row>
    <row r="425" spans="1:1" x14ac:dyDescent="0.25">
      <c r="A425" s="7292" t="s">
        <v>4624</v>
      </c>
    </row>
    <row r="426" spans="1:1" x14ac:dyDescent="0.25">
      <c r="A426" s="7292" t="s">
        <v>4625</v>
      </c>
    </row>
    <row r="427" spans="1:1" x14ac:dyDescent="0.25">
      <c r="A427" s="7292" t="s">
        <v>4626</v>
      </c>
    </row>
    <row r="428" spans="1:1" x14ac:dyDescent="0.25">
      <c r="A428" s="7292" t="s">
        <v>4627</v>
      </c>
    </row>
    <row r="429" spans="1:1" x14ac:dyDescent="0.25">
      <c r="A429" s="7292" t="s">
        <v>4628</v>
      </c>
    </row>
    <row r="430" spans="1:1" x14ac:dyDescent="0.25">
      <c r="A430" s="7292" t="s">
        <v>4629</v>
      </c>
    </row>
    <row r="431" spans="1:1" x14ac:dyDescent="0.25">
      <c r="A431" s="7292" t="s">
        <v>4630</v>
      </c>
    </row>
    <row r="432" spans="1:1" x14ac:dyDescent="0.25">
      <c r="A432" s="7292" t="s">
        <v>4631</v>
      </c>
    </row>
    <row r="433" spans="1:1" x14ac:dyDescent="0.25">
      <c r="A433" s="7292" t="s">
        <v>4632</v>
      </c>
    </row>
    <row r="434" spans="1:1" x14ac:dyDescent="0.25">
      <c r="A434" s="7292" t="s">
        <v>4633</v>
      </c>
    </row>
    <row r="435" spans="1:1" x14ac:dyDescent="0.25">
      <c r="A435" s="7292" t="s">
        <v>4634</v>
      </c>
    </row>
    <row r="436" spans="1:1" x14ac:dyDescent="0.25">
      <c r="A436" s="7292" t="s">
        <v>4635</v>
      </c>
    </row>
    <row r="437" spans="1:1" x14ac:dyDescent="0.25">
      <c r="A437" s="7292" t="s">
        <v>4636</v>
      </c>
    </row>
    <row r="438" spans="1:1" x14ac:dyDescent="0.25">
      <c r="A438" s="7292" t="s">
        <v>4637</v>
      </c>
    </row>
    <row r="439" spans="1:1" x14ac:dyDescent="0.25">
      <c r="A439" s="7288" t="s">
        <v>4608</v>
      </c>
    </row>
    <row r="440" spans="1:1" x14ac:dyDescent="0.25">
      <c r="A440" s="7288" t="s">
        <v>4609</v>
      </c>
    </row>
    <row r="441" spans="1:1" x14ac:dyDescent="0.25">
      <c r="A441" s="7288" t="s">
        <v>4610</v>
      </c>
    </row>
    <row r="442" spans="1:1" x14ac:dyDescent="0.25">
      <c r="A442" s="7288" t="s">
        <v>4611</v>
      </c>
    </row>
    <row r="443" spans="1:1" x14ac:dyDescent="0.25">
      <c r="A443" s="7288" t="s">
        <v>4612</v>
      </c>
    </row>
    <row r="444" spans="1:1" x14ac:dyDescent="0.25">
      <c r="A444" s="7288" t="s">
        <v>4613</v>
      </c>
    </row>
  </sheetData>
  <protectedRanges>
    <protectedRange sqref="F364:AO364 G370:AP372" name="Rango1_2"/>
  </protectedRanges>
  <mergeCells count="554">
    <mergeCell ref="AX229:AX230"/>
    <mergeCell ref="AY229:AY230"/>
    <mergeCell ref="AX308:AX310"/>
    <mergeCell ref="AW308:AW310"/>
    <mergeCell ref="AU308:AU310"/>
    <mergeCell ref="G308:AR308"/>
    <mergeCell ref="AS308:AT309"/>
    <mergeCell ref="AN121:AN123"/>
    <mergeCell ref="AM121:AM123"/>
    <mergeCell ref="AI121:AL121"/>
    <mergeCell ref="AG134:AH134"/>
    <mergeCell ref="O155:Q155"/>
    <mergeCell ref="G155:H155"/>
    <mergeCell ref="AC134:AD134"/>
    <mergeCell ref="AE122:AF122"/>
    <mergeCell ref="Y181:Z181"/>
    <mergeCell ref="AV308:AV310"/>
    <mergeCell ref="AK278:AL278"/>
    <mergeCell ref="AK286:AL286"/>
    <mergeCell ref="AK309:AL309"/>
    <mergeCell ref="AM309:AN309"/>
    <mergeCell ref="AS181:AS182"/>
    <mergeCell ref="AQ181:AR181"/>
    <mergeCell ref="AO181:AO182"/>
    <mergeCell ref="V33:V34"/>
    <mergeCell ref="B79:C79"/>
    <mergeCell ref="AW181:AX181"/>
    <mergeCell ref="R330:S331"/>
    <mergeCell ref="AU181:AV181"/>
    <mergeCell ref="AO277:AO279"/>
    <mergeCell ref="AO286:AO287"/>
    <mergeCell ref="AP277:AP279"/>
    <mergeCell ref="AV285:AV287"/>
    <mergeCell ref="AW285:AW287"/>
    <mergeCell ref="AV229:AV230"/>
    <mergeCell ref="AT229:AU229"/>
    <mergeCell ref="AO229:AQ229"/>
    <mergeCell ref="K168:L168"/>
    <mergeCell ref="M168:N168"/>
    <mergeCell ref="AO309:AP309"/>
    <mergeCell ref="AQ309:AR309"/>
    <mergeCell ref="AC309:AD309"/>
    <mergeCell ref="AE309:AF309"/>
    <mergeCell ref="AG309:AH309"/>
    <mergeCell ref="AI309:AJ309"/>
    <mergeCell ref="AK323:AK325"/>
    <mergeCell ref="AP134:AP135"/>
    <mergeCell ref="AQ134:AQ135"/>
    <mergeCell ref="AI108:AI110"/>
    <mergeCell ref="AJ108:AJ110"/>
    <mergeCell ref="B217:C217"/>
    <mergeCell ref="B216:C216"/>
    <mergeCell ref="B264:C264"/>
    <mergeCell ref="B265:C265"/>
    <mergeCell ref="Y286:Z286"/>
    <mergeCell ref="AC278:AD278"/>
    <mergeCell ref="AI229:AJ229"/>
    <mergeCell ref="W278:X278"/>
    <mergeCell ref="AE278:AF278"/>
    <mergeCell ref="G285:AN285"/>
    <mergeCell ref="AI286:AJ286"/>
    <mergeCell ref="AC286:AD286"/>
    <mergeCell ref="AE286:AF286"/>
    <mergeCell ref="AG286:AH286"/>
    <mergeCell ref="AA278:AB278"/>
    <mergeCell ref="I109:J109"/>
    <mergeCell ref="U286:V286"/>
    <mergeCell ref="W286:X286"/>
    <mergeCell ref="V152:W152"/>
    <mergeCell ref="B138:B139"/>
    <mergeCell ref="O142:O143"/>
    <mergeCell ref="D142:F142"/>
    <mergeCell ref="D375:K375"/>
    <mergeCell ref="L375:P375"/>
    <mergeCell ref="Q375:Q377"/>
    <mergeCell ref="D376:D377"/>
    <mergeCell ref="E376:E377"/>
    <mergeCell ref="F376:F377"/>
    <mergeCell ref="G376:G377"/>
    <mergeCell ref="H376:K376"/>
    <mergeCell ref="L376:L377"/>
    <mergeCell ref="M376:M377"/>
    <mergeCell ref="N376:N377"/>
    <mergeCell ref="O376:O377"/>
    <mergeCell ref="P376:P377"/>
    <mergeCell ref="U368:V368"/>
    <mergeCell ref="W368:X368"/>
    <mergeCell ref="Y368:Z368"/>
    <mergeCell ref="AA368:AB368"/>
    <mergeCell ref="AC368:AD368"/>
    <mergeCell ref="AE368:AF368"/>
    <mergeCell ref="AG368:AH368"/>
    <mergeCell ref="AI368:AJ368"/>
    <mergeCell ref="AK368:AL368"/>
    <mergeCell ref="AO361:AO363"/>
    <mergeCell ref="F362:G362"/>
    <mergeCell ref="H362:I362"/>
    <mergeCell ref="J362:K362"/>
    <mergeCell ref="L362:M362"/>
    <mergeCell ref="N362:O362"/>
    <mergeCell ref="P362:Q362"/>
    <mergeCell ref="R362:S362"/>
    <mergeCell ref="T362:U362"/>
    <mergeCell ref="V362:W362"/>
    <mergeCell ref="X362:Y362"/>
    <mergeCell ref="Z362:AA362"/>
    <mergeCell ref="AB362:AC362"/>
    <mergeCell ref="AD362:AE362"/>
    <mergeCell ref="AF362:AG362"/>
    <mergeCell ref="AH362:AI362"/>
    <mergeCell ref="AJ362:AK362"/>
    <mergeCell ref="AL362:AM362"/>
    <mergeCell ref="AN361:AN363"/>
    <mergeCell ref="D351:K351"/>
    <mergeCell ref="L351:P351"/>
    <mergeCell ref="Q351:Q353"/>
    <mergeCell ref="D352:D353"/>
    <mergeCell ref="E352:E353"/>
    <mergeCell ref="F352:F353"/>
    <mergeCell ref="G352:G353"/>
    <mergeCell ref="H352:K352"/>
    <mergeCell ref="L352:L353"/>
    <mergeCell ref="M352:M353"/>
    <mergeCell ref="N352:N353"/>
    <mergeCell ref="O352:O353"/>
    <mergeCell ref="P352:P353"/>
    <mergeCell ref="AK337:AK338"/>
    <mergeCell ref="AL337:AL338"/>
    <mergeCell ref="AM337:AM338"/>
    <mergeCell ref="AN336:AN338"/>
    <mergeCell ref="G324:H324"/>
    <mergeCell ref="I324:J324"/>
    <mergeCell ref="K324:L324"/>
    <mergeCell ref="AC181:AD181"/>
    <mergeCell ref="AE181:AF181"/>
    <mergeCell ref="AG181:AH181"/>
    <mergeCell ref="W229:X229"/>
    <mergeCell ref="I278:J278"/>
    <mergeCell ref="M229:N229"/>
    <mergeCell ref="AA229:AB229"/>
    <mergeCell ref="I229:J229"/>
    <mergeCell ref="AC324:AD324"/>
    <mergeCell ref="AE324:AF324"/>
    <mergeCell ref="AG324:AH324"/>
    <mergeCell ref="AI323:AJ324"/>
    <mergeCell ref="Q278:R278"/>
    <mergeCell ref="S278:T278"/>
    <mergeCell ref="U278:V278"/>
    <mergeCell ref="AJ336:AJ338"/>
    <mergeCell ref="S324:T324"/>
    <mergeCell ref="B375:B377"/>
    <mergeCell ref="C375:C377"/>
    <mergeCell ref="AM368:AN368"/>
    <mergeCell ref="B345:B348"/>
    <mergeCell ref="B365:AQ365"/>
    <mergeCell ref="B367:B369"/>
    <mergeCell ref="C367:C369"/>
    <mergeCell ref="D367:F368"/>
    <mergeCell ref="G367:AN367"/>
    <mergeCell ref="AO367:AO369"/>
    <mergeCell ref="AP367:AP369"/>
    <mergeCell ref="G368:H368"/>
    <mergeCell ref="I368:J368"/>
    <mergeCell ref="K368:L368"/>
    <mergeCell ref="M368:N368"/>
    <mergeCell ref="O368:P368"/>
    <mergeCell ref="Q368:R368"/>
    <mergeCell ref="S368:T368"/>
    <mergeCell ref="B370:B372"/>
    <mergeCell ref="B373:C373"/>
    <mergeCell ref="B361:B363"/>
    <mergeCell ref="C361:E362"/>
    <mergeCell ref="F361:AM361"/>
    <mergeCell ref="B351:B353"/>
    <mergeCell ref="P142:P143"/>
    <mergeCell ref="G168:H168"/>
    <mergeCell ref="AK336:AM336"/>
    <mergeCell ref="B330:B332"/>
    <mergeCell ref="F330:N330"/>
    <mergeCell ref="F331:G331"/>
    <mergeCell ref="H331:I331"/>
    <mergeCell ref="AA324:AB324"/>
    <mergeCell ref="O168:P168"/>
    <mergeCell ref="J331:K331"/>
    <mergeCell ref="L331:M331"/>
    <mergeCell ref="N331:O331"/>
    <mergeCell ref="U309:V309"/>
    <mergeCell ref="B308:C310"/>
    <mergeCell ref="B311:B312"/>
    <mergeCell ref="D285:F286"/>
    <mergeCell ref="G286:H286"/>
    <mergeCell ref="I286:J286"/>
    <mergeCell ref="AL323:AL325"/>
    <mergeCell ref="G336:AH336"/>
    <mergeCell ref="M278:N278"/>
    <mergeCell ref="AE229:AF229"/>
    <mergeCell ref="AG229:AH229"/>
    <mergeCell ref="U229:V229"/>
    <mergeCell ref="AP181:AP182"/>
    <mergeCell ref="AA181:AB181"/>
    <mergeCell ref="X152:Y152"/>
    <mergeCell ref="U181:V181"/>
    <mergeCell ref="B119:C119"/>
    <mergeCell ref="K181:L181"/>
    <mergeCell ref="M181:N181"/>
    <mergeCell ref="Q181:R181"/>
    <mergeCell ref="O181:P181"/>
    <mergeCell ref="D168:F168"/>
    <mergeCell ref="B170:B173"/>
    <mergeCell ref="AO134:AO135"/>
    <mergeCell ref="AO133:AQ133"/>
    <mergeCell ref="AM134:AN134"/>
    <mergeCell ref="B155:C156"/>
    <mergeCell ref="I155:J155"/>
    <mergeCell ref="M155:N155"/>
    <mergeCell ref="B165:C165"/>
    <mergeCell ref="I168:J168"/>
    <mergeCell ref="B121:C123"/>
    <mergeCell ref="D121:F122"/>
    <mergeCell ref="Y134:Z134"/>
    <mergeCell ref="K155:L155"/>
    <mergeCell ref="AA122:AB122"/>
    <mergeCell ref="B24:C24"/>
    <mergeCell ref="G16:G17"/>
    <mergeCell ref="AI134:AJ134"/>
    <mergeCell ref="AK134:AL134"/>
    <mergeCell ref="AI122:AI123"/>
    <mergeCell ref="AJ122:AJ123"/>
    <mergeCell ref="AK122:AK123"/>
    <mergeCell ref="M134:N134"/>
    <mergeCell ref="S134:T134"/>
    <mergeCell ref="AE134:AF134"/>
    <mergeCell ref="D103:F104"/>
    <mergeCell ref="D133:F134"/>
    <mergeCell ref="I134:J134"/>
    <mergeCell ref="K134:L134"/>
    <mergeCell ref="AC122:AD122"/>
    <mergeCell ref="Q134:R134"/>
    <mergeCell ref="B112:B118"/>
    <mergeCell ref="S122:T122"/>
    <mergeCell ref="Q122:R122"/>
    <mergeCell ref="S109:T109"/>
    <mergeCell ref="U109:V109"/>
    <mergeCell ref="B133:C135"/>
    <mergeCell ref="U134:V134"/>
    <mergeCell ref="G121:AH121"/>
    <mergeCell ref="B25:C25"/>
    <mergeCell ref="B28:C28"/>
    <mergeCell ref="B49:C49"/>
    <mergeCell ref="B6:Q6"/>
    <mergeCell ref="B9:C10"/>
    <mergeCell ref="D9:D10"/>
    <mergeCell ref="B11:C11"/>
    <mergeCell ref="B27:C27"/>
    <mergeCell ref="B33:C34"/>
    <mergeCell ref="B18:C18"/>
    <mergeCell ref="B12:C12"/>
    <mergeCell ref="B13:C13"/>
    <mergeCell ref="B20:C20"/>
    <mergeCell ref="B16:C17"/>
    <mergeCell ref="F16:F17"/>
    <mergeCell ref="E9:N9"/>
    <mergeCell ref="D33:D34"/>
    <mergeCell ref="B14:C14"/>
    <mergeCell ref="B19:C19"/>
    <mergeCell ref="Q9:Q10"/>
    <mergeCell ref="O9:O10"/>
    <mergeCell ref="P9:P10"/>
    <mergeCell ref="B23:C23"/>
    <mergeCell ref="B21:C21"/>
    <mergeCell ref="B22:C22"/>
    <mergeCell ref="B31:C31"/>
    <mergeCell ref="B26:C26"/>
    <mergeCell ref="D16:D17"/>
    <mergeCell ref="E16:E17"/>
    <mergeCell ref="B38:B44"/>
    <mergeCell ref="B316:C316"/>
    <mergeCell ref="D323:F324"/>
    <mergeCell ref="M324:N324"/>
    <mergeCell ref="B280:B281"/>
    <mergeCell ref="G323:AH323"/>
    <mergeCell ref="B247:B251"/>
    <mergeCell ref="B236:B237"/>
    <mergeCell ref="G278:H278"/>
    <mergeCell ref="Q324:R324"/>
    <mergeCell ref="B191:B198"/>
    <mergeCell ref="D181:F181"/>
    <mergeCell ref="O229:P229"/>
    <mergeCell ref="Q229:R229"/>
    <mergeCell ref="G181:H181"/>
    <mergeCell ref="I181:J181"/>
    <mergeCell ref="R152:S152"/>
    <mergeCell ref="T152:U152"/>
    <mergeCell ref="B140:C140"/>
    <mergeCell ref="S57:S58"/>
    <mergeCell ref="M142:N142"/>
    <mergeCell ref="O134:P134"/>
    <mergeCell ref="B103:C105"/>
    <mergeCell ref="I104:J104"/>
    <mergeCell ref="K104:L104"/>
    <mergeCell ref="B315:C315"/>
    <mergeCell ref="B313:C313"/>
    <mergeCell ref="C277:C279"/>
    <mergeCell ref="B314:C314"/>
    <mergeCell ref="D277:F278"/>
    <mergeCell ref="B57:C58"/>
    <mergeCell ref="B142:C143"/>
    <mergeCell ref="G142:H142"/>
    <mergeCell ref="I142:J142"/>
    <mergeCell ref="B136:C136"/>
    <mergeCell ref="B62:B68"/>
    <mergeCell ref="K109:L109"/>
    <mergeCell ref="B137:C137"/>
    <mergeCell ref="B144:B146"/>
    <mergeCell ref="B147:C147"/>
    <mergeCell ref="D155:F155"/>
    <mergeCell ref="B157:B159"/>
    <mergeCell ref="K278:L278"/>
    <mergeCell ref="B29:C29"/>
    <mergeCell ref="B30:C30"/>
    <mergeCell ref="B77:B78"/>
    <mergeCell ref="D57:D58"/>
    <mergeCell ref="B60:C60"/>
    <mergeCell ref="B61:C61"/>
    <mergeCell ref="B73:C73"/>
    <mergeCell ref="B74:C74"/>
    <mergeCell ref="B55:C55"/>
    <mergeCell ref="B50:C50"/>
    <mergeCell ref="B53:B54"/>
    <mergeCell ref="B35:C35"/>
    <mergeCell ref="B36:C36"/>
    <mergeCell ref="B37:C37"/>
    <mergeCell ref="B45:B46"/>
    <mergeCell ref="B47:B48"/>
    <mergeCell ref="B69:B70"/>
    <mergeCell ref="B71:B72"/>
    <mergeCell ref="B59:C59"/>
    <mergeCell ref="B51:B52"/>
    <mergeCell ref="B75:B76"/>
    <mergeCell ref="AT285:AT287"/>
    <mergeCell ref="AR285:AS286"/>
    <mergeCell ref="Q286:R286"/>
    <mergeCell ref="S286:T286"/>
    <mergeCell ref="B298:B306"/>
    <mergeCell ref="D308:F309"/>
    <mergeCell ref="AO285:AQ285"/>
    <mergeCell ref="B288:C288"/>
    <mergeCell ref="O286:P286"/>
    <mergeCell ref="S309:T309"/>
    <mergeCell ref="K309:L309"/>
    <mergeCell ref="K286:L286"/>
    <mergeCell ref="M286:N286"/>
    <mergeCell ref="AA309:AB309"/>
    <mergeCell ref="W309:X309"/>
    <mergeCell ref="AM286:AN286"/>
    <mergeCell ref="AA286:AB286"/>
    <mergeCell ref="Q309:R309"/>
    <mergeCell ref="B285:C287"/>
    <mergeCell ref="B289:B297"/>
    <mergeCell ref="AP286:AP287"/>
    <mergeCell ref="AQ286:AQ287"/>
    <mergeCell ref="Y309:Z309"/>
    <mergeCell ref="M309:N309"/>
    <mergeCell ref="B84:C84"/>
    <mergeCell ref="B85:C85"/>
    <mergeCell ref="B92:C92"/>
    <mergeCell ref="B93:C93"/>
    <mergeCell ref="B152:C152"/>
    <mergeCell ref="B187:C187"/>
    <mergeCell ref="B161:B164"/>
    <mergeCell ref="B232:C232"/>
    <mergeCell ref="B160:C160"/>
    <mergeCell ref="B181:C182"/>
    <mergeCell ref="B166:C166"/>
    <mergeCell ref="B220:C220"/>
    <mergeCell ref="B226:C226"/>
    <mergeCell ref="B227:C227"/>
    <mergeCell ref="B185:B186"/>
    <mergeCell ref="B183:C183"/>
    <mergeCell ref="B99:C99"/>
    <mergeCell ref="B100:C100"/>
    <mergeCell ref="B101:C101"/>
    <mergeCell ref="B208:B212"/>
    <mergeCell ref="B218:C218"/>
    <mergeCell ref="B188:B189"/>
    <mergeCell ref="B184:C184"/>
    <mergeCell ref="B153:C153"/>
    <mergeCell ref="U337:V337"/>
    <mergeCell ref="W337:X337"/>
    <mergeCell ref="Y337:Z337"/>
    <mergeCell ref="AA337:AB337"/>
    <mergeCell ref="AC337:AD337"/>
    <mergeCell ref="AE337:AF337"/>
    <mergeCell ref="AG337:AH337"/>
    <mergeCell ref="Q337:R337"/>
    <mergeCell ref="M337:N337"/>
    <mergeCell ref="S337:T337"/>
    <mergeCell ref="AE109:AF109"/>
    <mergeCell ref="AG109:AH109"/>
    <mergeCell ref="AC109:AD109"/>
    <mergeCell ref="S87:T87"/>
    <mergeCell ref="U87:V87"/>
    <mergeCell ref="O96:P96"/>
    <mergeCell ref="V96:W96"/>
    <mergeCell ref="G104:H104"/>
    <mergeCell ref="S88:T88"/>
    <mergeCell ref="U88:V88"/>
    <mergeCell ref="M109:N109"/>
    <mergeCell ref="Q109:R109"/>
    <mergeCell ref="I88:J88"/>
    <mergeCell ref="M88:N88"/>
    <mergeCell ref="M96:N96"/>
    <mergeCell ref="O88:P88"/>
    <mergeCell ref="Y109:Z109"/>
    <mergeCell ref="Q88:R88"/>
    <mergeCell ref="G109:H109"/>
    <mergeCell ref="AA109:AB109"/>
    <mergeCell ref="G108:AH108"/>
    <mergeCell ref="S95:W95"/>
    <mergeCell ref="Z87:AA88"/>
    <mergeCell ref="D87:F88"/>
    <mergeCell ref="G134:H134"/>
    <mergeCell ref="B91:C91"/>
    <mergeCell ref="B168:C169"/>
    <mergeCell ref="B106:C106"/>
    <mergeCell ref="B90:C90"/>
    <mergeCell ref="G88:H88"/>
    <mergeCell ref="B87:C89"/>
    <mergeCell ref="D95:F96"/>
    <mergeCell ref="B95:C97"/>
    <mergeCell ref="B124:C124"/>
    <mergeCell ref="G103:N103"/>
    <mergeCell ref="D108:F109"/>
    <mergeCell ref="B108:C110"/>
    <mergeCell ref="B111:C111"/>
    <mergeCell ref="B125:B131"/>
    <mergeCell ref="K88:L88"/>
    <mergeCell ref="K142:L142"/>
    <mergeCell ref="B148:B151"/>
    <mergeCell ref="B98:C98"/>
    <mergeCell ref="K96:L96"/>
    <mergeCell ref="O309:P309"/>
    <mergeCell ref="O278:P278"/>
    <mergeCell ref="Y278:Z278"/>
    <mergeCell ref="Y324:Z324"/>
    <mergeCell ref="B252:B255"/>
    <mergeCell ref="B256:B260"/>
    <mergeCell ref="K229:L229"/>
    <mergeCell ref="D229:F229"/>
    <mergeCell ref="G229:H229"/>
    <mergeCell ref="G309:H309"/>
    <mergeCell ref="G277:AL277"/>
    <mergeCell ref="AG278:AH278"/>
    <mergeCell ref="AI278:AJ278"/>
    <mergeCell ref="AC229:AD229"/>
    <mergeCell ref="U324:V324"/>
    <mergeCell ref="W324:X324"/>
    <mergeCell ref="O324:P324"/>
    <mergeCell ref="Y122:Z122"/>
    <mergeCell ref="AL122:AL123"/>
    <mergeCell ref="AT181:AT182"/>
    <mergeCell ref="AN277:AN279"/>
    <mergeCell ref="AS133:AS135"/>
    <mergeCell ref="S181:T181"/>
    <mergeCell ref="AA134:AB134"/>
    <mergeCell ref="Q168:Q169"/>
    <mergeCell ref="R168:R169"/>
    <mergeCell ref="R155:R156"/>
    <mergeCell ref="S155:S156"/>
    <mergeCell ref="W134:X134"/>
    <mergeCell ref="Z152:AA152"/>
    <mergeCell ref="AR133:AR135"/>
    <mergeCell ref="AI181:AJ181"/>
    <mergeCell ref="AK181:AL181"/>
    <mergeCell ref="W181:X181"/>
    <mergeCell ref="AM181:AN181"/>
    <mergeCell ref="AM229:AN229"/>
    <mergeCell ref="AR229:AR230"/>
    <mergeCell ref="AK229:AL229"/>
    <mergeCell ref="AM277:AM279"/>
    <mergeCell ref="Y229:Z229"/>
    <mergeCell ref="AG122:AH122"/>
    <mergeCell ref="AI336:AI338"/>
    <mergeCell ref="AW229:AW230"/>
    <mergeCell ref="AS229:AS230"/>
    <mergeCell ref="AU285:AU287"/>
    <mergeCell ref="S33:S34"/>
    <mergeCell ref="T33:T34"/>
    <mergeCell ref="U33:U34"/>
    <mergeCell ref="G87:R87"/>
    <mergeCell ref="U122:V122"/>
    <mergeCell ref="W122:X122"/>
    <mergeCell ref="O109:P109"/>
    <mergeCell ref="G122:H122"/>
    <mergeCell ref="I122:J122"/>
    <mergeCell ref="K122:L122"/>
    <mergeCell ref="M122:N122"/>
    <mergeCell ref="O122:P122"/>
    <mergeCell ref="W109:X109"/>
    <mergeCell ref="W87:Y87"/>
    <mergeCell ref="W88:Y88"/>
    <mergeCell ref="S96:U96"/>
    <mergeCell ref="G95:R95"/>
    <mergeCell ref="G96:H96"/>
    <mergeCell ref="I96:J96"/>
    <mergeCell ref="E33:Q33"/>
    <mergeCell ref="C351:C353"/>
    <mergeCell ref="P330:P332"/>
    <mergeCell ref="Q330:Q332"/>
    <mergeCell ref="B269:B273"/>
    <mergeCell ref="B261:B263"/>
    <mergeCell ref="B233:B234"/>
    <mergeCell ref="B204:B207"/>
    <mergeCell ref="B213:B215"/>
    <mergeCell ref="B239:B246"/>
    <mergeCell ref="B231:C231"/>
    <mergeCell ref="B235:C235"/>
    <mergeCell ref="B219:C219"/>
    <mergeCell ref="B221:B225"/>
    <mergeCell ref="B317:B321"/>
    <mergeCell ref="O337:P337"/>
    <mergeCell ref="G337:H337"/>
    <mergeCell ref="I337:J337"/>
    <mergeCell ref="K337:L337"/>
    <mergeCell ref="B327:C327"/>
    <mergeCell ref="B328:C328"/>
    <mergeCell ref="B323:C325"/>
    <mergeCell ref="B277:B279"/>
    <mergeCell ref="B282:B283"/>
    <mergeCell ref="I309:J309"/>
    <mergeCell ref="R9:R10"/>
    <mergeCell ref="S9:S10"/>
    <mergeCell ref="B326:C326"/>
    <mergeCell ref="C330:E331"/>
    <mergeCell ref="B339:B341"/>
    <mergeCell ref="B342:B344"/>
    <mergeCell ref="B229:C230"/>
    <mergeCell ref="B275:C275"/>
    <mergeCell ref="B274:C274"/>
    <mergeCell ref="B268:C268"/>
    <mergeCell ref="B267:C267"/>
    <mergeCell ref="B266:C266"/>
    <mergeCell ref="B336:B338"/>
    <mergeCell ref="D336:F337"/>
    <mergeCell ref="C336:C338"/>
    <mergeCell ref="E57:Q57"/>
    <mergeCell ref="B199:B203"/>
    <mergeCell ref="B174:B177"/>
    <mergeCell ref="R33:R34"/>
    <mergeCell ref="Q96:R96"/>
    <mergeCell ref="R57:R58"/>
    <mergeCell ref="S229:T229"/>
    <mergeCell ref="M104:N104"/>
    <mergeCell ref="G133:AN133"/>
  </mergeCells>
  <phoneticPr fontId="44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EC208"/>
  <sheetViews>
    <sheetView showGridLines="0" topLeftCell="A3" zoomScaleNormal="100" workbookViewId="0">
      <selection activeCell="A3" sqref="A3"/>
    </sheetView>
  </sheetViews>
  <sheetFormatPr baseColWidth="10" defaultColWidth="11.44140625" defaultRowHeight="13.8" x14ac:dyDescent="0.25"/>
  <cols>
    <col min="1" max="1" width="15.33203125" style="4258" customWidth="1"/>
    <col min="2" max="2" width="48.109375" style="4258" customWidth="1"/>
    <col min="3" max="3" width="32.109375" style="4258" customWidth="1"/>
    <col min="4" max="5" width="18.88671875" style="4258" customWidth="1"/>
    <col min="6" max="6" width="17.109375" style="4258" customWidth="1"/>
    <col min="7" max="7" width="13.88671875" style="4258" customWidth="1"/>
    <col min="8" max="8" width="14.109375" style="4258" customWidth="1"/>
    <col min="9" max="9" width="13.44140625" style="4258" customWidth="1"/>
    <col min="10" max="10" width="12.109375" style="4258" customWidth="1"/>
    <col min="11" max="11" width="12.33203125" style="4258" customWidth="1"/>
    <col min="12" max="14" width="12" style="4258" customWidth="1"/>
    <col min="15" max="46" width="11.44140625" style="4258"/>
    <col min="47" max="47" width="11" style="4258" customWidth="1"/>
    <col min="48" max="74" width="11.44140625" style="4258"/>
    <col min="75" max="76" width="12.109375" style="4258" customWidth="1"/>
    <col min="77" max="78" width="12.109375" style="4259" customWidth="1"/>
    <col min="79" max="79" width="12.33203125" style="4259" customWidth="1"/>
    <col min="80" max="105" width="12.33203125" style="4295" customWidth="1"/>
    <col min="106" max="106" width="12.33203125" style="5832" customWidth="1"/>
    <col min="107" max="131" width="11.44140625" style="5832" customWidth="1"/>
    <col min="132" max="16384" width="11.44140625" style="4258"/>
  </cols>
  <sheetData>
    <row r="1" spans="1:123" ht="16.350000000000001" customHeight="1" x14ac:dyDescent="0.25">
      <c r="B1" s="3807" t="s">
        <v>207</v>
      </c>
    </row>
    <row r="2" spans="1:123" ht="16.350000000000001" customHeight="1" x14ac:dyDescent="0.25">
      <c r="B2" s="3807" t="str">
        <f>CONCATENATE("COMUNA: ",NOMBRE!B2," - ","( ",NOMBRE!C2,NOMBRE!D2,NOMBRE!E2,NOMBRE!F2,NOMBRE!G2," )")</f>
        <v>COMUNA:  - (  )</v>
      </c>
    </row>
    <row r="3" spans="1:123" ht="16.350000000000001" customHeight="1" x14ac:dyDescent="0.25">
      <c r="B3" s="3807" t="str">
        <f>CONCATENATE("ESTABLECIMIENTO/ESTRATEGIA: ",NOMBRE!B3," - ","( ",NOMBRE!C3,NOMBRE!D3,NOMBRE!E3,NOMBRE!F3,NOMBRE!G3,NOMBRE!H3," )")</f>
        <v>ESTABLECIMIENTO/ESTRATEGIA:  - (  )</v>
      </c>
    </row>
    <row r="4" spans="1:123" ht="16.350000000000001" customHeight="1" x14ac:dyDescent="0.25">
      <c r="B4" s="3807" t="str">
        <f>CONCATENATE("MES: ",NOMBRE!B6," - ","( ",NOMBRE!C6,NOMBRE!D6," )")</f>
        <v>MES:  - (  )</v>
      </c>
    </row>
    <row r="5" spans="1:123" ht="16.350000000000001" customHeight="1" x14ac:dyDescent="0.25">
      <c r="B5" s="3807" t="str">
        <f>CONCATENATE("AÑO: ",NOMBRE!B7)</f>
        <v>AÑO: 2023</v>
      </c>
    </row>
    <row r="6" spans="1:123" ht="16.2" x14ac:dyDescent="0.25">
      <c r="B6" s="9268" t="s">
        <v>1594</v>
      </c>
      <c r="C6" s="9268"/>
      <c r="D6" s="9268"/>
      <c r="E6" s="9268"/>
      <c r="F6" s="9268"/>
      <c r="G6" s="9268"/>
      <c r="H6" s="9268"/>
      <c r="I6" s="9268"/>
      <c r="J6" s="9268"/>
      <c r="K6" s="9268"/>
      <c r="L6" s="9268"/>
      <c r="M6" s="9268"/>
      <c r="N6" s="9268"/>
      <c r="O6" s="9268"/>
      <c r="P6" s="9268"/>
      <c r="Q6" s="9268"/>
      <c r="R6" s="9268"/>
      <c r="S6" s="9268"/>
      <c r="T6" s="9268"/>
      <c r="U6" s="9268"/>
      <c r="V6" s="9268"/>
      <c r="W6" s="9268"/>
      <c r="X6" s="9268"/>
      <c r="Y6" s="3940"/>
      <c r="Z6" s="3940"/>
      <c r="AA6" s="3940"/>
      <c r="AB6" s="3940"/>
      <c r="AC6" s="3940"/>
      <c r="AD6" s="3940"/>
      <c r="AE6" s="3940"/>
      <c r="AF6" s="3940"/>
      <c r="AG6" s="3940"/>
      <c r="AH6" s="3940"/>
      <c r="AI6" s="3940"/>
      <c r="AJ6" s="3940"/>
      <c r="AK6" s="3940"/>
      <c r="AL6" s="3940"/>
      <c r="AM6" s="3940"/>
      <c r="AN6" s="3940"/>
      <c r="AO6" s="3940"/>
      <c r="AP6" s="3940"/>
      <c r="AQ6" s="3940"/>
    </row>
    <row r="7" spans="1:123" ht="16.2" x14ac:dyDescent="0.25">
      <c r="B7" s="3804"/>
      <c r="C7" s="3804"/>
      <c r="D7" s="3804"/>
      <c r="E7" s="3804"/>
      <c r="F7" s="3804"/>
      <c r="G7" s="3804"/>
      <c r="H7" s="3804"/>
      <c r="I7" s="3804"/>
      <c r="J7" s="3804"/>
      <c r="K7" s="3804"/>
      <c r="L7" s="3804"/>
      <c r="M7" s="3804"/>
      <c r="N7" s="3804"/>
      <c r="O7" s="3804"/>
      <c r="P7" s="3804"/>
      <c r="Q7" s="3804"/>
      <c r="R7" s="3804"/>
      <c r="S7" s="3804"/>
      <c r="T7" s="3804"/>
      <c r="U7" s="3804"/>
      <c r="V7" s="3804"/>
      <c r="W7" s="3804"/>
      <c r="X7" s="3804"/>
      <c r="Y7" s="3940"/>
      <c r="Z7" s="3940"/>
      <c r="AA7" s="3940"/>
      <c r="AB7" s="3940"/>
      <c r="AC7" s="3940"/>
      <c r="AD7" s="3940"/>
      <c r="AE7" s="3940"/>
      <c r="AF7" s="3940"/>
      <c r="AG7" s="3940"/>
      <c r="AH7" s="3940"/>
      <c r="AI7" s="3940"/>
      <c r="AJ7" s="3940"/>
      <c r="AK7" s="3940"/>
      <c r="AL7" s="3940"/>
      <c r="AM7" s="3940"/>
      <c r="AN7" s="3940"/>
      <c r="AO7" s="3940"/>
      <c r="AP7" s="3940"/>
      <c r="AQ7" s="3940"/>
    </row>
    <row r="8" spans="1:123" ht="31.35" customHeight="1" x14ac:dyDescent="0.3">
      <c r="B8" s="5833"/>
      <c r="C8" s="4267"/>
      <c r="D8" s="4267"/>
      <c r="E8" s="4267"/>
      <c r="F8" s="4267"/>
      <c r="G8" s="4267"/>
      <c r="H8" s="4267"/>
      <c r="I8" s="4267"/>
      <c r="J8" s="5834"/>
      <c r="K8" s="4267"/>
      <c r="L8" s="5835"/>
      <c r="M8" s="4267"/>
      <c r="N8" s="3940"/>
      <c r="O8" s="3940"/>
      <c r="P8" s="3940"/>
      <c r="Q8" s="3940"/>
      <c r="R8" s="3940"/>
      <c r="S8" s="3940"/>
      <c r="T8" s="3940"/>
      <c r="U8" s="3940"/>
      <c r="V8" s="3940"/>
      <c r="W8" s="5836"/>
      <c r="X8" s="3940"/>
      <c r="Y8" s="3940"/>
      <c r="Z8" s="3940"/>
      <c r="AA8" s="3940"/>
      <c r="AB8" s="3940"/>
      <c r="AC8" s="3940"/>
      <c r="AD8" s="3940"/>
      <c r="AE8" s="3940"/>
      <c r="AF8" s="3940"/>
      <c r="AG8" s="3940"/>
      <c r="AH8" s="3940"/>
      <c r="AI8" s="3940"/>
      <c r="AJ8" s="3940"/>
      <c r="AK8" s="3940"/>
      <c r="AL8" s="3940"/>
      <c r="AM8" s="3940"/>
      <c r="AN8" s="3940"/>
      <c r="AO8" s="3940"/>
      <c r="AP8" s="3940"/>
      <c r="AQ8" s="3940"/>
    </row>
    <row r="9" spans="1:123" ht="31.35" customHeight="1" x14ac:dyDescent="0.3">
      <c r="B9" s="5138" t="s">
        <v>1593</v>
      </c>
      <c r="C9" s="5837"/>
      <c r="D9" s="5837"/>
      <c r="E9" s="5837"/>
      <c r="F9" s="5837"/>
      <c r="G9" s="5837"/>
      <c r="H9" s="5837"/>
      <c r="I9" s="5837"/>
      <c r="J9" s="5837"/>
      <c r="K9" s="5837"/>
      <c r="L9" s="5838"/>
      <c r="M9" s="5837"/>
      <c r="N9" s="3807"/>
      <c r="O9" s="3807"/>
      <c r="P9" s="3940"/>
      <c r="Q9" s="3940"/>
      <c r="R9" s="3940"/>
      <c r="S9" s="3940"/>
      <c r="T9" s="3940"/>
      <c r="U9" s="3940"/>
      <c r="V9" s="3940"/>
      <c r="W9" s="5836"/>
      <c r="X9" s="3940"/>
      <c r="Y9" s="3940"/>
      <c r="Z9" s="3940"/>
      <c r="AA9" s="3940"/>
      <c r="AB9" s="3940"/>
      <c r="AC9" s="3940"/>
      <c r="AD9" s="3940"/>
      <c r="AE9" s="3940"/>
      <c r="AF9" s="3940"/>
      <c r="AG9" s="3940"/>
      <c r="AH9" s="3940"/>
      <c r="AI9" s="3940"/>
      <c r="AJ9" s="3940"/>
      <c r="AK9" s="3940"/>
      <c r="AL9" s="3940"/>
      <c r="AM9" s="3940"/>
      <c r="AN9" s="3940"/>
      <c r="AO9" s="3940"/>
      <c r="AP9" s="3940"/>
      <c r="AQ9" s="4234"/>
      <c r="AR9" s="4264"/>
      <c r="AS9" s="4264"/>
      <c r="AT9" s="4264"/>
      <c r="AU9" s="4264"/>
      <c r="AV9" s="4264"/>
      <c r="AW9" s="4264"/>
      <c r="AX9" s="4264"/>
      <c r="AY9" s="4264"/>
      <c r="AZ9" s="4264"/>
      <c r="BA9" s="4264"/>
      <c r="BB9" s="4264"/>
      <c r="BC9" s="4264"/>
      <c r="BD9" s="4264"/>
      <c r="BE9" s="4264"/>
    </row>
    <row r="10" spans="1:123" ht="25.35" customHeight="1" x14ac:dyDescent="0.25">
      <c r="B10" s="9414" t="s">
        <v>41</v>
      </c>
      <c r="C10" s="9414" t="s">
        <v>0</v>
      </c>
      <c r="D10" s="9172" t="s">
        <v>86</v>
      </c>
      <c r="E10" s="9173"/>
      <c r="F10" s="9174"/>
      <c r="G10" s="9404" t="s">
        <v>709</v>
      </c>
      <c r="H10" s="9405"/>
      <c r="I10" s="9405"/>
      <c r="J10" s="9405"/>
      <c r="K10" s="9405"/>
      <c r="L10" s="9405"/>
      <c r="M10" s="9405"/>
      <c r="N10" s="9405"/>
      <c r="O10" s="9405"/>
      <c r="P10" s="9405"/>
      <c r="Q10" s="9405"/>
      <c r="R10" s="9405"/>
      <c r="S10" s="9405"/>
      <c r="T10" s="9405"/>
      <c r="U10" s="9405"/>
      <c r="V10" s="9405"/>
      <c r="W10" s="9405"/>
      <c r="X10" s="9405"/>
      <c r="Y10" s="9405"/>
      <c r="Z10" s="9405"/>
      <c r="AA10" s="9405"/>
      <c r="AB10" s="9405"/>
      <c r="AC10" s="9405"/>
      <c r="AD10" s="9405"/>
      <c r="AE10" s="9405"/>
      <c r="AF10" s="9405"/>
      <c r="AG10" s="9405"/>
      <c r="AH10" s="9405"/>
      <c r="AI10" s="9405"/>
      <c r="AJ10" s="9405"/>
      <c r="AK10" s="9405"/>
      <c r="AL10" s="9405"/>
      <c r="AM10" s="9405"/>
      <c r="AN10" s="9406"/>
      <c r="AO10" s="9174" t="s">
        <v>360</v>
      </c>
      <c r="AP10" s="9174" t="s">
        <v>2956</v>
      </c>
      <c r="AQ10" s="9174" t="s">
        <v>2615</v>
      </c>
      <c r="AR10" s="9174" t="s">
        <v>362</v>
      </c>
      <c r="AS10" s="9174" t="s">
        <v>361</v>
      </c>
      <c r="AT10" s="9174" t="s">
        <v>1592</v>
      </c>
      <c r="AU10" s="9174" t="s">
        <v>3682</v>
      </c>
      <c r="AV10" s="9464" t="s">
        <v>3684</v>
      </c>
      <c r="AW10" s="9465"/>
      <c r="AX10" s="4264"/>
      <c r="AY10" s="4264"/>
      <c r="AZ10" s="4264"/>
      <c r="BA10" s="4264"/>
      <c r="BB10" s="4264"/>
      <c r="BC10" s="4264"/>
      <c r="BD10" s="4264"/>
      <c r="BE10" s="4264"/>
      <c r="BF10" s="4264"/>
      <c r="BY10" s="4258"/>
    </row>
    <row r="11" spans="1:123" ht="19.5" customHeight="1" x14ac:dyDescent="0.25">
      <c r="B11" s="9418"/>
      <c r="C11" s="9418"/>
      <c r="D11" s="9085"/>
      <c r="E11" s="9086"/>
      <c r="F11" s="9087"/>
      <c r="G11" s="9404" t="s">
        <v>399</v>
      </c>
      <c r="H11" s="9417"/>
      <c r="I11" s="9404" t="s">
        <v>54</v>
      </c>
      <c r="J11" s="9417"/>
      <c r="K11" s="9404" t="s">
        <v>79</v>
      </c>
      <c r="L11" s="9417"/>
      <c r="M11" s="9404" t="s">
        <v>80</v>
      </c>
      <c r="N11" s="9417"/>
      <c r="O11" s="9404" t="s">
        <v>81</v>
      </c>
      <c r="P11" s="9417"/>
      <c r="Q11" s="9401" t="s">
        <v>82</v>
      </c>
      <c r="R11" s="9402"/>
      <c r="S11" s="9401" t="s">
        <v>83</v>
      </c>
      <c r="T11" s="9402"/>
      <c r="U11" s="9401" t="s">
        <v>400</v>
      </c>
      <c r="V11" s="9402"/>
      <c r="W11" s="9401" t="s">
        <v>124</v>
      </c>
      <c r="X11" s="9402"/>
      <c r="Y11" s="9401" t="s">
        <v>125</v>
      </c>
      <c r="Z11" s="9402"/>
      <c r="AA11" s="9401" t="s">
        <v>126</v>
      </c>
      <c r="AB11" s="9402"/>
      <c r="AC11" s="9401" t="s">
        <v>127</v>
      </c>
      <c r="AD11" s="9402"/>
      <c r="AE11" s="9401" t="s">
        <v>128</v>
      </c>
      <c r="AF11" s="9402"/>
      <c r="AG11" s="9401" t="s">
        <v>129</v>
      </c>
      <c r="AH11" s="9402"/>
      <c r="AI11" s="9401" t="s">
        <v>130</v>
      </c>
      <c r="AJ11" s="9402"/>
      <c r="AK11" s="9401" t="s">
        <v>131</v>
      </c>
      <c r="AL11" s="9402"/>
      <c r="AM11" s="9401" t="s">
        <v>1919</v>
      </c>
      <c r="AN11" s="9403"/>
      <c r="AO11" s="9182"/>
      <c r="AP11" s="9182"/>
      <c r="AQ11" s="9182"/>
      <c r="AR11" s="9182"/>
      <c r="AS11" s="9182"/>
      <c r="AT11" s="9182"/>
      <c r="AU11" s="9182"/>
      <c r="AV11" s="9463" t="s">
        <v>358</v>
      </c>
      <c r="AW11" s="9463" t="s">
        <v>359</v>
      </c>
      <c r="AX11" s="4264"/>
      <c r="AY11" s="4264"/>
      <c r="AZ11" s="4264"/>
      <c r="BA11" s="4264"/>
      <c r="BB11" s="4264"/>
      <c r="BC11" s="4264"/>
      <c r="BD11" s="4264"/>
      <c r="BE11" s="4264"/>
      <c r="BF11" s="4264"/>
      <c r="BY11" s="4258"/>
    </row>
    <row r="12" spans="1:123" ht="19.5" customHeight="1" x14ac:dyDescent="0.25">
      <c r="B12" s="9415"/>
      <c r="C12" s="9415"/>
      <c r="D12" s="5839" t="s">
        <v>42</v>
      </c>
      <c r="E12" s="4357" t="s">
        <v>17</v>
      </c>
      <c r="F12" s="5840" t="s">
        <v>18</v>
      </c>
      <c r="G12" s="5841" t="s">
        <v>17</v>
      </c>
      <c r="H12" s="4145" t="s">
        <v>18</v>
      </c>
      <c r="I12" s="5841" t="s">
        <v>17</v>
      </c>
      <c r="J12" s="4145" t="s">
        <v>18</v>
      </c>
      <c r="K12" s="5841" t="s">
        <v>17</v>
      </c>
      <c r="L12" s="4145" t="s">
        <v>18</v>
      </c>
      <c r="M12" s="5841" t="s">
        <v>17</v>
      </c>
      <c r="N12" s="4145" t="s">
        <v>18</v>
      </c>
      <c r="O12" s="5841" t="s">
        <v>17</v>
      </c>
      <c r="P12" s="4145" t="s">
        <v>18</v>
      </c>
      <c r="Q12" s="5841" t="s">
        <v>17</v>
      </c>
      <c r="R12" s="4145" t="s">
        <v>18</v>
      </c>
      <c r="S12" s="5841" t="s">
        <v>17</v>
      </c>
      <c r="T12" s="4145" t="s">
        <v>18</v>
      </c>
      <c r="U12" s="5841" t="s">
        <v>17</v>
      </c>
      <c r="V12" s="4145" t="s">
        <v>18</v>
      </c>
      <c r="W12" s="5841" t="s">
        <v>17</v>
      </c>
      <c r="X12" s="4145" t="s">
        <v>18</v>
      </c>
      <c r="Y12" s="5841" t="s">
        <v>17</v>
      </c>
      <c r="Z12" s="4145" t="s">
        <v>18</v>
      </c>
      <c r="AA12" s="5841" t="s">
        <v>17</v>
      </c>
      <c r="AB12" s="4145" t="s">
        <v>18</v>
      </c>
      <c r="AC12" s="5841" t="s">
        <v>17</v>
      </c>
      <c r="AD12" s="4145" t="s">
        <v>18</v>
      </c>
      <c r="AE12" s="5841" t="s">
        <v>17</v>
      </c>
      <c r="AF12" s="4145" t="s">
        <v>18</v>
      </c>
      <c r="AG12" s="5841" t="s">
        <v>17</v>
      </c>
      <c r="AH12" s="4145" t="s">
        <v>18</v>
      </c>
      <c r="AI12" s="5841" t="s">
        <v>17</v>
      </c>
      <c r="AJ12" s="4145" t="s">
        <v>18</v>
      </c>
      <c r="AK12" s="5841" t="s">
        <v>17</v>
      </c>
      <c r="AL12" s="4145" t="s">
        <v>18</v>
      </c>
      <c r="AM12" s="5841" t="s">
        <v>17</v>
      </c>
      <c r="AN12" s="4943" t="s">
        <v>18</v>
      </c>
      <c r="AO12" s="9087"/>
      <c r="AP12" s="9087"/>
      <c r="AQ12" s="9087"/>
      <c r="AR12" s="9087"/>
      <c r="AS12" s="9087"/>
      <c r="AT12" s="9087"/>
      <c r="AU12" s="9087"/>
      <c r="AV12" s="9463"/>
      <c r="AW12" s="9463"/>
      <c r="AX12" s="4264"/>
      <c r="AY12" s="4264"/>
      <c r="AZ12" s="4264"/>
      <c r="BA12" s="4264"/>
      <c r="BB12" s="4264"/>
      <c r="BC12" s="4264"/>
      <c r="BD12" s="4264"/>
      <c r="BE12" s="4264"/>
      <c r="BF12" s="4264"/>
      <c r="BY12" s="4258"/>
    </row>
    <row r="13" spans="1:123" ht="16.350000000000001" customHeight="1" x14ac:dyDescent="0.25">
      <c r="A13" s="7258" t="s">
        <v>4638</v>
      </c>
      <c r="B13" s="9079" t="s">
        <v>1591</v>
      </c>
      <c r="C13" s="5842" t="s">
        <v>2590</v>
      </c>
      <c r="D13" s="5843" t="s">
        <v>5369</v>
      </c>
      <c r="E13" s="5844" t="s">
        <v>5370</v>
      </c>
      <c r="F13" s="5845" t="s">
        <v>5371</v>
      </c>
      <c r="G13" s="5846" t="s">
        <v>5372</v>
      </c>
      <c r="H13" s="5847" t="s">
        <v>5373</v>
      </c>
      <c r="I13" s="5846" t="s">
        <v>5374</v>
      </c>
      <c r="J13" s="5847" t="s">
        <v>5375</v>
      </c>
      <c r="K13" s="5846" t="s">
        <v>5376</v>
      </c>
      <c r="L13" s="5848" t="s">
        <v>5377</v>
      </c>
      <c r="M13" s="5846" t="s">
        <v>5378</v>
      </c>
      <c r="N13" s="5848" t="s">
        <v>5379</v>
      </c>
      <c r="O13" s="5846" t="s">
        <v>5380</v>
      </c>
      <c r="P13" s="5848" t="s">
        <v>5381</v>
      </c>
      <c r="Q13" s="5846" t="s">
        <v>5382</v>
      </c>
      <c r="R13" s="5848" t="s">
        <v>5383</v>
      </c>
      <c r="S13" s="5846" t="s">
        <v>5384</v>
      </c>
      <c r="T13" s="5848" t="s">
        <v>5385</v>
      </c>
      <c r="U13" s="5846" t="s">
        <v>5386</v>
      </c>
      <c r="V13" s="5848" t="s">
        <v>5387</v>
      </c>
      <c r="W13" s="5846" t="s">
        <v>5388</v>
      </c>
      <c r="X13" s="5848" t="s">
        <v>5389</v>
      </c>
      <c r="Y13" s="5846" t="s">
        <v>5390</v>
      </c>
      <c r="Z13" s="5848" t="s">
        <v>5391</v>
      </c>
      <c r="AA13" s="5846" t="s">
        <v>5392</v>
      </c>
      <c r="AB13" s="5848" t="s">
        <v>5393</v>
      </c>
      <c r="AC13" s="5846" t="s">
        <v>5394</v>
      </c>
      <c r="AD13" s="5848" t="s">
        <v>5395</v>
      </c>
      <c r="AE13" s="5846" t="s">
        <v>5396</v>
      </c>
      <c r="AF13" s="5848" t="s">
        <v>5397</v>
      </c>
      <c r="AG13" s="5846" t="s">
        <v>5398</v>
      </c>
      <c r="AH13" s="5848" t="s">
        <v>5399</v>
      </c>
      <c r="AI13" s="5846" t="s">
        <v>5400</v>
      </c>
      <c r="AJ13" s="5848" t="s">
        <v>5401</v>
      </c>
      <c r="AK13" s="5846" t="s">
        <v>5402</v>
      </c>
      <c r="AL13" s="5848" t="s">
        <v>5403</v>
      </c>
      <c r="AM13" s="5849" t="s">
        <v>5404</v>
      </c>
      <c r="AN13" s="4133" t="s">
        <v>5405</v>
      </c>
      <c r="AO13" s="4476" t="s">
        <v>5406</v>
      </c>
      <c r="AP13" s="4476" t="s">
        <v>5407</v>
      </c>
      <c r="AQ13" s="4476" t="s">
        <v>5408</v>
      </c>
      <c r="AR13" s="4476" t="s">
        <v>5409</v>
      </c>
      <c r="AS13" s="4476" t="s">
        <v>5410</v>
      </c>
      <c r="AT13" s="4476" t="s">
        <v>5411</v>
      </c>
      <c r="AU13" s="7074" t="s">
        <v>5412</v>
      </c>
      <c r="AV13" s="4476" t="s">
        <v>5413</v>
      </c>
      <c r="AW13" s="4476" t="s">
        <v>5414</v>
      </c>
      <c r="AX13" s="4258" t="str">
        <f>CB13&amp;CC13&amp;CD13&amp;CE13&amp;CF13&amp;CG13&amp;CH13&amp;CI13&amp;CJ13&amp;CK13&amp;CL13&amp;CM13&amp;CN13&amp;CO13&amp;CP13&amp;CQ13&amp;CR13&amp;CS13</f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13" s="4291"/>
      <c r="AZ13" s="4291"/>
      <c r="BA13" s="4291"/>
      <c r="BB13" s="4291"/>
      <c r="BC13" s="4291"/>
      <c r="BD13" s="4264"/>
      <c r="BE13" s="4264"/>
      <c r="BF13" s="4264"/>
      <c r="BY13" s="4258"/>
      <c r="CB13" s="4292" t="str">
        <f>IF(AND($D13&lt;&gt;0,AO13=""),"* No olvide agregar el campo "&amp;AO$10&amp;".","")</f>
        <v/>
      </c>
      <c r="CC13" s="4292" t="str">
        <f t="shared" ref="CC13:CG13" si="0">IF(AND($D13&lt;&gt;0,AP13=""),"* No olvide agregar el campo "&amp;AP$10&amp;".","")</f>
        <v/>
      </c>
      <c r="CD13" s="4292" t="str">
        <f t="shared" si="0"/>
        <v/>
      </c>
      <c r="CE13" s="4292" t="str">
        <f t="shared" si="0"/>
        <v/>
      </c>
      <c r="CF13" s="4292" t="str">
        <f t="shared" si="0"/>
        <v/>
      </c>
      <c r="CG13" s="4292" t="str">
        <f t="shared" si="0"/>
        <v/>
      </c>
      <c r="CH13" s="4292"/>
      <c r="CI13" s="4292" t="str">
        <f>IF(AND($D13&lt;&gt;0,AV13=""),"* No olvide agregar el campo "&amp;$AV$10&amp;" "&amp;AV$11&amp;".","")</f>
        <v/>
      </c>
      <c r="CJ13" s="4292" t="str">
        <f>IF(AND($D13&lt;&gt;0,AW13=""),"* No olvide agregar el campo "&amp;$AV$10&amp;" "&amp;AW$11&amp;".","")</f>
        <v/>
      </c>
      <c r="CK13" s="4292" t="str">
        <f>IF(DK13=1,"* El campo "&amp;AO$10&amp;" no debe superar el Total.","")</f>
        <v>* El campo Beneficiarios no debe superar el Total.</v>
      </c>
      <c r="CL13" s="4292" t="str">
        <f t="shared" ref="CL13:CQ13" si="1">IF(DL13=1,"* El campo "&amp;AP$10&amp;" no debe superar el Total.","")</f>
        <v>* El campo Niños, Niñas, Adolescentes y Jóvenes SENAME no debe superar el Total.</v>
      </c>
      <c r="CM13" s="4292" t="str">
        <f t="shared" si="1"/>
        <v>* El campo Niños, Niñas, Adolescentes y Jóvenes Mejor Niñez no debe superar el Total.</v>
      </c>
      <c r="CN13" s="4292" t="str">
        <f t="shared" si="1"/>
        <v>* El campo Pueblos Originarios no debe superar el Total.</v>
      </c>
      <c r="CO13" s="4292" t="str">
        <f t="shared" si="1"/>
        <v>* El campo Migrantes no debe superar el Total.</v>
      </c>
      <c r="CP13" s="4292" t="str">
        <f t="shared" si="1"/>
        <v>* El campo Demencia no debe superar el Total.</v>
      </c>
      <c r="CQ13" s="4292" t="str">
        <f t="shared" si="1"/>
        <v>* El campo Espacios Amigables/ Adolescente no debe superar el Total.</v>
      </c>
      <c r="CR13" s="4292" t="str">
        <f>IF(DR13=1,"* El campo "&amp;$AV$10&amp;" "&amp;AV$11&amp;" no debe superar el Total.","")</f>
        <v>* El campo TRANS
 Masculino no debe superar el Total.</v>
      </c>
      <c r="CS13" s="4292" t="str">
        <f>IF(DS13=1,"* El campo "&amp;$AV$10&amp;" "&amp;AW$11&amp;" no debe superar el Total.","")</f>
        <v>* El campo TRANS
 Femenino no debe superar el Total.</v>
      </c>
      <c r="DB13" s="5530"/>
      <c r="DC13" s="5530"/>
      <c r="DD13" s="5530"/>
      <c r="DE13" s="5530"/>
      <c r="DF13" s="5530"/>
      <c r="DG13" s="5530"/>
      <c r="DH13" s="5530"/>
      <c r="DI13" s="5530"/>
      <c r="DJ13" s="5530"/>
      <c r="DK13" s="5530">
        <f>IF(AO13&gt;$D13,1,0)</f>
        <v>1</v>
      </c>
      <c r="DL13" s="5530">
        <f t="shared" ref="DL13:DS13" si="2">IF(AP13&gt;$D13,1,0)</f>
        <v>1</v>
      </c>
      <c r="DM13" s="5530">
        <f t="shared" si="2"/>
        <v>1</v>
      </c>
      <c r="DN13" s="5530">
        <f t="shared" si="2"/>
        <v>1</v>
      </c>
      <c r="DO13" s="5530">
        <f t="shared" si="2"/>
        <v>1</v>
      </c>
      <c r="DP13" s="5530">
        <f t="shared" si="2"/>
        <v>1</v>
      </c>
      <c r="DQ13" s="5530">
        <f t="shared" si="2"/>
        <v>1</v>
      </c>
      <c r="DR13" s="5530">
        <f t="shared" si="2"/>
        <v>1</v>
      </c>
      <c r="DS13" s="5530">
        <f t="shared" si="2"/>
        <v>1</v>
      </c>
    </row>
    <row r="14" spans="1:123" ht="16.350000000000001" customHeight="1" x14ac:dyDescent="0.25">
      <c r="A14" s="7258" t="s">
        <v>4639</v>
      </c>
      <c r="B14" s="9062"/>
      <c r="C14" s="5851" t="s">
        <v>60</v>
      </c>
      <c r="D14" s="5852" t="s">
        <v>5369</v>
      </c>
      <c r="E14" s="5853" t="s">
        <v>5370</v>
      </c>
      <c r="F14" s="5854" t="s">
        <v>5371</v>
      </c>
      <c r="G14" s="3830" t="s">
        <v>5372</v>
      </c>
      <c r="H14" s="5855" t="s">
        <v>5373</v>
      </c>
      <c r="I14" s="3830" t="s">
        <v>5374</v>
      </c>
      <c r="J14" s="5855" t="s">
        <v>5375</v>
      </c>
      <c r="K14" s="3830" t="s">
        <v>5376</v>
      </c>
      <c r="L14" s="3841" t="s">
        <v>5377</v>
      </c>
      <c r="M14" s="3830" t="s">
        <v>5378</v>
      </c>
      <c r="N14" s="3841" t="s">
        <v>5379</v>
      </c>
      <c r="O14" s="3830" t="s">
        <v>5380</v>
      </c>
      <c r="P14" s="3841" t="s">
        <v>5381</v>
      </c>
      <c r="Q14" s="3830" t="s">
        <v>5382</v>
      </c>
      <c r="R14" s="3841" t="s">
        <v>5383</v>
      </c>
      <c r="S14" s="3830" t="s">
        <v>5384</v>
      </c>
      <c r="T14" s="3841" t="s">
        <v>5385</v>
      </c>
      <c r="U14" s="3830" t="s">
        <v>5386</v>
      </c>
      <c r="V14" s="3841" t="s">
        <v>5387</v>
      </c>
      <c r="W14" s="3830" t="s">
        <v>5388</v>
      </c>
      <c r="X14" s="3841" t="s">
        <v>5389</v>
      </c>
      <c r="Y14" s="3830" t="s">
        <v>5390</v>
      </c>
      <c r="Z14" s="3841" t="s">
        <v>5391</v>
      </c>
      <c r="AA14" s="3830" t="s">
        <v>5392</v>
      </c>
      <c r="AB14" s="3841" t="s">
        <v>5393</v>
      </c>
      <c r="AC14" s="3830" t="s">
        <v>5394</v>
      </c>
      <c r="AD14" s="3841" t="s">
        <v>5395</v>
      </c>
      <c r="AE14" s="3830" t="s">
        <v>5396</v>
      </c>
      <c r="AF14" s="3841" t="s">
        <v>5397</v>
      </c>
      <c r="AG14" s="3830" t="s">
        <v>5398</v>
      </c>
      <c r="AH14" s="3841" t="s">
        <v>5399</v>
      </c>
      <c r="AI14" s="3830" t="s">
        <v>5400</v>
      </c>
      <c r="AJ14" s="3841" t="s">
        <v>5401</v>
      </c>
      <c r="AK14" s="3830" t="s">
        <v>5402</v>
      </c>
      <c r="AL14" s="3841" t="s">
        <v>5403</v>
      </c>
      <c r="AM14" s="5856" t="s">
        <v>5404</v>
      </c>
      <c r="AN14" s="3916" t="s">
        <v>5405</v>
      </c>
      <c r="AO14" s="5330" t="s">
        <v>5406</v>
      </c>
      <c r="AP14" s="5330" t="s">
        <v>5407</v>
      </c>
      <c r="AQ14" s="5330" t="s">
        <v>5408</v>
      </c>
      <c r="AR14" s="5330" t="s">
        <v>5409</v>
      </c>
      <c r="AS14" s="5330" t="s">
        <v>5410</v>
      </c>
      <c r="AT14" s="5330" t="s">
        <v>5411</v>
      </c>
      <c r="AU14" s="7075" t="s">
        <v>5412</v>
      </c>
      <c r="AV14" s="5330" t="s">
        <v>5413</v>
      </c>
      <c r="AW14" s="5330" t="s">
        <v>5414</v>
      </c>
      <c r="AX14" s="4258" t="str">
        <f t="shared" ref="AX14:AX27" si="3">CB14&amp;CC14&amp;CD14&amp;CE14&amp;CF14&amp;CG14&amp;CH14&amp;CI14&amp;CJ14&amp;CK14&amp;CL14&amp;CM14&amp;CN14&amp;CO14&amp;CP14&amp;CQ14&amp;CR14&amp;CS14</f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14" s="4291"/>
      <c r="AZ14" s="4291"/>
      <c r="BA14" s="4291"/>
      <c r="BB14" s="4291"/>
      <c r="BC14" s="4291"/>
      <c r="BD14" s="4264"/>
      <c r="BE14" s="4264"/>
      <c r="BF14" s="4264"/>
      <c r="BY14" s="4258"/>
      <c r="CB14" s="4292" t="str">
        <f t="shared" ref="CB14:CB22" si="4">IF(AND($D14&lt;&gt;0,AO14=""),"* No olvide agregar el campo "&amp;AO$10&amp;".","")</f>
        <v/>
      </c>
      <c r="CC14" s="4292" t="str">
        <f t="shared" ref="CC14:CC22" si="5">IF(AND($D14&lt;&gt;0,AP14=""),"* No olvide agregar el campo "&amp;AP$10&amp;".","")</f>
        <v/>
      </c>
      <c r="CD14" s="4292" t="str">
        <f t="shared" ref="CD14:CD22" si="6">IF(AND($D14&lt;&gt;0,AQ14=""),"* No olvide agregar el campo "&amp;AQ$10&amp;".","")</f>
        <v/>
      </c>
      <c r="CE14" s="4292" t="str">
        <f t="shared" ref="CE14:CE22" si="7">IF(AND($D14&lt;&gt;0,AR14=""),"* No olvide agregar el campo "&amp;AR$10&amp;".","")</f>
        <v/>
      </c>
      <c r="CF14" s="4292" t="str">
        <f t="shared" ref="CF14:CF22" si="8">IF(AND($D14&lt;&gt;0,AS14=""),"* No olvide agregar el campo "&amp;AS$10&amp;".","")</f>
        <v/>
      </c>
      <c r="CG14" s="4292" t="str">
        <f t="shared" ref="CG14:CG22" si="9">IF(AND($D14&lt;&gt;0,AT14=""),"* No olvide agregar el campo "&amp;AT$10&amp;".","")</f>
        <v/>
      </c>
      <c r="CH14" s="4292"/>
      <c r="CI14" s="4292" t="str">
        <f t="shared" ref="CI14:CI22" si="10">IF(AND($D14&lt;&gt;0,AV14=""),"* No olvide agregar el campo "&amp;$AV$10&amp;" "&amp;AV$11&amp;".","")</f>
        <v/>
      </c>
      <c r="CJ14" s="4292" t="str">
        <f t="shared" ref="CJ14:CJ22" si="11">IF(AND($D14&lt;&gt;0,AW14=""),"* No olvide agregar el campo "&amp;$AV$10&amp;" "&amp;AW$11&amp;".","")</f>
        <v/>
      </c>
      <c r="CK14" s="4292" t="str">
        <f t="shared" ref="CK14:CK22" si="12">IF(DK14=1,"* El campo "&amp;AO$10&amp;" no debe superar el Total.","")</f>
        <v>* El campo Beneficiarios no debe superar el Total.</v>
      </c>
      <c r="CL14" s="4292" t="str">
        <f t="shared" ref="CL14:CL22" si="13">IF(DL14=1,"* El campo "&amp;AP$10&amp;" no debe superar el Total.","")</f>
        <v>* El campo Niños, Niñas, Adolescentes y Jóvenes SENAME no debe superar el Total.</v>
      </c>
      <c r="CM14" s="4292" t="str">
        <f t="shared" ref="CM14:CM22" si="14">IF(DM14=1,"* El campo "&amp;AQ$10&amp;" no debe superar el Total.","")</f>
        <v>* El campo Niños, Niñas, Adolescentes y Jóvenes Mejor Niñez no debe superar el Total.</v>
      </c>
      <c r="CN14" s="4292" t="str">
        <f t="shared" ref="CN14:CN22" si="15">IF(DN14=1,"* El campo "&amp;AR$10&amp;" no debe superar el Total.","")</f>
        <v>* El campo Pueblos Originarios no debe superar el Total.</v>
      </c>
      <c r="CO14" s="4292" t="str">
        <f t="shared" ref="CO14:CO22" si="16">IF(DO14=1,"* El campo "&amp;AS$10&amp;" no debe superar el Total.","")</f>
        <v>* El campo Migrantes no debe superar el Total.</v>
      </c>
      <c r="CP14" s="4292" t="str">
        <f t="shared" ref="CP14:CP22" si="17">IF(DP14=1,"* El campo "&amp;AT$10&amp;" no debe superar el Total.","")</f>
        <v>* El campo Demencia no debe superar el Total.</v>
      </c>
      <c r="CQ14" s="4292" t="str">
        <f t="shared" ref="CQ14:CQ22" si="18">IF(DQ14=1,"* El campo "&amp;AU$10&amp;" no debe superar el Total.","")</f>
        <v>* El campo Espacios Amigables/ Adolescente no debe superar el Total.</v>
      </c>
      <c r="CR14" s="4292" t="str">
        <f t="shared" ref="CR14:CR22" si="19">IF(DR14=1,"* El campo "&amp;$AV$10&amp;" "&amp;AV$11&amp;" no debe superar el Total.","")</f>
        <v>* El campo TRANS
 Masculino no debe superar el Total.</v>
      </c>
      <c r="CS14" s="4292" t="str">
        <f t="shared" ref="CS14:CS22" si="20">IF(DS14=1,"* El campo "&amp;$AV$10&amp;" "&amp;AW$11&amp;" no debe superar el Total.","")</f>
        <v>* El campo TRANS
 Femenino no debe superar el Total.</v>
      </c>
      <c r="DB14" s="5530"/>
      <c r="DC14" s="5530"/>
      <c r="DD14" s="5530"/>
      <c r="DE14" s="5530"/>
      <c r="DF14" s="5530"/>
      <c r="DG14" s="5530"/>
      <c r="DH14" s="5530"/>
      <c r="DI14" s="5530"/>
      <c r="DJ14" s="5530"/>
      <c r="DK14" s="5530">
        <f t="shared" ref="DK14:DK22" si="21">IF(AO14&gt;$D14,1,0)</f>
        <v>1</v>
      </c>
      <c r="DL14" s="5530">
        <f t="shared" ref="DL14:DL22" si="22">IF(AP14&gt;$D14,1,0)</f>
        <v>1</v>
      </c>
      <c r="DM14" s="5530">
        <f t="shared" ref="DM14:DM22" si="23">IF(AQ14&gt;$D14,1,0)</f>
        <v>1</v>
      </c>
      <c r="DN14" s="5530">
        <f t="shared" ref="DN14:DN22" si="24">IF(AR14&gt;$D14,1,0)</f>
        <v>1</v>
      </c>
      <c r="DO14" s="5530">
        <f t="shared" ref="DO14:DO22" si="25">IF(AS14&gt;$D14,1,0)</f>
        <v>1</v>
      </c>
      <c r="DP14" s="5530">
        <f t="shared" ref="DP14:DP22" si="26">IF(AT14&gt;$D14,1,0)</f>
        <v>1</v>
      </c>
      <c r="DQ14" s="5530">
        <f t="shared" ref="DQ14:DQ22" si="27">IF(AU14&gt;$D14,1,0)</f>
        <v>1</v>
      </c>
      <c r="DR14" s="5530">
        <f t="shared" ref="DR14:DR22" si="28">IF(AV14&gt;$D14,1,0)</f>
        <v>1</v>
      </c>
      <c r="DS14" s="5530">
        <f t="shared" ref="DS14:DS22" si="29">IF(AW14&gt;$D14,1,0)</f>
        <v>1</v>
      </c>
    </row>
    <row r="15" spans="1:123" ht="16.350000000000001" customHeight="1" x14ac:dyDescent="0.25">
      <c r="A15" s="7258" t="s">
        <v>4640</v>
      </c>
      <c r="B15" s="9062"/>
      <c r="C15" s="5851" t="s">
        <v>2592</v>
      </c>
      <c r="D15" s="5852" t="s">
        <v>5369</v>
      </c>
      <c r="E15" s="5853" t="s">
        <v>5370</v>
      </c>
      <c r="F15" s="5854" t="s">
        <v>5371</v>
      </c>
      <c r="G15" s="3830" t="s">
        <v>5372</v>
      </c>
      <c r="H15" s="5855" t="s">
        <v>5373</v>
      </c>
      <c r="I15" s="3830" t="s">
        <v>5374</v>
      </c>
      <c r="J15" s="5855" t="s">
        <v>5375</v>
      </c>
      <c r="K15" s="3830" t="s">
        <v>5376</v>
      </c>
      <c r="L15" s="3841" t="s">
        <v>5377</v>
      </c>
      <c r="M15" s="3830" t="s">
        <v>5378</v>
      </c>
      <c r="N15" s="3841" t="s">
        <v>5379</v>
      </c>
      <c r="O15" s="3830" t="s">
        <v>5380</v>
      </c>
      <c r="P15" s="3841" t="s">
        <v>5381</v>
      </c>
      <c r="Q15" s="3830" t="s">
        <v>5382</v>
      </c>
      <c r="R15" s="3841" t="s">
        <v>5383</v>
      </c>
      <c r="S15" s="3830" t="s">
        <v>5384</v>
      </c>
      <c r="T15" s="3841" t="s">
        <v>5385</v>
      </c>
      <c r="U15" s="3830" t="s">
        <v>5386</v>
      </c>
      <c r="V15" s="3841" t="s">
        <v>5387</v>
      </c>
      <c r="W15" s="3830" t="s">
        <v>5388</v>
      </c>
      <c r="X15" s="3841" t="s">
        <v>5389</v>
      </c>
      <c r="Y15" s="3830" t="s">
        <v>5390</v>
      </c>
      <c r="Z15" s="3841" t="s">
        <v>5391</v>
      </c>
      <c r="AA15" s="3830" t="s">
        <v>5392</v>
      </c>
      <c r="AB15" s="3841" t="s">
        <v>5393</v>
      </c>
      <c r="AC15" s="3830" t="s">
        <v>5394</v>
      </c>
      <c r="AD15" s="3841" t="s">
        <v>5395</v>
      </c>
      <c r="AE15" s="3830" t="s">
        <v>5396</v>
      </c>
      <c r="AF15" s="3841" t="s">
        <v>5397</v>
      </c>
      <c r="AG15" s="3830" t="s">
        <v>5398</v>
      </c>
      <c r="AH15" s="3841" t="s">
        <v>5399</v>
      </c>
      <c r="AI15" s="3830" t="s">
        <v>5400</v>
      </c>
      <c r="AJ15" s="3841" t="s">
        <v>5401</v>
      </c>
      <c r="AK15" s="3830" t="s">
        <v>5402</v>
      </c>
      <c r="AL15" s="3841" t="s">
        <v>5403</v>
      </c>
      <c r="AM15" s="5856" t="s">
        <v>5404</v>
      </c>
      <c r="AN15" s="3916" t="s">
        <v>5405</v>
      </c>
      <c r="AO15" s="5330" t="s">
        <v>5406</v>
      </c>
      <c r="AP15" s="5330" t="s">
        <v>5407</v>
      </c>
      <c r="AQ15" s="5330" t="s">
        <v>5408</v>
      </c>
      <c r="AR15" s="5330" t="s">
        <v>5409</v>
      </c>
      <c r="AS15" s="5330" t="s">
        <v>5410</v>
      </c>
      <c r="AT15" s="5330" t="s">
        <v>5411</v>
      </c>
      <c r="AU15" s="7075" t="s">
        <v>5412</v>
      </c>
      <c r="AV15" s="5330" t="s">
        <v>5413</v>
      </c>
      <c r="AW15" s="5330" t="s">
        <v>5414</v>
      </c>
      <c r="AX15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15" s="4291"/>
      <c r="AZ15" s="4291"/>
      <c r="BA15" s="4291"/>
      <c r="BB15" s="4291"/>
      <c r="BC15" s="4291"/>
      <c r="BD15" s="4264"/>
      <c r="BE15" s="4264"/>
      <c r="BF15" s="4264"/>
      <c r="BY15" s="4258"/>
      <c r="CB15" s="4292" t="str">
        <f t="shared" si="4"/>
        <v/>
      </c>
      <c r="CC15" s="4292" t="str">
        <f t="shared" si="5"/>
        <v/>
      </c>
      <c r="CD15" s="4292" t="str">
        <f t="shared" si="6"/>
        <v/>
      </c>
      <c r="CE15" s="4292" t="str">
        <f t="shared" si="7"/>
        <v/>
      </c>
      <c r="CF15" s="4292" t="str">
        <f t="shared" si="8"/>
        <v/>
      </c>
      <c r="CG15" s="4292" t="str">
        <f t="shared" si="9"/>
        <v/>
      </c>
      <c r="CH15" s="4292"/>
      <c r="CI15" s="4292" t="str">
        <f t="shared" si="10"/>
        <v/>
      </c>
      <c r="CJ15" s="4292" t="str">
        <f t="shared" si="11"/>
        <v/>
      </c>
      <c r="CK15" s="4292" t="str">
        <f t="shared" si="12"/>
        <v>* El campo Beneficiarios no debe superar el Total.</v>
      </c>
      <c r="CL15" s="4292" t="str">
        <f t="shared" si="13"/>
        <v>* El campo Niños, Niñas, Adolescentes y Jóvenes SENAME no debe superar el Total.</v>
      </c>
      <c r="CM15" s="4292" t="str">
        <f t="shared" si="14"/>
        <v>* El campo Niños, Niñas, Adolescentes y Jóvenes Mejor Niñez no debe superar el Total.</v>
      </c>
      <c r="CN15" s="4292" t="str">
        <f t="shared" si="15"/>
        <v>* El campo Pueblos Originarios no debe superar el Total.</v>
      </c>
      <c r="CO15" s="4292" t="str">
        <f t="shared" si="16"/>
        <v>* El campo Migrantes no debe superar el Total.</v>
      </c>
      <c r="CP15" s="4292" t="str">
        <f t="shared" si="17"/>
        <v>* El campo Demencia no debe superar el Total.</v>
      </c>
      <c r="CQ15" s="4292" t="str">
        <f t="shared" si="18"/>
        <v>* El campo Espacios Amigables/ Adolescente no debe superar el Total.</v>
      </c>
      <c r="CR15" s="4292" t="str">
        <f t="shared" si="19"/>
        <v>* El campo TRANS
 Masculino no debe superar el Total.</v>
      </c>
      <c r="CS15" s="4292" t="str">
        <f t="shared" si="20"/>
        <v>* El campo TRANS
 Femenino no debe superar el Total.</v>
      </c>
      <c r="DB15" s="5530"/>
      <c r="DC15" s="5530"/>
      <c r="DD15" s="5530"/>
      <c r="DE15" s="5530"/>
      <c r="DF15" s="5530"/>
      <c r="DG15" s="5530"/>
      <c r="DH15" s="5530"/>
      <c r="DI15" s="5530"/>
      <c r="DJ15" s="5530"/>
      <c r="DK15" s="5530">
        <f t="shared" si="21"/>
        <v>1</v>
      </c>
      <c r="DL15" s="5530">
        <f t="shared" si="22"/>
        <v>1</v>
      </c>
      <c r="DM15" s="5530">
        <f t="shared" si="23"/>
        <v>1</v>
      </c>
      <c r="DN15" s="5530">
        <f t="shared" si="24"/>
        <v>1</v>
      </c>
      <c r="DO15" s="5530">
        <f t="shared" si="25"/>
        <v>1</v>
      </c>
      <c r="DP15" s="5530">
        <f t="shared" si="26"/>
        <v>1</v>
      </c>
      <c r="DQ15" s="5530">
        <f t="shared" si="27"/>
        <v>1</v>
      </c>
      <c r="DR15" s="5530">
        <f t="shared" si="28"/>
        <v>1</v>
      </c>
      <c r="DS15" s="5530">
        <f t="shared" si="29"/>
        <v>1</v>
      </c>
    </row>
    <row r="16" spans="1:123" ht="16.350000000000001" customHeight="1" x14ac:dyDescent="0.25">
      <c r="A16" s="7258" t="s">
        <v>4641</v>
      </c>
      <c r="B16" s="9062"/>
      <c r="C16" s="5851" t="s">
        <v>2591</v>
      </c>
      <c r="D16" s="5852" t="s">
        <v>5369</v>
      </c>
      <c r="E16" s="5853" t="s">
        <v>5370</v>
      </c>
      <c r="F16" s="5854" t="s">
        <v>5371</v>
      </c>
      <c r="G16" s="3830" t="s">
        <v>5372</v>
      </c>
      <c r="H16" s="5855" t="s">
        <v>5373</v>
      </c>
      <c r="I16" s="3830" t="s">
        <v>5374</v>
      </c>
      <c r="J16" s="5855" t="s">
        <v>5375</v>
      </c>
      <c r="K16" s="3830" t="s">
        <v>5376</v>
      </c>
      <c r="L16" s="3841" t="s">
        <v>5377</v>
      </c>
      <c r="M16" s="3830" t="s">
        <v>5378</v>
      </c>
      <c r="N16" s="3841" t="s">
        <v>5379</v>
      </c>
      <c r="O16" s="3830" t="s">
        <v>5380</v>
      </c>
      <c r="P16" s="3841" t="s">
        <v>5381</v>
      </c>
      <c r="Q16" s="3830" t="s">
        <v>5382</v>
      </c>
      <c r="R16" s="3841" t="s">
        <v>5383</v>
      </c>
      <c r="S16" s="3830" t="s">
        <v>5384</v>
      </c>
      <c r="T16" s="3841" t="s">
        <v>5385</v>
      </c>
      <c r="U16" s="3830" t="s">
        <v>5386</v>
      </c>
      <c r="V16" s="3841" t="s">
        <v>5387</v>
      </c>
      <c r="W16" s="3830" t="s">
        <v>5388</v>
      </c>
      <c r="X16" s="3841" t="s">
        <v>5389</v>
      </c>
      <c r="Y16" s="3830" t="s">
        <v>5390</v>
      </c>
      <c r="Z16" s="3841" t="s">
        <v>5391</v>
      </c>
      <c r="AA16" s="3830" t="s">
        <v>5392</v>
      </c>
      <c r="AB16" s="3841" t="s">
        <v>5393</v>
      </c>
      <c r="AC16" s="3830" t="s">
        <v>5394</v>
      </c>
      <c r="AD16" s="3841" t="s">
        <v>5395</v>
      </c>
      <c r="AE16" s="3830" t="s">
        <v>5396</v>
      </c>
      <c r="AF16" s="3841" t="s">
        <v>5397</v>
      </c>
      <c r="AG16" s="3830" t="s">
        <v>5398</v>
      </c>
      <c r="AH16" s="3841" t="s">
        <v>5399</v>
      </c>
      <c r="AI16" s="3830" t="s">
        <v>5400</v>
      </c>
      <c r="AJ16" s="3841" t="s">
        <v>5401</v>
      </c>
      <c r="AK16" s="3830" t="s">
        <v>5402</v>
      </c>
      <c r="AL16" s="3841" t="s">
        <v>5403</v>
      </c>
      <c r="AM16" s="5856" t="s">
        <v>5404</v>
      </c>
      <c r="AN16" s="3916" t="s">
        <v>5405</v>
      </c>
      <c r="AO16" s="5330" t="s">
        <v>5406</v>
      </c>
      <c r="AP16" s="5330" t="s">
        <v>5407</v>
      </c>
      <c r="AQ16" s="5330" t="s">
        <v>5408</v>
      </c>
      <c r="AR16" s="5330" t="s">
        <v>5409</v>
      </c>
      <c r="AS16" s="5330" t="s">
        <v>5410</v>
      </c>
      <c r="AT16" s="5330" t="s">
        <v>5411</v>
      </c>
      <c r="AU16" s="7075" t="s">
        <v>5412</v>
      </c>
      <c r="AV16" s="5330" t="s">
        <v>5413</v>
      </c>
      <c r="AW16" s="5330" t="s">
        <v>5414</v>
      </c>
      <c r="AX16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16" s="4291"/>
      <c r="AZ16" s="4291"/>
      <c r="BA16" s="4291"/>
      <c r="BB16" s="4291"/>
      <c r="BC16" s="4291"/>
      <c r="BD16" s="4264"/>
      <c r="BE16" s="4264"/>
      <c r="BF16" s="4264"/>
      <c r="BY16" s="4258"/>
      <c r="CB16" s="4292" t="str">
        <f t="shared" si="4"/>
        <v/>
      </c>
      <c r="CC16" s="4292" t="str">
        <f t="shared" si="5"/>
        <v/>
      </c>
      <c r="CD16" s="4292" t="str">
        <f t="shared" si="6"/>
        <v/>
      </c>
      <c r="CE16" s="4292" t="str">
        <f t="shared" si="7"/>
        <v/>
      </c>
      <c r="CF16" s="4292" t="str">
        <f t="shared" si="8"/>
        <v/>
      </c>
      <c r="CG16" s="4292" t="str">
        <f t="shared" si="9"/>
        <v/>
      </c>
      <c r="CH16" s="4292"/>
      <c r="CI16" s="4292" t="str">
        <f t="shared" si="10"/>
        <v/>
      </c>
      <c r="CJ16" s="4292" t="str">
        <f t="shared" si="11"/>
        <v/>
      </c>
      <c r="CK16" s="4292" t="str">
        <f t="shared" si="12"/>
        <v>* El campo Beneficiarios no debe superar el Total.</v>
      </c>
      <c r="CL16" s="4292" t="str">
        <f t="shared" si="13"/>
        <v>* El campo Niños, Niñas, Adolescentes y Jóvenes SENAME no debe superar el Total.</v>
      </c>
      <c r="CM16" s="4292" t="str">
        <f t="shared" si="14"/>
        <v>* El campo Niños, Niñas, Adolescentes y Jóvenes Mejor Niñez no debe superar el Total.</v>
      </c>
      <c r="CN16" s="4292" t="str">
        <f t="shared" si="15"/>
        <v>* El campo Pueblos Originarios no debe superar el Total.</v>
      </c>
      <c r="CO16" s="4292" t="str">
        <f t="shared" si="16"/>
        <v>* El campo Migrantes no debe superar el Total.</v>
      </c>
      <c r="CP16" s="4292" t="str">
        <f t="shared" si="17"/>
        <v>* El campo Demencia no debe superar el Total.</v>
      </c>
      <c r="CQ16" s="4292" t="str">
        <f t="shared" si="18"/>
        <v>* El campo Espacios Amigables/ Adolescente no debe superar el Total.</v>
      </c>
      <c r="CR16" s="4292" t="str">
        <f t="shared" si="19"/>
        <v>* El campo TRANS
 Masculino no debe superar el Total.</v>
      </c>
      <c r="CS16" s="4292" t="str">
        <f t="shared" si="20"/>
        <v>* El campo TRANS
 Femenino no debe superar el Total.</v>
      </c>
      <c r="DB16" s="5530"/>
      <c r="DC16" s="5530"/>
      <c r="DD16" s="5530"/>
      <c r="DE16" s="5530"/>
      <c r="DF16" s="5530"/>
      <c r="DG16" s="5530"/>
      <c r="DH16" s="5530"/>
      <c r="DI16" s="5530"/>
      <c r="DJ16" s="5530"/>
      <c r="DK16" s="5530">
        <f t="shared" si="21"/>
        <v>1</v>
      </c>
      <c r="DL16" s="5530">
        <f t="shared" si="22"/>
        <v>1</v>
      </c>
      <c r="DM16" s="5530">
        <f t="shared" si="23"/>
        <v>1</v>
      </c>
      <c r="DN16" s="5530">
        <f t="shared" si="24"/>
        <v>1</v>
      </c>
      <c r="DO16" s="5530">
        <f t="shared" si="25"/>
        <v>1</v>
      </c>
      <c r="DP16" s="5530">
        <f t="shared" si="26"/>
        <v>1</v>
      </c>
      <c r="DQ16" s="5530">
        <f t="shared" si="27"/>
        <v>1</v>
      </c>
      <c r="DR16" s="5530">
        <f t="shared" si="28"/>
        <v>1</v>
      </c>
      <c r="DS16" s="5530">
        <f t="shared" si="29"/>
        <v>1</v>
      </c>
    </row>
    <row r="17" spans="1:133" ht="16.350000000000001" customHeight="1" x14ac:dyDescent="0.25">
      <c r="A17" s="7258" t="s">
        <v>4642</v>
      </c>
      <c r="B17" s="9062"/>
      <c r="C17" s="5851" t="s">
        <v>2597</v>
      </c>
      <c r="D17" s="5852" t="s">
        <v>5369</v>
      </c>
      <c r="E17" s="5853" t="s">
        <v>5370</v>
      </c>
      <c r="F17" s="5854" t="s">
        <v>5371</v>
      </c>
      <c r="G17" s="3830" t="s">
        <v>5372</v>
      </c>
      <c r="H17" s="5855" t="s">
        <v>5373</v>
      </c>
      <c r="I17" s="3830" t="s">
        <v>5374</v>
      </c>
      <c r="J17" s="5855" t="s">
        <v>5375</v>
      </c>
      <c r="K17" s="3830" t="s">
        <v>5376</v>
      </c>
      <c r="L17" s="3841" t="s">
        <v>5377</v>
      </c>
      <c r="M17" s="3830" t="s">
        <v>5378</v>
      </c>
      <c r="N17" s="3841" t="s">
        <v>5379</v>
      </c>
      <c r="O17" s="3830" t="s">
        <v>5380</v>
      </c>
      <c r="P17" s="3841" t="s">
        <v>5381</v>
      </c>
      <c r="Q17" s="3830" t="s">
        <v>5382</v>
      </c>
      <c r="R17" s="3841" t="s">
        <v>5383</v>
      </c>
      <c r="S17" s="3830" t="s">
        <v>5384</v>
      </c>
      <c r="T17" s="3841" t="s">
        <v>5385</v>
      </c>
      <c r="U17" s="3830" t="s">
        <v>5386</v>
      </c>
      <c r="V17" s="3841" t="s">
        <v>5387</v>
      </c>
      <c r="W17" s="3830" t="s">
        <v>5388</v>
      </c>
      <c r="X17" s="3841" t="s">
        <v>5389</v>
      </c>
      <c r="Y17" s="3830" t="s">
        <v>5390</v>
      </c>
      <c r="Z17" s="3841" t="s">
        <v>5391</v>
      </c>
      <c r="AA17" s="3830" t="s">
        <v>5392</v>
      </c>
      <c r="AB17" s="3841" t="s">
        <v>5393</v>
      </c>
      <c r="AC17" s="3830" t="s">
        <v>5394</v>
      </c>
      <c r="AD17" s="3841" t="s">
        <v>5395</v>
      </c>
      <c r="AE17" s="3830" t="s">
        <v>5396</v>
      </c>
      <c r="AF17" s="3841" t="s">
        <v>5397</v>
      </c>
      <c r="AG17" s="3830" t="s">
        <v>5398</v>
      </c>
      <c r="AH17" s="3841" t="s">
        <v>5399</v>
      </c>
      <c r="AI17" s="3830" t="s">
        <v>5400</v>
      </c>
      <c r="AJ17" s="3841" t="s">
        <v>5401</v>
      </c>
      <c r="AK17" s="3830" t="s">
        <v>5402</v>
      </c>
      <c r="AL17" s="3841" t="s">
        <v>5403</v>
      </c>
      <c r="AM17" s="5856" t="s">
        <v>5404</v>
      </c>
      <c r="AN17" s="3916" t="s">
        <v>5405</v>
      </c>
      <c r="AO17" s="5330" t="s">
        <v>5406</v>
      </c>
      <c r="AP17" s="5330" t="s">
        <v>5407</v>
      </c>
      <c r="AQ17" s="5330" t="s">
        <v>5408</v>
      </c>
      <c r="AR17" s="5330" t="s">
        <v>5409</v>
      </c>
      <c r="AS17" s="5330" t="s">
        <v>5410</v>
      </c>
      <c r="AT17" s="5330" t="s">
        <v>5411</v>
      </c>
      <c r="AU17" s="7075" t="s">
        <v>5412</v>
      </c>
      <c r="AV17" s="5330" t="s">
        <v>5413</v>
      </c>
      <c r="AW17" s="5330" t="s">
        <v>5414</v>
      </c>
      <c r="AX17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17" s="4291"/>
      <c r="AZ17" s="4291"/>
      <c r="BA17" s="4291"/>
      <c r="BB17" s="4291"/>
      <c r="BC17" s="4291"/>
      <c r="BD17" s="4264"/>
      <c r="BE17" s="4264"/>
      <c r="BF17" s="4264"/>
      <c r="BY17" s="4258"/>
      <c r="CB17" s="4292" t="str">
        <f t="shared" si="4"/>
        <v/>
      </c>
      <c r="CC17" s="4292" t="str">
        <f t="shared" si="5"/>
        <v/>
      </c>
      <c r="CD17" s="4292" t="str">
        <f t="shared" si="6"/>
        <v/>
      </c>
      <c r="CE17" s="4292" t="str">
        <f t="shared" si="7"/>
        <v/>
      </c>
      <c r="CF17" s="4292" t="str">
        <f t="shared" si="8"/>
        <v/>
      </c>
      <c r="CG17" s="4292" t="str">
        <f t="shared" si="9"/>
        <v/>
      </c>
      <c r="CH17" s="4292"/>
      <c r="CI17" s="4292" t="str">
        <f t="shared" si="10"/>
        <v/>
      </c>
      <c r="CJ17" s="4292" t="str">
        <f t="shared" si="11"/>
        <v/>
      </c>
      <c r="CK17" s="4292" t="str">
        <f t="shared" si="12"/>
        <v>* El campo Beneficiarios no debe superar el Total.</v>
      </c>
      <c r="CL17" s="4292" t="str">
        <f t="shared" si="13"/>
        <v>* El campo Niños, Niñas, Adolescentes y Jóvenes SENAME no debe superar el Total.</v>
      </c>
      <c r="CM17" s="4292" t="str">
        <f t="shared" si="14"/>
        <v>* El campo Niños, Niñas, Adolescentes y Jóvenes Mejor Niñez no debe superar el Total.</v>
      </c>
      <c r="CN17" s="4292" t="str">
        <f t="shared" si="15"/>
        <v>* El campo Pueblos Originarios no debe superar el Total.</v>
      </c>
      <c r="CO17" s="4292" t="str">
        <f t="shared" si="16"/>
        <v>* El campo Migrantes no debe superar el Total.</v>
      </c>
      <c r="CP17" s="4292" t="str">
        <f t="shared" si="17"/>
        <v>* El campo Demencia no debe superar el Total.</v>
      </c>
      <c r="CQ17" s="4292" t="str">
        <f t="shared" si="18"/>
        <v>* El campo Espacios Amigables/ Adolescente no debe superar el Total.</v>
      </c>
      <c r="CR17" s="4292" t="str">
        <f t="shared" si="19"/>
        <v>* El campo TRANS
 Masculino no debe superar el Total.</v>
      </c>
      <c r="CS17" s="4292" t="str">
        <f t="shared" si="20"/>
        <v>* El campo TRANS
 Femenino no debe superar el Total.</v>
      </c>
      <c r="DB17" s="5530"/>
      <c r="DC17" s="5530"/>
      <c r="DD17" s="5530"/>
      <c r="DE17" s="5530"/>
      <c r="DF17" s="5530"/>
      <c r="DG17" s="5530"/>
      <c r="DH17" s="5530"/>
      <c r="DI17" s="5530"/>
      <c r="DJ17" s="5530"/>
      <c r="DK17" s="5530">
        <f t="shared" si="21"/>
        <v>1</v>
      </c>
      <c r="DL17" s="5530">
        <f t="shared" si="22"/>
        <v>1</v>
      </c>
      <c r="DM17" s="5530">
        <f t="shared" si="23"/>
        <v>1</v>
      </c>
      <c r="DN17" s="5530">
        <f t="shared" si="24"/>
        <v>1</v>
      </c>
      <c r="DO17" s="5530">
        <f t="shared" si="25"/>
        <v>1</v>
      </c>
      <c r="DP17" s="5530">
        <f t="shared" si="26"/>
        <v>1</v>
      </c>
      <c r="DQ17" s="5530">
        <f t="shared" si="27"/>
        <v>1</v>
      </c>
      <c r="DR17" s="5530">
        <f t="shared" si="28"/>
        <v>1</v>
      </c>
      <c r="DS17" s="5530">
        <f t="shared" si="29"/>
        <v>1</v>
      </c>
    </row>
    <row r="18" spans="1:133" ht="23.25" customHeight="1" x14ac:dyDescent="0.25">
      <c r="A18" s="7258" t="s">
        <v>4643</v>
      </c>
      <c r="B18" s="9062"/>
      <c r="C18" s="5851" t="s">
        <v>2797</v>
      </c>
      <c r="D18" s="5852" t="s">
        <v>5369</v>
      </c>
      <c r="E18" s="5853" t="s">
        <v>5370</v>
      </c>
      <c r="F18" s="5854" t="s">
        <v>5371</v>
      </c>
      <c r="G18" s="3830" t="s">
        <v>5372</v>
      </c>
      <c r="H18" s="5855" t="s">
        <v>5373</v>
      </c>
      <c r="I18" s="3830" t="s">
        <v>5374</v>
      </c>
      <c r="J18" s="5855" t="s">
        <v>5375</v>
      </c>
      <c r="K18" s="3830" t="s">
        <v>5376</v>
      </c>
      <c r="L18" s="3841" t="s">
        <v>5377</v>
      </c>
      <c r="M18" s="3830" t="s">
        <v>5378</v>
      </c>
      <c r="N18" s="3841" t="s">
        <v>5379</v>
      </c>
      <c r="O18" s="3830" t="s">
        <v>5380</v>
      </c>
      <c r="P18" s="3841" t="s">
        <v>5381</v>
      </c>
      <c r="Q18" s="3830" t="s">
        <v>5382</v>
      </c>
      <c r="R18" s="3841" t="s">
        <v>5383</v>
      </c>
      <c r="S18" s="3830" t="s">
        <v>5384</v>
      </c>
      <c r="T18" s="3841" t="s">
        <v>5385</v>
      </c>
      <c r="U18" s="3830" t="s">
        <v>5386</v>
      </c>
      <c r="V18" s="3841" t="s">
        <v>5387</v>
      </c>
      <c r="W18" s="3830" t="s">
        <v>5388</v>
      </c>
      <c r="X18" s="3841" t="s">
        <v>5389</v>
      </c>
      <c r="Y18" s="3830" t="s">
        <v>5390</v>
      </c>
      <c r="Z18" s="3841" t="s">
        <v>5391</v>
      </c>
      <c r="AA18" s="3830" t="s">
        <v>5392</v>
      </c>
      <c r="AB18" s="3841" t="s">
        <v>5393</v>
      </c>
      <c r="AC18" s="3830" t="s">
        <v>5394</v>
      </c>
      <c r="AD18" s="3841" t="s">
        <v>5395</v>
      </c>
      <c r="AE18" s="3830" t="s">
        <v>5396</v>
      </c>
      <c r="AF18" s="3841" t="s">
        <v>5397</v>
      </c>
      <c r="AG18" s="3830" t="s">
        <v>5398</v>
      </c>
      <c r="AH18" s="3841" t="s">
        <v>5399</v>
      </c>
      <c r="AI18" s="3830" t="s">
        <v>5400</v>
      </c>
      <c r="AJ18" s="3841" t="s">
        <v>5401</v>
      </c>
      <c r="AK18" s="3830" t="s">
        <v>5402</v>
      </c>
      <c r="AL18" s="3841" t="s">
        <v>5403</v>
      </c>
      <c r="AM18" s="5856" t="s">
        <v>5404</v>
      </c>
      <c r="AN18" s="3916" t="s">
        <v>5405</v>
      </c>
      <c r="AO18" s="5330" t="s">
        <v>5406</v>
      </c>
      <c r="AP18" s="5330" t="s">
        <v>5407</v>
      </c>
      <c r="AQ18" s="5330" t="s">
        <v>5408</v>
      </c>
      <c r="AR18" s="5330" t="s">
        <v>5409</v>
      </c>
      <c r="AS18" s="5330" t="s">
        <v>5410</v>
      </c>
      <c r="AT18" s="5330" t="s">
        <v>5411</v>
      </c>
      <c r="AU18" s="7075" t="s">
        <v>5412</v>
      </c>
      <c r="AV18" s="5330" t="s">
        <v>5413</v>
      </c>
      <c r="AW18" s="5330" t="s">
        <v>5414</v>
      </c>
      <c r="AX18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18" s="4291"/>
      <c r="AZ18" s="4291"/>
      <c r="BA18" s="4291"/>
      <c r="BB18" s="4291"/>
      <c r="BC18" s="4291"/>
      <c r="BD18" s="4264"/>
      <c r="BE18" s="4264"/>
      <c r="BF18" s="4264"/>
      <c r="BY18" s="4258"/>
      <c r="CB18" s="4292" t="str">
        <f t="shared" si="4"/>
        <v/>
      </c>
      <c r="CC18" s="4292" t="str">
        <f t="shared" si="5"/>
        <v/>
      </c>
      <c r="CD18" s="4292" t="str">
        <f t="shared" si="6"/>
        <v/>
      </c>
      <c r="CE18" s="4292" t="str">
        <f t="shared" si="7"/>
        <v/>
      </c>
      <c r="CF18" s="4292" t="str">
        <f t="shared" si="8"/>
        <v/>
      </c>
      <c r="CG18" s="4292" t="str">
        <f t="shared" si="9"/>
        <v/>
      </c>
      <c r="CH18" s="4292"/>
      <c r="CI18" s="4292" t="str">
        <f t="shared" si="10"/>
        <v/>
      </c>
      <c r="CJ18" s="4292" t="str">
        <f t="shared" si="11"/>
        <v/>
      </c>
      <c r="CK18" s="4292" t="str">
        <f t="shared" si="12"/>
        <v>* El campo Beneficiarios no debe superar el Total.</v>
      </c>
      <c r="CL18" s="4292" t="str">
        <f t="shared" si="13"/>
        <v>* El campo Niños, Niñas, Adolescentes y Jóvenes SENAME no debe superar el Total.</v>
      </c>
      <c r="CM18" s="4292" t="str">
        <f t="shared" si="14"/>
        <v>* El campo Niños, Niñas, Adolescentes y Jóvenes Mejor Niñez no debe superar el Total.</v>
      </c>
      <c r="CN18" s="4292" t="str">
        <f t="shared" si="15"/>
        <v>* El campo Pueblos Originarios no debe superar el Total.</v>
      </c>
      <c r="CO18" s="4292" t="str">
        <f t="shared" si="16"/>
        <v>* El campo Migrantes no debe superar el Total.</v>
      </c>
      <c r="CP18" s="4292" t="str">
        <f t="shared" si="17"/>
        <v>* El campo Demencia no debe superar el Total.</v>
      </c>
      <c r="CQ18" s="4292" t="str">
        <f t="shared" si="18"/>
        <v>* El campo Espacios Amigables/ Adolescente no debe superar el Total.</v>
      </c>
      <c r="CR18" s="4292" t="str">
        <f t="shared" si="19"/>
        <v>* El campo TRANS
 Masculino no debe superar el Total.</v>
      </c>
      <c r="CS18" s="4292" t="str">
        <f t="shared" si="20"/>
        <v>* El campo TRANS
 Femenino no debe superar el Total.</v>
      </c>
      <c r="DB18" s="5530"/>
      <c r="DC18" s="5530"/>
      <c r="DD18" s="5530"/>
      <c r="DE18" s="5530"/>
      <c r="DF18" s="5530"/>
      <c r="DG18" s="5530"/>
      <c r="DH18" s="5530"/>
      <c r="DI18" s="5530"/>
      <c r="DJ18" s="5530"/>
      <c r="DK18" s="5530">
        <f t="shared" si="21"/>
        <v>1</v>
      </c>
      <c r="DL18" s="5530">
        <f t="shared" si="22"/>
        <v>1</v>
      </c>
      <c r="DM18" s="5530">
        <f t="shared" si="23"/>
        <v>1</v>
      </c>
      <c r="DN18" s="5530">
        <f t="shared" si="24"/>
        <v>1</v>
      </c>
      <c r="DO18" s="5530">
        <f t="shared" si="25"/>
        <v>1</v>
      </c>
      <c r="DP18" s="5530">
        <f t="shared" si="26"/>
        <v>1</v>
      </c>
      <c r="DQ18" s="5530">
        <f t="shared" si="27"/>
        <v>1</v>
      </c>
      <c r="DR18" s="5530">
        <f t="shared" si="28"/>
        <v>1</v>
      </c>
      <c r="DS18" s="5530">
        <f t="shared" si="29"/>
        <v>1</v>
      </c>
    </row>
    <row r="19" spans="1:133" ht="16.350000000000001" customHeight="1" x14ac:dyDescent="0.25">
      <c r="A19" s="7258" t="s">
        <v>4644</v>
      </c>
      <c r="B19" s="9062"/>
      <c r="C19" s="5851" t="s">
        <v>62</v>
      </c>
      <c r="D19" s="5857" t="s">
        <v>5369</v>
      </c>
      <c r="E19" s="5858" t="s">
        <v>5370</v>
      </c>
      <c r="F19" s="5859" t="s">
        <v>5371</v>
      </c>
      <c r="G19" s="4925" t="s">
        <v>5372</v>
      </c>
      <c r="H19" s="4929" t="s">
        <v>5373</v>
      </c>
      <c r="I19" s="4925" t="s">
        <v>5374</v>
      </c>
      <c r="J19" s="4929" t="s">
        <v>5375</v>
      </c>
      <c r="K19" s="4925" t="s">
        <v>5376</v>
      </c>
      <c r="L19" s="5860" t="s">
        <v>5377</v>
      </c>
      <c r="M19" s="4925" t="s">
        <v>5378</v>
      </c>
      <c r="N19" s="5860" t="s">
        <v>5379</v>
      </c>
      <c r="O19" s="4925" t="s">
        <v>5380</v>
      </c>
      <c r="P19" s="5860" t="s">
        <v>5381</v>
      </c>
      <c r="Q19" s="4925" t="s">
        <v>5382</v>
      </c>
      <c r="R19" s="5860" t="s">
        <v>5383</v>
      </c>
      <c r="S19" s="4925" t="s">
        <v>5384</v>
      </c>
      <c r="T19" s="5860" t="s">
        <v>5385</v>
      </c>
      <c r="U19" s="4925" t="s">
        <v>5386</v>
      </c>
      <c r="V19" s="5860" t="s">
        <v>5387</v>
      </c>
      <c r="W19" s="4925" t="s">
        <v>5388</v>
      </c>
      <c r="X19" s="5860" t="s">
        <v>5389</v>
      </c>
      <c r="Y19" s="4925" t="s">
        <v>5390</v>
      </c>
      <c r="Z19" s="5860" t="s">
        <v>5391</v>
      </c>
      <c r="AA19" s="4925" t="s">
        <v>5392</v>
      </c>
      <c r="AB19" s="5860" t="s">
        <v>5393</v>
      </c>
      <c r="AC19" s="4925" t="s">
        <v>5394</v>
      </c>
      <c r="AD19" s="5860" t="s">
        <v>5395</v>
      </c>
      <c r="AE19" s="4925" t="s">
        <v>5396</v>
      </c>
      <c r="AF19" s="5860" t="s">
        <v>5397</v>
      </c>
      <c r="AG19" s="4925" t="s">
        <v>5398</v>
      </c>
      <c r="AH19" s="5860" t="s">
        <v>5399</v>
      </c>
      <c r="AI19" s="4925" t="s">
        <v>5400</v>
      </c>
      <c r="AJ19" s="5860" t="s">
        <v>5401</v>
      </c>
      <c r="AK19" s="4925" t="s">
        <v>5402</v>
      </c>
      <c r="AL19" s="5860" t="s">
        <v>5403</v>
      </c>
      <c r="AM19" s="5861" t="s">
        <v>5404</v>
      </c>
      <c r="AN19" s="5862" t="s">
        <v>5405</v>
      </c>
      <c r="AO19" s="4926" t="s">
        <v>5406</v>
      </c>
      <c r="AP19" s="4926" t="s">
        <v>5407</v>
      </c>
      <c r="AQ19" s="4926" t="s">
        <v>5408</v>
      </c>
      <c r="AR19" s="4926" t="s">
        <v>5409</v>
      </c>
      <c r="AS19" s="4926" t="s">
        <v>5410</v>
      </c>
      <c r="AT19" s="4926" t="s">
        <v>5411</v>
      </c>
      <c r="AU19" s="7076" t="s">
        <v>5412</v>
      </c>
      <c r="AV19" s="4926" t="s">
        <v>5413</v>
      </c>
      <c r="AW19" s="4926" t="s">
        <v>5414</v>
      </c>
      <c r="AX19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19" s="4291"/>
      <c r="AZ19" s="4291"/>
      <c r="BA19" s="4291"/>
      <c r="BB19" s="4291"/>
      <c r="BC19" s="4291"/>
      <c r="BD19" s="4264"/>
      <c r="BE19" s="4264"/>
      <c r="BF19" s="4264"/>
      <c r="BY19" s="4258"/>
      <c r="CB19" s="4292" t="str">
        <f t="shared" si="4"/>
        <v/>
      </c>
      <c r="CC19" s="4292" t="str">
        <f t="shared" si="5"/>
        <v/>
      </c>
      <c r="CD19" s="4292" t="str">
        <f t="shared" si="6"/>
        <v/>
      </c>
      <c r="CE19" s="4292" t="str">
        <f t="shared" si="7"/>
        <v/>
      </c>
      <c r="CF19" s="4292" t="str">
        <f t="shared" si="8"/>
        <v/>
      </c>
      <c r="CG19" s="4292" t="str">
        <f t="shared" si="9"/>
        <v/>
      </c>
      <c r="CH19" s="4292"/>
      <c r="CI19" s="4292" t="str">
        <f t="shared" si="10"/>
        <v/>
      </c>
      <c r="CJ19" s="4292" t="str">
        <f t="shared" si="11"/>
        <v/>
      </c>
      <c r="CK19" s="4292" t="str">
        <f t="shared" si="12"/>
        <v>* El campo Beneficiarios no debe superar el Total.</v>
      </c>
      <c r="CL19" s="4292" t="str">
        <f t="shared" si="13"/>
        <v>* El campo Niños, Niñas, Adolescentes y Jóvenes SENAME no debe superar el Total.</v>
      </c>
      <c r="CM19" s="4292" t="str">
        <f t="shared" si="14"/>
        <v>* El campo Niños, Niñas, Adolescentes y Jóvenes Mejor Niñez no debe superar el Total.</v>
      </c>
      <c r="CN19" s="4292" t="str">
        <f t="shared" si="15"/>
        <v>* El campo Pueblos Originarios no debe superar el Total.</v>
      </c>
      <c r="CO19" s="4292" t="str">
        <f t="shared" si="16"/>
        <v>* El campo Migrantes no debe superar el Total.</v>
      </c>
      <c r="CP19" s="4292" t="str">
        <f t="shared" si="17"/>
        <v>* El campo Demencia no debe superar el Total.</v>
      </c>
      <c r="CQ19" s="4292" t="str">
        <f t="shared" si="18"/>
        <v>* El campo Espacios Amigables/ Adolescente no debe superar el Total.</v>
      </c>
      <c r="CR19" s="4292" t="str">
        <f t="shared" si="19"/>
        <v>* El campo TRANS
 Masculino no debe superar el Total.</v>
      </c>
      <c r="CS19" s="4292" t="str">
        <f t="shared" si="20"/>
        <v>* El campo TRANS
 Femenino no debe superar el Total.</v>
      </c>
      <c r="DB19" s="5530"/>
      <c r="DC19" s="5530"/>
      <c r="DD19" s="5530"/>
      <c r="DE19" s="5530"/>
      <c r="DF19" s="5530"/>
      <c r="DG19" s="5530"/>
      <c r="DH19" s="5530"/>
      <c r="DI19" s="5530"/>
      <c r="DJ19" s="5530"/>
      <c r="DK19" s="5530">
        <f t="shared" si="21"/>
        <v>1</v>
      </c>
      <c r="DL19" s="5530">
        <f t="shared" si="22"/>
        <v>1</v>
      </c>
      <c r="DM19" s="5530">
        <f t="shared" si="23"/>
        <v>1</v>
      </c>
      <c r="DN19" s="5530">
        <f t="shared" si="24"/>
        <v>1</v>
      </c>
      <c r="DO19" s="5530">
        <f t="shared" si="25"/>
        <v>1</v>
      </c>
      <c r="DP19" s="5530">
        <f t="shared" si="26"/>
        <v>1</v>
      </c>
      <c r="DQ19" s="5530">
        <f t="shared" si="27"/>
        <v>1</v>
      </c>
      <c r="DR19" s="5530">
        <f t="shared" si="28"/>
        <v>1</v>
      </c>
      <c r="DS19" s="5530">
        <f t="shared" si="29"/>
        <v>1</v>
      </c>
    </row>
    <row r="20" spans="1:133" ht="25.35" customHeight="1" x14ac:dyDescent="0.25">
      <c r="A20" s="7258" t="s">
        <v>4645</v>
      </c>
      <c r="B20" s="9062"/>
      <c r="C20" s="5851" t="s">
        <v>3685</v>
      </c>
      <c r="D20" s="5857" t="s">
        <v>5369</v>
      </c>
      <c r="E20" s="5858" t="s">
        <v>5370</v>
      </c>
      <c r="F20" s="5859" t="s">
        <v>5371</v>
      </c>
      <c r="G20" s="4925" t="s">
        <v>5372</v>
      </c>
      <c r="H20" s="4929" t="s">
        <v>5373</v>
      </c>
      <c r="I20" s="4925" t="s">
        <v>5374</v>
      </c>
      <c r="J20" s="4929" t="s">
        <v>5375</v>
      </c>
      <c r="K20" s="4925" t="s">
        <v>5376</v>
      </c>
      <c r="L20" s="5860" t="s">
        <v>5377</v>
      </c>
      <c r="M20" s="4925" t="s">
        <v>5378</v>
      </c>
      <c r="N20" s="5860" t="s">
        <v>5379</v>
      </c>
      <c r="O20" s="4925" t="s">
        <v>5380</v>
      </c>
      <c r="P20" s="5860" t="s">
        <v>5381</v>
      </c>
      <c r="Q20" s="4925" t="s">
        <v>5382</v>
      </c>
      <c r="R20" s="5860" t="s">
        <v>5383</v>
      </c>
      <c r="S20" s="4925" t="s">
        <v>5384</v>
      </c>
      <c r="T20" s="5860" t="s">
        <v>5385</v>
      </c>
      <c r="U20" s="4925" t="s">
        <v>5386</v>
      </c>
      <c r="V20" s="5860" t="s">
        <v>5387</v>
      </c>
      <c r="W20" s="4925" t="s">
        <v>5388</v>
      </c>
      <c r="X20" s="5860" t="s">
        <v>5389</v>
      </c>
      <c r="Y20" s="4925" t="s">
        <v>5390</v>
      </c>
      <c r="Z20" s="5860" t="s">
        <v>5391</v>
      </c>
      <c r="AA20" s="4925" t="s">
        <v>5392</v>
      </c>
      <c r="AB20" s="5860" t="s">
        <v>5393</v>
      </c>
      <c r="AC20" s="4925" t="s">
        <v>5394</v>
      </c>
      <c r="AD20" s="5860" t="s">
        <v>5395</v>
      </c>
      <c r="AE20" s="4925" t="s">
        <v>5396</v>
      </c>
      <c r="AF20" s="5860" t="s">
        <v>5397</v>
      </c>
      <c r="AG20" s="4925" t="s">
        <v>5398</v>
      </c>
      <c r="AH20" s="5860" t="s">
        <v>5399</v>
      </c>
      <c r="AI20" s="4925" t="s">
        <v>5400</v>
      </c>
      <c r="AJ20" s="5860" t="s">
        <v>5401</v>
      </c>
      <c r="AK20" s="4925" t="s">
        <v>5402</v>
      </c>
      <c r="AL20" s="5860" t="s">
        <v>5403</v>
      </c>
      <c r="AM20" s="5861" t="s">
        <v>5404</v>
      </c>
      <c r="AN20" s="5862" t="s">
        <v>5405</v>
      </c>
      <c r="AO20" s="4926" t="s">
        <v>5406</v>
      </c>
      <c r="AP20" s="4926" t="s">
        <v>5407</v>
      </c>
      <c r="AQ20" s="4926" t="s">
        <v>5408</v>
      </c>
      <c r="AR20" s="4926" t="s">
        <v>5409</v>
      </c>
      <c r="AS20" s="4926" t="s">
        <v>5410</v>
      </c>
      <c r="AT20" s="4926" t="s">
        <v>5411</v>
      </c>
      <c r="AU20" s="7076" t="s">
        <v>5412</v>
      </c>
      <c r="AV20" s="4926" t="s">
        <v>5413</v>
      </c>
      <c r="AW20" s="4926" t="s">
        <v>5414</v>
      </c>
      <c r="AX20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20" s="4291"/>
      <c r="AZ20" s="4291"/>
      <c r="BA20" s="4291"/>
      <c r="BB20" s="4291"/>
      <c r="BC20" s="4291"/>
      <c r="BD20" s="4264"/>
      <c r="BE20" s="4264"/>
      <c r="BF20" s="4264"/>
      <c r="BY20" s="4258"/>
      <c r="CB20" s="4292" t="str">
        <f t="shared" si="4"/>
        <v/>
      </c>
      <c r="CC20" s="4292" t="str">
        <f t="shared" si="5"/>
        <v/>
      </c>
      <c r="CD20" s="4292" t="str">
        <f t="shared" si="6"/>
        <v/>
      </c>
      <c r="CE20" s="4292" t="str">
        <f t="shared" si="7"/>
        <v/>
      </c>
      <c r="CF20" s="4292" t="str">
        <f t="shared" si="8"/>
        <v/>
      </c>
      <c r="CG20" s="4292" t="str">
        <f t="shared" si="9"/>
        <v/>
      </c>
      <c r="CH20" s="4292"/>
      <c r="CI20" s="4292" t="str">
        <f t="shared" si="10"/>
        <v/>
      </c>
      <c r="CJ20" s="4292" t="str">
        <f t="shared" si="11"/>
        <v/>
      </c>
      <c r="CK20" s="4292" t="str">
        <f t="shared" si="12"/>
        <v>* El campo Beneficiarios no debe superar el Total.</v>
      </c>
      <c r="CL20" s="4292" t="str">
        <f t="shared" si="13"/>
        <v>* El campo Niños, Niñas, Adolescentes y Jóvenes SENAME no debe superar el Total.</v>
      </c>
      <c r="CM20" s="4292" t="str">
        <f t="shared" si="14"/>
        <v>* El campo Niños, Niñas, Adolescentes y Jóvenes Mejor Niñez no debe superar el Total.</v>
      </c>
      <c r="CN20" s="4292" t="str">
        <f t="shared" si="15"/>
        <v>* El campo Pueblos Originarios no debe superar el Total.</v>
      </c>
      <c r="CO20" s="4292" t="str">
        <f t="shared" si="16"/>
        <v>* El campo Migrantes no debe superar el Total.</v>
      </c>
      <c r="CP20" s="4292" t="str">
        <f t="shared" si="17"/>
        <v>* El campo Demencia no debe superar el Total.</v>
      </c>
      <c r="CQ20" s="4292" t="str">
        <f t="shared" si="18"/>
        <v>* El campo Espacios Amigables/ Adolescente no debe superar el Total.</v>
      </c>
      <c r="CR20" s="4292" t="str">
        <f t="shared" si="19"/>
        <v>* El campo TRANS
 Masculino no debe superar el Total.</v>
      </c>
      <c r="CS20" s="4292" t="str">
        <f t="shared" si="20"/>
        <v>* El campo TRANS
 Femenino no debe superar el Total.</v>
      </c>
      <c r="DB20" s="5530"/>
      <c r="DC20" s="5530"/>
      <c r="DD20" s="5530"/>
      <c r="DE20" s="5530"/>
      <c r="DF20" s="5530"/>
      <c r="DG20" s="5530"/>
      <c r="DH20" s="5530"/>
      <c r="DI20" s="5530"/>
      <c r="DJ20" s="5530"/>
      <c r="DK20" s="5530">
        <f t="shared" si="21"/>
        <v>1</v>
      </c>
      <c r="DL20" s="5530">
        <f t="shared" si="22"/>
        <v>1</v>
      </c>
      <c r="DM20" s="5530">
        <f t="shared" si="23"/>
        <v>1</v>
      </c>
      <c r="DN20" s="5530">
        <f t="shared" si="24"/>
        <v>1</v>
      </c>
      <c r="DO20" s="5530">
        <f t="shared" si="25"/>
        <v>1</v>
      </c>
      <c r="DP20" s="5530">
        <f t="shared" si="26"/>
        <v>1</v>
      </c>
      <c r="DQ20" s="5530">
        <f t="shared" si="27"/>
        <v>1</v>
      </c>
      <c r="DR20" s="5530">
        <f t="shared" si="28"/>
        <v>1</v>
      </c>
      <c r="DS20" s="5530">
        <f t="shared" si="29"/>
        <v>1</v>
      </c>
    </row>
    <row r="21" spans="1:133" ht="16.350000000000001" customHeight="1" x14ac:dyDescent="0.25">
      <c r="A21" s="7258" t="s">
        <v>4646</v>
      </c>
      <c r="B21" s="9062"/>
      <c r="C21" s="5851" t="s">
        <v>1511</v>
      </c>
      <c r="D21" s="5857" t="s">
        <v>5369</v>
      </c>
      <c r="E21" s="5858" t="s">
        <v>5370</v>
      </c>
      <c r="F21" s="5859" t="s">
        <v>5371</v>
      </c>
      <c r="G21" s="4925" t="s">
        <v>5372</v>
      </c>
      <c r="H21" s="4929" t="s">
        <v>5373</v>
      </c>
      <c r="I21" s="4925" t="s">
        <v>5374</v>
      </c>
      <c r="J21" s="4929" t="s">
        <v>5375</v>
      </c>
      <c r="K21" s="4925" t="s">
        <v>5376</v>
      </c>
      <c r="L21" s="5860" t="s">
        <v>5377</v>
      </c>
      <c r="M21" s="4925" t="s">
        <v>5378</v>
      </c>
      <c r="N21" s="5860" t="s">
        <v>5379</v>
      </c>
      <c r="O21" s="4925" t="s">
        <v>5380</v>
      </c>
      <c r="P21" s="5860" t="s">
        <v>5381</v>
      </c>
      <c r="Q21" s="4925" t="s">
        <v>5382</v>
      </c>
      <c r="R21" s="5860" t="s">
        <v>5383</v>
      </c>
      <c r="S21" s="4925" t="s">
        <v>5384</v>
      </c>
      <c r="T21" s="5860" t="s">
        <v>5385</v>
      </c>
      <c r="U21" s="4925" t="s">
        <v>5386</v>
      </c>
      <c r="V21" s="5860" t="s">
        <v>5387</v>
      </c>
      <c r="W21" s="4925" t="s">
        <v>5388</v>
      </c>
      <c r="X21" s="5860" t="s">
        <v>5389</v>
      </c>
      <c r="Y21" s="4925" t="s">
        <v>5390</v>
      </c>
      <c r="Z21" s="5860" t="s">
        <v>5391</v>
      </c>
      <c r="AA21" s="4925" t="s">
        <v>5392</v>
      </c>
      <c r="AB21" s="5860" t="s">
        <v>5393</v>
      </c>
      <c r="AC21" s="4925" t="s">
        <v>5394</v>
      </c>
      <c r="AD21" s="5860" t="s">
        <v>5395</v>
      </c>
      <c r="AE21" s="4925" t="s">
        <v>5396</v>
      </c>
      <c r="AF21" s="5860" t="s">
        <v>5397</v>
      </c>
      <c r="AG21" s="4925" t="s">
        <v>5398</v>
      </c>
      <c r="AH21" s="5860" t="s">
        <v>5399</v>
      </c>
      <c r="AI21" s="4925" t="s">
        <v>5400</v>
      </c>
      <c r="AJ21" s="5860" t="s">
        <v>5401</v>
      </c>
      <c r="AK21" s="4925" t="s">
        <v>5402</v>
      </c>
      <c r="AL21" s="5860" t="s">
        <v>5403</v>
      </c>
      <c r="AM21" s="5861" t="s">
        <v>5404</v>
      </c>
      <c r="AN21" s="5862" t="s">
        <v>5405</v>
      </c>
      <c r="AO21" s="4926" t="s">
        <v>5406</v>
      </c>
      <c r="AP21" s="4926" t="s">
        <v>5407</v>
      </c>
      <c r="AQ21" s="4926" t="s">
        <v>5408</v>
      </c>
      <c r="AR21" s="4926" t="s">
        <v>5409</v>
      </c>
      <c r="AS21" s="4926" t="s">
        <v>5410</v>
      </c>
      <c r="AT21" s="4926" t="s">
        <v>5411</v>
      </c>
      <c r="AU21" s="7076" t="s">
        <v>5412</v>
      </c>
      <c r="AV21" s="4926" t="s">
        <v>5413</v>
      </c>
      <c r="AW21" s="4926" t="s">
        <v>5414</v>
      </c>
      <c r="AX21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21" s="4291"/>
      <c r="AZ21" s="4291"/>
      <c r="BA21" s="4291"/>
      <c r="BB21" s="4291"/>
      <c r="BC21" s="4291"/>
      <c r="BD21" s="4264"/>
      <c r="BE21" s="4264"/>
      <c r="BF21" s="4264"/>
      <c r="BY21" s="4258"/>
      <c r="CB21" s="4292" t="str">
        <f t="shared" si="4"/>
        <v/>
      </c>
      <c r="CC21" s="4292" t="str">
        <f t="shared" si="5"/>
        <v/>
      </c>
      <c r="CD21" s="4292" t="str">
        <f t="shared" si="6"/>
        <v/>
      </c>
      <c r="CE21" s="4292" t="str">
        <f t="shared" si="7"/>
        <v/>
      </c>
      <c r="CF21" s="4292" t="str">
        <f t="shared" si="8"/>
        <v/>
      </c>
      <c r="CG21" s="4292" t="str">
        <f t="shared" si="9"/>
        <v/>
      </c>
      <c r="CH21" s="4292"/>
      <c r="CI21" s="4292" t="str">
        <f t="shared" si="10"/>
        <v/>
      </c>
      <c r="CJ21" s="4292" t="str">
        <f t="shared" si="11"/>
        <v/>
      </c>
      <c r="CK21" s="4292" t="str">
        <f t="shared" si="12"/>
        <v>* El campo Beneficiarios no debe superar el Total.</v>
      </c>
      <c r="CL21" s="4292" t="str">
        <f t="shared" si="13"/>
        <v>* El campo Niños, Niñas, Adolescentes y Jóvenes SENAME no debe superar el Total.</v>
      </c>
      <c r="CM21" s="4292" t="str">
        <f t="shared" si="14"/>
        <v>* El campo Niños, Niñas, Adolescentes y Jóvenes Mejor Niñez no debe superar el Total.</v>
      </c>
      <c r="CN21" s="4292" t="str">
        <f t="shared" si="15"/>
        <v>* El campo Pueblos Originarios no debe superar el Total.</v>
      </c>
      <c r="CO21" s="4292" t="str">
        <f t="shared" si="16"/>
        <v>* El campo Migrantes no debe superar el Total.</v>
      </c>
      <c r="CP21" s="4292" t="str">
        <f t="shared" si="17"/>
        <v>* El campo Demencia no debe superar el Total.</v>
      </c>
      <c r="CQ21" s="4292" t="str">
        <f t="shared" si="18"/>
        <v>* El campo Espacios Amigables/ Adolescente no debe superar el Total.</v>
      </c>
      <c r="CR21" s="4292" t="str">
        <f t="shared" si="19"/>
        <v>* El campo TRANS
 Masculino no debe superar el Total.</v>
      </c>
      <c r="CS21" s="4292" t="str">
        <f t="shared" si="20"/>
        <v>* El campo TRANS
 Femenino no debe superar el Total.</v>
      </c>
      <c r="DB21" s="5530"/>
      <c r="DC21" s="5530"/>
      <c r="DD21" s="5530"/>
      <c r="DE21" s="5530"/>
      <c r="DF21" s="5530"/>
      <c r="DG21" s="5530"/>
      <c r="DH21" s="5530"/>
      <c r="DI21" s="5530"/>
      <c r="DJ21" s="5530"/>
      <c r="DK21" s="5530">
        <f t="shared" si="21"/>
        <v>1</v>
      </c>
      <c r="DL21" s="5530">
        <f t="shared" si="22"/>
        <v>1</v>
      </c>
      <c r="DM21" s="5530">
        <f t="shared" si="23"/>
        <v>1</v>
      </c>
      <c r="DN21" s="5530">
        <f t="shared" si="24"/>
        <v>1</v>
      </c>
      <c r="DO21" s="5530">
        <f t="shared" si="25"/>
        <v>1</v>
      </c>
      <c r="DP21" s="5530">
        <f t="shared" si="26"/>
        <v>1</v>
      </c>
      <c r="DQ21" s="5530">
        <f t="shared" si="27"/>
        <v>1</v>
      </c>
      <c r="DR21" s="5530">
        <f t="shared" si="28"/>
        <v>1</v>
      </c>
      <c r="DS21" s="5530">
        <f t="shared" si="29"/>
        <v>1</v>
      </c>
    </row>
    <row r="22" spans="1:133" ht="27" customHeight="1" x14ac:dyDescent="0.25">
      <c r="A22" s="7258" t="s">
        <v>4647</v>
      </c>
      <c r="B22" s="9062"/>
      <c r="C22" s="5851" t="s">
        <v>1510</v>
      </c>
      <c r="D22" s="5857" t="s">
        <v>5369</v>
      </c>
      <c r="E22" s="5863" t="s">
        <v>5370</v>
      </c>
      <c r="F22" s="5859" t="s">
        <v>5371</v>
      </c>
      <c r="G22" s="4925" t="s">
        <v>5372</v>
      </c>
      <c r="H22" s="4929" t="s">
        <v>5373</v>
      </c>
      <c r="I22" s="4925" t="s">
        <v>5374</v>
      </c>
      <c r="J22" s="4929" t="s">
        <v>5375</v>
      </c>
      <c r="K22" s="4925" t="s">
        <v>5376</v>
      </c>
      <c r="L22" s="5860" t="s">
        <v>5377</v>
      </c>
      <c r="M22" s="4925" t="s">
        <v>5378</v>
      </c>
      <c r="N22" s="5860" t="s">
        <v>5379</v>
      </c>
      <c r="O22" s="4925" t="s">
        <v>5380</v>
      </c>
      <c r="P22" s="5860" t="s">
        <v>5381</v>
      </c>
      <c r="Q22" s="4925" t="s">
        <v>5382</v>
      </c>
      <c r="R22" s="5860" t="s">
        <v>5383</v>
      </c>
      <c r="S22" s="4925" t="s">
        <v>5384</v>
      </c>
      <c r="T22" s="5860" t="s">
        <v>5385</v>
      </c>
      <c r="U22" s="4925" t="s">
        <v>5386</v>
      </c>
      <c r="V22" s="5860" t="s">
        <v>5387</v>
      </c>
      <c r="W22" s="4925" t="s">
        <v>5388</v>
      </c>
      <c r="X22" s="5860" t="s">
        <v>5389</v>
      </c>
      <c r="Y22" s="4925" t="s">
        <v>5390</v>
      </c>
      <c r="Z22" s="5860" t="s">
        <v>5391</v>
      </c>
      <c r="AA22" s="4925" t="s">
        <v>5392</v>
      </c>
      <c r="AB22" s="5860" t="s">
        <v>5393</v>
      </c>
      <c r="AC22" s="4925" t="s">
        <v>5394</v>
      </c>
      <c r="AD22" s="5860" t="s">
        <v>5395</v>
      </c>
      <c r="AE22" s="4925" t="s">
        <v>5396</v>
      </c>
      <c r="AF22" s="5860" t="s">
        <v>5397</v>
      </c>
      <c r="AG22" s="4925" t="s">
        <v>5398</v>
      </c>
      <c r="AH22" s="5860" t="s">
        <v>5399</v>
      </c>
      <c r="AI22" s="4925" t="s">
        <v>5400</v>
      </c>
      <c r="AJ22" s="5860" t="s">
        <v>5401</v>
      </c>
      <c r="AK22" s="4925" t="s">
        <v>5402</v>
      </c>
      <c r="AL22" s="5860" t="s">
        <v>5403</v>
      </c>
      <c r="AM22" s="5861" t="s">
        <v>5404</v>
      </c>
      <c r="AN22" s="5862" t="s">
        <v>5405</v>
      </c>
      <c r="AO22" s="4926" t="s">
        <v>5406</v>
      </c>
      <c r="AP22" s="4926" t="s">
        <v>5407</v>
      </c>
      <c r="AQ22" s="4926" t="s">
        <v>5408</v>
      </c>
      <c r="AR22" s="4926" t="s">
        <v>5409</v>
      </c>
      <c r="AS22" s="4926" t="s">
        <v>5410</v>
      </c>
      <c r="AT22" s="4926" t="s">
        <v>5411</v>
      </c>
      <c r="AU22" s="7076" t="s">
        <v>5412</v>
      </c>
      <c r="AV22" s="4926" t="s">
        <v>5413</v>
      </c>
      <c r="AW22" s="4926" t="s">
        <v>5414</v>
      </c>
      <c r="AX22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22" s="4291"/>
      <c r="AZ22" s="4291"/>
      <c r="BA22" s="4291"/>
      <c r="BB22" s="4291"/>
      <c r="BC22" s="4291"/>
      <c r="BD22" s="4264"/>
      <c r="BE22" s="4264"/>
      <c r="BF22" s="4264"/>
      <c r="BY22" s="4258"/>
      <c r="CB22" s="4292" t="str">
        <f t="shared" si="4"/>
        <v/>
      </c>
      <c r="CC22" s="4292" t="str">
        <f t="shared" si="5"/>
        <v/>
      </c>
      <c r="CD22" s="4292" t="str">
        <f t="shared" si="6"/>
        <v/>
      </c>
      <c r="CE22" s="4292" t="str">
        <f t="shared" si="7"/>
        <v/>
      </c>
      <c r="CF22" s="4292" t="str">
        <f t="shared" si="8"/>
        <v/>
      </c>
      <c r="CG22" s="4292" t="str">
        <f t="shared" si="9"/>
        <v/>
      </c>
      <c r="CH22" s="4292"/>
      <c r="CI22" s="4292" t="str">
        <f t="shared" si="10"/>
        <v/>
      </c>
      <c r="CJ22" s="4292" t="str">
        <f t="shared" si="11"/>
        <v/>
      </c>
      <c r="CK22" s="4292" t="str">
        <f t="shared" si="12"/>
        <v>* El campo Beneficiarios no debe superar el Total.</v>
      </c>
      <c r="CL22" s="4292" t="str">
        <f t="shared" si="13"/>
        <v>* El campo Niños, Niñas, Adolescentes y Jóvenes SENAME no debe superar el Total.</v>
      </c>
      <c r="CM22" s="4292" t="str">
        <f t="shared" si="14"/>
        <v>* El campo Niños, Niñas, Adolescentes y Jóvenes Mejor Niñez no debe superar el Total.</v>
      </c>
      <c r="CN22" s="4292" t="str">
        <f t="shared" si="15"/>
        <v>* El campo Pueblos Originarios no debe superar el Total.</v>
      </c>
      <c r="CO22" s="4292" t="str">
        <f t="shared" si="16"/>
        <v>* El campo Migrantes no debe superar el Total.</v>
      </c>
      <c r="CP22" s="4292" t="str">
        <f t="shared" si="17"/>
        <v>* El campo Demencia no debe superar el Total.</v>
      </c>
      <c r="CQ22" s="4292" t="str">
        <f t="shared" si="18"/>
        <v>* El campo Espacios Amigables/ Adolescente no debe superar el Total.</v>
      </c>
      <c r="CR22" s="4292" t="str">
        <f t="shared" si="19"/>
        <v>* El campo TRANS
 Masculino no debe superar el Total.</v>
      </c>
      <c r="CS22" s="4292" t="str">
        <f t="shared" si="20"/>
        <v>* El campo TRANS
 Femenino no debe superar el Total.</v>
      </c>
      <c r="DB22" s="5530"/>
      <c r="DC22" s="5530"/>
      <c r="DD22" s="5530"/>
      <c r="DE22" s="5530"/>
      <c r="DF22" s="5530"/>
      <c r="DG22" s="5530"/>
      <c r="DH22" s="5530"/>
      <c r="DI22" s="5530"/>
      <c r="DJ22" s="5530"/>
      <c r="DK22" s="5530">
        <f t="shared" si="21"/>
        <v>1</v>
      </c>
      <c r="DL22" s="5530">
        <f t="shared" si="22"/>
        <v>1</v>
      </c>
      <c r="DM22" s="5530">
        <f t="shared" si="23"/>
        <v>1</v>
      </c>
      <c r="DN22" s="5530">
        <f t="shared" si="24"/>
        <v>1</v>
      </c>
      <c r="DO22" s="5530">
        <f t="shared" si="25"/>
        <v>1</v>
      </c>
      <c r="DP22" s="5530">
        <f t="shared" si="26"/>
        <v>1</v>
      </c>
      <c r="DQ22" s="5530">
        <f t="shared" si="27"/>
        <v>1</v>
      </c>
      <c r="DR22" s="5530">
        <f t="shared" si="28"/>
        <v>1</v>
      </c>
      <c r="DS22" s="5530">
        <f t="shared" si="29"/>
        <v>1</v>
      </c>
    </row>
    <row r="23" spans="1:133" ht="16.350000000000001" customHeight="1" x14ac:dyDescent="0.25">
      <c r="A23" s="7291"/>
      <c r="B23" s="9080"/>
      <c r="C23" s="5864" t="s">
        <v>24</v>
      </c>
      <c r="D23" s="4397">
        <f t="shared" ref="D23" si="30">SUM(E23+F23)</f>
        <v>0</v>
      </c>
      <c r="E23" s="4398">
        <f t="shared" ref="E23" si="31">SUM(G23+I23+K23+M23+O23+Q23+S23+U23+W23+Y23+AA23+AC23+AE23+AG23+AI23+AK23+AM23)</f>
        <v>0</v>
      </c>
      <c r="F23" s="5865">
        <f t="shared" ref="F23" si="32">SUM(H23+J23+L23+N23+P23+R23+T23+V23+X23+Z23+AB23+AD23+AF23+AH23+AJ23+AL23+AN23)</f>
        <v>0</v>
      </c>
      <c r="G23" s="5866">
        <f>SUM(G13:G22)</f>
        <v>0</v>
      </c>
      <c r="H23" s="5867">
        <f t="shared" ref="H23:AT23" si="33">SUM(H13:H22)</f>
        <v>0</v>
      </c>
      <c r="I23" s="5866">
        <f t="shared" si="33"/>
        <v>0</v>
      </c>
      <c r="J23" s="5867">
        <f t="shared" si="33"/>
        <v>0</v>
      </c>
      <c r="K23" s="5866">
        <f t="shared" si="33"/>
        <v>0</v>
      </c>
      <c r="L23" s="5868">
        <f t="shared" si="33"/>
        <v>0</v>
      </c>
      <c r="M23" s="5866">
        <f t="shared" si="33"/>
        <v>0</v>
      </c>
      <c r="N23" s="5868">
        <f t="shared" si="33"/>
        <v>0</v>
      </c>
      <c r="O23" s="5866">
        <f t="shared" si="33"/>
        <v>0</v>
      </c>
      <c r="P23" s="5868">
        <f t="shared" si="33"/>
        <v>0</v>
      </c>
      <c r="Q23" s="5866">
        <f t="shared" si="33"/>
        <v>0</v>
      </c>
      <c r="R23" s="5868">
        <f t="shared" si="33"/>
        <v>0</v>
      </c>
      <c r="S23" s="5866">
        <f t="shared" si="33"/>
        <v>0</v>
      </c>
      <c r="T23" s="5868">
        <f t="shared" si="33"/>
        <v>0</v>
      </c>
      <c r="U23" s="5866">
        <f t="shared" si="33"/>
        <v>0</v>
      </c>
      <c r="V23" s="5868">
        <f t="shared" si="33"/>
        <v>0</v>
      </c>
      <c r="W23" s="5866">
        <f t="shared" si="33"/>
        <v>0</v>
      </c>
      <c r="X23" s="5868">
        <f t="shared" si="33"/>
        <v>0</v>
      </c>
      <c r="Y23" s="5866">
        <f t="shared" si="33"/>
        <v>0</v>
      </c>
      <c r="Z23" s="5868">
        <f t="shared" si="33"/>
        <v>0</v>
      </c>
      <c r="AA23" s="5866">
        <f t="shared" si="33"/>
        <v>0</v>
      </c>
      <c r="AB23" s="5868">
        <f t="shared" si="33"/>
        <v>0</v>
      </c>
      <c r="AC23" s="5866">
        <f t="shared" si="33"/>
        <v>0</v>
      </c>
      <c r="AD23" s="5868">
        <f t="shared" si="33"/>
        <v>0</v>
      </c>
      <c r="AE23" s="5866">
        <f t="shared" si="33"/>
        <v>0</v>
      </c>
      <c r="AF23" s="5868">
        <f t="shared" si="33"/>
        <v>0</v>
      </c>
      <c r="AG23" s="5866">
        <f t="shared" si="33"/>
        <v>0</v>
      </c>
      <c r="AH23" s="5868">
        <f t="shared" si="33"/>
        <v>0</v>
      </c>
      <c r="AI23" s="5866">
        <f t="shared" si="33"/>
        <v>0</v>
      </c>
      <c r="AJ23" s="5868">
        <f t="shared" si="33"/>
        <v>0</v>
      </c>
      <c r="AK23" s="5866">
        <f t="shared" si="33"/>
        <v>0</v>
      </c>
      <c r="AL23" s="5868">
        <f t="shared" si="33"/>
        <v>0</v>
      </c>
      <c r="AM23" s="5869">
        <f t="shared" si="33"/>
        <v>0</v>
      </c>
      <c r="AN23" s="5870">
        <f t="shared" si="33"/>
        <v>0</v>
      </c>
      <c r="AO23" s="5871">
        <f t="shared" si="33"/>
        <v>0</v>
      </c>
      <c r="AP23" s="5871">
        <f t="shared" si="33"/>
        <v>0</v>
      </c>
      <c r="AQ23" s="5871">
        <f>SUM(AQ13:AQ22)</f>
        <v>0</v>
      </c>
      <c r="AR23" s="5871">
        <f t="shared" si="33"/>
        <v>0</v>
      </c>
      <c r="AS23" s="5871">
        <f t="shared" si="33"/>
        <v>0</v>
      </c>
      <c r="AT23" s="5871">
        <f t="shared" si="33"/>
        <v>0</v>
      </c>
      <c r="AU23" s="7077"/>
      <c r="AV23" s="5871">
        <f>SUM(AV13:AV22)</f>
        <v>0</v>
      </c>
      <c r="AW23" s="5871">
        <f>SUM(AW13:AW22)</f>
        <v>0</v>
      </c>
      <c r="AX23" s="4264"/>
      <c r="AY23" s="4264"/>
      <c r="AZ23" s="4264"/>
      <c r="BA23" s="4264"/>
      <c r="BB23" s="4264"/>
      <c r="BC23" s="4264"/>
      <c r="BD23" s="4264"/>
      <c r="BE23" s="4264"/>
      <c r="BF23" s="4264"/>
      <c r="BY23" s="4258"/>
      <c r="CB23" s="4993"/>
      <c r="CC23" s="4993"/>
      <c r="CD23" s="5872"/>
      <c r="CE23" s="5872"/>
      <c r="CF23" s="5872"/>
      <c r="CG23" s="5872"/>
      <c r="CH23" s="5872"/>
      <c r="CI23" s="5872"/>
      <c r="CJ23" s="5872"/>
    </row>
    <row r="24" spans="1:133" ht="19.5" customHeight="1" x14ac:dyDescent="0.25">
      <c r="A24" s="7258" t="s">
        <v>4648</v>
      </c>
      <c r="B24" s="9453" t="s">
        <v>3990</v>
      </c>
      <c r="C24" s="9454"/>
      <c r="D24" s="5873" t="s">
        <v>5369</v>
      </c>
      <c r="E24" s="5874" t="s">
        <v>5370</v>
      </c>
      <c r="F24" s="5865" t="s">
        <v>5371</v>
      </c>
      <c r="G24" s="5875" t="s">
        <v>5372</v>
      </c>
      <c r="H24" s="5876" t="s">
        <v>5373</v>
      </c>
      <c r="I24" s="5875" t="s">
        <v>5374</v>
      </c>
      <c r="J24" s="5876" t="s">
        <v>5375</v>
      </c>
      <c r="K24" s="5875" t="s">
        <v>5376</v>
      </c>
      <c r="L24" s="5877" t="s">
        <v>5377</v>
      </c>
      <c r="M24" s="5875" t="s">
        <v>5378</v>
      </c>
      <c r="N24" s="5877" t="s">
        <v>5379</v>
      </c>
      <c r="O24" s="5875" t="s">
        <v>5380</v>
      </c>
      <c r="P24" s="5877" t="s">
        <v>5381</v>
      </c>
      <c r="Q24" s="5875" t="s">
        <v>5382</v>
      </c>
      <c r="R24" s="5877" t="s">
        <v>5383</v>
      </c>
      <c r="S24" s="5875" t="s">
        <v>5384</v>
      </c>
      <c r="T24" s="5877" t="s">
        <v>5385</v>
      </c>
      <c r="U24" s="5875" t="s">
        <v>5386</v>
      </c>
      <c r="V24" s="5877" t="s">
        <v>5387</v>
      </c>
      <c r="W24" s="5875" t="s">
        <v>5388</v>
      </c>
      <c r="X24" s="5877" t="s">
        <v>5389</v>
      </c>
      <c r="Y24" s="5875" t="s">
        <v>5390</v>
      </c>
      <c r="Z24" s="5877" t="s">
        <v>5391</v>
      </c>
      <c r="AA24" s="5875" t="s">
        <v>5392</v>
      </c>
      <c r="AB24" s="5877" t="s">
        <v>5393</v>
      </c>
      <c r="AC24" s="5875" t="s">
        <v>5394</v>
      </c>
      <c r="AD24" s="5877" t="s">
        <v>5395</v>
      </c>
      <c r="AE24" s="5875" t="s">
        <v>5396</v>
      </c>
      <c r="AF24" s="5877" t="s">
        <v>5397</v>
      </c>
      <c r="AG24" s="5875" t="s">
        <v>5398</v>
      </c>
      <c r="AH24" s="5877" t="s">
        <v>5399</v>
      </c>
      <c r="AI24" s="5875" t="s">
        <v>5400</v>
      </c>
      <c r="AJ24" s="5877" t="s">
        <v>5401</v>
      </c>
      <c r="AK24" s="5875" t="s">
        <v>5402</v>
      </c>
      <c r="AL24" s="5877" t="s">
        <v>5403</v>
      </c>
      <c r="AM24" s="5878" t="s">
        <v>5404</v>
      </c>
      <c r="AN24" s="5879" t="s">
        <v>5405</v>
      </c>
      <c r="AO24" s="5880" t="s">
        <v>5406</v>
      </c>
      <c r="AP24" s="5880" t="s">
        <v>5407</v>
      </c>
      <c r="AQ24" s="5880" t="s">
        <v>5408</v>
      </c>
      <c r="AR24" s="5880" t="s">
        <v>5409</v>
      </c>
      <c r="AS24" s="5880" t="s">
        <v>5410</v>
      </c>
      <c r="AT24" s="5880" t="s">
        <v>5411</v>
      </c>
      <c r="AU24" s="7077" t="s">
        <v>5412</v>
      </c>
      <c r="AV24" s="5880" t="s">
        <v>5413</v>
      </c>
      <c r="AW24" s="5880" t="s">
        <v>5414</v>
      </c>
      <c r="AX24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24" s="4291"/>
      <c r="AZ24" s="4291"/>
      <c r="BA24" s="4291"/>
      <c r="BB24" s="4291"/>
      <c r="BC24" s="4291"/>
      <c r="BD24" s="4264"/>
      <c r="BE24" s="4264"/>
      <c r="BF24" s="4264"/>
      <c r="BY24" s="4258"/>
      <c r="CB24" s="4292" t="str">
        <f t="shared" ref="CB24:CB27" si="34">IF(AND($D24&lt;&gt;0,AO24=""),"* No olvide agregar el campo "&amp;AO$10&amp;".","")</f>
        <v/>
      </c>
      <c r="CC24" s="4292" t="str">
        <f t="shared" ref="CC24:CC27" si="35">IF(AND($D24&lt;&gt;0,AP24=""),"* No olvide agregar el campo "&amp;AP$10&amp;".","")</f>
        <v/>
      </c>
      <c r="CD24" s="4292" t="str">
        <f t="shared" ref="CD24:CD27" si="36">IF(AND($D24&lt;&gt;0,AQ24=""),"* No olvide agregar el campo "&amp;AQ$10&amp;".","")</f>
        <v/>
      </c>
      <c r="CE24" s="4292" t="str">
        <f t="shared" ref="CE24:CE27" si="37">IF(AND($D24&lt;&gt;0,AR24=""),"* No olvide agregar el campo "&amp;AR$10&amp;".","")</f>
        <v/>
      </c>
      <c r="CF24" s="4292" t="str">
        <f t="shared" ref="CF24:CF27" si="38">IF(AND($D24&lt;&gt;0,AS24=""),"* No olvide agregar el campo "&amp;AS$10&amp;".","")</f>
        <v/>
      </c>
      <c r="CG24" s="4292" t="str">
        <f t="shared" ref="CG24:CG27" si="39">IF(AND($D24&lt;&gt;0,AT24=""),"* No olvide agregar el campo "&amp;AT$10&amp;".","")</f>
        <v/>
      </c>
      <c r="CH24" s="4292"/>
      <c r="CI24" s="4292" t="str">
        <f t="shared" ref="CI24:CI27" si="40">IF(AND($D24&lt;&gt;0,AV24=""),"* No olvide agregar el campo "&amp;$AV$10&amp;" "&amp;AV$11&amp;".","")</f>
        <v/>
      </c>
      <c r="CJ24" s="4292" t="str">
        <f t="shared" ref="CJ24:CJ27" si="41">IF(AND($D24&lt;&gt;0,AW24=""),"* No olvide agregar el campo "&amp;$AV$10&amp;" "&amp;AW$11&amp;".","")</f>
        <v/>
      </c>
      <c r="CK24" s="4292" t="str">
        <f t="shared" ref="CK24:CK27" si="42">IF(DK24=1,"* El campo "&amp;AO$10&amp;" no debe superar el Total.","")</f>
        <v>* El campo Beneficiarios no debe superar el Total.</v>
      </c>
      <c r="CL24" s="4292" t="str">
        <f t="shared" ref="CL24:CL27" si="43">IF(DL24=1,"* El campo "&amp;AP$10&amp;" no debe superar el Total.","")</f>
        <v>* El campo Niños, Niñas, Adolescentes y Jóvenes SENAME no debe superar el Total.</v>
      </c>
      <c r="CM24" s="4292" t="str">
        <f t="shared" ref="CM24:CM27" si="44">IF(DM24=1,"* El campo "&amp;AQ$10&amp;" no debe superar el Total.","")</f>
        <v>* El campo Niños, Niñas, Adolescentes y Jóvenes Mejor Niñez no debe superar el Total.</v>
      </c>
      <c r="CN24" s="4292" t="str">
        <f t="shared" ref="CN24:CN27" si="45">IF(DN24=1,"* El campo "&amp;AR$10&amp;" no debe superar el Total.","")</f>
        <v>* El campo Pueblos Originarios no debe superar el Total.</v>
      </c>
      <c r="CO24" s="4292" t="str">
        <f t="shared" ref="CO24:CO27" si="46">IF(DO24=1,"* El campo "&amp;AS$10&amp;" no debe superar el Total.","")</f>
        <v>* El campo Migrantes no debe superar el Total.</v>
      </c>
      <c r="CP24" s="4292" t="str">
        <f t="shared" ref="CP24:CP27" si="47">IF(DP24=1,"* El campo "&amp;AT$10&amp;" no debe superar el Total.","")</f>
        <v>* El campo Demencia no debe superar el Total.</v>
      </c>
      <c r="CQ24" s="4292" t="str">
        <f t="shared" ref="CQ24:CQ27" si="48">IF(DQ24=1,"* El campo "&amp;AU$10&amp;" no debe superar el Total.","")</f>
        <v>* El campo Espacios Amigables/ Adolescente no debe superar el Total.</v>
      </c>
      <c r="CR24" s="4292" t="str">
        <f t="shared" ref="CR24:CR27" si="49">IF(DR24=1,"* El campo "&amp;$AV$10&amp;" "&amp;AV$11&amp;" no debe superar el Total.","")</f>
        <v>* El campo TRANS
 Masculino no debe superar el Total.</v>
      </c>
      <c r="CS24" s="4292" t="str">
        <f t="shared" ref="CS24:CS27" si="50">IF(DS24=1,"* El campo "&amp;$AV$10&amp;" "&amp;AW$11&amp;" no debe superar el Total.","")</f>
        <v>* El campo TRANS
 Femenino no debe superar el Total.</v>
      </c>
      <c r="DB24" s="5530"/>
      <c r="DC24" s="5530"/>
      <c r="DD24" s="5530"/>
      <c r="DE24" s="5530"/>
      <c r="DF24" s="5530"/>
      <c r="DG24" s="5530"/>
      <c r="DH24" s="5530"/>
      <c r="DI24" s="5530"/>
      <c r="DJ24" s="5530"/>
      <c r="DK24" s="5530">
        <f t="shared" ref="DK24:DK27" si="51">IF(AO24&gt;$D24,1,0)</f>
        <v>1</v>
      </c>
      <c r="DL24" s="5530">
        <f t="shared" ref="DL24:DL27" si="52">IF(AP24&gt;$D24,1,0)</f>
        <v>1</v>
      </c>
      <c r="DM24" s="5530">
        <f t="shared" ref="DM24:DM27" si="53">IF(AQ24&gt;$D24,1,0)</f>
        <v>1</v>
      </c>
      <c r="DN24" s="5530">
        <f t="shared" ref="DN24:DN27" si="54">IF(AR24&gt;$D24,1,0)</f>
        <v>1</v>
      </c>
      <c r="DO24" s="5530">
        <f t="shared" ref="DO24:DO27" si="55">IF(AS24&gt;$D24,1,0)</f>
        <v>1</v>
      </c>
      <c r="DP24" s="5530">
        <f t="shared" ref="DP24:DP27" si="56">IF(AT24&gt;$D24,1,0)</f>
        <v>1</v>
      </c>
      <c r="DQ24" s="5530">
        <f t="shared" ref="DQ24:DQ27" si="57">IF(AU24&gt;$D24,1,0)</f>
        <v>1</v>
      </c>
      <c r="DR24" s="5530">
        <f t="shared" ref="DR24:DR27" si="58">IF(AV24&gt;$D24,1,0)</f>
        <v>1</v>
      </c>
      <c r="DS24" s="5530">
        <f t="shared" ref="DS24:DS27" si="59">IF(AW24&gt;$D24,1,0)</f>
        <v>1</v>
      </c>
    </row>
    <row r="25" spans="1:133" ht="19.5" customHeight="1" x14ac:dyDescent="0.25">
      <c r="A25" s="7258" t="s">
        <v>4649</v>
      </c>
      <c r="B25" s="4247" t="s">
        <v>1590</v>
      </c>
      <c r="C25" s="5881" t="s">
        <v>60</v>
      </c>
      <c r="D25" s="5882" t="s">
        <v>5369</v>
      </c>
      <c r="E25" s="5883" t="s">
        <v>5370</v>
      </c>
      <c r="F25" s="5884" t="s">
        <v>5371</v>
      </c>
      <c r="G25" s="5885" t="s">
        <v>5372</v>
      </c>
      <c r="H25" s="5886" t="s">
        <v>5373</v>
      </c>
      <c r="I25" s="5885" t="s">
        <v>5374</v>
      </c>
      <c r="J25" s="5886" t="s">
        <v>5375</v>
      </c>
      <c r="K25" s="5885" t="s">
        <v>5376</v>
      </c>
      <c r="L25" s="5887" t="s">
        <v>5377</v>
      </c>
      <c r="M25" s="5885" t="s">
        <v>5378</v>
      </c>
      <c r="N25" s="5887" t="s">
        <v>5379</v>
      </c>
      <c r="O25" s="5885" t="s">
        <v>5380</v>
      </c>
      <c r="P25" s="5887" t="s">
        <v>5381</v>
      </c>
      <c r="Q25" s="5885" t="s">
        <v>5382</v>
      </c>
      <c r="R25" s="5887" t="s">
        <v>5383</v>
      </c>
      <c r="S25" s="5885" t="s">
        <v>5384</v>
      </c>
      <c r="T25" s="5887" t="s">
        <v>5385</v>
      </c>
      <c r="U25" s="5885" t="s">
        <v>5386</v>
      </c>
      <c r="V25" s="5887" t="s">
        <v>5387</v>
      </c>
      <c r="W25" s="5885" t="s">
        <v>5388</v>
      </c>
      <c r="X25" s="5887" t="s">
        <v>5389</v>
      </c>
      <c r="Y25" s="5885" t="s">
        <v>5390</v>
      </c>
      <c r="Z25" s="5887" t="s">
        <v>5391</v>
      </c>
      <c r="AA25" s="5885" t="s">
        <v>5392</v>
      </c>
      <c r="AB25" s="5887" t="s">
        <v>5393</v>
      </c>
      <c r="AC25" s="5885" t="s">
        <v>5394</v>
      </c>
      <c r="AD25" s="5887" t="s">
        <v>5395</v>
      </c>
      <c r="AE25" s="5885" t="s">
        <v>5396</v>
      </c>
      <c r="AF25" s="5887" t="s">
        <v>5397</v>
      </c>
      <c r="AG25" s="5885" t="s">
        <v>5398</v>
      </c>
      <c r="AH25" s="5887" t="s">
        <v>5399</v>
      </c>
      <c r="AI25" s="5885" t="s">
        <v>5400</v>
      </c>
      <c r="AJ25" s="5887" t="s">
        <v>5401</v>
      </c>
      <c r="AK25" s="5885" t="s">
        <v>5402</v>
      </c>
      <c r="AL25" s="5887" t="s">
        <v>5403</v>
      </c>
      <c r="AM25" s="5888" t="s">
        <v>5404</v>
      </c>
      <c r="AN25" s="5889" t="s">
        <v>5405</v>
      </c>
      <c r="AO25" s="5349" t="s">
        <v>5406</v>
      </c>
      <c r="AP25" s="5349" t="s">
        <v>5407</v>
      </c>
      <c r="AQ25" s="5349" t="s">
        <v>5408</v>
      </c>
      <c r="AR25" s="5349" t="s">
        <v>5409</v>
      </c>
      <c r="AS25" s="5349" t="s">
        <v>5410</v>
      </c>
      <c r="AT25" s="5349" t="s">
        <v>5411</v>
      </c>
      <c r="AU25" s="7078" t="s">
        <v>5412</v>
      </c>
      <c r="AV25" s="5349" t="s">
        <v>5413</v>
      </c>
      <c r="AW25" s="5349" t="s">
        <v>5414</v>
      </c>
      <c r="AX25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25" s="4291"/>
      <c r="AZ25" s="4291"/>
      <c r="BA25" s="4291"/>
      <c r="BB25" s="4291"/>
      <c r="BC25" s="4291"/>
      <c r="BD25" s="4264"/>
      <c r="BE25" s="4264"/>
      <c r="BF25" s="4264"/>
      <c r="BY25" s="4258"/>
      <c r="CB25" s="4292" t="str">
        <f t="shared" si="34"/>
        <v/>
      </c>
      <c r="CC25" s="4292" t="str">
        <f t="shared" si="35"/>
        <v/>
      </c>
      <c r="CD25" s="4292" t="str">
        <f t="shared" si="36"/>
        <v/>
      </c>
      <c r="CE25" s="4292" t="str">
        <f t="shared" si="37"/>
        <v/>
      </c>
      <c r="CF25" s="4292" t="str">
        <f t="shared" si="38"/>
        <v/>
      </c>
      <c r="CG25" s="4292" t="str">
        <f t="shared" si="39"/>
        <v/>
      </c>
      <c r="CH25" s="4292"/>
      <c r="CI25" s="4292" t="str">
        <f t="shared" si="40"/>
        <v/>
      </c>
      <c r="CJ25" s="4292" t="str">
        <f t="shared" si="41"/>
        <v/>
      </c>
      <c r="CK25" s="4292" t="str">
        <f t="shared" si="42"/>
        <v>* El campo Beneficiarios no debe superar el Total.</v>
      </c>
      <c r="CL25" s="4292" t="str">
        <f t="shared" si="43"/>
        <v>* El campo Niños, Niñas, Adolescentes y Jóvenes SENAME no debe superar el Total.</v>
      </c>
      <c r="CM25" s="4292" t="str">
        <f t="shared" si="44"/>
        <v>* El campo Niños, Niñas, Adolescentes y Jóvenes Mejor Niñez no debe superar el Total.</v>
      </c>
      <c r="CN25" s="4292" t="str">
        <f t="shared" si="45"/>
        <v>* El campo Pueblos Originarios no debe superar el Total.</v>
      </c>
      <c r="CO25" s="4292" t="str">
        <f t="shared" si="46"/>
        <v>* El campo Migrantes no debe superar el Total.</v>
      </c>
      <c r="CP25" s="4292" t="str">
        <f t="shared" si="47"/>
        <v>* El campo Demencia no debe superar el Total.</v>
      </c>
      <c r="CQ25" s="4292" t="str">
        <f t="shared" si="48"/>
        <v>* El campo Espacios Amigables/ Adolescente no debe superar el Total.</v>
      </c>
      <c r="CR25" s="4292" t="str">
        <f t="shared" si="49"/>
        <v>* El campo TRANS
 Masculino no debe superar el Total.</v>
      </c>
      <c r="CS25" s="4292" t="str">
        <f t="shared" si="50"/>
        <v>* El campo TRANS
 Femenino no debe superar el Total.</v>
      </c>
      <c r="DB25" s="5530"/>
      <c r="DC25" s="5530"/>
      <c r="DD25" s="5530"/>
      <c r="DE25" s="5530"/>
      <c r="DF25" s="5530"/>
      <c r="DG25" s="5530"/>
      <c r="DH25" s="5530"/>
      <c r="DI25" s="5530"/>
      <c r="DJ25" s="5530"/>
      <c r="DK25" s="5530">
        <f t="shared" si="51"/>
        <v>1</v>
      </c>
      <c r="DL25" s="5530">
        <f t="shared" si="52"/>
        <v>1</v>
      </c>
      <c r="DM25" s="5530">
        <f t="shared" si="53"/>
        <v>1</v>
      </c>
      <c r="DN25" s="5530">
        <f t="shared" si="54"/>
        <v>1</v>
      </c>
      <c r="DO25" s="5530">
        <f t="shared" si="55"/>
        <v>1</v>
      </c>
      <c r="DP25" s="5530">
        <f t="shared" si="56"/>
        <v>1</v>
      </c>
      <c r="DQ25" s="5530">
        <f t="shared" si="57"/>
        <v>1</v>
      </c>
      <c r="DR25" s="5530">
        <f t="shared" si="58"/>
        <v>1</v>
      </c>
      <c r="DS25" s="5530">
        <f t="shared" si="59"/>
        <v>1</v>
      </c>
    </row>
    <row r="26" spans="1:133" ht="19.5" customHeight="1" x14ac:dyDescent="0.25">
      <c r="A26" s="7258" t="s">
        <v>4650</v>
      </c>
      <c r="B26" s="9079" t="s">
        <v>1589</v>
      </c>
      <c r="C26" s="5890" t="s">
        <v>60</v>
      </c>
      <c r="D26" s="5843" t="s">
        <v>5369</v>
      </c>
      <c r="E26" s="5844" t="s">
        <v>5370</v>
      </c>
      <c r="F26" s="5845" t="s">
        <v>5371</v>
      </c>
      <c r="G26" s="5846" t="s">
        <v>5372</v>
      </c>
      <c r="H26" s="5847" t="s">
        <v>5373</v>
      </c>
      <c r="I26" s="5846" t="s">
        <v>5374</v>
      </c>
      <c r="J26" s="5847" t="s">
        <v>5375</v>
      </c>
      <c r="K26" s="5846" t="s">
        <v>5376</v>
      </c>
      <c r="L26" s="5848" t="s">
        <v>5377</v>
      </c>
      <c r="M26" s="5846" t="s">
        <v>5378</v>
      </c>
      <c r="N26" s="5848" t="s">
        <v>5379</v>
      </c>
      <c r="O26" s="5846" t="s">
        <v>5380</v>
      </c>
      <c r="P26" s="5848" t="s">
        <v>5381</v>
      </c>
      <c r="Q26" s="5846" t="s">
        <v>5382</v>
      </c>
      <c r="R26" s="5848" t="s">
        <v>5383</v>
      </c>
      <c r="S26" s="5846" t="s">
        <v>5384</v>
      </c>
      <c r="T26" s="5848" t="s">
        <v>5385</v>
      </c>
      <c r="U26" s="5846" t="s">
        <v>5386</v>
      </c>
      <c r="V26" s="5848" t="s">
        <v>5387</v>
      </c>
      <c r="W26" s="5846" t="s">
        <v>5388</v>
      </c>
      <c r="X26" s="5848" t="s">
        <v>5389</v>
      </c>
      <c r="Y26" s="5846" t="s">
        <v>5390</v>
      </c>
      <c r="Z26" s="5848" t="s">
        <v>5391</v>
      </c>
      <c r="AA26" s="5846" t="s">
        <v>5392</v>
      </c>
      <c r="AB26" s="5848" t="s">
        <v>5393</v>
      </c>
      <c r="AC26" s="5846" t="s">
        <v>5394</v>
      </c>
      <c r="AD26" s="5848" t="s">
        <v>5395</v>
      </c>
      <c r="AE26" s="5846" t="s">
        <v>5396</v>
      </c>
      <c r="AF26" s="5848" t="s">
        <v>5397</v>
      </c>
      <c r="AG26" s="5846" t="s">
        <v>5398</v>
      </c>
      <c r="AH26" s="5848" t="s">
        <v>5399</v>
      </c>
      <c r="AI26" s="5846" t="s">
        <v>5400</v>
      </c>
      <c r="AJ26" s="5848" t="s">
        <v>5401</v>
      </c>
      <c r="AK26" s="5846" t="s">
        <v>5402</v>
      </c>
      <c r="AL26" s="5848" t="s">
        <v>5403</v>
      </c>
      <c r="AM26" s="5849" t="s">
        <v>5404</v>
      </c>
      <c r="AN26" s="4133" t="s">
        <v>5405</v>
      </c>
      <c r="AO26" s="4476" t="s">
        <v>5406</v>
      </c>
      <c r="AP26" s="4476" t="s">
        <v>5407</v>
      </c>
      <c r="AQ26" s="4476" t="s">
        <v>5408</v>
      </c>
      <c r="AR26" s="4476" t="s">
        <v>5409</v>
      </c>
      <c r="AS26" s="4476" t="s">
        <v>5410</v>
      </c>
      <c r="AT26" s="4476" t="s">
        <v>5411</v>
      </c>
      <c r="AU26" s="7074" t="s">
        <v>5412</v>
      </c>
      <c r="AV26" s="4476" t="s">
        <v>5413</v>
      </c>
      <c r="AW26" s="4476" t="s">
        <v>5414</v>
      </c>
      <c r="AX26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26" s="4291"/>
      <c r="AZ26" s="4291"/>
      <c r="BA26" s="4291"/>
      <c r="BB26" s="4291"/>
      <c r="BC26" s="4291"/>
      <c r="BD26" s="4264"/>
      <c r="BE26" s="4264"/>
      <c r="BF26" s="4264"/>
      <c r="BY26" s="4258"/>
      <c r="CB26" s="4292" t="str">
        <f t="shared" si="34"/>
        <v/>
      </c>
      <c r="CC26" s="4292" t="str">
        <f t="shared" si="35"/>
        <v/>
      </c>
      <c r="CD26" s="4292" t="str">
        <f t="shared" si="36"/>
        <v/>
      </c>
      <c r="CE26" s="4292" t="str">
        <f t="shared" si="37"/>
        <v/>
      </c>
      <c r="CF26" s="4292" t="str">
        <f t="shared" si="38"/>
        <v/>
      </c>
      <c r="CG26" s="4292" t="str">
        <f t="shared" si="39"/>
        <v/>
      </c>
      <c r="CH26" s="4292"/>
      <c r="CI26" s="4292" t="str">
        <f t="shared" si="40"/>
        <v/>
      </c>
      <c r="CJ26" s="4292" t="str">
        <f t="shared" si="41"/>
        <v/>
      </c>
      <c r="CK26" s="4292" t="str">
        <f t="shared" si="42"/>
        <v>* El campo Beneficiarios no debe superar el Total.</v>
      </c>
      <c r="CL26" s="4292" t="str">
        <f t="shared" si="43"/>
        <v>* El campo Niños, Niñas, Adolescentes y Jóvenes SENAME no debe superar el Total.</v>
      </c>
      <c r="CM26" s="4292" t="str">
        <f t="shared" si="44"/>
        <v>* El campo Niños, Niñas, Adolescentes y Jóvenes Mejor Niñez no debe superar el Total.</v>
      </c>
      <c r="CN26" s="4292" t="str">
        <f t="shared" si="45"/>
        <v>* El campo Pueblos Originarios no debe superar el Total.</v>
      </c>
      <c r="CO26" s="4292" t="str">
        <f t="shared" si="46"/>
        <v>* El campo Migrantes no debe superar el Total.</v>
      </c>
      <c r="CP26" s="4292" t="str">
        <f t="shared" si="47"/>
        <v>* El campo Demencia no debe superar el Total.</v>
      </c>
      <c r="CQ26" s="4292" t="str">
        <f t="shared" si="48"/>
        <v>* El campo Espacios Amigables/ Adolescente no debe superar el Total.</v>
      </c>
      <c r="CR26" s="4292" t="str">
        <f t="shared" si="49"/>
        <v>* El campo TRANS
 Masculino no debe superar el Total.</v>
      </c>
      <c r="CS26" s="4292" t="str">
        <f t="shared" si="50"/>
        <v>* El campo TRANS
 Femenino no debe superar el Total.</v>
      </c>
      <c r="DB26" s="5530"/>
      <c r="DC26" s="5530"/>
      <c r="DD26" s="5530"/>
      <c r="DE26" s="5530"/>
      <c r="DF26" s="5530"/>
      <c r="DG26" s="5530"/>
      <c r="DH26" s="5530"/>
      <c r="DI26" s="5530"/>
      <c r="DJ26" s="5530"/>
      <c r="DK26" s="5530">
        <f t="shared" si="51"/>
        <v>1</v>
      </c>
      <c r="DL26" s="5530">
        <f t="shared" si="52"/>
        <v>1</v>
      </c>
      <c r="DM26" s="5530">
        <f t="shared" si="53"/>
        <v>1</v>
      </c>
      <c r="DN26" s="5530">
        <f t="shared" si="54"/>
        <v>1</v>
      </c>
      <c r="DO26" s="5530">
        <f t="shared" si="55"/>
        <v>1</v>
      </c>
      <c r="DP26" s="5530">
        <f t="shared" si="56"/>
        <v>1</v>
      </c>
      <c r="DQ26" s="5530">
        <f t="shared" si="57"/>
        <v>1</v>
      </c>
      <c r="DR26" s="5530">
        <f t="shared" si="58"/>
        <v>1</v>
      </c>
      <c r="DS26" s="5530">
        <f t="shared" si="59"/>
        <v>1</v>
      </c>
    </row>
    <row r="27" spans="1:133" ht="19.5" customHeight="1" x14ac:dyDescent="0.25">
      <c r="A27" s="7258" t="s">
        <v>4651</v>
      </c>
      <c r="B27" s="9080"/>
      <c r="C27" s="5891" t="s">
        <v>2601</v>
      </c>
      <c r="D27" s="5892" t="s">
        <v>5369</v>
      </c>
      <c r="E27" s="5893" t="s">
        <v>5370</v>
      </c>
      <c r="F27" s="5894" t="s">
        <v>5371</v>
      </c>
      <c r="G27" s="4933" t="s">
        <v>5372</v>
      </c>
      <c r="H27" s="5052" t="s">
        <v>5373</v>
      </c>
      <c r="I27" s="4933" t="s">
        <v>5374</v>
      </c>
      <c r="J27" s="5895" t="s">
        <v>5375</v>
      </c>
      <c r="K27" s="4933" t="s">
        <v>5376</v>
      </c>
      <c r="L27" s="5895" t="s">
        <v>5377</v>
      </c>
      <c r="M27" s="4933" t="s">
        <v>5378</v>
      </c>
      <c r="N27" s="5895" t="s">
        <v>5379</v>
      </c>
      <c r="O27" s="4933" t="s">
        <v>5380</v>
      </c>
      <c r="P27" s="3981" t="s">
        <v>5381</v>
      </c>
      <c r="Q27" s="4933" t="s">
        <v>5382</v>
      </c>
      <c r="R27" s="5052" t="s">
        <v>5383</v>
      </c>
      <c r="S27" s="5896" t="s">
        <v>5384</v>
      </c>
      <c r="T27" s="5895" t="s">
        <v>5385</v>
      </c>
      <c r="U27" s="4933" t="s">
        <v>5386</v>
      </c>
      <c r="V27" s="5895" t="s">
        <v>5387</v>
      </c>
      <c r="W27" s="4933" t="s">
        <v>5388</v>
      </c>
      <c r="X27" s="5895" t="s">
        <v>5389</v>
      </c>
      <c r="Y27" s="4933" t="s">
        <v>5390</v>
      </c>
      <c r="Z27" s="5052" t="s">
        <v>5391</v>
      </c>
      <c r="AA27" s="4933" t="s">
        <v>5392</v>
      </c>
      <c r="AB27" s="5052" t="s">
        <v>5393</v>
      </c>
      <c r="AC27" s="4933" t="s">
        <v>5394</v>
      </c>
      <c r="AD27" s="5895" t="s">
        <v>5395</v>
      </c>
      <c r="AE27" s="4933" t="s">
        <v>5396</v>
      </c>
      <c r="AF27" s="5052" t="s">
        <v>5397</v>
      </c>
      <c r="AG27" s="4933" t="s">
        <v>5398</v>
      </c>
      <c r="AH27" s="5052" t="s">
        <v>5399</v>
      </c>
      <c r="AI27" s="4933" t="s">
        <v>5400</v>
      </c>
      <c r="AJ27" s="5895" t="s">
        <v>5401</v>
      </c>
      <c r="AK27" s="4933" t="s">
        <v>5402</v>
      </c>
      <c r="AL27" s="5895" t="s">
        <v>5403</v>
      </c>
      <c r="AM27" s="5897" t="s">
        <v>5404</v>
      </c>
      <c r="AN27" s="4422" t="s">
        <v>5405</v>
      </c>
      <c r="AO27" s="4479" t="s">
        <v>5406</v>
      </c>
      <c r="AP27" s="4479" t="s">
        <v>5407</v>
      </c>
      <c r="AQ27" s="4479" t="s">
        <v>5408</v>
      </c>
      <c r="AR27" s="4479" t="s">
        <v>5409</v>
      </c>
      <c r="AS27" s="4479" t="s">
        <v>5410</v>
      </c>
      <c r="AT27" s="4479" t="s">
        <v>5411</v>
      </c>
      <c r="AU27" s="7079" t="s">
        <v>5412</v>
      </c>
      <c r="AV27" s="4479" t="s">
        <v>5413</v>
      </c>
      <c r="AW27" s="4479" t="s">
        <v>5414</v>
      </c>
      <c r="AX27" s="4258" t="str">
        <f t="shared" si="3"/>
        <v>* El campo Beneficiarios no debe superar el Total.* El campo Niños, Niñas, Adolescentes y Jóvenes SENAME no debe superar el Total.* El campo Niños, Niñas, Adolescentes y Jóvenes Mejor Niñez no debe superar el Total.* El campo Pueblos Originarios no debe superar el Total.* El campo Migrantes no debe superar el Total.* El campo Demencia no debe superar el Total.* El campo Espacios Amigables/ Adolescente no debe superar el Total.* El campo TRANS
 Masculino no debe superar el Total.* El campo TRANS
 Femenino no debe superar el Total.</v>
      </c>
      <c r="AY27" s="4291"/>
      <c r="AZ27" s="4291"/>
      <c r="BA27" s="4291"/>
      <c r="BB27" s="4291"/>
      <c r="BC27" s="4291"/>
      <c r="BD27" s="4264"/>
      <c r="BE27" s="4264"/>
      <c r="BF27" s="4264"/>
      <c r="BY27" s="4258"/>
      <c r="CB27" s="4292" t="str">
        <f t="shared" si="34"/>
        <v/>
      </c>
      <c r="CC27" s="4292" t="str">
        <f t="shared" si="35"/>
        <v/>
      </c>
      <c r="CD27" s="4292" t="str">
        <f t="shared" si="36"/>
        <v/>
      </c>
      <c r="CE27" s="4292" t="str">
        <f t="shared" si="37"/>
        <v/>
      </c>
      <c r="CF27" s="4292" t="str">
        <f t="shared" si="38"/>
        <v/>
      </c>
      <c r="CG27" s="4292" t="str">
        <f t="shared" si="39"/>
        <v/>
      </c>
      <c r="CH27" s="4292"/>
      <c r="CI27" s="4292" t="str">
        <f t="shared" si="40"/>
        <v/>
      </c>
      <c r="CJ27" s="4292" t="str">
        <f t="shared" si="41"/>
        <v/>
      </c>
      <c r="CK27" s="4292" t="str">
        <f t="shared" si="42"/>
        <v>* El campo Beneficiarios no debe superar el Total.</v>
      </c>
      <c r="CL27" s="4292" t="str">
        <f t="shared" si="43"/>
        <v>* El campo Niños, Niñas, Adolescentes y Jóvenes SENAME no debe superar el Total.</v>
      </c>
      <c r="CM27" s="4292" t="str">
        <f t="shared" si="44"/>
        <v>* El campo Niños, Niñas, Adolescentes y Jóvenes Mejor Niñez no debe superar el Total.</v>
      </c>
      <c r="CN27" s="4292" t="str">
        <f t="shared" si="45"/>
        <v>* El campo Pueblos Originarios no debe superar el Total.</v>
      </c>
      <c r="CO27" s="4292" t="str">
        <f t="shared" si="46"/>
        <v>* El campo Migrantes no debe superar el Total.</v>
      </c>
      <c r="CP27" s="4292" t="str">
        <f t="shared" si="47"/>
        <v>* El campo Demencia no debe superar el Total.</v>
      </c>
      <c r="CQ27" s="4292" t="str">
        <f t="shared" si="48"/>
        <v>* El campo Espacios Amigables/ Adolescente no debe superar el Total.</v>
      </c>
      <c r="CR27" s="4292" t="str">
        <f t="shared" si="49"/>
        <v>* El campo TRANS
 Masculino no debe superar el Total.</v>
      </c>
      <c r="CS27" s="4292" t="str">
        <f t="shared" si="50"/>
        <v>* El campo TRANS
 Femenino no debe superar el Total.</v>
      </c>
      <c r="DB27" s="5530"/>
      <c r="DC27" s="5530"/>
      <c r="DD27" s="5530"/>
      <c r="DE27" s="5530"/>
      <c r="DF27" s="5530"/>
      <c r="DG27" s="5530"/>
      <c r="DH27" s="5530"/>
      <c r="DI27" s="5530"/>
      <c r="DJ27" s="5530"/>
      <c r="DK27" s="5530">
        <f t="shared" si="51"/>
        <v>1</v>
      </c>
      <c r="DL27" s="5530">
        <f t="shared" si="52"/>
        <v>1</v>
      </c>
      <c r="DM27" s="5530">
        <f t="shared" si="53"/>
        <v>1</v>
      </c>
      <c r="DN27" s="5530">
        <f t="shared" si="54"/>
        <v>1</v>
      </c>
      <c r="DO27" s="5530">
        <f t="shared" si="55"/>
        <v>1</v>
      </c>
      <c r="DP27" s="5530">
        <f t="shared" si="56"/>
        <v>1</v>
      </c>
      <c r="DQ27" s="5530">
        <f t="shared" si="57"/>
        <v>1</v>
      </c>
      <c r="DR27" s="5530">
        <f t="shared" si="58"/>
        <v>1</v>
      </c>
      <c r="DS27" s="5530">
        <f t="shared" si="59"/>
        <v>1</v>
      </c>
    </row>
    <row r="28" spans="1:133" ht="21.6" customHeight="1" x14ac:dyDescent="0.3">
      <c r="A28" s="7280"/>
      <c r="B28" s="5053" t="s">
        <v>1588</v>
      </c>
      <c r="C28" s="5837"/>
      <c r="D28" s="5898"/>
      <c r="E28" s="5837"/>
      <c r="F28" s="5837"/>
      <c r="G28" s="5837"/>
      <c r="H28" s="5837"/>
      <c r="I28" s="5837"/>
      <c r="J28" s="5837"/>
      <c r="K28" s="5837"/>
      <c r="L28" s="5837"/>
      <c r="M28" s="5837"/>
      <c r="N28" s="3807"/>
      <c r="O28" s="3807"/>
      <c r="P28" s="3940"/>
      <c r="Q28" s="3940"/>
      <c r="R28" s="3940"/>
      <c r="S28" s="3940"/>
      <c r="T28" s="3940"/>
      <c r="U28" s="3940"/>
      <c r="V28" s="3940"/>
      <c r="W28" s="5836"/>
      <c r="X28" s="3940"/>
      <c r="Y28" s="3940"/>
      <c r="Z28" s="3940"/>
      <c r="AA28" s="3940"/>
      <c r="AB28" s="3940"/>
      <c r="AC28" s="3940"/>
      <c r="AD28" s="3940"/>
      <c r="AE28" s="3940"/>
      <c r="AF28" s="3940"/>
      <c r="AG28" s="3940"/>
      <c r="AH28" s="3940"/>
      <c r="AI28" s="3940"/>
      <c r="AJ28" s="3940"/>
      <c r="AK28" s="3940"/>
      <c r="AL28" s="3940"/>
      <c r="AM28" s="3940"/>
      <c r="AN28" s="3940"/>
      <c r="AO28" s="3940"/>
      <c r="AP28" s="3940"/>
      <c r="AQ28" s="4234"/>
      <c r="AR28" s="4264"/>
      <c r="AS28" s="4264"/>
      <c r="AT28" s="4264"/>
      <c r="AU28" s="4264"/>
      <c r="AV28" s="4264"/>
      <c r="AW28" s="4264"/>
      <c r="AX28" s="4264"/>
      <c r="AY28" s="4264"/>
      <c r="AZ28" s="4264"/>
      <c r="BA28" s="4264"/>
      <c r="BB28" s="4264"/>
      <c r="BC28" s="4264"/>
      <c r="BD28" s="4264"/>
      <c r="BE28" s="4264"/>
      <c r="DB28" s="5899"/>
      <c r="DC28" s="5899"/>
      <c r="DD28" s="5899"/>
      <c r="DE28" s="5899"/>
      <c r="DF28" s="5899"/>
      <c r="DG28" s="5899"/>
      <c r="DH28" s="5899"/>
    </row>
    <row r="29" spans="1:133" ht="21" customHeight="1" x14ac:dyDescent="0.25">
      <c r="A29" s="7280"/>
      <c r="B29" s="9088" t="s">
        <v>41</v>
      </c>
      <c r="C29" s="9088" t="s">
        <v>2187</v>
      </c>
      <c r="D29" s="9455" t="s">
        <v>2188</v>
      </c>
      <c r="E29" s="9457"/>
      <c r="F29" s="9455" t="s">
        <v>1586</v>
      </c>
      <c r="G29" s="9456"/>
      <c r="H29" s="9457"/>
      <c r="I29" s="9404" t="s">
        <v>399</v>
      </c>
      <c r="J29" s="9417"/>
      <c r="K29" s="9404" t="s">
        <v>54</v>
      </c>
      <c r="L29" s="9417"/>
      <c r="M29" s="9404" t="s">
        <v>79</v>
      </c>
      <c r="N29" s="9417"/>
      <c r="O29" s="9404" t="s">
        <v>80</v>
      </c>
      <c r="P29" s="9417"/>
      <c r="Q29" s="9404" t="s">
        <v>81</v>
      </c>
      <c r="R29" s="9417"/>
      <c r="S29" s="9401" t="s">
        <v>82</v>
      </c>
      <c r="T29" s="9402"/>
      <c r="U29" s="9401" t="s">
        <v>83</v>
      </c>
      <c r="V29" s="9402"/>
      <c r="W29" s="9401" t="s">
        <v>400</v>
      </c>
      <c r="X29" s="9402"/>
      <c r="Y29" s="9401" t="s">
        <v>124</v>
      </c>
      <c r="Z29" s="9402"/>
      <c r="AA29" s="9401" t="s">
        <v>125</v>
      </c>
      <c r="AB29" s="9402"/>
      <c r="AC29" s="9401" t="s">
        <v>126</v>
      </c>
      <c r="AD29" s="9402"/>
      <c r="AE29" s="9401" t="s">
        <v>127</v>
      </c>
      <c r="AF29" s="9402"/>
      <c r="AG29" s="9401" t="s">
        <v>128</v>
      </c>
      <c r="AH29" s="9402"/>
      <c r="AI29" s="9401" t="s">
        <v>129</v>
      </c>
      <c r="AJ29" s="9402"/>
      <c r="AK29" s="9401" t="s">
        <v>130</v>
      </c>
      <c r="AL29" s="9402"/>
      <c r="AM29" s="9401" t="s">
        <v>131</v>
      </c>
      <c r="AN29" s="9402"/>
      <c r="AO29" s="9401" t="s">
        <v>1919</v>
      </c>
      <c r="AP29" s="9403"/>
      <c r="AQ29" s="9475" t="s">
        <v>362</v>
      </c>
      <c r="AR29" s="9295" t="s">
        <v>361</v>
      </c>
      <c r="AS29" s="9295" t="s">
        <v>2956</v>
      </c>
      <c r="AT29" s="9295" t="s">
        <v>2615</v>
      </c>
      <c r="AU29" s="9407" t="s">
        <v>3993</v>
      </c>
      <c r="AV29" s="9407" t="s">
        <v>3994</v>
      </c>
      <c r="AW29" s="4264"/>
      <c r="AX29" s="4264"/>
      <c r="AY29" s="4264"/>
      <c r="AZ29" s="4264"/>
      <c r="BA29" s="4264"/>
      <c r="BB29" s="4264"/>
      <c r="BC29" s="4264"/>
      <c r="BD29" s="4264"/>
      <c r="BE29" s="4264"/>
      <c r="BF29" s="4264"/>
      <c r="BG29" s="4264"/>
      <c r="BH29" s="4264"/>
      <c r="BI29" s="4264"/>
      <c r="BJ29" s="4264"/>
      <c r="BY29" s="4258"/>
      <c r="BZ29" s="4258"/>
      <c r="CA29" s="4258"/>
      <c r="CB29" s="4258"/>
      <c r="CC29" s="4258"/>
      <c r="DB29" s="4295"/>
      <c r="DC29" s="4295"/>
      <c r="EB29" s="5832"/>
      <c r="EC29" s="5832"/>
    </row>
    <row r="30" spans="1:133" ht="55.5" customHeight="1" x14ac:dyDescent="0.25">
      <c r="A30" s="7280"/>
      <c r="B30" s="9089"/>
      <c r="C30" s="9089"/>
      <c r="D30" s="4536" t="s">
        <v>2189</v>
      </c>
      <c r="E30" s="4536" t="s">
        <v>2190</v>
      </c>
      <c r="F30" s="5900" t="s">
        <v>42</v>
      </c>
      <c r="G30" s="5901" t="s">
        <v>17</v>
      </c>
      <c r="H30" s="5902" t="s">
        <v>18</v>
      </c>
      <c r="I30" s="5900" t="s">
        <v>17</v>
      </c>
      <c r="J30" s="5902" t="s">
        <v>18</v>
      </c>
      <c r="K30" s="5900" t="s">
        <v>17</v>
      </c>
      <c r="L30" s="5902" t="s">
        <v>18</v>
      </c>
      <c r="M30" s="5900" t="s">
        <v>17</v>
      </c>
      <c r="N30" s="5902" t="s">
        <v>18</v>
      </c>
      <c r="O30" s="5900" t="s">
        <v>17</v>
      </c>
      <c r="P30" s="5902" t="s">
        <v>18</v>
      </c>
      <c r="Q30" s="5900" t="s">
        <v>17</v>
      </c>
      <c r="R30" s="5902" t="s">
        <v>18</v>
      </c>
      <c r="S30" s="5900" t="s">
        <v>17</v>
      </c>
      <c r="T30" s="5902" t="s">
        <v>18</v>
      </c>
      <c r="U30" s="5900" t="s">
        <v>17</v>
      </c>
      <c r="V30" s="5903" t="s">
        <v>18</v>
      </c>
      <c r="W30" s="5900" t="s">
        <v>17</v>
      </c>
      <c r="X30" s="5902" t="s">
        <v>18</v>
      </c>
      <c r="Y30" s="5900" t="s">
        <v>17</v>
      </c>
      <c r="Z30" s="5902" t="s">
        <v>18</v>
      </c>
      <c r="AA30" s="5900" t="s">
        <v>17</v>
      </c>
      <c r="AB30" s="5902" t="s">
        <v>18</v>
      </c>
      <c r="AC30" s="5900" t="s">
        <v>17</v>
      </c>
      <c r="AD30" s="5902" t="s">
        <v>18</v>
      </c>
      <c r="AE30" s="5900" t="s">
        <v>17</v>
      </c>
      <c r="AF30" s="5902" t="s">
        <v>18</v>
      </c>
      <c r="AG30" s="5900" t="s">
        <v>17</v>
      </c>
      <c r="AH30" s="5902" t="s">
        <v>18</v>
      </c>
      <c r="AI30" s="5900" t="s">
        <v>17</v>
      </c>
      <c r="AJ30" s="5902" t="s">
        <v>18</v>
      </c>
      <c r="AK30" s="5900" t="s">
        <v>17</v>
      </c>
      <c r="AL30" s="5902" t="s">
        <v>18</v>
      </c>
      <c r="AM30" s="5900" t="s">
        <v>17</v>
      </c>
      <c r="AN30" s="5902" t="s">
        <v>18</v>
      </c>
      <c r="AO30" s="5900" t="s">
        <v>17</v>
      </c>
      <c r="AP30" s="5902" t="s">
        <v>18</v>
      </c>
      <c r="AQ30" s="9476"/>
      <c r="AR30" s="9416"/>
      <c r="AS30" s="9416"/>
      <c r="AT30" s="9416"/>
      <c r="AU30" s="9408"/>
      <c r="AV30" s="9408"/>
      <c r="AW30" s="5904"/>
      <c r="AX30" s="4264"/>
      <c r="AY30" s="4264"/>
      <c r="AZ30" s="4264"/>
      <c r="BA30" s="4264"/>
      <c r="BB30" s="4264"/>
      <c r="BC30" s="4264"/>
      <c r="BD30" s="4264"/>
      <c r="BE30" s="4264"/>
      <c r="BF30" s="4264"/>
      <c r="BG30" s="4264"/>
      <c r="BH30" s="4264"/>
      <c r="BI30" s="4264"/>
      <c r="BJ30" s="4264"/>
      <c r="BY30" s="4258"/>
      <c r="BZ30" s="4258"/>
      <c r="CA30" s="4258"/>
      <c r="CB30" s="4258"/>
      <c r="CC30" s="4258"/>
      <c r="DB30" s="4295"/>
      <c r="DC30" s="4295"/>
      <c r="EB30" s="5832"/>
      <c r="EC30" s="5832"/>
    </row>
    <row r="31" spans="1:133" ht="19.5" customHeight="1" x14ac:dyDescent="0.25">
      <c r="A31" s="7258" t="s">
        <v>4652</v>
      </c>
      <c r="B31" s="5905" t="s">
        <v>1581</v>
      </c>
      <c r="C31" s="5906" t="s">
        <v>5369</v>
      </c>
      <c r="D31" s="5847" t="s">
        <v>5370</v>
      </c>
      <c r="E31" s="5907" t="s">
        <v>5371</v>
      </c>
      <c r="F31" s="5908" t="s">
        <v>5372</v>
      </c>
      <c r="G31" s="5909" t="s">
        <v>5373</v>
      </c>
      <c r="H31" s="5910" t="s">
        <v>5374</v>
      </c>
      <c r="I31" s="5911" t="s">
        <v>5375</v>
      </c>
      <c r="J31" s="5912" t="s">
        <v>5376</v>
      </c>
      <c r="K31" s="5911" t="s">
        <v>5377</v>
      </c>
      <c r="L31" s="5913" t="s">
        <v>5378</v>
      </c>
      <c r="M31" s="5911" t="s">
        <v>5379</v>
      </c>
      <c r="N31" s="5913" t="s">
        <v>5380</v>
      </c>
      <c r="O31" s="5911" t="s">
        <v>5381</v>
      </c>
      <c r="P31" s="5913" t="s">
        <v>5382</v>
      </c>
      <c r="Q31" s="5911" t="s">
        <v>5383</v>
      </c>
      <c r="R31" s="5912" t="s">
        <v>5384</v>
      </c>
      <c r="S31" s="5911" t="s">
        <v>5385</v>
      </c>
      <c r="T31" s="5912" t="s">
        <v>5386</v>
      </c>
      <c r="U31" s="5914" t="s">
        <v>5387</v>
      </c>
      <c r="V31" s="5913" t="s">
        <v>5388</v>
      </c>
      <c r="W31" s="5911" t="s">
        <v>5389</v>
      </c>
      <c r="X31" s="5913" t="s">
        <v>5390</v>
      </c>
      <c r="Y31" s="5911" t="s">
        <v>5391</v>
      </c>
      <c r="Z31" s="5913" t="s">
        <v>5392</v>
      </c>
      <c r="AA31" s="5911" t="s">
        <v>5393</v>
      </c>
      <c r="AB31" s="5912" t="s">
        <v>5394</v>
      </c>
      <c r="AC31" s="5911" t="s">
        <v>5395</v>
      </c>
      <c r="AD31" s="5912" t="s">
        <v>5396</v>
      </c>
      <c r="AE31" s="5911" t="s">
        <v>5397</v>
      </c>
      <c r="AF31" s="5913" t="s">
        <v>5398</v>
      </c>
      <c r="AG31" s="5911" t="s">
        <v>5399</v>
      </c>
      <c r="AH31" s="5912" t="s">
        <v>5400</v>
      </c>
      <c r="AI31" s="5911" t="s">
        <v>5401</v>
      </c>
      <c r="AJ31" s="5912" t="s">
        <v>5402</v>
      </c>
      <c r="AK31" s="5911" t="s">
        <v>5403</v>
      </c>
      <c r="AL31" s="5913" t="s">
        <v>5404</v>
      </c>
      <c r="AM31" s="5911" t="s">
        <v>5405</v>
      </c>
      <c r="AN31" s="5913" t="s">
        <v>5406</v>
      </c>
      <c r="AO31" s="5914" t="s">
        <v>5407</v>
      </c>
      <c r="AP31" s="5913" t="s">
        <v>5408</v>
      </c>
      <c r="AQ31" s="5529" t="s">
        <v>5409</v>
      </c>
      <c r="AR31" s="5915" t="s">
        <v>5410</v>
      </c>
      <c r="AS31" s="7229" t="s">
        <v>5411</v>
      </c>
      <c r="AT31" s="7229" t="s">
        <v>5412</v>
      </c>
      <c r="AU31" s="5915" t="s">
        <v>5413</v>
      </c>
      <c r="AV31" s="5915" t="s">
        <v>5414</v>
      </c>
      <c r="AW31" s="4258" t="str">
        <f>CD31&amp;CE31&amp;CF31&amp;CG31&amp;CH31&amp;CI31&amp;CJ31&amp;CK31&amp;CL31&amp;CM31&amp;CN31&amp;CO31&amp;CP31&amp;CQ31&amp;CR31&amp;CS31&amp;CT31&amp;CU31</f>
        <v xml:space="preserve">* El número de Personas Pertenecientes a pueblos originarios NO DEBE ser mayor que el Total. * El número de Personas Migrantes NO DEBE ser mayor que el Total. * Los Niños, Niñas, Adolescentes y Jóvenes de Programa SENAME NO DEBE ser mayor que el Total. * Los Niños, Niñas, Adolescentes y Jóvenes de Programa Mejor Niñez NO DEBE ser mayor que el Total. </v>
      </c>
      <c r="AX31" s="4264"/>
      <c r="AY31" s="4264"/>
      <c r="BA31" s="4264"/>
      <c r="BB31" s="4264"/>
      <c r="BC31" s="4264"/>
      <c r="BD31" s="4264"/>
      <c r="BE31" s="4264"/>
      <c r="BF31" s="4264"/>
      <c r="BG31" s="4264"/>
      <c r="BH31" s="4264"/>
      <c r="BI31" s="4264"/>
      <c r="BJ31" s="4264"/>
      <c r="BY31" s="4258"/>
      <c r="BZ31" s="4258"/>
      <c r="CA31" s="4258"/>
      <c r="CB31" s="4258"/>
      <c r="CC31" s="4258"/>
      <c r="CD31" s="4292" t="str">
        <f>IF(AND($D31&lt;&gt;0,AQ31=""),"* No olvide agregar el campo "&amp;AQ$29&amp;".","")</f>
        <v/>
      </c>
      <c r="CE31" s="4292" t="str">
        <f>IF(AND($D31&lt;&gt;0,AR31=""),"* No olvide agregar el campo "&amp;AR$29&amp;".","")</f>
        <v/>
      </c>
      <c r="CF31" s="4292" t="str">
        <f t="shared" ref="CF31:CG31" si="60">IF(AND($D31&lt;&gt;0,AU31=""),"* No olvide agregar el campo "&amp;AU$29&amp;".","")</f>
        <v/>
      </c>
      <c r="CG31" s="4292" t="str">
        <f t="shared" si="60"/>
        <v/>
      </c>
      <c r="CH31" s="4292" t="str">
        <f>IF(DE31=1,"* El número de Personas Pertenecientes a pueblos originarios NO DEBE ser mayor que el Total. ","")</f>
        <v xml:space="preserve">* El número de Personas Pertenecientes a pueblos originarios NO DEBE ser mayor que el Total. </v>
      </c>
      <c r="CI31" s="4292" t="str">
        <f>IF(DF31=1,"* El número de Personas Migrantes NO DEBE ser mayor que el Total. ","")</f>
        <v xml:space="preserve">* El número de Personas Migrantes NO DEBE ser mayor que el Total. </v>
      </c>
      <c r="CJ31" s="5850" t="str">
        <f>IF(DG31=1,"* Los Niños, Niñas, Adolescentes y Jóvenes de Programa SENAME NO DEBE ser mayor que el Total. ","")</f>
        <v xml:space="preserve">* Los Niños, Niñas, Adolescentes y Jóvenes de Programa SENAME NO DEBE ser mayor que el Total. </v>
      </c>
      <c r="CK31" s="5850" t="str">
        <f>IF(DH31=1,"* Los Niños, Niñas, Adolescentes y Jóvenes de Programa Mejor Niñez NO DEBE ser mayor que el Total. ","")</f>
        <v xml:space="preserve">* Los Niños, Niñas, Adolescentes y Jóvenes de Programa Mejor Niñez NO DEBE ser mayor que el Total. </v>
      </c>
      <c r="DB31" s="4295"/>
      <c r="DC31" s="4295"/>
      <c r="DD31" s="5530"/>
      <c r="DE31" s="5530">
        <f>IF($C31&lt;AQ31,1,0)</f>
        <v>1</v>
      </c>
      <c r="DF31" s="5530">
        <f>IF($C31&lt;AR31,1,0)</f>
        <v>1</v>
      </c>
      <c r="DG31" s="5530">
        <f t="shared" ref="DG31:DH32" si="61">IF($C31&lt;AU31,1,0)</f>
        <v>1</v>
      </c>
      <c r="DH31" s="5530">
        <f t="shared" si="61"/>
        <v>1</v>
      </c>
      <c r="EB31" s="5832"/>
      <c r="EC31" s="5832"/>
    </row>
    <row r="32" spans="1:133" ht="19.5" customHeight="1" x14ac:dyDescent="0.25">
      <c r="A32" s="7258" t="s">
        <v>4653</v>
      </c>
      <c r="B32" s="5916" t="s">
        <v>2191</v>
      </c>
      <c r="C32" s="5917" t="s">
        <v>5369</v>
      </c>
      <c r="D32" s="3981" t="s">
        <v>5370</v>
      </c>
      <c r="E32" s="5918" t="s">
        <v>5371</v>
      </c>
      <c r="F32" s="5919" t="s">
        <v>5372</v>
      </c>
      <c r="G32" s="4931" t="s">
        <v>5373</v>
      </c>
      <c r="H32" s="4932" t="s">
        <v>5374</v>
      </c>
      <c r="I32" s="4933" t="s">
        <v>5375</v>
      </c>
      <c r="J32" s="3981" t="s">
        <v>5376</v>
      </c>
      <c r="K32" s="4933" t="s">
        <v>5377</v>
      </c>
      <c r="L32" s="5920" t="s">
        <v>5378</v>
      </c>
      <c r="M32" s="4933" t="s">
        <v>5379</v>
      </c>
      <c r="N32" s="5920" t="s">
        <v>5380</v>
      </c>
      <c r="O32" s="4933" t="s">
        <v>5381</v>
      </c>
      <c r="P32" s="5920" t="s">
        <v>5382</v>
      </c>
      <c r="Q32" s="4933" t="s">
        <v>5383</v>
      </c>
      <c r="R32" s="3981" t="s">
        <v>5384</v>
      </c>
      <c r="S32" s="4933" t="s">
        <v>5385</v>
      </c>
      <c r="T32" s="3981" t="s">
        <v>5386</v>
      </c>
      <c r="U32" s="5897" t="s">
        <v>5387</v>
      </c>
      <c r="V32" s="5920" t="s">
        <v>5388</v>
      </c>
      <c r="W32" s="4933" t="s">
        <v>5389</v>
      </c>
      <c r="X32" s="5920" t="s">
        <v>5390</v>
      </c>
      <c r="Y32" s="4933" t="s">
        <v>5391</v>
      </c>
      <c r="Z32" s="5920" t="s">
        <v>5392</v>
      </c>
      <c r="AA32" s="4933" t="s">
        <v>5393</v>
      </c>
      <c r="AB32" s="3981" t="s">
        <v>5394</v>
      </c>
      <c r="AC32" s="4933" t="s">
        <v>5395</v>
      </c>
      <c r="AD32" s="3981" t="s">
        <v>5396</v>
      </c>
      <c r="AE32" s="4933" t="s">
        <v>5397</v>
      </c>
      <c r="AF32" s="5920" t="s">
        <v>5398</v>
      </c>
      <c r="AG32" s="4933" t="s">
        <v>5399</v>
      </c>
      <c r="AH32" s="3981" t="s">
        <v>5400</v>
      </c>
      <c r="AI32" s="4933" t="s">
        <v>5401</v>
      </c>
      <c r="AJ32" s="3981" t="s">
        <v>5402</v>
      </c>
      <c r="AK32" s="4933" t="s">
        <v>5403</v>
      </c>
      <c r="AL32" s="5920" t="s">
        <v>5404</v>
      </c>
      <c r="AM32" s="4933" t="s">
        <v>5405</v>
      </c>
      <c r="AN32" s="5920" t="s">
        <v>5406</v>
      </c>
      <c r="AO32" s="5897" t="s">
        <v>5407</v>
      </c>
      <c r="AP32" s="5920" t="s">
        <v>5408</v>
      </c>
      <c r="AQ32" s="5921" t="s">
        <v>5409</v>
      </c>
      <c r="AR32" s="4378" t="s">
        <v>5410</v>
      </c>
      <c r="AS32" s="5027" t="s">
        <v>5411</v>
      </c>
      <c r="AT32" s="5027" t="s">
        <v>5412</v>
      </c>
      <c r="AU32" s="4378" t="s">
        <v>5413</v>
      </c>
      <c r="AV32" s="4378" t="s">
        <v>5414</v>
      </c>
      <c r="AW32" s="4258" t="str">
        <f>CD32&amp;CE32&amp;CF32&amp;CG32&amp;CH32&amp;CI32&amp;CJ32&amp;CK32&amp;CL32&amp;CM32&amp;CN32&amp;CO32&amp;CP32&amp;CQ32&amp;CR32&amp;CS32&amp;CT32&amp;CU32</f>
        <v xml:space="preserve">* El número de Personas Pertenecientes a pueblos originarios NO DEBE ser mayor que el Total. * El número de Personas Migrantes NO DEBE ser mayor que el Total. * Los Niños, Niñas, Adolescentes y Jóvenes de Programa SENAME NO DEBE ser mayor que el Total. * Los Niños, Niñas, Adolescentes y Jóvenes de Programa Mejor Niñez NO DEBE ser mayor que el Total. </v>
      </c>
      <c r="AX32" s="4264"/>
      <c r="AY32" s="4264"/>
      <c r="AZ32" s="4264"/>
      <c r="BA32" s="4264"/>
      <c r="BB32" s="4264"/>
      <c r="BC32" s="4264"/>
      <c r="BD32" s="4264"/>
      <c r="BE32" s="4264"/>
      <c r="BF32" s="4264"/>
      <c r="BG32" s="4264"/>
      <c r="BH32" s="4264"/>
      <c r="BI32" s="4264"/>
      <c r="BJ32" s="4264"/>
      <c r="BY32" s="4258"/>
      <c r="BZ32" s="4258"/>
      <c r="CA32" s="4258"/>
      <c r="CB32" s="4258"/>
      <c r="CC32" s="4258"/>
      <c r="CD32" s="4292" t="str">
        <f>IF(AND($D32&lt;&gt;0,AQ32=""),"* No olvide agregar el campo "&amp;AQ$29&amp;".","")</f>
        <v/>
      </c>
      <c r="CE32" s="4292" t="str">
        <f>IF(AND($D32&lt;&gt;0,AR32=""),"* No olvide agregar el campo "&amp;AR$29&amp;".","")</f>
        <v/>
      </c>
      <c r="CF32" s="4292" t="str">
        <f t="shared" ref="CF32" si="62">IF(AND($D32&lt;&gt;0,AU32=""),"* No olvide agregar el campo "&amp;AU$29&amp;".","")</f>
        <v/>
      </c>
      <c r="CG32" s="4292" t="str">
        <f t="shared" ref="CG32" si="63">IF(AND($D32&lt;&gt;0,AV32=""),"* No olvide agregar el campo "&amp;AV$29&amp;".","")</f>
        <v/>
      </c>
      <c r="CH32" s="4292" t="str">
        <f>IF(DE32=1,"* El número de Personas Pertenecientes a pueblos originarios NO DEBE ser mayor que el Total. ","")</f>
        <v xml:space="preserve">* El número de Personas Pertenecientes a pueblos originarios NO DEBE ser mayor que el Total. </v>
      </c>
      <c r="CI32" s="4292" t="str">
        <f>IF(DF32=1,"* El número de Personas Migrantes NO DEBE ser mayor que el Total. ","")</f>
        <v xml:space="preserve">* El número de Personas Migrantes NO DEBE ser mayor que el Total. </v>
      </c>
      <c r="CJ32" s="5850" t="str">
        <f>IF(DG32=1,"* Los Niños, Niñas, Adolescentes y Jóvenes de Programa SENAME NO DEBE ser mayor que el Total. ","")</f>
        <v xml:space="preserve">* Los Niños, Niñas, Adolescentes y Jóvenes de Programa SENAME NO DEBE ser mayor que el Total. </v>
      </c>
      <c r="CK32" s="5850" t="str">
        <f>IF(DH32=1,"* Los Niños, Niñas, Adolescentes y Jóvenes de Programa Mejor Niñez NO DEBE ser mayor que el Total. ","")</f>
        <v xml:space="preserve">* Los Niños, Niñas, Adolescentes y Jóvenes de Programa Mejor Niñez NO DEBE ser mayor que el Total. </v>
      </c>
      <c r="DB32" s="4295"/>
      <c r="DC32" s="4295"/>
      <c r="DD32" s="5530"/>
      <c r="DE32" s="5530">
        <f>IF($C32&lt;AQ32,1,0)</f>
        <v>1</v>
      </c>
      <c r="DF32" s="5530">
        <f>IF($C32&lt;AR32,1,0)</f>
        <v>1</v>
      </c>
      <c r="DG32" s="5530">
        <f t="shared" si="61"/>
        <v>1</v>
      </c>
      <c r="DH32" s="5530">
        <f t="shared" si="61"/>
        <v>1</v>
      </c>
      <c r="EB32" s="5832"/>
      <c r="EC32" s="5832"/>
    </row>
    <row r="33" spans="1:133" ht="16.5" customHeight="1" x14ac:dyDescent="0.3">
      <c r="A33" s="7280"/>
      <c r="B33" s="5922" t="s">
        <v>24</v>
      </c>
      <c r="C33" s="5923">
        <f t="shared" ref="C33:I33" si="64">SUM(C31:C32)</f>
        <v>0</v>
      </c>
      <c r="D33" s="5924">
        <f t="shared" si="64"/>
        <v>0</v>
      </c>
      <c r="E33" s="5923">
        <f t="shared" si="64"/>
        <v>0</v>
      </c>
      <c r="F33" s="5925">
        <f t="shared" si="64"/>
        <v>0</v>
      </c>
      <c r="G33" s="5926">
        <f t="shared" si="64"/>
        <v>0</v>
      </c>
      <c r="H33" s="5926">
        <f t="shared" si="64"/>
        <v>0</v>
      </c>
      <c r="I33" s="5927">
        <f t="shared" si="64"/>
        <v>0</v>
      </c>
      <c r="J33" s="5928">
        <f t="shared" ref="J33:AP33" si="65">SUM(J31:J32)</f>
        <v>0</v>
      </c>
      <c r="K33" s="5927">
        <f t="shared" si="65"/>
        <v>0</v>
      </c>
      <c r="L33" s="5928">
        <f t="shared" si="65"/>
        <v>0</v>
      </c>
      <c r="M33" s="5927">
        <f t="shared" si="65"/>
        <v>0</v>
      </c>
      <c r="N33" s="5928">
        <f t="shared" si="65"/>
        <v>0</v>
      </c>
      <c r="O33" s="5927">
        <f t="shared" si="65"/>
        <v>0</v>
      </c>
      <c r="P33" s="5928">
        <f t="shared" si="65"/>
        <v>0</v>
      </c>
      <c r="Q33" s="5927">
        <f t="shared" si="65"/>
        <v>0</v>
      </c>
      <c r="R33" s="5928">
        <f t="shared" si="65"/>
        <v>0</v>
      </c>
      <c r="S33" s="5927">
        <f t="shared" si="65"/>
        <v>0</v>
      </c>
      <c r="T33" s="5928">
        <f t="shared" si="65"/>
        <v>0</v>
      </c>
      <c r="U33" s="5927">
        <f t="shared" si="65"/>
        <v>0</v>
      </c>
      <c r="V33" s="5928">
        <f t="shared" si="65"/>
        <v>0</v>
      </c>
      <c r="W33" s="5927">
        <f t="shared" si="65"/>
        <v>0</v>
      </c>
      <c r="X33" s="5928">
        <f t="shared" si="65"/>
        <v>0</v>
      </c>
      <c r="Y33" s="5927">
        <f t="shared" si="65"/>
        <v>0</v>
      </c>
      <c r="Z33" s="5928">
        <f t="shared" si="65"/>
        <v>0</v>
      </c>
      <c r="AA33" s="5927">
        <f t="shared" si="65"/>
        <v>0</v>
      </c>
      <c r="AB33" s="5928">
        <f t="shared" si="65"/>
        <v>0</v>
      </c>
      <c r="AC33" s="5927">
        <f t="shared" si="65"/>
        <v>0</v>
      </c>
      <c r="AD33" s="5928">
        <f t="shared" si="65"/>
        <v>0</v>
      </c>
      <c r="AE33" s="5927">
        <f t="shared" si="65"/>
        <v>0</v>
      </c>
      <c r="AF33" s="5928">
        <f t="shared" si="65"/>
        <v>0</v>
      </c>
      <c r="AG33" s="5927">
        <f t="shared" si="65"/>
        <v>0</v>
      </c>
      <c r="AH33" s="5928">
        <f t="shared" si="65"/>
        <v>0</v>
      </c>
      <c r="AI33" s="5927">
        <f t="shared" si="65"/>
        <v>0</v>
      </c>
      <c r="AJ33" s="5928">
        <f t="shared" si="65"/>
        <v>0</v>
      </c>
      <c r="AK33" s="5927">
        <f t="shared" si="65"/>
        <v>0</v>
      </c>
      <c r="AL33" s="5928">
        <f t="shared" si="65"/>
        <v>0</v>
      </c>
      <c r="AM33" s="5927">
        <f t="shared" si="65"/>
        <v>0</v>
      </c>
      <c r="AN33" s="5928">
        <f t="shared" si="65"/>
        <v>0</v>
      </c>
      <c r="AO33" s="5927">
        <f t="shared" si="65"/>
        <v>0</v>
      </c>
      <c r="AP33" s="5929">
        <f t="shared" si="65"/>
        <v>0</v>
      </c>
      <c r="AQ33" s="5930">
        <f>SUM(AQ31:AQ32)</f>
        <v>0</v>
      </c>
      <c r="AR33" s="5931">
        <f>SUM(AR31:AR32)</f>
        <v>0</v>
      </c>
      <c r="AS33" s="7230"/>
      <c r="AT33" s="7230"/>
      <c r="AU33" s="5931">
        <f>SUM(AU31:AU32)</f>
        <v>0</v>
      </c>
      <c r="AV33" s="5931">
        <f>SUM(AV31:AV32)</f>
        <v>0</v>
      </c>
      <c r="AW33" s="5932"/>
      <c r="AX33" s="4264"/>
      <c r="AY33" s="4264"/>
      <c r="AZ33" s="4264"/>
      <c r="BA33" s="4264"/>
      <c r="BB33" s="4264"/>
      <c r="BC33" s="4264"/>
      <c r="BD33" s="4264"/>
      <c r="BE33" s="4264"/>
      <c r="BF33" s="4264"/>
      <c r="BG33" s="4264"/>
      <c r="BH33" s="4264"/>
      <c r="BI33" s="4264"/>
      <c r="BJ33" s="4264"/>
      <c r="BY33" s="4258"/>
      <c r="BZ33" s="4258"/>
      <c r="CA33" s="4258"/>
      <c r="CB33" s="4258"/>
      <c r="CC33" s="4258"/>
      <c r="DB33" s="4295"/>
      <c r="DC33" s="4295"/>
      <c r="EB33" s="5832"/>
      <c r="EC33" s="5832"/>
    </row>
    <row r="34" spans="1:133" ht="27" customHeight="1" x14ac:dyDescent="0.3">
      <c r="A34" s="7280"/>
      <c r="B34" s="5053" t="s">
        <v>1587</v>
      </c>
      <c r="C34" s="5837"/>
      <c r="D34" s="5898"/>
      <c r="E34" s="5837"/>
      <c r="F34" s="5837"/>
      <c r="G34" s="5837"/>
      <c r="H34" s="5837"/>
      <c r="I34" s="5837"/>
      <c r="J34" s="5837"/>
      <c r="K34" s="5837"/>
      <c r="L34" s="5837"/>
      <c r="M34" s="5837"/>
      <c r="N34" s="3807"/>
      <c r="O34" s="3940"/>
      <c r="P34" s="3940"/>
      <c r="Q34" s="3940"/>
      <c r="R34" s="3940"/>
      <c r="S34" s="3940"/>
      <c r="T34" s="3940"/>
      <c r="U34" s="3940"/>
      <c r="V34" s="3940"/>
      <c r="W34" s="3940"/>
      <c r="X34" s="3940"/>
      <c r="Y34" s="3940"/>
      <c r="Z34" s="3940"/>
      <c r="AA34" s="3940"/>
      <c r="AB34" s="3940"/>
      <c r="AC34" s="3940"/>
      <c r="AD34" s="3940"/>
      <c r="AE34" s="3940"/>
      <c r="AF34" s="3940"/>
      <c r="AG34" s="3940"/>
      <c r="AH34" s="3940"/>
      <c r="AI34" s="3940"/>
      <c r="AJ34" s="3940"/>
      <c r="AK34" s="3940"/>
      <c r="AL34" s="3940"/>
      <c r="AM34" s="3940"/>
      <c r="AN34" s="3940"/>
      <c r="AO34" s="3940"/>
      <c r="AP34" s="3940"/>
      <c r="AQ34" s="5933"/>
      <c r="AR34" s="3940"/>
      <c r="AS34" s="3940"/>
      <c r="AT34" s="4264"/>
      <c r="AU34" s="4264"/>
      <c r="AV34" s="4264"/>
      <c r="AW34" s="4264"/>
      <c r="AX34" s="4264"/>
      <c r="AY34" s="4264"/>
      <c r="AZ34" s="4264"/>
      <c r="BA34" s="4264"/>
      <c r="BB34" s="4264"/>
      <c r="BC34" s="4264"/>
      <c r="BD34" s="4264"/>
      <c r="BE34" s="4264"/>
    </row>
    <row r="35" spans="1:133" ht="23.25" customHeight="1" x14ac:dyDescent="0.25">
      <c r="A35" s="7280"/>
      <c r="B35" s="9061" t="s">
        <v>41</v>
      </c>
      <c r="C35" s="9061" t="s">
        <v>2223</v>
      </c>
      <c r="D35" s="9166" t="s">
        <v>2224</v>
      </c>
      <c r="E35" s="9177"/>
      <c r="F35" s="9166" t="s">
        <v>1586</v>
      </c>
      <c r="G35" s="9167"/>
      <c r="H35" s="9177"/>
      <c r="I35" s="9448" t="s">
        <v>2225</v>
      </c>
      <c r="J35" s="9449"/>
      <c r="K35" s="9449"/>
      <c r="L35" s="9449"/>
      <c r="M35" s="9449"/>
      <c r="N35" s="9450"/>
      <c r="O35" s="3940"/>
      <c r="P35" s="3940"/>
      <c r="Q35" s="3940"/>
      <c r="R35" s="3940"/>
      <c r="S35" s="3940"/>
      <c r="T35" s="3940"/>
      <c r="U35" s="3940"/>
      <c r="V35" s="3940"/>
      <c r="W35" s="3940"/>
      <c r="X35" s="3940"/>
      <c r="Y35" s="3940"/>
      <c r="Z35" s="3940"/>
      <c r="AA35" s="3940"/>
      <c r="AB35" s="3940"/>
      <c r="AC35" s="3940"/>
      <c r="AD35" s="3940"/>
      <c r="AE35" s="3940"/>
      <c r="AF35" s="3940"/>
      <c r="AG35" s="3940"/>
      <c r="AH35" s="3940"/>
      <c r="AI35" s="3940"/>
      <c r="AJ35" s="3940"/>
      <c r="AK35" s="3940"/>
      <c r="AL35" s="3940"/>
      <c r="AM35" s="3940"/>
      <c r="AN35" s="3940"/>
      <c r="AO35" s="3940"/>
      <c r="AP35" s="3940"/>
      <c r="AQ35" s="3940"/>
      <c r="AR35" s="3940"/>
      <c r="AS35" s="3940"/>
      <c r="AT35" s="4264"/>
      <c r="AU35" s="4264"/>
      <c r="AV35" s="4264"/>
      <c r="AW35" s="4264"/>
      <c r="AX35" s="4264"/>
      <c r="AY35" s="4264"/>
      <c r="AZ35" s="4264"/>
      <c r="BA35" s="4264"/>
      <c r="BB35" s="4264"/>
      <c r="BC35" s="4264"/>
      <c r="BD35" s="4264"/>
      <c r="BE35" s="4264"/>
    </row>
    <row r="36" spans="1:133" ht="62.25" customHeight="1" x14ac:dyDescent="0.25">
      <c r="A36" s="7280"/>
      <c r="B36" s="9063"/>
      <c r="C36" s="9063"/>
      <c r="D36" s="5934" t="s">
        <v>2189</v>
      </c>
      <c r="E36" s="5934" t="s">
        <v>2190</v>
      </c>
      <c r="F36" s="4903" t="s">
        <v>42</v>
      </c>
      <c r="G36" s="5935" t="s">
        <v>17</v>
      </c>
      <c r="H36" s="5936" t="s">
        <v>18</v>
      </c>
      <c r="I36" s="5937" t="s">
        <v>2226</v>
      </c>
      <c r="J36" s="5938" t="s">
        <v>1584</v>
      </c>
      <c r="K36" s="5938" t="s">
        <v>1583</v>
      </c>
      <c r="L36" s="5938" t="s">
        <v>2227</v>
      </c>
      <c r="M36" s="5938" t="s">
        <v>1582</v>
      </c>
      <c r="N36" s="5939" t="s">
        <v>2228</v>
      </c>
      <c r="O36" s="3940"/>
      <c r="P36" s="3940"/>
      <c r="Q36" s="3940"/>
      <c r="R36" s="3940"/>
      <c r="S36" s="3940"/>
      <c r="T36" s="3940"/>
      <c r="U36" s="3940"/>
      <c r="V36" s="3940"/>
      <c r="W36" s="3940"/>
      <c r="X36" s="3940"/>
      <c r="Y36" s="3940"/>
      <c r="Z36" s="3940"/>
      <c r="AA36" s="3940"/>
      <c r="AB36" s="3940"/>
      <c r="AC36" s="3940"/>
      <c r="AD36" s="3940"/>
      <c r="AE36" s="3940"/>
      <c r="AF36" s="3940"/>
      <c r="AG36" s="3940"/>
      <c r="AH36" s="3940"/>
      <c r="AI36" s="3940"/>
      <c r="AJ36" s="3940"/>
      <c r="AK36" s="3940"/>
      <c r="AL36" s="3940"/>
      <c r="AM36" s="3940"/>
      <c r="AN36" s="3940"/>
      <c r="AO36" s="3940"/>
      <c r="AP36" s="3940"/>
      <c r="AQ36" s="3940"/>
      <c r="AR36" s="3940"/>
      <c r="AS36" s="3940"/>
      <c r="AT36" s="4264"/>
      <c r="AU36" s="4264"/>
      <c r="AV36" s="4264"/>
      <c r="AW36" s="4264"/>
      <c r="AX36" s="4264"/>
      <c r="AY36" s="4264"/>
      <c r="AZ36" s="4264"/>
      <c r="BA36" s="4264"/>
      <c r="BB36" s="4264"/>
      <c r="BC36" s="4264"/>
      <c r="BD36" s="4264"/>
      <c r="BE36" s="4264"/>
    </row>
    <row r="37" spans="1:133" ht="18.75" customHeight="1" x14ac:dyDescent="0.25">
      <c r="A37" s="7258" t="s">
        <v>4654</v>
      </c>
      <c r="B37" s="5940" t="s">
        <v>1581</v>
      </c>
      <c r="C37" s="5906" t="s">
        <v>5369</v>
      </c>
      <c r="D37" s="5847" t="s">
        <v>5370</v>
      </c>
      <c r="E37" s="5847" t="s">
        <v>5371</v>
      </c>
      <c r="F37" s="5941" t="s">
        <v>5372</v>
      </c>
      <c r="G37" s="5942" t="s">
        <v>5373</v>
      </c>
      <c r="H37" s="5847" t="s">
        <v>5374</v>
      </c>
      <c r="I37" s="5846" t="s">
        <v>5375</v>
      </c>
      <c r="J37" s="5943" t="s">
        <v>5376</v>
      </c>
      <c r="K37" s="5943" t="s">
        <v>5377</v>
      </c>
      <c r="L37" s="5943" t="s">
        <v>5378</v>
      </c>
      <c r="M37" s="5943" t="s">
        <v>5379</v>
      </c>
      <c r="N37" s="5848" t="s">
        <v>5380</v>
      </c>
      <c r="O37" s="3940"/>
      <c r="P37" s="3940"/>
      <c r="Q37" s="3940"/>
      <c r="R37" s="3940"/>
      <c r="S37" s="3940"/>
      <c r="T37" s="3940"/>
      <c r="U37" s="3940"/>
      <c r="V37" s="3940"/>
      <c r="W37" s="3940"/>
      <c r="X37" s="3940"/>
      <c r="Y37" s="3940"/>
      <c r="Z37" s="3940"/>
      <c r="AA37" s="3940"/>
      <c r="AB37" s="3940"/>
      <c r="AC37" s="3940"/>
      <c r="AD37" s="3940"/>
      <c r="AE37" s="3940"/>
      <c r="AF37" s="3940"/>
      <c r="AG37" s="3940"/>
      <c r="AH37" s="3940"/>
      <c r="AI37" s="3940"/>
      <c r="AJ37" s="3940"/>
      <c r="AK37" s="3940"/>
      <c r="AL37" s="3940"/>
      <c r="AM37" s="3940"/>
      <c r="AN37" s="3940"/>
      <c r="AO37" s="3940"/>
      <c r="AP37" s="3940"/>
      <c r="AQ37" s="3940"/>
      <c r="AR37" s="3940"/>
      <c r="AS37" s="3940"/>
      <c r="AT37" s="4264"/>
      <c r="AU37" s="4264"/>
      <c r="AV37" s="4264"/>
      <c r="AW37" s="4264"/>
      <c r="AX37" s="4264"/>
      <c r="AY37" s="4264"/>
      <c r="AZ37" s="4264"/>
      <c r="BA37" s="4264"/>
      <c r="BB37" s="4264"/>
      <c r="BC37" s="4264"/>
      <c r="BD37" s="4264"/>
      <c r="BE37" s="4264"/>
    </row>
    <row r="38" spans="1:133" ht="18.75" customHeight="1" x14ac:dyDescent="0.25">
      <c r="A38" s="7258" t="s">
        <v>4655</v>
      </c>
      <c r="B38" s="5944" t="s">
        <v>2191</v>
      </c>
      <c r="C38" s="5945" t="s">
        <v>5369</v>
      </c>
      <c r="D38" s="5052" t="s">
        <v>5370</v>
      </c>
      <c r="E38" s="5052" t="s">
        <v>5371</v>
      </c>
      <c r="F38" s="5946" t="s">
        <v>5372</v>
      </c>
      <c r="G38" s="5947" t="s">
        <v>5373</v>
      </c>
      <c r="H38" s="5052" t="s">
        <v>5374</v>
      </c>
      <c r="I38" s="5948" t="s">
        <v>5375</v>
      </c>
      <c r="J38" s="5949" t="s">
        <v>5376</v>
      </c>
      <c r="K38" s="5949" t="s">
        <v>5377</v>
      </c>
      <c r="L38" s="5949" t="s">
        <v>5378</v>
      </c>
      <c r="M38" s="5949" t="s">
        <v>5379</v>
      </c>
      <c r="N38" s="5950" t="s">
        <v>5380</v>
      </c>
      <c r="O38" s="3940"/>
      <c r="P38" s="3940"/>
      <c r="Q38" s="3940"/>
      <c r="R38" s="3940"/>
      <c r="S38" s="3940"/>
      <c r="T38" s="3940"/>
      <c r="U38" s="3940"/>
      <c r="V38" s="3940"/>
      <c r="W38" s="3940"/>
      <c r="X38" s="3940"/>
      <c r="Y38" s="3940"/>
      <c r="Z38" s="3940"/>
      <c r="AA38" s="3940"/>
      <c r="AB38" s="3940"/>
      <c r="AC38" s="3940"/>
      <c r="AD38" s="3940"/>
      <c r="AE38" s="3940"/>
      <c r="AF38" s="3940"/>
      <c r="AG38" s="3940"/>
      <c r="AH38" s="3940"/>
      <c r="AI38" s="3940"/>
      <c r="AJ38" s="3940"/>
      <c r="AK38" s="3940"/>
      <c r="AL38" s="3940"/>
      <c r="AM38" s="3940"/>
      <c r="AN38" s="3940"/>
      <c r="AO38" s="3940"/>
      <c r="AP38" s="3940"/>
      <c r="AQ38" s="3940"/>
      <c r="AR38" s="3940"/>
      <c r="AS38" s="3940"/>
      <c r="AT38" s="4264"/>
      <c r="AU38" s="4264"/>
      <c r="AV38" s="4264"/>
      <c r="AW38" s="4264"/>
      <c r="AX38" s="4264"/>
      <c r="AY38" s="4264"/>
      <c r="AZ38" s="4264"/>
      <c r="BA38" s="4264"/>
      <c r="BB38" s="4264"/>
      <c r="BC38" s="4264"/>
      <c r="BD38" s="4264"/>
      <c r="BE38" s="4264"/>
    </row>
    <row r="39" spans="1:133" ht="14.25" customHeight="1" x14ac:dyDescent="0.3">
      <c r="A39" s="7280"/>
      <c r="B39" s="5951" t="s">
        <v>24</v>
      </c>
      <c r="C39" s="5952">
        <f t="shared" ref="C39:N39" si="66">SUM(C37:C38)</f>
        <v>0</v>
      </c>
      <c r="D39" s="5953">
        <f t="shared" si="66"/>
        <v>0</v>
      </c>
      <c r="E39" s="5954">
        <f t="shared" si="66"/>
        <v>0</v>
      </c>
      <c r="F39" s="5955">
        <f t="shared" si="66"/>
        <v>0</v>
      </c>
      <c r="G39" s="5956">
        <f t="shared" si="66"/>
        <v>0</v>
      </c>
      <c r="H39" s="5956">
        <f t="shared" si="66"/>
        <v>0</v>
      </c>
      <c r="I39" s="5953">
        <f t="shared" si="66"/>
        <v>0</v>
      </c>
      <c r="J39" s="5957">
        <f t="shared" si="66"/>
        <v>0</v>
      </c>
      <c r="K39" s="5957">
        <f t="shared" si="66"/>
        <v>0</v>
      </c>
      <c r="L39" s="5957">
        <f t="shared" si="66"/>
        <v>0</v>
      </c>
      <c r="M39" s="5957">
        <f t="shared" si="66"/>
        <v>0</v>
      </c>
      <c r="N39" s="5958">
        <f t="shared" si="66"/>
        <v>0</v>
      </c>
      <c r="O39" s="3940"/>
      <c r="P39" s="3940"/>
      <c r="Q39" s="3940"/>
      <c r="R39" s="3940"/>
      <c r="S39" s="3940"/>
      <c r="T39" s="3940"/>
      <c r="U39" s="3940"/>
      <c r="V39" s="3940"/>
      <c r="W39" s="3940"/>
      <c r="X39" s="3940"/>
      <c r="Y39" s="3940"/>
      <c r="Z39" s="3940"/>
      <c r="AA39" s="3940"/>
      <c r="AB39" s="3940"/>
      <c r="AC39" s="3940"/>
      <c r="AD39" s="3940"/>
      <c r="AE39" s="3940"/>
      <c r="AF39" s="3940"/>
      <c r="AG39" s="3940"/>
      <c r="AH39" s="3940"/>
      <c r="AI39" s="3940"/>
      <c r="AJ39" s="3940"/>
      <c r="AK39" s="3940"/>
      <c r="AL39" s="3940"/>
      <c r="AM39" s="3940"/>
      <c r="AN39" s="3940"/>
      <c r="AO39" s="3940"/>
      <c r="AP39" s="3940"/>
      <c r="AQ39" s="3940"/>
      <c r="AR39" s="3940"/>
      <c r="AS39" s="3940"/>
      <c r="AT39" s="4264"/>
      <c r="AU39" s="4264"/>
      <c r="AV39" s="4264"/>
      <c r="AW39" s="4264"/>
      <c r="AX39" s="4264"/>
      <c r="AY39" s="4264"/>
      <c r="AZ39" s="4264"/>
      <c r="BA39" s="4264"/>
      <c r="BB39" s="4264"/>
      <c r="BC39" s="4264"/>
      <c r="BD39" s="4264"/>
      <c r="BE39" s="4264"/>
    </row>
    <row r="40" spans="1:133" ht="31.35" customHeight="1" x14ac:dyDescent="0.3">
      <c r="A40" s="7280"/>
      <c r="B40" s="5151" t="s">
        <v>1580</v>
      </c>
      <c r="C40" s="5837"/>
      <c r="D40" s="5837"/>
      <c r="E40" s="4267"/>
      <c r="F40" s="4267"/>
      <c r="G40" s="4267"/>
      <c r="H40" s="4267"/>
      <c r="I40" s="4267"/>
      <c r="J40" s="4267"/>
      <c r="K40" s="4267"/>
      <c r="L40" s="4267"/>
      <c r="M40" s="5959"/>
      <c r="N40" s="3940"/>
      <c r="O40" s="3940"/>
      <c r="P40" s="3940"/>
      <c r="Q40" s="3940"/>
      <c r="R40" s="3940"/>
      <c r="S40" s="3940"/>
      <c r="T40" s="3940"/>
      <c r="U40" s="3940"/>
      <c r="V40" s="3940"/>
      <c r="W40" s="5836"/>
      <c r="X40" s="3940"/>
      <c r="Y40" s="3940"/>
      <c r="Z40" s="3940"/>
      <c r="AA40" s="3940"/>
      <c r="AB40" s="3940"/>
      <c r="AC40" s="3940"/>
      <c r="AD40" s="3940"/>
      <c r="AE40" s="3940"/>
      <c r="AF40" s="3940"/>
      <c r="AG40" s="3940"/>
      <c r="AH40" s="3940"/>
      <c r="AI40" s="3940"/>
      <c r="AJ40" s="3940"/>
      <c r="AK40" s="3940"/>
      <c r="AL40" s="3940"/>
      <c r="AM40" s="3940"/>
      <c r="AN40" s="3940"/>
      <c r="AO40" s="3940"/>
      <c r="AP40" s="3940"/>
      <c r="AQ40" s="4234"/>
      <c r="AR40" s="4264"/>
      <c r="AS40" s="4264"/>
      <c r="AT40" s="4264"/>
      <c r="AU40" s="4264"/>
      <c r="AV40" s="4264"/>
      <c r="AW40" s="4264"/>
      <c r="AX40" s="4264"/>
      <c r="AY40" s="4264"/>
      <c r="AZ40" s="4264"/>
      <c r="BA40" s="4264"/>
      <c r="BB40" s="4264"/>
      <c r="BC40" s="4264"/>
      <c r="BD40" s="4264"/>
      <c r="BE40" s="4264"/>
    </row>
    <row r="41" spans="1:133" ht="16.350000000000001" customHeight="1" x14ac:dyDescent="0.25">
      <c r="A41" s="7280"/>
      <c r="B41" s="9414" t="s">
        <v>41</v>
      </c>
      <c r="C41" s="9079" t="s">
        <v>0</v>
      </c>
      <c r="D41" s="9079" t="s">
        <v>86</v>
      </c>
      <c r="E41" s="4979"/>
      <c r="F41" s="4979"/>
      <c r="G41" s="4979"/>
      <c r="H41" s="4979"/>
      <c r="I41" s="4979"/>
      <c r="J41" s="4979"/>
      <c r="K41" s="4979"/>
      <c r="L41" s="4979"/>
      <c r="M41" s="5960"/>
      <c r="N41" s="5961"/>
      <c r="O41" s="3940"/>
      <c r="P41" s="3940"/>
      <c r="Q41" s="3940"/>
      <c r="R41" s="3940"/>
      <c r="S41" s="3940"/>
      <c r="T41" s="3940"/>
      <c r="U41" s="3940"/>
      <c r="V41" s="3940"/>
      <c r="W41" s="5836"/>
      <c r="X41" s="3940"/>
      <c r="Y41" s="5962"/>
      <c r="Z41" s="5963"/>
      <c r="AA41" s="5963"/>
      <c r="AB41" s="5963"/>
      <c r="AC41" s="5963"/>
      <c r="AD41" s="5963"/>
      <c r="AE41" s="3940"/>
      <c r="AF41" s="3940"/>
      <c r="AG41" s="3940"/>
      <c r="AH41" s="3940"/>
      <c r="AI41" s="3940"/>
      <c r="AJ41" s="3940"/>
      <c r="AK41" s="3940"/>
      <c r="AL41" s="3940"/>
      <c r="AM41" s="3940"/>
      <c r="AN41" s="3940"/>
      <c r="AO41" s="3940"/>
      <c r="AP41" s="3940"/>
      <c r="AQ41" s="4234"/>
      <c r="AR41" s="4264"/>
      <c r="AS41" s="4264"/>
      <c r="AT41" s="4264"/>
      <c r="AU41" s="4264"/>
      <c r="AV41" s="4264"/>
      <c r="AW41" s="4264"/>
      <c r="AX41" s="4264"/>
      <c r="AY41" s="4264"/>
      <c r="AZ41" s="4264"/>
      <c r="BA41" s="4264"/>
      <c r="BB41" s="4264"/>
      <c r="BC41" s="4264"/>
      <c r="BD41" s="4264"/>
      <c r="BE41" s="4264"/>
    </row>
    <row r="42" spans="1:133" ht="16.350000000000001" customHeight="1" x14ac:dyDescent="0.25">
      <c r="A42" s="7280"/>
      <c r="B42" s="9415"/>
      <c r="C42" s="9080"/>
      <c r="D42" s="9080"/>
      <c r="E42" s="5964"/>
      <c r="F42" s="4979"/>
      <c r="G42" s="4979"/>
      <c r="H42" s="4979"/>
      <c r="I42" s="4979"/>
      <c r="J42" s="4979"/>
      <c r="K42" s="4979"/>
      <c r="L42" s="4979"/>
      <c r="M42" s="5960"/>
      <c r="N42" s="5961"/>
      <c r="O42" s="3940"/>
      <c r="P42" s="3940"/>
      <c r="Q42" s="3940"/>
      <c r="R42" s="3940"/>
      <c r="S42" s="3940"/>
      <c r="T42" s="3940"/>
      <c r="U42" s="3940"/>
      <c r="V42" s="3940"/>
      <c r="W42" s="5836"/>
      <c r="X42" s="3940"/>
      <c r="Y42" s="5962"/>
      <c r="Z42" s="5963"/>
      <c r="AA42" s="5963"/>
      <c r="AB42" s="5963"/>
      <c r="AC42" s="5963"/>
      <c r="AD42" s="5963"/>
      <c r="AE42" s="3940"/>
      <c r="AF42" s="3940"/>
      <c r="AG42" s="3940"/>
      <c r="AH42" s="3940"/>
      <c r="AI42" s="3940"/>
      <c r="AJ42" s="3940"/>
      <c r="AK42" s="3940"/>
      <c r="AL42" s="3940"/>
      <c r="AM42" s="3940"/>
      <c r="AN42" s="3940"/>
      <c r="AO42" s="3940"/>
      <c r="AP42" s="3940"/>
      <c r="AQ42" s="3940"/>
    </row>
    <row r="43" spans="1:133" ht="16.350000000000001" customHeight="1" x14ac:dyDescent="0.25">
      <c r="A43" s="7258" t="s">
        <v>4656</v>
      </c>
      <c r="B43" s="9079" t="s">
        <v>1579</v>
      </c>
      <c r="C43" s="5881" t="s">
        <v>2601</v>
      </c>
      <c r="D43" s="5965" t="s">
        <v>5369</v>
      </c>
      <c r="E43" s="5964"/>
      <c r="F43" s="4979"/>
      <c r="G43" s="4979"/>
      <c r="H43" s="4979"/>
      <c r="I43" s="3940"/>
      <c r="J43" s="4979"/>
      <c r="K43" s="4979"/>
      <c r="L43" s="3940"/>
      <c r="M43" s="5960"/>
      <c r="N43" s="5961"/>
      <c r="O43" s="3940"/>
      <c r="P43" s="3940"/>
      <c r="Q43" s="3940"/>
      <c r="R43" s="3940"/>
      <c r="S43" s="3940"/>
      <c r="T43" s="3940"/>
      <c r="U43" s="3940"/>
      <c r="V43" s="3940"/>
      <c r="W43" s="5836"/>
      <c r="X43" s="3940"/>
      <c r="Y43" s="5962"/>
      <c r="Z43" s="5963"/>
      <c r="AA43" s="5963"/>
      <c r="AB43" s="5963"/>
      <c r="AC43" s="5963"/>
      <c r="AD43" s="5963"/>
      <c r="AE43" s="3940"/>
      <c r="AF43" s="3940"/>
      <c r="AG43" s="3940"/>
      <c r="AH43" s="3940"/>
      <c r="AI43" s="3940"/>
      <c r="AJ43" s="3940"/>
      <c r="AK43" s="3940"/>
      <c r="AL43" s="3940"/>
      <c r="AM43" s="3940"/>
      <c r="AN43" s="3940"/>
      <c r="AO43" s="3940"/>
      <c r="AP43" s="3940"/>
      <c r="AQ43" s="3940"/>
    </row>
    <row r="44" spans="1:133" ht="16.350000000000001" customHeight="1" x14ac:dyDescent="0.25">
      <c r="A44" s="7258" t="s">
        <v>4657</v>
      </c>
      <c r="B44" s="9080"/>
      <c r="C44" s="4529" t="s">
        <v>60</v>
      </c>
      <c r="D44" s="4460" t="s">
        <v>5369</v>
      </c>
      <c r="E44" s="5964"/>
      <c r="F44" s="4979"/>
      <c r="G44" s="4979"/>
      <c r="H44" s="4979"/>
      <c r="I44" s="4979"/>
      <c r="J44" s="4979"/>
      <c r="K44" s="4979"/>
      <c r="L44" s="4979"/>
      <c r="M44" s="5960"/>
      <c r="N44" s="5961"/>
      <c r="O44" s="3940"/>
      <c r="P44" s="3940"/>
      <c r="Q44" s="3940"/>
      <c r="R44" s="3940"/>
      <c r="S44" s="3940"/>
      <c r="T44" s="3940"/>
      <c r="U44" s="3940"/>
      <c r="V44" s="3940"/>
      <c r="W44" s="5836"/>
      <c r="X44" s="3940"/>
      <c r="Y44" s="5962"/>
      <c r="Z44" s="5963"/>
      <c r="AA44" s="5963"/>
      <c r="AB44" s="5963"/>
      <c r="AC44" s="5963"/>
      <c r="AD44" s="5963"/>
      <c r="AE44" s="3940"/>
      <c r="AF44" s="3940"/>
      <c r="AG44" s="3940"/>
      <c r="AH44" s="3940"/>
      <c r="AI44" s="3940"/>
      <c r="AJ44" s="3940"/>
      <c r="AK44" s="3940"/>
      <c r="AL44" s="3940"/>
      <c r="AM44" s="3940"/>
      <c r="AN44" s="3940"/>
      <c r="AO44" s="3940"/>
      <c r="AP44" s="3940"/>
      <c r="AQ44" s="3940"/>
    </row>
    <row r="45" spans="1:133" ht="16.350000000000001" customHeight="1" x14ac:dyDescent="0.25">
      <c r="A45" s="7258" t="s">
        <v>4658</v>
      </c>
      <c r="B45" s="9079" t="s">
        <v>1578</v>
      </c>
      <c r="C45" s="5881" t="s">
        <v>2601</v>
      </c>
      <c r="D45" s="5965" t="s">
        <v>5369</v>
      </c>
      <c r="E45" s="5964"/>
      <c r="F45" s="4979"/>
      <c r="G45" s="4979"/>
      <c r="H45" s="4979"/>
      <c r="I45" s="4979"/>
      <c r="J45" s="4979"/>
      <c r="K45" s="4979"/>
      <c r="L45" s="4979"/>
      <c r="M45" s="5960"/>
      <c r="N45" s="5961"/>
      <c r="O45" s="3940"/>
      <c r="P45" s="3940"/>
      <c r="Q45" s="3940"/>
      <c r="R45" s="3940"/>
      <c r="S45" s="3940"/>
      <c r="T45" s="3940"/>
      <c r="U45" s="3940"/>
      <c r="V45" s="3940"/>
      <c r="W45" s="5836"/>
      <c r="X45" s="3940"/>
      <c r="Y45" s="5962"/>
      <c r="Z45" s="5963"/>
      <c r="AA45" s="5963"/>
      <c r="AB45" s="5963"/>
      <c r="AC45" s="5963"/>
      <c r="AD45" s="5963"/>
      <c r="AE45" s="3940"/>
      <c r="AF45" s="3940"/>
      <c r="AG45" s="3940"/>
      <c r="AH45" s="3940"/>
      <c r="AI45" s="3940"/>
      <c r="AJ45" s="3940"/>
      <c r="AK45" s="3940"/>
      <c r="AL45" s="3940"/>
      <c r="AM45" s="3940"/>
      <c r="AN45" s="3940"/>
      <c r="AO45" s="3940"/>
      <c r="AP45" s="3940"/>
      <c r="AQ45" s="3940"/>
    </row>
    <row r="46" spans="1:133" ht="16.350000000000001" customHeight="1" x14ac:dyDescent="0.25">
      <c r="A46" s="7258" t="s">
        <v>4659</v>
      </c>
      <c r="B46" s="9080"/>
      <c r="C46" s="5966" t="s">
        <v>60</v>
      </c>
      <c r="D46" s="4468" t="s">
        <v>5369</v>
      </c>
      <c r="E46" s="5967"/>
      <c r="F46" s="4979"/>
      <c r="G46" s="4979"/>
      <c r="H46" s="4979"/>
      <c r="I46" s="4979"/>
      <c r="J46" s="4979"/>
      <c r="K46" s="4979"/>
      <c r="L46" s="4979"/>
      <c r="M46" s="5960"/>
      <c r="N46" s="5961"/>
      <c r="O46" s="3940"/>
      <c r="P46" s="3940"/>
      <c r="Q46" s="3940"/>
      <c r="R46" s="3940"/>
      <c r="S46" s="3940"/>
      <c r="T46" s="3940"/>
      <c r="U46" s="3940"/>
      <c r="V46" s="3940"/>
      <c r="W46" s="5836"/>
      <c r="X46" s="3940"/>
      <c r="Y46" s="5962"/>
      <c r="Z46" s="5963"/>
      <c r="AA46" s="5963"/>
      <c r="AB46" s="5963"/>
      <c r="AC46" s="5963"/>
      <c r="AD46" s="5963"/>
      <c r="AE46" s="3940"/>
      <c r="AF46" s="3940"/>
      <c r="AG46" s="3940"/>
      <c r="AH46" s="3940"/>
      <c r="AI46" s="3940"/>
      <c r="AJ46" s="3940"/>
      <c r="AK46" s="3940"/>
      <c r="AL46" s="3940"/>
      <c r="AM46" s="3940"/>
      <c r="AN46" s="3940"/>
      <c r="AO46" s="3940"/>
      <c r="AP46" s="3940"/>
      <c r="AQ46" s="3940"/>
    </row>
    <row r="47" spans="1:133" ht="31.35" customHeight="1" x14ac:dyDescent="0.3">
      <c r="A47" s="7280"/>
      <c r="B47" s="4469" t="s">
        <v>1577</v>
      </c>
      <c r="C47" s="5968"/>
      <c r="D47" s="5968"/>
      <c r="E47" s="5969"/>
      <c r="F47" s="5969"/>
      <c r="G47" s="5969"/>
      <c r="H47" s="5969"/>
      <c r="I47" s="5969"/>
      <c r="J47" s="5969"/>
      <c r="K47" s="5969"/>
      <c r="L47" s="5969"/>
      <c r="M47" s="5970"/>
      <c r="N47" s="5971"/>
      <c r="O47" s="5972"/>
      <c r="P47" s="5973"/>
      <c r="Q47" s="5973"/>
      <c r="R47" s="5973"/>
      <c r="S47" s="5973"/>
      <c r="T47" s="5973"/>
      <c r="U47" s="5973"/>
      <c r="V47" s="5973"/>
      <c r="W47" s="5974"/>
      <c r="X47" s="5973"/>
      <c r="Y47" s="5973"/>
      <c r="Z47" s="5973"/>
      <c r="AA47" s="5973"/>
      <c r="AB47" s="5973"/>
      <c r="AC47" s="5973"/>
      <c r="AD47" s="5973"/>
      <c r="AE47" s="5973"/>
      <c r="AF47" s="5973"/>
      <c r="AG47" s="5973"/>
      <c r="AH47" s="5973"/>
      <c r="AI47" s="5973"/>
      <c r="AJ47" s="5973"/>
      <c r="AK47" s="5973"/>
      <c r="AL47" s="5973"/>
      <c r="AM47" s="5973"/>
      <c r="AN47" s="5973"/>
      <c r="AO47" s="5975"/>
      <c r="AP47" s="5976"/>
      <c r="AQ47" s="5976"/>
      <c r="AR47" s="4264"/>
      <c r="AS47" s="4264"/>
      <c r="AT47" s="4264"/>
      <c r="AU47" s="4264"/>
      <c r="AV47" s="4264"/>
      <c r="AW47" s="4264"/>
      <c r="AX47" s="4264"/>
      <c r="AY47" s="4264"/>
      <c r="AZ47" s="4264"/>
      <c r="BA47" s="4264"/>
      <c r="BB47" s="4264"/>
      <c r="BC47" s="4264"/>
    </row>
    <row r="48" spans="1:133" ht="16.350000000000001" customHeight="1" x14ac:dyDescent="0.25">
      <c r="A48" s="7280"/>
      <c r="B48" s="9431" t="s">
        <v>47</v>
      </c>
      <c r="C48" s="9432"/>
      <c r="D48" s="9437" t="s">
        <v>86</v>
      </c>
      <c r="E48" s="9438"/>
      <c r="F48" s="9439"/>
      <c r="G48" s="9286" t="s">
        <v>84</v>
      </c>
      <c r="H48" s="9451"/>
      <c r="I48" s="9451"/>
      <c r="J48" s="9451"/>
      <c r="K48" s="9451"/>
      <c r="L48" s="9451"/>
      <c r="M48" s="9451"/>
      <c r="N48" s="9451"/>
      <c r="O48" s="9451"/>
      <c r="P48" s="9451"/>
      <c r="Q48" s="9451"/>
      <c r="R48" s="9451"/>
      <c r="S48" s="9451"/>
      <c r="T48" s="9451"/>
      <c r="U48" s="9451"/>
      <c r="V48" s="9451"/>
      <c r="W48" s="9451"/>
      <c r="X48" s="9451"/>
      <c r="Y48" s="9451"/>
      <c r="Z48" s="9451"/>
      <c r="AA48" s="9451"/>
      <c r="AB48" s="9451"/>
      <c r="AC48" s="9451"/>
      <c r="AD48" s="9451"/>
      <c r="AE48" s="9451"/>
      <c r="AF48" s="9451"/>
      <c r="AG48" s="9451"/>
      <c r="AH48" s="9451"/>
      <c r="AI48" s="9451"/>
      <c r="AJ48" s="9451"/>
      <c r="AK48" s="9451"/>
      <c r="AL48" s="9451"/>
      <c r="AM48" s="9451"/>
      <c r="AN48" s="9452"/>
      <c r="AO48" s="9174" t="s">
        <v>360</v>
      </c>
      <c r="AP48" s="9174" t="s">
        <v>362</v>
      </c>
      <c r="AQ48" s="9174" t="s">
        <v>361</v>
      </c>
      <c r="AR48" s="4264"/>
      <c r="AS48" s="4264"/>
      <c r="AT48" s="4264"/>
      <c r="AU48" s="4264"/>
      <c r="AV48" s="4264"/>
      <c r="AW48" s="4264"/>
      <c r="AX48" s="4264"/>
      <c r="AY48" s="4264"/>
      <c r="AZ48" s="4264"/>
      <c r="BA48" s="4264"/>
      <c r="BB48" s="4264"/>
      <c r="BC48" s="4264"/>
    </row>
    <row r="49" spans="1:109" ht="16.350000000000001" customHeight="1" x14ac:dyDescent="0.25">
      <c r="A49" s="7280"/>
      <c r="B49" s="9433"/>
      <c r="C49" s="9434"/>
      <c r="D49" s="9440"/>
      <c r="E49" s="9441"/>
      <c r="F49" s="9442"/>
      <c r="G49" s="9404" t="s">
        <v>399</v>
      </c>
      <c r="H49" s="9417"/>
      <c r="I49" s="9404" t="s">
        <v>54</v>
      </c>
      <c r="J49" s="9417"/>
      <c r="K49" s="9404" t="s">
        <v>79</v>
      </c>
      <c r="L49" s="9417"/>
      <c r="M49" s="9404" t="s">
        <v>80</v>
      </c>
      <c r="N49" s="9417"/>
      <c r="O49" s="9404" t="s">
        <v>81</v>
      </c>
      <c r="P49" s="9417"/>
      <c r="Q49" s="9401" t="s">
        <v>82</v>
      </c>
      <c r="R49" s="9402"/>
      <c r="S49" s="9401" t="s">
        <v>83</v>
      </c>
      <c r="T49" s="9402"/>
      <c r="U49" s="9401" t="s">
        <v>400</v>
      </c>
      <c r="V49" s="9402"/>
      <c r="W49" s="9401" t="s">
        <v>124</v>
      </c>
      <c r="X49" s="9402"/>
      <c r="Y49" s="9401" t="s">
        <v>125</v>
      </c>
      <c r="Z49" s="9402"/>
      <c r="AA49" s="9401" t="s">
        <v>126</v>
      </c>
      <c r="AB49" s="9402"/>
      <c r="AC49" s="9401" t="s">
        <v>127</v>
      </c>
      <c r="AD49" s="9402"/>
      <c r="AE49" s="9401" t="s">
        <v>128</v>
      </c>
      <c r="AF49" s="9402"/>
      <c r="AG49" s="9401" t="s">
        <v>129</v>
      </c>
      <c r="AH49" s="9402"/>
      <c r="AI49" s="9401" t="s">
        <v>130</v>
      </c>
      <c r="AJ49" s="9402"/>
      <c r="AK49" s="9401" t="s">
        <v>131</v>
      </c>
      <c r="AL49" s="9402"/>
      <c r="AM49" s="9401" t="s">
        <v>1919</v>
      </c>
      <c r="AN49" s="9403"/>
      <c r="AO49" s="9182"/>
      <c r="AP49" s="9182"/>
      <c r="AQ49" s="9182"/>
      <c r="AR49" s="4264"/>
      <c r="AS49" s="4264"/>
      <c r="AT49" s="4264"/>
      <c r="AU49" s="4264"/>
      <c r="AV49" s="4264"/>
      <c r="AW49" s="4264"/>
      <c r="AX49" s="4264"/>
      <c r="AY49" s="4264"/>
      <c r="AZ49" s="4264"/>
      <c r="BA49" s="4264"/>
      <c r="BB49" s="4264"/>
      <c r="BC49" s="4264"/>
    </row>
    <row r="50" spans="1:109" ht="16.350000000000001" customHeight="1" x14ac:dyDescent="0.25">
      <c r="A50" s="7280"/>
      <c r="B50" s="9435"/>
      <c r="C50" s="9436"/>
      <c r="D50" s="5977" t="s">
        <v>42</v>
      </c>
      <c r="E50" s="5978" t="s">
        <v>17</v>
      </c>
      <c r="F50" s="5979" t="s">
        <v>18</v>
      </c>
      <c r="G50" s="5980" t="s">
        <v>17</v>
      </c>
      <c r="H50" s="4128" t="s">
        <v>18</v>
      </c>
      <c r="I50" s="5980" t="s">
        <v>17</v>
      </c>
      <c r="J50" s="4128" t="s">
        <v>18</v>
      </c>
      <c r="K50" s="5980" t="s">
        <v>17</v>
      </c>
      <c r="L50" s="4128" t="s">
        <v>18</v>
      </c>
      <c r="M50" s="5980" t="s">
        <v>17</v>
      </c>
      <c r="N50" s="4128" t="s">
        <v>18</v>
      </c>
      <c r="O50" s="5980" t="s">
        <v>17</v>
      </c>
      <c r="P50" s="4128" t="s">
        <v>18</v>
      </c>
      <c r="Q50" s="5980" t="s">
        <v>17</v>
      </c>
      <c r="R50" s="4128" t="s">
        <v>18</v>
      </c>
      <c r="S50" s="5980" t="s">
        <v>17</v>
      </c>
      <c r="T50" s="4128" t="s">
        <v>18</v>
      </c>
      <c r="U50" s="5980" t="s">
        <v>17</v>
      </c>
      <c r="V50" s="4128" t="s">
        <v>18</v>
      </c>
      <c r="W50" s="5980" t="s">
        <v>17</v>
      </c>
      <c r="X50" s="4128" t="s">
        <v>18</v>
      </c>
      <c r="Y50" s="5980" t="s">
        <v>17</v>
      </c>
      <c r="Z50" s="4128" t="s">
        <v>18</v>
      </c>
      <c r="AA50" s="5980" t="s">
        <v>17</v>
      </c>
      <c r="AB50" s="4128" t="s">
        <v>18</v>
      </c>
      <c r="AC50" s="5980" t="s">
        <v>17</v>
      </c>
      <c r="AD50" s="4128" t="s">
        <v>18</v>
      </c>
      <c r="AE50" s="5980" t="s">
        <v>17</v>
      </c>
      <c r="AF50" s="4128" t="s">
        <v>18</v>
      </c>
      <c r="AG50" s="5980" t="s">
        <v>17</v>
      </c>
      <c r="AH50" s="4128" t="s">
        <v>18</v>
      </c>
      <c r="AI50" s="5980" t="s">
        <v>17</v>
      </c>
      <c r="AJ50" s="4128" t="s">
        <v>18</v>
      </c>
      <c r="AK50" s="5980" t="s">
        <v>17</v>
      </c>
      <c r="AL50" s="4128" t="s">
        <v>18</v>
      </c>
      <c r="AM50" s="5981" t="s">
        <v>17</v>
      </c>
      <c r="AN50" s="4129" t="s">
        <v>18</v>
      </c>
      <c r="AO50" s="9087"/>
      <c r="AP50" s="9087"/>
      <c r="AQ50" s="9087"/>
      <c r="AR50" s="4264"/>
      <c r="AS50" s="4264"/>
      <c r="AT50" s="4264"/>
      <c r="AU50" s="4264"/>
      <c r="AV50" s="4264"/>
      <c r="AW50" s="4264"/>
      <c r="AX50" s="4264"/>
      <c r="AY50" s="4264"/>
      <c r="AZ50" s="4264"/>
      <c r="BA50" s="4264"/>
      <c r="BB50" s="4264"/>
      <c r="BC50" s="4264"/>
    </row>
    <row r="51" spans="1:109" ht="20.25" customHeight="1" x14ac:dyDescent="0.25">
      <c r="A51" s="7258" t="s">
        <v>4660</v>
      </c>
      <c r="B51" s="4523" t="s">
        <v>741</v>
      </c>
      <c r="C51" s="5982" t="s">
        <v>1576</v>
      </c>
      <c r="D51" s="5873" t="s">
        <v>5369</v>
      </c>
      <c r="E51" s="5874" t="s">
        <v>5370</v>
      </c>
      <c r="F51" s="5865" t="s">
        <v>5371</v>
      </c>
      <c r="G51" s="7061" t="s">
        <v>5372</v>
      </c>
      <c r="H51" s="7062" t="s">
        <v>5373</v>
      </c>
      <c r="I51" s="7061" t="s">
        <v>5374</v>
      </c>
      <c r="J51" s="7062" t="s">
        <v>5375</v>
      </c>
      <c r="K51" s="7061" t="s">
        <v>5376</v>
      </c>
      <c r="L51" s="7062" t="s">
        <v>5377</v>
      </c>
      <c r="M51" s="5983" t="s">
        <v>5378</v>
      </c>
      <c r="N51" s="5984" t="s">
        <v>5379</v>
      </c>
      <c r="O51" s="5983" t="s">
        <v>5380</v>
      </c>
      <c r="P51" s="5984" t="s">
        <v>5381</v>
      </c>
      <c r="Q51" s="5985" t="s">
        <v>5382</v>
      </c>
      <c r="R51" s="5984" t="s">
        <v>5383</v>
      </c>
      <c r="S51" s="5985" t="s">
        <v>5384</v>
      </c>
      <c r="T51" s="5984" t="s">
        <v>5385</v>
      </c>
      <c r="U51" s="5985" t="s">
        <v>5386</v>
      </c>
      <c r="V51" s="5984" t="s">
        <v>5387</v>
      </c>
      <c r="W51" s="5985" t="s">
        <v>5388</v>
      </c>
      <c r="X51" s="5984" t="s">
        <v>5389</v>
      </c>
      <c r="Y51" s="5985" t="s">
        <v>5390</v>
      </c>
      <c r="Z51" s="5984" t="s">
        <v>5391</v>
      </c>
      <c r="AA51" s="5985" t="s">
        <v>5392</v>
      </c>
      <c r="AB51" s="5984" t="s">
        <v>5393</v>
      </c>
      <c r="AC51" s="5985" t="s">
        <v>5394</v>
      </c>
      <c r="AD51" s="5984" t="s">
        <v>5395</v>
      </c>
      <c r="AE51" s="5985" t="s">
        <v>5396</v>
      </c>
      <c r="AF51" s="5984" t="s">
        <v>5397</v>
      </c>
      <c r="AG51" s="5985" t="s">
        <v>5398</v>
      </c>
      <c r="AH51" s="5984" t="s">
        <v>5399</v>
      </c>
      <c r="AI51" s="5985" t="s">
        <v>5400</v>
      </c>
      <c r="AJ51" s="5984" t="s">
        <v>5401</v>
      </c>
      <c r="AK51" s="5985" t="s">
        <v>5402</v>
      </c>
      <c r="AL51" s="5984" t="s">
        <v>5403</v>
      </c>
      <c r="AM51" s="5986" t="s">
        <v>5404</v>
      </c>
      <c r="AN51" s="5987" t="s">
        <v>5405</v>
      </c>
      <c r="AO51" s="5988" t="s">
        <v>5406</v>
      </c>
      <c r="AP51" s="5988" t="s">
        <v>5407</v>
      </c>
      <c r="AQ51" s="5988" t="s">
        <v>5408</v>
      </c>
      <c r="AR51" s="5057"/>
      <c r="AS51" s="4291"/>
      <c r="AT51" s="4291"/>
      <c r="AU51" s="4291"/>
      <c r="AV51" s="4291"/>
      <c r="AW51" s="4291"/>
      <c r="AX51" s="4291"/>
      <c r="AY51" s="4291"/>
      <c r="AZ51" s="4291"/>
      <c r="BA51" s="4291"/>
      <c r="BB51" s="4264"/>
      <c r="BC51" s="4264"/>
      <c r="CB51" s="4292" t="str">
        <f>IF(DB51=1,"* No olvide digitar la columna Beneficiarios y/o Pueblos Originarios y/o Migrantes. ","")</f>
        <v/>
      </c>
      <c r="CC51" s="4292" t="str">
        <f>IF(DC51=1,"* El número de Beneficiarios NO DEBE ser mayor que el total. ","")</f>
        <v xml:space="preserve">* El número de Beneficiarios NO DEBE ser mayor que el total. </v>
      </c>
      <c r="CD51" s="4292" t="str">
        <f>IF(DD51=1,"* El número de Personas pertenecientes a Pueblos Originarios NO DEBE ser mayor que el total. ","")</f>
        <v xml:space="preserve">* El número de Personas pertenecientes a Pueblos Originarios NO DEBE ser mayor que el total. </v>
      </c>
      <c r="CE51" s="4292" t="str">
        <f>IF(DE51=1,"* El número de Personas Migrantes NO DEBE ser mayor que el total. ","")</f>
        <v xml:space="preserve">* El número de Personas Migrantes NO DEBE ser mayor que el total. </v>
      </c>
      <c r="CF51" s="4993"/>
      <c r="CG51" s="4993"/>
      <c r="CH51" s="4993"/>
      <c r="CI51" s="4993"/>
      <c r="DB51" s="5530">
        <f>IF(AND(D51&lt;&gt;0,OR(AQ51="",AO51="",AP51="")),1,0)</f>
        <v>0</v>
      </c>
      <c r="DC51" s="5530">
        <f t="shared" ref="DC51:DE52" si="67">IF($D51&lt;AO51,1,0)</f>
        <v>1</v>
      </c>
      <c r="DD51" s="5530">
        <f t="shared" si="67"/>
        <v>1</v>
      </c>
      <c r="DE51" s="5530">
        <f t="shared" si="67"/>
        <v>1</v>
      </c>
    </row>
    <row r="52" spans="1:109" ht="20.25" customHeight="1" x14ac:dyDescent="0.25">
      <c r="A52" s="7258" t="s">
        <v>4661</v>
      </c>
      <c r="B52" s="5989" t="s">
        <v>740</v>
      </c>
      <c r="C52" s="5990" t="s">
        <v>1576</v>
      </c>
      <c r="D52" s="5892" t="s">
        <v>5369</v>
      </c>
      <c r="E52" s="5893" t="s">
        <v>5370</v>
      </c>
      <c r="F52" s="5991" t="s">
        <v>5371</v>
      </c>
      <c r="G52" s="7063" t="s">
        <v>5372</v>
      </c>
      <c r="H52" s="7064" t="s">
        <v>5373</v>
      </c>
      <c r="I52" s="7063" t="s">
        <v>5374</v>
      </c>
      <c r="J52" s="7064" t="s">
        <v>5375</v>
      </c>
      <c r="K52" s="7063" t="s">
        <v>5376</v>
      </c>
      <c r="L52" s="7064" t="s">
        <v>5377</v>
      </c>
      <c r="M52" s="5992" t="s">
        <v>5378</v>
      </c>
      <c r="N52" s="5993" t="s">
        <v>5379</v>
      </c>
      <c r="O52" s="5992" t="s">
        <v>5380</v>
      </c>
      <c r="P52" s="5993" t="s">
        <v>5381</v>
      </c>
      <c r="Q52" s="5896" t="s">
        <v>5382</v>
      </c>
      <c r="R52" s="5993" t="s">
        <v>5383</v>
      </c>
      <c r="S52" s="5896" t="s">
        <v>5384</v>
      </c>
      <c r="T52" s="5993" t="s">
        <v>5385</v>
      </c>
      <c r="U52" s="5896" t="s">
        <v>5386</v>
      </c>
      <c r="V52" s="5993" t="s">
        <v>5387</v>
      </c>
      <c r="W52" s="5896" t="s">
        <v>5388</v>
      </c>
      <c r="X52" s="5993" t="s">
        <v>5389</v>
      </c>
      <c r="Y52" s="5896" t="s">
        <v>5390</v>
      </c>
      <c r="Z52" s="5993" t="s">
        <v>5391</v>
      </c>
      <c r="AA52" s="5896" t="s">
        <v>5392</v>
      </c>
      <c r="AB52" s="5993" t="s">
        <v>5393</v>
      </c>
      <c r="AC52" s="5896" t="s">
        <v>5394</v>
      </c>
      <c r="AD52" s="5993" t="s">
        <v>5395</v>
      </c>
      <c r="AE52" s="5896" t="s">
        <v>5396</v>
      </c>
      <c r="AF52" s="5993" t="s">
        <v>5397</v>
      </c>
      <c r="AG52" s="5896" t="s">
        <v>5398</v>
      </c>
      <c r="AH52" s="5993" t="s">
        <v>5399</v>
      </c>
      <c r="AI52" s="5896" t="s">
        <v>5400</v>
      </c>
      <c r="AJ52" s="5993" t="s">
        <v>5401</v>
      </c>
      <c r="AK52" s="5896" t="s">
        <v>5402</v>
      </c>
      <c r="AL52" s="5993" t="s">
        <v>5403</v>
      </c>
      <c r="AM52" s="5994" t="s">
        <v>5404</v>
      </c>
      <c r="AN52" s="5995" t="s">
        <v>5405</v>
      </c>
      <c r="AO52" s="5996" t="s">
        <v>5406</v>
      </c>
      <c r="AP52" s="5996" t="s">
        <v>5407</v>
      </c>
      <c r="AQ52" s="5996" t="s">
        <v>5408</v>
      </c>
      <c r="AR52" s="5057"/>
      <c r="AS52" s="4291"/>
      <c r="AT52" s="4291"/>
      <c r="AU52" s="4291"/>
      <c r="AV52" s="4291"/>
      <c r="AW52" s="4291"/>
      <c r="AX52" s="4291"/>
      <c r="AY52" s="4291"/>
      <c r="AZ52" s="4291"/>
      <c r="BA52" s="4291"/>
      <c r="BB52" s="4264"/>
      <c r="BC52" s="4264"/>
      <c r="CB52" s="4292" t="str">
        <f>IF(DB52=1,"* No olvide digitar la columna Beneficiarios y/o Pueblos Originarios y/o Migrantes. ","")</f>
        <v/>
      </c>
      <c r="CC52" s="4292" t="str">
        <f>IF(DC52=1,"* El número de Beneficiarios NO DEBE ser mayor que el total. ","")</f>
        <v xml:space="preserve">* El número de Beneficiarios NO DEBE ser mayor que el total. </v>
      </c>
      <c r="CD52" s="4292" t="str">
        <f>IF(DD52=1,"* El número de Personas pertenecientes a Pueblos Originarios NO DEBE ser mayor que el total. ","")</f>
        <v xml:space="preserve">* El número de Personas pertenecientes a Pueblos Originarios NO DEBE ser mayor que el total. </v>
      </c>
      <c r="CE52" s="4292" t="str">
        <f>IF(DE52=1,"* El número de Personas Migrantes NO DEBE ser mayor que el total. ","")</f>
        <v xml:space="preserve">* El número de Personas Migrantes NO DEBE ser mayor que el total. </v>
      </c>
      <c r="CF52" s="4993"/>
      <c r="CG52" s="4993"/>
      <c r="CH52" s="4993"/>
      <c r="CI52" s="4993"/>
      <c r="DB52" s="5530">
        <f>IF(AND(D52&lt;&gt;0,OR(AQ52="",AO52="",AP52="")),1,0)</f>
        <v>0</v>
      </c>
      <c r="DC52" s="5530">
        <f t="shared" si="67"/>
        <v>1</v>
      </c>
      <c r="DD52" s="5530">
        <f t="shared" si="67"/>
        <v>1</v>
      </c>
      <c r="DE52" s="5530">
        <f t="shared" si="67"/>
        <v>1</v>
      </c>
    </row>
    <row r="53" spans="1:109" ht="31.35" customHeight="1" x14ac:dyDescent="0.25">
      <c r="A53" s="7280"/>
      <c r="B53" s="9460" t="s">
        <v>1575</v>
      </c>
      <c r="C53" s="9460"/>
      <c r="D53" s="9460"/>
      <c r="E53" s="9460"/>
      <c r="F53" s="9460"/>
      <c r="G53" s="9460"/>
      <c r="H53" s="9460"/>
      <c r="I53" s="9460"/>
      <c r="J53" s="9460"/>
      <c r="K53" s="9460"/>
      <c r="L53" s="9460"/>
      <c r="M53" s="9460"/>
      <c r="N53" s="9460"/>
      <c r="O53" s="5997"/>
      <c r="P53" s="5975"/>
      <c r="Q53" s="5975"/>
      <c r="R53" s="5975"/>
      <c r="S53" s="5975"/>
      <c r="T53" s="5975"/>
      <c r="U53" s="5975"/>
      <c r="V53" s="5975"/>
      <c r="W53" s="5998"/>
      <c r="X53" s="5975"/>
      <c r="Y53" s="5975"/>
      <c r="Z53" s="5975"/>
      <c r="AA53" s="5975"/>
      <c r="AB53" s="5975"/>
      <c r="AC53" s="5975"/>
      <c r="AD53" s="5975"/>
      <c r="AE53" s="5975"/>
      <c r="AF53" s="5975"/>
      <c r="AG53" s="5975"/>
      <c r="AH53" s="5975"/>
      <c r="AI53" s="5975"/>
      <c r="AJ53" s="5975"/>
      <c r="AK53" s="5975"/>
      <c r="AL53" s="5975"/>
      <c r="AM53" s="5975"/>
      <c r="AN53" s="5975"/>
      <c r="AO53" s="5975"/>
      <c r="AP53" s="5717"/>
      <c r="AQ53" s="5976"/>
      <c r="AR53" s="4264"/>
      <c r="AS53" s="4264"/>
      <c r="AT53" s="4264"/>
      <c r="AU53" s="4264"/>
      <c r="AV53" s="4264"/>
      <c r="AW53" s="4264"/>
      <c r="AX53" s="4264"/>
      <c r="AY53" s="4264"/>
      <c r="AZ53" s="4264"/>
      <c r="BA53" s="4264"/>
      <c r="BB53" s="4264"/>
      <c r="BC53" s="4264"/>
    </row>
    <row r="54" spans="1:109" ht="16.350000000000001" customHeight="1" x14ac:dyDescent="0.25">
      <c r="A54" s="7280"/>
      <c r="B54" s="9431" t="s">
        <v>41</v>
      </c>
      <c r="C54" s="9432"/>
      <c r="D54" s="9438" t="s">
        <v>86</v>
      </c>
      <c r="E54" s="9438"/>
      <c r="F54" s="9439"/>
      <c r="G54" s="9489" t="s">
        <v>84</v>
      </c>
      <c r="H54" s="9490"/>
      <c r="I54" s="9490"/>
      <c r="J54" s="9490"/>
      <c r="K54" s="9490"/>
      <c r="L54" s="9490"/>
      <c r="M54" s="9490"/>
      <c r="N54" s="9490"/>
      <c r="O54" s="9490"/>
      <c r="P54" s="9490"/>
      <c r="Q54" s="9490"/>
      <c r="R54" s="9490"/>
      <c r="S54" s="9490"/>
      <c r="T54" s="9490"/>
      <c r="U54" s="9490"/>
      <c r="V54" s="9490"/>
      <c r="W54" s="9490"/>
      <c r="X54" s="9490"/>
      <c r="Y54" s="9490"/>
      <c r="Z54" s="9490"/>
      <c r="AA54" s="9490"/>
      <c r="AB54" s="9490"/>
      <c r="AC54" s="9490"/>
      <c r="AD54" s="9490"/>
      <c r="AE54" s="9490"/>
      <c r="AF54" s="9490"/>
      <c r="AG54" s="9490"/>
      <c r="AH54" s="9490"/>
      <c r="AI54" s="9490"/>
      <c r="AJ54" s="9490"/>
      <c r="AK54" s="9490"/>
      <c r="AL54" s="9490"/>
      <c r="AM54" s="9490"/>
      <c r="AN54" s="9491"/>
      <c r="AO54" s="9174" t="s">
        <v>362</v>
      </c>
      <c r="AP54" s="9174" t="s">
        <v>361</v>
      </c>
      <c r="AQ54" s="4264"/>
      <c r="AR54" s="4264"/>
      <c r="AS54" s="4264"/>
      <c r="AT54" s="4264"/>
      <c r="AU54" s="4264"/>
      <c r="AV54" s="4264"/>
      <c r="AW54" s="4264"/>
      <c r="AX54" s="4264"/>
      <c r="AY54" s="4264"/>
      <c r="AZ54" s="4264"/>
      <c r="BA54" s="4264"/>
      <c r="BB54" s="4264"/>
      <c r="BX54" s="4259"/>
    </row>
    <row r="55" spans="1:109" ht="16.350000000000001" customHeight="1" x14ac:dyDescent="0.25">
      <c r="A55" s="7280"/>
      <c r="B55" s="9433"/>
      <c r="C55" s="9434"/>
      <c r="D55" s="9441"/>
      <c r="E55" s="9441"/>
      <c r="F55" s="9442"/>
      <c r="G55" s="9404" t="s">
        <v>399</v>
      </c>
      <c r="H55" s="9417"/>
      <c r="I55" s="9404" t="s">
        <v>54</v>
      </c>
      <c r="J55" s="9417"/>
      <c r="K55" s="9404" t="s">
        <v>79</v>
      </c>
      <c r="L55" s="9417"/>
      <c r="M55" s="9404" t="s">
        <v>80</v>
      </c>
      <c r="N55" s="9417"/>
      <c r="O55" s="9404" t="s">
        <v>81</v>
      </c>
      <c r="P55" s="9417"/>
      <c r="Q55" s="9401" t="s">
        <v>82</v>
      </c>
      <c r="R55" s="9402"/>
      <c r="S55" s="9401" t="s">
        <v>83</v>
      </c>
      <c r="T55" s="9402"/>
      <c r="U55" s="9401" t="s">
        <v>400</v>
      </c>
      <c r="V55" s="9402"/>
      <c r="W55" s="9401" t="s">
        <v>124</v>
      </c>
      <c r="X55" s="9402"/>
      <c r="Y55" s="9401" t="s">
        <v>125</v>
      </c>
      <c r="Z55" s="9402"/>
      <c r="AA55" s="9401" t="s">
        <v>126</v>
      </c>
      <c r="AB55" s="9402"/>
      <c r="AC55" s="9401" t="s">
        <v>127</v>
      </c>
      <c r="AD55" s="9402"/>
      <c r="AE55" s="9401" t="s">
        <v>128</v>
      </c>
      <c r="AF55" s="9402"/>
      <c r="AG55" s="9401" t="s">
        <v>129</v>
      </c>
      <c r="AH55" s="9402"/>
      <c r="AI55" s="9401" t="s">
        <v>130</v>
      </c>
      <c r="AJ55" s="9402"/>
      <c r="AK55" s="9401" t="s">
        <v>131</v>
      </c>
      <c r="AL55" s="9402"/>
      <c r="AM55" s="9401" t="s">
        <v>1919</v>
      </c>
      <c r="AN55" s="9403"/>
      <c r="AO55" s="9182"/>
      <c r="AP55" s="9182"/>
      <c r="AQ55" s="4264"/>
      <c r="AR55" s="4264"/>
      <c r="AS55" s="4264"/>
      <c r="AT55" s="4264"/>
      <c r="AU55" s="4264"/>
      <c r="AV55" s="4264"/>
      <c r="AW55" s="4264"/>
      <c r="AX55" s="4264"/>
      <c r="AY55" s="4264"/>
      <c r="AZ55" s="4264"/>
      <c r="BA55" s="4264"/>
      <c r="BB55" s="4264"/>
      <c r="BX55" s="4259"/>
    </row>
    <row r="56" spans="1:109" ht="16.350000000000001" customHeight="1" x14ac:dyDescent="0.25">
      <c r="A56" s="7280"/>
      <c r="B56" s="9435"/>
      <c r="C56" s="9436"/>
      <c r="D56" s="5999" t="s">
        <v>42</v>
      </c>
      <c r="E56" s="6000" t="s">
        <v>17</v>
      </c>
      <c r="F56" s="6001" t="s">
        <v>18</v>
      </c>
      <c r="G56" s="3944" t="s">
        <v>17</v>
      </c>
      <c r="H56" s="3945" t="s">
        <v>18</v>
      </c>
      <c r="I56" s="3944" t="s">
        <v>17</v>
      </c>
      <c r="J56" s="3945" t="s">
        <v>18</v>
      </c>
      <c r="K56" s="3944" t="s">
        <v>17</v>
      </c>
      <c r="L56" s="3945" t="s">
        <v>18</v>
      </c>
      <c r="M56" s="3944" t="s">
        <v>17</v>
      </c>
      <c r="N56" s="3945" t="s">
        <v>18</v>
      </c>
      <c r="O56" s="3944" t="s">
        <v>17</v>
      </c>
      <c r="P56" s="3945" t="s">
        <v>18</v>
      </c>
      <c r="Q56" s="3944" t="s">
        <v>17</v>
      </c>
      <c r="R56" s="3945" t="s">
        <v>18</v>
      </c>
      <c r="S56" s="3944" t="s">
        <v>17</v>
      </c>
      <c r="T56" s="3945" t="s">
        <v>18</v>
      </c>
      <c r="U56" s="3944" t="s">
        <v>17</v>
      </c>
      <c r="V56" s="3945" t="s">
        <v>18</v>
      </c>
      <c r="W56" s="3944" t="s">
        <v>17</v>
      </c>
      <c r="X56" s="3945" t="s">
        <v>18</v>
      </c>
      <c r="Y56" s="3944" t="s">
        <v>17</v>
      </c>
      <c r="Z56" s="3945" t="s">
        <v>18</v>
      </c>
      <c r="AA56" s="3944" t="s">
        <v>17</v>
      </c>
      <c r="AB56" s="3945" t="s">
        <v>18</v>
      </c>
      <c r="AC56" s="3944" t="s">
        <v>17</v>
      </c>
      <c r="AD56" s="3945" t="s">
        <v>18</v>
      </c>
      <c r="AE56" s="3944" t="s">
        <v>17</v>
      </c>
      <c r="AF56" s="3945" t="s">
        <v>18</v>
      </c>
      <c r="AG56" s="3944" t="s">
        <v>17</v>
      </c>
      <c r="AH56" s="3945" t="s">
        <v>18</v>
      </c>
      <c r="AI56" s="3944" t="s">
        <v>17</v>
      </c>
      <c r="AJ56" s="3945" t="s">
        <v>18</v>
      </c>
      <c r="AK56" s="3944" t="s">
        <v>17</v>
      </c>
      <c r="AL56" s="3945" t="s">
        <v>18</v>
      </c>
      <c r="AM56" s="3805" t="s">
        <v>17</v>
      </c>
      <c r="AN56" s="6002" t="s">
        <v>18</v>
      </c>
      <c r="AO56" s="9087"/>
      <c r="AP56" s="9087"/>
      <c r="AQ56" s="4264"/>
      <c r="AR56" s="4264"/>
      <c r="AS56" s="4264"/>
      <c r="AT56" s="4264"/>
      <c r="AU56" s="4264"/>
      <c r="AV56" s="4264"/>
      <c r="AW56" s="4264"/>
      <c r="AX56" s="4264"/>
      <c r="AY56" s="4264"/>
      <c r="AZ56" s="4264"/>
      <c r="BA56" s="4264"/>
      <c r="BB56" s="4264"/>
      <c r="BX56" s="4259"/>
    </row>
    <row r="57" spans="1:109" ht="16.350000000000001" customHeight="1" x14ac:dyDescent="0.25">
      <c r="A57" s="7258" t="s">
        <v>4662</v>
      </c>
      <c r="B57" s="9445" t="s">
        <v>1574</v>
      </c>
      <c r="C57" s="6003" t="s">
        <v>2590</v>
      </c>
      <c r="D57" s="5843" t="s">
        <v>5369</v>
      </c>
      <c r="E57" s="5844" t="s">
        <v>5370</v>
      </c>
      <c r="F57" s="5845" t="s">
        <v>5371</v>
      </c>
      <c r="G57" s="3959" t="s">
        <v>5372</v>
      </c>
      <c r="H57" s="3960" t="s">
        <v>5373</v>
      </c>
      <c r="I57" s="3897" t="s">
        <v>5374</v>
      </c>
      <c r="J57" s="3838" t="s">
        <v>5375</v>
      </c>
      <c r="K57" s="3897" t="s">
        <v>5376</v>
      </c>
      <c r="L57" s="3834" t="s">
        <v>5377</v>
      </c>
      <c r="M57" s="3897" t="s">
        <v>5378</v>
      </c>
      <c r="N57" s="3834" t="s">
        <v>5379</v>
      </c>
      <c r="O57" s="3897" t="s">
        <v>5380</v>
      </c>
      <c r="P57" s="3834" t="s">
        <v>5381</v>
      </c>
      <c r="Q57" s="6004" t="s">
        <v>5382</v>
      </c>
      <c r="R57" s="3834" t="s">
        <v>5383</v>
      </c>
      <c r="S57" s="6004" t="s">
        <v>5384</v>
      </c>
      <c r="T57" s="3834" t="s">
        <v>5385</v>
      </c>
      <c r="U57" s="6004" t="s">
        <v>5386</v>
      </c>
      <c r="V57" s="3834" t="s">
        <v>5387</v>
      </c>
      <c r="W57" s="6004" t="s">
        <v>5388</v>
      </c>
      <c r="X57" s="3834" t="s">
        <v>5389</v>
      </c>
      <c r="Y57" s="6004" t="s">
        <v>5390</v>
      </c>
      <c r="Z57" s="3834" t="s">
        <v>5391</v>
      </c>
      <c r="AA57" s="6004" t="s">
        <v>5392</v>
      </c>
      <c r="AB57" s="3834" t="s">
        <v>5393</v>
      </c>
      <c r="AC57" s="6004" t="s">
        <v>5394</v>
      </c>
      <c r="AD57" s="3834" t="s">
        <v>5395</v>
      </c>
      <c r="AE57" s="6004" t="s">
        <v>5396</v>
      </c>
      <c r="AF57" s="3834" t="s">
        <v>5397</v>
      </c>
      <c r="AG57" s="6004" t="s">
        <v>5398</v>
      </c>
      <c r="AH57" s="3834" t="s">
        <v>5399</v>
      </c>
      <c r="AI57" s="6004" t="s">
        <v>5400</v>
      </c>
      <c r="AJ57" s="3834" t="s">
        <v>5401</v>
      </c>
      <c r="AK57" s="6004" t="s">
        <v>5402</v>
      </c>
      <c r="AL57" s="3834" t="s">
        <v>5403</v>
      </c>
      <c r="AM57" s="6004" t="s">
        <v>5404</v>
      </c>
      <c r="AN57" s="3899" t="s">
        <v>5405</v>
      </c>
      <c r="AO57" s="6005" t="s">
        <v>5406</v>
      </c>
      <c r="AP57" s="6005" t="s">
        <v>5407</v>
      </c>
      <c r="AQ57" s="5057" t="str">
        <f t="shared" ref="AQ57:AQ78" si="68">CB57&amp;CC57&amp;CD57&amp;CE57</f>
        <v xml:space="preserve">* El número de Personas pertenecientes a Pueblos Originarios NO DEBE ser mayor que el total. * El número de Personas Migrantes NO DEBE ser mayor que el total. </v>
      </c>
      <c r="AS57" s="4291"/>
      <c r="AT57" s="4291"/>
      <c r="AU57" s="4291"/>
      <c r="AV57" s="4291"/>
      <c r="AW57" s="4291"/>
      <c r="AX57" s="4291"/>
      <c r="AY57" s="4291"/>
      <c r="AZ57" s="4291"/>
      <c r="BA57" s="4264"/>
      <c r="BB57" s="4264"/>
      <c r="BX57" s="4259"/>
      <c r="CB57" s="4292" t="str">
        <f>IF(DB57=1,"* No olvide digitar la columna Pueblos Originarios y/o Migrantes. ","")</f>
        <v/>
      </c>
      <c r="CC57" s="4292" t="str">
        <f t="shared" ref="CC57:CC78" si="69">IF(DC57=1,"* El número de Personas pertenecientes a Pueblos Originarios NO DEBE ser mayor que el total. ","")</f>
        <v xml:space="preserve">* El número de Personas pertenecientes a Pueblos Originarios NO DEBE ser mayor que el total. </v>
      </c>
      <c r="CD57" s="4292" t="str">
        <f t="shared" ref="CD57:CD78" si="70">IF(DD57=1,"* El número de Personas Migrantes NO DEBE ser mayor que el total. ","")</f>
        <v xml:space="preserve">* El número de Personas Migrantes NO DEBE ser mayor que el total. </v>
      </c>
      <c r="CH57" s="4993"/>
      <c r="CI57" s="4993"/>
      <c r="DB57" s="5530">
        <f>IF(AND(D57&lt;&gt;0,OR(AO57="",AP57="")),1,0)</f>
        <v>0</v>
      </c>
      <c r="DC57" s="5530">
        <f t="shared" ref="DC57:DC78" si="71">IF($D57&lt;AO57,1,0)</f>
        <v>1</v>
      </c>
      <c r="DD57" s="5530">
        <f t="shared" ref="DD57:DD78" si="72">IF($D57&lt;AP57,1,0)</f>
        <v>1</v>
      </c>
    </row>
    <row r="58" spans="1:109" ht="16.350000000000001" customHeight="1" x14ac:dyDescent="0.25">
      <c r="A58" s="7258" t="s">
        <v>4663</v>
      </c>
      <c r="B58" s="9247"/>
      <c r="C58" s="6006" t="s">
        <v>2601</v>
      </c>
      <c r="D58" s="5852" t="s">
        <v>5369</v>
      </c>
      <c r="E58" s="5853" t="s">
        <v>5370</v>
      </c>
      <c r="F58" s="5854" t="s">
        <v>5371</v>
      </c>
      <c r="G58" s="6007" t="s">
        <v>5372</v>
      </c>
      <c r="H58" s="6008" t="s">
        <v>5373</v>
      </c>
      <c r="I58" s="3968" t="s">
        <v>5374</v>
      </c>
      <c r="J58" s="3900" t="s">
        <v>5375</v>
      </c>
      <c r="K58" s="3968" t="s">
        <v>5376</v>
      </c>
      <c r="L58" s="3969" t="s">
        <v>5377</v>
      </c>
      <c r="M58" s="3968" t="s">
        <v>5378</v>
      </c>
      <c r="N58" s="3969" t="s">
        <v>5379</v>
      </c>
      <c r="O58" s="3968" t="s">
        <v>5380</v>
      </c>
      <c r="P58" s="3969" t="s">
        <v>5381</v>
      </c>
      <c r="Q58" s="3970" t="s">
        <v>5382</v>
      </c>
      <c r="R58" s="3969" t="s">
        <v>5383</v>
      </c>
      <c r="S58" s="3970" t="s">
        <v>5384</v>
      </c>
      <c r="T58" s="3969" t="s">
        <v>5385</v>
      </c>
      <c r="U58" s="3970" t="s">
        <v>5386</v>
      </c>
      <c r="V58" s="3969" t="s">
        <v>5387</v>
      </c>
      <c r="W58" s="3970" t="s">
        <v>5388</v>
      </c>
      <c r="X58" s="3969" t="s">
        <v>5389</v>
      </c>
      <c r="Y58" s="3970" t="s">
        <v>5390</v>
      </c>
      <c r="Z58" s="3969" t="s">
        <v>5391</v>
      </c>
      <c r="AA58" s="3970" t="s">
        <v>5392</v>
      </c>
      <c r="AB58" s="3969" t="s">
        <v>5393</v>
      </c>
      <c r="AC58" s="3970" t="s">
        <v>5394</v>
      </c>
      <c r="AD58" s="3969" t="s">
        <v>5395</v>
      </c>
      <c r="AE58" s="3970" t="s">
        <v>5396</v>
      </c>
      <c r="AF58" s="3969" t="s">
        <v>5397</v>
      </c>
      <c r="AG58" s="3970" t="s">
        <v>5398</v>
      </c>
      <c r="AH58" s="3969" t="s">
        <v>5399</v>
      </c>
      <c r="AI58" s="3970" t="s">
        <v>5400</v>
      </c>
      <c r="AJ58" s="3969" t="s">
        <v>5401</v>
      </c>
      <c r="AK58" s="3970" t="s">
        <v>5402</v>
      </c>
      <c r="AL58" s="3969" t="s">
        <v>5403</v>
      </c>
      <c r="AM58" s="3970" t="s">
        <v>5404</v>
      </c>
      <c r="AN58" s="4138" t="s">
        <v>5405</v>
      </c>
      <c r="AO58" s="6009" t="s">
        <v>5406</v>
      </c>
      <c r="AP58" s="6009" t="s">
        <v>5407</v>
      </c>
      <c r="AQ58" s="5057" t="str">
        <f t="shared" si="68"/>
        <v xml:space="preserve">* El número de Personas pertenecientes a Pueblos Originarios NO DEBE ser mayor que el total. * El número de Personas Migrantes NO DEBE ser mayor que el total. </v>
      </c>
      <c r="AS58" s="4291"/>
      <c r="AT58" s="4291"/>
      <c r="AU58" s="4291"/>
      <c r="AV58" s="4291"/>
      <c r="AW58" s="4291"/>
      <c r="AX58" s="4291"/>
      <c r="AY58" s="4291"/>
      <c r="AZ58" s="4291"/>
      <c r="BA58" s="4264"/>
      <c r="BB58" s="4264"/>
      <c r="BX58" s="4259"/>
      <c r="CB58" s="4292" t="str">
        <f t="shared" ref="CB58:CB78" si="73">IF(DB58=1,"* No olvide digitar la columna Pueblos Originarios y/o Migrantes. ","")</f>
        <v/>
      </c>
      <c r="CC58" s="4292" t="str">
        <f t="shared" si="69"/>
        <v xml:space="preserve">* El número de Personas pertenecientes a Pueblos Originarios NO DEBE ser mayor que el total. </v>
      </c>
      <c r="CD58" s="4292" t="str">
        <f t="shared" si="70"/>
        <v xml:space="preserve">* El número de Personas Migrantes NO DEBE ser mayor que el total. </v>
      </c>
      <c r="CH58" s="4993"/>
      <c r="CI58" s="4993"/>
      <c r="DB58" s="5530">
        <f t="shared" ref="DB58:DB78" si="74">IF(AND(D58&lt;&gt;0,OR(AO58="",AP58="")),1,0)</f>
        <v>0</v>
      </c>
      <c r="DC58" s="5530">
        <f t="shared" si="71"/>
        <v>1</v>
      </c>
      <c r="DD58" s="5530">
        <f t="shared" si="72"/>
        <v>1</v>
      </c>
    </row>
    <row r="59" spans="1:109" ht="16.350000000000001" customHeight="1" x14ac:dyDescent="0.25">
      <c r="A59" s="7258" t="s">
        <v>4664</v>
      </c>
      <c r="B59" s="9247"/>
      <c r="C59" s="6006" t="s">
        <v>60</v>
      </c>
      <c r="D59" s="5852" t="s">
        <v>5369</v>
      </c>
      <c r="E59" s="5853" t="s">
        <v>5370</v>
      </c>
      <c r="F59" s="5854" t="s">
        <v>5371</v>
      </c>
      <c r="G59" s="6007" t="s">
        <v>5372</v>
      </c>
      <c r="H59" s="6008" t="s">
        <v>5373</v>
      </c>
      <c r="I59" s="3968" t="s">
        <v>5374</v>
      </c>
      <c r="J59" s="3900" t="s">
        <v>5375</v>
      </c>
      <c r="K59" s="3968" t="s">
        <v>5376</v>
      </c>
      <c r="L59" s="3969" t="s">
        <v>5377</v>
      </c>
      <c r="M59" s="3968" t="s">
        <v>5378</v>
      </c>
      <c r="N59" s="3969" t="s">
        <v>5379</v>
      </c>
      <c r="O59" s="3968" t="s">
        <v>5380</v>
      </c>
      <c r="P59" s="3969" t="s">
        <v>5381</v>
      </c>
      <c r="Q59" s="3970" t="s">
        <v>5382</v>
      </c>
      <c r="R59" s="3969" t="s">
        <v>5383</v>
      </c>
      <c r="S59" s="3970" t="s">
        <v>5384</v>
      </c>
      <c r="T59" s="3969" t="s">
        <v>5385</v>
      </c>
      <c r="U59" s="3970" t="s">
        <v>5386</v>
      </c>
      <c r="V59" s="3969" t="s">
        <v>5387</v>
      </c>
      <c r="W59" s="3970" t="s">
        <v>5388</v>
      </c>
      <c r="X59" s="3969" t="s">
        <v>5389</v>
      </c>
      <c r="Y59" s="3970" t="s">
        <v>5390</v>
      </c>
      <c r="Z59" s="3969" t="s">
        <v>5391</v>
      </c>
      <c r="AA59" s="3970" t="s">
        <v>5392</v>
      </c>
      <c r="AB59" s="3969" t="s">
        <v>5393</v>
      </c>
      <c r="AC59" s="3970" t="s">
        <v>5394</v>
      </c>
      <c r="AD59" s="3969" t="s">
        <v>5395</v>
      </c>
      <c r="AE59" s="3970" t="s">
        <v>5396</v>
      </c>
      <c r="AF59" s="3969" t="s">
        <v>5397</v>
      </c>
      <c r="AG59" s="3970" t="s">
        <v>5398</v>
      </c>
      <c r="AH59" s="3969" t="s">
        <v>5399</v>
      </c>
      <c r="AI59" s="3970" t="s">
        <v>5400</v>
      </c>
      <c r="AJ59" s="3969" t="s">
        <v>5401</v>
      </c>
      <c r="AK59" s="3970" t="s">
        <v>5402</v>
      </c>
      <c r="AL59" s="3969" t="s">
        <v>5403</v>
      </c>
      <c r="AM59" s="3970" t="s">
        <v>5404</v>
      </c>
      <c r="AN59" s="4138" t="s">
        <v>5405</v>
      </c>
      <c r="AO59" s="6009" t="s">
        <v>5406</v>
      </c>
      <c r="AP59" s="6009" t="s">
        <v>5407</v>
      </c>
      <c r="AQ59" s="5057" t="str">
        <f t="shared" si="68"/>
        <v xml:space="preserve">* El número de Personas pertenecientes a Pueblos Originarios NO DEBE ser mayor que el total. * El número de Personas Migrantes NO DEBE ser mayor que el total. </v>
      </c>
      <c r="AS59" s="4291"/>
      <c r="AT59" s="4291"/>
      <c r="AU59" s="4291"/>
      <c r="AV59" s="4291"/>
      <c r="AW59" s="4291"/>
      <c r="AX59" s="4291"/>
      <c r="AY59" s="4291"/>
      <c r="AZ59" s="4291"/>
      <c r="BA59" s="4264"/>
      <c r="BB59" s="4264"/>
      <c r="BX59" s="4259"/>
      <c r="CB59" s="4292" t="str">
        <f t="shared" si="73"/>
        <v/>
      </c>
      <c r="CC59" s="4292" t="str">
        <f t="shared" si="69"/>
        <v xml:space="preserve">* El número de Personas pertenecientes a Pueblos Originarios NO DEBE ser mayor que el total. </v>
      </c>
      <c r="CD59" s="4292" t="str">
        <f t="shared" si="70"/>
        <v xml:space="preserve">* El número de Personas Migrantes NO DEBE ser mayor que el total. </v>
      </c>
      <c r="CH59" s="4993"/>
      <c r="CI59" s="4993"/>
      <c r="DB59" s="5530">
        <f t="shared" si="74"/>
        <v>0</v>
      </c>
      <c r="DC59" s="5530">
        <f t="shared" si="71"/>
        <v>1</v>
      </c>
      <c r="DD59" s="5530">
        <f t="shared" si="72"/>
        <v>1</v>
      </c>
    </row>
    <row r="60" spans="1:109" ht="16.350000000000001" customHeight="1" x14ac:dyDescent="0.25">
      <c r="A60" s="7258" t="s">
        <v>4665</v>
      </c>
      <c r="B60" s="9247"/>
      <c r="C60" s="6006" t="s">
        <v>1568</v>
      </c>
      <c r="D60" s="5852" t="s">
        <v>5369</v>
      </c>
      <c r="E60" s="5853" t="s">
        <v>5370</v>
      </c>
      <c r="F60" s="5854" t="s">
        <v>5371</v>
      </c>
      <c r="G60" s="6007" t="s">
        <v>5372</v>
      </c>
      <c r="H60" s="6008" t="s">
        <v>5373</v>
      </c>
      <c r="I60" s="3968" t="s">
        <v>5374</v>
      </c>
      <c r="J60" s="3900" t="s">
        <v>5375</v>
      </c>
      <c r="K60" s="3968" t="s">
        <v>5376</v>
      </c>
      <c r="L60" s="3969" t="s">
        <v>5377</v>
      </c>
      <c r="M60" s="3968" t="s">
        <v>5378</v>
      </c>
      <c r="N60" s="3969" t="s">
        <v>5379</v>
      </c>
      <c r="O60" s="3968" t="s">
        <v>5380</v>
      </c>
      <c r="P60" s="3969" t="s">
        <v>5381</v>
      </c>
      <c r="Q60" s="3970" t="s">
        <v>5382</v>
      </c>
      <c r="R60" s="3969" t="s">
        <v>5383</v>
      </c>
      <c r="S60" s="3970" t="s">
        <v>5384</v>
      </c>
      <c r="T60" s="3969" t="s">
        <v>5385</v>
      </c>
      <c r="U60" s="3970" t="s">
        <v>5386</v>
      </c>
      <c r="V60" s="3969" t="s">
        <v>5387</v>
      </c>
      <c r="W60" s="3970" t="s">
        <v>5388</v>
      </c>
      <c r="X60" s="3969" t="s">
        <v>5389</v>
      </c>
      <c r="Y60" s="3970" t="s">
        <v>5390</v>
      </c>
      <c r="Z60" s="3969" t="s">
        <v>5391</v>
      </c>
      <c r="AA60" s="3970" t="s">
        <v>5392</v>
      </c>
      <c r="AB60" s="3969" t="s">
        <v>5393</v>
      </c>
      <c r="AC60" s="3970" t="s">
        <v>5394</v>
      </c>
      <c r="AD60" s="3969" t="s">
        <v>5395</v>
      </c>
      <c r="AE60" s="3970" t="s">
        <v>5396</v>
      </c>
      <c r="AF60" s="3969" t="s">
        <v>5397</v>
      </c>
      <c r="AG60" s="3970" t="s">
        <v>5398</v>
      </c>
      <c r="AH60" s="3969" t="s">
        <v>5399</v>
      </c>
      <c r="AI60" s="3970" t="s">
        <v>5400</v>
      </c>
      <c r="AJ60" s="3969" t="s">
        <v>5401</v>
      </c>
      <c r="AK60" s="3970" t="s">
        <v>5402</v>
      </c>
      <c r="AL60" s="3969" t="s">
        <v>5403</v>
      </c>
      <c r="AM60" s="3970" t="s">
        <v>5404</v>
      </c>
      <c r="AN60" s="4138" t="s">
        <v>5405</v>
      </c>
      <c r="AO60" s="6009" t="s">
        <v>5406</v>
      </c>
      <c r="AP60" s="6009" t="s">
        <v>5407</v>
      </c>
      <c r="AQ60" s="5057" t="str">
        <f t="shared" si="68"/>
        <v xml:space="preserve">* El número de Personas pertenecientes a Pueblos Originarios NO DEBE ser mayor que el total. * El número de Personas Migrantes NO DEBE ser mayor que el total. </v>
      </c>
      <c r="AS60" s="4291"/>
      <c r="AT60" s="4291"/>
      <c r="AU60" s="4291"/>
      <c r="AV60" s="4291"/>
      <c r="AW60" s="4291"/>
      <c r="AX60" s="4291"/>
      <c r="AY60" s="4291"/>
      <c r="AZ60" s="4291"/>
      <c r="BA60" s="4264"/>
      <c r="BB60" s="4264"/>
      <c r="BX60" s="4259"/>
      <c r="CB60" s="4292" t="str">
        <f t="shared" si="73"/>
        <v/>
      </c>
      <c r="CC60" s="4292" t="str">
        <f t="shared" si="69"/>
        <v xml:space="preserve">* El número de Personas pertenecientes a Pueblos Originarios NO DEBE ser mayor que el total. </v>
      </c>
      <c r="CD60" s="4292" t="str">
        <f t="shared" si="70"/>
        <v xml:space="preserve">* El número de Personas Migrantes NO DEBE ser mayor que el total. </v>
      </c>
      <c r="CH60" s="4993"/>
      <c r="CI60" s="4993"/>
      <c r="DB60" s="5530">
        <f t="shared" si="74"/>
        <v>0</v>
      </c>
      <c r="DC60" s="5530">
        <f t="shared" si="71"/>
        <v>1</v>
      </c>
      <c r="DD60" s="5530">
        <f t="shared" si="72"/>
        <v>1</v>
      </c>
    </row>
    <row r="61" spans="1:109" ht="16.350000000000001" customHeight="1" x14ac:dyDescent="0.25">
      <c r="A61" s="7258" t="s">
        <v>4666</v>
      </c>
      <c r="B61" s="9247"/>
      <c r="C61" s="6006" t="s">
        <v>2597</v>
      </c>
      <c r="D61" s="5852" t="s">
        <v>5369</v>
      </c>
      <c r="E61" s="5853" t="s">
        <v>5370</v>
      </c>
      <c r="F61" s="5854" t="s">
        <v>5371</v>
      </c>
      <c r="G61" s="6007" t="s">
        <v>5372</v>
      </c>
      <c r="H61" s="6008" t="s">
        <v>5373</v>
      </c>
      <c r="I61" s="3968" t="s">
        <v>5374</v>
      </c>
      <c r="J61" s="3900" t="s">
        <v>5375</v>
      </c>
      <c r="K61" s="3968" t="s">
        <v>5376</v>
      </c>
      <c r="L61" s="3969" t="s">
        <v>5377</v>
      </c>
      <c r="M61" s="3968" t="s">
        <v>5378</v>
      </c>
      <c r="N61" s="3969" t="s">
        <v>5379</v>
      </c>
      <c r="O61" s="3968" t="s">
        <v>5380</v>
      </c>
      <c r="P61" s="3969" t="s">
        <v>5381</v>
      </c>
      <c r="Q61" s="3970" t="s">
        <v>5382</v>
      </c>
      <c r="R61" s="3969" t="s">
        <v>5383</v>
      </c>
      <c r="S61" s="3970" t="s">
        <v>5384</v>
      </c>
      <c r="T61" s="3969" t="s">
        <v>5385</v>
      </c>
      <c r="U61" s="3970" t="s">
        <v>5386</v>
      </c>
      <c r="V61" s="3969" t="s">
        <v>5387</v>
      </c>
      <c r="W61" s="3970" t="s">
        <v>5388</v>
      </c>
      <c r="X61" s="3969" t="s">
        <v>5389</v>
      </c>
      <c r="Y61" s="3970" t="s">
        <v>5390</v>
      </c>
      <c r="Z61" s="3969" t="s">
        <v>5391</v>
      </c>
      <c r="AA61" s="3970" t="s">
        <v>5392</v>
      </c>
      <c r="AB61" s="3969" t="s">
        <v>5393</v>
      </c>
      <c r="AC61" s="3970" t="s">
        <v>5394</v>
      </c>
      <c r="AD61" s="3969" t="s">
        <v>5395</v>
      </c>
      <c r="AE61" s="3970" t="s">
        <v>5396</v>
      </c>
      <c r="AF61" s="3969" t="s">
        <v>5397</v>
      </c>
      <c r="AG61" s="3970" t="s">
        <v>5398</v>
      </c>
      <c r="AH61" s="3969" t="s">
        <v>5399</v>
      </c>
      <c r="AI61" s="3970" t="s">
        <v>5400</v>
      </c>
      <c r="AJ61" s="3969" t="s">
        <v>5401</v>
      </c>
      <c r="AK61" s="3970" t="s">
        <v>5402</v>
      </c>
      <c r="AL61" s="3969" t="s">
        <v>5403</v>
      </c>
      <c r="AM61" s="3970" t="s">
        <v>5404</v>
      </c>
      <c r="AN61" s="4138" t="s">
        <v>5405</v>
      </c>
      <c r="AO61" s="6009" t="s">
        <v>5406</v>
      </c>
      <c r="AP61" s="6009" t="s">
        <v>5407</v>
      </c>
      <c r="AQ61" s="5057" t="str">
        <f t="shared" si="68"/>
        <v xml:space="preserve">* El número de Personas pertenecientes a Pueblos Originarios NO DEBE ser mayor que el total. * El número de Personas Migrantes NO DEBE ser mayor que el total. </v>
      </c>
      <c r="AS61" s="4291"/>
      <c r="AT61" s="4291"/>
      <c r="AU61" s="4291"/>
      <c r="AV61" s="4291"/>
      <c r="AW61" s="4291"/>
      <c r="AX61" s="4291"/>
      <c r="AY61" s="4291"/>
      <c r="AZ61" s="4291"/>
      <c r="BA61" s="4264"/>
      <c r="BB61" s="4264"/>
      <c r="BX61" s="4259"/>
      <c r="CB61" s="4292" t="str">
        <f t="shared" si="73"/>
        <v/>
      </c>
      <c r="CC61" s="4292" t="str">
        <f t="shared" si="69"/>
        <v xml:space="preserve">* El número de Personas pertenecientes a Pueblos Originarios NO DEBE ser mayor que el total. </v>
      </c>
      <c r="CD61" s="4292" t="str">
        <f t="shared" si="70"/>
        <v xml:space="preserve">* El número de Personas Migrantes NO DEBE ser mayor que el total. </v>
      </c>
      <c r="CH61" s="4993"/>
      <c r="CI61" s="4993"/>
      <c r="DB61" s="5530">
        <f t="shared" si="74"/>
        <v>0</v>
      </c>
      <c r="DC61" s="5530">
        <f t="shared" si="71"/>
        <v>1</v>
      </c>
      <c r="DD61" s="5530">
        <f t="shared" si="72"/>
        <v>1</v>
      </c>
    </row>
    <row r="62" spans="1:109" ht="16.350000000000001" customHeight="1" x14ac:dyDescent="0.25">
      <c r="A62" s="7258" t="s">
        <v>4667</v>
      </c>
      <c r="B62" s="9446"/>
      <c r="C62" s="6010" t="s">
        <v>63</v>
      </c>
      <c r="D62" s="6011" t="s">
        <v>5369</v>
      </c>
      <c r="E62" s="5863" t="s">
        <v>5370</v>
      </c>
      <c r="F62" s="6012" t="s">
        <v>5371</v>
      </c>
      <c r="G62" s="3977" t="s">
        <v>5372</v>
      </c>
      <c r="H62" s="3978" t="s">
        <v>5373</v>
      </c>
      <c r="I62" s="3979" t="s">
        <v>5374</v>
      </c>
      <c r="J62" s="3981" t="s">
        <v>5375</v>
      </c>
      <c r="K62" s="3979" t="s">
        <v>5376</v>
      </c>
      <c r="L62" s="3980" t="s">
        <v>5377</v>
      </c>
      <c r="M62" s="3979" t="s">
        <v>5378</v>
      </c>
      <c r="N62" s="3980" t="s">
        <v>5379</v>
      </c>
      <c r="O62" s="3979" t="s">
        <v>5380</v>
      </c>
      <c r="P62" s="3980" t="s">
        <v>5381</v>
      </c>
      <c r="Q62" s="3995" t="s">
        <v>5382</v>
      </c>
      <c r="R62" s="3980" t="s">
        <v>5383</v>
      </c>
      <c r="S62" s="3995" t="s">
        <v>5384</v>
      </c>
      <c r="T62" s="3980" t="s">
        <v>5385</v>
      </c>
      <c r="U62" s="3995" t="s">
        <v>5386</v>
      </c>
      <c r="V62" s="3980" t="s">
        <v>5387</v>
      </c>
      <c r="W62" s="3995" t="s">
        <v>5388</v>
      </c>
      <c r="X62" s="3980" t="s">
        <v>5389</v>
      </c>
      <c r="Y62" s="3995" t="s">
        <v>5390</v>
      </c>
      <c r="Z62" s="3980" t="s">
        <v>5391</v>
      </c>
      <c r="AA62" s="3995" t="s">
        <v>5392</v>
      </c>
      <c r="AB62" s="3980" t="s">
        <v>5393</v>
      </c>
      <c r="AC62" s="3995" t="s">
        <v>5394</v>
      </c>
      <c r="AD62" s="3980" t="s">
        <v>5395</v>
      </c>
      <c r="AE62" s="3995" t="s">
        <v>5396</v>
      </c>
      <c r="AF62" s="3980" t="s">
        <v>5397</v>
      </c>
      <c r="AG62" s="3995" t="s">
        <v>5398</v>
      </c>
      <c r="AH62" s="3980" t="s">
        <v>5399</v>
      </c>
      <c r="AI62" s="3995" t="s">
        <v>5400</v>
      </c>
      <c r="AJ62" s="3980" t="s">
        <v>5401</v>
      </c>
      <c r="AK62" s="3995" t="s">
        <v>5402</v>
      </c>
      <c r="AL62" s="3980" t="s">
        <v>5403</v>
      </c>
      <c r="AM62" s="3995" t="s">
        <v>5404</v>
      </c>
      <c r="AN62" s="3996" t="s">
        <v>5405</v>
      </c>
      <c r="AO62" s="6013" t="s">
        <v>5406</v>
      </c>
      <c r="AP62" s="6013" t="s">
        <v>5407</v>
      </c>
      <c r="AQ62" s="5057" t="str">
        <f t="shared" si="68"/>
        <v xml:space="preserve">* El número de Personas pertenecientes a Pueblos Originarios NO DEBE ser mayor que el total. * El número de Personas Migrantes NO DEBE ser mayor que el total. </v>
      </c>
      <c r="AS62" s="4291"/>
      <c r="AT62" s="4291"/>
      <c r="AU62" s="4291"/>
      <c r="AV62" s="4291"/>
      <c r="AW62" s="4291"/>
      <c r="AX62" s="4291"/>
      <c r="AY62" s="4291"/>
      <c r="AZ62" s="4291"/>
      <c r="BA62" s="4264"/>
      <c r="BB62" s="4264"/>
      <c r="BX62" s="4259"/>
      <c r="CB62" s="4292" t="str">
        <f t="shared" si="73"/>
        <v/>
      </c>
      <c r="CC62" s="4292" t="str">
        <f t="shared" si="69"/>
        <v xml:space="preserve">* El número de Personas pertenecientes a Pueblos Originarios NO DEBE ser mayor que el total. </v>
      </c>
      <c r="CD62" s="4292" t="str">
        <f t="shared" si="70"/>
        <v xml:space="preserve">* El número de Personas Migrantes NO DEBE ser mayor que el total. </v>
      </c>
      <c r="CH62" s="4993"/>
      <c r="CI62" s="4993"/>
      <c r="DB62" s="5530">
        <f t="shared" si="74"/>
        <v>0</v>
      </c>
      <c r="DC62" s="5530">
        <f t="shared" si="71"/>
        <v>1</v>
      </c>
      <c r="DD62" s="5530">
        <f t="shared" si="72"/>
        <v>1</v>
      </c>
    </row>
    <row r="63" spans="1:109" ht="16.350000000000001" customHeight="1" x14ac:dyDescent="0.25">
      <c r="A63" s="7258" t="s">
        <v>4668</v>
      </c>
      <c r="B63" s="9445" t="s">
        <v>1573</v>
      </c>
      <c r="C63" s="6003" t="s">
        <v>60</v>
      </c>
      <c r="D63" s="5843" t="s">
        <v>5369</v>
      </c>
      <c r="E63" s="5844" t="s">
        <v>5370</v>
      </c>
      <c r="F63" s="5845" t="s">
        <v>5371</v>
      </c>
      <c r="G63" s="3959" t="s">
        <v>5372</v>
      </c>
      <c r="H63" s="3960" t="s">
        <v>5373</v>
      </c>
      <c r="I63" s="3959" t="s">
        <v>5374</v>
      </c>
      <c r="J63" s="3960" t="s">
        <v>5375</v>
      </c>
      <c r="K63" s="3897" t="s">
        <v>5376</v>
      </c>
      <c r="L63" s="3834" t="s">
        <v>5377</v>
      </c>
      <c r="M63" s="3897" t="s">
        <v>5378</v>
      </c>
      <c r="N63" s="3834" t="s">
        <v>5379</v>
      </c>
      <c r="O63" s="3897" t="s">
        <v>5380</v>
      </c>
      <c r="P63" s="3834" t="s">
        <v>5381</v>
      </c>
      <c r="Q63" s="6014" t="s">
        <v>5382</v>
      </c>
      <c r="R63" s="6015" t="s">
        <v>5383</v>
      </c>
      <c r="S63" s="6014" t="s">
        <v>5384</v>
      </c>
      <c r="T63" s="6015" t="s">
        <v>5385</v>
      </c>
      <c r="U63" s="6014" t="s">
        <v>5386</v>
      </c>
      <c r="V63" s="6015" t="s">
        <v>5387</v>
      </c>
      <c r="W63" s="6014" t="s">
        <v>5388</v>
      </c>
      <c r="X63" s="6015" t="s">
        <v>5389</v>
      </c>
      <c r="Y63" s="6014" t="s">
        <v>5390</v>
      </c>
      <c r="Z63" s="6015" t="s">
        <v>5391</v>
      </c>
      <c r="AA63" s="6014" t="s">
        <v>5392</v>
      </c>
      <c r="AB63" s="6015" t="s">
        <v>5393</v>
      </c>
      <c r="AC63" s="6014" t="s">
        <v>5394</v>
      </c>
      <c r="AD63" s="6015" t="s">
        <v>5395</v>
      </c>
      <c r="AE63" s="6014" t="s">
        <v>5396</v>
      </c>
      <c r="AF63" s="6015" t="s">
        <v>5397</v>
      </c>
      <c r="AG63" s="6014" t="s">
        <v>5398</v>
      </c>
      <c r="AH63" s="6015" t="s">
        <v>5399</v>
      </c>
      <c r="AI63" s="6014" t="s">
        <v>5400</v>
      </c>
      <c r="AJ63" s="6015" t="s">
        <v>5401</v>
      </c>
      <c r="AK63" s="3959" t="s">
        <v>5402</v>
      </c>
      <c r="AL63" s="6015" t="s">
        <v>5403</v>
      </c>
      <c r="AM63" s="6014" t="s">
        <v>5404</v>
      </c>
      <c r="AN63" s="6016" t="s">
        <v>5405</v>
      </c>
      <c r="AO63" s="6005" t="s">
        <v>5406</v>
      </c>
      <c r="AP63" s="6005" t="s">
        <v>5407</v>
      </c>
      <c r="AQ63" s="5057" t="str">
        <f t="shared" si="68"/>
        <v xml:space="preserve">* El número de Personas pertenecientes a Pueblos Originarios NO DEBE ser mayor que el total. * El número de Personas Migrantes NO DEBE ser mayor que el total. </v>
      </c>
      <c r="AS63" s="4291"/>
      <c r="AT63" s="4291"/>
      <c r="AU63" s="4291"/>
      <c r="AV63" s="4291"/>
      <c r="AW63" s="4291"/>
      <c r="AX63" s="4291"/>
      <c r="AY63" s="4291"/>
      <c r="AZ63" s="4291"/>
      <c r="BA63" s="4264"/>
      <c r="BB63" s="4264"/>
      <c r="BX63" s="4259"/>
      <c r="CB63" s="4292" t="str">
        <f t="shared" si="73"/>
        <v/>
      </c>
      <c r="CC63" s="4292" t="str">
        <f t="shared" si="69"/>
        <v xml:space="preserve">* El número de Personas pertenecientes a Pueblos Originarios NO DEBE ser mayor que el total. </v>
      </c>
      <c r="CD63" s="4292" t="str">
        <f t="shared" si="70"/>
        <v xml:space="preserve">* El número de Personas Migrantes NO DEBE ser mayor que el total. </v>
      </c>
      <c r="CH63" s="4993"/>
      <c r="CI63" s="4993"/>
      <c r="DB63" s="5530">
        <f t="shared" si="74"/>
        <v>0</v>
      </c>
      <c r="DC63" s="5530">
        <f t="shared" si="71"/>
        <v>1</v>
      </c>
      <c r="DD63" s="5530">
        <f t="shared" si="72"/>
        <v>1</v>
      </c>
    </row>
    <row r="64" spans="1:109" ht="16.350000000000001" customHeight="1" x14ac:dyDescent="0.25">
      <c r="A64" s="7258" t="s">
        <v>4669</v>
      </c>
      <c r="B64" s="9446"/>
      <c r="C64" s="6006" t="s">
        <v>2597</v>
      </c>
      <c r="D64" s="6011" t="s">
        <v>5369</v>
      </c>
      <c r="E64" s="5863" t="s">
        <v>5370</v>
      </c>
      <c r="F64" s="6012" t="s">
        <v>5371</v>
      </c>
      <c r="G64" s="3977" t="s">
        <v>5372</v>
      </c>
      <c r="H64" s="3978" t="s">
        <v>5373</v>
      </c>
      <c r="I64" s="3977" t="s">
        <v>5374</v>
      </c>
      <c r="J64" s="3978" t="s">
        <v>5375</v>
      </c>
      <c r="K64" s="3979" t="s">
        <v>5376</v>
      </c>
      <c r="L64" s="3980" t="s">
        <v>5377</v>
      </c>
      <c r="M64" s="3979" t="s">
        <v>5378</v>
      </c>
      <c r="N64" s="3980" t="s">
        <v>5379</v>
      </c>
      <c r="O64" s="3979" t="s">
        <v>5380</v>
      </c>
      <c r="P64" s="3980" t="s">
        <v>5381</v>
      </c>
      <c r="Q64" s="6017" t="s">
        <v>5382</v>
      </c>
      <c r="R64" s="6018" t="s">
        <v>5383</v>
      </c>
      <c r="S64" s="6017" t="s">
        <v>5384</v>
      </c>
      <c r="T64" s="6018" t="s">
        <v>5385</v>
      </c>
      <c r="U64" s="6017" t="s">
        <v>5386</v>
      </c>
      <c r="V64" s="6018" t="s">
        <v>5387</v>
      </c>
      <c r="W64" s="6017" t="s">
        <v>5388</v>
      </c>
      <c r="X64" s="6018" t="s">
        <v>5389</v>
      </c>
      <c r="Y64" s="6017" t="s">
        <v>5390</v>
      </c>
      <c r="Z64" s="6018" t="s">
        <v>5391</v>
      </c>
      <c r="AA64" s="6017" t="s">
        <v>5392</v>
      </c>
      <c r="AB64" s="6018" t="s">
        <v>5393</v>
      </c>
      <c r="AC64" s="6017" t="s">
        <v>5394</v>
      </c>
      <c r="AD64" s="6018" t="s">
        <v>5395</v>
      </c>
      <c r="AE64" s="6017" t="s">
        <v>5396</v>
      </c>
      <c r="AF64" s="6018" t="s">
        <v>5397</v>
      </c>
      <c r="AG64" s="6017" t="s">
        <v>5398</v>
      </c>
      <c r="AH64" s="6018" t="s">
        <v>5399</v>
      </c>
      <c r="AI64" s="6017" t="s">
        <v>5400</v>
      </c>
      <c r="AJ64" s="6018" t="s">
        <v>5401</v>
      </c>
      <c r="AK64" s="3977" t="s">
        <v>5402</v>
      </c>
      <c r="AL64" s="6018" t="s">
        <v>5403</v>
      </c>
      <c r="AM64" s="6017" t="s">
        <v>5404</v>
      </c>
      <c r="AN64" s="6019" t="s">
        <v>5405</v>
      </c>
      <c r="AO64" s="6013" t="s">
        <v>5406</v>
      </c>
      <c r="AP64" s="6013" t="s">
        <v>5407</v>
      </c>
      <c r="AQ64" s="5057" t="str">
        <f t="shared" si="68"/>
        <v xml:space="preserve">* El número de Personas pertenecientes a Pueblos Originarios NO DEBE ser mayor que el total. * El número de Personas Migrantes NO DEBE ser mayor que el total. </v>
      </c>
      <c r="AS64" s="4291"/>
      <c r="AT64" s="4291"/>
      <c r="AU64" s="4291"/>
      <c r="AV64" s="4291"/>
      <c r="AW64" s="4291"/>
      <c r="AX64" s="4291"/>
      <c r="AY64" s="4291"/>
      <c r="AZ64" s="4291"/>
      <c r="BA64" s="4264"/>
      <c r="BB64" s="4264"/>
      <c r="BX64" s="4259"/>
      <c r="CB64" s="4292" t="str">
        <f t="shared" si="73"/>
        <v/>
      </c>
      <c r="CC64" s="4292" t="str">
        <f t="shared" si="69"/>
        <v xml:space="preserve">* El número de Personas pertenecientes a Pueblos Originarios NO DEBE ser mayor que el total. </v>
      </c>
      <c r="CD64" s="4292" t="str">
        <f t="shared" si="70"/>
        <v xml:space="preserve">* El número de Personas Migrantes NO DEBE ser mayor que el total. </v>
      </c>
      <c r="CH64" s="4993"/>
      <c r="CI64" s="4993"/>
      <c r="DB64" s="5530">
        <f t="shared" si="74"/>
        <v>0</v>
      </c>
      <c r="DC64" s="5530">
        <f t="shared" si="71"/>
        <v>1</v>
      </c>
      <c r="DD64" s="5530">
        <f t="shared" si="72"/>
        <v>1</v>
      </c>
    </row>
    <row r="65" spans="1:108" ht="16.350000000000001" customHeight="1" x14ac:dyDescent="0.25">
      <c r="A65" s="7258" t="s">
        <v>4670</v>
      </c>
      <c r="B65" s="9445" t="s">
        <v>1572</v>
      </c>
      <c r="C65" s="6003" t="s">
        <v>2590</v>
      </c>
      <c r="D65" s="5843" t="s">
        <v>5369</v>
      </c>
      <c r="E65" s="5844" t="s">
        <v>5370</v>
      </c>
      <c r="F65" s="5845" t="s">
        <v>5371</v>
      </c>
      <c r="G65" s="3959" t="s">
        <v>5372</v>
      </c>
      <c r="H65" s="3960" t="s">
        <v>5373</v>
      </c>
      <c r="I65" s="3959" t="s">
        <v>5374</v>
      </c>
      <c r="J65" s="3960" t="s">
        <v>5375</v>
      </c>
      <c r="K65" s="3897" t="s">
        <v>5376</v>
      </c>
      <c r="L65" s="3834" t="s">
        <v>5377</v>
      </c>
      <c r="M65" s="3897" t="s">
        <v>5378</v>
      </c>
      <c r="N65" s="3834" t="s">
        <v>5379</v>
      </c>
      <c r="O65" s="3897" t="s">
        <v>5380</v>
      </c>
      <c r="P65" s="3834" t="s">
        <v>5381</v>
      </c>
      <c r="Q65" s="6014" t="s">
        <v>5382</v>
      </c>
      <c r="R65" s="6015" t="s">
        <v>5383</v>
      </c>
      <c r="S65" s="6014" t="s">
        <v>5384</v>
      </c>
      <c r="T65" s="6015" t="s">
        <v>5385</v>
      </c>
      <c r="U65" s="6014" t="s">
        <v>5386</v>
      </c>
      <c r="V65" s="6015" t="s">
        <v>5387</v>
      </c>
      <c r="W65" s="6014" t="s">
        <v>5388</v>
      </c>
      <c r="X65" s="6015" t="s">
        <v>5389</v>
      </c>
      <c r="Y65" s="6014" t="s">
        <v>5390</v>
      </c>
      <c r="Z65" s="6015" t="s">
        <v>5391</v>
      </c>
      <c r="AA65" s="6014" t="s">
        <v>5392</v>
      </c>
      <c r="AB65" s="6015" t="s">
        <v>5393</v>
      </c>
      <c r="AC65" s="6014" t="s">
        <v>5394</v>
      </c>
      <c r="AD65" s="6015" t="s">
        <v>5395</v>
      </c>
      <c r="AE65" s="6014" t="s">
        <v>5396</v>
      </c>
      <c r="AF65" s="6015" t="s">
        <v>5397</v>
      </c>
      <c r="AG65" s="6014" t="s">
        <v>5398</v>
      </c>
      <c r="AH65" s="6015" t="s">
        <v>5399</v>
      </c>
      <c r="AI65" s="6014" t="s">
        <v>5400</v>
      </c>
      <c r="AJ65" s="6015" t="s">
        <v>5401</v>
      </c>
      <c r="AK65" s="3959" t="s">
        <v>5402</v>
      </c>
      <c r="AL65" s="6015" t="s">
        <v>5403</v>
      </c>
      <c r="AM65" s="6014" t="s">
        <v>5404</v>
      </c>
      <c r="AN65" s="6016" t="s">
        <v>5405</v>
      </c>
      <c r="AO65" s="6005" t="s">
        <v>5406</v>
      </c>
      <c r="AP65" s="6005" t="s">
        <v>5407</v>
      </c>
      <c r="AQ65" s="5057" t="str">
        <f t="shared" si="68"/>
        <v xml:space="preserve">* El número de Personas pertenecientes a Pueblos Originarios NO DEBE ser mayor que el total. * El número de Personas Migrantes NO DEBE ser mayor que el total. </v>
      </c>
      <c r="AS65" s="4291"/>
      <c r="AT65" s="4291"/>
      <c r="AU65" s="4291"/>
      <c r="AV65" s="4291"/>
      <c r="AW65" s="4291"/>
      <c r="AX65" s="4291"/>
      <c r="AY65" s="4291"/>
      <c r="AZ65" s="4291"/>
      <c r="BA65" s="4264"/>
      <c r="BB65" s="4264"/>
      <c r="BX65" s="4259"/>
      <c r="CB65" s="4292" t="str">
        <f t="shared" si="73"/>
        <v/>
      </c>
      <c r="CC65" s="4292" t="str">
        <f t="shared" si="69"/>
        <v xml:space="preserve">* El número de Personas pertenecientes a Pueblos Originarios NO DEBE ser mayor que el total. </v>
      </c>
      <c r="CD65" s="4292" t="str">
        <f t="shared" si="70"/>
        <v xml:space="preserve">* El número de Personas Migrantes NO DEBE ser mayor que el total. </v>
      </c>
      <c r="CH65" s="4993"/>
      <c r="CI65" s="4993"/>
      <c r="DB65" s="5530">
        <f t="shared" si="74"/>
        <v>0</v>
      </c>
      <c r="DC65" s="5530">
        <f t="shared" si="71"/>
        <v>1</v>
      </c>
      <c r="DD65" s="5530">
        <f t="shared" si="72"/>
        <v>1</v>
      </c>
    </row>
    <row r="66" spans="1:108" ht="16.350000000000001" customHeight="1" x14ac:dyDescent="0.25">
      <c r="A66" s="7258" t="s">
        <v>4671</v>
      </c>
      <c r="B66" s="9247"/>
      <c r="C66" s="6006" t="s">
        <v>2601</v>
      </c>
      <c r="D66" s="5852" t="s">
        <v>5369</v>
      </c>
      <c r="E66" s="5853" t="s">
        <v>5370</v>
      </c>
      <c r="F66" s="5854" t="s">
        <v>5371</v>
      </c>
      <c r="G66" s="6007" t="s">
        <v>5372</v>
      </c>
      <c r="H66" s="6008" t="s">
        <v>5373</v>
      </c>
      <c r="I66" s="6007" t="s">
        <v>5374</v>
      </c>
      <c r="J66" s="6008" t="s">
        <v>5375</v>
      </c>
      <c r="K66" s="3968" t="s">
        <v>5376</v>
      </c>
      <c r="L66" s="3969" t="s">
        <v>5377</v>
      </c>
      <c r="M66" s="3968" t="s">
        <v>5378</v>
      </c>
      <c r="N66" s="3969" t="s">
        <v>5379</v>
      </c>
      <c r="O66" s="3968" t="s">
        <v>5380</v>
      </c>
      <c r="P66" s="3969" t="s">
        <v>5381</v>
      </c>
      <c r="Q66" s="6020" t="s">
        <v>5382</v>
      </c>
      <c r="R66" s="6021" t="s">
        <v>5383</v>
      </c>
      <c r="S66" s="6020" t="s">
        <v>5384</v>
      </c>
      <c r="T66" s="6021" t="s">
        <v>5385</v>
      </c>
      <c r="U66" s="6020" t="s">
        <v>5386</v>
      </c>
      <c r="V66" s="6021" t="s">
        <v>5387</v>
      </c>
      <c r="W66" s="6020" t="s">
        <v>5388</v>
      </c>
      <c r="X66" s="6021" t="s">
        <v>5389</v>
      </c>
      <c r="Y66" s="6020" t="s">
        <v>5390</v>
      </c>
      <c r="Z66" s="6021" t="s">
        <v>5391</v>
      </c>
      <c r="AA66" s="6020" t="s">
        <v>5392</v>
      </c>
      <c r="AB66" s="6021" t="s">
        <v>5393</v>
      </c>
      <c r="AC66" s="6020" t="s">
        <v>5394</v>
      </c>
      <c r="AD66" s="6021" t="s">
        <v>5395</v>
      </c>
      <c r="AE66" s="6020" t="s">
        <v>5396</v>
      </c>
      <c r="AF66" s="6021" t="s">
        <v>5397</v>
      </c>
      <c r="AG66" s="6020" t="s">
        <v>5398</v>
      </c>
      <c r="AH66" s="6021" t="s">
        <v>5399</v>
      </c>
      <c r="AI66" s="6020" t="s">
        <v>5400</v>
      </c>
      <c r="AJ66" s="6021" t="s">
        <v>5401</v>
      </c>
      <c r="AK66" s="6007" t="s">
        <v>5402</v>
      </c>
      <c r="AL66" s="6021" t="s">
        <v>5403</v>
      </c>
      <c r="AM66" s="6020" t="s">
        <v>5404</v>
      </c>
      <c r="AN66" s="6022" t="s">
        <v>5405</v>
      </c>
      <c r="AO66" s="6009" t="s">
        <v>5406</v>
      </c>
      <c r="AP66" s="6009" t="s">
        <v>5407</v>
      </c>
      <c r="AQ66" s="5057" t="str">
        <f t="shared" si="68"/>
        <v xml:space="preserve">* El número de Personas pertenecientes a Pueblos Originarios NO DEBE ser mayor que el total. * El número de Personas Migrantes NO DEBE ser mayor que el total. </v>
      </c>
      <c r="AS66" s="4291"/>
      <c r="AT66" s="4291"/>
      <c r="AU66" s="4291"/>
      <c r="AV66" s="4291"/>
      <c r="AW66" s="4291"/>
      <c r="AX66" s="4291"/>
      <c r="AY66" s="4291"/>
      <c r="AZ66" s="4291"/>
      <c r="BA66" s="4264"/>
      <c r="BB66" s="4264"/>
      <c r="BX66" s="4259"/>
      <c r="CB66" s="4292" t="str">
        <f t="shared" si="73"/>
        <v/>
      </c>
      <c r="CC66" s="4292" t="str">
        <f t="shared" si="69"/>
        <v xml:space="preserve">* El número de Personas pertenecientes a Pueblos Originarios NO DEBE ser mayor que el total. </v>
      </c>
      <c r="CD66" s="4292" t="str">
        <f t="shared" si="70"/>
        <v xml:space="preserve">* El número de Personas Migrantes NO DEBE ser mayor que el total. </v>
      </c>
      <c r="CH66" s="4993"/>
      <c r="CI66" s="4993"/>
      <c r="DB66" s="5530">
        <f t="shared" si="74"/>
        <v>0</v>
      </c>
      <c r="DC66" s="5530">
        <f t="shared" si="71"/>
        <v>1</v>
      </c>
      <c r="DD66" s="5530">
        <f t="shared" si="72"/>
        <v>1</v>
      </c>
    </row>
    <row r="67" spans="1:108" ht="16.350000000000001" customHeight="1" x14ac:dyDescent="0.25">
      <c r="A67" s="7258" t="s">
        <v>4672</v>
      </c>
      <c r="B67" s="9247"/>
      <c r="C67" s="6006" t="s">
        <v>60</v>
      </c>
      <c r="D67" s="5852" t="s">
        <v>5369</v>
      </c>
      <c r="E67" s="5853" t="s">
        <v>5370</v>
      </c>
      <c r="F67" s="5854" t="s">
        <v>5371</v>
      </c>
      <c r="G67" s="6007" t="s">
        <v>5372</v>
      </c>
      <c r="H67" s="6008" t="s">
        <v>5373</v>
      </c>
      <c r="I67" s="6007" t="s">
        <v>5374</v>
      </c>
      <c r="J67" s="6008" t="s">
        <v>5375</v>
      </c>
      <c r="K67" s="3968" t="s">
        <v>5376</v>
      </c>
      <c r="L67" s="3969" t="s">
        <v>5377</v>
      </c>
      <c r="M67" s="3968" t="s">
        <v>5378</v>
      </c>
      <c r="N67" s="3969" t="s">
        <v>5379</v>
      </c>
      <c r="O67" s="3968" t="s">
        <v>5380</v>
      </c>
      <c r="P67" s="3969" t="s">
        <v>5381</v>
      </c>
      <c r="Q67" s="6020" t="s">
        <v>5382</v>
      </c>
      <c r="R67" s="6021" t="s">
        <v>5383</v>
      </c>
      <c r="S67" s="6020" t="s">
        <v>5384</v>
      </c>
      <c r="T67" s="6021" t="s">
        <v>5385</v>
      </c>
      <c r="U67" s="6020" t="s">
        <v>5386</v>
      </c>
      <c r="V67" s="6021" t="s">
        <v>5387</v>
      </c>
      <c r="W67" s="6020" t="s">
        <v>5388</v>
      </c>
      <c r="X67" s="6021" t="s">
        <v>5389</v>
      </c>
      <c r="Y67" s="6020" t="s">
        <v>5390</v>
      </c>
      <c r="Z67" s="6021" t="s">
        <v>5391</v>
      </c>
      <c r="AA67" s="6020" t="s">
        <v>5392</v>
      </c>
      <c r="AB67" s="6021" t="s">
        <v>5393</v>
      </c>
      <c r="AC67" s="6020" t="s">
        <v>5394</v>
      </c>
      <c r="AD67" s="6021" t="s">
        <v>5395</v>
      </c>
      <c r="AE67" s="6020" t="s">
        <v>5396</v>
      </c>
      <c r="AF67" s="6021" t="s">
        <v>5397</v>
      </c>
      <c r="AG67" s="6020" t="s">
        <v>5398</v>
      </c>
      <c r="AH67" s="6021" t="s">
        <v>5399</v>
      </c>
      <c r="AI67" s="6020" t="s">
        <v>5400</v>
      </c>
      <c r="AJ67" s="6021" t="s">
        <v>5401</v>
      </c>
      <c r="AK67" s="6007" t="s">
        <v>5402</v>
      </c>
      <c r="AL67" s="6021" t="s">
        <v>5403</v>
      </c>
      <c r="AM67" s="6020" t="s">
        <v>5404</v>
      </c>
      <c r="AN67" s="6022" t="s">
        <v>5405</v>
      </c>
      <c r="AO67" s="6009" t="s">
        <v>5406</v>
      </c>
      <c r="AP67" s="6009" t="s">
        <v>5407</v>
      </c>
      <c r="AQ67" s="5057" t="str">
        <f t="shared" si="68"/>
        <v xml:space="preserve">* El número de Personas pertenecientes a Pueblos Originarios NO DEBE ser mayor que el total. * El número de Personas Migrantes NO DEBE ser mayor que el total. </v>
      </c>
      <c r="AS67" s="4291"/>
      <c r="AT67" s="4291"/>
      <c r="AU67" s="4291"/>
      <c r="AV67" s="4291"/>
      <c r="AW67" s="4291"/>
      <c r="AX67" s="4291"/>
      <c r="AY67" s="4291"/>
      <c r="AZ67" s="4291"/>
      <c r="BA67" s="4264"/>
      <c r="BB67" s="4264"/>
      <c r="BX67" s="4259"/>
      <c r="CB67" s="4292" t="str">
        <f t="shared" si="73"/>
        <v/>
      </c>
      <c r="CC67" s="4292" t="str">
        <f t="shared" si="69"/>
        <v xml:space="preserve">* El número de Personas pertenecientes a Pueblos Originarios NO DEBE ser mayor que el total. </v>
      </c>
      <c r="CD67" s="4292" t="str">
        <f t="shared" si="70"/>
        <v xml:space="preserve">* El número de Personas Migrantes NO DEBE ser mayor que el total. </v>
      </c>
      <c r="CH67" s="4993"/>
      <c r="CI67" s="4993"/>
      <c r="DB67" s="5530">
        <f t="shared" si="74"/>
        <v>0</v>
      </c>
      <c r="DC67" s="5530">
        <f t="shared" si="71"/>
        <v>1</v>
      </c>
      <c r="DD67" s="5530">
        <f t="shared" si="72"/>
        <v>1</v>
      </c>
    </row>
    <row r="68" spans="1:108" ht="16.350000000000001" customHeight="1" x14ac:dyDescent="0.25">
      <c r="A68" s="7258" t="s">
        <v>4673</v>
      </c>
      <c r="B68" s="9446"/>
      <c r="C68" s="6006" t="s">
        <v>2597</v>
      </c>
      <c r="D68" s="6011" t="s">
        <v>5369</v>
      </c>
      <c r="E68" s="5863" t="s">
        <v>5370</v>
      </c>
      <c r="F68" s="6012" t="s">
        <v>5371</v>
      </c>
      <c r="G68" s="3977" t="s">
        <v>5372</v>
      </c>
      <c r="H68" s="3978" t="s">
        <v>5373</v>
      </c>
      <c r="I68" s="3977" t="s">
        <v>5374</v>
      </c>
      <c r="J68" s="3978" t="s">
        <v>5375</v>
      </c>
      <c r="K68" s="3979" t="s">
        <v>5376</v>
      </c>
      <c r="L68" s="3980" t="s">
        <v>5377</v>
      </c>
      <c r="M68" s="3979" t="s">
        <v>5378</v>
      </c>
      <c r="N68" s="3980" t="s">
        <v>5379</v>
      </c>
      <c r="O68" s="3979" t="s">
        <v>5380</v>
      </c>
      <c r="P68" s="3980" t="s">
        <v>5381</v>
      </c>
      <c r="Q68" s="6017" t="s">
        <v>5382</v>
      </c>
      <c r="R68" s="6018" t="s">
        <v>5383</v>
      </c>
      <c r="S68" s="6017" t="s">
        <v>5384</v>
      </c>
      <c r="T68" s="6018" t="s">
        <v>5385</v>
      </c>
      <c r="U68" s="6017" t="s">
        <v>5386</v>
      </c>
      <c r="V68" s="6018" t="s">
        <v>5387</v>
      </c>
      <c r="W68" s="6017" t="s">
        <v>5388</v>
      </c>
      <c r="X68" s="6018" t="s">
        <v>5389</v>
      </c>
      <c r="Y68" s="6017" t="s">
        <v>5390</v>
      </c>
      <c r="Z68" s="6018" t="s">
        <v>5391</v>
      </c>
      <c r="AA68" s="6017" t="s">
        <v>5392</v>
      </c>
      <c r="AB68" s="6018" t="s">
        <v>5393</v>
      </c>
      <c r="AC68" s="6017" t="s">
        <v>5394</v>
      </c>
      <c r="AD68" s="6018" t="s">
        <v>5395</v>
      </c>
      <c r="AE68" s="6017" t="s">
        <v>5396</v>
      </c>
      <c r="AF68" s="6018" t="s">
        <v>5397</v>
      </c>
      <c r="AG68" s="6017" t="s">
        <v>5398</v>
      </c>
      <c r="AH68" s="6018" t="s">
        <v>5399</v>
      </c>
      <c r="AI68" s="6017" t="s">
        <v>5400</v>
      </c>
      <c r="AJ68" s="6018" t="s">
        <v>5401</v>
      </c>
      <c r="AK68" s="3977" t="s">
        <v>5402</v>
      </c>
      <c r="AL68" s="6018" t="s">
        <v>5403</v>
      </c>
      <c r="AM68" s="6017" t="s">
        <v>5404</v>
      </c>
      <c r="AN68" s="6019" t="s">
        <v>5405</v>
      </c>
      <c r="AO68" s="6013" t="s">
        <v>5406</v>
      </c>
      <c r="AP68" s="6013" t="s">
        <v>5407</v>
      </c>
      <c r="AQ68" s="5057" t="str">
        <f t="shared" si="68"/>
        <v xml:space="preserve">* El número de Personas pertenecientes a Pueblos Originarios NO DEBE ser mayor que el total. * El número de Personas Migrantes NO DEBE ser mayor que el total. </v>
      </c>
      <c r="AS68" s="4291"/>
      <c r="AT68" s="4291"/>
      <c r="AU68" s="4291"/>
      <c r="AV68" s="4291"/>
      <c r="AW68" s="4291"/>
      <c r="AX68" s="4291"/>
      <c r="AY68" s="4291"/>
      <c r="AZ68" s="4291"/>
      <c r="BA68" s="4264"/>
      <c r="BB68" s="4264"/>
      <c r="BX68" s="4259"/>
      <c r="CB68" s="4292" t="str">
        <f t="shared" si="73"/>
        <v/>
      </c>
      <c r="CC68" s="4292" t="str">
        <f t="shared" si="69"/>
        <v xml:space="preserve">* El número de Personas pertenecientes a Pueblos Originarios NO DEBE ser mayor que el total. </v>
      </c>
      <c r="CD68" s="4292" t="str">
        <f t="shared" si="70"/>
        <v xml:space="preserve">* El número de Personas Migrantes NO DEBE ser mayor que el total. </v>
      </c>
      <c r="CH68" s="4993"/>
      <c r="CI68" s="4993"/>
      <c r="DB68" s="5530">
        <f t="shared" si="74"/>
        <v>0</v>
      </c>
      <c r="DC68" s="5530">
        <f t="shared" si="71"/>
        <v>1</v>
      </c>
      <c r="DD68" s="5530">
        <f t="shared" si="72"/>
        <v>1</v>
      </c>
    </row>
    <row r="69" spans="1:108" ht="16.350000000000001" customHeight="1" x14ac:dyDescent="0.25">
      <c r="A69" s="7258" t="s">
        <v>4674</v>
      </c>
      <c r="B69" s="9445" t="s">
        <v>1571</v>
      </c>
      <c r="C69" s="6003" t="s">
        <v>2590</v>
      </c>
      <c r="D69" s="5843" t="s">
        <v>5369</v>
      </c>
      <c r="E69" s="5844" t="s">
        <v>5370</v>
      </c>
      <c r="F69" s="5845" t="s">
        <v>5371</v>
      </c>
      <c r="G69" s="3959" t="s">
        <v>5372</v>
      </c>
      <c r="H69" s="3960" t="s">
        <v>5373</v>
      </c>
      <c r="I69" s="3959" t="s">
        <v>5374</v>
      </c>
      <c r="J69" s="6015" t="s">
        <v>5375</v>
      </c>
      <c r="K69" s="3897" t="s">
        <v>5376</v>
      </c>
      <c r="L69" s="3834" t="s">
        <v>5377</v>
      </c>
      <c r="M69" s="3897" t="s">
        <v>5378</v>
      </c>
      <c r="N69" s="3834" t="s">
        <v>5379</v>
      </c>
      <c r="O69" s="3897" t="s">
        <v>5380</v>
      </c>
      <c r="P69" s="3834" t="s">
        <v>5381</v>
      </c>
      <c r="Q69" s="3897" t="s">
        <v>5382</v>
      </c>
      <c r="R69" s="3834" t="s">
        <v>5383</v>
      </c>
      <c r="S69" s="3897" t="s">
        <v>5384</v>
      </c>
      <c r="T69" s="3834" t="s">
        <v>5385</v>
      </c>
      <c r="U69" s="3897" t="s">
        <v>5386</v>
      </c>
      <c r="V69" s="3834" t="s">
        <v>5387</v>
      </c>
      <c r="W69" s="3897" t="s">
        <v>5388</v>
      </c>
      <c r="X69" s="3834" t="s">
        <v>5389</v>
      </c>
      <c r="Y69" s="3897" t="s">
        <v>5390</v>
      </c>
      <c r="Z69" s="3834" t="s">
        <v>5391</v>
      </c>
      <c r="AA69" s="3897" t="s">
        <v>5392</v>
      </c>
      <c r="AB69" s="3834" t="s">
        <v>5393</v>
      </c>
      <c r="AC69" s="3897" t="s">
        <v>5394</v>
      </c>
      <c r="AD69" s="3834" t="s">
        <v>5395</v>
      </c>
      <c r="AE69" s="3897" t="s">
        <v>5396</v>
      </c>
      <c r="AF69" s="3834" t="s">
        <v>5397</v>
      </c>
      <c r="AG69" s="3897" t="s">
        <v>5398</v>
      </c>
      <c r="AH69" s="3834" t="s">
        <v>5399</v>
      </c>
      <c r="AI69" s="3897" t="s">
        <v>5400</v>
      </c>
      <c r="AJ69" s="3834" t="s">
        <v>5401</v>
      </c>
      <c r="AK69" s="3897" t="s">
        <v>5402</v>
      </c>
      <c r="AL69" s="3834" t="s">
        <v>5403</v>
      </c>
      <c r="AM69" s="3897" t="s">
        <v>5404</v>
      </c>
      <c r="AN69" s="3899" t="s">
        <v>5405</v>
      </c>
      <c r="AO69" s="6005" t="s">
        <v>5406</v>
      </c>
      <c r="AP69" s="6005" t="s">
        <v>5407</v>
      </c>
      <c r="AQ69" s="5057" t="str">
        <f t="shared" si="68"/>
        <v xml:space="preserve">* El número de Personas pertenecientes a Pueblos Originarios NO DEBE ser mayor que el total. * El número de Personas Migrantes NO DEBE ser mayor que el total. </v>
      </c>
      <c r="AS69" s="4291"/>
      <c r="AT69" s="4291"/>
      <c r="AU69" s="4291"/>
      <c r="AV69" s="4291"/>
      <c r="AW69" s="4291"/>
      <c r="AX69" s="4291"/>
      <c r="AY69" s="4291"/>
      <c r="AZ69" s="4291"/>
      <c r="BA69" s="4264"/>
      <c r="BB69" s="4264"/>
      <c r="BX69" s="4259"/>
      <c r="CB69" s="4292" t="str">
        <f t="shared" si="73"/>
        <v/>
      </c>
      <c r="CC69" s="4292" t="str">
        <f t="shared" si="69"/>
        <v xml:space="preserve">* El número de Personas pertenecientes a Pueblos Originarios NO DEBE ser mayor que el total. </v>
      </c>
      <c r="CD69" s="4292" t="str">
        <f t="shared" si="70"/>
        <v xml:space="preserve">* El número de Personas Migrantes NO DEBE ser mayor que el total. </v>
      </c>
      <c r="CH69" s="4993"/>
      <c r="CI69" s="4993"/>
      <c r="DB69" s="5530">
        <f t="shared" si="74"/>
        <v>0</v>
      </c>
      <c r="DC69" s="5530">
        <f t="shared" si="71"/>
        <v>1</v>
      </c>
      <c r="DD69" s="5530">
        <f t="shared" si="72"/>
        <v>1</v>
      </c>
    </row>
    <row r="70" spans="1:108" ht="16.350000000000001" customHeight="1" x14ac:dyDescent="0.25">
      <c r="A70" s="7258" t="s">
        <v>4675</v>
      </c>
      <c r="B70" s="9446"/>
      <c r="C70" s="6006" t="s">
        <v>2601</v>
      </c>
      <c r="D70" s="5857" t="s">
        <v>5369</v>
      </c>
      <c r="E70" s="5858" t="s">
        <v>5370</v>
      </c>
      <c r="F70" s="6012" t="s">
        <v>5371</v>
      </c>
      <c r="G70" s="3977" t="s">
        <v>5372</v>
      </c>
      <c r="H70" s="3978" t="s">
        <v>5373</v>
      </c>
      <c r="I70" s="3977" t="s">
        <v>5374</v>
      </c>
      <c r="J70" s="6018" t="s">
        <v>5375</v>
      </c>
      <c r="K70" s="3979" t="s">
        <v>5376</v>
      </c>
      <c r="L70" s="3980" t="s">
        <v>5377</v>
      </c>
      <c r="M70" s="3979" t="s">
        <v>5378</v>
      </c>
      <c r="N70" s="3980" t="s">
        <v>5379</v>
      </c>
      <c r="O70" s="3979" t="s">
        <v>5380</v>
      </c>
      <c r="P70" s="3980" t="s">
        <v>5381</v>
      </c>
      <c r="Q70" s="3979" t="s">
        <v>5382</v>
      </c>
      <c r="R70" s="3980" t="s">
        <v>5383</v>
      </c>
      <c r="S70" s="3979" t="s">
        <v>5384</v>
      </c>
      <c r="T70" s="3980" t="s">
        <v>5385</v>
      </c>
      <c r="U70" s="3979" t="s">
        <v>5386</v>
      </c>
      <c r="V70" s="3980" t="s">
        <v>5387</v>
      </c>
      <c r="W70" s="3979" t="s">
        <v>5388</v>
      </c>
      <c r="X70" s="3980" t="s">
        <v>5389</v>
      </c>
      <c r="Y70" s="3979" t="s">
        <v>5390</v>
      </c>
      <c r="Z70" s="3980" t="s">
        <v>5391</v>
      </c>
      <c r="AA70" s="3979" t="s">
        <v>5392</v>
      </c>
      <c r="AB70" s="3980" t="s">
        <v>5393</v>
      </c>
      <c r="AC70" s="3979" t="s">
        <v>5394</v>
      </c>
      <c r="AD70" s="3980" t="s">
        <v>5395</v>
      </c>
      <c r="AE70" s="3979" t="s">
        <v>5396</v>
      </c>
      <c r="AF70" s="3980" t="s">
        <v>5397</v>
      </c>
      <c r="AG70" s="3979" t="s">
        <v>5398</v>
      </c>
      <c r="AH70" s="3980" t="s">
        <v>5399</v>
      </c>
      <c r="AI70" s="3979" t="s">
        <v>5400</v>
      </c>
      <c r="AJ70" s="3980" t="s">
        <v>5401</v>
      </c>
      <c r="AK70" s="3979" t="s">
        <v>5402</v>
      </c>
      <c r="AL70" s="3980" t="s">
        <v>5403</v>
      </c>
      <c r="AM70" s="3979" t="s">
        <v>5404</v>
      </c>
      <c r="AN70" s="3996" t="s">
        <v>5405</v>
      </c>
      <c r="AO70" s="6013" t="s">
        <v>5406</v>
      </c>
      <c r="AP70" s="6013" t="s">
        <v>5407</v>
      </c>
      <c r="AQ70" s="5057" t="str">
        <f t="shared" si="68"/>
        <v xml:space="preserve">* El número de Personas pertenecientes a Pueblos Originarios NO DEBE ser mayor que el total. * El número de Personas Migrantes NO DEBE ser mayor que el total. </v>
      </c>
      <c r="AS70" s="4291"/>
      <c r="AT70" s="4291"/>
      <c r="AU70" s="4291"/>
      <c r="AV70" s="4291"/>
      <c r="AW70" s="4291"/>
      <c r="AX70" s="4291"/>
      <c r="AY70" s="4291"/>
      <c r="AZ70" s="4291"/>
      <c r="BA70" s="4264"/>
      <c r="BB70" s="4264"/>
      <c r="BX70" s="4259"/>
      <c r="CB70" s="4292" t="str">
        <f t="shared" si="73"/>
        <v/>
      </c>
      <c r="CC70" s="4292" t="str">
        <f t="shared" si="69"/>
        <v xml:space="preserve">* El número de Personas pertenecientes a Pueblos Originarios NO DEBE ser mayor que el total. </v>
      </c>
      <c r="CD70" s="4292" t="str">
        <f t="shared" si="70"/>
        <v xml:space="preserve">* El número de Personas Migrantes NO DEBE ser mayor que el total. </v>
      </c>
      <c r="CH70" s="4993"/>
      <c r="CI70" s="4993"/>
      <c r="DB70" s="5530">
        <f t="shared" si="74"/>
        <v>0</v>
      </c>
      <c r="DC70" s="5530">
        <f t="shared" si="71"/>
        <v>1</v>
      </c>
      <c r="DD70" s="5530">
        <f t="shared" si="72"/>
        <v>1</v>
      </c>
    </row>
    <row r="71" spans="1:108" ht="16.350000000000001" customHeight="1" x14ac:dyDescent="0.25">
      <c r="A71" s="7258" t="s">
        <v>4676</v>
      </c>
      <c r="B71" s="9445" t="s">
        <v>1570</v>
      </c>
      <c r="C71" s="6003" t="s">
        <v>2590</v>
      </c>
      <c r="D71" s="5843" t="s">
        <v>5369</v>
      </c>
      <c r="E71" s="5844" t="s">
        <v>5370</v>
      </c>
      <c r="F71" s="5845" t="s">
        <v>5371</v>
      </c>
      <c r="G71" s="3959" t="s">
        <v>5372</v>
      </c>
      <c r="H71" s="3960" t="s">
        <v>5373</v>
      </c>
      <c r="I71" s="3959" t="s">
        <v>5374</v>
      </c>
      <c r="J71" s="3960" t="s">
        <v>5375</v>
      </c>
      <c r="K71" s="3897" t="s">
        <v>5376</v>
      </c>
      <c r="L71" s="3834" t="s">
        <v>5377</v>
      </c>
      <c r="M71" s="3897" t="s">
        <v>5378</v>
      </c>
      <c r="N71" s="3834" t="s">
        <v>5379</v>
      </c>
      <c r="O71" s="3897" t="s">
        <v>5380</v>
      </c>
      <c r="P71" s="3834" t="s">
        <v>5381</v>
      </c>
      <c r="Q71" s="3897" t="s">
        <v>5382</v>
      </c>
      <c r="R71" s="3834" t="s">
        <v>5383</v>
      </c>
      <c r="S71" s="3897" t="s">
        <v>5384</v>
      </c>
      <c r="T71" s="3834" t="s">
        <v>5385</v>
      </c>
      <c r="U71" s="3897" t="s">
        <v>5386</v>
      </c>
      <c r="V71" s="3834" t="s">
        <v>5387</v>
      </c>
      <c r="W71" s="3897" t="s">
        <v>5388</v>
      </c>
      <c r="X71" s="3834" t="s">
        <v>5389</v>
      </c>
      <c r="Y71" s="3897" t="s">
        <v>5390</v>
      </c>
      <c r="Z71" s="3834" t="s">
        <v>5391</v>
      </c>
      <c r="AA71" s="3897" t="s">
        <v>5392</v>
      </c>
      <c r="AB71" s="3834" t="s">
        <v>5393</v>
      </c>
      <c r="AC71" s="3897" t="s">
        <v>5394</v>
      </c>
      <c r="AD71" s="3834" t="s">
        <v>5395</v>
      </c>
      <c r="AE71" s="3897" t="s">
        <v>5396</v>
      </c>
      <c r="AF71" s="3834" t="s">
        <v>5397</v>
      </c>
      <c r="AG71" s="3897" t="s">
        <v>5398</v>
      </c>
      <c r="AH71" s="3834" t="s">
        <v>5399</v>
      </c>
      <c r="AI71" s="3897" t="s">
        <v>5400</v>
      </c>
      <c r="AJ71" s="3834" t="s">
        <v>5401</v>
      </c>
      <c r="AK71" s="3897" t="s">
        <v>5402</v>
      </c>
      <c r="AL71" s="3834" t="s">
        <v>5403</v>
      </c>
      <c r="AM71" s="3897" t="s">
        <v>5404</v>
      </c>
      <c r="AN71" s="3899" t="s">
        <v>5405</v>
      </c>
      <c r="AO71" s="6005" t="s">
        <v>5406</v>
      </c>
      <c r="AP71" s="6005" t="s">
        <v>5407</v>
      </c>
      <c r="AQ71" s="5057" t="str">
        <f t="shared" si="68"/>
        <v xml:space="preserve">* El número de Personas pertenecientes a Pueblos Originarios NO DEBE ser mayor que el total. * El número de Personas Migrantes NO DEBE ser mayor que el total. </v>
      </c>
      <c r="AS71" s="4291"/>
      <c r="AT71" s="4291"/>
      <c r="AU71" s="4291"/>
      <c r="AV71" s="4291"/>
      <c r="AW71" s="4291"/>
      <c r="AX71" s="4291"/>
      <c r="AY71" s="4291"/>
      <c r="AZ71" s="4291"/>
      <c r="BA71" s="4264"/>
      <c r="BB71" s="4264"/>
      <c r="BX71" s="4259"/>
      <c r="CB71" s="4292" t="str">
        <f t="shared" si="73"/>
        <v/>
      </c>
      <c r="CC71" s="4292" t="str">
        <f t="shared" si="69"/>
        <v xml:space="preserve">* El número de Personas pertenecientes a Pueblos Originarios NO DEBE ser mayor que el total. </v>
      </c>
      <c r="CD71" s="4292" t="str">
        <f t="shared" si="70"/>
        <v xml:space="preserve">* El número de Personas Migrantes NO DEBE ser mayor que el total. </v>
      </c>
      <c r="CH71" s="4993"/>
      <c r="CI71" s="4993"/>
      <c r="DB71" s="5530">
        <f t="shared" si="74"/>
        <v>0</v>
      </c>
      <c r="DC71" s="5530">
        <f t="shared" si="71"/>
        <v>1</v>
      </c>
      <c r="DD71" s="5530">
        <f t="shared" si="72"/>
        <v>1</v>
      </c>
    </row>
    <row r="72" spans="1:108" ht="16.350000000000001" customHeight="1" x14ac:dyDescent="0.25">
      <c r="A72" s="7258" t="s">
        <v>4677</v>
      </c>
      <c r="B72" s="9446"/>
      <c r="C72" s="6006" t="s">
        <v>2601</v>
      </c>
      <c r="D72" s="6011" t="s">
        <v>5369</v>
      </c>
      <c r="E72" s="5863" t="s">
        <v>5370</v>
      </c>
      <c r="F72" s="6012" t="s">
        <v>5371</v>
      </c>
      <c r="G72" s="3977" t="s">
        <v>5372</v>
      </c>
      <c r="H72" s="3978" t="s">
        <v>5373</v>
      </c>
      <c r="I72" s="3977" t="s">
        <v>5374</v>
      </c>
      <c r="J72" s="3978" t="s">
        <v>5375</v>
      </c>
      <c r="K72" s="3979" t="s">
        <v>5376</v>
      </c>
      <c r="L72" s="3980" t="s">
        <v>5377</v>
      </c>
      <c r="M72" s="3979" t="s">
        <v>5378</v>
      </c>
      <c r="N72" s="3980" t="s">
        <v>5379</v>
      </c>
      <c r="O72" s="3979" t="s">
        <v>5380</v>
      </c>
      <c r="P72" s="3980" t="s">
        <v>5381</v>
      </c>
      <c r="Q72" s="3979" t="s">
        <v>5382</v>
      </c>
      <c r="R72" s="3980" t="s">
        <v>5383</v>
      </c>
      <c r="S72" s="3979" t="s">
        <v>5384</v>
      </c>
      <c r="T72" s="3980" t="s">
        <v>5385</v>
      </c>
      <c r="U72" s="3979" t="s">
        <v>5386</v>
      </c>
      <c r="V72" s="3980" t="s">
        <v>5387</v>
      </c>
      <c r="W72" s="3979" t="s">
        <v>5388</v>
      </c>
      <c r="X72" s="3980" t="s">
        <v>5389</v>
      </c>
      <c r="Y72" s="3979" t="s">
        <v>5390</v>
      </c>
      <c r="Z72" s="3980" t="s">
        <v>5391</v>
      </c>
      <c r="AA72" s="3979" t="s">
        <v>5392</v>
      </c>
      <c r="AB72" s="3980" t="s">
        <v>5393</v>
      </c>
      <c r="AC72" s="3979" t="s">
        <v>5394</v>
      </c>
      <c r="AD72" s="3980" t="s">
        <v>5395</v>
      </c>
      <c r="AE72" s="3979" t="s">
        <v>5396</v>
      </c>
      <c r="AF72" s="3980" t="s">
        <v>5397</v>
      </c>
      <c r="AG72" s="3979" t="s">
        <v>5398</v>
      </c>
      <c r="AH72" s="3980" t="s">
        <v>5399</v>
      </c>
      <c r="AI72" s="3979" t="s">
        <v>5400</v>
      </c>
      <c r="AJ72" s="3980" t="s">
        <v>5401</v>
      </c>
      <c r="AK72" s="3979" t="s">
        <v>5402</v>
      </c>
      <c r="AL72" s="3980" t="s">
        <v>5403</v>
      </c>
      <c r="AM72" s="3979" t="s">
        <v>5404</v>
      </c>
      <c r="AN72" s="3996" t="s">
        <v>5405</v>
      </c>
      <c r="AO72" s="6013" t="s">
        <v>5406</v>
      </c>
      <c r="AP72" s="6013" t="s">
        <v>5407</v>
      </c>
      <c r="AQ72" s="5057" t="str">
        <f t="shared" si="68"/>
        <v xml:space="preserve">* El número de Personas pertenecientes a Pueblos Originarios NO DEBE ser mayor que el total. * El número de Personas Migrantes NO DEBE ser mayor que el total. </v>
      </c>
      <c r="AS72" s="4291"/>
      <c r="AT72" s="4291"/>
      <c r="AU72" s="4291"/>
      <c r="AV72" s="4291"/>
      <c r="AW72" s="4291"/>
      <c r="AX72" s="4291"/>
      <c r="AY72" s="4291"/>
      <c r="AZ72" s="4291"/>
      <c r="BA72" s="4264"/>
      <c r="BB72" s="4264"/>
      <c r="BX72" s="4259"/>
      <c r="CB72" s="4292" t="str">
        <f t="shared" si="73"/>
        <v/>
      </c>
      <c r="CC72" s="4292" t="str">
        <f t="shared" si="69"/>
        <v xml:space="preserve">* El número de Personas pertenecientes a Pueblos Originarios NO DEBE ser mayor que el total. </v>
      </c>
      <c r="CD72" s="4292" t="str">
        <f t="shared" si="70"/>
        <v xml:space="preserve">* El número de Personas Migrantes NO DEBE ser mayor que el total. </v>
      </c>
      <c r="CH72" s="4993"/>
      <c r="CI72" s="4993"/>
      <c r="DB72" s="5530">
        <f t="shared" si="74"/>
        <v>0</v>
      </c>
      <c r="DC72" s="5530">
        <f t="shared" si="71"/>
        <v>1</v>
      </c>
      <c r="DD72" s="5530">
        <f t="shared" si="72"/>
        <v>1</v>
      </c>
    </row>
    <row r="73" spans="1:108" ht="16.350000000000001" customHeight="1" x14ac:dyDescent="0.25">
      <c r="A73" s="7258" t="s">
        <v>4678</v>
      </c>
      <c r="B73" s="9445" t="s">
        <v>1569</v>
      </c>
      <c r="C73" s="6003" t="s">
        <v>2590</v>
      </c>
      <c r="D73" s="5843" t="s">
        <v>5369</v>
      </c>
      <c r="E73" s="5844" t="s">
        <v>5370</v>
      </c>
      <c r="F73" s="5845" t="s">
        <v>5371</v>
      </c>
      <c r="G73" s="3959" t="s">
        <v>5372</v>
      </c>
      <c r="H73" s="3960" t="s">
        <v>5373</v>
      </c>
      <c r="I73" s="3959" t="s">
        <v>5374</v>
      </c>
      <c r="J73" s="3960" t="s">
        <v>5375</v>
      </c>
      <c r="K73" s="3897" t="s">
        <v>5376</v>
      </c>
      <c r="L73" s="3834" t="s">
        <v>5377</v>
      </c>
      <c r="M73" s="3897" t="s">
        <v>5378</v>
      </c>
      <c r="N73" s="3834" t="s">
        <v>5379</v>
      </c>
      <c r="O73" s="3897" t="s">
        <v>5380</v>
      </c>
      <c r="P73" s="3834" t="s">
        <v>5381</v>
      </c>
      <c r="Q73" s="3897" t="s">
        <v>5382</v>
      </c>
      <c r="R73" s="3834" t="s">
        <v>5383</v>
      </c>
      <c r="S73" s="3897" t="s">
        <v>5384</v>
      </c>
      <c r="T73" s="3834" t="s">
        <v>5385</v>
      </c>
      <c r="U73" s="3897" t="s">
        <v>5386</v>
      </c>
      <c r="V73" s="3834" t="s">
        <v>5387</v>
      </c>
      <c r="W73" s="3897" t="s">
        <v>5388</v>
      </c>
      <c r="X73" s="3834" t="s">
        <v>5389</v>
      </c>
      <c r="Y73" s="3897" t="s">
        <v>5390</v>
      </c>
      <c r="Z73" s="3834" t="s">
        <v>5391</v>
      </c>
      <c r="AA73" s="3897" t="s">
        <v>5392</v>
      </c>
      <c r="AB73" s="3834" t="s">
        <v>5393</v>
      </c>
      <c r="AC73" s="3897" t="s">
        <v>5394</v>
      </c>
      <c r="AD73" s="3834" t="s">
        <v>5395</v>
      </c>
      <c r="AE73" s="3897" t="s">
        <v>5396</v>
      </c>
      <c r="AF73" s="3834" t="s">
        <v>5397</v>
      </c>
      <c r="AG73" s="3897" t="s">
        <v>5398</v>
      </c>
      <c r="AH73" s="3834" t="s">
        <v>5399</v>
      </c>
      <c r="AI73" s="3897" t="s">
        <v>5400</v>
      </c>
      <c r="AJ73" s="3834" t="s">
        <v>5401</v>
      </c>
      <c r="AK73" s="3897" t="s">
        <v>5402</v>
      </c>
      <c r="AL73" s="3834" t="s">
        <v>5403</v>
      </c>
      <c r="AM73" s="3897" t="s">
        <v>5404</v>
      </c>
      <c r="AN73" s="3899" t="s">
        <v>5405</v>
      </c>
      <c r="AO73" s="6005" t="s">
        <v>5406</v>
      </c>
      <c r="AP73" s="6005" t="s">
        <v>5407</v>
      </c>
      <c r="AQ73" s="5057" t="str">
        <f t="shared" si="68"/>
        <v xml:space="preserve">* El número de Personas pertenecientes a Pueblos Originarios NO DEBE ser mayor que el total. * El número de Personas Migrantes NO DEBE ser mayor que el total. </v>
      </c>
      <c r="AS73" s="4291"/>
      <c r="AT73" s="4291"/>
      <c r="AU73" s="4291"/>
      <c r="AV73" s="4291"/>
      <c r="AW73" s="4291"/>
      <c r="AX73" s="4291"/>
      <c r="AY73" s="4291"/>
      <c r="AZ73" s="4291"/>
      <c r="BA73" s="4264"/>
      <c r="BB73" s="4264"/>
      <c r="BX73" s="4259"/>
      <c r="CB73" s="4292" t="str">
        <f t="shared" si="73"/>
        <v/>
      </c>
      <c r="CC73" s="4292" t="str">
        <f t="shared" si="69"/>
        <v xml:space="preserve">* El número de Personas pertenecientes a Pueblos Originarios NO DEBE ser mayor que el total. </v>
      </c>
      <c r="CD73" s="4292" t="str">
        <f t="shared" si="70"/>
        <v xml:space="preserve">* El número de Personas Migrantes NO DEBE ser mayor que el total. </v>
      </c>
      <c r="CH73" s="4993"/>
      <c r="CI73" s="4993"/>
      <c r="DB73" s="5530">
        <f t="shared" si="74"/>
        <v>0</v>
      </c>
      <c r="DC73" s="5530">
        <f t="shared" si="71"/>
        <v>1</v>
      </c>
      <c r="DD73" s="5530">
        <f t="shared" si="72"/>
        <v>1</v>
      </c>
    </row>
    <row r="74" spans="1:108" ht="16.350000000000001" customHeight="1" x14ac:dyDescent="0.25">
      <c r="A74" s="7258" t="s">
        <v>4679</v>
      </c>
      <c r="B74" s="9247"/>
      <c r="C74" s="6006" t="s">
        <v>2601</v>
      </c>
      <c r="D74" s="5852" t="s">
        <v>5369</v>
      </c>
      <c r="E74" s="5853" t="s">
        <v>5370</v>
      </c>
      <c r="F74" s="5854" t="s">
        <v>5371</v>
      </c>
      <c r="G74" s="6007" t="s">
        <v>5372</v>
      </c>
      <c r="H74" s="6008" t="s">
        <v>5373</v>
      </c>
      <c r="I74" s="6007" t="s">
        <v>5374</v>
      </c>
      <c r="J74" s="6008" t="s">
        <v>5375</v>
      </c>
      <c r="K74" s="3968" t="s">
        <v>5376</v>
      </c>
      <c r="L74" s="3969" t="s">
        <v>5377</v>
      </c>
      <c r="M74" s="3968" t="s">
        <v>5378</v>
      </c>
      <c r="N74" s="3969" t="s">
        <v>5379</v>
      </c>
      <c r="O74" s="3968" t="s">
        <v>5380</v>
      </c>
      <c r="P74" s="3969" t="s">
        <v>5381</v>
      </c>
      <c r="Q74" s="3968" t="s">
        <v>5382</v>
      </c>
      <c r="R74" s="3969" t="s">
        <v>5383</v>
      </c>
      <c r="S74" s="3968" t="s">
        <v>5384</v>
      </c>
      <c r="T74" s="3969" t="s">
        <v>5385</v>
      </c>
      <c r="U74" s="3968" t="s">
        <v>5386</v>
      </c>
      <c r="V74" s="3969" t="s">
        <v>5387</v>
      </c>
      <c r="W74" s="3968" t="s">
        <v>5388</v>
      </c>
      <c r="X74" s="3969" t="s">
        <v>5389</v>
      </c>
      <c r="Y74" s="3968" t="s">
        <v>5390</v>
      </c>
      <c r="Z74" s="3969" t="s">
        <v>5391</v>
      </c>
      <c r="AA74" s="3968" t="s">
        <v>5392</v>
      </c>
      <c r="AB74" s="3969" t="s">
        <v>5393</v>
      </c>
      <c r="AC74" s="3968" t="s">
        <v>5394</v>
      </c>
      <c r="AD74" s="3969" t="s">
        <v>5395</v>
      </c>
      <c r="AE74" s="3968" t="s">
        <v>5396</v>
      </c>
      <c r="AF74" s="3969" t="s">
        <v>5397</v>
      </c>
      <c r="AG74" s="3968" t="s">
        <v>5398</v>
      </c>
      <c r="AH74" s="3969" t="s">
        <v>5399</v>
      </c>
      <c r="AI74" s="3968" t="s">
        <v>5400</v>
      </c>
      <c r="AJ74" s="3969" t="s">
        <v>5401</v>
      </c>
      <c r="AK74" s="3968" t="s">
        <v>5402</v>
      </c>
      <c r="AL74" s="3969" t="s">
        <v>5403</v>
      </c>
      <c r="AM74" s="3968" t="s">
        <v>5404</v>
      </c>
      <c r="AN74" s="4138" t="s">
        <v>5405</v>
      </c>
      <c r="AO74" s="6009" t="s">
        <v>5406</v>
      </c>
      <c r="AP74" s="6009" t="s">
        <v>5407</v>
      </c>
      <c r="AQ74" s="5057" t="str">
        <f t="shared" si="68"/>
        <v xml:space="preserve">* El número de Personas pertenecientes a Pueblos Originarios NO DEBE ser mayor que el total. * El número de Personas Migrantes NO DEBE ser mayor que el total. </v>
      </c>
      <c r="AS74" s="4291"/>
      <c r="AT74" s="4291"/>
      <c r="AU74" s="4291"/>
      <c r="AV74" s="4291"/>
      <c r="AW74" s="4291"/>
      <c r="AX74" s="4291"/>
      <c r="AY74" s="4291"/>
      <c r="AZ74" s="4291"/>
      <c r="BA74" s="4264"/>
      <c r="BB74" s="4264"/>
      <c r="BX74" s="4259"/>
      <c r="CB74" s="4292" t="str">
        <f t="shared" si="73"/>
        <v/>
      </c>
      <c r="CC74" s="4292" t="str">
        <f t="shared" si="69"/>
        <v xml:space="preserve">* El número de Personas pertenecientes a Pueblos Originarios NO DEBE ser mayor que el total. </v>
      </c>
      <c r="CD74" s="4292" t="str">
        <f t="shared" si="70"/>
        <v xml:space="preserve">* El número de Personas Migrantes NO DEBE ser mayor que el total. </v>
      </c>
      <c r="CH74" s="4993"/>
      <c r="CI74" s="4993"/>
      <c r="DB74" s="5530">
        <f t="shared" si="74"/>
        <v>0</v>
      </c>
      <c r="DC74" s="5530">
        <f t="shared" si="71"/>
        <v>1</v>
      </c>
      <c r="DD74" s="5530">
        <f t="shared" si="72"/>
        <v>1</v>
      </c>
    </row>
    <row r="75" spans="1:108" ht="16.350000000000001" customHeight="1" x14ac:dyDescent="0.25">
      <c r="A75" s="7258" t="s">
        <v>4680</v>
      </c>
      <c r="B75" s="9247"/>
      <c r="C75" s="6006" t="s">
        <v>60</v>
      </c>
      <c r="D75" s="5852" t="s">
        <v>5369</v>
      </c>
      <c r="E75" s="5853" t="s">
        <v>5370</v>
      </c>
      <c r="F75" s="5854" t="s">
        <v>5371</v>
      </c>
      <c r="G75" s="6007" t="s">
        <v>5372</v>
      </c>
      <c r="H75" s="6008" t="s">
        <v>5373</v>
      </c>
      <c r="I75" s="6007" t="s">
        <v>5374</v>
      </c>
      <c r="J75" s="6008" t="s">
        <v>5375</v>
      </c>
      <c r="K75" s="3968" t="s">
        <v>5376</v>
      </c>
      <c r="L75" s="3969" t="s">
        <v>5377</v>
      </c>
      <c r="M75" s="3968" t="s">
        <v>5378</v>
      </c>
      <c r="N75" s="3969" t="s">
        <v>5379</v>
      </c>
      <c r="O75" s="3968" t="s">
        <v>5380</v>
      </c>
      <c r="P75" s="3969" t="s">
        <v>5381</v>
      </c>
      <c r="Q75" s="3968" t="s">
        <v>5382</v>
      </c>
      <c r="R75" s="3969" t="s">
        <v>5383</v>
      </c>
      <c r="S75" s="3968" t="s">
        <v>5384</v>
      </c>
      <c r="T75" s="3969" t="s">
        <v>5385</v>
      </c>
      <c r="U75" s="3968" t="s">
        <v>5386</v>
      </c>
      <c r="V75" s="3969" t="s">
        <v>5387</v>
      </c>
      <c r="W75" s="3968" t="s">
        <v>5388</v>
      </c>
      <c r="X75" s="3969" t="s">
        <v>5389</v>
      </c>
      <c r="Y75" s="3968" t="s">
        <v>5390</v>
      </c>
      <c r="Z75" s="3969" t="s">
        <v>5391</v>
      </c>
      <c r="AA75" s="3968" t="s">
        <v>5392</v>
      </c>
      <c r="AB75" s="3969" t="s">
        <v>5393</v>
      </c>
      <c r="AC75" s="3968" t="s">
        <v>5394</v>
      </c>
      <c r="AD75" s="3969" t="s">
        <v>5395</v>
      </c>
      <c r="AE75" s="3968" t="s">
        <v>5396</v>
      </c>
      <c r="AF75" s="3969" t="s">
        <v>5397</v>
      </c>
      <c r="AG75" s="3968" t="s">
        <v>5398</v>
      </c>
      <c r="AH75" s="3969" t="s">
        <v>5399</v>
      </c>
      <c r="AI75" s="3968" t="s">
        <v>5400</v>
      </c>
      <c r="AJ75" s="3969" t="s">
        <v>5401</v>
      </c>
      <c r="AK75" s="3968" t="s">
        <v>5402</v>
      </c>
      <c r="AL75" s="3969" t="s">
        <v>5403</v>
      </c>
      <c r="AM75" s="3968" t="s">
        <v>5404</v>
      </c>
      <c r="AN75" s="4138" t="s">
        <v>5405</v>
      </c>
      <c r="AO75" s="6009" t="s">
        <v>5406</v>
      </c>
      <c r="AP75" s="6009" t="s">
        <v>5407</v>
      </c>
      <c r="AQ75" s="5057" t="str">
        <f t="shared" si="68"/>
        <v xml:space="preserve">* El número de Personas pertenecientes a Pueblos Originarios NO DEBE ser mayor que el total. * El número de Personas Migrantes NO DEBE ser mayor que el total. </v>
      </c>
      <c r="AS75" s="4291"/>
      <c r="AT75" s="4291"/>
      <c r="AU75" s="4291"/>
      <c r="AV75" s="4291"/>
      <c r="AW75" s="4291"/>
      <c r="AX75" s="4291"/>
      <c r="AY75" s="4291"/>
      <c r="AZ75" s="4291"/>
      <c r="BA75" s="4264"/>
      <c r="BB75" s="4264"/>
      <c r="BX75" s="4259"/>
      <c r="CB75" s="4292" t="str">
        <f t="shared" si="73"/>
        <v/>
      </c>
      <c r="CC75" s="4292" t="str">
        <f t="shared" si="69"/>
        <v xml:space="preserve">* El número de Personas pertenecientes a Pueblos Originarios NO DEBE ser mayor que el total. </v>
      </c>
      <c r="CD75" s="4292" t="str">
        <f t="shared" si="70"/>
        <v xml:space="preserve">* El número de Personas Migrantes NO DEBE ser mayor que el total. </v>
      </c>
      <c r="CH75" s="4993"/>
      <c r="CI75" s="4993"/>
      <c r="DB75" s="5530">
        <f t="shared" si="74"/>
        <v>0</v>
      </c>
      <c r="DC75" s="5530">
        <f t="shared" si="71"/>
        <v>1</v>
      </c>
      <c r="DD75" s="5530">
        <f t="shared" si="72"/>
        <v>1</v>
      </c>
    </row>
    <row r="76" spans="1:108" ht="16.350000000000001" customHeight="1" x14ac:dyDescent="0.25">
      <c r="A76" s="7258" t="s">
        <v>4681</v>
      </c>
      <c r="B76" s="9247"/>
      <c r="C76" s="6006" t="s">
        <v>1568</v>
      </c>
      <c r="D76" s="5852" t="s">
        <v>5369</v>
      </c>
      <c r="E76" s="5853" t="s">
        <v>5370</v>
      </c>
      <c r="F76" s="5854" t="s">
        <v>5371</v>
      </c>
      <c r="G76" s="6007" t="s">
        <v>5372</v>
      </c>
      <c r="H76" s="6008" t="s">
        <v>5373</v>
      </c>
      <c r="I76" s="6007" t="s">
        <v>5374</v>
      </c>
      <c r="J76" s="6008" t="s">
        <v>5375</v>
      </c>
      <c r="K76" s="3968" t="s">
        <v>5376</v>
      </c>
      <c r="L76" s="3969" t="s">
        <v>5377</v>
      </c>
      <c r="M76" s="3968" t="s">
        <v>5378</v>
      </c>
      <c r="N76" s="3969" t="s">
        <v>5379</v>
      </c>
      <c r="O76" s="3968" t="s">
        <v>5380</v>
      </c>
      <c r="P76" s="3969" t="s">
        <v>5381</v>
      </c>
      <c r="Q76" s="3968" t="s">
        <v>5382</v>
      </c>
      <c r="R76" s="3969" t="s">
        <v>5383</v>
      </c>
      <c r="S76" s="3968" t="s">
        <v>5384</v>
      </c>
      <c r="T76" s="3969" t="s">
        <v>5385</v>
      </c>
      <c r="U76" s="3968" t="s">
        <v>5386</v>
      </c>
      <c r="V76" s="3969" t="s">
        <v>5387</v>
      </c>
      <c r="W76" s="3968" t="s">
        <v>5388</v>
      </c>
      <c r="X76" s="3969" t="s">
        <v>5389</v>
      </c>
      <c r="Y76" s="3968" t="s">
        <v>5390</v>
      </c>
      <c r="Z76" s="3969" t="s">
        <v>5391</v>
      </c>
      <c r="AA76" s="3968" t="s">
        <v>5392</v>
      </c>
      <c r="AB76" s="3969" t="s">
        <v>5393</v>
      </c>
      <c r="AC76" s="3968" t="s">
        <v>5394</v>
      </c>
      <c r="AD76" s="3969" t="s">
        <v>5395</v>
      </c>
      <c r="AE76" s="3968" t="s">
        <v>5396</v>
      </c>
      <c r="AF76" s="3969" t="s">
        <v>5397</v>
      </c>
      <c r="AG76" s="3968" t="s">
        <v>5398</v>
      </c>
      <c r="AH76" s="3969" t="s">
        <v>5399</v>
      </c>
      <c r="AI76" s="3968" t="s">
        <v>5400</v>
      </c>
      <c r="AJ76" s="3969" t="s">
        <v>5401</v>
      </c>
      <c r="AK76" s="3968" t="s">
        <v>5402</v>
      </c>
      <c r="AL76" s="3969" t="s">
        <v>5403</v>
      </c>
      <c r="AM76" s="3968" t="s">
        <v>5404</v>
      </c>
      <c r="AN76" s="4138" t="s">
        <v>5405</v>
      </c>
      <c r="AO76" s="6009" t="s">
        <v>5406</v>
      </c>
      <c r="AP76" s="6009" t="s">
        <v>5407</v>
      </c>
      <c r="AQ76" s="5057" t="str">
        <f t="shared" si="68"/>
        <v xml:space="preserve">* El número de Personas pertenecientes a Pueblos Originarios NO DEBE ser mayor que el total. * El número de Personas Migrantes NO DEBE ser mayor que el total. </v>
      </c>
      <c r="AS76" s="4291"/>
      <c r="AT76" s="4291"/>
      <c r="AU76" s="4291"/>
      <c r="AV76" s="4291"/>
      <c r="AW76" s="4291"/>
      <c r="AX76" s="4291"/>
      <c r="AY76" s="4291"/>
      <c r="AZ76" s="4291"/>
      <c r="BA76" s="4264"/>
      <c r="BB76" s="4264"/>
      <c r="BX76" s="4259"/>
      <c r="CB76" s="4292" t="str">
        <f t="shared" si="73"/>
        <v/>
      </c>
      <c r="CC76" s="4292" t="str">
        <f t="shared" si="69"/>
        <v xml:space="preserve">* El número de Personas pertenecientes a Pueblos Originarios NO DEBE ser mayor que el total. </v>
      </c>
      <c r="CD76" s="4292" t="str">
        <f t="shared" si="70"/>
        <v xml:space="preserve">* El número de Personas Migrantes NO DEBE ser mayor que el total. </v>
      </c>
      <c r="CH76" s="4993"/>
      <c r="CI76" s="4993"/>
      <c r="DB76" s="5530">
        <f t="shared" si="74"/>
        <v>0</v>
      </c>
      <c r="DC76" s="5530">
        <f t="shared" si="71"/>
        <v>1</v>
      </c>
      <c r="DD76" s="5530">
        <f t="shared" si="72"/>
        <v>1</v>
      </c>
    </row>
    <row r="77" spans="1:108" ht="16.350000000000001" customHeight="1" x14ac:dyDescent="0.25">
      <c r="A77" s="7258" t="s">
        <v>4682</v>
      </c>
      <c r="B77" s="9247"/>
      <c r="C77" s="6006" t="s">
        <v>2597</v>
      </c>
      <c r="D77" s="5852" t="s">
        <v>5369</v>
      </c>
      <c r="E77" s="5853" t="s">
        <v>5370</v>
      </c>
      <c r="F77" s="5854" t="s">
        <v>5371</v>
      </c>
      <c r="G77" s="6007" t="s">
        <v>5372</v>
      </c>
      <c r="H77" s="6008" t="s">
        <v>5373</v>
      </c>
      <c r="I77" s="6007" t="s">
        <v>5374</v>
      </c>
      <c r="J77" s="6008" t="s">
        <v>5375</v>
      </c>
      <c r="K77" s="3968" t="s">
        <v>5376</v>
      </c>
      <c r="L77" s="3969" t="s">
        <v>5377</v>
      </c>
      <c r="M77" s="3968" t="s">
        <v>5378</v>
      </c>
      <c r="N77" s="3969" t="s">
        <v>5379</v>
      </c>
      <c r="O77" s="3968" t="s">
        <v>5380</v>
      </c>
      <c r="P77" s="3969" t="s">
        <v>5381</v>
      </c>
      <c r="Q77" s="3968" t="s">
        <v>5382</v>
      </c>
      <c r="R77" s="3969" t="s">
        <v>5383</v>
      </c>
      <c r="S77" s="3968" t="s">
        <v>5384</v>
      </c>
      <c r="T77" s="3969" t="s">
        <v>5385</v>
      </c>
      <c r="U77" s="3968" t="s">
        <v>5386</v>
      </c>
      <c r="V77" s="3969" t="s">
        <v>5387</v>
      </c>
      <c r="W77" s="3968" t="s">
        <v>5388</v>
      </c>
      <c r="X77" s="3969" t="s">
        <v>5389</v>
      </c>
      <c r="Y77" s="3968" t="s">
        <v>5390</v>
      </c>
      <c r="Z77" s="3969" t="s">
        <v>5391</v>
      </c>
      <c r="AA77" s="3968" t="s">
        <v>5392</v>
      </c>
      <c r="AB77" s="3969" t="s">
        <v>5393</v>
      </c>
      <c r="AC77" s="3968" t="s">
        <v>5394</v>
      </c>
      <c r="AD77" s="3969" t="s">
        <v>5395</v>
      </c>
      <c r="AE77" s="3968" t="s">
        <v>5396</v>
      </c>
      <c r="AF77" s="3969" t="s">
        <v>5397</v>
      </c>
      <c r="AG77" s="3968" t="s">
        <v>5398</v>
      </c>
      <c r="AH77" s="3969" t="s">
        <v>5399</v>
      </c>
      <c r="AI77" s="3968" t="s">
        <v>5400</v>
      </c>
      <c r="AJ77" s="3969" t="s">
        <v>5401</v>
      </c>
      <c r="AK77" s="3968" t="s">
        <v>5402</v>
      </c>
      <c r="AL77" s="3969" t="s">
        <v>5403</v>
      </c>
      <c r="AM77" s="3968" t="s">
        <v>5404</v>
      </c>
      <c r="AN77" s="4138" t="s">
        <v>5405</v>
      </c>
      <c r="AO77" s="6009" t="s">
        <v>5406</v>
      </c>
      <c r="AP77" s="6009" t="s">
        <v>5407</v>
      </c>
      <c r="AQ77" s="5057" t="str">
        <f t="shared" si="68"/>
        <v xml:space="preserve">* El número de Personas pertenecientes a Pueblos Originarios NO DEBE ser mayor que el total. * El número de Personas Migrantes NO DEBE ser mayor que el total. </v>
      </c>
      <c r="AS77" s="4291"/>
      <c r="AT77" s="4291"/>
      <c r="AU77" s="4291"/>
      <c r="AV77" s="4291"/>
      <c r="AW77" s="4291"/>
      <c r="AX77" s="4291"/>
      <c r="AY77" s="4291"/>
      <c r="AZ77" s="4291"/>
      <c r="BA77" s="4264"/>
      <c r="BB77" s="4264"/>
      <c r="BX77" s="4259"/>
      <c r="CB77" s="4292" t="str">
        <f t="shared" si="73"/>
        <v/>
      </c>
      <c r="CC77" s="4292" t="str">
        <f t="shared" si="69"/>
        <v xml:space="preserve">* El número de Personas pertenecientes a Pueblos Originarios NO DEBE ser mayor que el total. </v>
      </c>
      <c r="CD77" s="4292" t="str">
        <f t="shared" si="70"/>
        <v xml:space="preserve">* El número de Personas Migrantes NO DEBE ser mayor que el total. </v>
      </c>
      <c r="CH77" s="4993"/>
      <c r="CI77" s="4993"/>
      <c r="DB77" s="5530">
        <f t="shared" si="74"/>
        <v>0</v>
      </c>
      <c r="DC77" s="5530">
        <f t="shared" si="71"/>
        <v>1</v>
      </c>
      <c r="DD77" s="5530">
        <f t="shared" si="72"/>
        <v>1</v>
      </c>
    </row>
    <row r="78" spans="1:108" ht="16.350000000000001" customHeight="1" x14ac:dyDescent="0.25">
      <c r="A78" s="7258" t="s">
        <v>4683</v>
      </c>
      <c r="B78" s="9446"/>
      <c r="C78" s="6010" t="s">
        <v>63</v>
      </c>
      <c r="D78" s="6011" t="s">
        <v>5369</v>
      </c>
      <c r="E78" s="5863" t="s">
        <v>5370</v>
      </c>
      <c r="F78" s="6012" t="s">
        <v>5371</v>
      </c>
      <c r="G78" s="3977" t="s">
        <v>5372</v>
      </c>
      <c r="H78" s="3978" t="s">
        <v>5373</v>
      </c>
      <c r="I78" s="3977" t="s">
        <v>5374</v>
      </c>
      <c r="J78" s="3978" t="s">
        <v>5375</v>
      </c>
      <c r="K78" s="3979" t="s">
        <v>5376</v>
      </c>
      <c r="L78" s="3980" t="s">
        <v>5377</v>
      </c>
      <c r="M78" s="3979" t="s">
        <v>5378</v>
      </c>
      <c r="N78" s="3980" t="s">
        <v>5379</v>
      </c>
      <c r="O78" s="3979" t="s">
        <v>5380</v>
      </c>
      <c r="P78" s="3980" t="s">
        <v>5381</v>
      </c>
      <c r="Q78" s="3979" t="s">
        <v>5382</v>
      </c>
      <c r="R78" s="3980" t="s">
        <v>5383</v>
      </c>
      <c r="S78" s="3979" t="s">
        <v>5384</v>
      </c>
      <c r="T78" s="3980" t="s">
        <v>5385</v>
      </c>
      <c r="U78" s="3979" t="s">
        <v>5386</v>
      </c>
      <c r="V78" s="3980" t="s">
        <v>5387</v>
      </c>
      <c r="W78" s="3979" t="s">
        <v>5388</v>
      </c>
      <c r="X78" s="3980" t="s">
        <v>5389</v>
      </c>
      <c r="Y78" s="3979" t="s">
        <v>5390</v>
      </c>
      <c r="Z78" s="3980" t="s">
        <v>5391</v>
      </c>
      <c r="AA78" s="3979" t="s">
        <v>5392</v>
      </c>
      <c r="AB78" s="3980" t="s">
        <v>5393</v>
      </c>
      <c r="AC78" s="3979" t="s">
        <v>5394</v>
      </c>
      <c r="AD78" s="3980" t="s">
        <v>5395</v>
      </c>
      <c r="AE78" s="3979" t="s">
        <v>5396</v>
      </c>
      <c r="AF78" s="3980" t="s">
        <v>5397</v>
      </c>
      <c r="AG78" s="3979" t="s">
        <v>5398</v>
      </c>
      <c r="AH78" s="3980" t="s">
        <v>5399</v>
      </c>
      <c r="AI78" s="3979" t="s">
        <v>5400</v>
      </c>
      <c r="AJ78" s="3980" t="s">
        <v>5401</v>
      </c>
      <c r="AK78" s="3979" t="s">
        <v>5402</v>
      </c>
      <c r="AL78" s="3980" t="s">
        <v>5403</v>
      </c>
      <c r="AM78" s="3979" t="s">
        <v>5404</v>
      </c>
      <c r="AN78" s="3996" t="s">
        <v>5405</v>
      </c>
      <c r="AO78" s="6013" t="s">
        <v>5406</v>
      </c>
      <c r="AP78" s="6013" t="s">
        <v>5407</v>
      </c>
      <c r="AQ78" s="5057" t="str">
        <f t="shared" si="68"/>
        <v xml:space="preserve">* El número de Personas pertenecientes a Pueblos Originarios NO DEBE ser mayor que el total. * El número de Personas Migrantes NO DEBE ser mayor que el total. </v>
      </c>
      <c r="AS78" s="4291"/>
      <c r="AT78" s="4291"/>
      <c r="AU78" s="4291"/>
      <c r="AV78" s="4291"/>
      <c r="AW78" s="4291"/>
      <c r="AX78" s="4291"/>
      <c r="AY78" s="4291"/>
      <c r="AZ78" s="4291"/>
      <c r="BA78" s="4264"/>
      <c r="BB78" s="4264"/>
      <c r="BX78" s="4259"/>
      <c r="CB78" s="4292" t="str">
        <f t="shared" si="73"/>
        <v/>
      </c>
      <c r="CC78" s="4292" t="str">
        <f t="shared" si="69"/>
        <v xml:space="preserve">* El número de Personas pertenecientes a Pueblos Originarios NO DEBE ser mayor que el total. </v>
      </c>
      <c r="CD78" s="4292" t="str">
        <f t="shared" si="70"/>
        <v xml:space="preserve">* El número de Personas Migrantes NO DEBE ser mayor que el total. </v>
      </c>
      <c r="CH78" s="4993"/>
      <c r="CI78" s="4993"/>
      <c r="DB78" s="5530">
        <f t="shared" si="74"/>
        <v>0</v>
      </c>
      <c r="DC78" s="5530">
        <f t="shared" si="71"/>
        <v>1</v>
      </c>
      <c r="DD78" s="5530">
        <f t="shared" si="72"/>
        <v>1</v>
      </c>
    </row>
    <row r="79" spans="1:108" ht="31.35" customHeight="1" x14ac:dyDescent="0.3">
      <c r="A79" s="7280"/>
      <c r="B79" s="6023" t="s">
        <v>1567</v>
      </c>
      <c r="C79" s="6024"/>
      <c r="D79" s="6024"/>
      <c r="E79" s="6025"/>
      <c r="F79" s="6025"/>
      <c r="G79" s="6025"/>
      <c r="H79" s="6026"/>
      <c r="I79" s="6026"/>
      <c r="J79" s="6026"/>
      <c r="K79" s="6026"/>
      <c r="L79" s="6027"/>
      <c r="M79" s="6027"/>
      <c r="N79" s="5975"/>
      <c r="O79" s="5998"/>
      <c r="P79" s="5975"/>
      <c r="Q79" s="5975"/>
      <c r="R79" s="5975"/>
      <c r="S79" s="5975"/>
      <c r="T79" s="5975"/>
      <c r="U79" s="5975"/>
      <c r="V79" s="5975"/>
      <c r="W79" s="5998"/>
      <c r="X79" s="5975"/>
      <c r="Y79" s="5975"/>
      <c r="Z79" s="5975"/>
      <c r="AA79" s="5975"/>
      <c r="AB79" s="5975"/>
      <c r="AC79" s="5975"/>
      <c r="AD79" s="5975"/>
      <c r="AE79" s="5975"/>
      <c r="AF79" s="5975"/>
      <c r="AG79" s="5975"/>
      <c r="AH79" s="5975"/>
      <c r="AI79" s="5975"/>
      <c r="AJ79" s="5975"/>
      <c r="AK79" s="5975"/>
      <c r="AL79" s="5975"/>
      <c r="AM79" s="5975"/>
      <c r="AN79" s="5975"/>
      <c r="AO79" s="5975"/>
      <c r="AP79" s="5976"/>
      <c r="AQ79" s="5976"/>
      <c r="AR79" s="4264"/>
      <c r="AS79" s="4264"/>
      <c r="AT79" s="4264"/>
      <c r="AU79" s="4264"/>
      <c r="AV79" s="4264"/>
      <c r="AW79" s="4264"/>
      <c r="AX79" s="4264"/>
      <c r="AY79" s="4264"/>
      <c r="AZ79" s="4264"/>
      <c r="BA79" s="4264"/>
      <c r="BB79" s="4264"/>
      <c r="BC79" s="4264"/>
    </row>
    <row r="80" spans="1:108" ht="31.35" customHeight="1" x14ac:dyDescent="0.25">
      <c r="A80" s="7280"/>
      <c r="B80" s="9461" t="s">
        <v>1566</v>
      </c>
      <c r="C80" s="9410" t="s">
        <v>1565</v>
      </c>
      <c r="D80" s="9410"/>
      <c r="E80" s="9410" t="s">
        <v>1564</v>
      </c>
      <c r="F80" s="9447"/>
      <c r="G80" s="9409" t="s">
        <v>1563</v>
      </c>
      <c r="H80" s="9410"/>
      <c r="I80" s="9409" t="s">
        <v>1562</v>
      </c>
      <c r="J80" s="9410"/>
      <c r="K80" s="5722"/>
      <c r="L80" s="5975"/>
      <c r="M80" s="5975"/>
      <c r="N80" s="5975"/>
      <c r="O80" s="5975"/>
      <c r="P80" s="5975"/>
      <c r="Q80" s="5975"/>
      <c r="R80" s="5975"/>
      <c r="S80" s="5975"/>
      <c r="T80" s="5975"/>
      <c r="U80" s="5975"/>
      <c r="V80" s="5975"/>
      <c r="W80" s="5975"/>
      <c r="X80" s="6028"/>
      <c r="Y80" s="6029"/>
      <c r="Z80" s="6029"/>
      <c r="AA80" s="6029"/>
      <c r="AB80" s="6029"/>
      <c r="AC80" s="6029"/>
      <c r="AD80" s="5975"/>
      <c r="AE80" s="5975"/>
      <c r="AF80" s="5975"/>
      <c r="AG80" s="5975"/>
      <c r="AH80" s="5975"/>
      <c r="AI80" s="5975"/>
      <c r="AJ80" s="5975"/>
      <c r="AK80" s="5975"/>
      <c r="AL80" s="5975"/>
      <c r="AM80" s="5975"/>
      <c r="AN80" s="5975"/>
      <c r="AO80" s="5976"/>
      <c r="AP80" s="5976"/>
      <c r="AQ80" s="4264"/>
      <c r="AR80" s="4264"/>
      <c r="AS80" s="4264"/>
      <c r="AT80" s="4264"/>
      <c r="AU80" s="4264"/>
      <c r="AV80" s="4264"/>
      <c r="AW80" s="4264"/>
      <c r="AX80" s="4264"/>
      <c r="AY80" s="4264"/>
      <c r="AZ80" s="4264"/>
      <c r="BA80" s="4264"/>
      <c r="BB80" s="4264"/>
      <c r="BX80" s="4259"/>
    </row>
    <row r="81" spans="1:76" ht="31.35" customHeight="1" x14ac:dyDescent="0.25">
      <c r="A81" s="7280"/>
      <c r="B81" s="9462"/>
      <c r="C81" s="6030" t="s">
        <v>1561</v>
      </c>
      <c r="D81" s="6031" t="s">
        <v>1560</v>
      </c>
      <c r="E81" s="6030" t="s">
        <v>1561</v>
      </c>
      <c r="F81" s="6032" t="s">
        <v>1560</v>
      </c>
      <c r="G81" s="6033" t="s">
        <v>1561</v>
      </c>
      <c r="H81" s="6031" t="s">
        <v>1560</v>
      </c>
      <c r="I81" s="6033" t="s">
        <v>1561</v>
      </c>
      <c r="J81" s="6031" t="s">
        <v>1560</v>
      </c>
      <c r="K81" s="5722"/>
      <c r="L81" s="5975"/>
      <c r="M81" s="5975"/>
      <c r="N81" s="5975"/>
      <c r="O81" s="5975"/>
      <c r="P81" s="5975"/>
      <c r="Q81" s="5975"/>
      <c r="R81" s="5975"/>
      <c r="S81" s="5975"/>
      <c r="T81" s="5975"/>
      <c r="U81" s="5975"/>
      <c r="V81" s="5975"/>
      <c r="W81" s="5975"/>
      <c r="X81" s="6028"/>
      <c r="Y81" s="6029"/>
      <c r="Z81" s="6029"/>
      <c r="AA81" s="6029"/>
      <c r="AB81" s="6029"/>
      <c r="AC81" s="6029"/>
      <c r="AD81" s="5975"/>
      <c r="AE81" s="5975"/>
      <c r="AF81" s="5975"/>
      <c r="AG81" s="5975"/>
      <c r="AH81" s="5975"/>
      <c r="AI81" s="5975"/>
      <c r="AJ81" s="5975"/>
      <c r="AK81" s="5975"/>
      <c r="AL81" s="5975"/>
      <c r="AM81" s="5975"/>
      <c r="AN81" s="5975"/>
      <c r="AO81" s="5976"/>
      <c r="AP81" s="5976"/>
      <c r="AQ81" s="4264"/>
      <c r="AR81" s="4264"/>
      <c r="AS81" s="4264"/>
      <c r="AT81" s="4264"/>
      <c r="AU81" s="4264"/>
      <c r="AV81" s="4264"/>
      <c r="AW81" s="4264"/>
      <c r="AX81" s="4264"/>
      <c r="AY81" s="4264"/>
      <c r="AZ81" s="4264"/>
      <c r="BA81" s="4264"/>
      <c r="BB81" s="4264"/>
      <c r="BX81" s="4259"/>
    </row>
    <row r="82" spans="1:76" ht="16.350000000000001" customHeight="1" x14ac:dyDescent="0.25">
      <c r="A82" s="7258" t="s">
        <v>4684</v>
      </c>
      <c r="B82" s="6034" t="s">
        <v>1559</v>
      </c>
      <c r="C82" s="6035" t="s">
        <v>5369</v>
      </c>
      <c r="D82" s="6036" t="s">
        <v>5370</v>
      </c>
      <c r="E82" s="6035" t="s">
        <v>5371</v>
      </c>
      <c r="F82" s="6037" t="s">
        <v>5372</v>
      </c>
      <c r="G82" s="6038" t="s">
        <v>5373</v>
      </c>
      <c r="H82" s="6036" t="s">
        <v>5374</v>
      </c>
      <c r="I82" s="6038" t="s">
        <v>5375</v>
      </c>
      <c r="J82" s="6036" t="s">
        <v>5376</v>
      </c>
      <c r="K82" s="5722"/>
      <c r="L82" s="5975"/>
      <c r="M82" s="5975"/>
      <c r="N82" s="5975"/>
      <c r="O82" s="5975"/>
      <c r="P82" s="5975"/>
      <c r="Q82" s="5975"/>
      <c r="R82" s="5975"/>
      <c r="S82" s="5975"/>
      <c r="T82" s="5975"/>
      <c r="U82" s="5975"/>
      <c r="V82" s="5975"/>
      <c r="W82" s="5975"/>
      <c r="X82" s="6028"/>
      <c r="Y82" s="6029"/>
      <c r="Z82" s="6029"/>
      <c r="AA82" s="6029"/>
      <c r="AB82" s="6029"/>
      <c r="AC82" s="6029"/>
      <c r="AD82" s="5975"/>
      <c r="AE82" s="5975"/>
      <c r="AF82" s="5975"/>
      <c r="AG82" s="5975"/>
      <c r="AH82" s="5975"/>
      <c r="AI82" s="5975"/>
      <c r="AJ82" s="5975"/>
      <c r="AK82" s="5975"/>
      <c r="AL82" s="5975"/>
      <c r="AM82" s="5975"/>
      <c r="AN82" s="5975"/>
      <c r="AO82" s="5976"/>
      <c r="AP82" s="5976"/>
      <c r="AQ82" s="4264"/>
      <c r="AR82" s="4264"/>
      <c r="AS82" s="4264"/>
      <c r="AT82" s="4264"/>
      <c r="AU82" s="4264"/>
      <c r="AV82" s="4264"/>
      <c r="AW82" s="4264"/>
      <c r="AX82" s="4264"/>
      <c r="AY82" s="4264"/>
      <c r="AZ82" s="4264"/>
      <c r="BA82" s="4264"/>
      <c r="BB82" s="4264"/>
      <c r="BX82" s="4259"/>
    </row>
    <row r="83" spans="1:76" ht="16.350000000000001" customHeight="1" x14ac:dyDescent="0.25">
      <c r="A83" s="7258" t="s">
        <v>4685</v>
      </c>
      <c r="B83" s="6039" t="s">
        <v>1558</v>
      </c>
      <c r="C83" s="6040" t="s">
        <v>5369</v>
      </c>
      <c r="D83" s="6041" t="s">
        <v>5370</v>
      </c>
      <c r="E83" s="6040" t="s">
        <v>5371</v>
      </c>
      <c r="F83" s="6042" t="s">
        <v>5372</v>
      </c>
      <c r="G83" s="6043" t="s">
        <v>5373</v>
      </c>
      <c r="H83" s="6041" t="s">
        <v>5374</v>
      </c>
      <c r="I83" s="6043" t="s">
        <v>5375</v>
      </c>
      <c r="J83" s="6041" t="s">
        <v>5376</v>
      </c>
      <c r="K83" s="5722"/>
      <c r="L83" s="5975"/>
      <c r="M83" s="5975"/>
      <c r="N83" s="5975"/>
      <c r="O83" s="5975"/>
      <c r="P83" s="5975"/>
      <c r="Q83" s="5975"/>
      <c r="R83" s="5975"/>
      <c r="S83" s="5975"/>
      <c r="T83" s="5975"/>
      <c r="U83" s="5975"/>
      <c r="V83" s="5975"/>
      <c r="W83" s="5975"/>
      <c r="X83" s="6028"/>
      <c r="Y83" s="6029"/>
      <c r="Z83" s="6029"/>
      <c r="AA83" s="6029"/>
      <c r="AB83" s="6029"/>
      <c r="AC83" s="6029"/>
      <c r="AD83" s="5975"/>
      <c r="AE83" s="5975"/>
      <c r="AF83" s="5975"/>
      <c r="AG83" s="5975"/>
      <c r="AH83" s="5975"/>
      <c r="AI83" s="5975"/>
      <c r="AJ83" s="5975"/>
      <c r="AK83" s="5975"/>
      <c r="AL83" s="5975"/>
      <c r="AM83" s="5975"/>
      <c r="AN83" s="5975"/>
      <c r="AO83" s="5976"/>
      <c r="AP83" s="5976"/>
      <c r="AQ83" s="4264"/>
      <c r="AR83" s="4264"/>
      <c r="AS83" s="4264"/>
      <c r="AT83" s="4264"/>
      <c r="AU83" s="4264"/>
      <c r="AV83" s="4264"/>
      <c r="AW83" s="4264"/>
      <c r="AX83" s="4264"/>
      <c r="AY83" s="4264"/>
      <c r="AZ83" s="4264"/>
      <c r="BA83" s="4264"/>
      <c r="BB83" s="4264"/>
      <c r="BX83" s="4259"/>
    </row>
    <row r="84" spans="1:76" ht="16.350000000000001" customHeight="1" x14ac:dyDescent="0.25">
      <c r="A84" s="7258" t="s">
        <v>4686</v>
      </c>
      <c r="B84" s="6039" t="s">
        <v>1557</v>
      </c>
      <c r="C84" s="6040" t="s">
        <v>5369</v>
      </c>
      <c r="D84" s="6041" t="s">
        <v>5370</v>
      </c>
      <c r="E84" s="6040" t="s">
        <v>5371</v>
      </c>
      <c r="F84" s="6042" t="s">
        <v>5372</v>
      </c>
      <c r="G84" s="6043" t="s">
        <v>5373</v>
      </c>
      <c r="H84" s="6041" t="s">
        <v>5374</v>
      </c>
      <c r="I84" s="6043" t="s">
        <v>5375</v>
      </c>
      <c r="J84" s="6041" t="s">
        <v>5376</v>
      </c>
      <c r="K84" s="5722"/>
      <c r="L84" s="5975"/>
      <c r="M84" s="5975"/>
      <c r="N84" s="5975"/>
      <c r="O84" s="5975"/>
      <c r="P84" s="5975"/>
      <c r="Q84" s="5975"/>
      <c r="R84" s="5975"/>
      <c r="S84" s="5975"/>
      <c r="T84" s="5975"/>
      <c r="U84" s="5975"/>
      <c r="V84" s="5975"/>
      <c r="W84" s="5975"/>
      <c r="X84" s="6028"/>
      <c r="Y84" s="6029"/>
      <c r="Z84" s="6029"/>
      <c r="AA84" s="6029"/>
      <c r="AB84" s="6029"/>
      <c r="AC84" s="6029"/>
      <c r="AD84" s="5975"/>
      <c r="AE84" s="5975"/>
      <c r="AF84" s="5975"/>
      <c r="AG84" s="5975"/>
      <c r="AH84" s="5975"/>
      <c r="AI84" s="5975"/>
      <c r="AJ84" s="5975"/>
      <c r="AK84" s="5975"/>
      <c r="AL84" s="5975"/>
      <c r="AM84" s="5975"/>
      <c r="AN84" s="5975"/>
      <c r="AO84" s="5976"/>
      <c r="AP84" s="5976"/>
      <c r="AQ84" s="4264"/>
      <c r="AR84" s="4264"/>
      <c r="AS84" s="4264"/>
      <c r="AT84" s="4264"/>
      <c r="AU84" s="4264"/>
      <c r="AV84" s="4264"/>
      <c r="AW84" s="4264"/>
      <c r="AX84" s="4264"/>
      <c r="AY84" s="4264"/>
      <c r="AZ84" s="4264"/>
      <c r="BA84" s="4264"/>
      <c r="BB84" s="4264"/>
      <c r="BX84" s="4259"/>
    </row>
    <row r="85" spans="1:76" ht="16.350000000000001" customHeight="1" x14ac:dyDescent="0.25">
      <c r="A85" s="7258" t="s">
        <v>4687</v>
      </c>
      <c r="B85" s="4477" t="s">
        <v>1556</v>
      </c>
      <c r="C85" s="4387" t="s">
        <v>5369</v>
      </c>
      <c r="D85" s="6044" t="s">
        <v>5370</v>
      </c>
      <c r="E85" s="4387" t="s">
        <v>5371</v>
      </c>
      <c r="F85" s="6045" t="s">
        <v>5372</v>
      </c>
      <c r="G85" s="4389" t="s">
        <v>5373</v>
      </c>
      <c r="H85" s="6044" t="s">
        <v>5374</v>
      </c>
      <c r="I85" s="4389" t="s">
        <v>5375</v>
      </c>
      <c r="J85" s="6044" t="s">
        <v>5376</v>
      </c>
      <c r="K85" s="5722"/>
      <c r="L85" s="5975"/>
      <c r="M85" s="5975"/>
      <c r="N85" s="5975"/>
      <c r="O85" s="5975"/>
      <c r="P85" s="5975"/>
      <c r="Q85" s="5975"/>
      <c r="R85" s="5975"/>
      <c r="S85" s="5975"/>
      <c r="T85" s="5975"/>
      <c r="U85" s="5975"/>
      <c r="V85" s="5975"/>
      <c r="W85" s="5975"/>
      <c r="X85" s="6028"/>
      <c r="Y85" s="6029"/>
      <c r="Z85" s="6029"/>
      <c r="AA85" s="6029"/>
      <c r="AB85" s="6029"/>
      <c r="AC85" s="6029"/>
      <c r="AD85" s="5975"/>
      <c r="AE85" s="5975"/>
      <c r="AF85" s="5975"/>
      <c r="AG85" s="5975"/>
      <c r="AH85" s="5975"/>
      <c r="AI85" s="5975"/>
      <c r="AJ85" s="5975"/>
      <c r="AK85" s="5975"/>
      <c r="AL85" s="5975"/>
      <c r="AM85" s="5975"/>
      <c r="AN85" s="5975"/>
      <c r="AO85" s="5976"/>
      <c r="AP85" s="5976"/>
      <c r="AQ85" s="4264"/>
      <c r="AR85" s="4264"/>
      <c r="AS85" s="4264"/>
      <c r="AT85" s="4264"/>
      <c r="AU85" s="4264"/>
      <c r="AV85" s="4264"/>
      <c r="AW85" s="4264"/>
      <c r="AX85" s="4264"/>
      <c r="AY85" s="4264"/>
      <c r="AZ85" s="4264"/>
      <c r="BA85" s="4264"/>
      <c r="BB85" s="4264"/>
      <c r="BX85" s="4259"/>
    </row>
    <row r="86" spans="1:76" ht="31.35" customHeight="1" x14ac:dyDescent="0.25">
      <c r="A86" s="7280"/>
      <c r="B86" s="4469" t="s">
        <v>1555</v>
      </c>
      <c r="C86" s="6046"/>
      <c r="D86" s="6046"/>
      <c r="E86" s="6046"/>
      <c r="F86" s="4471"/>
      <c r="G86" s="4471"/>
      <c r="H86" s="4471"/>
      <c r="I86" s="4471"/>
      <c r="J86" s="4471"/>
      <c r="K86" s="4471"/>
      <c r="L86" s="6047"/>
      <c r="M86" s="4471"/>
      <c r="N86" s="5997"/>
      <c r="O86" s="5997"/>
      <c r="P86" s="5975"/>
      <c r="Q86" s="5975"/>
      <c r="R86" s="5975"/>
      <c r="S86" s="5975"/>
      <c r="T86" s="5975"/>
      <c r="U86" s="5975"/>
      <c r="V86" s="5975"/>
      <c r="W86" s="6028"/>
      <c r="X86" s="6048"/>
      <c r="Y86" s="6049"/>
      <c r="Z86" s="6049"/>
      <c r="AA86" s="6049"/>
      <c r="AB86" s="6049"/>
      <c r="AC86" s="6049"/>
      <c r="AD86" s="6049"/>
      <c r="AE86" s="5975"/>
      <c r="AF86" s="5975"/>
      <c r="AG86" s="5975"/>
      <c r="AH86" s="5975"/>
      <c r="AI86" s="6049"/>
      <c r="AJ86" s="6049"/>
      <c r="AK86" s="6049"/>
      <c r="AL86" s="6049"/>
      <c r="AM86" s="5975"/>
      <c r="AN86" s="5975"/>
      <c r="AO86" s="5975"/>
      <c r="AP86" s="5975"/>
      <c r="AQ86" s="5975"/>
    </row>
    <row r="87" spans="1:76" ht="24.6" customHeight="1" x14ac:dyDescent="0.3">
      <c r="A87" s="7280"/>
      <c r="B87" s="9445" t="s">
        <v>1236</v>
      </c>
      <c r="C87" s="9445" t="s">
        <v>1554</v>
      </c>
      <c r="D87" s="9492" t="s">
        <v>1553</v>
      </c>
      <c r="E87" s="9439" t="s">
        <v>1552</v>
      </c>
      <c r="F87" s="6050"/>
      <c r="G87" s="6051"/>
      <c r="H87" s="6052"/>
      <c r="I87" s="6052"/>
      <c r="J87" s="5975"/>
      <c r="K87" s="5975"/>
      <c r="L87" s="5975"/>
      <c r="M87" s="5975"/>
      <c r="N87" s="5975"/>
      <c r="O87" s="5975"/>
      <c r="P87" s="5975"/>
      <c r="Q87" s="5975"/>
      <c r="R87" s="5998"/>
      <c r="S87" s="5975"/>
      <c r="T87" s="5975"/>
      <c r="U87" s="5975"/>
      <c r="V87" s="4470"/>
      <c r="W87" s="6053"/>
      <c r="X87" s="6053"/>
      <c r="Y87" s="6054"/>
      <c r="Z87" s="6054"/>
      <c r="AA87" s="6055"/>
      <c r="AB87" s="6055"/>
      <c r="AC87" s="6055"/>
      <c r="AD87" s="5975"/>
      <c r="AE87" s="5975"/>
      <c r="AF87" s="5975"/>
      <c r="AG87" s="5975"/>
      <c r="AH87" s="4470"/>
      <c r="AI87" s="6053"/>
      <c r="AJ87" s="6053"/>
      <c r="AK87" s="6053"/>
      <c r="AL87" s="6056"/>
    </row>
    <row r="88" spans="1:76" ht="24.6" customHeight="1" x14ac:dyDescent="0.3">
      <c r="A88" s="7280"/>
      <c r="B88" s="9446"/>
      <c r="C88" s="9446"/>
      <c r="D88" s="9493"/>
      <c r="E88" s="9442"/>
      <c r="F88" s="3940"/>
      <c r="G88" s="5975"/>
      <c r="H88" s="5975"/>
      <c r="I88" s="6057"/>
      <c r="J88" s="6027"/>
      <c r="K88" s="6027"/>
      <c r="L88" s="5975"/>
      <c r="M88" s="5975"/>
      <c r="N88" s="5975"/>
      <c r="O88" s="5975"/>
      <c r="P88" s="5975"/>
      <c r="Q88" s="5975"/>
      <c r="R88" s="5975"/>
      <c r="S88" s="5975"/>
      <c r="T88" s="5998"/>
      <c r="U88" s="5975"/>
      <c r="V88" s="5975"/>
      <c r="W88" s="6049"/>
      <c r="X88" s="6053"/>
      <c r="Y88" s="6053"/>
      <c r="Z88" s="6053"/>
      <c r="AA88" s="6053"/>
      <c r="AB88" s="6053"/>
      <c r="AC88" s="6049"/>
      <c r="AD88" s="5975"/>
      <c r="AE88" s="5975"/>
      <c r="AF88" s="5975"/>
      <c r="AG88" s="5975"/>
      <c r="AH88" s="5975"/>
      <c r="AI88" s="6049"/>
      <c r="AJ88" s="6053"/>
      <c r="AK88" s="6053"/>
      <c r="AL88" s="6056"/>
    </row>
    <row r="89" spans="1:76" ht="16.350000000000001" customHeight="1" x14ac:dyDescent="0.3">
      <c r="A89" s="7258" t="s">
        <v>4688</v>
      </c>
      <c r="B89" s="6058" t="s">
        <v>1551</v>
      </c>
      <c r="C89" s="6059" t="s">
        <v>5369</v>
      </c>
      <c r="D89" s="6060" t="s">
        <v>5370</v>
      </c>
      <c r="E89" s="6061" t="s">
        <v>5371</v>
      </c>
      <c r="F89" s="3940"/>
      <c r="G89" s="5975"/>
      <c r="H89" s="5975"/>
      <c r="I89" s="6057"/>
      <c r="J89" s="6027"/>
      <c r="K89" s="6027"/>
      <c r="L89" s="5975"/>
      <c r="M89" s="5975"/>
      <c r="N89" s="5975"/>
      <c r="O89" s="5975"/>
      <c r="P89" s="5975"/>
      <c r="Q89" s="5975"/>
      <c r="R89" s="5975"/>
      <c r="S89" s="5975"/>
      <c r="T89" s="5998"/>
      <c r="U89" s="5975"/>
      <c r="V89" s="5975"/>
      <c r="W89" s="6049"/>
      <c r="X89" s="6053"/>
      <c r="Y89" s="6053"/>
      <c r="Z89" s="6053"/>
      <c r="AA89" s="6053"/>
      <c r="AB89" s="6053"/>
      <c r="AC89" s="6049"/>
      <c r="AD89" s="5975"/>
      <c r="AE89" s="5975"/>
      <c r="AF89" s="5975"/>
      <c r="AG89" s="5975"/>
      <c r="AH89" s="5975"/>
      <c r="AI89" s="6049"/>
      <c r="AJ89" s="6053"/>
      <c r="AK89" s="6053"/>
      <c r="AL89" s="6056"/>
    </row>
    <row r="90" spans="1:76" ht="27.75" customHeight="1" x14ac:dyDescent="0.3">
      <c r="A90" s="7263" t="s">
        <v>4689</v>
      </c>
      <c r="B90" s="6039" t="s">
        <v>1550</v>
      </c>
      <c r="C90" s="6062" t="s">
        <v>5369</v>
      </c>
      <c r="D90" s="6063" t="s">
        <v>5370</v>
      </c>
      <c r="E90" s="6064" t="s">
        <v>5371</v>
      </c>
      <c r="F90" s="3940"/>
      <c r="G90" s="5975"/>
      <c r="H90" s="5975"/>
      <c r="I90" s="6057"/>
      <c r="J90" s="6027"/>
      <c r="K90" s="6027"/>
      <c r="L90" s="5975"/>
      <c r="M90" s="5975"/>
      <c r="N90" s="5975"/>
      <c r="O90" s="5975"/>
      <c r="P90" s="5975"/>
      <c r="Q90" s="5975"/>
      <c r="R90" s="5975"/>
      <c r="S90" s="5975"/>
      <c r="T90" s="5998"/>
      <c r="U90" s="5975"/>
      <c r="V90" s="5975"/>
      <c r="W90" s="6049"/>
      <c r="X90" s="6053"/>
      <c r="Y90" s="6053"/>
      <c r="Z90" s="6053"/>
      <c r="AA90" s="6053"/>
      <c r="AB90" s="6053"/>
      <c r="AC90" s="6049"/>
      <c r="AD90" s="5975"/>
      <c r="AE90" s="5975"/>
      <c r="AF90" s="5975"/>
      <c r="AG90" s="5975"/>
      <c r="AH90" s="5975"/>
      <c r="AI90" s="6049"/>
      <c r="AJ90" s="6053"/>
      <c r="AK90" s="6053"/>
      <c r="AL90" s="6056"/>
    </row>
    <row r="91" spans="1:76" ht="27.75" customHeight="1" x14ac:dyDescent="0.3">
      <c r="A91" s="7263" t="s">
        <v>4690</v>
      </c>
      <c r="B91" s="6039" t="s">
        <v>1549</v>
      </c>
      <c r="C91" s="6062" t="s">
        <v>5369</v>
      </c>
      <c r="D91" s="6063" t="s">
        <v>5370</v>
      </c>
      <c r="E91" s="6064" t="s">
        <v>5371</v>
      </c>
      <c r="F91" s="3940"/>
      <c r="G91" s="5975"/>
      <c r="H91" s="5975"/>
      <c r="I91" s="6057"/>
      <c r="J91" s="6027"/>
      <c r="K91" s="6027"/>
      <c r="L91" s="5975"/>
      <c r="M91" s="5975"/>
      <c r="N91" s="5975"/>
      <c r="O91" s="5975"/>
      <c r="P91" s="5975"/>
      <c r="Q91" s="5975"/>
      <c r="R91" s="5975"/>
      <c r="S91" s="5975"/>
      <c r="T91" s="5998"/>
      <c r="U91" s="5975"/>
      <c r="V91" s="5975"/>
      <c r="W91" s="6049"/>
      <c r="X91" s="6053"/>
      <c r="Y91" s="6053"/>
      <c r="Z91" s="6053"/>
      <c r="AA91" s="6053"/>
      <c r="AB91" s="6053"/>
      <c r="AC91" s="6049"/>
      <c r="AD91" s="5975"/>
      <c r="AE91" s="5975"/>
      <c r="AF91" s="5975"/>
      <c r="AG91" s="5975"/>
      <c r="AH91" s="5975"/>
      <c r="AI91" s="6049"/>
      <c r="AJ91" s="6053"/>
      <c r="AK91" s="6053"/>
      <c r="AL91" s="6056"/>
    </row>
    <row r="92" spans="1:76" ht="18" customHeight="1" x14ac:dyDescent="0.3">
      <c r="A92" s="7263" t="s">
        <v>4691</v>
      </c>
      <c r="B92" s="6065" t="s">
        <v>1548</v>
      </c>
      <c r="C92" s="6062" t="s">
        <v>5369</v>
      </c>
      <c r="D92" s="6063" t="s">
        <v>5370</v>
      </c>
      <c r="E92" s="6064" t="s">
        <v>5371</v>
      </c>
      <c r="F92" s="3940"/>
      <c r="G92" s="5975"/>
      <c r="H92" s="5975"/>
      <c r="I92" s="6057"/>
      <c r="J92" s="6027"/>
      <c r="K92" s="6027"/>
      <c r="L92" s="5975"/>
      <c r="M92" s="5975"/>
      <c r="N92" s="5975"/>
      <c r="O92" s="5975"/>
      <c r="P92" s="5975"/>
      <c r="Q92" s="5975"/>
      <c r="R92" s="5975"/>
      <c r="S92" s="5975"/>
      <c r="T92" s="5998"/>
      <c r="U92" s="5975"/>
      <c r="V92" s="5975"/>
      <c r="W92" s="6049"/>
      <c r="X92" s="6053"/>
      <c r="Y92" s="6053"/>
      <c r="Z92" s="6053"/>
      <c r="AA92" s="6053"/>
      <c r="AB92" s="6053"/>
      <c r="AC92" s="6049"/>
      <c r="AD92" s="5975"/>
      <c r="AE92" s="5975"/>
      <c r="AF92" s="5975"/>
      <c r="AG92" s="5975"/>
      <c r="AH92" s="5975"/>
      <c r="AI92" s="6049"/>
      <c r="AJ92" s="6053"/>
      <c r="AK92" s="6053"/>
      <c r="AL92" s="6056"/>
    </row>
    <row r="93" spans="1:76" ht="27.75" customHeight="1" x14ac:dyDescent="0.3">
      <c r="A93" s="7263" t="s">
        <v>4692</v>
      </c>
      <c r="B93" s="6066" t="s">
        <v>1547</v>
      </c>
      <c r="C93" s="6062" t="s">
        <v>5369</v>
      </c>
      <c r="D93" s="6063" t="s">
        <v>5370</v>
      </c>
      <c r="E93" s="6064" t="s">
        <v>5371</v>
      </c>
      <c r="F93" s="3940"/>
      <c r="G93" s="5975"/>
      <c r="H93" s="5975"/>
      <c r="I93" s="6057"/>
      <c r="J93" s="6027"/>
      <c r="K93" s="6027"/>
      <c r="L93" s="5975"/>
      <c r="M93" s="5975"/>
      <c r="N93" s="5975"/>
      <c r="O93" s="5975"/>
      <c r="P93" s="5975"/>
      <c r="Q93" s="5975"/>
      <c r="R93" s="5975"/>
      <c r="S93" s="5975"/>
      <c r="T93" s="5998"/>
      <c r="U93" s="5975"/>
      <c r="V93" s="5975"/>
      <c r="W93" s="6049"/>
      <c r="X93" s="6053"/>
      <c r="Y93" s="6053"/>
      <c r="Z93" s="6053"/>
      <c r="AA93" s="6053"/>
      <c r="AB93" s="6053"/>
      <c r="AC93" s="6049"/>
      <c r="AD93" s="5975"/>
      <c r="AE93" s="5975"/>
      <c r="AF93" s="5975"/>
      <c r="AG93" s="5975"/>
      <c r="AH93" s="5975"/>
      <c r="AI93" s="6049"/>
      <c r="AJ93" s="6053"/>
      <c r="AK93" s="6053"/>
      <c r="AL93" s="6056"/>
    </row>
    <row r="94" spans="1:76" ht="27.75" customHeight="1" x14ac:dyDescent="0.3">
      <c r="A94" s="7263" t="s">
        <v>4693</v>
      </c>
      <c r="B94" s="6066" t="s">
        <v>1546</v>
      </c>
      <c r="C94" s="6067" t="s">
        <v>5369</v>
      </c>
      <c r="D94" s="6068" t="s">
        <v>5370</v>
      </c>
      <c r="E94" s="4317" t="s">
        <v>5371</v>
      </c>
      <c r="F94" s="3940"/>
      <c r="G94" s="5975"/>
      <c r="H94" s="5975"/>
      <c r="I94" s="6057"/>
      <c r="J94" s="6027"/>
      <c r="K94" s="6027"/>
      <c r="L94" s="5975"/>
      <c r="M94" s="5975"/>
      <c r="N94" s="5975"/>
      <c r="O94" s="5975"/>
      <c r="P94" s="5975"/>
      <c r="Q94" s="5975"/>
      <c r="R94" s="5975"/>
      <c r="S94" s="5975"/>
      <c r="T94" s="5998"/>
      <c r="U94" s="5975"/>
      <c r="V94" s="5975"/>
      <c r="W94" s="6049"/>
      <c r="X94" s="6053"/>
      <c r="Y94" s="6053"/>
      <c r="Z94" s="6053"/>
      <c r="AA94" s="6053"/>
      <c r="AB94" s="6053"/>
      <c r="AC94" s="6049"/>
      <c r="AD94" s="5975"/>
      <c r="AE94" s="5975"/>
      <c r="AF94" s="5975"/>
      <c r="AG94" s="5975"/>
      <c r="AH94" s="5975"/>
      <c r="AI94" s="6049"/>
      <c r="AJ94" s="6053"/>
      <c r="AK94" s="6069"/>
      <c r="AL94" s="6070"/>
    </row>
    <row r="95" spans="1:76" ht="27.75" customHeight="1" x14ac:dyDescent="0.3">
      <c r="A95" s="7263" t="s">
        <v>4694</v>
      </c>
      <c r="B95" s="6071" t="s">
        <v>1545</v>
      </c>
      <c r="C95" s="6072" t="s">
        <v>5369</v>
      </c>
      <c r="D95" s="6073" t="s">
        <v>5370</v>
      </c>
      <c r="E95" s="6074" t="s">
        <v>5371</v>
      </c>
      <c r="F95" s="3940"/>
      <c r="G95" s="5975"/>
      <c r="H95" s="5975"/>
      <c r="I95" s="6057"/>
      <c r="J95" s="6027"/>
      <c r="K95" s="6027"/>
      <c r="L95" s="5975"/>
      <c r="M95" s="5975"/>
      <c r="N95" s="5975"/>
      <c r="O95" s="5975"/>
      <c r="P95" s="5975"/>
      <c r="Q95" s="5975"/>
      <c r="R95" s="5975"/>
      <c r="S95" s="5975"/>
      <c r="T95" s="5998"/>
      <c r="U95" s="5975"/>
      <c r="V95" s="5975"/>
      <c r="W95" s="6049"/>
      <c r="X95" s="6053"/>
      <c r="Y95" s="6053"/>
      <c r="Z95" s="6053"/>
      <c r="AA95" s="6053"/>
      <c r="AB95" s="6053"/>
      <c r="AC95" s="6049"/>
      <c r="AD95" s="5975"/>
      <c r="AE95" s="5975"/>
      <c r="AF95" s="5975"/>
      <c r="AG95" s="5975"/>
      <c r="AH95" s="5975"/>
      <c r="AI95" s="6049"/>
      <c r="AJ95" s="6075"/>
      <c r="AK95" s="6053"/>
      <c r="AL95" s="6056"/>
      <c r="AM95" s="6056"/>
      <c r="AN95" s="6056"/>
      <c r="AO95" s="6056"/>
      <c r="AP95" s="6056"/>
      <c r="AQ95" s="6056"/>
      <c r="AR95" s="6056"/>
    </row>
    <row r="96" spans="1:76" ht="31.35" customHeight="1" x14ac:dyDescent="0.3">
      <c r="A96" s="7280"/>
      <c r="B96" s="6076" t="s">
        <v>1544</v>
      </c>
      <c r="C96" s="6027"/>
      <c r="D96" s="6027"/>
      <c r="E96" s="6027"/>
      <c r="F96" s="4267"/>
      <c r="G96" s="6027"/>
      <c r="H96" s="6027"/>
      <c r="I96" s="5975"/>
      <c r="J96" s="5975"/>
      <c r="K96" s="5975"/>
      <c r="L96" s="6057"/>
      <c r="M96" s="5975"/>
      <c r="N96" s="5975"/>
      <c r="O96" s="5975"/>
      <c r="P96" s="5975"/>
      <c r="Q96" s="5975"/>
      <c r="R96" s="5975"/>
      <c r="S96" s="5975"/>
      <c r="T96" s="5975"/>
      <c r="U96" s="5975"/>
      <c r="V96" s="5975"/>
      <c r="W96" s="6028"/>
      <c r="X96" s="6049"/>
      <c r="Y96" s="6049"/>
      <c r="Z96" s="6049"/>
      <c r="AA96" s="6049"/>
      <c r="AB96" s="6049"/>
      <c r="AC96" s="6049"/>
      <c r="AD96" s="5975"/>
      <c r="AE96" s="5975"/>
      <c r="AF96" s="5975"/>
      <c r="AG96" s="5975"/>
      <c r="AH96" s="5975"/>
      <c r="AI96" s="5975"/>
      <c r="AJ96" s="5975"/>
      <c r="AK96" s="6049"/>
      <c r="AL96" s="6049"/>
      <c r="AM96" s="6049"/>
      <c r="AN96" s="6049"/>
      <c r="AO96" s="6049"/>
      <c r="AP96" s="6049"/>
      <c r="AQ96" s="6049"/>
      <c r="AR96" s="6056"/>
    </row>
    <row r="97" spans="1:108" ht="16.350000000000001" customHeight="1" x14ac:dyDescent="0.3">
      <c r="A97" s="7280"/>
      <c r="B97" s="9445" t="s">
        <v>1543</v>
      </c>
      <c r="C97" s="9494" t="s">
        <v>2670</v>
      </c>
      <c r="D97" s="9494" t="s">
        <v>2671</v>
      </c>
      <c r="E97" s="9445" t="s">
        <v>1542</v>
      </c>
      <c r="F97" s="9474" t="s">
        <v>1541</v>
      </c>
      <c r="G97" s="9409"/>
      <c r="H97" s="3940"/>
      <c r="I97" s="5975"/>
      <c r="J97" s="5975"/>
      <c r="K97" s="5975"/>
      <c r="L97" s="5975"/>
      <c r="M97" s="6057"/>
      <c r="N97" s="6077"/>
      <c r="O97" s="6027"/>
      <c r="P97" s="5975"/>
      <c r="Q97" s="5975"/>
      <c r="R97" s="5975"/>
      <c r="S97" s="5975"/>
      <c r="T97" s="5975"/>
      <c r="U97" s="5975"/>
      <c r="V97" s="5975"/>
      <c r="W97" s="5975"/>
      <c r="X97" s="5998"/>
      <c r="Y97" s="6049"/>
      <c r="Z97" s="6049"/>
      <c r="AA97" s="6049"/>
      <c r="AB97" s="6029"/>
      <c r="AC97" s="6029"/>
      <c r="AD97" s="6029"/>
      <c r="AE97" s="6029"/>
      <c r="AF97" s="6078"/>
      <c r="AG97" s="6049"/>
      <c r="AH97" s="5975"/>
      <c r="AI97" s="5975"/>
      <c r="AJ97" s="5975"/>
      <c r="AK97" s="5975"/>
      <c r="AL97" s="5975"/>
      <c r="AM97" s="6049"/>
      <c r="AN97" s="6029"/>
      <c r="AO97" s="6029"/>
      <c r="AP97" s="6029"/>
      <c r="AQ97" s="6029"/>
      <c r="AR97" s="6029"/>
      <c r="AS97" s="6029"/>
      <c r="AT97" s="6056"/>
      <c r="BY97" s="4258"/>
      <c r="BZ97" s="4258"/>
    </row>
    <row r="98" spans="1:108" ht="27.75" customHeight="1" x14ac:dyDescent="0.3">
      <c r="A98" s="7280"/>
      <c r="B98" s="9446"/>
      <c r="C98" s="9495"/>
      <c r="D98" s="9495"/>
      <c r="E98" s="9446"/>
      <c r="F98" s="6030" t="s">
        <v>1540</v>
      </c>
      <c r="G98" s="6079" t="s">
        <v>1539</v>
      </c>
      <c r="H98" s="3940"/>
      <c r="I98" s="5975"/>
      <c r="J98" s="5975"/>
      <c r="K98" s="5975"/>
      <c r="L98" s="5975"/>
      <c r="M98" s="6057"/>
      <c r="N98" s="6077"/>
      <c r="O98" s="6027"/>
      <c r="P98" s="5975"/>
      <c r="Q98" s="5975"/>
      <c r="R98" s="5975"/>
      <c r="S98" s="5975"/>
      <c r="T98" s="5975"/>
      <c r="U98" s="5975"/>
      <c r="V98" s="5975"/>
      <c r="W98" s="5975"/>
      <c r="X98" s="5998"/>
      <c r="Y98" s="6049"/>
      <c r="Z98" s="6049"/>
      <c r="AA98" s="6049"/>
      <c r="AB98" s="6029"/>
      <c r="AC98" s="6029"/>
      <c r="AD98" s="6029"/>
      <c r="AE98" s="6029"/>
      <c r="AF98" s="6078"/>
      <c r="AG98" s="6049"/>
      <c r="AH98" s="5975"/>
      <c r="AI98" s="5975"/>
      <c r="AJ98" s="5975"/>
      <c r="AK98" s="5975"/>
      <c r="AL98" s="5975"/>
      <c r="AM98" s="6049"/>
      <c r="AN98" s="6029"/>
      <c r="AO98" s="6029"/>
      <c r="AP98" s="6029"/>
      <c r="AQ98" s="6029"/>
      <c r="AR98" s="6029"/>
      <c r="AS98" s="6029"/>
      <c r="AT98" s="6056"/>
      <c r="BY98" s="4258"/>
      <c r="BZ98" s="4258"/>
    </row>
    <row r="99" spans="1:108" ht="16.350000000000001" customHeight="1" x14ac:dyDescent="0.3">
      <c r="A99" s="7258" t="s">
        <v>4695</v>
      </c>
      <c r="B99" s="6003" t="s">
        <v>1538</v>
      </c>
      <c r="C99" s="4460" t="s">
        <v>5369</v>
      </c>
      <c r="D99" s="4460" t="s">
        <v>5370</v>
      </c>
      <c r="E99" s="4455" t="s">
        <v>5371</v>
      </c>
      <c r="F99" s="4361" t="s">
        <v>5372</v>
      </c>
      <c r="G99" s="4476" t="s">
        <v>5373</v>
      </c>
      <c r="H99" s="3940"/>
      <c r="I99" s="5975"/>
      <c r="J99" s="5975"/>
      <c r="K99" s="5975"/>
      <c r="L99" s="5975"/>
      <c r="M99" s="6057"/>
      <c r="N99" s="6080"/>
      <c r="O99" s="6027"/>
      <c r="P99" s="5975"/>
      <c r="Q99" s="5975"/>
      <c r="R99" s="5975"/>
      <c r="S99" s="5975"/>
      <c r="T99" s="5975"/>
      <c r="U99" s="5975"/>
      <c r="V99" s="5975"/>
      <c r="W99" s="5975"/>
      <c r="X99" s="5998"/>
      <c r="Y99" s="6049"/>
      <c r="Z99" s="6049"/>
      <c r="AA99" s="6049"/>
      <c r="AB99" s="6029"/>
      <c r="AC99" s="6029"/>
      <c r="AD99" s="6029"/>
      <c r="AE99" s="6029"/>
      <c r="AF99" s="6078"/>
      <c r="AG99" s="6049"/>
      <c r="AH99" s="5975"/>
      <c r="AI99" s="5975"/>
      <c r="AJ99" s="5975"/>
      <c r="AK99" s="5975"/>
      <c r="AL99" s="5975"/>
      <c r="AM99" s="6049"/>
      <c r="AN99" s="6029"/>
      <c r="AO99" s="6029"/>
      <c r="AP99" s="6029"/>
      <c r="AQ99" s="6029"/>
      <c r="AR99" s="6029"/>
      <c r="AS99" s="6029"/>
      <c r="AT99" s="6056"/>
      <c r="BY99" s="4258"/>
      <c r="BZ99" s="4258"/>
    </row>
    <row r="100" spans="1:108" ht="16.350000000000001" customHeight="1" x14ac:dyDescent="0.3">
      <c r="A100" s="7258" t="s">
        <v>4696</v>
      </c>
      <c r="B100" s="6006" t="s">
        <v>1537</v>
      </c>
      <c r="C100" s="4460" t="s">
        <v>5369</v>
      </c>
      <c r="D100" s="4460" t="s">
        <v>5370</v>
      </c>
      <c r="E100" s="4460" t="s">
        <v>5371</v>
      </c>
      <c r="F100" s="4369" t="s">
        <v>5372</v>
      </c>
      <c r="G100" s="5330" t="s">
        <v>5373</v>
      </c>
      <c r="H100" s="3940"/>
      <c r="I100" s="5975"/>
      <c r="J100" s="5975"/>
      <c r="K100" s="5975"/>
      <c r="L100" s="5975"/>
      <c r="M100" s="6057"/>
      <c r="N100" s="6080"/>
      <c r="O100" s="6027"/>
      <c r="P100" s="5975"/>
      <c r="Q100" s="5975"/>
      <c r="R100" s="5975"/>
      <c r="S100" s="5975"/>
      <c r="T100" s="5975"/>
      <c r="U100" s="5975"/>
      <c r="V100" s="5975"/>
      <c r="W100" s="5975"/>
      <c r="X100" s="5998"/>
      <c r="Y100" s="6049"/>
      <c r="Z100" s="6049"/>
      <c r="AA100" s="6049"/>
      <c r="AB100" s="6029"/>
      <c r="AC100" s="6029"/>
      <c r="AD100" s="6029"/>
      <c r="AE100" s="6029"/>
      <c r="AF100" s="6078"/>
      <c r="AG100" s="6049"/>
      <c r="AH100" s="5975"/>
      <c r="AI100" s="5975"/>
      <c r="AJ100" s="5975"/>
      <c r="AK100" s="5975"/>
      <c r="AL100" s="5975"/>
      <c r="AM100" s="6049"/>
      <c r="AN100" s="6029"/>
      <c r="AO100" s="6029"/>
      <c r="AP100" s="6029"/>
      <c r="AQ100" s="6029"/>
      <c r="AR100" s="6029"/>
      <c r="AS100" s="6029"/>
      <c r="AT100" s="6056"/>
      <c r="BY100" s="4258"/>
      <c r="BZ100" s="4258"/>
    </row>
    <row r="101" spans="1:108" ht="16.350000000000001" customHeight="1" x14ac:dyDescent="0.3">
      <c r="A101" s="7258" t="s">
        <v>4697</v>
      </c>
      <c r="B101" s="6006" t="s">
        <v>1536</v>
      </c>
      <c r="C101" s="4460" t="s">
        <v>5369</v>
      </c>
      <c r="D101" s="4460" t="s">
        <v>5370</v>
      </c>
      <c r="E101" s="4460" t="s">
        <v>5371</v>
      </c>
      <c r="F101" s="4369" t="s">
        <v>5372</v>
      </c>
      <c r="G101" s="5330" t="s">
        <v>5373</v>
      </c>
      <c r="H101" s="3940"/>
      <c r="I101" s="5975"/>
      <c r="J101" s="5975"/>
      <c r="K101" s="5975"/>
      <c r="L101" s="5975"/>
      <c r="M101" s="5975"/>
      <c r="N101" s="6081"/>
      <c r="O101" s="6027"/>
      <c r="P101" s="5975"/>
      <c r="Q101" s="5975"/>
      <c r="R101" s="5975"/>
      <c r="S101" s="5975"/>
      <c r="T101" s="5975"/>
      <c r="U101" s="5975"/>
      <c r="V101" s="5975"/>
      <c r="W101" s="5975"/>
      <c r="X101" s="5998"/>
      <c r="Y101" s="6049"/>
      <c r="Z101" s="6049"/>
      <c r="AA101" s="6049"/>
      <c r="AB101" s="6029"/>
      <c r="AC101" s="6029"/>
      <c r="AD101" s="6029"/>
      <c r="AE101" s="6029"/>
      <c r="AF101" s="6078"/>
      <c r="AG101" s="6049"/>
      <c r="AH101" s="5975"/>
      <c r="AI101" s="5975"/>
      <c r="AJ101" s="5975"/>
      <c r="AK101" s="5975"/>
      <c r="AL101" s="5975"/>
      <c r="AM101" s="6049"/>
      <c r="AN101" s="6029"/>
      <c r="AO101" s="6029"/>
      <c r="AP101" s="6029"/>
      <c r="AQ101" s="6029"/>
      <c r="AR101" s="6029"/>
      <c r="AS101" s="6029"/>
      <c r="AT101" s="6056"/>
      <c r="BY101" s="4258"/>
      <c r="BZ101" s="4258"/>
    </row>
    <row r="102" spans="1:108" ht="16.350000000000001" customHeight="1" x14ac:dyDescent="0.3">
      <c r="A102" s="7258" t="s">
        <v>4698</v>
      </c>
      <c r="B102" s="6006" t="s">
        <v>1535</v>
      </c>
      <c r="C102" s="4460" t="s">
        <v>5369</v>
      </c>
      <c r="D102" s="4460" t="s">
        <v>5370</v>
      </c>
      <c r="E102" s="4460" t="s">
        <v>5371</v>
      </c>
      <c r="F102" s="4369" t="s">
        <v>5372</v>
      </c>
      <c r="G102" s="5330" t="s">
        <v>5373</v>
      </c>
      <c r="H102" s="3940"/>
      <c r="I102" s="5975"/>
      <c r="J102" s="5975"/>
      <c r="K102" s="5975"/>
      <c r="L102" s="5975"/>
      <c r="M102" s="5975"/>
      <c r="N102" s="6081"/>
      <c r="O102" s="6027"/>
      <c r="P102" s="5975"/>
      <c r="Q102" s="5975"/>
      <c r="R102" s="5975"/>
      <c r="S102" s="5975"/>
      <c r="T102" s="5975"/>
      <c r="U102" s="5975"/>
      <c r="V102" s="5975"/>
      <c r="W102" s="5975"/>
      <c r="X102" s="5998"/>
      <c r="Y102" s="6049"/>
      <c r="Z102" s="6049"/>
      <c r="AA102" s="6049"/>
      <c r="AB102" s="6029"/>
      <c r="AC102" s="6029"/>
      <c r="AD102" s="6029"/>
      <c r="AE102" s="6029"/>
      <c r="AF102" s="6078"/>
      <c r="AG102" s="6049"/>
      <c r="AH102" s="5975"/>
      <c r="AI102" s="5975"/>
      <c r="AJ102" s="5975"/>
      <c r="AK102" s="5975"/>
      <c r="AL102" s="5975"/>
      <c r="AM102" s="6049"/>
      <c r="AN102" s="6029"/>
      <c r="AO102" s="6029"/>
      <c r="AP102" s="6029"/>
      <c r="AQ102" s="6029"/>
      <c r="AR102" s="6029"/>
      <c r="AS102" s="6029"/>
      <c r="AT102" s="6056"/>
      <c r="BY102" s="4258"/>
      <c r="BZ102" s="4258"/>
    </row>
    <row r="103" spans="1:108" ht="16.350000000000001" customHeight="1" x14ac:dyDescent="0.3">
      <c r="A103" s="7258" t="s">
        <v>4699</v>
      </c>
      <c r="B103" s="6006" t="s">
        <v>1534</v>
      </c>
      <c r="C103" s="4460" t="s">
        <v>5369</v>
      </c>
      <c r="D103" s="4460" t="s">
        <v>5370</v>
      </c>
      <c r="E103" s="4460" t="s">
        <v>5371</v>
      </c>
      <c r="F103" s="4369" t="s">
        <v>5372</v>
      </c>
      <c r="G103" s="5330" t="s">
        <v>5373</v>
      </c>
      <c r="H103" s="3940"/>
      <c r="I103" s="5975"/>
      <c r="J103" s="5975"/>
      <c r="K103" s="5975"/>
      <c r="L103" s="5975"/>
      <c r="M103" s="5975"/>
      <c r="N103" s="6081"/>
      <c r="O103" s="6027"/>
      <c r="P103" s="5975"/>
      <c r="Q103" s="5975"/>
      <c r="R103" s="5975"/>
      <c r="S103" s="5975"/>
      <c r="T103" s="5975"/>
      <c r="U103" s="5975"/>
      <c r="V103" s="5975"/>
      <c r="W103" s="5975"/>
      <c r="X103" s="5998"/>
      <c r="Y103" s="6049"/>
      <c r="Z103" s="6049"/>
      <c r="AA103" s="6049"/>
      <c r="AB103" s="6029"/>
      <c r="AC103" s="6029"/>
      <c r="AD103" s="6029"/>
      <c r="AE103" s="6029"/>
      <c r="AF103" s="6078"/>
      <c r="AG103" s="6049"/>
      <c r="AH103" s="5975"/>
      <c r="AI103" s="5975"/>
      <c r="AJ103" s="5975"/>
      <c r="AK103" s="5975"/>
      <c r="AL103" s="5975"/>
      <c r="AM103" s="6049"/>
      <c r="AN103" s="6029"/>
      <c r="AO103" s="6029"/>
      <c r="AP103" s="6029"/>
      <c r="AQ103" s="6029"/>
      <c r="AR103" s="6029"/>
      <c r="AS103" s="6029"/>
      <c r="AT103" s="6056"/>
      <c r="BY103" s="4258"/>
      <c r="BZ103" s="4258"/>
    </row>
    <row r="104" spans="1:108" ht="16.350000000000001" customHeight="1" x14ac:dyDescent="0.3">
      <c r="A104" s="7280"/>
      <c r="B104" s="6082" t="s">
        <v>24</v>
      </c>
      <c r="C104" s="6083">
        <f>SUM(C99:C103)</f>
        <v>0</v>
      </c>
      <c r="D104" s="6083">
        <f>SUM(D99:D103)</f>
        <v>0</v>
      </c>
      <c r="E104" s="6084">
        <f>SUM(E99:E103)</f>
        <v>0</v>
      </c>
      <c r="F104" s="6085">
        <f>SUM(F99:F103)</f>
        <v>0</v>
      </c>
      <c r="G104" s="6086">
        <f>SUM(G99:G103)</f>
        <v>0</v>
      </c>
      <c r="H104" s="3940"/>
      <c r="I104" s="5975"/>
      <c r="J104" s="5975"/>
      <c r="K104" s="5975"/>
      <c r="L104" s="5975"/>
      <c r="M104" s="5975"/>
      <c r="N104" s="6081"/>
      <c r="O104" s="6027"/>
      <c r="P104" s="5975"/>
      <c r="Q104" s="5975"/>
      <c r="R104" s="5975"/>
      <c r="S104" s="5975"/>
      <c r="T104" s="5975"/>
      <c r="U104" s="5975"/>
      <c r="V104" s="5975"/>
      <c r="W104" s="5975"/>
      <c r="X104" s="5998"/>
      <c r="Y104" s="6049"/>
      <c r="Z104" s="6049"/>
      <c r="AA104" s="6049"/>
      <c r="AB104" s="6029"/>
      <c r="AC104" s="6029"/>
      <c r="AD104" s="6029"/>
      <c r="AE104" s="6029"/>
      <c r="AF104" s="6078"/>
      <c r="AG104" s="6049"/>
      <c r="AH104" s="5975"/>
      <c r="AI104" s="5975"/>
      <c r="AJ104" s="5975"/>
      <c r="AK104" s="5975"/>
      <c r="AL104" s="5975"/>
      <c r="AM104" s="6049"/>
      <c r="AN104" s="6029"/>
      <c r="AO104" s="6029"/>
      <c r="AP104" s="6029"/>
      <c r="AQ104" s="6029"/>
      <c r="AR104" s="6029"/>
      <c r="AS104" s="6029"/>
      <c r="AT104" s="6056"/>
      <c r="BY104" s="4258"/>
      <c r="BZ104" s="4258"/>
    </row>
    <row r="105" spans="1:108" ht="31.35" customHeight="1" x14ac:dyDescent="0.25">
      <c r="A105" s="7280"/>
      <c r="B105" s="6087" t="s">
        <v>1533</v>
      </c>
      <c r="C105" s="4470"/>
      <c r="D105" s="4470"/>
      <c r="E105" s="4470"/>
      <c r="F105" s="6088"/>
      <c r="G105" s="5365"/>
      <c r="H105" s="6089"/>
      <c r="I105" s="6089"/>
      <c r="J105" s="6089"/>
      <c r="K105" s="6089"/>
      <c r="L105" s="6090"/>
      <c r="M105" s="5973"/>
      <c r="N105" s="5973"/>
      <c r="O105" s="5975"/>
      <c r="P105" s="5975"/>
      <c r="Q105" s="5975"/>
      <c r="R105" s="5975"/>
      <c r="S105" s="5975"/>
      <c r="T105" s="5975"/>
      <c r="U105" s="5975"/>
      <c r="V105" s="6028"/>
      <c r="W105" s="6049"/>
      <c r="X105" s="6049"/>
      <c r="Y105" s="6049"/>
      <c r="Z105" s="6049"/>
      <c r="AA105" s="6049"/>
      <c r="AB105" s="6049"/>
      <c r="AC105" s="6091"/>
      <c r="AD105" s="6049"/>
      <c r="AE105" s="5975"/>
      <c r="AF105" s="5975"/>
      <c r="AG105" s="5975"/>
      <c r="AH105" s="5975"/>
      <c r="AI105" s="5975"/>
      <c r="AJ105" s="6049"/>
      <c r="AK105" s="6049"/>
      <c r="AL105" s="6049"/>
      <c r="AM105" s="6049"/>
      <c r="AN105" s="6049"/>
      <c r="AO105" s="6049"/>
      <c r="AP105" s="6049"/>
      <c r="AQ105" s="6056"/>
    </row>
    <row r="106" spans="1:108" ht="16.350000000000001" customHeight="1" x14ac:dyDescent="0.25">
      <c r="A106" s="7280"/>
      <c r="B106" s="9414" t="s">
        <v>41</v>
      </c>
      <c r="C106" s="9172" t="s">
        <v>86</v>
      </c>
      <c r="D106" s="9173"/>
      <c r="E106" s="9174"/>
      <c r="F106" s="9443" t="s">
        <v>709</v>
      </c>
      <c r="G106" s="9397"/>
      <c r="H106" s="9397"/>
      <c r="I106" s="9397"/>
      <c r="J106" s="9397"/>
      <c r="K106" s="9397"/>
      <c r="L106" s="9397"/>
      <c r="M106" s="9397"/>
      <c r="N106" s="9397"/>
      <c r="O106" s="6092"/>
      <c r="P106" s="8636" t="s">
        <v>362</v>
      </c>
      <c r="Q106" s="9174" t="s">
        <v>361</v>
      </c>
      <c r="R106" s="5975"/>
      <c r="S106" s="5975"/>
      <c r="T106" s="5975"/>
      <c r="U106" s="5975"/>
      <c r="V106" s="5975"/>
      <c r="W106" s="5998"/>
      <c r="X106" s="5975"/>
      <c r="Y106" s="5975"/>
      <c r="Z106" s="5975"/>
      <c r="AA106" s="5975"/>
      <c r="AB106" s="5975"/>
      <c r="AC106" s="5975"/>
      <c r="AD106" s="5975"/>
      <c r="AE106" s="5975"/>
      <c r="AF106" s="5975"/>
      <c r="AG106" s="5975"/>
      <c r="AH106" s="5975"/>
      <c r="AI106" s="5975"/>
      <c r="AJ106" s="5975"/>
      <c r="AK106" s="6049"/>
      <c r="AL106" s="6049"/>
      <c r="AM106" s="6049"/>
      <c r="AN106" s="6049"/>
      <c r="AO106" s="6049"/>
      <c r="AP106" s="6049"/>
      <c r="AQ106" s="6049"/>
      <c r="AR106" s="6056"/>
    </row>
    <row r="107" spans="1:108" ht="16.350000000000001" customHeight="1" x14ac:dyDescent="0.25">
      <c r="A107" s="7280"/>
      <c r="B107" s="9418"/>
      <c r="C107" s="9085"/>
      <c r="D107" s="9086"/>
      <c r="E107" s="9087"/>
      <c r="F107" s="9443" t="s">
        <v>399</v>
      </c>
      <c r="G107" s="9444"/>
      <c r="H107" s="9443" t="s">
        <v>54</v>
      </c>
      <c r="I107" s="9444"/>
      <c r="J107" s="9443" t="s">
        <v>79</v>
      </c>
      <c r="K107" s="9444"/>
      <c r="L107" s="9443" t="s">
        <v>80</v>
      </c>
      <c r="M107" s="9444"/>
      <c r="N107" s="9443" t="s">
        <v>81</v>
      </c>
      <c r="O107" s="9398"/>
      <c r="P107" s="9116"/>
      <c r="Q107" s="9182"/>
      <c r="R107" s="5975"/>
      <c r="S107" s="5975"/>
      <c r="T107" s="5975"/>
      <c r="U107" s="5975"/>
      <c r="V107" s="5975"/>
      <c r="W107" s="5975"/>
      <c r="X107" s="5998"/>
      <c r="Y107" s="5975"/>
      <c r="Z107" s="5975"/>
      <c r="AA107" s="5975"/>
      <c r="AB107" s="5975"/>
      <c r="AC107" s="5975"/>
      <c r="AD107" s="5975"/>
      <c r="AE107" s="5975"/>
      <c r="AF107" s="5975"/>
      <c r="AG107" s="5975"/>
      <c r="AH107" s="5975"/>
      <c r="AI107" s="5975"/>
      <c r="AJ107" s="5975"/>
      <c r="AK107" s="6049"/>
      <c r="AL107" s="6049"/>
      <c r="AM107" s="6049"/>
      <c r="AN107" s="6049"/>
      <c r="AO107" s="6049"/>
      <c r="AP107" s="6049"/>
      <c r="AQ107" s="6049"/>
      <c r="AR107" s="6056"/>
    </row>
    <row r="108" spans="1:108" ht="16.350000000000001" customHeight="1" x14ac:dyDescent="0.25">
      <c r="A108" s="7280"/>
      <c r="B108" s="9415"/>
      <c r="C108" s="6093" t="s">
        <v>42</v>
      </c>
      <c r="D108" s="6094" t="s">
        <v>17</v>
      </c>
      <c r="E108" s="6095" t="s">
        <v>18</v>
      </c>
      <c r="F108" s="6096" t="s">
        <v>17</v>
      </c>
      <c r="G108" s="4279" t="s">
        <v>18</v>
      </c>
      <c r="H108" s="6096" t="s">
        <v>17</v>
      </c>
      <c r="I108" s="4279" t="s">
        <v>18</v>
      </c>
      <c r="J108" s="6096" t="s">
        <v>17</v>
      </c>
      <c r="K108" s="4279" t="s">
        <v>18</v>
      </c>
      <c r="L108" s="6096" t="s">
        <v>17</v>
      </c>
      <c r="M108" s="4279" t="s">
        <v>18</v>
      </c>
      <c r="N108" s="6096" t="s">
        <v>17</v>
      </c>
      <c r="O108" s="6097" t="s">
        <v>18</v>
      </c>
      <c r="P108" s="9117"/>
      <c r="Q108" s="9087"/>
      <c r="R108" s="6081"/>
      <c r="S108" s="5975"/>
      <c r="T108" s="5975"/>
      <c r="U108" s="5975"/>
      <c r="V108" s="5975"/>
      <c r="W108" s="5975"/>
      <c r="X108" s="5975"/>
      <c r="Y108" s="5975"/>
      <c r="Z108" s="5975"/>
      <c r="AA108" s="5975"/>
      <c r="AB108" s="5998"/>
      <c r="AC108" s="5975"/>
      <c r="AD108" s="5975"/>
      <c r="AE108" s="5975"/>
      <c r="AF108" s="5975"/>
      <c r="AG108" s="5975"/>
      <c r="AH108" s="5975"/>
      <c r="AI108" s="5975"/>
      <c r="AJ108" s="5975"/>
      <c r="AK108" s="5975"/>
      <c r="AL108" s="5975"/>
      <c r="AM108" s="5975"/>
      <c r="AN108" s="5975"/>
      <c r="AO108" s="5975"/>
      <c r="AP108" s="5975"/>
      <c r="AQ108" s="5975"/>
    </row>
    <row r="109" spans="1:108" ht="16.350000000000001" customHeight="1" x14ac:dyDescent="0.25">
      <c r="A109" s="7258" t="s">
        <v>4700</v>
      </c>
      <c r="B109" s="5890" t="s">
        <v>1532</v>
      </c>
      <c r="C109" s="6098" t="s">
        <v>5369</v>
      </c>
      <c r="D109" s="6099" t="s">
        <v>5370</v>
      </c>
      <c r="E109" s="5845" t="s">
        <v>5371</v>
      </c>
      <c r="F109" s="6100" t="s">
        <v>5372</v>
      </c>
      <c r="G109" s="6101" t="s">
        <v>5373</v>
      </c>
      <c r="H109" s="6100" t="s">
        <v>5374</v>
      </c>
      <c r="I109" s="6101" t="s">
        <v>5375</v>
      </c>
      <c r="J109" s="6100" t="s">
        <v>5376</v>
      </c>
      <c r="K109" s="6102" t="s">
        <v>5377</v>
      </c>
      <c r="L109" s="6100" t="s">
        <v>5378</v>
      </c>
      <c r="M109" s="6102" t="s">
        <v>5379</v>
      </c>
      <c r="N109" s="6103" t="s">
        <v>5380</v>
      </c>
      <c r="O109" s="6104" t="s">
        <v>5381</v>
      </c>
      <c r="P109" s="6101" t="s">
        <v>5382</v>
      </c>
      <c r="Q109" s="6101" t="s">
        <v>5383</v>
      </c>
      <c r="R109" s="5057" t="str">
        <f>CB109&amp;CC109&amp;CD109&amp;CE109</f>
        <v xml:space="preserve">* El número de Personas pertenecientes a Pueblos Originarios NO DEBE ser mayor que el total. * El número de Personas Migrantes NO DEBE ser mayor que el total. </v>
      </c>
      <c r="S109" s="5975"/>
      <c r="T109" s="5975"/>
      <c r="U109" s="5975"/>
      <c r="V109" s="5975"/>
      <c r="W109" s="5975"/>
      <c r="X109" s="5975"/>
      <c r="Y109" s="5975"/>
      <c r="Z109" s="5975"/>
      <c r="AA109" s="5975"/>
      <c r="AB109" s="5998"/>
      <c r="AC109" s="5975"/>
      <c r="AD109" s="5975"/>
      <c r="AE109" s="5975"/>
      <c r="AF109" s="5975"/>
      <c r="AG109" s="5975"/>
      <c r="AH109" s="5975"/>
      <c r="AI109" s="5975"/>
      <c r="AJ109" s="5975"/>
      <c r="AK109" s="5975"/>
      <c r="AL109" s="5975"/>
      <c r="AM109" s="5975"/>
      <c r="AN109" s="5975"/>
      <c r="AO109" s="5975"/>
      <c r="AP109" s="5975"/>
      <c r="CB109" s="4292" t="str">
        <f>IF(AND($C109&lt;&gt;0,P109=""),"* No olvide agregar el campo "&amp;P$106&amp;".","")</f>
        <v/>
      </c>
      <c r="CC109" s="4292" t="str">
        <f>IF(AND($C109&lt;&gt;0,Q109=""),"* No olvide agregar el campo "&amp;Q$106&amp;".","")</f>
        <v/>
      </c>
      <c r="CD109" s="4292" t="str">
        <f>IF(DC109=1,"* El número de Personas pertenecientes a Pueblos Originarios NO DEBE ser mayor que el total. ","")</f>
        <v xml:space="preserve">* El número de Personas pertenecientes a Pueblos Originarios NO DEBE ser mayor que el total. </v>
      </c>
      <c r="CE109" s="4292" t="str">
        <f>IF(DD109=1,"* El número de Personas Migrantes NO DEBE ser mayor que el total. ","")</f>
        <v xml:space="preserve">* El número de Personas Migrantes NO DEBE ser mayor que el total. </v>
      </c>
      <c r="DB109" s="5530"/>
      <c r="DC109" s="5530">
        <f t="shared" ref="DC109:DD111" si="75">IF($C109&lt;P109,1,0)</f>
        <v>1</v>
      </c>
      <c r="DD109" s="5530">
        <f t="shared" si="75"/>
        <v>1</v>
      </c>
    </row>
    <row r="110" spans="1:108" ht="25.95" customHeight="1" x14ac:dyDescent="0.25">
      <c r="A110" s="7293" t="s">
        <v>4701</v>
      </c>
      <c r="B110" s="4437" t="s">
        <v>3366</v>
      </c>
      <c r="C110" s="6105" t="s">
        <v>5369</v>
      </c>
      <c r="D110" s="6106" t="s">
        <v>5370</v>
      </c>
      <c r="E110" s="5710" t="s">
        <v>5371</v>
      </c>
      <c r="F110" s="5065" t="s">
        <v>5372</v>
      </c>
      <c r="G110" s="5067" t="s">
        <v>5373</v>
      </c>
      <c r="H110" s="5065" t="s">
        <v>5374</v>
      </c>
      <c r="I110" s="5067" t="s">
        <v>5375</v>
      </c>
      <c r="J110" s="5065" t="s">
        <v>5376</v>
      </c>
      <c r="K110" s="5067" t="s">
        <v>5377</v>
      </c>
      <c r="L110" s="5065" t="s">
        <v>5378</v>
      </c>
      <c r="M110" s="5067" t="s">
        <v>5379</v>
      </c>
      <c r="N110" s="5069" t="s">
        <v>5380</v>
      </c>
      <c r="O110" s="5550" t="s">
        <v>5381</v>
      </c>
      <c r="P110" s="5067" t="s">
        <v>5382</v>
      </c>
      <c r="Q110" s="5067" t="s">
        <v>5383</v>
      </c>
      <c r="R110" s="5057" t="str">
        <f t="shared" ref="R110:R111" si="76">CB110&amp;CC110&amp;CD110&amp;CE110</f>
        <v xml:space="preserve">* El número de Personas pertenecientes a Pueblos Originarios NO DEBE ser mayor que el total. * El número de Personas Migrantes NO DEBE ser mayor que el total. </v>
      </c>
      <c r="S110" s="5975"/>
      <c r="T110" s="5975"/>
      <c r="U110" s="5975"/>
      <c r="V110" s="5975"/>
      <c r="W110" s="5975"/>
      <c r="X110" s="5975"/>
      <c r="Y110" s="5975"/>
      <c r="Z110" s="5975"/>
      <c r="AA110" s="5975"/>
      <c r="AB110" s="5998"/>
      <c r="AC110" s="5975"/>
      <c r="AD110" s="5975"/>
      <c r="AE110" s="5975"/>
      <c r="AF110" s="5975"/>
      <c r="AG110" s="5975"/>
      <c r="AH110" s="5975"/>
      <c r="AI110" s="5975"/>
      <c r="AJ110" s="5975"/>
      <c r="AK110" s="5975"/>
      <c r="AL110" s="5975"/>
      <c r="AM110" s="5975"/>
      <c r="AN110" s="5975"/>
      <c r="AO110" s="5975"/>
      <c r="AP110" s="5975"/>
      <c r="AQ110" s="5975"/>
      <c r="CB110" s="4292" t="str">
        <f t="shared" ref="CB110:CB111" si="77">IF(AND($C110&lt;&gt;0,P110=""),"* No olvide agregar el campo "&amp;P$106&amp;".","")</f>
        <v/>
      </c>
      <c r="CC110" s="4292" t="str">
        <f t="shared" ref="CC110:CC111" si="78">IF(AND($C110&lt;&gt;0,Q110=""),"* No olvide agregar el campo "&amp;Q$106&amp;".","")</f>
        <v/>
      </c>
      <c r="CD110" s="4292" t="str">
        <f>IF(DC110=1,"* El número de Personas pertenecientes a Pueblos Originarios NO DEBE ser mayor que el total. ","")</f>
        <v xml:space="preserve">* El número de Personas pertenecientes a Pueblos Originarios NO DEBE ser mayor que el total. </v>
      </c>
      <c r="CE110" s="4292" t="str">
        <f>IF(DD110=1,"* El número de Personas Migrantes NO DEBE ser mayor que el total. ","")</f>
        <v xml:space="preserve">* El número de Personas Migrantes NO DEBE ser mayor que el total. </v>
      </c>
      <c r="DB110" s="5530"/>
      <c r="DC110" s="5530">
        <f t="shared" si="75"/>
        <v>1</v>
      </c>
      <c r="DD110" s="5530">
        <f t="shared" si="75"/>
        <v>1</v>
      </c>
    </row>
    <row r="111" spans="1:108" ht="25.35" customHeight="1" x14ac:dyDescent="0.25">
      <c r="A111" s="7258" t="s">
        <v>4702</v>
      </c>
      <c r="B111" s="6107" t="s">
        <v>1531</v>
      </c>
      <c r="C111" s="6108" t="s">
        <v>5369</v>
      </c>
      <c r="D111" s="6109" t="s">
        <v>5370</v>
      </c>
      <c r="E111" s="5991" t="s">
        <v>5371</v>
      </c>
      <c r="F111" s="6110" t="s">
        <v>5372</v>
      </c>
      <c r="G111" s="6111" t="s">
        <v>5373</v>
      </c>
      <c r="H111" s="6110" t="s">
        <v>5374</v>
      </c>
      <c r="I111" s="6112" t="s">
        <v>5375</v>
      </c>
      <c r="J111" s="6110" t="s">
        <v>5376</v>
      </c>
      <c r="K111" s="6111" t="s">
        <v>5377</v>
      </c>
      <c r="L111" s="6110" t="s">
        <v>5378</v>
      </c>
      <c r="M111" s="6111" t="s">
        <v>5379</v>
      </c>
      <c r="N111" s="6113" t="s">
        <v>5380</v>
      </c>
      <c r="O111" s="6114" t="s">
        <v>5381</v>
      </c>
      <c r="P111" s="6111" t="s">
        <v>5382</v>
      </c>
      <c r="Q111" s="6111" t="s">
        <v>5383</v>
      </c>
      <c r="R111" s="5057" t="str">
        <f t="shared" si="76"/>
        <v xml:space="preserve">* El número de Personas pertenecientes a Pueblos Originarios NO DEBE ser mayor que el total. * El número de Personas Migrantes NO DEBE ser mayor que el total. </v>
      </c>
      <c r="S111" s="5975"/>
      <c r="T111" s="5975"/>
      <c r="U111" s="5975"/>
      <c r="V111" s="5975"/>
      <c r="W111" s="5975"/>
      <c r="X111" s="5975"/>
      <c r="Y111" s="5975"/>
      <c r="Z111" s="5975"/>
      <c r="AA111" s="5975"/>
      <c r="AB111" s="5998"/>
      <c r="AC111" s="5975"/>
      <c r="AD111" s="5975"/>
      <c r="AE111" s="5975"/>
      <c r="AF111" s="5975"/>
      <c r="AG111" s="5975"/>
      <c r="AH111" s="5975"/>
      <c r="AI111" s="5975"/>
      <c r="AJ111" s="5975"/>
      <c r="AK111" s="5975"/>
      <c r="AL111" s="5975"/>
      <c r="AM111" s="5975"/>
      <c r="AN111" s="5975"/>
      <c r="AO111" s="5975"/>
      <c r="AP111" s="5975"/>
      <c r="AQ111" s="5975"/>
      <c r="CB111" s="4292" t="str">
        <f t="shared" si="77"/>
        <v/>
      </c>
      <c r="CC111" s="4292" t="str">
        <f t="shared" si="78"/>
        <v/>
      </c>
      <c r="CD111" s="4292" t="str">
        <f>IF(DC111=1,"* El número de Personas pertenecientes a Pueblos Originarios NO DEBE ser mayor que el total. ","")</f>
        <v xml:space="preserve">* El número de Personas pertenecientes a Pueblos Originarios NO DEBE ser mayor que el total. </v>
      </c>
      <c r="CE111" s="4292" t="str">
        <f>IF(DD111=1,"* El número de Personas Migrantes NO DEBE ser mayor que el total. ","")</f>
        <v xml:space="preserve">* El número de Personas Migrantes NO DEBE ser mayor que el total. </v>
      </c>
      <c r="DB111" s="5530"/>
      <c r="DC111" s="5530">
        <f t="shared" si="75"/>
        <v>1</v>
      </c>
      <c r="DD111" s="5530">
        <f t="shared" si="75"/>
        <v>1</v>
      </c>
    </row>
    <row r="112" spans="1:108" ht="27" customHeight="1" x14ac:dyDescent="0.3">
      <c r="B112" s="6115" t="s">
        <v>3453</v>
      </c>
      <c r="C112"/>
      <c r="D112"/>
      <c r="F112"/>
    </row>
    <row r="113" spans="1:77" ht="21.75" customHeight="1" x14ac:dyDescent="0.25">
      <c r="B113" s="9079" t="s">
        <v>2577</v>
      </c>
      <c r="C113" s="9423" t="s">
        <v>1530</v>
      </c>
      <c r="D113" s="9424"/>
      <c r="E113" s="9425"/>
      <c r="F113" s="9458" t="s">
        <v>1529</v>
      </c>
    </row>
    <row r="114" spans="1:77" ht="30.75" customHeight="1" x14ac:dyDescent="0.25">
      <c r="B114" s="9080"/>
      <c r="C114" s="6116" t="s">
        <v>1528</v>
      </c>
      <c r="D114" s="6116" t="s">
        <v>1527</v>
      </c>
      <c r="E114" s="4528" t="s">
        <v>1526</v>
      </c>
      <c r="F114" s="9459"/>
    </row>
    <row r="115" spans="1:77" ht="22.5" customHeight="1" x14ac:dyDescent="0.3">
      <c r="A115" s="7258" t="s">
        <v>4703</v>
      </c>
      <c r="B115" s="6117" t="s">
        <v>24</v>
      </c>
      <c r="C115" s="6118" t="s">
        <v>5369</v>
      </c>
      <c r="D115" s="6118" t="s">
        <v>5370</v>
      </c>
      <c r="E115" s="6119" t="s">
        <v>5371</v>
      </c>
      <c r="F115" s="6120" t="s">
        <v>5372</v>
      </c>
    </row>
    <row r="116" spans="1:77" ht="21.75" customHeight="1" x14ac:dyDescent="0.3">
      <c r="A116" s="7280"/>
      <c r="B116" s="6087" t="s">
        <v>3454</v>
      </c>
      <c r="C116" s="4470"/>
      <c r="D116" s="4470"/>
      <c r="I116" s="6121"/>
      <c r="J116" s="6121"/>
      <c r="K116" s="5973"/>
    </row>
    <row r="117" spans="1:77" x14ac:dyDescent="0.25">
      <c r="A117" s="7280"/>
      <c r="B117" s="9414" t="s">
        <v>41</v>
      </c>
      <c r="C117" s="9172" t="s">
        <v>86</v>
      </c>
      <c r="D117" s="9173"/>
      <c r="E117" s="9174"/>
      <c r="F117" s="9420"/>
      <c r="G117" s="9421"/>
      <c r="H117" s="9421"/>
      <c r="I117" s="9421"/>
      <c r="J117" s="9421"/>
      <c r="K117" s="9422"/>
    </row>
    <row r="118" spans="1:77" x14ac:dyDescent="0.25">
      <c r="A118" s="7280"/>
      <c r="B118" s="9418"/>
      <c r="C118" s="9085"/>
      <c r="D118" s="9086"/>
      <c r="E118" s="9087"/>
      <c r="F118" s="9420" t="s">
        <v>1525</v>
      </c>
      <c r="G118" s="9422"/>
      <c r="H118" s="9420" t="s">
        <v>1524</v>
      </c>
      <c r="I118" s="9422"/>
      <c r="J118" s="9420" t="s">
        <v>1523</v>
      </c>
      <c r="K118" s="9422"/>
    </row>
    <row r="119" spans="1:77" x14ac:dyDescent="0.25">
      <c r="A119" s="7280"/>
      <c r="B119" s="9415"/>
      <c r="C119" s="6093" t="s">
        <v>42</v>
      </c>
      <c r="D119" s="6094" t="s">
        <v>17</v>
      </c>
      <c r="E119" s="6095" t="s">
        <v>18</v>
      </c>
      <c r="F119" s="4448" t="s">
        <v>17</v>
      </c>
      <c r="G119" s="4450" t="s">
        <v>18</v>
      </c>
      <c r="H119" s="4448" t="s">
        <v>17</v>
      </c>
      <c r="I119" s="4450" t="s">
        <v>18</v>
      </c>
      <c r="J119" s="4448" t="s">
        <v>17</v>
      </c>
      <c r="K119" s="4450" t="s">
        <v>18</v>
      </c>
    </row>
    <row r="120" spans="1:77" ht="27" customHeight="1" x14ac:dyDescent="0.25">
      <c r="A120" s="7258" t="s">
        <v>4704</v>
      </c>
      <c r="B120" s="5890" t="s">
        <v>1522</v>
      </c>
      <c r="C120" s="6098" t="s">
        <v>5369</v>
      </c>
      <c r="D120" s="6099" t="s">
        <v>5370</v>
      </c>
      <c r="E120" s="5845" t="s">
        <v>5371</v>
      </c>
      <c r="F120" s="6060" t="s">
        <v>5372</v>
      </c>
      <c r="G120" s="6061" t="s">
        <v>5373</v>
      </c>
      <c r="H120" s="6060" t="s">
        <v>5374</v>
      </c>
      <c r="I120" s="6061" t="s">
        <v>5375</v>
      </c>
      <c r="J120" s="6060" t="s">
        <v>5376</v>
      </c>
      <c r="K120" s="6122" t="s">
        <v>5377</v>
      </c>
    </row>
    <row r="121" spans="1:77" ht="26.25" customHeight="1" x14ac:dyDescent="0.25">
      <c r="A121" s="7258" t="s">
        <v>4705</v>
      </c>
      <c r="B121" s="6123" t="s">
        <v>1521</v>
      </c>
      <c r="C121" s="6124" t="s">
        <v>5369</v>
      </c>
      <c r="D121" s="6125" t="s">
        <v>5370</v>
      </c>
      <c r="E121" s="3985" t="s">
        <v>5371</v>
      </c>
      <c r="F121" s="6126" t="s">
        <v>5372</v>
      </c>
      <c r="G121" s="6127" t="s">
        <v>5373</v>
      </c>
      <c r="H121" s="6126" t="s">
        <v>5374</v>
      </c>
      <c r="I121" s="6127" t="s">
        <v>5375</v>
      </c>
      <c r="J121" s="6126" t="s">
        <v>5376</v>
      </c>
      <c r="K121" s="6128" t="s">
        <v>5377</v>
      </c>
    </row>
    <row r="122" spans="1:77" ht="41.25" customHeight="1" x14ac:dyDescent="0.25">
      <c r="A122" s="7258" t="s">
        <v>4706</v>
      </c>
      <c r="B122" s="6129" t="s">
        <v>1520</v>
      </c>
      <c r="C122" s="6108" t="s">
        <v>5369</v>
      </c>
      <c r="D122" s="6109" t="s">
        <v>5370</v>
      </c>
      <c r="E122" s="5991" t="s">
        <v>5371</v>
      </c>
      <c r="F122" s="6130" t="s">
        <v>5372</v>
      </c>
      <c r="G122" s="6131" t="s">
        <v>5373</v>
      </c>
      <c r="H122" s="6130" t="s">
        <v>5374</v>
      </c>
      <c r="I122" s="6132" t="s">
        <v>5375</v>
      </c>
      <c r="J122" s="6130" t="s">
        <v>5376</v>
      </c>
      <c r="K122" s="6131" t="s">
        <v>5377</v>
      </c>
    </row>
    <row r="123" spans="1:77" ht="24" customHeight="1" x14ac:dyDescent="0.3">
      <c r="A123" s="7280"/>
      <c r="B123" s="6133" t="s">
        <v>3455</v>
      </c>
      <c r="C123" s="6134"/>
      <c r="D123" s="6135"/>
      <c r="E123" s="6135"/>
      <c r="G123" s="6136"/>
      <c r="H123" s="6137"/>
      <c r="I123" s="6137"/>
      <c r="J123"/>
    </row>
    <row r="124" spans="1:77" ht="30" customHeight="1" x14ac:dyDescent="0.25">
      <c r="A124" s="7297"/>
      <c r="B124" s="9174" t="s">
        <v>41</v>
      </c>
      <c r="C124" s="9414" t="s">
        <v>24</v>
      </c>
      <c r="D124" s="9172" t="s">
        <v>1519</v>
      </c>
      <c r="E124" s="9174"/>
      <c r="F124" s="9172" t="s">
        <v>1518</v>
      </c>
      <c r="G124" s="9174"/>
      <c r="H124" s="9420" t="s">
        <v>1517</v>
      </c>
      <c r="I124" s="9421"/>
      <c r="J124" s="9422"/>
    </row>
    <row r="125" spans="1:77" ht="47.25" customHeight="1" x14ac:dyDescent="0.25">
      <c r="A125" s="7297"/>
      <c r="B125" s="9427"/>
      <c r="C125" s="9419"/>
      <c r="D125" s="4448" t="s">
        <v>17</v>
      </c>
      <c r="E125" s="4449" t="s">
        <v>18</v>
      </c>
      <c r="F125" s="4472" t="s">
        <v>1516</v>
      </c>
      <c r="G125" s="4450" t="s">
        <v>1515</v>
      </c>
      <c r="H125" s="4472" t="s">
        <v>1514</v>
      </c>
      <c r="I125" s="4358" t="s">
        <v>1513</v>
      </c>
      <c r="J125" s="4450" t="s">
        <v>1512</v>
      </c>
    </row>
    <row r="126" spans="1:77" ht="22.5" customHeight="1" x14ac:dyDescent="0.25">
      <c r="A126" s="7258" t="s">
        <v>4707</v>
      </c>
      <c r="B126" s="6138" t="s">
        <v>3931</v>
      </c>
      <c r="C126" s="6139" t="s">
        <v>5369</v>
      </c>
      <c r="D126" s="6140" t="s">
        <v>5370</v>
      </c>
      <c r="E126" s="6141" t="s">
        <v>5371</v>
      </c>
      <c r="F126" s="6140" t="s">
        <v>5372</v>
      </c>
      <c r="G126" s="6142" t="s">
        <v>5373</v>
      </c>
      <c r="H126" s="6140" t="s">
        <v>5374</v>
      </c>
      <c r="I126" s="6140" t="s">
        <v>5375</v>
      </c>
      <c r="J126" s="6142" t="s">
        <v>5376</v>
      </c>
    </row>
    <row r="127" spans="1:77" ht="24" customHeight="1" x14ac:dyDescent="0.3">
      <c r="A127" s="7280"/>
      <c r="B127" s="5053" t="s">
        <v>3456</v>
      </c>
      <c r="C127"/>
      <c r="E127"/>
      <c r="F127" s="3940"/>
    </row>
    <row r="128" spans="1:77" x14ac:dyDescent="0.25">
      <c r="A128" s="7280"/>
      <c r="B128" s="9414" t="s">
        <v>41</v>
      </c>
      <c r="C128" s="9414" t="s">
        <v>0</v>
      </c>
      <c r="D128" s="9172" t="s">
        <v>86</v>
      </c>
      <c r="E128" s="9173"/>
      <c r="F128" s="9174"/>
      <c r="G128" s="9404" t="s">
        <v>709</v>
      </c>
      <c r="H128" s="9405"/>
      <c r="I128" s="9405"/>
      <c r="J128" s="9405"/>
      <c r="K128" s="9405"/>
      <c r="L128" s="9405"/>
      <c r="M128" s="9405"/>
      <c r="N128" s="9405"/>
      <c r="O128" s="9405"/>
      <c r="P128" s="9405"/>
      <c r="Q128" s="9405"/>
      <c r="R128" s="9405"/>
      <c r="S128" s="9405"/>
      <c r="T128" s="9405"/>
      <c r="U128" s="9405"/>
      <c r="V128" s="9405"/>
      <c r="W128" s="9405"/>
      <c r="X128" s="9405"/>
      <c r="Y128" s="9405"/>
      <c r="Z128" s="9405"/>
      <c r="AA128" s="9405"/>
      <c r="AB128" s="9405"/>
      <c r="AC128" s="9405"/>
      <c r="AD128" s="9405"/>
      <c r="AE128" s="9405"/>
      <c r="AF128" s="9405"/>
      <c r="AG128" s="9405"/>
      <c r="AH128" s="9405"/>
      <c r="AI128" s="9405"/>
      <c r="AJ128" s="9405"/>
      <c r="AK128" s="9405"/>
      <c r="AL128" s="9405"/>
      <c r="AM128" s="9405"/>
      <c r="AN128" s="9406"/>
      <c r="AO128" s="9496" t="s">
        <v>360</v>
      </c>
      <c r="AP128" s="9338" t="s">
        <v>2957</v>
      </c>
      <c r="AQ128" s="9338" t="s">
        <v>2615</v>
      </c>
      <c r="AR128" s="9466" t="s">
        <v>362</v>
      </c>
      <c r="AS128" s="9338" t="s">
        <v>361</v>
      </c>
      <c r="BY128" s="4258"/>
    </row>
    <row r="129" spans="1:111" ht="18" customHeight="1" x14ac:dyDescent="0.25">
      <c r="A129" s="7280"/>
      <c r="B129" s="9418"/>
      <c r="C129" s="9418"/>
      <c r="D129" s="9426"/>
      <c r="E129" s="9086"/>
      <c r="F129" s="9427"/>
      <c r="G129" s="9404" t="s">
        <v>399</v>
      </c>
      <c r="H129" s="9417"/>
      <c r="I129" s="9404" t="s">
        <v>54</v>
      </c>
      <c r="J129" s="9417"/>
      <c r="K129" s="9404" t="s">
        <v>79</v>
      </c>
      <c r="L129" s="9417"/>
      <c r="M129" s="9404" t="s">
        <v>80</v>
      </c>
      <c r="N129" s="9417"/>
      <c r="O129" s="9404" t="s">
        <v>81</v>
      </c>
      <c r="P129" s="9417"/>
      <c r="Q129" s="9401" t="s">
        <v>82</v>
      </c>
      <c r="R129" s="9402"/>
      <c r="S129" s="9401" t="s">
        <v>83</v>
      </c>
      <c r="T129" s="9402"/>
      <c r="U129" s="9401" t="s">
        <v>400</v>
      </c>
      <c r="V129" s="9402"/>
      <c r="W129" s="9401" t="s">
        <v>124</v>
      </c>
      <c r="X129" s="9402"/>
      <c r="Y129" s="9401" t="s">
        <v>125</v>
      </c>
      <c r="Z129" s="9402"/>
      <c r="AA129" s="9401" t="s">
        <v>126</v>
      </c>
      <c r="AB129" s="9402"/>
      <c r="AC129" s="9401" t="s">
        <v>127</v>
      </c>
      <c r="AD129" s="9402"/>
      <c r="AE129" s="9401" t="s">
        <v>128</v>
      </c>
      <c r="AF129" s="9402"/>
      <c r="AG129" s="9401" t="s">
        <v>129</v>
      </c>
      <c r="AH129" s="9402"/>
      <c r="AI129" s="9401" t="s">
        <v>130</v>
      </c>
      <c r="AJ129" s="9402"/>
      <c r="AK129" s="9401" t="s">
        <v>131</v>
      </c>
      <c r="AL129" s="9402"/>
      <c r="AM129" s="9401" t="s">
        <v>1919</v>
      </c>
      <c r="AN129" s="9403"/>
      <c r="AO129" s="9116"/>
      <c r="AP129" s="9116"/>
      <c r="AQ129" s="9116"/>
      <c r="AR129" s="9062"/>
      <c r="AS129" s="9116"/>
      <c r="BY129" s="4258"/>
    </row>
    <row r="130" spans="1:111" ht="33.75" customHeight="1" x14ac:dyDescent="0.25">
      <c r="A130" s="7280"/>
      <c r="B130" s="9419"/>
      <c r="C130" s="9419"/>
      <c r="D130" s="5839" t="s">
        <v>42</v>
      </c>
      <c r="E130" s="4357" t="s">
        <v>17</v>
      </c>
      <c r="F130" s="5840" t="s">
        <v>18</v>
      </c>
      <c r="G130" s="5841" t="s">
        <v>17</v>
      </c>
      <c r="H130" s="4145" t="s">
        <v>18</v>
      </c>
      <c r="I130" s="5841" t="s">
        <v>17</v>
      </c>
      <c r="J130" s="4145" t="s">
        <v>18</v>
      </c>
      <c r="K130" s="5841" t="s">
        <v>17</v>
      </c>
      <c r="L130" s="4145" t="s">
        <v>18</v>
      </c>
      <c r="M130" s="5841" t="s">
        <v>17</v>
      </c>
      <c r="N130" s="4145" t="s">
        <v>18</v>
      </c>
      <c r="O130" s="5841" t="s">
        <v>17</v>
      </c>
      <c r="P130" s="4145" t="s">
        <v>18</v>
      </c>
      <c r="Q130" s="5841" t="s">
        <v>17</v>
      </c>
      <c r="R130" s="4145" t="s">
        <v>18</v>
      </c>
      <c r="S130" s="5841" t="s">
        <v>17</v>
      </c>
      <c r="T130" s="4145" t="s">
        <v>18</v>
      </c>
      <c r="U130" s="5841" t="s">
        <v>17</v>
      </c>
      <c r="V130" s="4145" t="s">
        <v>18</v>
      </c>
      <c r="W130" s="5841" t="s">
        <v>17</v>
      </c>
      <c r="X130" s="4145" t="s">
        <v>18</v>
      </c>
      <c r="Y130" s="5841" t="s">
        <v>17</v>
      </c>
      <c r="Z130" s="4145" t="s">
        <v>18</v>
      </c>
      <c r="AA130" s="5841" t="s">
        <v>17</v>
      </c>
      <c r="AB130" s="4145" t="s">
        <v>18</v>
      </c>
      <c r="AC130" s="5841" t="s">
        <v>17</v>
      </c>
      <c r="AD130" s="4145" t="s">
        <v>18</v>
      </c>
      <c r="AE130" s="5841" t="s">
        <v>17</v>
      </c>
      <c r="AF130" s="4145" t="s">
        <v>18</v>
      </c>
      <c r="AG130" s="5841" t="s">
        <v>17</v>
      </c>
      <c r="AH130" s="4145" t="s">
        <v>18</v>
      </c>
      <c r="AI130" s="5841" t="s">
        <v>17</v>
      </c>
      <c r="AJ130" s="4145" t="s">
        <v>18</v>
      </c>
      <c r="AK130" s="5841" t="s">
        <v>17</v>
      </c>
      <c r="AL130" s="4145" t="s">
        <v>18</v>
      </c>
      <c r="AM130" s="5841" t="s">
        <v>17</v>
      </c>
      <c r="AN130" s="4943" t="s">
        <v>18</v>
      </c>
      <c r="AO130" s="9156"/>
      <c r="AP130" s="9093"/>
      <c r="AQ130" s="9093"/>
      <c r="AR130" s="9089"/>
      <c r="AS130" s="9093"/>
      <c r="BY130" s="4258"/>
    </row>
    <row r="131" spans="1:111" ht="165.6" x14ac:dyDescent="0.25">
      <c r="A131" s="7258" t="s">
        <v>4708</v>
      </c>
      <c r="B131" s="9411" t="s">
        <v>1509</v>
      </c>
      <c r="C131" s="6143" t="s">
        <v>1508</v>
      </c>
      <c r="D131" s="6144" t="s">
        <v>5369</v>
      </c>
      <c r="E131" s="6145" t="s">
        <v>5370</v>
      </c>
      <c r="F131" s="6146" t="s">
        <v>5371</v>
      </c>
      <c r="G131" s="5846" t="s">
        <v>5372</v>
      </c>
      <c r="H131" s="5848" t="s">
        <v>5373</v>
      </c>
      <c r="I131" s="5846" t="s">
        <v>5374</v>
      </c>
      <c r="J131" s="5848" t="s">
        <v>5375</v>
      </c>
      <c r="K131" s="5846" t="s">
        <v>5376</v>
      </c>
      <c r="L131" s="5848" t="s">
        <v>5377</v>
      </c>
      <c r="M131" s="5846" t="s">
        <v>5378</v>
      </c>
      <c r="N131" s="5848" t="s">
        <v>5379</v>
      </c>
      <c r="O131" s="5846" t="s">
        <v>5380</v>
      </c>
      <c r="P131" s="5848" t="s">
        <v>5381</v>
      </c>
      <c r="Q131" s="5846" t="s">
        <v>5382</v>
      </c>
      <c r="R131" s="5848" t="s">
        <v>5383</v>
      </c>
      <c r="S131" s="5846" t="s">
        <v>5384</v>
      </c>
      <c r="T131" s="5848" t="s">
        <v>5385</v>
      </c>
      <c r="U131" s="5846" t="s">
        <v>5386</v>
      </c>
      <c r="V131" s="5848" t="s">
        <v>5387</v>
      </c>
      <c r="W131" s="5846" t="s">
        <v>5388</v>
      </c>
      <c r="X131" s="5848" t="s">
        <v>5389</v>
      </c>
      <c r="Y131" s="5846" t="s">
        <v>5390</v>
      </c>
      <c r="Z131" s="5848" t="s">
        <v>5391</v>
      </c>
      <c r="AA131" s="5846" t="s">
        <v>5392</v>
      </c>
      <c r="AB131" s="5848" t="s">
        <v>5393</v>
      </c>
      <c r="AC131" s="5846" t="s">
        <v>5394</v>
      </c>
      <c r="AD131" s="5848" t="s">
        <v>5395</v>
      </c>
      <c r="AE131" s="5846" t="s">
        <v>5396</v>
      </c>
      <c r="AF131" s="5848" t="s">
        <v>5397</v>
      </c>
      <c r="AG131" s="5846" t="s">
        <v>5398</v>
      </c>
      <c r="AH131" s="5848" t="s">
        <v>5399</v>
      </c>
      <c r="AI131" s="5846" t="s">
        <v>5400</v>
      </c>
      <c r="AJ131" s="5848" t="s">
        <v>5401</v>
      </c>
      <c r="AK131" s="5846" t="s">
        <v>5402</v>
      </c>
      <c r="AL131" s="5848" t="s">
        <v>5403</v>
      </c>
      <c r="AM131" s="5846" t="s">
        <v>5404</v>
      </c>
      <c r="AN131" s="4133" t="s">
        <v>5405</v>
      </c>
      <c r="AO131" s="5847" t="s">
        <v>5406</v>
      </c>
      <c r="AP131" s="6147" t="s">
        <v>5407</v>
      </c>
      <c r="AQ131" s="6147" t="s">
        <v>5408</v>
      </c>
      <c r="AR131" s="6148" t="s">
        <v>5409</v>
      </c>
      <c r="AS131" s="6147" t="s">
        <v>5410</v>
      </c>
      <c r="AT131" s="6149" t="str">
        <f>CG131&amp;CB131&amp;CC131&amp;CD131&amp;CE131&amp;CF131</f>
        <v xml:space="preserve">* El número de personas Migrantes NO DEBE ser mayor que el Total. * El número de Beneficiarios NO DEBE ser mayor que el Total. * Los Niños, Niñas, Adolescentes y Jóvenes de Programa SENAME NO DEBE ser mayor que el Total. * Los Niños, Niñas, Adolescentes y Jóvenes de Programa Mejor Niñez NO DEBE ser mayor que el Total. * El número de personas pertenecientes a Pueblos Originarios NO DEBE ser mayor que el Total. </v>
      </c>
      <c r="BY131" s="4258"/>
      <c r="CB131" s="4292" t="str">
        <f>IF(DB131=1,"* No olvide digitar la columna Beneficiarios y/o Niños, Niñas, Adolescentes y Jóvenes de Programa SENAME/Mejor Niñez y/o Pueblos Originarios y/o Migrantes (Digite CEROS si no tiene). ","")</f>
        <v/>
      </c>
      <c r="CC131" s="4292" t="str">
        <f>IF(DC131=1,"* El número de Beneficiarios NO DEBE ser mayor que el Total. ","")</f>
        <v xml:space="preserve">* El número de Beneficiarios NO DEBE ser mayor que el Total. </v>
      </c>
      <c r="CD131" s="5850" t="str">
        <f>IF(DD131=1,"* Los Niños, Niñas, Adolescentes y Jóvenes de Programa SENAME NO DEBE ser mayor que el Total. ","")</f>
        <v xml:space="preserve">* Los Niños, Niñas, Adolescentes y Jóvenes de Programa SENAME NO DEBE ser mayor que el Total. </v>
      </c>
      <c r="CE131" s="5850" t="str">
        <f>IF(DE131=1,"* Los Niños, Niñas, Adolescentes y Jóvenes de Programa Mejor Niñez NO DEBE ser mayor que el Total. ","")</f>
        <v xml:space="preserve">* Los Niños, Niñas, Adolescentes y Jóvenes de Programa Mejor Niñez NO DEBE ser mayor que el Total. </v>
      </c>
      <c r="CF131" s="5850" t="str">
        <f>IF(DF131=1,"* El número de personas pertenecientes a Pueblos Originarios NO DEBE ser mayor que el Total. ","")</f>
        <v xml:space="preserve">* El número de personas pertenecientes a Pueblos Originarios NO DEBE ser mayor que el Total. </v>
      </c>
      <c r="CG131" s="5850" t="str">
        <f>IF(DG131=1,"* El número de personas Migrantes NO DEBE ser mayor que el Total. ","")</f>
        <v xml:space="preserve">* El número de personas Migrantes NO DEBE ser mayor que el Total. </v>
      </c>
      <c r="CH131" s="4993"/>
      <c r="CI131" s="4993"/>
      <c r="CJ131" s="4993"/>
      <c r="CK131" s="4993"/>
      <c r="CL131" s="4993"/>
      <c r="CM131" s="4993"/>
      <c r="DB131" s="5530">
        <f>IF(AND(D131&lt;&gt;0,OR(AO131="",AP131="",AQ131="",AR131="",AS131="")),1,0)</f>
        <v>0</v>
      </c>
      <c r="DC131" s="5530">
        <f t="shared" ref="DC131:DG133" si="79">IF($D131&lt;AO131,1,0)</f>
        <v>1</v>
      </c>
      <c r="DD131" s="5530">
        <f t="shared" si="79"/>
        <v>1</v>
      </c>
      <c r="DE131" s="5530">
        <f t="shared" si="79"/>
        <v>1</v>
      </c>
      <c r="DF131" s="5530">
        <f t="shared" si="79"/>
        <v>1</v>
      </c>
      <c r="DG131" s="5530">
        <f t="shared" si="79"/>
        <v>1</v>
      </c>
    </row>
    <row r="132" spans="1:111" ht="165.6" x14ac:dyDescent="0.25">
      <c r="A132" s="7258" t="s">
        <v>4709</v>
      </c>
      <c r="B132" s="9412"/>
      <c r="C132" s="6150" t="s">
        <v>1507</v>
      </c>
      <c r="D132" s="6151" t="s">
        <v>5369</v>
      </c>
      <c r="E132" s="6152" t="s">
        <v>5370</v>
      </c>
      <c r="F132" s="6153" t="s">
        <v>5371</v>
      </c>
      <c r="G132" s="3830" t="s">
        <v>5372</v>
      </c>
      <c r="H132" s="3841" t="s">
        <v>5373</v>
      </c>
      <c r="I132" s="3830" t="s">
        <v>5374</v>
      </c>
      <c r="J132" s="3841" t="s">
        <v>5375</v>
      </c>
      <c r="K132" s="3830" t="s">
        <v>5376</v>
      </c>
      <c r="L132" s="3841" t="s">
        <v>5377</v>
      </c>
      <c r="M132" s="3830" t="s">
        <v>5378</v>
      </c>
      <c r="N132" s="3841" t="s">
        <v>5379</v>
      </c>
      <c r="O132" s="3830" t="s">
        <v>5380</v>
      </c>
      <c r="P132" s="3841" t="s">
        <v>5381</v>
      </c>
      <c r="Q132" s="3830" t="s">
        <v>5382</v>
      </c>
      <c r="R132" s="3841" t="s">
        <v>5383</v>
      </c>
      <c r="S132" s="3830" t="s">
        <v>5384</v>
      </c>
      <c r="T132" s="3841" t="s">
        <v>5385</v>
      </c>
      <c r="U132" s="3830" t="s">
        <v>5386</v>
      </c>
      <c r="V132" s="3841" t="s">
        <v>5387</v>
      </c>
      <c r="W132" s="3830" t="s">
        <v>5388</v>
      </c>
      <c r="X132" s="3841" t="s">
        <v>5389</v>
      </c>
      <c r="Y132" s="3830" t="s">
        <v>5390</v>
      </c>
      <c r="Z132" s="3841" t="s">
        <v>5391</v>
      </c>
      <c r="AA132" s="3830" t="s">
        <v>5392</v>
      </c>
      <c r="AB132" s="3841" t="s">
        <v>5393</v>
      </c>
      <c r="AC132" s="3830" t="s">
        <v>5394</v>
      </c>
      <c r="AD132" s="3841" t="s">
        <v>5395</v>
      </c>
      <c r="AE132" s="3830" t="s">
        <v>5396</v>
      </c>
      <c r="AF132" s="3841" t="s">
        <v>5397</v>
      </c>
      <c r="AG132" s="3830" t="s">
        <v>5398</v>
      </c>
      <c r="AH132" s="3841" t="s">
        <v>5399</v>
      </c>
      <c r="AI132" s="3830" t="s">
        <v>5400</v>
      </c>
      <c r="AJ132" s="3841" t="s">
        <v>5401</v>
      </c>
      <c r="AK132" s="3830" t="s">
        <v>5402</v>
      </c>
      <c r="AL132" s="3841" t="s">
        <v>5403</v>
      </c>
      <c r="AM132" s="3830" t="s">
        <v>5404</v>
      </c>
      <c r="AN132" s="3916" t="s">
        <v>5405</v>
      </c>
      <c r="AO132" s="5855" t="s">
        <v>5406</v>
      </c>
      <c r="AP132" s="5314" t="s">
        <v>5407</v>
      </c>
      <c r="AQ132" s="5314" t="s">
        <v>5408</v>
      </c>
      <c r="AR132" s="5315" t="s">
        <v>5409</v>
      </c>
      <c r="AS132" s="5314" t="s">
        <v>5410</v>
      </c>
      <c r="AT132" s="6149" t="str">
        <f t="shared" ref="AT132:AT133" si="80">CG132&amp;CB132&amp;CC132&amp;CD132&amp;CE132&amp;CF132</f>
        <v xml:space="preserve">* El número de personas Migrantes NO DEBE ser mayor que el Total. * El número de Beneficiarios NO DEBE ser mayor que el Total. * Los Niños, Niñas, Adolescentes y Jóvenes de Programa SENAME NO DEBE ser mayor que el Total. * Los Niños, Niñas, Adolescentes y Jóvenes de Programa Mejor Niñez NO DEBE ser mayor que el Total. * El número de personas pertenecientes a Pueblos Originarios NO DEBE ser mayor que el Total. </v>
      </c>
      <c r="BY132" s="4258"/>
      <c r="CB132" s="4292" t="str">
        <f>IF(DB132=1,"* No olvide digitar la columna Beneficiarios y/o Niños, Niñas, Adolescentes y Jóvenes de Programa SENAME/Mejor Niñez y/o Pueblos Originarios y/o Migrantes (Digite CEROS si no tiene). ","")</f>
        <v/>
      </c>
      <c r="CC132" s="4292" t="str">
        <f>IF(DC132=1,"* El número de Beneficiarios NO DEBE ser mayor que el Total. ","")</f>
        <v xml:space="preserve">* El número de Beneficiarios NO DEBE ser mayor que el Total. </v>
      </c>
      <c r="CD132" s="5850" t="str">
        <f>IF(DD132=1,"* Los Niños, Niñas, Adolescentes y Jóvenes de Programa SENAME NO DEBE ser mayor que el Total. ","")</f>
        <v xml:space="preserve">* Los Niños, Niñas, Adolescentes y Jóvenes de Programa SENAME NO DEBE ser mayor que el Total. </v>
      </c>
      <c r="CE132" s="5850" t="str">
        <f>IF(DE132=1,"* Los Niños, Niñas, Adolescentes y Jóvenes de Programa Mejor Niñez NO DEBE ser mayor que el Total. ","")</f>
        <v xml:space="preserve">* Los Niños, Niñas, Adolescentes y Jóvenes de Programa Mejor Niñez NO DEBE ser mayor que el Total. </v>
      </c>
      <c r="CF132" s="5850" t="str">
        <f>IF(DF132=1,"* El número de personas pertenecientes a Pueblos Originarios NO DEBE ser mayor que el Total. ","")</f>
        <v xml:space="preserve">* El número de personas pertenecientes a Pueblos Originarios NO DEBE ser mayor que el Total. </v>
      </c>
      <c r="CG132" s="5850" t="str">
        <f>IF(DG132=1,"* El número de personas Migrantes NO DEBE ser mayor que el Total. ","")</f>
        <v xml:space="preserve">* El número de personas Migrantes NO DEBE ser mayor que el Total. </v>
      </c>
      <c r="CH132" s="4993"/>
      <c r="CI132" s="4993"/>
      <c r="CJ132" s="4993"/>
      <c r="CK132" s="4993"/>
      <c r="CL132" s="4993"/>
      <c r="CM132" s="4993"/>
      <c r="DB132" s="5530">
        <f>IF(AND(D132&lt;&gt;0,OR(AO132="",AP132="",AQ132="",AR132="",AS132="")),1,0)</f>
        <v>0</v>
      </c>
      <c r="DC132" s="5530">
        <f t="shared" si="79"/>
        <v>1</v>
      </c>
      <c r="DD132" s="5530">
        <f t="shared" si="79"/>
        <v>1</v>
      </c>
      <c r="DE132" s="5530">
        <f t="shared" si="79"/>
        <v>1</v>
      </c>
      <c r="DF132" s="5530">
        <f t="shared" si="79"/>
        <v>1</v>
      </c>
      <c r="DG132" s="5530">
        <f t="shared" si="79"/>
        <v>1</v>
      </c>
    </row>
    <row r="133" spans="1:111" ht="165.6" x14ac:dyDescent="0.25">
      <c r="A133" s="7258" t="s">
        <v>4710</v>
      </c>
      <c r="B133" s="9412"/>
      <c r="C133" s="6150" t="s">
        <v>1506</v>
      </c>
      <c r="D133" s="6151" t="s">
        <v>5369</v>
      </c>
      <c r="E133" s="6152" t="s">
        <v>5370</v>
      </c>
      <c r="F133" s="6153" t="s">
        <v>5371</v>
      </c>
      <c r="G133" s="4933" t="s">
        <v>5372</v>
      </c>
      <c r="H133" s="5895" t="s">
        <v>5373</v>
      </c>
      <c r="I133" s="4933" t="s">
        <v>5374</v>
      </c>
      <c r="J133" s="5895" t="s">
        <v>5375</v>
      </c>
      <c r="K133" s="4933" t="s">
        <v>5376</v>
      </c>
      <c r="L133" s="5895" t="s">
        <v>5377</v>
      </c>
      <c r="M133" s="4933" t="s">
        <v>5378</v>
      </c>
      <c r="N133" s="5895" t="s">
        <v>5379</v>
      </c>
      <c r="O133" s="4933" t="s">
        <v>5380</v>
      </c>
      <c r="P133" s="5895" t="s">
        <v>5381</v>
      </c>
      <c r="Q133" s="4933" t="s">
        <v>5382</v>
      </c>
      <c r="R133" s="5895" t="s">
        <v>5383</v>
      </c>
      <c r="S133" s="4933" t="s">
        <v>5384</v>
      </c>
      <c r="T133" s="5895" t="s">
        <v>5385</v>
      </c>
      <c r="U133" s="4933" t="s">
        <v>5386</v>
      </c>
      <c r="V133" s="5895" t="s">
        <v>5387</v>
      </c>
      <c r="W133" s="4933" t="s">
        <v>5388</v>
      </c>
      <c r="X133" s="5895" t="s">
        <v>5389</v>
      </c>
      <c r="Y133" s="4933" t="s">
        <v>5390</v>
      </c>
      <c r="Z133" s="5895" t="s">
        <v>5391</v>
      </c>
      <c r="AA133" s="4933" t="s">
        <v>5392</v>
      </c>
      <c r="AB133" s="5895" t="s">
        <v>5393</v>
      </c>
      <c r="AC133" s="4933" t="s">
        <v>5394</v>
      </c>
      <c r="AD133" s="5895" t="s">
        <v>5395</v>
      </c>
      <c r="AE133" s="4933" t="s">
        <v>5396</v>
      </c>
      <c r="AF133" s="5895" t="s">
        <v>5397</v>
      </c>
      <c r="AG133" s="4933" t="s">
        <v>5398</v>
      </c>
      <c r="AH133" s="5895" t="s">
        <v>5399</v>
      </c>
      <c r="AI133" s="4933" t="s">
        <v>5400</v>
      </c>
      <c r="AJ133" s="5895" t="s">
        <v>5401</v>
      </c>
      <c r="AK133" s="4933" t="s">
        <v>5402</v>
      </c>
      <c r="AL133" s="5895" t="s">
        <v>5403</v>
      </c>
      <c r="AM133" s="4933" t="s">
        <v>5404</v>
      </c>
      <c r="AN133" s="4422" t="s">
        <v>5405</v>
      </c>
      <c r="AO133" s="3981" t="s">
        <v>5406</v>
      </c>
      <c r="AP133" s="6154" t="s">
        <v>5407</v>
      </c>
      <c r="AQ133" s="6154" t="s">
        <v>5408</v>
      </c>
      <c r="AR133" s="6155" t="s">
        <v>5409</v>
      </c>
      <c r="AS133" s="6154" t="s">
        <v>5410</v>
      </c>
      <c r="AT133" s="6149" t="str">
        <f t="shared" si="80"/>
        <v xml:space="preserve">* El número de personas Migrantes NO DEBE ser mayor que el Total. * El número de Beneficiarios NO DEBE ser mayor que el Total. * Los Niños, Niñas, Adolescentes y Jóvenes de Programa SENAME NO DEBE ser mayor que el Total. * Los Niños, Niñas, Adolescentes y Jóvenes de Programa Mejor Niñez NO DEBE ser mayor que el Total. * El número de personas pertenecientes a Pueblos Originarios NO DEBE ser mayor que el Total. </v>
      </c>
      <c r="BY133" s="4258"/>
      <c r="CB133" s="4292" t="str">
        <f>IF(DB133=1,"* No olvide digitar la columna Beneficiarios y/o Niños, Niñas, Adolescentes y Jóvenes de Programa SENAME/Mejor Niñez y/o Pueblos Originarios y/o Migrantes (Digite CEROS si no tiene). ","")</f>
        <v/>
      </c>
      <c r="CC133" s="4292" t="str">
        <f>IF(DC133=1,"* El número de Beneficiarios NO DEBE ser mayor que el Total. ","")</f>
        <v xml:space="preserve">* El número de Beneficiarios NO DEBE ser mayor que el Total. </v>
      </c>
      <c r="CD133" s="5850" t="str">
        <f>IF(DD133=1,"* Los Niños, Niñas, Adolescentes y Jóvenes de Programa SENAME NO DEBE ser mayor que el Total. ","")</f>
        <v xml:space="preserve">* Los Niños, Niñas, Adolescentes y Jóvenes de Programa SENAME NO DEBE ser mayor que el Total. </v>
      </c>
      <c r="CE133" s="5850" t="str">
        <f>IF(DE133=1,"* Los Niños, Niñas, Adolescentes y Jóvenes de Programa Mejor Niñez NO DEBE ser mayor que el Total. ","")</f>
        <v xml:space="preserve">* Los Niños, Niñas, Adolescentes y Jóvenes de Programa Mejor Niñez NO DEBE ser mayor que el Total. </v>
      </c>
      <c r="CF133" s="5850" t="str">
        <f>IF(DF133=1,"* El número de personas pertenecientes a Pueblos Originarios NO DEBE ser mayor que el Total. ","")</f>
        <v xml:space="preserve">* El número de personas pertenecientes a Pueblos Originarios NO DEBE ser mayor que el Total. </v>
      </c>
      <c r="CG133" s="5850" t="str">
        <f>IF(DG133=1,"* El número de personas Migrantes NO DEBE ser mayor que el Total. ","")</f>
        <v xml:space="preserve">* El número de personas Migrantes NO DEBE ser mayor que el Total. </v>
      </c>
      <c r="CH133" s="4993"/>
      <c r="CI133" s="4993"/>
      <c r="CJ133" s="4993"/>
      <c r="CK133" s="4993"/>
      <c r="CL133" s="4993"/>
      <c r="CM133" s="4993"/>
      <c r="DB133" s="5530">
        <f>IF(AND(D133&lt;&gt;0,OR(AO133="",AP133="",AQ133="",AR133="",AS133="")),1,0)</f>
        <v>0</v>
      </c>
      <c r="DC133" s="5530">
        <f t="shared" si="79"/>
        <v>1</v>
      </c>
      <c r="DD133" s="5530">
        <f t="shared" si="79"/>
        <v>1</v>
      </c>
      <c r="DE133" s="5530">
        <f t="shared" si="79"/>
        <v>1</v>
      </c>
      <c r="DF133" s="5530">
        <f t="shared" si="79"/>
        <v>1</v>
      </c>
      <c r="DG133" s="5530">
        <f t="shared" si="79"/>
        <v>1</v>
      </c>
    </row>
    <row r="134" spans="1:111" x14ac:dyDescent="0.25">
      <c r="A134" s="7280"/>
      <c r="B134" s="9413"/>
      <c r="C134" s="6156" t="s">
        <v>24</v>
      </c>
      <c r="D134" s="6157">
        <f>SUM(E134+F134)</f>
        <v>0</v>
      </c>
      <c r="E134" s="6158">
        <f t="shared" ref="E134:F134" si="81">SUM(G134+I134+K134+M134+O134+Q134+S134+U134+W134+Y134+AA134+AC134+AE134+AG134+AI134+AK134+AM134)</f>
        <v>0</v>
      </c>
      <c r="F134" s="6159">
        <f t="shared" si="81"/>
        <v>0</v>
      </c>
      <c r="G134" s="6160">
        <f>SUM(G131:G133)</f>
        <v>0</v>
      </c>
      <c r="H134" s="6161">
        <f t="shared" ref="H134:AS134" si="82">SUM(H131:H133)</f>
        <v>0</v>
      </c>
      <c r="I134" s="6160">
        <f t="shared" si="82"/>
        <v>0</v>
      </c>
      <c r="J134" s="6161">
        <f t="shared" si="82"/>
        <v>0</v>
      </c>
      <c r="K134" s="6160">
        <f t="shared" si="82"/>
        <v>0</v>
      </c>
      <c r="L134" s="5958">
        <f t="shared" si="82"/>
        <v>0</v>
      </c>
      <c r="M134" s="6160">
        <f t="shared" si="82"/>
        <v>0</v>
      </c>
      <c r="N134" s="5958">
        <f t="shared" si="82"/>
        <v>0</v>
      </c>
      <c r="O134" s="6160">
        <f t="shared" si="82"/>
        <v>0</v>
      </c>
      <c r="P134" s="5958">
        <f t="shared" si="82"/>
        <v>0</v>
      </c>
      <c r="Q134" s="6160">
        <f t="shared" si="82"/>
        <v>0</v>
      </c>
      <c r="R134" s="5958">
        <f t="shared" si="82"/>
        <v>0</v>
      </c>
      <c r="S134" s="6160">
        <f t="shared" si="82"/>
        <v>0</v>
      </c>
      <c r="T134" s="5958">
        <f t="shared" si="82"/>
        <v>0</v>
      </c>
      <c r="U134" s="6160">
        <f t="shared" si="82"/>
        <v>0</v>
      </c>
      <c r="V134" s="5958">
        <f t="shared" si="82"/>
        <v>0</v>
      </c>
      <c r="W134" s="6160">
        <f t="shared" si="82"/>
        <v>0</v>
      </c>
      <c r="X134" s="5958">
        <f t="shared" si="82"/>
        <v>0</v>
      </c>
      <c r="Y134" s="6160">
        <f t="shared" si="82"/>
        <v>0</v>
      </c>
      <c r="Z134" s="5958">
        <f t="shared" si="82"/>
        <v>0</v>
      </c>
      <c r="AA134" s="6160">
        <f t="shared" si="82"/>
        <v>0</v>
      </c>
      <c r="AB134" s="5958">
        <f t="shared" si="82"/>
        <v>0</v>
      </c>
      <c r="AC134" s="6160">
        <f t="shared" si="82"/>
        <v>0</v>
      </c>
      <c r="AD134" s="5958">
        <f t="shared" si="82"/>
        <v>0</v>
      </c>
      <c r="AE134" s="6160">
        <f t="shared" si="82"/>
        <v>0</v>
      </c>
      <c r="AF134" s="5958">
        <f t="shared" si="82"/>
        <v>0</v>
      </c>
      <c r="AG134" s="6160">
        <f t="shared" si="82"/>
        <v>0</v>
      </c>
      <c r="AH134" s="5958">
        <f t="shared" si="82"/>
        <v>0</v>
      </c>
      <c r="AI134" s="6160">
        <f t="shared" si="82"/>
        <v>0</v>
      </c>
      <c r="AJ134" s="5958">
        <f t="shared" si="82"/>
        <v>0</v>
      </c>
      <c r="AK134" s="6160">
        <f t="shared" si="82"/>
        <v>0</v>
      </c>
      <c r="AL134" s="5958">
        <f t="shared" si="82"/>
        <v>0</v>
      </c>
      <c r="AM134" s="6162">
        <f t="shared" si="82"/>
        <v>0</v>
      </c>
      <c r="AN134" s="6163">
        <f t="shared" si="82"/>
        <v>0</v>
      </c>
      <c r="AO134" s="6161">
        <f t="shared" si="82"/>
        <v>0</v>
      </c>
      <c r="AP134" s="6164">
        <f t="shared" si="82"/>
        <v>0</v>
      </c>
      <c r="AQ134" s="6164">
        <f>SUM(AQ131:AQ133)</f>
        <v>0</v>
      </c>
      <c r="AR134" s="6165">
        <f t="shared" si="82"/>
        <v>0</v>
      </c>
      <c r="AS134" s="6164">
        <f t="shared" si="82"/>
        <v>0</v>
      </c>
      <c r="BY134" s="4258"/>
    </row>
    <row r="135" spans="1:111" ht="22.5" customHeight="1" x14ac:dyDescent="0.25">
      <c r="A135" s="7280"/>
      <c r="B135" s="3797" t="s">
        <v>3457</v>
      </c>
      <c r="C135" s="4407"/>
      <c r="D135" s="4407"/>
      <c r="E135" s="4407"/>
      <c r="F135" s="4407"/>
      <c r="G135" s="4407"/>
      <c r="H135" s="4445"/>
      <c r="I135" s="4446"/>
      <c r="J135" s="4447"/>
    </row>
    <row r="136" spans="1:111" x14ac:dyDescent="0.25">
      <c r="A136" s="7280"/>
      <c r="B136" s="9467" t="s">
        <v>1683</v>
      </c>
      <c r="C136" s="9428" t="s">
        <v>1682</v>
      </c>
      <c r="D136" s="9429"/>
      <c r="E136" s="9429"/>
      <c r="F136" s="9429"/>
      <c r="G136" s="9430"/>
      <c r="H136" s="6166"/>
      <c r="I136" s="9214" t="s">
        <v>1681</v>
      </c>
      <c r="J136" s="9470"/>
    </row>
    <row r="137" spans="1:111" x14ac:dyDescent="0.25">
      <c r="A137" s="7280"/>
      <c r="B137" s="9468"/>
      <c r="C137" s="9471" t="s">
        <v>24</v>
      </c>
      <c r="D137" s="9428" t="s">
        <v>1680</v>
      </c>
      <c r="E137" s="9429"/>
      <c r="F137" s="9429"/>
      <c r="G137" s="9430"/>
      <c r="H137" s="9472" t="s">
        <v>1679</v>
      </c>
      <c r="I137" s="9217"/>
      <c r="J137" s="9470"/>
    </row>
    <row r="138" spans="1:111" ht="34.950000000000003" customHeight="1" x14ac:dyDescent="0.25">
      <c r="A138" s="7280"/>
      <c r="B138" s="9469"/>
      <c r="C138" s="9216"/>
      <c r="D138" s="6167" t="s">
        <v>2770</v>
      </c>
      <c r="E138" s="6168" t="s">
        <v>2959</v>
      </c>
      <c r="F138" s="4358" t="s">
        <v>1678</v>
      </c>
      <c r="G138" s="4449" t="s">
        <v>1677</v>
      </c>
      <c r="H138" s="9473"/>
      <c r="I138" s="4450" t="s">
        <v>1676</v>
      </c>
      <c r="J138" s="4247" t="s">
        <v>1675</v>
      </c>
    </row>
    <row r="139" spans="1:111" x14ac:dyDescent="0.25">
      <c r="A139" s="7293" t="s">
        <v>4711</v>
      </c>
      <c r="B139" s="6169" t="s">
        <v>1620</v>
      </c>
      <c r="C139" s="4456" t="s">
        <v>5369</v>
      </c>
      <c r="D139" s="4949" t="s">
        <v>5370</v>
      </c>
      <c r="E139" s="5007" t="s">
        <v>5371</v>
      </c>
      <c r="F139" s="4370" t="s">
        <v>5372</v>
      </c>
      <c r="G139" s="4457" t="s">
        <v>5373</v>
      </c>
      <c r="H139" s="4458" t="s">
        <v>5374</v>
      </c>
      <c r="I139" s="4459" t="s">
        <v>5375</v>
      </c>
      <c r="J139" s="4460" t="s">
        <v>5376</v>
      </c>
    </row>
    <row r="140" spans="1:111" x14ac:dyDescent="0.25">
      <c r="A140" s="7293" t="s">
        <v>4712</v>
      </c>
      <c r="B140" s="6169" t="s">
        <v>1415</v>
      </c>
      <c r="C140" s="4456" t="s">
        <v>5369</v>
      </c>
      <c r="D140" s="4949" t="s">
        <v>5370</v>
      </c>
      <c r="E140" s="5007" t="s">
        <v>5371</v>
      </c>
      <c r="F140" s="4370" t="s">
        <v>5372</v>
      </c>
      <c r="G140" s="4457" t="s">
        <v>5373</v>
      </c>
      <c r="H140" s="4458" t="s">
        <v>5374</v>
      </c>
      <c r="I140" s="4459" t="s">
        <v>5375</v>
      </c>
      <c r="J140" s="4460" t="s">
        <v>5376</v>
      </c>
    </row>
    <row r="141" spans="1:111" x14ac:dyDescent="0.25">
      <c r="A141" s="7293" t="s">
        <v>4713</v>
      </c>
      <c r="B141" s="6170" t="s">
        <v>32</v>
      </c>
      <c r="C141" s="4461" t="s">
        <v>5369</v>
      </c>
      <c r="D141" s="4949" t="s">
        <v>5370</v>
      </c>
      <c r="E141" s="5007" t="s">
        <v>5371</v>
      </c>
      <c r="F141" s="4462" t="s">
        <v>5372</v>
      </c>
      <c r="G141" s="4230" t="s">
        <v>5373</v>
      </c>
      <c r="H141" s="4463" t="s">
        <v>5374</v>
      </c>
      <c r="I141" s="4365" t="s">
        <v>5375</v>
      </c>
      <c r="J141" s="3842" t="s">
        <v>5376</v>
      </c>
    </row>
    <row r="142" spans="1:111" x14ac:dyDescent="0.25">
      <c r="A142" s="7293" t="s">
        <v>4714</v>
      </c>
      <c r="B142" s="6170" t="s">
        <v>33</v>
      </c>
      <c r="C142" s="4461" t="s">
        <v>5369</v>
      </c>
      <c r="D142" s="4949" t="s">
        <v>5370</v>
      </c>
      <c r="E142" s="5007" t="s">
        <v>5371</v>
      </c>
      <c r="F142" s="4462" t="s">
        <v>5372</v>
      </c>
      <c r="G142" s="4230" t="s">
        <v>5373</v>
      </c>
      <c r="H142" s="4463" t="s">
        <v>5374</v>
      </c>
      <c r="I142" s="4365" t="s">
        <v>5375</v>
      </c>
      <c r="J142" s="3842" t="s">
        <v>5376</v>
      </c>
    </row>
    <row r="143" spans="1:111" x14ac:dyDescent="0.25">
      <c r="A143" s="7293" t="s">
        <v>4715</v>
      </c>
      <c r="B143" s="6169" t="s">
        <v>40</v>
      </c>
      <c r="C143" s="4456" t="s">
        <v>5369</v>
      </c>
      <c r="D143" s="4949" t="s">
        <v>5370</v>
      </c>
      <c r="E143" s="5007" t="s">
        <v>5371</v>
      </c>
      <c r="F143" s="4370" t="s">
        <v>5372</v>
      </c>
      <c r="G143" s="4457" t="s">
        <v>5373</v>
      </c>
      <c r="H143" s="4458" t="s">
        <v>5374</v>
      </c>
      <c r="I143" s="4459" t="s">
        <v>5375</v>
      </c>
      <c r="J143" s="4460" t="s">
        <v>5376</v>
      </c>
    </row>
    <row r="144" spans="1:111" x14ac:dyDescent="0.25">
      <c r="A144" s="7293" t="s">
        <v>4716</v>
      </c>
      <c r="B144" s="6169" t="s">
        <v>1434</v>
      </c>
      <c r="C144" s="4456" t="s">
        <v>5369</v>
      </c>
      <c r="D144" s="4949" t="s">
        <v>5370</v>
      </c>
      <c r="E144" s="5007" t="s">
        <v>5371</v>
      </c>
      <c r="F144" s="4370" t="s">
        <v>5372</v>
      </c>
      <c r="G144" s="4457" t="s">
        <v>5373</v>
      </c>
      <c r="H144" s="4458" t="s">
        <v>5374</v>
      </c>
      <c r="I144" s="4459" t="s">
        <v>5375</v>
      </c>
      <c r="J144" s="4460" t="s">
        <v>5376</v>
      </c>
    </row>
    <row r="145" spans="1:76" x14ac:dyDescent="0.25">
      <c r="A145" s="7293" t="s">
        <v>4717</v>
      </c>
      <c r="B145" s="5184" t="s">
        <v>2960</v>
      </c>
      <c r="C145" s="6171" t="s">
        <v>5369</v>
      </c>
      <c r="D145" s="6172" t="s">
        <v>5370</v>
      </c>
      <c r="E145" s="5038" t="s">
        <v>5371</v>
      </c>
      <c r="F145" s="6173" t="s">
        <v>5372</v>
      </c>
      <c r="G145" s="5035" t="s">
        <v>5373</v>
      </c>
      <c r="H145" s="5642" t="s">
        <v>5374</v>
      </c>
      <c r="I145" s="6174" t="s">
        <v>5375</v>
      </c>
      <c r="J145" s="6175" t="s">
        <v>5376</v>
      </c>
    </row>
    <row r="146" spans="1:76" x14ac:dyDescent="0.25">
      <c r="A146" s="7293" t="s">
        <v>4718</v>
      </c>
      <c r="B146" s="6176" t="s">
        <v>2961</v>
      </c>
      <c r="C146" s="4464" t="s">
        <v>5369</v>
      </c>
      <c r="D146" s="4420" t="s">
        <v>5370</v>
      </c>
      <c r="E146" s="5128" t="s">
        <v>5371</v>
      </c>
      <c r="F146" s="4388" t="s">
        <v>5372</v>
      </c>
      <c r="G146" s="4465" t="s">
        <v>5373</v>
      </c>
      <c r="H146" s="4466" t="s">
        <v>5374</v>
      </c>
      <c r="I146" s="4467" t="s">
        <v>5375</v>
      </c>
      <c r="J146" s="4468" t="s">
        <v>5376</v>
      </c>
    </row>
    <row r="147" spans="1:76" x14ac:dyDescent="0.25">
      <c r="A147" s="7280"/>
      <c r="B147" s="3940" t="s">
        <v>2764</v>
      </c>
    </row>
    <row r="148" spans="1:76" ht="19.95" customHeight="1" x14ac:dyDescent="0.25">
      <c r="A148" s="7280"/>
      <c r="B148" s="7636" t="s">
        <v>3458</v>
      </c>
      <c r="C148" s="2385"/>
      <c r="D148" s="2385"/>
    </row>
    <row r="149" spans="1:76" ht="26.25" customHeight="1" x14ac:dyDescent="0.25">
      <c r="A149" s="7280"/>
      <c r="B149" s="8018" t="s">
        <v>3367</v>
      </c>
      <c r="C149" s="7605" t="s">
        <v>3469</v>
      </c>
      <c r="D149" s="8019" t="s">
        <v>3470</v>
      </c>
      <c r="BW149" s="4259"/>
      <c r="BX149" s="4259"/>
    </row>
    <row r="150" spans="1:76" ht="24" customHeight="1" x14ac:dyDescent="0.25">
      <c r="A150" s="7259" t="s">
        <v>4719</v>
      </c>
      <c r="B150" s="8020" t="s">
        <v>3932</v>
      </c>
      <c r="C150" s="7697" t="s">
        <v>5369</v>
      </c>
      <c r="D150" s="8021" t="s">
        <v>5370</v>
      </c>
      <c r="BW150" s="4259"/>
      <c r="BX150" s="4259"/>
    </row>
    <row r="151" spans="1:76" ht="24" customHeight="1" x14ac:dyDescent="0.25">
      <c r="A151" s="7259" t="s">
        <v>4720</v>
      </c>
      <c r="B151" s="8022" t="s">
        <v>3933</v>
      </c>
      <c r="C151" s="7343" t="s">
        <v>5369</v>
      </c>
      <c r="D151" s="7375" t="s">
        <v>5370</v>
      </c>
      <c r="BW151" s="4259"/>
      <c r="BX151" s="4259"/>
    </row>
    <row r="152" spans="1:76" ht="24" customHeight="1" x14ac:dyDescent="0.3">
      <c r="B152" s="7126" t="s">
        <v>3985</v>
      </c>
      <c r="C152" s="1192"/>
      <c r="D152" s="1192"/>
      <c r="E152" s="165"/>
      <c r="F152" s="165"/>
      <c r="G152" s="165"/>
      <c r="H152" s="165"/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  <c r="X152" s="165"/>
      <c r="Y152" s="165"/>
      <c r="Z152" s="165"/>
      <c r="AA152" s="165"/>
      <c r="AB152" s="165"/>
      <c r="AC152" s="165"/>
      <c r="AD152" s="165"/>
      <c r="AE152" s="165"/>
      <c r="AF152" s="165"/>
      <c r="AG152" s="165"/>
      <c r="AH152" s="165"/>
      <c r="AI152" s="165"/>
      <c r="AJ152" s="165"/>
      <c r="AK152" s="165"/>
      <c r="AL152" s="165"/>
      <c r="AM152" s="165"/>
      <c r="AN152" s="165"/>
      <c r="AO152" s="165"/>
      <c r="AP152" s="165"/>
      <c r="AQ152" s="165"/>
      <c r="AR152" s="165"/>
      <c r="AS152" s="165"/>
      <c r="AT152" s="165"/>
      <c r="AU152"/>
      <c r="AV152"/>
      <c r="AW152"/>
      <c r="BW152" s="4259"/>
      <c r="BX152" s="4259"/>
    </row>
    <row r="153" spans="1:76" ht="24" customHeight="1" x14ac:dyDescent="0.25">
      <c r="B153" s="9477" t="s">
        <v>41</v>
      </c>
      <c r="C153" s="9477" t="s">
        <v>0</v>
      </c>
      <c r="D153" s="9479" t="s">
        <v>86</v>
      </c>
      <c r="E153" s="9480"/>
      <c r="F153" s="9481"/>
      <c r="G153" s="9485" t="s">
        <v>709</v>
      </c>
      <c r="H153" s="9486"/>
      <c r="I153" s="9486"/>
      <c r="J153" s="9486"/>
      <c r="K153" s="9486"/>
      <c r="L153" s="9486"/>
      <c r="M153" s="9486"/>
      <c r="N153" s="9486"/>
      <c r="O153" s="9486"/>
      <c r="P153" s="9486"/>
      <c r="Q153" s="9486"/>
      <c r="R153" s="9486"/>
      <c r="S153" s="9486"/>
      <c r="T153" s="9486"/>
      <c r="U153" s="9486"/>
      <c r="V153" s="9486"/>
      <c r="W153" s="9486"/>
      <c r="X153" s="9486"/>
      <c r="Y153" s="9486"/>
      <c r="Z153" s="9486"/>
      <c r="AA153" s="9486"/>
      <c r="AB153" s="9486"/>
      <c r="AC153" s="9486"/>
      <c r="AD153" s="9486"/>
      <c r="AE153" s="9486"/>
      <c r="AF153" s="9486"/>
      <c r="AG153" s="9486"/>
      <c r="AH153" s="9486"/>
      <c r="AI153" s="9486"/>
      <c r="AJ153" s="9486"/>
      <c r="AK153" s="9486"/>
      <c r="AL153" s="9486"/>
      <c r="AM153" s="9486"/>
      <c r="AN153" s="8603"/>
      <c r="AO153" s="9481" t="s">
        <v>360</v>
      </c>
      <c r="AP153" s="9487" t="s">
        <v>2957</v>
      </c>
      <c r="AQ153" s="9487" t="s">
        <v>2615</v>
      </c>
      <c r="AR153" s="9481" t="s">
        <v>362</v>
      </c>
      <c r="AS153" s="9481" t="s">
        <v>361</v>
      </c>
      <c r="AT153" s="9481" t="s">
        <v>3986</v>
      </c>
      <c r="AU153" s="9481" t="s">
        <v>3987</v>
      </c>
      <c r="AV153" s="9479" t="s">
        <v>363</v>
      </c>
      <c r="AW153" s="9481"/>
      <c r="BW153" s="4259"/>
      <c r="BX153" s="4259"/>
    </row>
    <row r="154" spans="1:76" ht="24" customHeight="1" x14ac:dyDescent="0.25">
      <c r="B154" s="8591"/>
      <c r="C154" s="8591"/>
      <c r="D154" s="9482"/>
      <c r="E154" s="9483"/>
      <c r="F154" s="9484"/>
      <c r="G154" s="9485" t="s">
        <v>75</v>
      </c>
      <c r="H154" s="9503"/>
      <c r="I154" s="9485" t="s">
        <v>76</v>
      </c>
      <c r="J154" s="9503"/>
      <c r="K154" s="9485" t="s">
        <v>77</v>
      </c>
      <c r="L154" s="9503"/>
      <c r="M154" s="9485" t="s">
        <v>71</v>
      </c>
      <c r="N154" s="9503"/>
      <c r="O154" s="9485" t="s">
        <v>4</v>
      </c>
      <c r="P154" s="9503"/>
      <c r="Q154" s="9504" t="s">
        <v>5</v>
      </c>
      <c r="R154" s="9505"/>
      <c r="S154" s="9504" t="s">
        <v>6</v>
      </c>
      <c r="T154" s="9505"/>
      <c r="U154" s="9504" t="s">
        <v>7</v>
      </c>
      <c r="V154" s="9505"/>
      <c r="W154" s="9504" t="s">
        <v>8</v>
      </c>
      <c r="X154" s="9505"/>
      <c r="Y154" s="9504" t="s">
        <v>9</v>
      </c>
      <c r="Z154" s="9505"/>
      <c r="AA154" s="9504" t="s">
        <v>10</v>
      </c>
      <c r="AB154" s="9505"/>
      <c r="AC154" s="9504" t="s">
        <v>11</v>
      </c>
      <c r="AD154" s="9505"/>
      <c r="AE154" s="9504" t="s">
        <v>12</v>
      </c>
      <c r="AF154" s="9505"/>
      <c r="AG154" s="9504" t="s">
        <v>13</v>
      </c>
      <c r="AH154" s="9505"/>
      <c r="AI154" s="9504" t="s">
        <v>14</v>
      </c>
      <c r="AJ154" s="9505"/>
      <c r="AK154" s="9504" t="s">
        <v>15</v>
      </c>
      <c r="AL154" s="9505"/>
      <c r="AM154" s="9504" t="s">
        <v>16</v>
      </c>
      <c r="AN154" s="9506"/>
      <c r="AO154" s="8581"/>
      <c r="AP154" s="9116"/>
      <c r="AQ154" s="9116"/>
      <c r="AR154" s="8581"/>
      <c r="AS154" s="8581"/>
      <c r="AT154" s="8581"/>
      <c r="AU154" s="8581"/>
      <c r="AV154" s="9482"/>
      <c r="AW154" s="9484"/>
      <c r="BW154" s="4259"/>
      <c r="BX154" s="4259"/>
    </row>
    <row r="155" spans="1:76" ht="24" customHeight="1" x14ac:dyDescent="0.25">
      <c r="B155" s="9478"/>
      <c r="C155" s="9478"/>
      <c r="D155" s="7101" t="s">
        <v>42</v>
      </c>
      <c r="E155" s="7102" t="s">
        <v>17</v>
      </c>
      <c r="F155" s="3259" t="s">
        <v>18</v>
      </c>
      <c r="G155" s="7105" t="s">
        <v>17</v>
      </c>
      <c r="H155" s="3259" t="s">
        <v>18</v>
      </c>
      <c r="I155" s="7105" t="s">
        <v>17</v>
      </c>
      <c r="J155" s="3259" t="s">
        <v>18</v>
      </c>
      <c r="K155" s="7105" t="s">
        <v>17</v>
      </c>
      <c r="L155" s="3259" t="s">
        <v>18</v>
      </c>
      <c r="M155" s="7105" t="s">
        <v>17</v>
      </c>
      <c r="N155" s="3259" t="s">
        <v>18</v>
      </c>
      <c r="O155" s="7105" t="s">
        <v>17</v>
      </c>
      <c r="P155" s="3259" t="s">
        <v>18</v>
      </c>
      <c r="Q155" s="7105" t="s">
        <v>17</v>
      </c>
      <c r="R155" s="3259" t="s">
        <v>18</v>
      </c>
      <c r="S155" s="7105" t="s">
        <v>17</v>
      </c>
      <c r="T155" s="3259" t="s">
        <v>18</v>
      </c>
      <c r="U155" s="7105" t="s">
        <v>17</v>
      </c>
      <c r="V155" s="3259" t="s">
        <v>18</v>
      </c>
      <c r="W155" s="7105" t="s">
        <v>17</v>
      </c>
      <c r="X155" s="3259" t="s">
        <v>18</v>
      </c>
      <c r="Y155" s="7105" t="s">
        <v>17</v>
      </c>
      <c r="Z155" s="3259" t="s">
        <v>18</v>
      </c>
      <c r="AA155" s="7105" t="s">
        <v>17</v>
      </c>
      <c r="AB155" s="3259" t="s">
        <v>18</v>
      </c>
      <c r="AC155" s="7105" t="s">
        <v>17</v>
      </c>
      <c r="AD155" s="3259" t="s">
        <v>18</v>
      </c>
      <c r="AE155" s="7105" t="s">
        <v>17</v>
      </c>
      <c r="AF155" s="3259" t="s">
        <v>18</v>
      </c>
      <c r="AG155" s="7105" t="s">
        <v>17</v>
      </c>
      <c r="AH155" s="3259" t="s">
        <v>18</v>
      </c>
      <c r="AI155" s="7105" t="s">
        <v>17</v>
      </c>
      <c r="AJ155" s="3259" t="s">
        <v>18</v>
      </c>
      <c r="AK155" s="7105" t="s">
        <v>17</v>
      </c>
      <c r="AL155" s="3259" t="s">
        <v>18</v>
      </c>
      <c r="AM155" s="7105" t="s">
        <v>17</v>
      </c>
      <c r="AN155" s="2156" t="s">
        <v>18</v>
      </c>
      <c r="AO155" s="9484"/>
      <c r="AP155" s="9488"/>
      <c r="AQ155" s="9488"/>
      <c r="AR155" s="9484"/>
      <c r="AS155" s="9484"/>
      <c r="AT155" s="9484"/>
      <c r="AU155" s="9484"/>
      <c r="AV155" s="7103" t="s">
        <v>358</v>
      </c>
      <c r="AW155" s="7103" t="s">
        <v>359</v>
      </c>
      <c r="BW155" s="4259"/>
      <c r="BX155" s="4259"/>
    </row>
    <row r="156" spans="1:76" ht="16.5" customHeight="1" x14ac:dyDescent="0.25">
      <c r="A156" s="7258" t="s">
        <v>4721</v>
      </c>
      <c r="B156" s="9497" t="s">
        <v>3988</v>
      </c>
      <c r="C156" s="7106" t="s">
        <v>2590</v>
      </c>
      <c r="D156" s="7068" t="s">
        <v>5369</v>
      </c>
      <c r="E156" s="6820" t="s">
        <v>5370</v>
      </c>
      <c r="F156" s="7107" t="s">
        <v>5371</v>
      </c>
      <c r="G156" s="6876" t="s">
        <v>5372</v>
      </c>
      <c r="H156" s="6833" t="s">
        <v>5373</v>
      </c>
      <c r="I156" s="6876" t="s">
        <v>5374</v>
      </c>
      <c r="J156" s="6833" t="s">
        <v>5375</v>
      </c>
      <c r="K156" s="6876" t="s">
        <v>5376</v>
      </c>
      <c r="L156" s="6858" t="s">
        <v>5377</v>
      </c>
      <c r="M156" s="6876" t="s">
        <v>5378</v>
      </c>
      <c r="N156" s="6858" t="s">
        <v>5379</v>
      </c>
      <c r="O156" s="6876" t="s">
        <v>5380</v>
      </c>
      <c r="P156" s="6858" t="s">
        <v>5381</v>
      </c>
      <c r="Q156" s="6876" t="s">
        <v>5382</v>
      </c>
      <c r="R156" s="6858" t="s">
        <v>5383</v>
      </c>
      <c r="S156" s="6876" t="s">
        <v>5384</v>
      </c>
      <c r="T156" s="6858" t="s">
        <v>5385</v>
      </c>
      <c r="U156" s="6876" t="s">
        <v>5386</v>
      </c>
      <c r="V156" s="6858" t="s">
        <v>5387</v>
      </c>
      <c r="W156" s="6876" t="s">
        <v>5388</v>
      </c>
      <c r="X156" s="6858" t="s">
        <v>5389</v>
      </c>
      <c r="Y156" s="6876" t="s">
        <v>5390</v>
      </c>
      <c r="Z156" s="6858" t="s">
        <v>5391</v>
      </c>
      <c r="AA156" s="6876" t="s">
        <v>5392</v>
      </c>
      <c r="AB156" s="6858" t="s">
        <v>5393</v>
      </c>
      <c r="AC156" s="6876" t="s">
        <v>5394</v>
      </c>
      <c r="AD156" s="6858" t="s">
        <v>5395</v>
      </c>
      <c r="AE156" s="6876" t="s">
        <v>5396</v>
      </c>
      <c r="AF156" s="6858" t="s">
        <v>5397</v>
      </c>
      <c r="AG156" s="6876" t="s">
        <v>5398</v>
      </c>
      <c r="AH156" s="6858" t="s">
        <v>5399</v>
      </c>
      <c r="AI156" s="6876" t="s">
        <v>5400</v>
      </c>
      <c r="AJ156" s="6858" t="s">
        <v>5401</v>
      </c>
      <c r="AK156" s="6876" t="s">
        <v>5402</v>
      </c>
      <c r="AL156" s="6858" t="s">
        <v>5403</v>
      </c>
      <c r="AM156" s="7108" t="s">
        <v>5404</v>
      </c>
      <c r="AN156" s="7109" t="s">
        <v>5405</v>
      </c>
      <c r="AO156" s="6833" t="s">
        <v>5406</v>
      </c>
      <c r="AP156" s="6833" t="s">
        <v>5407</v>
      </c>
      <c r="AQ156" s="6833" t="s">
        <v>5408</v>
      </c>
      <c r="AR156" s="6833" t="s">
        <v>5409</v>
      </c>
      <c r="AS156" s="6833" t="s">
        <v>5410</v>
      </c>
      <c r="AT156" s="6833" t="s">
        <v>5411</v>
      </c>
      <c r="AU156" s="6833" t="s">
        <v>5412</v>
      </c>
      <c r="AV156" s="6833" t="s">
        <v>5413</v>
      </c>
      <c r="AW156" s="6833" t="s">
        <v>5414</v>
      </c>
      <c r="BW156" s="4259"/>
      <c r="BX156" s="4259"/>
    </row>
    <row r="157" spans="1:76" ht="16.5" customHeight="1" x14ac:dyDescent="0.25">
      <c r="A157" s="7258" t="s">
        <v>4722</v>
      </c>
      <c r="B157" s="8705"/>
      <c r="C157" s="7110" t="s">
        <v>60</v>
      </c>
      <c r="D157" s="3061" t="s">
        <v>5369</v>
      </c>
      <c r="E157" s="3062" t="s">
        <v>5370</v>
      </c>
      <c r="F157" s="7111" t="s">
        <v>5371</v>
      </c>
      <c r="G157" s="2956" t="s">
        <v>5372</v>
      </c>
      <c r="H157" s="3041" t="s">
        <v>5373</v>
      </c>
      <c r="I157" s="2956" t="s">
        <v>5374</v>
      </c>
      <c r="J157" s="3041" t="s">
        <v>5375</v>
      </c>
      <c r="K157" s="2956" t="s">
        <v>5376</v>
      </c>
      <c r="L157" s="1844" t="s">
        <v>5377</v>
      </c>
      <c r="M157" s="2956" t="s">
        <v>5378</v>
      </c>
      <c r="N157" s="1844" t="s">
        <v>5379</v>
      </c>
      <c r="O157" s="2956" t="s">
        <v>5380</v>
      </c>
      <c r="P157" s="1844" t="s">
        <v>5381</v>
      </c>
      <c r="Q157" s="2956" t="s">
        <v>5382</v>
      </c>
      <c r="R157" s="1844" t="s">
        <v>5383</v>
      </c>
      <c r="S157" s="2956" t="s">
        <v>5384</v>
      </c>
      <c r="T157" s="1844" t="s">
        <v>5385</v>
      </c>
      <c r="U157" s="2956" t="s">
        <v>5386</v>
      </c>
      <c r="V157" s="1844" t="s">
        <v>5387</v>
      </c>
      <c r="W157" s="2956" t="s">
        <v>5388</v>
      </c>
      <c r="X157" s="1844" t="s">
        <v>5389</v>
      </c>
      <c r="Y157" s="2956" t="s">
        <v>5390</v>
      </c>
      <c r="Z157" s="1844" t="s">
        <v>5391</v>
      </c>
      <c r="AA157" s="2956" t="s">
        <v>5392</v>
      </c>
      <c r="AB157" s="1844" t="s">
        <v>5393</v>
      </c>
      <c r="AC157" s="2956" t="s">
        <v>5394</v>
      </c>
      <c r="AD157" s="1844" t="s">
        <v>5395</v>
      </c>
      <c r="AE157" s="2956" t="s">
        <v>5396</v>
      </c>
      <c r="AF157" s="1844" t="s">
        <v>5397</v>
      </c>
      <c r="AG157" s="2956" t="s">
        <v>5398</v>
      </c>
      <c r="AH157" s="1844" t="s">
        <v>5399</v>
      </c>
      <c r="AI157" s="2956" t="s">
        <v>5400</v>
      </c>
      <c r="AJ157" s="1844" t="s">
        <v>5401</v>
      </c>
      <c r="AK157" s="2956" t="s">
        <v>5402</v>
      </c>
      <c r="AL157" s="1844" t="s">
        <v>5403</v>
      </c>
      <c r="AM157" s="1870" t="s">
        <v>5404</v>
      </c>
      <c r="AN157" s="2957" t="s">
        <v>5405</v>
      </c>
      <c r="AO157" s="3041" t="s">
        <v>5406</v>
      </c>
      <c r="AP157" s="3041" t="s">
        <v>5407</v>
      </c>
      <c r="AQ157" s="3041" t="s">
        <v>5408</v>
      </c>
      <c r="AR157" s="3041" t="s">
        <v>5409</v>
      </c>
      <c r="AS157" s="3041" t="s">
        <v>5410</v>
      </c>
      <c r="AT157" s="3041" t="s">
        <v>5411</v>
      </c>
      <c r="AU157" s="3041" t="s">
        <v>5412</v>
      </c>
      <c r="AV157" s="3041" t="s">
        <v>5413</v>
      </c>
      <c r="AW157" s="3041" t="s">
        <v>5414</v>
      </c>
      <c r="BW157" s="4259"/>
      <c r="BX157" s="4259"/>
    </row>
    <row r="158" spans="1:76" ht="16.5" customHeight="1" x14ac:dyDescent="0.25">
      <c r="A158" s="7258" t="s">
        <v>4723</v>
      </c>
      <c r="B158" s="8705"/>
      <c r="C158" s="7110" t="s">
        <v>2592</v>
      </c>
      <c r="D158" s="3061" t="s">
        <v>5369</v>
      </c>
      <c r="E158" s="3062" t="s">
        <v>5370</v>
      </c>
      <c r="F158" s="7111" t="s">
        <v>5371</v>
      </c>
      <c r="G158" s="2956" t="s">
        <v>5372</v>
      </c>
      <c r="H158" s="3041" t="s">
        <v>5373</v>
      </c>
      <c r="I158" s="2956" t="s">
        <v>5374</v>
      </c>
      <c r="J158" s="3041" t="s">
        <v>5375</v>
      </c>
      <c r="K158" s="2956" t="s">
        <v>5376</v>
      </c>
      <c r="L158" s="1844" t="s">
        <v>5377</v>
      </c>
      <c r="M158" s="2956" t="s">
        <v>5378</v>
      </c>
      <c r="N158" s="1844" t="s">
        <v>5379</v>
      </c>
      <c r="O158" s="2956" t="s">
        <v>5380</v>
      </c>
      <c r="P158" s="1844" t="s">
        <v>5381</v>
      </c>
      <c r="Q158" s="2956" t="s">
        <v>5382</v>
      </c>
      <c r="R158" s="1844" t="s">
        <v>5383</v>
      </c>
      <c r="S158" s="2956" t="s">
        <v>5384</v>
      </c>
      <c r="T158" s="1844" t="s">
        <v>5385</v>
      </c>
      <c r="U158" s="2956" t="s">
        <v>5386</v>
      </c>
      <c r="V158" s="1844" t="s">
        <v>5387</v>
      </c>
      <c r="W158" s="2956" t="s">
        <v>5388</v>
      </c>
      <c r="X158" s="1844" t="s">
        <v>5389</v>
      </c>
      <c r="Y158" s="2956" t="s">
        <v>5390</v>
      </c>
      <c r="Z158" s="1844" t="s">
        <v>5391</v>
      </c>
      <c r="AA158" s="2956" t="s">
        <v>5392</v>
      </c>
      <c r="AB158" s="1844" t="s">
        <v>5393</v>
      </c>
      <c r="AC158" s="2956" t="s">
        <v>5394</v>
      </c>
      <c r="AD158" s="1844" t="s">
        <v>5395</v>
      </c>
      <c r="AE158" s="2956" t="s">
        <v>5396</v>
      </c>
      <c r="AF158" s="1844" t="s">
        <v>5397</v>
      </c>
      <c r="AG158" s="2956" t="s">
        <v>5398</v>
      </c>
      <c r="AH158" s="1844" t="s">
        <v>5399</v>
      </c>
      <c r="AI158" s="2956" t="s">
        <v>5400</v>
      </c>
      <c r="AJ158" s="1844" t="s">
        <v>5401</v>
      </c>
      <c r="AK158" s="2956" t="s">
        <v>5402</v>
      </c>
      <c r="AL158" s="1844" t="s">
        <v>5403</v>
      </c>
      <c r="AM158" s="1870" t="s">
        <v>5404</v>
      </c>
      <c r="AN158" s="2957" t="s">
        <v>5405</v>
      </c>
      <c r="AO158" s="3041" t="s">
        <v>5406</v>
      </c>
      <c r="AP158" s="3041" t="s">
        <v>5407</v>
      </c>
      <c r="AQ158" s="3041" t="s">
        <v>5408</v>
      </c>
      <c r="AR158" s="3041" t="s">
        <v>5409</v>
      </c>
      <c r="AS158" s="3041" t="s">
        <v>5410</v>
      </c>
      <c r="AT158" s="3041" t="s">
        <v>5411</v>
      </c>
      <c r="AU158" s="3041" t="s">
        <v>5412</v>
      </c>
      <c r="AV158" s="3041" t="s">
        <v>5413</v>
      </c>
      <c r="AW158" s="3041" t="s">
        <v>5414</v>
      </c>
      <c r="BW158" s="4259"/>
      <c r="BX158" s="4259"/>
    </row>
    <row r="159" spans="1:76" ht="16.5" customHeight="1" x14ac:dyDescent="0.25">
      <c r="A159" s="7258" t="s">
        <v>4724</v>
      </c>
      <c r="B159" s="8705"/>
      <c r="C159" s="7110" t="s">
        <v>599</v>
      </c>
      <c r="D159" s="3061" t="s">
        <v>5369</v>
      </c>
      <c r="E159" s="3062" t="s">
        <v>5370</v>
      </c>
      <c r="F159" s="7111" t="s">
        <v>5371</v>
      </c>
      <c r="G159" s="2956" t="s">
        <v>5372</v>
      </c>
      <c r="H159" s="3041" t="s">
        <v>5373</v>
      </c>
      <c r="I159" s="2956" t="s">
        <v>5374</v>
      </c>
      <c r="J159" s="3041" t="s">
        <v>5375</v>
      </c>
      <c r="K159" s="2956" t="s">
        <v>5376</v>
      </c>
      <c r="L159" s="1844" t="s">
        <v>5377</v>
      </c>
      <c r="M159" s="2956" t="s">
        <v>5378</v>
      </c>
      <c r="N159" s="1844" t="s">
        <v>5379</v>
      </c>
      <c r="O159" s="2956" t="s">
        <v>5380</v>
      </c>
      <c r="P159" s="1844" t="s">
        <v>5381</v>
      </c>
      <c r="Q159" s="2956" t="s">
        <v>5382</v>
      </c>
      <c r="R159" s="1844" t="s">
        <v>5383</v>
      </c>
      <c r="S159" s="2956" t="s">
        <v>5384</v>
      </c>
      <c r="T159" s="1844" t="s">
        <v>5385</v>
      </c>
      <c r="U159" s="2956" t="s">
        <v>5386</v>
      </c>
      <c r="V159" s="1844" t="s">
        <v>5387</v>
      </c>
      <c r="W159" s="2956" t="s">
        <v>5388</v>
      </c>
      <c r="X159" s="1844" t="s">
        <v>5389</v>
      </c>
      <c r="Y159" s="2956" t="s">
        <v>5390</v>
      </c>
      <c r="Z159" s="1844" t="s">
        <v>5391</v>
      </c>
      <c r="AA159" s="2956" t="s">
        <v>5392</v>
      </c>
      <c r="AB159" s="1844" t="s">
        <v>5393</v>
      </c>
      <c r="AC159" s="2956" t="s">
        <v>5394</v>
      </c>
      <c r="AD159" s="1844" t="s">
        <v>5395</v>
      </c>
      <c r="AE159" s="2956" t="s">
        <v>5396</v>
      </c>
      <c r="AF159" s="1844" t="s">
        <v>5397</v>
      </c>
      <c r="AG159" s="2956" t="s">
        <v>5398</v>
      </c>
      <c r="AH159" s="1844" t="s">
        <v>5399</v>
      </c>
      <c r="AI159" s="2956" t="s">
        <v>5400</v>
      </c>
      <c r="AJ159" s="1844" t="s">
        <v>5401</v>
      </c>
      <c r="AK159" s="2956" t="s">
        <v>5402</v>
      </c>
      <c r="AL159" s="1844" t="s">
        <v>5403</v>
      </c>
      <c r="AM159" s="1870" t="s">
        <v>5404</v>
      </c>
      <c r="AN159" s="2957" t="s">
        <v>5405</v>
      </c>
      <c r="AO159" s="3041" t="s">
        <v>5406</v>
      </c>
      <c r="AP159" s="3041" t="s">
        <v>5407</v>
      </c>
      <c r="AQ159" s="3041" t="s">
        <v>5408</v>
      </c>
      <c r="AR159" s="3041" t="s">
        <v>5409</v>
      </c>
      <c r="AS159" s="3041" t="s">
        <v>5410</v>
      </c>
      <c r="AT159" s="3041" t="s">
        <v>5411</v>
      </c>
      <c r="AU159" s="3041" t="s">
        <v>5412</v>
      </c>
      <c r="AV159" s="3041" t="s">
        <v>5413</v>
      </c>
      <c r="AW159" s="3041" t="s">
        <v>5414</v>
      </c>
      <c r="BW159" s="4259"/>
      <c r="BX159" s="4259"/>
    </row>
    <row r="160" spans="1:76" ht="16.5" customHeight="1" x14ac:dyDescent="0.25">
      <c r="A160" s="7258" t="s">
        <v>4725</v>
      </c>
      <c r="B160" s="8705"/>
      <c r="C160" s="7110" t="s">
        <v>3123</v>
      </c>
      <c r="D160" s="3061" t="s">
        <v>5369</v>
      </c>
      <c r="E160" s="3062" t="s">
        <v>5370</v>
      </c>
      <c r="F160" s="7111" t="s">
        <v>5371</v>
      </c>
      <c r="G160" s="2956" t="s">
        <v>5372</v>
      </c>
      <c r="H160" s="3041" t="s">
        <v>5373</v>
      </c>
      <c r="I160" s="2956" t="s">
        <v>5374</v>
      </c>
      <c r="J160" s="3041" t="s">
        <v>5375</v>
      </c>
      <c r="K160" s="2956" t="s">
        <v>5376</v>
      </c>
      <c r="L160" s="1844" t="s">
        <v>5377</v>
      </c>
      <c r="M160" s="2956" t="s">
        <v>5378</v>
      </c>
      <c r="N160" s="1844" t="s">
        <v>5379</v>
      </c>
      <c r="O160" s="2956" t="s">
        <v>5380</v>
      </c>
      <c r="P160" s="1844" t="s">
        <v>5381</v>
      </c>
      <c r="Q160" s="2956" t="s">
        <v>5382</v>
      </c>
      <c r="R160" s="1844" t="s">
        <v>5383</v>
      </c>
      <c r="S160" s="2956" t="s">
        <v>5384</v>
      </c>
      <c r="T160" s="1844" t="s">
        <v>5385</v>
      </c>
      <c r="U160" s="2956" t="s">
        <v>5386</v>
      </c>
      <c r="V160" s="1844" t="s">
        <v>5387</v>
      </c>
      <c r="W160" s="2956" t="s">
        <v>5388</v>
      </c>
      <c r="X160" s="1844" t="s">
        <v>5389</v>
      </c>
      <c r="Y160" s="2956" t="s">
        <v>5390</v>
      </c>
      <c r="Z160" s="1844" t="s">
        <v>5391</v>
      </c>
      <c r="AA160" s="2956" t="s">
        <v>5392</v>
      </c>
      <c r="AB160" s="1844" t="s">
        <v>5393</v>
      </c>
      <c r="AC160" s="2956" t="s">
        <v>5394</v>
      </c>
      <c r="AD160" s="1844" t="s">
        <v>5395</v>
      </c>
      <c r="AE160" s="2956" t="s">
        <v>5396</v>
      </c>
      <c r="AF160" s="1844" t="s">
        <v>5397</v>
      </c>
      <c r="AG160" s="2956" t="s">
        <v>5398</v>
      </c>
      <c r="AH160" s="1844" t="s">
        <v>5399</v>
      </c>
      <c r="AI160" s="2956" t="s">
        <v>5400</v>
      </c>
      <c r="AJ160" s="1844" t="s">
        <v>5401</v>
      </c>
      <c r="AK160" s="2956" t="s">
        <v>5402</v>
      </c>
      <c r="AL160" s="1844" t="s">
        <v>5403</v>
      </c>
      <c r="AM160" s="1870" t="s">
        <v>5404</v>
      </c>
      <c r="AN160" s="2957" t="s">
        <v>5405</v>
      </c>
      <c r="AO160" s="3041" t="s">
        <v>5406</v>
      </c>
      <c r="AP160" s="3041" t="s">
        <v>5407</v>
      </c>
      <c r="AQ160" s="3041" t="s">
        <v>5408</v>
      </c>
      <c r="AR160" s="3041" t="s">
        <v>5409</v>
      </c>
      <c r="AS160" s="3041" t="s">
        <v>5410</v>
      </c>
      <c r="AT160" s="3041" t="s">
        <v>5411</v>
      </c>
      <c r="AU160" s="3041" t="s">
        <v>5412</v>
      </c>
      <c r="AV160" s="3041" t="s">
        <v>5413</v>
      </c>
      <c r="AW160" s="3041" t="s">
        <v>5414</v>
      </c>
      <c r="BW160" s="4259"/>
      <c r="BX160" s="4259"/>
    </row>
    <row r="161" spans="1:131" ht="16.5" customHeight="1" x14ac:dyDescent="0.25">
      <c r="A161" s="7258" t="s">
        <v>4726</v>
      </c>
      <c r="B161" s="8705"/>
      <c r="C161" s="7110" t="s">
        <v>63</v>
      </c>
      <c r="D161" s="3061" t="s">
        <v>5369</v>
      </c>
      <c r="E161" s="3062" t="s">
        <v>5370</v>
      </c>
      <c r="F161" s="7111" t="s">
        <v>5371</v>
      </c>
      <c r="G161" s="2956" t="s">
        <v>5372</v>
      </c>
      <c r="H161" s="3041" t="s">
        <v>5373</v>
      </c>
      <c r="I161" s="2956" t="s">
        <v>5374</v>
      </c>
      <c r="J161" s="3041" t="s">
        <v>5375</v>
      </c>
      <c r="K161" s="2956" t="s">
        <v>5376</v>
      </c>
      <c r="L161" s="1844" t="s">
        <v>5377</v>
      </c>
      <c r="M161" s="2956" t="s">
        <v>5378</v>
      </c>
      <c r="N161" s="1844" t="s">
        <v>5379</v>
      </c>
      <c r="O161" s="2956" t="s">
        <v>5380</v>
      </c>
      <c r="P161" s="1844" t="s">
        <v>5381</v>
      </c>
      <c r="Q161" s="2956" t="s">
        <v>5382</v>
      </c>
      <c r="R161" s="1844" t="s">
        <v>5383</v>
      </c>
      <c r="S161" s="2956" t="s">
        <v>5384</v>
      </c>
      <c r="T161" s="1844" t="s">
        <v>5385</v>
      </c>
      <c r="U161" s="2956" t="s">
        <v>5386</v>
      </c>
      <c r="V161" s="1844" t="s">
        <v>5387</v>
      </c>
      <c r="W161" s="2956" t="s">
        <v>5388</v>
      </c>
      <c r="X161" s="1844" t="s">
        <v>5389</v>
      </c>
      <c r="Y161" s="2956" t="s">
        <v>5390</v>
      </c>
      <c r="Z161" s="1844" t="s">
        <v>5391</v>
      </c>
      <c r="AA161" s="2956" t="s">
        <v>5392</v>
      </c>
      <c r="AB161" s="1844" t="s">
        <v>5393</v>
      </c>
      <c r="AC161" s="2956" t="s">
        <v>5394</v>
      </c>
      <c r="AD161" s="1844" t="s">
        <v>5395</v>
      </c>
      <c r="AE161" s="2956" t="s">
        <v>5396</v>
      </c>
      <c r="AF161" s="1844" t="s">
        <v>5397</v>
      </c>
      <c r="AG161" s="2956" t="s">
        <v>5398</v>
      </c>
      <c r="AH161" s="1844" t="s">
        <v>5399</v>
      </c>
      <c r="AI161" s="2956" t="s">
        <v>5400</v>
      </c>
      <c r="AJ161" s="1844" t="s">
        <v>5401</v>
      </c>
      <c r="AK161" s="2956" t="s">
        <v>5402</v>
      </c>
      <c r="AL161" s="1844" t="s">
        <v>5403</v>
      </c>
      <c r="AM161" s="1870" t="s">
        <v>5404</v>
      </c>
      <c r="AN161" s="2957" t="s">
        <v>5405</v>
      </c>
      <c r="AO161" s="3041" t="s">
        <v>5406</v>
      </c>
      <c r="AP161" s="3041" t="s">
        <v>5407</v>
      </c>
      <c r="AQ161" s="3041" t="s">
        <v>5408</v>
      </c>
      <c r="AR161" s="3041" t="s">
        <v>5409</v>
      </c>
      <c r="AS161" s="3041" t="s">
        <v>5410</v>
      </c>
      <c r="AT161" s="3041" t="s">
        <v>5411</v>
      </c>
      <c r="AU161" s="3041" t="s">
        <v>5412</v>
      </c>
      <c r="AV161" s="3041" t="s">
        <v>5413</v>
      </c>
      <c r="AW161" s="3041" t="s">
        <v>5414</v>
      </c>
      <c r="BW161" s="4259"/>
      <c r="BX161" s="4259"/>
    </row>
    <row r="162" spans="1:131" ht="16.5" customHeight="1" x14ac:dyDescent="0.25">
      <c r="A162" s="7258" t="s">
        <v>4727</v>
      </c>
      <c r="B162" s="8705"/>
      <c r="C162" s="7110" t="s">
        <v>62</v>
      </c>
      <c r="D162" s="7112" t="s">
        <v>5369</v>
      </c>
      <c r="E162" s="4819" t="s">
        <v>5370</v>
      </c>
      <c r="F162" s="3184" t="s">
        <v>5371</v>
      </c>
      <c r="G162" s="3185" t="s">
        <v>5372</v>
      </c>
      <c r="H162" s="3186" t="s">
        <v>5373</v>
      </c>
      <c r="I162" s="3185" t="s">
        <v>5374</v>
      </c>
      <c r="J162" s="3186" t="s">
        <v>5375</v>
      </c>
      <c r="K162" s="3185" t="s">
        <v>5376</v>
      </c>
      <c r="L162" s="2537" t="s">
        <v>5377</v>
      </c>
      <c r="M162" s="3185" t="s">
        <v>5378</v>
      </c>
      <c r="N162" s="2537" t="s">
        <v>5379</v>
      </c>
      <c r="O162" s="3185" t="s">
        <v>5380</v>
      </c>
      <c r="P162" s="2537" t="s">
        <v>5381</v>
      </c>
      <c r="Q162" s="3185" t="s">
        <v>5382</v>
      </c>
      <c r="R162" s="2537" t="s">
        <v>5383</v>
      </c>
      <c r="S162" s="3185" t="s">
        <v>5384</v>
      </c>
      <c r="T162" s="2537" t="s">
        <v>5385</v>
      </c>
      <c r="U162" s="3185" t="s">
        <v>5386</v>
      </c>
      <c r="V162" s="2537" t="s">
        <v>5387</v>
      </c>
      <c r="W162" s="3185" t="s">
        <v>5388</v>
      </c>
      <c r="X162" s="2537" t="s">
        <v>5389</v>
      </c>
      <c r="Y162" s="3185" t="s">
        <v>5390</v>
      </c>
      <c r="Z162" s="2537" t="s">
        <v>5391</v>
      </c>
      <c r="AA162" s="3185" t="s">
        <v>5392</v>
      </c>
      <c r="AB162" s="2537" t="s">
        <v>5393</v>
      </c>
      <c r="AC162" s="3185" t="s">
        <v>5394</v>
      </c>
      <c r="AD162" s="2537" t="s">
        <v>5395</v>
      </c>
      <c r="AE162" s="3185" t="s">
        <v>5396</v>
      </c>
      <c r="AF162" s="2537" t="s">
        <v>5397</v>
      </c>
      <c r="AG162" s="3185" t="s">
        <v>5398</v>
      </c>
      <c r="AH162" s="2537" t="s">
        <v>5399</v>
      </c>
      <c r="AI162" s="3185" t="s">
        <v>5400</v>
      </c>
      <c r="AJ162" s="2537" t="s">
        <v>5401</v>
      </c>
      <c r="AK162" s="3185" t="s">
        <v>5402</v>
      </c>
      <c r="AL162" s="2537" t="s">
        <v>5403</v>
      </c>
      <c r="AM162" s="2538" t="s">
        <v>5404</v>
      </c>
      <c r="AN162" s="7113" t="s">
        <v>5405</v>
      </c>
      <c r="AO162" s="3186" t="s">
        <v>5406</v>
      </c>
      <c r="AP162" s="3186" t="s">
        <v>5407</v>
      </c>
      <c r="AQ162" s="3186" t="s">
        <v>5408</v>
      </c>
      <c r="AR162" s="3186" t="s">
        <v>5409</v>
      </c>
      <c r="AS162" s="3186" t="s">
        <v>5410</v>
      </c>
      <c r="AT162" s="3186" t="s">
        <v>5411</v>
      </c>
      <c r="AU162" s="3186" t="s">
        <v>5412</v>
      </c>
      <c r="AV162" s="3186" t="s">
        <v>5413</v>
      </c>
      <c r="AW162" s="3186" t="s">
        <v>5414</v>
      </c>
      <c r="BW162" s="4259"/>
      <c r="BX162" s="4259"/>
    </row>
    <row r="163" spans="1:131" ht="26.25" customHeight="1" x14ac:dyDescent="0.25">
      <c r="A163" s="7258" t="s">
        <v>4728</v>
      </c>
      <c r="B163" s="8705"/>
      <c r="C163" s="7110" t="s">
        <v>3989</v>
      </c>
      <c r="D163" s="7112" t="s">
        <v>5369</v>
      </c>
      <c r="E163" s="4819" t="s">
        <v>5370</v>
      </c>
      <c r="F163" s="3184" t="s">
        <v>5371</v>
      </c>
      <c r="G163" s="3185" t="s">
        <v>5372</v>
      </c>
      <c r="H163" s="3186" t="s">
        <v>5373</v>
      </c>
      <c r="I163" s="3185" t="s">
        <v>5374</v>
      </c>
      <c r="J163" s="3186" t="s">
        <v>5375</v>
      </c>
      <c r="K163" s="3185" t="s">
        <v>5376</v>
      </c>
      <c r="L163" s="2537" t="s">
        <v>5377</v>
      </c>
      <c r="M163" s="3185" t="s">
        <v>5378</v>
      </c>
      <c r="N163" s="2537" t="s">
        <v>5379</v>
      </c>
      <c r="O163" s="3185" t="s">
        <v>5380</v>
      </c>
      <c r="P163" s="2537" t="s">
        <v>5381</v>
      </c>
      <c r="Q163" s="3185" t="s">
        <v>5382</v>
      </c>
      <c r="R163" s="2537" t="s">
        <v>5383</v>
      </c>
      <c r="S163" s="3185" t="s">
        <v>5384</v>
      </c>
      <c r="T163" s="2537" t="s">
        <v>5385</v>
      </c>
      <c r="U163" s="3185" t="s">
        <v>5386</v>
      </c>
      <c r="V163" s="2537" t="s">
        <v>5387</v>
      </c>
      <c r="W163" s="3185" t="s">
        <v>5388</v>
      </c>
      <c r="X163" s="2537" t="s">
        <v>5389</v>
      </c>
      <c r="Y163" s="3185" t="s">
        <v>5390</v>
      </c>
      <c r="Z163" s="2537" t="s">
        <v>5391</v>
      </c>
      <c r="AA163" s="3185" t="s">
        <v>5392</v>
      </c>
      <c r="AB163" s="2537" t="s">
        <v>5393</v>
      </c>
      <c r="AC163" s="3185" t="s">
        <v>5394</v>
      </c>
      <c r="AD163" s="2537" t="s">
        <v>5395</v>
      </c>
      <c r="AE163" s="3185" t="s">
        <v>5396</v>
      </c>
      <c r="AF163" s="2537" t="s">
        <v>5397</v>
      </c>
      <c r="AG163" s="3185" t="s">
        <v>5398</v>
      </c>
      <c r="AH163" s="2537" t="s">
        <v>5399</v>
      </c>
      <c r="AI163" s="3185" t="s">
        <v>5400</v>
      </c>
      <c r="AJ163" s="2537" t="s">
        <v>5401</v>
      </c>
      <c r="AK163" s="3185" t="s">
        <v>5402</v>
      </c>
      <c r="AL163" s="2537" t="s">
        <v>5403</v>
      </c>
      <c r="AM163" s="2538" t="s">
        <v>5404</v>
      </c>
      <c r="AN163" s="7113" t="s">
        <v>5405</v>
      </c>
      <c r="AO163" s="3186" t="s">
        <v>5406</v>
      </c>
      <c r="AP163" s="3186" t="s">
        <v>5407</v>
      </c>
      <c r="AQ163" s="3186" t="s">
        <v>5408</v>
      </c>
      <c r="AR163" s="3186" t="s">
        <v>5409</v>
      </c>
      <c r="AS163" s="3186" t="s">
        <v>5410</v>
      </c>
      <c r="AT163" s="3186" t="s">
        <v>5411</v>
      </c>
      <c r="AU163" s="3186" t="s">
        <v>5412</v>
      </c>
      <c r="AV163" s="3186" t="s">
        <v>5413</v>
      </c>
      <c r="AW163" s="3186" t="s">
        <v>5414</v>
      </c>
      <c r="BW163" s="4259"/>
      <c r="BX163" s="4259"/>
    </row>
    <row r="164" spans="1:131" ht="16.5" customHeight="1" x14ac:dyDescent="0.25">
      <c r="A164" s="7258" t="s">
        <v>4729</v>
      </c>
      <c r="B164" s="8705"/>
      <c r="C164" s="7110" t="s">
        <v>1511</v>
      </c>
      <c r="D164" s="7112" t="s">
        <v>5369</v>
      </c>
      <c r="E164" s="4819" t="s">
        <v>5370</v>
      </c>
      <c r="F164" s="3184" t="s">
        <v>5371</v>
      </c>
      <c r="G164" s="3185" t="s">
        <v>5372</v>
      </c>
      <c r="H164" s="3186" t="s">
        <v>5373</v>
      </c>
      <c r="I164" s="3185" t="s">
        <v>5374</v>
      </c>
      <c r="J164" s="3186" t="s">
        <v>5375</v>
      </c>
      <c r="K164" s="3185" t="s">
        <v>5376</v>
      </c>
      <c r="L164" s="2537" t="s">
        <v>5377</v>
      </c>
      <c r="M164" s="3185" t="s">
        <v>5378</v>
      </c>
      <c r="N164" s="2537" t="s">
        <v>5379</v>
      </c>
      <c r="O164" s="3185" t="s">
        <v>5380</v>
      </c>
      <c r="P164" s="2537" t="s">
        <v>5381</v>
      </c>
      <c r="Q164" s="3185" t="s">
        <v>5382</v>
      </c>
      <c r="R164" s="2537" t="s">
        <v>5383</v>
      </c>
      <c r="S164" s="3185" t="s">
        <v>5384</v>
      </c>
      <c r="T164" s="2537" t="s">
        <v>5385</v>
      </c>
      <c r="U164" s="3185" t="s">
        <v>5386</v>
      </c>
      <c r="V164" s="2537" t="s">
        <v>5387</v>
      </c>
      <c r="W164" s="3185" t="s">
        <v>5388</v>
      </c>
      <c r="X164" s="2537" t="s">
        <v>5389</v>
      </c>
      <c r="Y164" s="3185" t="s">
        <v>5390</v>
      </c>
      <c r="Z164" s="2537" t="s">
        <v>5391</v>
      </c>
      <c r="AA164" s="3185" t="s">
        <v>5392</v>
      </c>
      <c r="AB164" s="2537" t="s">
        <v>5393</v>
      </c>
      <c r="AC164" s="3185" t="s">
        <v>5394</v>
      </c>
      <c r="AD164" s="2537" t="s">
        <v>5395</v>
      </c>
      <c r="AE164" s="3185" t="s">
        <v>5396</v>
      </c>
      <c r="AF164" s="2537" t="s">
        <v>5397</v>
      </c>
      <c r="AG164" s="3185" t="s">
        <v>5398</v>
      </c>
      <c r="AH164" s="2537" t="s">
        <v>5399</v>
      </c>
      <c r="AI164" s="3185" t="s">
        <v>5400</v>
      </c>
      <c r="AJ164" s="2537" t="s">
        <v>5401</v>
      </c>
      <c r="AK164" s="3185" t="s">
        <v>5402</v>
      </c>
      <c r="AL164" s="2537" t="s">
        <v>5403</v>
      </c>
      <c r="AM164" s="2538" t="s">
        <v>5404</v>
      </c>
      <c r="AN164" s="7113" t="s">
        <v>5405</v>
      </c>
      <c r="AO164" s="3186" t="s">
        <v>5406</v>
      </c>
      <c r="AP164" s="3186" t="s">
        <v>5407</v>
      </c>
      <c r="AQ164" s="3186" t="s">
        <v>5408</v>
      </c>
      <c r="AR164" s="3186" t="s">
        <v>5409</v>
      </c>
      <c r="AS164" s="3186" t="s">
        <v>5410</v>
      </c>
      <c r="AT164" s="3186" t="s">
        <v>5411</v>
      </c>
      <c r="AU164" s="3186" t="s">
        <v>5412</v>
      </c>
      <c r="AV164" s="3186" t="s">
        <v>5413</v>
      </c>
      <c r="AW164" s="3186" t="s">
        <v>5414</v>
      </c>
      <c r="BW164" s="4259"/>
      <c r="BX164" s="4259"/>
    </row>
    <row r="165" spans="1:131" ht="22.5" customHeight="1" x14ac:dyDescent="0.25">
      <c r="A165" s="7258" t="s">
        <v>4730</v>
      </c>
      <c r="B165" s="8705"/>
      <c r="C165" s="7114" t="s">
        <v>1510</v>
      </c>
      <c r="D165" s="7112" t="s">
        <v>5369</v>
      </c>
      <c r="E165" s="7115" t="s">
        <v>5370</v>
      </c>
      <c r="F165" s="3184" t="s">
        <v>5371</v>
      </c>
      <c r="G165" s="3185" t="s">
        <v>5372</v>
      </c>
      <c r="H165" s="3186" t="s">
        <v>5373</v>
      </c>
      <c r="I165" s="3185" t="s">
        <v>5374</v>
      </c>
      <c r="J165" s="3186" t="s">
        <v>5375</v>
      </c>
      <c r="K165" s="3185" t="s">
        <v>5376</v>
      </c>
      <c r="L165" s="2537" t="s">
        <v>5377</v>
      </c>
      <c r="M165" s="3185" t="s">
        <v>5378</v>
      </c>
      <c r="N165" s="2537" t="s">
        <v>5379</v>
      </c>
      <c r="O165" s="3185" t="s">
        <v>5380</v>
      </c>
      <c r="P165" s="2537" t="s">
        <v>5381</v>
      </c>
      <c r="Q165" s="3185" t="s">
        <v>5382</v>
      </c>
      <c r="R165" s="2537" t="s">
        <v>5383</v>
      </c>
      <c r="S165" s="3185" t="s">
        <v>5384</v>
      </c>
      <c r="T165" s="2537" t="s">
        <v>5385</v>
      </c>
      <c r="U165" s="3185" t="s">
        <v>5386</v>
      </c>
      <c r="V165" s="2537" t="s">
        <v>5387</v>
      </c>
      <c r="W165" s="3185" t="s">
        <v>5388</v>
      </c>
      <c r="X165" s="2537" t="s">
        <v>5389</v>
      </c>
      <c r="Y165" s="3185" t="s">
        <v>5390</v>
      </c>
      <c r="Z165" s="2537" t="s">
        <v>5391</v>
      </c>
      <c r="AA165" s="3185" t="s">
        <v>5392</v>
      </c>
      <c r="AB165" s="2537" t="s">
        <v>5393</v>
      </c>
      <c r="AC165" s="3185" t="s">
        <v>5394</v>
      </c>
      <c r="AD165" s="2537" t="s">
        <v>5395</v>
      </c>
      <c r="AE165" s="3185" t="s">
        <v>5396</v>
      </c>
      <c r="AF165" s="2537" t="s">
        <v>5397</v>
      </c>
      <c r="AG165" s="3185" t="s">
        <v>5398</v>
      </c>
      <c r="AH165" s="2537" t="s">
        <v>5399</v>
      </c>
      <c r="AI165" s="3185" t="s">
        <v>5400</v>
      </c>
      <c r="AJ165" s="2537" t="s">
        <v>5401</v>
      </c>
      <c r="AK165" s="3185" t="s">
        <v>5402</v>
      </c>
      <c r="AL165" s="2537" t="s">
        <v>5403</v>
      </c>
      <c r="AM165" s="2538" t="s">
        <v>5404</v>
      </c>
      <c r="AN165" s="7113" t="s">
        <v>5405</v>
      </c>
      <c r="AO165" s="3186" t="s">
        <v>5406</v>
      </c>
      <c r="AP165" s="3186" t="s">
        <v>5407</v>
      </c>
      <c r="AQ165" s="3186" t="s">
        <v>5408</v>
      </c>
      <c r="AR165" s="3186" t="s">
        <v>5409</v>
      </c>
      <c r="AS165" s="3186" t="s">
        <v>5410</v>
      </c>
      <c r="AT165" s="3186" t="s">
        <v>5411</v>
      </c>
      <c r="AU165" s="3186" t="s">
        <v>5412</v>
      </c>
      <c r="AV165" s="3186" t="s">
        <v>5413</v>
      </c>
      <c r="AW165" s="3186" t="s">
        <v>5414</v>
      </c>
      <c r="BW165" s="4259"/>
      <c r="BX165" s="4259"/>
    </row>
    <row r="166" spans="1:131" ht="16.5" customHeight="1" x14ac:dyDescent="0.25">
      <c r="A166" s="7298"/>
      <c r="B166" s="9498"/>
      <c r="C166" s="7116" t="s">
        <v>24</v>
      </c>
      <c r="D166" s="7117">
        <f t="shared" ref="D166" si="83">SUM(E166+F166)</f>
        <v>0</v>
      </c>
      <c r="E166" s="7118">
        <f t="shared" ref="E166" si="84">SUM(G166+I166+K166+M166+O166+Q166+S166+U166+W166+Y166+AA166+AC166+AE166+AG166+AI166+AK166+AM166)</f>
        <v>0</v>
      </c>
      <c r="F166" s="7119">
        <f t="shared" ref="F166" si="85">SUM(H166+J166+L166+N166+P166+R166+T166+V166+X166+Z166+AB166+AD166+AF166+AH166+AJ166+AL166+AN166)</f>
        <v>0</v>
      </c>
      <c r="G166" s="6888">
        <f>SUM(G156:G165)</f>
        <v>0</v>
      </c>
      <c r="H166" s="6923">
        <f t="shared" ref="H166:AU166" si="86">SUM(H156:H165)</f>
        <v>0</v>
      </c>
      <c r="I166" s="6888">
        <f t="shared" si="86"/>
        <v>0</v>
      </c>
      <c r="J166" s="6923">
        <f t="shared" si="86"/>
        <v>0</v>
      </c>
      <c r="K166" s="6888">
        <f t="shared" si="86"/>
        <v>0</v>
      </c>
      <c r="L166" s="6891">
        <f t="shared" si="86"/>
        <v>0</v>
      </c>
      <c r="M166" s="6888">
        <f t="shared" si="86"/>
        <v>0</v>
      </c>
      <c r="N166" s="6891">
        <f t="shared" si="86"/>
        <v>0</v>
      </c>
      <c r="O166" s="6888">
        <f t="shared" si="86"/>
        <v>0</v>
      </c>
      <c r="P166" s="6891">
        <f t="shared" si="86"/>
        <v>0</v>
      </c>
      <c r="Q166" s="6888">
        <f t="shared" si="86"/>
        <v>0</v>
      </c>
      <c r="R166" s="6891">
        <f t="shared" si="86"/>
        <v>0</v>
      </c>
      <c r="S166" s="6888">
        <f t="shared" si="86"/>
        <v>0</v>
      </c>
      <c r="T166" s="6891">
        <f t="shared" si="86"/>
        <v>0</v>
      </c>
      <c r="U166" s="6888">
        <f t="shared" si="86"/>
        <v>0</v>
      </c>
      <c r="V166" s="6891">
        <f t="shared" si="86"/>
        <v>0</v>
      </c>
      <c r="W166" s="6888">
        <f t="shared" si="86"/>
        <v>0</v>
      </c>
      <c r="X166" s="6891">
        <f t="shared" si="86"/>
        <v>0</v>
      </c>
      <c r="Y166" s="6888">
        <f t="shared" si="86"/>
        <v>0</v>
      </c>
      <c r="Z166" s="6891">
        <f t="shared" si="86"/>
        <v>0</v>
      </c>
      <c r="AA166" s="6888">
        <f t="shared" si="86"/>
        <v>0</v>
      </c>
      <c r="AB166" s="6891">
        <f t="shared" si="86"/>
        <v>0</v>
      </c>
      <c r="AC166" s="6888">
        <f t="shared" si="86"/>
        <v>0</v>
      </c>
      <c r="AD166" s="6891">
        <f t="shared" si="86"/>
        <v>0</v>
      </c>
      <c r="AE166" s="6888">
        <f t="shared" si="86"/>
        <v>0</v>
      </c>
      <c r="AF166" s="6891">
        <f t="shared" si="86"/>
        <v>0</v>
      </c>
      <c r="AG166" s="6888">
        <f t="shared" si="86"/>
        <v>0</v>
      </c>
      <c r="AH166" s="6891">
        <f t="shared" si="86"/>
        <v>0</v>
      </c>
      <c r="AI166" s="6888">
        <f t="shared" si="86"/>
        <v>0</v>
      </c>
      <c r="AJ166" s="6891">
        <f t="shared" si="86"/>
        <v>0</v>
      </c>
      <c r="AK166" s="6888">
        <f t="shared" si="86"/>
        <v>0</v>
      </c>
      <c r="AL166" s="6891">
        <f t="shared" si="86"/>
        <v>0</v>
      </c>
      <c r="AM166" s="6890">
        <f t="shared" si="86"/>
        <v>0</v>
      </c>
      <c r="AN166" s="7120">
        <f t="shared" si="86"/>
        <v>0</v>
      </c>
      <c r="AO166" s="6923">
        <f t="shared" si="86"/>
        <v>0</v>
      </c>
      <c r="AP166" s="6923">
        <f t="shared" si="86"/>
        <v>0</v>
      </c>
      <c r="AQ166" s="6923">
        <f t="shared" si="86"/>
        <v>0</v>
      </c>
      <c r="AR166" s="6923">
        <f t="shared" si="86"/>
        <v>0</v>
      </c>
      <c r="AS166" s="6923">
        <f t="shared" si="86"/>
        <v>0</v>
      </c>
      <c r="AT166" s="6923">
        <f t="shared" si="86"/>
        <v>0</v>
      </c>
      <c r="AU166" s="6923">
        <f t="shared" si="86"/>
        <v>0</v>
      </c>
      <c r="AV166" s="6923">
        <f>SUM(AV156:AV165)</f>
        <v>0</v>
      </c>
      <c r="AW166" s="6923">
        <f>SUM(AW156:AW165)</f>
        <v>0</v>
      </c>
      <c r="BW166" s="4259"/>
      <c r="BX166" s="4259"/>
    </row>
    <row r="167" spans="1:131" ht="16.5" customHeight="1" x14ac:dyDescent="0.25">
      <c r="A167" s="7258" t="s">
        <v>4731</v>
      </c>
      <c r="B167" s="9499" t="s">
        <v>3990</v>
      </c>
      <c r="C167" s="9500"/>
      <c r="D167" s="7068" t="s">
        <v>5369</v>
      </c>
      <c r="E167" s="6820" t="s">
        <v>5370</v>
      </c>
      <c r="F167" s="7107" t="s">
        <v>5371</v>
      </c>
      <c r="G167" s="6876" t="s">
        <v>5372</v>
      </c>
      <c r="H167" s="6833" t="s">
        <v>5373</v>
      </c>
      <c r="I167" s="6876" t="s">
        <v>5374</v>
      </c>
      <c r="J167" s="6833" t="s">
        <v>5375</v>
      </c>
      <c r="K167" s="6876" t="s">
        <v>5376</v>
      </c>
      <c r="L167" s="6858" t="s">
        <v>5377</v>
      </c>
      <c r="M167" s="6876" t="s">
        <v>5378</v>
      </c>
      <c r="N167" s="6858" t="s">
        <v>5379</v>
      </c>
      <c r="O167" s="6876" t="s">
        <v>5380</v>
      </c>
      <c r="P167" s="6858" t="s">
        <v>5381</v>
      </c>
      <c r="Q167" s="6876" t="s">
        <v>5382</v>
      </c>
      <c r="R167" s="6858" t="s">
        <v>5383</v>
      </c>
      <c r="S167" s="6876" t="s">
        <v>5384</v>
      </c>
      <c r="T167" s="6858" t="s">
        <v>5385</v>
      </c>
      <c r="U167" s="6876" t="s">
        <v>5386</v>
      </c>
      <c r="V167" s="6858" t="s">
        <v>5387</v>
      </c>
      <c r="W167" s="6876" t="s">
        <v>5388</v>
      </c>
      <c r="X167" s="6858" t="s">
        <v>5389</v>
      </c>
      <c r="Y167" s="6876" t="s">
        <v>5390</v>
      </c>
      <c r="Z167" s="6858" t="s">
        <v>5391</v>
      </c>
      <c r="AA167" s="6876" t="s">
        <v>5392</v>
      </c>
      <c r="AB167" s="6858" t="s">
        <v>5393</v>
      </c>
      <c r="AC167" s="6876" t="s">
        <v>5394</v>
      </c>
      <c r="AD167" s="6858" t="s">
        <v>5395</v>
      </c>
      <c r="AE167" s="6876" t="s">
        <v>5396</v>
      </c>
      <c r="AF167" s="6858" t="s">
        <v>5397</v>
      </c>
      <c r="AG167" s="6876" t="s">
        <v>5398</v>
      </c>
      <c r="AH167" s="6858" t="s">
        <v>5399</v>
      </c>
      <c r="AI167" s="6876" t="s">
        <v>5400</v>
      </c>
      <c r="AJ167" s="6858" t="s">
        <v>5401</v>
      </c>
      <c r="AK167" s="6876" t="s">
        <v>5402</v>
      </c>
      <c r="AL167" s="6858" t="s">
        <v>5403</v>
      </c>
      <c r="AM167" s="7108" t="s">
        <v>5404</v>
      </c>
      <c r="AN167" s="7109" t="s">
        <v>5405</v>
      </c>
      <c r="AO167" s="6833" t="s">
        <v>5406</v>
      </c>
      <c r="AP167" s="6833" t="s">
        <v>5407</v>
      </c>
      <c r="AQ167" s="6833" t="s">
        <v>5408</v>
      </c>
      <c r="AR167" s="6833" t="s">
        <v>5409</v>
      </c>
      <c r="AS167" s="6833" t="s">
        <v>5410</v>
      </c>
      <c r="AT167" s="6833" t="s">
        <v>5411</v>
      </c>
      <c r="AU167" s="6833" t="s">
        <v>5412</v>
      </c>
      <c r="AV167" s="6833" t="s">
        <v>5413</v>
      </c>
      <c r="AW167" s="6833" t="s">
        <v>5414</v>
      </c>
      <c r="BW167" s="4259"/>
      <c r="BX167" s="4259"/>
    </row>
    <row r="168" spans="1:131" ht="16.5" customHeight="1" x14ac:dyDescent="0.25">
      <c r="A168" s="7258" t="s">
        <v>4732</v>
      </c>
      <c r="B168" s="9501" t="s">
        <v>3886</v>
      </c>
      <c r="C168" s="9502"/>
      <c r="D168" s="7121" t="s">
        <v>5369</v>
      </c>
      <c r="E168" s="7122" t="s">
        <v>5370</v>
      </c>
      <c r="F168" s="7123" t="s">
        <v>5371</v>
      </c>
      <c r="G168" s="6926" t="s">
        <v>5372</v>
      </c>
      <c r="H168" s="7124" t="s">
        <v>5373</v>
      </c>
      <c r="I168" s="6926" t="s">
        <v>5374</v>
      </c>
      <c r="J168" s="7124" t="s">
        <v>5375</v>
      </c>
      <c r="K168" s="6926" t="s">
        <v>5376</v>
      </c>
      <c r="L168" s="6925" t="s">
        <v>5377</v>
      </c>
      <c r="M168" s="6926" t="s">
        <v>5378</v>
      </c>
      <c r="N168" s="6925" t="s">
        <v>5379</v>
      </c>
      <c r="O168" s="6926" t="s">
        <v>5380</v>
      </c>
      <c r="P168" s="6925" t="s">
        <v>5381</v>
      </c>
      <c r="Q168" s="6926" t="s">
        <v>5382</v>
      </c>
      <c r="R168" s="6925" t="s">
        <v>5383</v>
      </c>
      <c r="S168" s="6926" t="s">
        <v>5384</v>
      </c>
      <c r="T168" s="6925" t="s">
        <v>5385</v>
      </c>
      <c r="U168" s="6926" t="s">
        <v>5386</v>
      </c>
      <c r="V168" s="6925" t="s">
        <v>5387</v>
      </c>
      <c r="W168" s="6926" t="s">
        <v>5388</v>
      </c>
      <c r="X168" s="6925" t="s">
        <v>5389</v>
      </c>
      <c r="Y168" s="6926" t="s">
        <v>5390</v>
      </c>
      <c r="Z168" s="6925" t="s">
        <v>5391</v>
      </c>
      <c r="AA168" s="6926" t="s">
        <v>5392</v>
      </c>
      <c r="AB168" s="6925" t="s">
        <v>5393</v>
      </c>
      <c r="AC168" s="6926" t="s">
        <v>5394</v>
      </c>
      <c r="AD168" s="6925" t="s">
        <v>5395</v>
      </c>
      <c r="AE168" s="6926" t="s">
        <v>5396</v>
      </c>
      <c r="AF168" s="6925" t="s">
        <v>5397</v>
      </c>
      <c r="AG168" s="6926" t="s">
        <v>5398</v>
      </c>
      <c r="AH168" s="6925" t="s">
        <v>5399</v>
      </c>
      <c r="AI168" s="6926" t="s">
        <v>5400</v>
      </c>
      <c r="AJ168" s="6925" t="s">
        <v>5401</v>
      </c>
      <c r="AK168" s="6926" t="s">
        <v>5402</v>
      </c>
      <c r="AL168" s="6925" t="s">
        <v>5403</v>
      </c>
      <c r="AM168" s="7125" t="s">
        <v>5404</v>
      </c>
      <c r="AN168" s="1992" t="s">
        <v>5405</v>
      </c>
      <c r="AO168" s="7124" t="s">
        <v>5406</v>
      </c>
      <c r="AP168" s="7124" t="s">
        <v>5407</v>
      </c>
      <c r="AQ168" s="7124" t="s">
        <v>5408</v>
      </c>
      <c r="AR168" s="7124" t="s">
        <v>5409</v>
      </c>
      <c r="AS168" s="7124" t="s">
        <v>5410</v>
      </c>
      <c r="AT168" s="7124" t="s">
        <v>5411</v>
      </c>
      <c r="AU168" s="7124" t="s">
        <v>5412</v>
      </c>
      <c r="AV168" s="7124" t="s">
        <v>5413</v>
      </c>
      <c r="AW168" s="7124" t="s">
        <v>5414</v>
      </c>
      <c r="BW168" s="4259"/>
      <c r="BX168" s="4259"/>
    </row>
    <row r="170" spans="1:131" ht="14.25" customHeight="1" x14ac:dyDescent="0.25"/>
    <row r="171" spans="1:131" s="4495" customFormat="1" x14ac:dyDescent="0.25">
      <c r="B171" s="4495">
        <f>SUM(D13:D27,F33,C33,C39,F39,D43:D46,D51:D52,D57:D78,C82:J84,C85,E85,G85,I85,C89:E95,C104:G104,C109:C111,C120:C122,C126,D134,C139:C146,C150:D151)</f>
        <v>0</v>
      </c>
      <c r="C171" s="4495">
        <f>SUM(DB8:EA168)</f>
        <v>205</v>
      </c>
      <c r="BY171" s="4496"/>
      <c r="BZ171" s="4496"/>
      <c r="CA171" s="4496"/>
      <c r="CB171" s="4295"/>
      <c r="CC171" s="4295"/>
      <c r="CD171" s="4295"/>
      <c r="CE171" s="4295"/>
      <c r="CF171" s="4295"/>
      <c r="CG171" s="4295"/>
      <c r="CH171" s="4295"/>
      <c r="CI171" s="4295"/>
      <c r="CJ171" s="4295"/>
      <c r="CK171" s="4295"/>
      <c r="CL171" s="4295"/>
      <c r="CM171" s="4295"/>
      <c r="CN171" s="4295"/>
      <c r="CO171" s="4295"/>
      <c r="CP171" s="4295"/>
      <c r="CQ171" s="4295"/>
      <c r="CR171" s="4295"/>
      <c r="CS171" s="4295"/>
      <c r="CT171" s="4295"/>
      <c r="CU171" s="4295"/>
      <c r="CV171" s="4295"/>
      <c r="CW171" s="4295"/>
      <c r="CX171" s="4295"/>
      <c r="CY171" s="4295"/>
      <c r="CZ171" s="4295"/>
      <c r="DA171" s="4295"/>
      <c r="DB171" s="5832"/>
      <c r="DC171" s="5832"/>
      <c r="DD171" s="5832"/>
      <c r="DE171" s="5832"/>
      <c r="DF171" s="5832"/>
      <c r="DG171" s="5832"/>
      <c r="DH171" s="5832"/>
      <c r="DI171" s="5832"/>
      <c r="DJ171" s="5832"/>
      <c r="DK171" s="5832"/>
      <c r="DL171" s="5832"/>
      <c r="DM171" s="5832"/>
      <c r="DN171" s="5832"/>
      <c r="DO171" s="5832"/>
      <c r="DP171" s="5832"/>
      <c r="DQ171" s="5832"/>
      <c r="DR171" s="5832"/>
      <c r="DS171" s="5832"/>
      <c r="DT171" s="5832"/>
      <c r="DU171" s="5832"/>
      <c r="DV171" s="5832"/>
      <c r="DW171" s="5832"/>
      <c r="DX171" s="5832"/>
      <c r="DY171" s="5832"/>
      <c r="DZ171" s="5832"/>
      <c r="EA171" s="5832"/>
    </row>
    <row r="172" spans="1:131" ht="16.5" customHeight="1" x14ac:dyDescent="0.25">
      <c r="A172" s="4258" t="s">
        <v>4068</v>
      </c>
    </row>
    <row r="173" spans="1:131" ht="15.6" customHeight="1" x14ac:dyDescent="0.25">
      <c r="A173" s="7293" t="s">
        <v>4701</v>
      </c>
    </row>
    <row r="174" spans="1:131" x14ac:dyDescent="0.25">
      <c r="A174" s="7293" t="s">
        <v>4711</v>
      </c>
    </row>
    <row r="175" spans="1:131" x14ac:dyDescent="0.25">
      <c r="A175" s="7293" t="s">
        <v>4712</v>
      </c>
    </row>
    <row r="176" spans="1:131" x14ac:dyDescent="0.25">
      <c r="A176" s="7293" t="s">
        <v>4713</v>
      </c>
    </row>
    <row r="177" spans="1:1" x14ac:dyDescent="0.25">
      <c r="A177" s="7293" t="s">
        <v>4714</v>
      </c>
    </row>
    <row r="178" spans="1:1" x14ac:dyDescent="0.25">
      <c r="A178" s="7293" t="s">
        <v>4715</v>
      </c>
    </row>
    <row r="179" spans="1:1" x14ac:dyDescent="0.25">
      <c r="A179" s="7293" t="s">
        <v>4716</v>
      </c>
    </row>
    <row r="180" spans="1:1" x14ac:dyDescent="0.25">
      <c r="A180" s="7293" t="s">
        <v>4717</v>
      </c>
    </row>
    <row r="181" spans="1:1" x14ac:dyDescent="0.25">
      <c r="A181" s="7293" t="s">
        <v>4718</v>
      </c>
    </row>
    <row r="182" spans="1:1" x14ac:dyDescent="0.25">
      <c r="A182" s="7664" t="s">
        <v>4719</v>
      </c>
    </row>
    <row r="183" spans="1:1" x14ac:dyDescent="0.25">
      <c r="A183" s="7664" t="s">
        <v>4720</v>
      </c>
    </row>
    <row r="184" spans="1:1" x14ac:dyDescent="0.25">
      <c r="A184" s="4258" t="s">
        <v>4069</v>
      </c>
    </row>
    <row r="185" spans="1:1" x14ac:dyDescent="0.25">
      <c r="A185" s="7487" t="s">
        <v>5089</v>
      </c>
    </row>
    <row r="186" spans="1:1" x14ac:dyDescent="0.25">
      <c r="A186" s="7487" t="s">
        <v>4721</v>
      </c>
    </row>
    <row r="187" spans="1:1" x14ac:dyDescent="0.25">
      <c r="A187" s="7487" t="s">
        <v>4722</v>
      </c>
    </row>
    <row r="188" spans="1:1" x14ac:dyDescent="0.25">
      <c r="A188" s="7487" t="s">
        <v>4723</v>
      </c>
    </row>
    <row r="189" spans="1:1" x14ac:dyDescent="0.25">
      <c r="A189" s="7487" t="s">
        <v>4724</v>
      </c>
    </row>
    <row r="190" spans="1:1" x14ac:dyDescent="0.25">
      <c r="A190" s="7487" t="s">
        <v>4725</v>
      </c>
    </row>
    <row r="191" spans="1:1" x14ac:dyDescent="0.25">
      <c r="A191" s="7487" t="s">
        <v>4726</v>
      </c>
    </row>
    <row r="192" spans="1:1" x14ac:dyDescent="0.25">
      <c r="A192" s="7487" t="s">
        <v>4727</v>
      </c>
    </row>
    <row r="193" spans="1:1" x14ac:dyDescent="0.25">
      <c r="A193" s="7487" t="s">
        <v>4728</v>
      </c>
    </row>
    <row r="194" spans="1:1" x14ac:dyDescent="0.25">
      <c r="A194" s="7487" t="s">
        <v>4729</v>
      </c>
    </row>
    <row r="195" spans="1:1" x14ac:dyDescent="0.25">
      <c r="A195" s="7487" t="s">
        <v>4730</v>
      </c>
    </row>
    <row r="196" spans="1:1" x14ac:dyDescent="0.25">
      <c r="A196" s="7487" t="s">
        <v>4731</v>
      </c>
    </row>
    <row r="197" spans="1:1" x14ac:dyDescent="0.25">
      <c r="A197" s="7487" t="s">
        <v>4732</v>
      </c>
    </row>
    <row r="198" spans="1:1" x14ac:dyDescent="0.25">
      <c r="A198" s="7664" t="s">
        <v>5090</v>
      </c>
    </row>
    <row r="199" spans="1:1" x14ac:dyDescent="0.25">
      <c r="A199" s="7664" t="s">
        <v>5091</v>
      </c>
    </row>
    <row r="200" spans="1:1" x14ac:dyDescent="0.25">
      <c r="A200" s="7664" t="s">
        <v>5092</v>
      </c>
    </row>
    <row r="201" spans="1:1" x14ac:dyDescent="0.25">
      <c r="A201" s="7664" t="s">
        <v>5093</v>
      </c>
    </row>
    <row r="202" spans="1:1" x14ac:dyDescent="0.25">
      <c r="A202" s="7664" t="s">
        <v>5094</v>
      </c>
    </row>
    <row r="203" spans="1:1" x14ac:dyDescent="0.25">
      <c r="A203" s="7664" t="s">
        <v>5095</v>
      </c>
    </row>
    <row r="204" spans="1:1" x14ac:dyDescent="0.25">
      <c r="A204" s="7664" t="s">
        <v>5096</v>
      </c>
    </row>
    <row r="205" spans="1:1" x14ac:dyDescent="0.25">
      <c r="A205" s="7664" t="s">
        <v>5097</v>
      </c>
    </row>
    <row r="206" spans="1:1" x14ac:dyDescent="0.25">
      <c r="A206" s="7664" t="s">
        <v>5098</v>
      </c>
    </row>
    <row r="207" spans="1:1" x14ac:dyDescent="0.25">
      <c r="A207" s="7664"/>
    </row>
    <row r="208" spans="1:1" x14ac:dyDescent="0.25">
      <c r="A208" s="7664"/>
    </row>
  </sheetData>
  <mergeCells count="227">
    <mergeCell ref="B156:B166"/>
    <mergeCell ref="B167:C167"/>
    <mergeCell ref="B168:C168"/>
    <mergeCell ref="AT153:AT155"/>
    <mergeCell ref="AU153:AU155"/>
    <mergeCell ref="AV153:AW154"/>
    <mergeCell ref="G154:H154"/>
    <mergeCell ref="I154:J154"/>
    <mergeCell ref="K154:L154"/>
    <mergeCell ref="M154:N154"/>
    <mergeCell ref="O154:P154"/>
    <mergeCell ref="Q154:R154"/>
    <mergeCell ref="S154:T154"/>
    <mergeCell ref="U154:V154"/>
    <mergeCell ref="W154:X154"/>
    <mergeCell ref="Y154:Z154"/>
    <mergeCell ref="AA154:AB154"/>
    <mergeCell ref="AC154:AD154"/>
    <mergeCell ref="AE154:AF154"/>
    <mergeCell ref="AG154:AH154"/>
    <mergeCell ref="AI154:AJ154"/>
    <mergeCell ref="AK154:AL154"/>
    <mergeCell ref="AM154:AN154"/>
    <mergeCell ref="B153:B155"/>
    <mergeCell ref="AR153:AR155"/>
    <mergeCell ref="AS153:AS155"/>
    <mergeCell ref="AV11:AV12"/>
    <mergeCell ref="AE49:AF49"/>
    <mergeCell ref="AC29:AD29"/>
    <mergeCell ref="AE29:AF29"/>
    <mergeCell ref="M29:N29"/>
    <mergeCell ref="AK49:AL49"/>
    <mergeCell ref="AS128:AS130"/>
    <mergeCell ref="M129:N129"/>
    <mergeCell ref="O129:P129"/>
    <mergeCell ref="Q129:R129"/>
    <mergeCell ref="AC129:AD129"/>
    <mergeCell ref="AO128:AO130"/>
    <mergeCell ref="AP128:AP130"/>
    <mergeCell ref="AC49:AD49"/>
    <mergeCell ref="M49:N49"/>
    <mergeCell ref="O49:P49"/>
    <mergeCell ref="Y49:Z49"/>
    <mergeCell ref="AA49:AB49"/>
    <mergeCell ref="AU10:AU12"/>
    <mergeCell ref="AP48:AP50"/>
    <mergeCell ref="AQ48:AQ50"/>
    <mergeCell ref="AK29:AL29"/>
    <mergeCell ref="AO54:AO56"/>
    <mergeCell ref="C153:C155"/>
    <mergeCell ref="D153:F154"/>
    <mergeCell ref="G153:AN153"/>
    <mergeCell ref="AO153:AO155"/>
    <mergeCell ref="AP153:AP155"/>
    <mergeCell ref="AQ153:AQ155"/>
    <mergeCell ref="G129:H129"/>
    <mergeCell ref="I129:J129"/>
    <mergeCell ref="K129:L129"/>
    <mergeCell ref="C87:C88"/>
    <mergeCell ref="G54:AN54"/>
    <mergeCell ref="D87:D88"/>
    <mergeCell ref="S129:T129"/>
    <mergeCell ref="U129:V129"/>
    <mergeCell ref="AI129:AJ129"/>
    <mergeCell ref="AE129:AF129"/>
    <mergeCell ref="C97:C98"/>
    <mergeCell ref="D97:D98"/>
    <mergeCell ref="AP54:AP56"/>
    <mergeCell ref="C124:C125"/>
    <mergeCell ref="H124:J124"/>
    <mergeCell ref="D124:E124"/>
    <mergeCell ref="AQ128:AQ130"/>
    <mergeCell ref="AW11:AW12"/>
    <mergeCell ref="AV10:AW10"/>
    <mergeCell ref="AR128:AR130"/>
    <mergeCell ref="B136:B138"/>
    <mergeCell ref="C136:G136"/>
    <mergeCell ref="I136:J137"/>
    <mergeCell ref="C137:C138"/>
    <mergeCell ref="H137:H138"/>
    <mergeCell ref="AT10:AT12"/>
    <mergeCell ref="D29:E29"/>
    <mergeCell ref="C29:C30"/>
    <mergeCell ref="AP10:AP12"/>
    <mergeCell ref="B97:B98"/>
    <mergeCell ref="F97:G97"/>
    <mergeCell ref="H107:I107"/>
    <mergeCell ref="J107:K107"/>
    <mergeCell ref="L107:M107"/>
    <mergeCell ref="N107:O107"/>
    <mergeCell ref="AQ29:AQ30"/>
    <mergeCell ref="AC55:AD55"/>
    <mergeCell ref="AG55:AH55"/>
    <mergeCell ref="C35:C36"/>
    <mergeCell ref="K49:L49"/>
    <mergeCell ref="E97:E98"/>
    <mergeCell ref="AG29:AH29"/>
    <mergeCell ref="AM49:AN49"/>
    <mergeCell ref="F29:H29"/>
    <mergeCell ref="AM29:AN29"/>
    <mergeCell ref="W29:X29"/>
    <mergeCell ref="AR29:AR30"/>
    <mergeCell ref="F113:F114"/>
    <mergeCell ref="AO48:AO50"/>
    <mergeCell ref="Q49:R49"/>
    <mergeCell ref="S49:T49"/>
    <mergeCell ref="U49:V49"/>
    <mergeCell ref="AE55:AF55"/>
    <mergeCell ref="AG49:AH49"/>
    <mergeCell ref="U55:V55"/>
    <mergeCell ref="W55:X55"/>
    <mergeCell ref="B53:N53"/>
    <mergeCell ref="I49:J49"/>
    <mergeCell ref="W49:X49"/>
    <mergeCell ref="G49:H49"/>
    <mergeCell ref="AK55:AL55"/>
    <mergeCell ref="O55:P55"/>
    <mergeCell ref="Q55:R55"/>
    <mergeCell ref="B80:B81"/>
    <mergeCell ref="B71:B72"/>
    <mergeCell ref="B124:B125"/>
    <mergeCell ref="F124:G124"/>
    <mergeCell ref="W129:X129"/>
    <mergeCell ref="Y129:Z129"/>
    <mergeCell ref="AA129:AB129"/>
    <mergeCell ref="I29:J29"/>
    <mergeCell ref="B73:B78"/>
    <mergeCell ref="B87:B88"/>
    <mergeCell ref="B6:X6"/>
    <mergeCell ref="B10:B12"/>
    <mergeCell ref="C10:C12"/>
    <mergeCell ref="D10:F11"/>
    <mergeCell ref="G10:AN10"/>
    <mergeCell ref="S11:T11"/>
    <mergeCell ref="U11:V11"/>
    <mergeCell ref="B13:B23"/>
    <mergeCell ref="B26:B27"/>
    <mergeCell ref="AE11:AF11"/>
    <mergeCell ref="AG11:AH11"/>
    <mergeCell ref="AI11:AJ11"/>
    <mergeCell ref="AC11:AD11"/>
    <mergeCell ref="AM11:AN11"/>
    <mergeCell ref="AK11:AL11"/>
    <mergeCell ref="B24:C24"/>
    <mergeCell ref="AR10:AR12"/>
    <mergeCell ref="AS10:AS12"/>
    <mergeCell ref="G11:H11"/>
    <mergeCell ref="I11:J11"/>
    <mergeCell ref="K11:L11"/>
    <mergeCell ref="M11:N11"/>
    <mergeCell ref="O11:P11"/>
    <mergeCell ref="Q11:R11"/>
    <mergeCell ref="AO10:AO12"/>
    <mergeCell ref="W11:X11"/>
    <mergeCell ref="Y11:Z11"/>
    <mergeCell ref="AA11:AB11"/>
    <mergeCell ref="AQ10:AQ12"/>
    <mergeCell ref="B48:C50"/>
    <mergeCell ref="D48:F49"/>
    <mergeCell ref="B35:B36"/>
    <mergeCell ref="C80:D80"/>
    <mergeCell ref="B106:B108"/>
    <mergeCell ref="C106:E107"/>
    <mergeCell ref="F106:N106"/>
    <mergeCell ref="F107:G107"/>
    <mergeCell ref="D41:D42"/>
    <mergeCell ref="B43:B44"/>
    <mergeCell ref="B57:B62"/>
    <mergeCell ref="B63:B64"/>
    <mergeCell ref="B65:B68"/>
    <mergeCell ref="B69:B70"/>
    <mergeCell ref="B54:C56"/>
    <mergeCell ref="D54:F55"/>
    <mergeCell ref="E87:E88"/>
    <mergeCell ref="E80:F80"/>
    <mergeCell ref="F35:H35"/>
    <mergeCell ref="I35:N35"/>
    <mergeCell ref="G48:AN48"/>
    <mergeCell ref="C41:C42"/>
    <mergeCell ref="J118:K118"/>
    <mergeCell ref="AG129:AH129"/>
    <mergeCell ref="K29:L29"/>
    <mergeCell ref="O29:P29"/>
    <mergeCell ref="C113:E113"/>
    <mergeCell ref="D128:F129"/>
    <mergeCell ref="D137:G137"/>
    <mergeCell ref="B45:B46"/>
    <mergeCell ref="AO29:AP29"/>
    <mergeCell ref="Y29:Z29"/>
    <mergeCell ref="AA29:AB29"/>
    <mergeCell ref="D35:E35"/>
    <mergeCell ref="AI29:AJ29"/>
    <mergeCell ref="Y55:Z55"/>
    <mergeCell ref="AA55:AB55"/>
    <mergeCell ref="S55:T55"/>
    <mergeCell ref="AM55:AN55"/>
    <mergeCell ref="G55:H55"/>
    <mergeCell ref="I55:J55"/>
    <mergeCell ref="AI55:AJ55"/>
    <mergeCell ref="K55:L55"/>
    <mergeCell ref="M55:N55"/>
    <mergeCell ref="P106:P108"/>
    <mergeCell ref="Q106:Q108"/>
    <mergeCell ref="AK129:AL129"/>
    <mergeCell ref="AM129:AN129"/>
    <mergeCell ref="B29:B30"/>
    <mergeCell ref="G128:AN128"/>
    <mergeCell ref="AU29:AU30"/>
    <mergeCell ref="AV29:AV30"/>
    <mergeCell ref="G80:H80"/>
    <mergeCell ref="I80:J80"/>
    <mergeCell ref="B131:B134"/>
    <mergeCell ref="B41:B42"/>
    <mergeCell ref="B113:B114"/>
    <mergeCell ref="AS29:AS30"/>
    <mergeCell ref="AT29:AT30"/>
    <mergeCell ref="Q29:R29"/>
    <mergeCell ref="S29:T29"/>
    <mergeCell ref="U29:V29"/>
    <mergeCell ref="B128:B130"/>
    <mergeCell ref="C128:C130"/>
    <mergeCell ref="AI49:AJ49"/>
    <mergeCell ref="B117:B119"/>
    <mergeCell ref="C117:E118"/>
    <mergeCell ref="F117:K117"/>
    <mergeCell ref="F118:G118"/>
    <mergeCell ref="H118:I118"/>
  </mergeCells>
  <dataValidations count="1">
    <dataValidation type="whole" allowBlank="1" showInputMessage="1" showErrorMessage="1" sqref="AT156:AW168 AQ156:AQ168 C152:AT152 AR153:AS168 AQ153 B153:B168 D153:AP168 C160:C168 C153:C155 C157" xr:uid="{2D0C20B2-93CD-4363-811D-766335AEC246}">
      <formula1>0</formula1>
      <formula2>1E+30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A262"/>
  <sheetViews>
    <sheetView zoomScaleNormal="100" workbookViewId="0"/>
  </sheetViews>
  <sheetFormatPr baseColWidth="10" defaultColWidth="11.44140625" defaultRowHeight="14.4" x14ac:dyDescent="0.3"/>
  <cols>
    <col min="1" max="1" width="15.109375" style="165" customWidth="1"/>
    <col min="2" max="2" width="65" style="165" customWidth="1"/>
    <col min="3" max="3" width="20.88671875" style="165" customWidth="1"/>
    <col min="4" max="4" width="14.109375" style="165" customWidth="1"/>
    <col min="5" max="5" width="12.88671875" style="165" customWidth="1"/>
    <col min="6" max="6" width="14.109375" style="165" customWidth="1"/>
    <col min="7" max="7" width="13.88671875" style="165" customWidth="1"/>
    <col min="8" max="8" width="12.44140625" style="165" customWidth="1"/>
    <col min="9" max="10" width="13.6640625" style="165" customWidth="1"/>
    <col min="11" max="11" width="11.44140625" style="165"/>
    <col min="12" max="12" width="13.44140625" style="165" customWidth="1"/>
    <col min="13" max="13" width="14.33203125" style="165" customWidth="1"/>
    <col min="14" max="14" width="12.33203125" style="165" customWidth="1"/>
    <col min="15" max="15" width="12.109375" style="165" customWidth="1"/>
    <col min="16" max="19" width="11.44140625" style="165"/>
    <col min="20" max="21" width="11.44140625" style="165" customWidth="1"/>
    <col min="22" max="24" width="11.44140625" style="165"/>
    <col min="25" max="25" width="18.44140625" style="165" customWidth="1"/>
    <col min="26" max="26" width="14" style="165" customWidth="1"/>
    <col min="27" max="27" width="11.33203125" style="165" customWidth="1"/>
    <col min="28" max="28" width="12.33203125" style="165" customWidth="1"/>
    <col min="29" max="29" width="14.44140625" style="165" customWidth="1"/>
    <col min="30" max="30" width="13.6640625" style="165" customWidth="1"/>
    <col min="31" max="36" width="11.44140625" style="165"/>
    <col min="37" max="37" width="14.33203125" style="165" customWidth="1"/>
    <col min="38" max="38" width="11.44140625" style="165" customWidth="1"/>
    <col min="39" max="41" width="11.44140625" style="165"/>
    <col min="42" max="42" width="13.44140625" style="165" customWidth="1"/>
    <col min="43" max="43" width="13.109375" style="165" customWidth="1"/>
    <col min="44" max="45" width="11.44140625" style="165"/>
    <col min="46" max="46" width="13.44140625" style="165" customWidth="1"/>
    <col min="47" max="47" width="13.88671875" style="165" customWidth="1"/>
    <col min="48" max="48" width="14.44140625" style="165" customWidth="1"/>
    <col min="49" max="49" width="11.44140625" style="165"/>
    <col min="50" max="50" width="14" style="165" customWidth="1"/>
    <col min="51" max="51" width="11.44140625" style="165"/>
    <col min="52" max="52" width="13.44140625" style="165" customWidth="1"/>
    <col min="53" max="74" width="11.44140625" style="165"/>
    <col min="75" max="76" width="11.44140625" style="165" customWidth="1"/>
    <col min="77" max="78" width="11.44140625" style="1430" customWidth="1"/>
    <col min="79" max="79" width="11.109375" style="1430" customWidth="1"/>
    <col min="80" max="85" width="11.109375" style="1429" hidden="1" customWidth="1"/>
    <col min="86" max="97" width="11.44140625" style="3220" hidden="1" customWidth="1"/>
    <col min="98" max="105" width="11.109375" style="1429" hidden="1" customWidth="1"/>
    <col min="106" max="117" width="11.109375" style="3219" hidden="1" customWidth="1"/>
    <col min="118" max="131" width="11.44140625" style="3222" hidden="1" customWidth="1"/>
    <col min="132" max="16384" width="11.44140625" style="165"/>
  </cols>
  <sheetData>
    <row r="1" spans="1:117" ht="16.350000000000001" customHeight="1" x14ac:dyDescent="0.3">
      <c r="B1" s="150" t="s">
        <v>207</v>
      </c>
      <c r="CT1" s="1435"/>
      <c r="CU1" s="1435"/>
      <c r="CV1" s="1435"/>
      <c r="CW1" s="1435"/>
      <c r="CX1" s="1435"/>
      <c r="CY1" s="1435"/>
      <c r="CZ1" s="1435"/>
      <c r="DA1" s="1435"/>
      <c r="DG1" s="3222"/>
      <c r="DH1" s="3222"/>
      <c r="DI1" s="3222"/>
      <c r="DJ1" s="3222"/>
      <c r="DK1" s="3222"/>
      <c r="DL1" s="3222"/>
      <c r="DM1" s="3222"/>
    </row>
    <row r="2" spans="1:117" ht="16.350000000000001" customHeight="1" x14ac:dyDescent="0.3">
      <c r="B2" s="150" t="str">
        <f>CONCATENATE("COMUNA: ",NOMBRE!B2," - ","( ",NOMBRE!C2,NOMBRE!D2,NOMBRE!E2,NOMBRE!F2,NOMBRE!G2," )")</f>
        <v>COMUNA:  - (  )</v>
      </c>
      <c r="CT2" s="1435"/>
      <c r="CU2" s="1435"/>
      <c r="CV2" s="1435"/>
      <c r="CW2" s="1435"/>
      <c r="CX2" s="1435"/>
      <c r="CY2" s="1435"/>
      <c r="CZ2" s="1435"/>
      <c r="DA2" s="1435"/>
      <c r="DG2" s="3222"/>
      <c r="DH2" s="3222"/>
      <c r="DI2" s="3222"/>
      <c r="DJ2" s="3222"/>
      <c r="DK2" s="3222"/>
      <c r="DL2" s="3222"/>
      <c r="DM2" s="3222"/>
    </row>
    <row r="3" spans="1:117" ht="16.350000000000001" customHeight="1" x14ac:dyDescent="0.3">
      <c r="B3" s="150" t="str">
        <f>CONCATENATE("ESTABLECIMIENTO/ESTRATEGIA: ",NOMBRE!B3," - ","( ",NOMBRE!C3,NOMBRE!D3,NOMBRE!E3,NOMBRE!F3,NOMBRE!G3,NOMBRE!H3," )")</f>
        <v>ESTABLECIMIENTO/ESTRATEGIA:  - (  )</v>
      </c>
      <c r="CT3" s="1435"/>
      <c r="CU3" s="1435"/>
      <c r="CV3" s="1435"/>
      <c r="CW3" s="1435"/>
      <c r="CX3" s="1435"/>
      <c r="CY3" s="1435"/>
      <c r="CZ3" s="1435"/>
      <c r="DA3" s="1435"/>
      <c r="DG3" s="3222"/>
      <c r="DH3" s="3222"/>
      <c r="DI3" s="3222"/>
      <c r="DJ3" s="3222"/>
      <c r="DK3" s="3222"/>
      <c r="DL3" s="3222"/>
      <c r="DM3" s="3222"/>
    </row>
    <row r="4" spans="1:117" ht="16.350000000000001" customHeight="1" x14ac:dyDescent="0.3">
      <c r="B4" s="150" t="str">
        <f>CONCATENATE("MES: ",NOMBRE!B6," - ","( ",NOMBRE!C6,NOMBRE!D6," )")</f>
        <v>MES:  - (  )</v>
      </c>
      <c r="CT4" s="1435"/>
      <c r="CU4" s="1435"/>
      <c r="CV4" s="1435"/>
      <c r="CW4" s="1435"/>
      <c r="CX4" s="1435"/>
      <c r="CY4" s="1435"/>
      <c r="CZ4" s="1435"/>
      <c r="DA4" s="1435"/>
      <c r="DG4" s="3222"/>
      <c r="DH4" s="3222"/>
      <c r="DI4" s="3222"/>
      <c r="DJ4" s="3222"/>
      <c r="DK4" s="3222"/>
      <c r="DL4" s="3222"/>
      <c r="DM4" s="3222"/>
    </row>
    <row r="5" spans="1:117" ht="16.350000000000001" customHeight="1" x14ac:dyDescent="0.3">
      <c r="B5" s="150" t="str">
        <f>CONCATENATE("AÑO: ",NOMBRE!B7)</f>
        <v>AÑO: 2023</v>
      </c>
      <c r="AQ5" s="9554"/>
      <c r="AR5" s="9556"/>
      <c r="AS5" s="9556"/>
      <c r="CT5" s="1435"/>
      <c r="CU5" s="1435"/>
      <c r="CV5" s="1435"/>
      <c r="CW5" s="1435"/>
      <c r="CX5" s="1435"/>
      <c r="CY5" s="1435"/>
      <c r="CZ5" s="1435"/>
      <c r="DA5" s="1435"/>
      <c r="DG5" s="3222"/>
      <c r="DH5" s="3222"/>
      <c r="DI5" s="3222"/>
      <c r="DJ5" s="3222"/>
      <c r="DK5" s="3222"/>
      <c r="DL5" s="3222"/>
      <c r="DM5" s="3222"/>
    </row>
    <row r="6" spans="1:117" ht="16.350000000000001" customHeight="1" x14ac:dyDescent="0.3">
      <c r="B6" s="9558" t="s">
        <v>88</v>
      </c>
      <c r="C6" s="9558"/>
      <c r="D6" s="9558"/>
      <c r="E6" s="9558"/>
      <c r="F6" s="9558"/>
      <c r="G6" s="9558"/>
      <c r="H6" s="9558"/>
      <c r="I6" s="9558"/>
      <c r="J6" s="9558"/>
      <c r="K6" s="9558"/>
      <c r="L6" s="9558"/>
      <c r="M6" s="9558"/>
      <c r="N6" s="9558"/>
      <c r="O6" s="9558"/>
      <c r="P6" s="9558"/>
      <c r="Q6" s="9558"/>
      <c r="R6" s="9558"/>
      <c r="S6" s="9558"/>
      <c r="T6" s="9558"/>
      <c r="U6" s="9558"/>
      <c r="V6" s="9558"/>
      <c r="W6" s="9558"/>
      <c r="X6" s="9558"/>
      <c r="Y6" s="9558"/>
      <c r="Z6" s="9558"/>
      <c r="AA6" s="9558"/>
      <c r="AB6" s="9558"/>
      <c r="AC6" s="9558"/>
      <c r="AD6" s="9558"/>
      <c r="AE6" s="9558"/>
      <c r="AF6" s="140"/>
      <c r="AG6" s="140"/>
      <c r="AH6" s="140"/>
      <c r="AI6" s="169"/>
      <c r="AJ6" s="140"/>
      <c r="AK6" s="140"/>
      <c r="AL6" s="169"/>
      <c r="AM6" s="140"/>
      <c r="AN6" s="140"/>
      <c r="AO6" s="218"/>
      <c r="AQ6" s="9554"/>
      <c r="AR6" s="9556"/>
      <c r="AS6" s="9556"/>
      <c r="CT6" s="1435"/>
      <c r="CU6" s="1435"/>
      <c r="CV6" s="1435"/>
      <c r="CW6" s="1435"/>
      <c r="CX6" s="1435"/>
      <c r="CY6" s="1435"/>
      <c r="CZ6" s="1435"/>
      <c r="DA6" s="1435"/>
      <c r="DG6" s="3222"/>
      <c r="DH6" s="3222"/>
      <c r="DI6" s="3222"/>
      <c r="DJ6" s="3222"/>
      <c r="DK6" s="3222"/>
      <c r="DL6" s="3222"/>
      <c r="DM6" s="3222"/>
    </row>
    <row r="7" spans="1:117" ht="31.35" customHeight="1" x14ac:dyDescent="0.3">
      <c r="B7" s="133" t="s">
        <v>2611</v>
      </c>
      <c r="C7" s="72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145"/>
      <c r="AJ7" s="140"/>
      <c r="AK7" s="140"/>
      <c r="AL7" s="169"/>
      <c r="AM7" s="140"/>
      <c r="AN7" s="140"/>
      <c r="AO7" s="218"/>
      <c r="AQ7" s="9555"/>
      <c r="AR7" s="9557"/>
      <c r="AS7" s="9557"/>
      <c r="AT7" s="9552"/>
      <c r="AU7" s="9553"/>
      <c r="AV7" s="9553"/>
      <c r="CT7" s="1435"/>
      <c r="CU7" s="1435"/>
      <c r="CV7" s="1435"/>
      <c r="CW7" s="1435"/>
      <c r="CX7" s="1435"/>
      <c r="CY7" s="1435"/>
      <c r="CZ7" s="1435"/>
      <c r="DA7" s="1435"/>
      <c r="DG7" s="3222"/>
      <c r="DH7" s="3222"/>
      <c r="DI7" s="3222"/>
      <c r="DJ7" s="3222"/>
      <c r="DK7" s="3222"/>
      <c r="DL7" s="3222"/>
      <c r="DM7" s="3222"/>
    </row>
    <row r="8" spans="1:117" ht="16.350000000000001" customHeight="1" x14ac:dyDescent="0.3">
      <c r="B8" s="9559" t="s">
        <v>89</v>
      </c>
      <c r="C8" s="9583" t="s">
        <v>2612</v>
      </c>
      <c r="D8" s="9584"/>
      <c r="E8" s="9584"/>
      <c r="F8" s="9584"/>
      <c r="G8" s="9584"/>
      <c r="H8" s="9584"/>
      <c r="I8" s="9584"/>
      <c r="J8" s="9584"/>
      <c r="K8" s="9584"/>
      <c r="L8" s="9584"/>
      <c r="M8" s="9584"/>
      <c r="N8" s="9584"/>
      <c r="O8" s="9584"/>
      <c r="P8" s="9584"/>
      <c r="Q8" s="9584"/>
      <c r="R8" s="9584"/>
      <c r="S8" s="9584"/>
      <c r="T8" s="9584"/>
      <c r="U8" s="9584"/>
      <c r="V8" s="9584"/>
      <c r="W8" s="9585"/>
      <c r="X8" s="9559" t="s">
        <v>90</v>
      </c>
      <c r="Y8" s="9561"/>
      <c r="Z8" s="9561"/>
      <c r="AA8" s="9561"/>
      <c r="AB8" s="9561"/>
      <c r="AC8" s="9561"/>
      <c r="AD8" s="9561"/>
      <c r="AE8" s="9511"/>
      <c r="AF8" s="9573" t="s">
        <v>2651</v>
      </c>
      <c r="AG8" s="9573"/>
      <c r="AH8" s="290"/>
      <c r="AI8" s="290"/>
      <c r="AJ8" s="290"/>
      <c r="AK8" s="290"/>
      <c r="AL8" s="290"/>
      <c r="AM8" s="290"/>
      <c r="AN8" s="290"/>
      <c r="AO8" s="290"/>
      <c r="AP8" s="290"/>
      <c r="AQ8" s="290"/>
      <c r="AR8" s="290"/>
      <c r="AS8" s="290"/>
      <c r="AT8" s="290"/>
      <c r="BF8" s="1430"/>
      <c r="BG8" s="1430"/>
      <c r="BY8" s="165"/>
      <c r="BZ8" s="165"/>
      <c r="CA8" s="165"/>
      <c r="CT8" s="1435"/>
      <c r="CU8" s="1435"/>
      <c r="CV8" s="1435"/>
      <c r="CW8" s="1435"/>
      <c r="CX8" s="1435"/>
      <c r="CY8" s="1435"/>
      <c r="CZ8" s="1435"/>
      <c r="DA8" s="1435"/>
      <c r="DG8" s="3222"/>
      <c r="DH8" s="3222"/>
      <c r="DI8" s="3222"/>
      <c r="DJ8" s="3222"/>
      <c r="DK8" s="3222"/>
      <c r="DL8" s="3222"/>
      <c r="DM8" s="3222"/>
    </row>
    <row r="9" spans="1:117" ht="37.35" customHeight="1" x14ac:dyDescent="0.3">
      <c r="B9" s="8621"/>
      <c r="C9" s="8875" t="s">
        <v>86</v>
      </c>
      <c r="D9" s="8907" t="s">
        <v>84</v>
      </c>
      <c r="E9" s="9533"/>
      <c r="F9" s="9533"/>
      <c r="G9" s="9533"/>
      <c r="H9" s="9533"/>
      <c r="I9" s="9533"/>
      <c r="J9" s="9533"/>
      <c r="K9" s="9533"/>
      <c r="L9" s="9533"/>
      <c r="M9" s="9533"/>
      <c r="N9" s="9533"/>
      <c r="O9" s="9533"/>
      <c r="P9" s="9533"/>
      <c r="Q9" s="9533"/>
      <c r="R9" s="9533"/>
      <c r="S9" s="9533"/>
      <c r="T9" s="9534"/>
      <c r="U9" s="9582" t="s">
        <v>360</v>
      </c>
      <c r="V9" s="8567" t="s">
        <v>43</v>
      </c>
      <c r="W9" s="8569"/>
      <c r="X9" s="8575" t="s">
        <v>91</v>
      </c>
      <c r="Y9" s="8575"/>
      <c r="Z9" s="8575"/>
      <c r="AA9" s="8569"/>
      <c r="AB9" s="8567" t="s">
        <v>92</v>
      </c>
      <c r="AC9" s="8575"/>
      <c r="AD9" s="8575"/>
      <c r="AE9" s="8569"/>
      <c r="AF9" s="9573"/>
      <c r="AG9" s="9573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BF9" s="1430"/>
      <c r="BG9" s="1430"/>
      <c r="BY9" s="165"/>
      <c r="BZ9" s="165"/>
      <c r="CA9" s="165"/>
      <c r="CT9" s="1435"/>
      <c r="CU9" s="1435"/>
      <c r="CV9" s="1435"/>
      <c r="CW9" s="1435"/>
      <c r="CX9" s="1435"/>
      <c r="CY9" s="1435"/>
      <c r="CZ9" s="1435"/>
      <c r="DA9" s="1435"/>
      <c r="DG9" s="3222"/>
      <c r="DH9" s="3222"/>
      <c r="DI9" s="3222"/>
      <c r="DJ9" s="3222"/>
      <c r="DK9" s="3222"/>
      <c r="DL9" s="3222"/>
      <c r="DM9" s="3222"/>
    </row>
    <row r="10" spans="1:117" ht="64.349999999999994" customHeight="1" x14ac:dyDescent="0.3">
      <c r="B10" s="9560"/>
      <c r="C10" s="8876"/>
      <c r="D10" s="3153" t="s">
        <v>399</v>
      </c>
      <c r="E10" s="3154" t="s">
        <v>54</v>
      </c>
      <c r="F10" s="3148" t="s">
        <v>79</v>
      </c>
      <c r="G10" s="3148" t="s">
        <v>80</v>
      </c>
      <c r="H10" s="3148" t="s">
        <v>81</v>
      </c>
      <c r="I10" s="3149" t="s">
        <v>82</v>
      </c>
      <c r="J10" s="3149" t="s">
        <v>83</v>
      </c>
      <c r="K10" s="3149" t="s">
        <v>400</v>
      </c>
      <c r="L10" s="3149" t="s">
        <v>124</v>
      </c>
      <c r="M10" s="3149" t="s">
        <v>125</v>
      </c>
      <c r="N10" s="3149" t="s">
        <v>126</v>
      </c>
      <c r="O10" s="3149" t="s">
        <v>127</v>
      </c>
      <c r="P10" s="3149" t="s">
        <v>128</v>
      </c>
      <c r="Q10" s="3149" t="s">
        <v>129</v>
      </c>
      <c r="R10" s="3149" t="s">
        <v>130</v>
      </c>
      <c r="S10" s="3149" t="s">
        <v>131</v>
      </c>
      <c r="T10" s="3155" t="s">
        <v>1405</v>
      </c>
      <c r="U10" s="8953"/>
      <c r="V10" s="3146" t="s">
        <v>17</v>
      </c>
      <c r="W10" s="3155" t="s">
        <v>18</v>
      </c>
      <c r="X10" s="3156" t="s">
        <v>44</v>
      </c>
      <c r="Y10" s="3157" t="s">
        <v>95</v>
      </c>
      <c r="Z10" s="3148" t="s">
        <v>3472</v>
      </c>
      <c r="AA10" s="3155" t="s">
        <v>3471</v>
      </c>
      <c r="AB10" s="3157" t="s">
        <v>44</v>
      </c>
      <c r="AC10" s="3157" t="s">
        <v>95</v>
      </c>
      <c r="AD10" s="3148" t="s">
        <v>3472</v>
      </c>
      <c r="AE10" s="3155" t="s">
        <v>1642</v>
      </c>
      <c r="AF10" s="3179" t="s">
        <v>93</v>
      </c>
      <c r="AG10" s="3383" t="s">
        <v>94</v>
      </c>
      <c r="AH10" s="290"/>
      <c r="AI10" s="290"/>
      <c r="AJ10" s="290"/>
      <c r="AK10" s="290"/>
      <c r="AL10" s="290"/>
      <c r="AM10" s="290"/>
      <c r="AN10" s="290"/>
      <c r="AO10" s="290"/>
      <c r="AP10" s="290"/>
      <c r="AQ10" s="290"/>
      <c r="AR10" s="290"/>
      <c r="AS10" s="290"/>
      <c r="AT10" s="290"/>
      <c r="BF10" s="1430"/>
      <c r="BG10" s="1430"/>
      <c r="BY10" s="165"/>
      <c r="BZ10" s="165"/>
      <c r="CA10" s="165"/>
      <c r="CT10" s="1435"/>
      <c r="CU10" s="1435"/>
      <c r="CV10" s="1435"/>
      <c r="CW10" s="1435"/>
      <c r="CX10" s="1435"/>
      <c r="CY10" s="1435"/>
      <c r="CZ10" s="1435"/>
      <c r="DA10" s="1435"/>
      <c r="DG10" s="3222"/>
      <c r="DH10" s="3222"/>
      <c r="DI10" s="3222"/>
      <c r="DJ10" s="3222"/>
      <c r="DK10" s="3222"/>
      <c r="DL10" s="3222"/>
      <c r="DM10" s="3222"/>
    </row>
    <row r="11" spans="1:117" ht="16.350000000000001" customHeight="1" x14ac:dyDescent="0.3">
      <c r="A11" s="7299" t="s">
        <v>4733</v>
      </c>
      <c r="B11" s="3151" t="s">
        <v>111</v>
      </c>
      <c r="C11" s="2726" t="s">
        <v>5369</v>
      </c>
      <c r="D11" s="3244" t="s">
        <v>5370</v>
      </c>
      <c r="E11" s="3385" t="s">
        <v>5371</v>
      </c>
      <c r="F11" s="3385" t="s">
        <v>5372</v>
      </c>
      <c r="G11" s="3385" t="s">
        <v>5373</v>
      </c>
      <c r="H11" s="3386" t="s">
        <v>5374</v>
      </c>
      <c r="I11" s="3386" t="s">
        <v>5375</v>
      </c>
      <c r="J11" s="3386" t="s">
        <v>5376</v>
      </c>
      <c r="K11" s="3386" t="s">
        <v>5377</v>
      </c>
      <c r="L11" s="3386" t="s">
        <v>5378</v>
      </c>
      <c r="M11" s="3386" t="s">
        <v>5379</v>
      </c>
      <c r="N11" s="3386" t="s">
        <v>5380</v>
      </c>
      <c r="O11" s="3386" t="s">
        <v>5381</v>
      </c>
      <c r="P11" s="3386" t="s">
        <v>5382</v>
      </c>
      <c r="Q11" s="3386" t="s">
        <v>5383</v>
      </c>
      <c r="R11" s="3386" t="s">
        <v>5384</v>
      </c>
      <c r="S11" s="3386" t="s">
        <v>5385</v>
      </c>
      <c r="T11" s="3387" t="s">
        <v>5386</v>
      </c>
      <c r="U11" s="2814" t="s">
        <v>5387</v>
      </c>
      <c r="V11" s="3139" t="s">
        <v>5388</v>
      </c>
      <c r="W11" s="2986" t="s">
        <v>5389</v>
      </c>
      <c r="X11" s="3151" t="s">
        <v>5390</v>
      </c>
      <c r="Y11" s="3139" t="s">
        <v>5391</v>
      </c>
      <c r="Z11" s="2987" t="s">
        <v>5392</v>
      </c>
      <c r="AA11" s="2986" t="s">
        <v>5393</v>
      </c>
      <c r="AB11" s="3152" t="s">
        <v>5394</v>
      </c>
      <c r="AC11" s="3139" t="s">
        <v>5395</v>
      </c>
      <c r="AD11" s="2987" t="s">
        <v>5396</v>
      </c>
      <c r="AE11" s="2986" t="s">
        <v>5397</v>
      </c>
      <c r="AF11" s="3230" t="s">
        <v>5398</v>
      </c>
      <c r="AG11" s="2034" t="s">
        <v>5399</v>
      </c>
      <c r="AH11" s="1360" t="e">
        <f>CB11&amp;CC11&amp;CD11&amp;CE11&amp;CF11</f>
        <v>#VALUE!</v>
      </c>
      <c r="AI11" s="806"/>
      <c r="AJ11" s="806"/>
      <c r="AK11" s="806"/>
      <c r="AL11" s="806"/>
      <c r="AM11" s="806"/>
      <c r="AN11" s="806"/>
      <c r="AO11" s="806"/>
      <c r="AP11" s="290"/>
      <c r="AQ11" s="290"/>
      <c r="AR11" s="290"/>
      <c r="AS11" s="290"/>
      <c r="AT11" s="290"/>
      <c r="BF11" s="1430"/>
      <c r="BG11" s="1430"/>
      <c r="BY11" s="165"/>
      <c r="BZ11" s="165"/>
      <c r="CA11" s="165"/>
      <c r="CB11" s="1515" t="e">
        <f t="shared" ref="CB11:CB42" si="0">IF(DB11=1,"* El número de consultas según sexo NO DEBE ser diferente al Total. ","")</f>
        <v>#VALUE!</v>
      </c>
      <c r="CC11" s="1515" t="str">
        <f t="shared" ref="CC11:CC42" si="1">IF(DC11=1,"* No olvide digitar la columna Beneficiarios (Digite CEROS si no tiene). ","")</f>
        <v/>
      </c>
      <c r="CD11" s="1515" t="str">
        <f t="shared" ref="CD11:CD42" si="2">IF(DD11=1,"* El número de Beneficiarios NO DEBE ser mayor que el Total. ","")</f>
        <v xml:space="preserve">* El número de Beneficiarios NO DEBE ser mayor que el Total. </v>
      </c>
      <c r="CE11" s="1515" t="e">
        <f t="shared" ref="CE11:CE42" si="3">IF(DE11=1,"* El total de Consultas Nuevas NO DEBE ser MAYOR que el total de las Consultas Médicas. ","")</f>
        <v>#VALUE!</v>
      </c>
      <c r="CF11" s="1515" t="str">
        <f t="shared" ref="CF11:CF42" si="4">IF(DF11=1,"* No olvide registrar datos en Pertinencia (Digite CEROS si no tiene). ","")</f>
        <v/>
      </c>
      <c r="CG11" s="1515"/>
      <c r="CT11" s="1435"/>
      <c r="CU11" s="1435"/>
      <c r="CV11" s="1435"/>
      <c r="CW11" s="1435"/>
      <c r="CX11" s="1435"/>
      <c r="CY11" s="1435"/>
      <c r="CZ11" s="1435"/>
      <c r="DA11" s="1435"/>
      <c r="DB11" s="3222" t="e">
        <f t="shared" ref="DB11:DB42" si="5">IF(C11&lt;&gt;(V11+W11),1,0)</f>
        <v>#VALUE!</v>
      </c>
      <c r="DC11" s="3222">
        <f t="shared" ref="DC11:DC42" si="6">IF(AND(C11&lt;&gt;0,U11=""),1,0)</f>
        <v>0</v>
      </c>
      <c r="DD11" s="3222">
        <f t="shared" ref="DD11:DD42" si="7">IF(C11&lt;(U11),1,0)</f>
        <v>1</v>
      </c>
      <c r="DE11" s="3222" t="e">
        <f t="shared" ref="DE11:DE42" si="8">IF(C11&lt;(X11+AB11),1,0)</f>
        <v>#VALUE!</v>
      </c>
      <c r="DF11" s="3222"/>
      <c r="DG11" s="3222"/>
      <c r="DH11" s="3222"/>
      <c r="DI11" s="3222"/>
      <c r="DJ11" s="3222"/>
      <c r="DK11" s="3222"/>
      <c r="DL11" s="3222"/>
      <c r="DM11" s="3222"/>
    </row>
    <row r="12" spans="1:117" ht="16.350000000000001" customHeight="1" x14ac:dyDescent="0.3">
      <c r="A12" s="7299" t="s">
        <v>4734</v>
      </c>
      <c r="B12" s="2855" t="s">
        <v>110</v>
      </c>
      <c r="C12" s="2726" t="s">
        <v>5369</v>
      </c>
      <c r="D12" s="2822" t="s">
        <v>5370</v>
      </c>
      <c r="E12" s="2903" t="s">
        <v>5371</v>
      </c>
      <c r="F12" s="2903" t="s">
        <v>5372</v>
      </c>
      <c r="G12" s="2903" t="s">
        <v>5373</v>
      </c>
      <c r="H12" s="2903" t="s">
        <v>5374</v>
      </c>
      <c r="I12" s="2903" t="s">
        <v>5375</v>
      </c>
      <c r="J12" s="2903" t="s">
        <v>5376</v>
      </c>
      <c r="K12" s="2903" t="s">
        <v>5377</v>
      </c>
      <c r="L12" s="2903" t="s">
        <v>5378</v>
      </c>
      <c r="M12" s="2903" t="s">
        <v>5379</v>
      </c>
      <c r="N12" s="2903" t="s">
        <v>5380</v>
      </c>
      <c r="O12" s="2903" t="s">
        <v>5381</v>
      </c>
      <c r="P12" s="2903" t="s">
        <v>5382</v>
      </c>
      <c r="Q12" s="2903" t="s">
        <v>5383</v>
      </c>
      <c r="R12" s="2903" t="s">
        <v>5384</v>
      </c>
      <c r="S12" s="2903" t="s">
        <v>5385</v>
      </c>
      <c r="T12" s="2824" t="s">
        <v>5386</v>
      </c>
      <c r="U12" s="2678" t="s">
        <v>5387</v>
      </c>
      <c r="V12" s="110" t="s">
        <v>5388</v>
      </c>
      <c r="W12" s="122" t="s">
        <v>5389</v>
      </c>
      <c r="X12" s="135" t="s">
        <v>5390</v>
      </c>
      <c r="Y12" s="110" t="s">
        <v>5391</v>
      </c>
      <c r="Z12" s="111" t="s">
        <v>5392</v>
      </c>
      <c r="AA12" s="122" t="s">
        <v>5393</v>
      </c>
      <c r="AB12" s="2146" t="s">
        <v>5394</v>
      </c>
      <c r="AC12" s="110" t="s">
        <v>5395</v>
      </c>
      <c r="AD12" s="136" t="s">
        <v>5396</v>
      </c>
      <c r="AE12" s="122" t="s">
        <v>5397</v>
      </c>
      <c r="AF12" s="3230" t="s">
        <v>5398</v>
      </c>
      <c r="AG12" s="2034" t="s">
        <v>5399</v>
      </c>
      <c r="AH12" s="1360" t="e">
        <f t="shared" ref="AH12:AH70" si="9">CB12&amp;CC12&amp;CD12&amp;CE12&amp;CF12</f>
        <v>#VALUE!</v>
      </c>
      <c r="AI12" s="806"/>
      <c r="AJ12" s="806"/>
      <c r="AK12" s="806"/>
      <c r="AL12" s="806"/>
      <c r="AM12" s="806"/>
      <c r="AN12" s="806"/>
      <c r="AO12" s="806"/>
      <c r="AP12" s="290"/>
      <c r="AQ12" s="290"/>
      <c r="AR12" s="290"/>
      <c r="AS12" s="290"/>
      <c r="AT12" s="290"/>
      <c r="BF12" s="1430"/>
      <c r="BG12" s="1430"/>
      <c r="BY12" s="165"/>
      <c r="BZ12" s="165"/>
      <c r="CA12" s="165"/>
      <c r="CB12" s="1515" t="e">
        <f t="shared" si="0"/>
        <v>#VALUE!</v>
      </c>
      <c r="CC12" s="1515" t="str">
        <f t="shared" si="1"/>
        <v/>
      </c>
      <c r="CD12" s="1515" t="str">
        <f t="shared" si="2"/>
        <v xml:space="preserve">* El número de Beneficiarios NO DEBE ser mayor que el Total. </v>
      </c>
      <c r="CE12" s="1515" t="e">
        <f t="shared" si="3"/>
        <v>#VALUE!</v>
      </c>
      <c r="CF12" s="1515" t="str">
        <f t="shared" si="4"/>
        <v/>
      </c>
      <c r="CG12" s="1515"/>
      <c r="CT12" s="1435"/>
      <c r="CU12" s="1435"/>
      <c r="CV12" s="1435"/>
      <c r="CW12" s="1435"/>
      <c r="CX12" s="1435"/>
      <c r="CY12" s="1435"/>
      <c r="CZ12" s="1435"/>
      <c r="DA12" s="1435"/>
      <c r="DB12" s="3222" t="e">
        <f t="shared" si="5"/>
        <v>#VALUE!</v>
      </c>
      <c r="DC12" s="3222">
        <f t="shared" si="6"/>
        <v>0</v>
      </c>
      <c r="DD12" s="3222">
        <f t="shared" si="7"/>
        <v>1</v>
      </c>
      <c r="DE12" s="3222" t="e">
        <f t="shared" si="8"/>
        <v>#VALUE!</v>
      </c>
      <c r="DF12" s="3222"/>
      <c r="DG12" s="3222"/>
      <c r="DH12" s="3222"/>
      <c r="DI12" s="3222"/>
      <c r="DJ12" s="3222"/>
      <c r="DK12" s="3222"/>
      <c r="DL12" s="3222"/>
      <c r="DM12" s="3222"/>
    </row>
    <row r="13" spans="1:117" ht="16.350000000000001" customHeight="1" x14ac:dyDescent="0.3">
      <c r="A13" s="7299" t="s">
        <v>4735</v>
      </c>
      <c r="B13" s="2855" t="s">
        <v>134</v>
      </c>
      <c r="C13" s="2726" t="s">
        <v>5369</v>
      </c>
      <c r="D13" s="2822" t="s">
        <v>5370</v>
      </c>
      <c r="E13" s="3388" t="s">
        <v>5371</v>
      </c>
      <c r="F13" s="3388" t="s">
        <v>5372</v>
      </c>
      <c r="G13" s="3388" t="s">
        <v>5373</v>
      </c>
      <c r="H13" s="3388" t="s">
        <v>5374</v>
      </c>
      <c r="I13" s="3388" t="s">
        <v>5375</v>
      </c>
      <c r="J13" s="3388" t="s">
        <v>5376</v>
      </c>
      <c r="K13" s="3388" t="s">
        <v>5377</v>
      </c>
      <c r="L13" s="3388" t="s">
        <v>5378</v>
      </c>
      <c r="M13" s="3388" t="s">
        <v>5379</v>
      </c>
      <c r="N13" s="3388" t="s">
        <v>5380</v>
      </c>
      <c r="O13" s="3388" t="s">
        <v>5381</v>
      </c>
      <c r="P13" s="3388" t="s">
        <v>5382</v>
      </c>
      <c r="Q13" s="3388" t="s">
        <v>5383</v>
      </c>
      <c r="R13" s="3388" t="s">
        <v>5384</v>
      </c>
      <c r="S13" s="3388" t="s">
        <v>5385</v>
      </c>
      <c r="T13" s="2858" t="s">
        <v>5386</v>
      </c>
      <c r="U13" s="2678" t="s">
        <v>5387</v>
      </c>
      <c r="V13" s="110" t="s">
        <v>5388</v>
      </c>
      <c r="W13" s="122" t="s">
        <v>5389</v>
      </c>
      <c r="X13" s="135" t="s">
        <v>5390</v>
      </c>
      <c r="Y13" s="110" t="s">
        <v>5391</v>
      </c>
      <c r="Z13" s="111" t="s">
        <v>5392</v>
      </c>
      <c r="AA13" s="122" t="s">
        <v>5393</v>
      </c>
      <c r="AB13" s="2146" t="s">
        <v>5394</v>
      </c>
      <c r="AC13" s="110" t="s">
        <v>5395</v>
      </c>
      <c r="AD13" s="136" t="s">
        <v>5396</v>
      </c>
      <c r="AE13" s="122" t="s">
        <v>5397</v>
      </c>
      <c r="AF13" s="3230" t="s">
        <v>5398</v>
      </c>
      <c r="AG13" s="2034" t="s">
        <v>5399</v>
      </c>
      <c r="AH13" s="1360" t="e">
        <f t="shared" si="9"/>
        <v>#VALUE!</v>
      </c>
      <c r="AI13" s="806"/>
      <c r="AJ13" s="806"/>
      <c r="AK13" s="806"/>
      <c r="AL13" s="806"/>
      <c r="AM13" s="806"/>
      <c r="AN13" s="806"/>
      <c r="AO13" s="806"/>
      <c r="AP13" s="290"/>
      <c r="AQ13" s="290"/>
      <c r="AR13" s="290"/>
      <c r="AS13" s="290"/>
      <c r="AT13" s="290"/>
      <c r="BF13" s="1430"/>
      <c r="BG13" s="1430"/>
      <c r="BY13" s="165"/>
      <c r="BZ13" s="165"/>
      <c r="CA13" s="165"/>
      <c r="CB13" s="1515" t="e">
        <f t="shared" si="0"/>
        <v>#VALUE!</v>
      </c>
      <c r="CC13" s="1515" t="str">
        <f t="shared" si="1"/>
        <v/>
      </c>
      <c r="CD13" s="1515" t="str">
        <f t="shared" si="2"/>
        <v xml:space="preserve">* El número de Beneficiarios NO DEBE ser mayor que el Total. </v>
      </c>
      <c r="CE13" s="1515" t="e">
        <f>IF(DE13=1,"* El total de Consultas Nuevas NO DEBE ser MAYOR que el total de las Consultas Médicas. ","")</f>
        <v>#VALUE!</v>
      </c>
      <c r="CF13" s="1515" t="str">
        <f t="shared" si="4"/>
        <v/>
      </c>
      <c r="CG13" s="1515"/>
      <c r="CT13" s="1435"/>
      <c r="CU13" s="1435"/>
      <c r="CV13" s="1435"/>
      <c r="CW13" s="1435"/>
      <c r="CX13" s="1435"/>
      <c r="CY13" s="1435"/>
      <c r="CZ13" s="1435"/>
      <c r="DA13" s="1435"/>
      <c r="DB13" s="3222" t="e">
        <f t="shared" si="5"/>
        <v>#VALUE!</v>
      </c>
      <c r="DC13" s="3222">
        <f t="shared" si="6"/>
        <v>0</v>
      </c>
      <c r="DD13" s="3222">
        <f t="shared" si="7"/>
        <v>1</v>
      </c>
      <c r="DE13" s="3222" t="e">
        <f t="shared" si="8"/>
        <v>#VALUE!</v>
      </c>
      <c r="DF13" s="3222"/>
      <c r="DG13" s="3222"/>
      <c r="DH13" s="3222"/>
      <c r="DI13" s="3222"/>
      <c r="DJ13" s="3222"/>
      <c r="DK13" s="3222"/>
      <c r="DL13" s="3222"/>
      <c r="DM13" s="3222"/>
    </row>
    <row r="14" spans="1:117" ht="16.350000000000001" customHeight="1" x14ac:dyDescent="0.3">
      <c r="A14" s="7299" t="s">
        <v>4736</v>
      </c>
      <c r="B14" s="2855" t="s">
        <v>256</v>
      </c>
      <c r="C14" s="2726" t="s">
        <v>5369</v>
      </c>
      <c r="D14" s="2822" t="s">
        <v>5370</v>
      </c>
      <c r="E14" s="2903" t="s">
        <v>5371</v>
      </c>
      <c r="F14" s="2903" t="s">
        <v>5372</v>
      </c>
      <c r="G14" s="2903" t="s">
        <v>5373</v>
      </c>
      <c r="H14" s="2903" t="s">
        <v>5374</v>
      </c>
      <c r="I14" s="2903" t="s">
        <v>5375</v>
      </c>
      <c r="J14" s="2903" t="s">
        <v>5376</v>
      </c>
      <c r="K14" s="2903" t="s">
        <v>5377</v>
      </c>
      <c r="L14" s="2903" t="s">
        <v>5378</v>
      </c>
      <c r="M14" s="2903" t="s">
        <v>5379</v>
      </c>
      <c r="N14" s="2903" t="s">
        <v>5380</v>
      </c>
      <c r="O14" s="2903" t="s">
        <v>5381</v>
      </c>
      <c r="P14" s="2903" t="s">
        <v>5382</v>
      </c>
      <c r="Q14" s="2903" t="s">
        <v>5383</v>
      </c>
      <c r="R14" s="2903" t="s">
        <v>5384</v>
      </c>
      <c r="S14" s="2903" t="s">
        <v>5385</v>
      </c>
      <c r="T14" s="2824" t="s">
        <v>5386</v>
      </c>
      <c r="U14" s="2678" t="s">
        <v>5387</v>
      </c>
      <c r="V14" s="110" t="s">
        <v>5388</v>
      </c>
      <c r="W14" s="122" t="s">
        <v>5389</v>
      </c>
      <c r="X14" s="135" t="s">
        <v>5390</v>
      </c>
      <c r="Y14" s="110" t="s">
        <v>5391</v>
      </c>
      <c r="Z14" s="111" t="s">
        <v>5392</v>
      </c>
      <c r="AA14" s="122" t="s">
        <v>5393</v>
      </c>
      <c r="AB14" s="2146" t="s">
        <v>5394</v>
      </c>
      <c r="AC14" s="110" t="s">
        <v>5395</v>
      </c>
      <c r="AD14" s="136" t="s">
        <v>5396</v>
      </c>
      <c r="AE14" s="122" t="s">
        <v>5397</v>
      </c>
      <c r="AF14" s="3230" t="s">
        <v>5398</v>
      </c>
      <c r="AG14" s="2034" t="s">
        <v>5399</v>
      </c>
      <c r="AH14" s="1360" t="e">
        <f t="shared" si="9"/>
        <v>#VALUE!</v>
      </c>
      <c r="AI14" s="806"/>
      <c r="AJ14" s="806"/>
      <c r="AK14" s="806"/>
      <c r="AL14" s="806"/>
      <c r="AM14" s="806"/>
      <c r="AN14" s="806"/>
      <c r="AO14" s="806"/>
      <c r="AP14" s="290"/>
      <c r="AQ14" s="290"/>
      <c r="AR14" s="290"/>
      <c r="AS14" s="290"/>
      <c r="AT14" s="290"/>
      <c r="BF14" s="1430"/>
      <c r="BG14" s="1430"/>
      <c r="BY14" s="165"/>
      <c r="BZ14" s="165"/>
      <c r="CA14" s="165"/>
      <c r="CB14" s="1515" t="e">
        <f t="shared" si="0"/>
        <v>#VALUE!</v>
      </c>
      <c r="CC14" s="1515" t="str">
        <f t="shared" si="1"/>
        <v/>
      </c>
      <c r="CD14" s="1515" t="str">
        <f t="shared" si="2"/>
        <v xml:space="preserve">* El número de Beneficiarios NO DEBE ser mayor que el Total. </v>
      </c>
      <c r="CE14" s="1515" t="e">
        <f t="shared" si="3"/>
        <v>#VALUE!</v>
      </c>
      <c r="CF14" s="1515" t="str">
        <f t="shared" si="4"/>
        <v/>
      </c>
      <c r="CG14" s="1515"/>
      <c r="CT14" s="1435"/>
      <c r="CU14" s="1435"/>
      <c r="CV14" s="1435"/>
      <c r="CW14" s="1435"/>
      <c r="CX14" s="1435"/>
      <c r="CY14" s="1435"/>
      <c r="CZ14" s="1435"/>
      <c r="DA14" s="1435"/>
      <c r="DB14" s="3222" t="e">
        <f t="shared" si="5"/>
        <v>#VALUE!</v>
      </c>
      <c r="DC14" s="3222">
        <f t="shared" si="6"/>
        <v>0</v>
      </c>
      <c r="DD14" s="3222">
        <f t="shared" si="7"/>
        <v>1</v>
      </c>
      <c r="DE14" s="3222" t="e">
        <f t="shared" si="8"/>
        <v>#VALUE!</v>
      </c>
      <c r="DF14" s="3222"/>
      <c r="DG14" s="3222"/>
      <c r="DH14" s="3222"/>
      <c r="DI14" s="3222"/>
      <c r="DJ14" s="3222"/>
      <c r="DK14" s="3222"/>
      <c r="DL14" s="3222"/>
      <c r="DM14" s="3222"/>
    </row>
    <row r="15" spans="1:117" ht="16.350000000000001" customHeight="1" x14ac:dyDescent="0.3">
      <c r="A15" s="7299" t="s">
        <v>4737</v>
      </c>
      <c r="B15" s="2855" t="s">
        <v>257</v>
      </c>
      <c r="C15" s="2726" t="s">
        <v>5369</v>
      </c>
      <c r="D15" s="2822" t="s">
        <v>5370</v>
      </c>
      <c r="E15" s="2903" t="s">
        <v>5371</v>
      </c>
      <c r="F15" s="2903" t="s">
        <v>5372</v>
      </c>
      <c r="G15" s="2903" t="s">
        <v>5373</v>
      </c>
      <c r="H15" s="2903" t="s">
        <v>5374</v>
      </c>
      <c r="I15" s="2903" t="s">
        <v>5375</v>
      </c>
      <c r="J15" s="2903" t="s">
        <v>5376</v>
      </c>
      <c r="K15" s="2903" t="s">
        <v>5377</v>
      </c>
      <c r="L15" s="2903" t="s">
        <v>5378</v>
      </c>
      <c r="M15" s="2903" t="s">
        <v>5379</v>
      </c>
      <c r="N15" s="2903" t="s">
        <v>5380</v>
      </c>
      <c r="O15" s="2903" t="s">
        <v>5381</v>
      </c>
      <c r="P15" s="2903" t="s">
        <v>5382</v>
      </c>
      <c r="Q15" s="2903" t="s">
        <v>5383</v>
      </c>
      <c r="R15" s="2903" t="s">
        <v>5384</v>
      </c>
      <c r="S15" s="2903" t="s">
        <v>5385</v>
      </c>
      <c r="T15" s="2824" t="s">
        <v>5386</v>
      </c>
      <c r="U15" s="2678" t="s">
        <v>5387</v>
      </c>
      <c r="V15" s="110" t="s">
        <v>5388</v>
      </c>
      <c r="W15" s="122" t="s">
        <v>5389</v>
      </c>
      <c r="X15" s="135" t="s">
        <v>5390</v>
      </c>
      <c r="Y15" s="110" t="s">
        <v>5391</v>
      </c>
      <c r="Z15" s="111" t="s">
        <v>5392</v>
      </c>
      <c r="AA15" s="122" t="s">
        <v>5393</v>
      </c>
      <c r="AB15" s="323" t="s">
        <v>5394</v>
      </c>
      <c r="AC15" s="110" t="s">
        <v>5395</v>
      </c>
      <c r="AD15" s="136" t="s">
        <v>5396</v>
      </c>
      <c r="AE15" s="122" t="s">
        <v>5397</v>
      </c>
      <c r="AF15" s="3230" t="s">
        <v>5398</v>
      </c>
      <c r="AG15" s="2034" t="s">
        <v>5399</v>
      </c>
      <c r="AH15" s="1360" t="e">
        <f t="shared" si="9"/>
        <v>#VALUE!</v>
      </c>
      <c r="AI15" s="806"/>
      <c r="AJ15" s="806"/>
      <c r="AK15" s="806"/>
      <c r="AL15" s="806"/>
      <c r="AM15" s="806"/>
      <c r="AN15" s="806"/>
      <c r="AO15" s="806"/>
      <c r="AP15" s="290"/>
      <c r="AQ15" s="290"/>
      <c r="AR15" s="290"/>
      <c r="AS15" s="290"/>
      <c r="AT15" s="290"/>
      <c r="BF15" s="1430"/>
      <c r="BG15" s="1430"/>
      <c r="BY15" s="165"/>
      <c r="BZ15" s="165"/>
      <c r="CA15" s="165"/>
      <c r="CB15" s="1515" t="e">
        <f t="shared" si="0"/>
        <v>#VALUE!</v>
      </c>
      <c r="CC15" s="1515" t="str">
        <f t="shared" si="1"/>
        <v/>
      </c>
      <c r="CD15" s="1515" t="str">
        <f t="shared" si="2"/>
        <v xml:space="preserve">* El número de Beneficiarios NO DEBE ser mayor que el Total. </v>
      </c>
      <c r="CE15" s="1515" t="e">
        <f t="shared" si="3"/>
        <v>#VALUE!</v>
      </c>
      <c r="CF15" s="1515" t="str">
        <f t="shared" si="4"/>
        <v/>
      </c>
      <c r="CG15" s="1515"/>
      <c r="CT15" s="1435"/>
      <c r="CU15" s="1435"/>
      <c r="CV15" s="1435"/>
      <c r="CW15" s="1435"/>
      <c r="CX15" s="1435"/>
      <c r="CY15" s="1435"/>
      <c r="CZ15" s="1435"/>
      <c r="DA15" s="1435"/>
      <c r="DB15" s="3222" t="e">
        <f t="shared" si="5"/>
        <v>#VALUE!</v>
      </c>
      <c r="DC15" s="3222">
        <f t="shared" si="6"/>
        <v>0</v>
      </c>
      <c r="DD15" s="3222">
        <f t="shared" si="7"/>
        <v>1</v>
      </c>
      <c r="DE15" s="3222" t="e">
        <f t="shared" si="8"/>
        <v>#VALUE!</v>
      </c>
      <c r="DF15" s="3222"/>
      <c r="DG15" s="3222"/>
      <c r="DH15" s="3222"/>
      <c r="DI15" s="3222"/>
      <c r="DJ15" s="3222"/>
      <c r="DK15" s="3222"/>
      <c r="DL15" s="3222"/>
      <c r="DM15" s="3222"/>
    </row>
    <row r="16" spans="1:117" ht="16.350000000000001" customHeight="1" x14ac:dyDescent="0.3">
      <c r="A16" s="7300" t="s">
        <v>4738</v>
      </c>
      <c r="B16" s="2855" t="s">
        <v>258</v>
      </c>
      <c r="C16" s="2726" t="s">
        <v>5369</v>
      </c>
      <c r="D16" s="2822" t="s">
        <v>5370</v>
      </c>
      <c r="E16" s="2903" t="s">
        <v>5371</v>
      </c>
      <c r="F16" s="2903" t="s">
        <v>5372</v>
      </c>
      <c r="G16" s="2903" t="s">
        <v>5373</v>
      </c>
      <c r="H16" s="2903" t="s">
        <v>5374</v>
      </c>
      <c r="I16" s="2903" t="s">
        <v>5375</v>
      </c>
      <c r="J16" s="2903" t="s">
        <v>5376</v>
      </c>
      <c r="K16" s="2903" t="s">
        <v>5377</v>
      </c>
      <c r="L16" s="2903" t="s">
        <v>5378</v>
      </c>
      <c r="M16" s="2903" t="s">
        <v>5379</v>
      </c>
      <c r="N16" s="2903" t="s">
        <v>5380</v>
      </c>
      <c r="O16" s="2903" t="s">
        <v>5381</v>
      </c>
      <c r="P16" s="2903" t="s">
        <v>5382</v>
      </c>
      <c r="Q16" s="2903" t="s">
        <v>5383</v>
      </c>
      <c r="R16" s="2903" t="s">
        <v>5384</v>
      </c>
      <c r="S16" s="2903" t="s">
        <v>5385</v>
      </c>
      <c r="T16" s="2824" t="s">
        <v>5386</v>
      </c>
      <c r="U16" s="2678" t="s">
        <v>5387</v>
      </c>
      <c r="V16" s="110" t="s">
        <v>5388</v>
      </c>
      <c r="W16" s="122" t="s">
        <v>5389</v>
      </c>
      <c r="X16" s="135" t="s">
        <v>5390</v>
      </c>
      <c r="Y16" s="110" t="s">
        <v>5391</v>
      </c>
      <c r="Z16" s="111" t="s">
        <v>5392</v>
      </c>
      <c r="AA16" s="122" t="s">
        <v>5393</v>
      </c>
      <c r="AB16" s="323" t="s">
        <v>5394</v>
      </c>
      <c r="AC16" s="110" t="s">
        <v>5395</v>
      </c>
      <c r="AD16" s="136" t="s">
        <v>5396</v>
      </c>
      <c r="AE16" s="122" t="s">
        <v>5397</v>
      </c>
      <c r="AF16" s="3230" t="s">
        <v>5398</v>
      </c>
      <c r="AG16" s="2034" t="s">
        <v>5399</v>
      </c>
      <c r="AH16" s="1360" t="e">
        <f t="shared" si="9"/>
        <v>#VALUE!</v>
      </c>
      <c r="AI16" s="806"/>
      <c r="AJ16" s="806"/>
      <c r="AK16" s="806"/>
      <c r="AL16" s="806"/>
      <c r="AM16" s="806"/>
      <c r="AN16" s="806"/>
      <c r="AO16" s="806"/>
      <c r="AP16" s="290"/>
      <c r="AQ16" s="290"/>
      <c r="AR16" s="290"/>
      <c r="AS16" s="290"/>
      <c r="AT16" s="290"/>
      <c r="BF16" s="1430"/>
      <c r="BG16" s="1430"/>
      <c r="BY16" s="165"/>
      <c r="BZ16" s="165"/>
      <c r="CA16" s="165"/>
      <c r="CB16" s="1515" t="e">
        <f t="shared" si="0"/>
        <v>#VALUE!</v>
      </c>
      <c r="CC16" s="1515" t="str">
        <f t="shared" si="1"/>
        <v/>
      </c>
      <c r="CD16" s="1515" t="str">
        <f t="shared" si="2"/>
        <v xml:space="preserve">* El número de Beneficiarios NO DEBE ser mayor que el Total. </v>
      </c>
      <c r="CE16" s="1515" t="e">
        <f t="shared" si="3"/>
        <v>#VALUE!</v>
      </c>
      <c r="CF16" s="1515" t="str">
        <f t="shared" si="4"/>
        <v/>
      </c>
      <c r="CG16" s="1515"/>
      <c r="CT16" s="1435"/>
      <c r="CU16" s="1435"/>
      <c r="CV16" s="1435"/>
      <c r="CW16" s="1435"/>
      <c r="CX16" s="1435"/>
      <c r="CY16" s="1435"/>
      <c r="CZ16" s="1435"/>
      <c r="DA16" s="1435"/>
      <c r="DB16" s="3222" t="e">
        <f t="shared" si="5"/>
        <v>#VALUE!</v>
      </c>
      <c r="DC16" s="3222">
        <f t="shared" si="6"/>
        <v>0</v>
      </c>
      <c r="DD16" s="3222">
        <f t="shared" si="7"/>
        <v>1</v>
      </c>
      <c r="DE16" s="3222" t="e">
        <f t="shared" si="8"/>
        <v>#VALUE!</v>
      </c>
      <c r="DF16" s="3222"/>
      <c r="DG16" s="3222"/>
      <c r="DH16" s="3222"/>
      <c r="DI16" s="3222"/>
      <c r="DJ16" s="3222"/>
      <c r="DK16" s="3222"/>
      <c r="DL16" s="3222"/>
      <c r="DM16" s="3222"/>
    </row>
    <row r="17" spans="1:117" ht="16.350000000000001" customHeight="1" x14ac:dyDescent="0.3">
      <c r="A17" s="7299" t="s">
        <v>4739</v>
      </c>
      <c r="B17" s="2855" t="s">
        <v>455</v>
      </c>
      <c r="C17" s="2726" t="s">
        <v>5369</v>
      </c>
      <c r="D17" s="2822" t="s">
        <v>5370</v>
      </c>
      <c r="E17" s="2903" t="s">
        <v>5371</v>
      </c>
      <c r="F17" s="2903" t="s">
        <v>5372</v>
      </c>
      <c r="G17" s="2903" t="s">
        <v>5373</v>
      </c>
      <c r="H17" s="2903" t="s">
        <v>5374</v>
      </c>
      <c r="I17" s="2903" t="s">
        <v>5375</v>
      </c>
      <c r="J17" s="2903" t="s">
        <v>5376</v>
      </c>
      <c r="K17" s="2903" t="s">
        <v>5377</v>
      </c>
      <c r="L17" s="2903" t="s">
        <v>5378</v>
      </c>
      <c r="M17" s="2903" t="s">
        <v>5379</v>
      </c>
      <c r="N17" s="2903" t="s">
        <v>5380</v>
      </c>
      <c r="O17" s="2903" t="s">
        <v>5381</v>
      </c>
      <c r="P17" s="2903" t="s">
        <v>5382</v>
      </c>
      <c r="Q17" s="2903" t="s">
        <v>5383</v>
      </c>
      <c r="R17" s="2903" t="s">
        <v>5384</v>
      </c>
      <c r="S17" s="2903" t="s">
        <v>5385</v>
      </c>
      <c r="T17" s="2824" t="s">
        <v>5386</v>
      </c>
      <c r="U17" s="2678" t="s">
        <v>5387</v>
      </c>
      <c r="V17" s="110" t="s">
        <v>5388</v>
      </c>
      <c r="W17" s="122" t="s">
        <v>5389</v>
      </c>
      <c r="X17" s="135" t="s">
        <v>5390</v>
      </c>
      <c r="Y17" s="110" t="s">
        <v>5391</v>
      </c>
      <c r="Z17" s="111" t="s">
        <v>5392</v>
      </c>
      <c r="AA17" s="122" t="s">
        <v>5393</v>
      </c>
      <c r="AB17" s="323" t="s">
        <v>5394</v>
      </c>
      <c r="AC17" s="110" t="s">
        <v>5395</v>
      </c>
      <c r="AD17" s="136" t="s">
        <v>5396</v>
      </c>
      <c r="AE17" s="122" t="s">
        <v>5397</v>
      </c>
      <c r="AF17" s="3230" t="s">
        <v>5398</v>
      </c>
      <c r="AG17" s="2034" t="s">
        <v>5399</v>
      </c>
      <c r="AH17" s="1360" t="e">
        <f t="shared" si="9"/>
        <v>#VALUE!</v>
      </c>
      <c r="AI17" s="806"/>
      <c r="AJ17" s="806"/>
      <c r="AK17" s="806"/>
      <c r="AL17" s="806"/>
      <c r="AM17" s="806"/>
      <c r="AN17" s="806"/>
      <c r="AO17" s="806"/>
      <c r="AP17" s="290"/>
      <c r="AQ17" s="290"/>
      <c r="AR17" s="290"/>
      <c r="AS17" s="290"/>
      <c r="AT17" s="290"/>
      <c r="BF17" s="1430"/>
      <c r="BG17" s="1430"/>
      <c r="BY17" s="165"/>
      <c r="BZ17" s="165"/>
      <c r="CA17" s="165"/>
      <c r="CB17" s="1515" t="e">
        <f t="shared" si="0"/>
        <v>#VALUE!</v>
      </c>
      <c r="CC17" s="1515" t="str">
        <f t="shared" si="1"/>
        <v/>
      </c>
      <c r="CD17" s="1515" t="str">
        <f t="shared" si="2"/>
        <v xml:space="preserve">* El número de Beneficiarios NO DEBE ser mayor que el Total. </v>
      </c>
      <c r="CE17" s="1515" t="e">
        <f t="shared" si="3"/>
        <v>#VALUE!</v>
      </c>
      <c r="CF17" s="1515" t="str">
        <f t="shared" si="4"/>
        <v/>
      </c>
      <c r="CG17" s="1515"/>
      <c r="CT17" s="1435"/>
      <c r="CU17" s="1435"/>
      <c r="CV17" s="1435"/>
      <c r="CW17" s="1435"/>
      <c r="CX17" s="1435"/>
      <c r="CY17" s="1435"/>
      <c r="CZ17" s="1435"/>
      <c r="DA17" s="1435"/>
      <c r="DB17" s="3222" t="e">
        <f t="shared" si="5"/>
        <v>#VALUE!</v>
      </c>
      <c r="DC17" s="3222">
        <f t="shared" si="6"/>
        <v>0</v>
      </c>
      <c r="DD17" s="3222">
        <f t="shared" si="7"/>
        <v>1</v>
      </c>
      <c r="DE17" s="3222" t="e">
        <f t="shared" si="8"/>
        <v>#VALUE!</v>
      </c>
      <c r="DF17" s="3222"/>
      <c r="DG17" s="3222"/>
      <c r="DH17" s="3222"/>
      <c r="DI17" s="3222"/>
      <c r="DJ17" s="3222"/>
      <c r="DK17" s="3222"/>
      <c r="DL17" s="3222"/>
      <c r="DM17" s="3222"/>
    </row>
    <row r="18" spans="1:117" ht="16.350000000000001" customHeight="1" x14ac:dyDescent="0.3">
      <c r="A18" s="7299" t="s">
        <v>4740</v>
      </c>
      <c r="B18" s="2855" t="s">
        <v>259</v>
      </c>
      <c r="C18" s="2726" t="s">
        <v>5369</v>
      </c>
      <c r="D18" s="2822" t="s">
        <v>5370</v>
      </c>
      <c r="E18" s="2903" t="s">
        <v>5371</v>
      </c>
      <c r="F18" s="2903" t="s">
        <v>5372</v>
      </c>
      <c r="G18" s="2903" t="s">
        <v>5373</v>
      </c>
      <c r="H18" s="2903" t="s">
        <v>5374</v>
      </c>
      <c r="I18" s="2903" t="s">
        <v>5375</v>
      </c>
      <c r="J18" s="2903" t="s">
        <v>5376</v>
      </c>
      <c r="K18" s="2903" t="s">
        <v>5377</v>
      </c>
      <c r="L18" s="2903" t="s">
        <v>5378</v>
      </c>
      <c r="M18" s="2903" t="s">
        <v>5379</v>
      </c>
      <c r="N18" s="2903" t="s">
        <v>5380</v>
      </c>
      <c r="O18" s="2903" t="s">
        <v>5381</v>
      </c>
      <c r="P18" s="2903" t="s">
        <v>5382</v>
      </c>
      <c r="Q18" s="2903" t="s">
        <v>5383</v>
      </c>
      <c r="R18" s="2903" t="s">
        <v>5384</v>
      </c>
      <c r="S18" s="2903" t="s">
        <v>5385</v>
      </c>
      <c r="T18" s="2824" t="s">
        <v>5386</v>
      </c>
      <c r="U18" s="2678" t="s">
        <v>5387</v>
      </c>
      <c r="V18" s="110" t="s">
        <v>5388</v>
      </c>
      <c r="W18" s="122" t="s">
        <v>5389</v>
      </c>
      <c r="X18" s="135" t="s">
        <v>5390</v>
      </c>
      <c r="Y18" s="110" t="s">
        <v>5391</v>
      </c>
      <c r="Z18" s="111" t="s">
        <v>5392</v>
      </c>
      <c r="AA18" s="122" t="s">
        <v>5393</v>
      </c>
      <c r="AB18" s="323" t="s">
        <v>5394</v>
      </c>
      <c r="AC18" s="110" t="s">
        <v>5395</v>
      </c>
      <c r="AD18" s="136" t="s">
        <v>5396</v>
      </c>
      <c r="AE18" s="122" t="s">
        <v>5397</v>
      </c>
      <c r="AF18" s="3230" t="s">
        <v>5398</v>
      </c>
      <c r="AG18" s="2034" t="s">
        <v>5399</v>
      </c>
      <c r="AH18" s="1360" t="e">
        <f t="shared" si="9"/>
        <v>#VALUE!</v>
      </c>
      <c r="AI18" s="806"/>
      <c r="AJ18" s="806"/>
      <c r="AK18" s="806"/>
      <c r="AL18" s="806"/>
      <c r="AM18" s="806"/>
      <c r="AN18" s="806"/>
      <c r="AO18" s="806"/>
      <c r="AP18" s="290"/>
      <c r="AQ18" s="290"/>
      <c r="AR18" s="290"/>
      <c r="AS18" s="290"/>
      <c r="AT18" s="290"/>
      <c r="BF18" s="1430"/>
      <c r="BG18" s="1430"/>
      <c r="BY18" s="165"/>
      <c r="BZ18" s="165"/>
      <c r="CA18" s="165"/>
      <c r="CB18" s="1515" t="e">
        <f t="shared" si="0"/>
        <v>#VALUE!</v>
      </c>
      <c r="CC18" s="1515" t="str">
        <f t="shared" si="1"/>
        <v/>
      </c>
      <c r="CD18" s="1515" t="str">
        <f t="shared" si="2"/>
        <v xml:space="preserve">* El número de Beneficiarios NO DEBE ser mayor que el Total. </v>
      </c>
      <c r="CE18" s="1515" t="e">
        <f t="shared" si="3"/>
        <v>#VALUE!</v>
      </c>
      <c r="CF18" s="1515" t="str">
        <f t="shared" si="4"/>
        <v/>
      </c>
      <c r="CG18" s="1515"/>
      <c r="CT18" s="1435"/>
      <c r="CU18" s="1435"/>
      <c r="CV18" s="1435"/>
      <c r="CW18" s="1435"/>
      <c r="CX18" s="1435"/>
      <c r="CY18" s="1435"/>
      <c r="CZ18" s="1435"/>
      <c r="DA18" s="1435"/>
      <c r="DB18" s="3222" t="e">
        <f t="shared" si="5"/>
        <v>#VALUE!</v>
      </c>
      <c r="DC18" s="3222">
        <f t="shared" si="6"/>
        <v>0</v>
      </c>
      <c r="DD18" s="3222">
        <f t="shared" si="7"/>
        <v>1</v>
      </c>
      <c r="DE18" s="3222" t="e">
        <f t="shared" si="8"/>
        <v>#VALUE!</v>
      </c>
      <c r="DF18" s="3222"/>
      <c r="DG18" s="3222"/>
      <c r="DH18" s="3222"/>
      <c r="DI18" s="3222"/>
      <c r="DJ18" s="3222"/>
      <c r="DK18" s="3222"/>
      <c r="DL18" s="3222"/>
      <c r="DM18" s="3222"/>
    </row>
    <row r="19" spans="1:117" ht="16.350000000000001" customHeight="1" x14ac:dyDescent="0.3">
      <c r="A19" s="7299" t="s">
        <v>4741</v>
      </c>
      <c r="B19" s="2855" t="s">
        <v>260</v>
      </c>
      <c r="C19" s="2726" t="s">
        <v>5369</v>
      </c>
      <c r="D19" s="2822" t="s">
        <v>5370</v>
      </c>
      <c r="E19" s="2903" t="s">
        <v>5371</v>
      </c>
      <c r="F19" s="2903" t="s">
        <v>5372</v>
      </c>
      <c r="G19" s="2903" t="s">
        <v>5373</v>
      </c>
      <c r="H19" s="2903" t="s">
        <v>5374</v>
      </c>
      <c r="I19" s="2903" t="s">
        <v>5375</v>
      </c>
      <c r="J19" s="2903" t="s">
        <v>5376</v>
      </c>
      <c r="K19" s="2903" t="s">
        <v>5377</v>
      </c>
      <c r="L19" s="2903" t="s">
        <v>5378</v>
      </c>
      <c r="M19" s="2903" t="s">
        <v>5379</v>
      </c>
      <c r="N19" s="2903" t="s">
        <v>5380</v>
      </c>
      <c r="O19" s="2903" t="s">
        <v>5381</v>
      </c>
      <c r="P19" s="2903" t="s">
        <v>5382</v>
      </c>
      <c r="Q19" s="2903" t="s">
        <v>5383</v>
      </c>
      <c r="R19" s="2903" t="s">
        <v>5384</v>
      </c>
      <c r="S19" s="2903" t="s">
        <v>5385</v>
      </c>
      <c r="T19" s="2824" t="s">
        <v>5386</v>
      </c>
      <c r="U19" s="2678" t="s">
        <v>5387</v>
      </c>
      <c r="V19" s="110" t="s">
        <v>5388</v>
      </c>
      <c r="W19" s="122" t="s">
        <v>5389</v>
      </c>
      <c r="X19" s="135" t="s">
        <v>5390</v>
      </c>
      <c r="Y19" s="110" t="s">
        <v>5391</v>
      </c>
      <c r="Z19" s="111" t="s">
        <v>5392</v>
      </c>
      <c r="AA19" s="122" t="s">
        <v>5393</v>
      </c>
      <c r="AB19" s="323" t="s">
        <v>5394</v>
      </c>
      <c r="AC19" s="110" t="s">
        <v>5395</v>
      </c>
      <c r="AD19" s="136" t="s">
        <v>5396</v>
      </c>
      <c r="AE19" s="122" t="s">
        <v>5397</v>
      </c>
      <c r="AF19" s="3230" t="s">
        <v>5398</v>
      </c>
      <c r="AG19" s="2034" t="s">
        <v>5399</v>
      </c>
      <c r="AH19" s="1360" t="e">
        <f t="shared" si="9"/>
        <v>#VALUE!</v>
      </c>
      <c r="AI19" s="806"/>
      <c r="AJ19" s="806"/>
      <c r="AK19" s="806"/>
      <c r="AL19" s="806"/>
      <c r="AM19" s="806"/>
      <c r="AN19" s="806"/>
      <c r="AO19" s="806"/>
      <c r="AP19" s="290"/>
      <c r="AQ19" s="290"/>
      <c r="AR19" s="290"/>
      <c r="AS19" s="290"/>
      <c r="AT19" s="290"/>
      <c r="BF19" s="1430"/>
      <c r="BG19" s="1430"/>
      <c r="BY19" s="165"/>
      <c r="BZ19" s="165"/>
      <c r="CA19" s="165"/>
      <c r="CB19" s="1515" t="e">
        <f t="shared" si="0"/>
        <v>#VALUE!</v>
      </c>
      <c r="CC19" s="1515" t="str">
        <f t="shared" si="1"/>
        <v/>
      </c>
      <c r="CD19" s="1515" t="str">
        <f t="shared" si="2"/>
        <v xml:space="preserve">* El número de Beneficiarios NO DEBE ser mayor que el Total. </v>
      </c>
      <c r="CE19" s="1515" t="e">
        <f t="shared" si="3"/>
        <v>#VALUE!</v>
      </c>
      <c r="CF19" s="1515" t="str">
        <f t="shared" si="4"/>
        <v/>
      </c>
      <c r="CG19" s="1515"/>
      <c r="CT19" s="1435"/>
      <c r="CU19" s="1435"/>
      <c r="CV19" s="1435"/>
      <c r="CW19" s="1435"/>
      <c r="CX19" s="1435"/>
      <c r="CY19" s="1435"/>
      <c r="CZ19" s="1435"/>
      <c r="DA19" s="1435"/>
      <c r="DB19" s="3222" t="e">
        <f t="shared" si="5"/>
        <v>#VALUE!</v>
      </c>
      <c r="DC19" s="3222">
        <f t="shared" si="6"/>
        <v>0</v>
      </c>
      <c r="DD19" s="3222">
        <f t="shared" si="7"/>
        <v>1</v>
      </c>
      <c r="DE19" s="3222" t="e">
        <f t="shared" si="8"/>
        <v>#VALUE!</v>
      </c>
      <c r="DF19" s="3222"/>
      <c r="DG19" s="3222"/>
      <c r="DH19" s="3222"/>
      <c r="DI19" s="3222"/>
      <c r="DJ19" s="3222"/>
      <c r="DK19" s="3222"/>
      <c r="DL19" s="3222"/>
      <c r="DM19" s="3222"/>
    </row>
    <row r="20" spans="1:117" ht="16.350000000000001" customHeight="1" x14ac:dyDescent="0.3">
      <c r="A20" s="7299" t="s">
        <v>4742</v>
      </c>
      <c r="B20" s="2855" t="s">
        <v>261</v>
      </c>
      <c r="C20" s="2726" t="s">
        <v>5369</v>
      </c>
      <c r="D20" s="2822" t="s">
        <v>5370</v>
      </c>
      <c r="E20" s="2903" t="s">
        <v>5371</v>
      </c>
      <c r="F20" s="2903" t="s">
        <v>5372</v>
      </c>
      <c r="G20" s="2903" t="s">
        <v>5373</v>
      </c>
      <c r="H20" s="2903" t="s">
        <v>5374</v>
      </c>
      <c r="I20" s="2903" t="s">
        <v>5375</v>
      </c>
      <c r="J20" s="2903" t="s">
        <v>5376</v>
      </c>
      <c r="K20" s="2903" t="s">
        <v>5377</v>
      </c>
      <c r="L20" s="2903" t="s">
        <v>5378</v>
      </c>
      <c r="M20" s="2903" t="s">
        <v>5379</v>
      </c>
      <c r="N20" s="2903" t="s">
        <v>5380</v>
      </c>
      <c r="O20" s="2903" t="s">
        <v>5381</v>
      </c>
      <c r="P20" s="2903" t="s">
        <v>5382</v>
      </c>
      <c r="Q20" s="2903" t="s">
        <v>5383</v>
      </c>
      <c r="R20" s="2903" t="s">
        <v>5384</v>
      </c>
      <c r="S20" s="2903" t="s">
        <v>5385</v>
      </c>
      <c r="T20" s="2824" t="s">
        <v>5386</v>
      </c>
      <c r="U20" s="2678" t="s">
        <v>5387</v>
      </c>
      <c r="V20" s="110" t="s">
        <v>5388</v>
      </c>
      <c r="W20" s="122" t="s">
        <v>5389</v>
      </c>
      <c r="X20" s="135" t="s">
        <v>5390</v>
      </c>
      <c r="Y20" s="110" t="s">
        <v>5391</v>
      </c>
      <c r="Z20" s="111" t="s">
        <v>5392</v>
      </c>
      <c r="AA20" s="122" t="s">
        <v>5393</v>
      </c>
      <c r="AB20" s="323" t="s">
        <v>5394</v>
      </c>
      <c r="AC20" s="110" t="s">
        <v>5395</v>
      </c>
      <c r="AD20" s="136" t="s">
        <v>5396</v>
      </c>
      <c r="AE20" s="122" t="s">
        <v>5397</v>
      </c>
      <c r="AF20" s="3230" t="s">
        <v>5398</v>
      </c>
      <c r="AG20" s="2034" t="s">
        <v>5399</v>
      </c>
      <c r="AH20" s="1360" t="e">
        <f t="shared" si="9"/>
        <v>#VALUE!</v>
      </c>
      <c r="AI20" s="806"/>
      <c r="AJ20" s="806"/>
      <c r="AK20" s="806"/>
      <c r="AL20" s="806"/>
      <c r="AM20" s="806"/>
      <c r="AN20" s="806"/>
      <c r="AO20" s="806"/>
      <c r="AP20" s="290"/>
      <c r="AQ20" s="290"/>
      <c r="AR20" s="290"/>
      <c r="AS20" s="290"/>
      <c r="AT20" s="290"/>
      <c r="BF20" s="1430"/>
      <c r="BG20" s="1430"/>
      <c r="BY20" s="165"/>
      <c r="BZ20" s="165"/>
      <c r="CA20" s="165"/>
      <c r="CB20" s="1515" t="e">
        <f t="shared" si="0"/>
        <v>#VALUE!</v>
      </c>
      <c r="CC20" s="1515" t="str">
        <f t="shared" si="1"/>
        <v/>
      </c>
      <c r="CD20" s="1515" t="str">
        <f t="shared" si="2"/>
        <v xml:space="preserve">* El número de Beneficiarios NO DEBE ser mayor que el Total. </v>
      </c>
      <c r="CE20" s="1515" t="e">
        <f t="shared" si="3"/>
        <v>#VALUE!</v>
      </c>
      <c r="CF20" s="1515" t="str">
        <f t="shared" si="4"/>
        <v/>
      </c>
      <c r="CG20" s="1515"/>
      <c r="CT20" s="1435"/>
      <c r="CU20" s="1435"/>
      <c r="CV20" s="1435"/>
      <c r="CW20" s="1435"/>
      <c r="CX20" s="1435"/>
      <c r="CY20" s="1435"/>
      <c r="CZ20" s="1435"/>
      <c r="DA20" s="1435"/>
      <c r="DB20" s="3222" t="e">
        <f t="shared" si="5"/>
        <v>#VALUE!</v>
      </c>
      <c r="DC20" s="3222">
        <f t="shared" si="6"/>
        <v>0</v>
      </c>
      <c r="DD20" s="3222">
        <f t="shared" si="7"/>
        <v>1</v>
      </c>
      <c r="DE20" s="3222" t="e">
        <f t="shared" si="8"/>
        <v>#VALUE!</v>
      </c>
      <c r="DF20" s="3222"/>
      <c r="DG20" s="3222"/>
      <c r="DH20" s="3222"/>
      <c r="DI20" s="3222"/>
      <c r="DJ20" s="3222"/>
      <c r="DK20" s="3222"/>
      <c r="DL20" s="3222"/>
      <c r="DM20" s="3222"/>
    </row>
    <row r="21" spans="1:117" ht="16.350000000000001" customHeight="1" x14ac:dyDescent="0.3">
      <c r="A21" s="7299" t="s">
        <v>4743</v>
      </c>
      <c r="B21" s="2855" t="s">
        <v>262</v>
      </c>
      <c r="C21" s="2726" t="s">
        <v>5369</v>
      </c>
      <c r="D21" s="2822" t="s">
        <v>5370</v>
      </c>
      <c r="E21" s="2903" t="s">
        <v>5371</v>
      </c>
      <c r="F21" s="2903" t="s">
        <v>5372</v>
      </c>
      <c r="G21" s="2903" t="s">
        <v>5373</v>
      </c>
      <c r="H21" s="2903" t="s">
        <v>5374</v>
      </c>
      <c r="I21" s="2903" t="s">
        <v>5375</v>
      </c>
      <c r="J21" s="2903" t="s">
        <v>5376</v>
      </c>
      <c r="K21" s="2903" t="s">
        <v>5377</v>
      </c>
      <c r="L21" s="2903" t="s">
        <v>5378</v>
      </c>
      <c r="M21" s="2903" t="s">
        <v>5379</v>
      </c>
      <c r="N21" s="2903" t="s">
        <v>5380</v>
      </c>
      <c r="O21" s="2903" t="s">
        <v>5381</v>
      </c>
      <c r="P21" s="2903" t="s">
        <v>5382</v>
      </c>
      <c r="Q21" s="2903" t="s">
        <v>5383</v>
      </c>
      <c r="R21" s="2903" t="s">
        <v>5384</v>
      </c>
      <c r="S21" s="2903" t="s">
        <v>5385</v>
      </c>
      <c r="T21" s="2824" t="s">
        <v>5386</v>
      </c>
      <c r="U21" s="2678" t="s">
        <v>5387</v>
      </c>
      <c r="V21" s="110" t="s">
        <v>5388</v>
      </c>
      <c r="W21" s="122" t="s">
        <v>5389</v>
      </c>
      <c r="X21" s="135" t="s">
        <v>5390</v>
      </c>
      <c r="Y21" s="110" t="s">
        <v>5391</v>
      </c>
      <c r="Z21" s="111" t="s">
        <v>5392</v>
      </c>
      <c r="AA21" s="122" t="s">
        <v>5393</v>
      </c>
      <c r="AB21" s="323" t="s">
        <v>5394</v>
      </c>
      <c r="AC21" s="110" t="s">
        <v>5395</v>
      </c>
      <c r="AD21" s="136" t="s">
        <v>5396</v>
      </c>
      <c r="AE21" s="122" t="s">
        <v>5397</v>
      </c>
      <c r="AF21" s="3230" t="s">
        <v>5398</v>
      </c>
      <c r="AG21" s="2034" t="s">
        <v>5399</v>
      </c>
      <c r="AH21" s="1360" t="e">
        <f t="shared" si="9"/>
        <v>#VALUE!</v>
      </c>
      <c r="AI21" s="806"/>
      <c r="AJ21" s="806"/>
      <c r="AK21" s="806"/>
      <c r="AL21" s="806"/>
      <c r="AM21" s="806"/>
      <c r="AN21" s="806"/>
      <c r="AO21" s="806"/>
      <c r="AP21" s="290"/>
      <c r="AQ21" s="290"/>
      <c r="AR21" s="290"/>
      <c r="AS21" s="290"/>
      <c r="AT21" s="290"/>
      <c r="BF21" s="1430"/>
      <c r="BG21" s="1430"/>
      <c r="BY21" s="165"/>
      <c r="BZ21" s="165"/>
      <c r="CA21" s="165"/>
      <c r="CB21" s="1515" t="e">
        <f t="shared" si="0"/>
        <v>#VALUE!</v>
      </c>
      <c r="CC21" s="1515" t="str">
        <f t="shared" si="1"/>
        <v/>
      </c>
      <c r="CD21" s="1515" t="str">
        <f t="shared" si="2"/>
        <v xml:space="preserve">* El número de Beneficiarios NO DEBE ser mayor que el Total. </v>
      </c>
      <c r="CE21" s="1515" t="e">
        <f t="shared" si="3"/>
        <v>#VALUE!</v>
      </c>
      <c r="CF21" s="1515" t="str">
        <f t="shared" si="4"/>
        <v/>
      </c>
      <c r="CG21" s="1515"/>
      <c r="CT21" s="1435"/>
      <c r="CU21" s="1435"/>
      <c r="CV21" s="1435"/>
      <c r="CW21" s="1435"/>
      <c r="CX21" s="1435"/>
      <c r="CY21" s="1435"/>
      <c r="CZ21" s="1435"/>
      <c r="DA21" s="1435"/>
      <c r="DB21" s="3222" t="e">
        <f t="shared" si="5"/>
        <v>#VALUE!</v>
      </c>
      <c r="DC21" s="3222">
        <f t="shared" si="6"/>
        <v>0</v>
      </c>
      <c r="DD21" s="3222">
        <f t="shared" si="7"/>
        <v>1</v>
      </c>
      <c r="DE21" s="3222" t="e">
        <f t="shared" si="8"/>
        <v>#VALUE!</v>
      </c>
      <c r="DF21" s="3222"/>
      <c r="DG21" s="3222"/>
      <c r="DH21" s="3222"/>
      <c r="DI21" s="3222"/>
      <c r="DJ21" s="3222"/>
      <c r="DK21" s="3222"/>
      <c r="DL21" s="3222"/>
      <c r="DM21" s="3222"/>
    </row>
    <row r="22" spans="1:117" ht="16.350000000000001" customHeight="1" x14ac:dyDescent="0.3">
      <c r="A22" s="7299" t="s">
        <v>4744</v>
      </c>
      <c r="B22" s="2855" t="s">
        <v>263</v>
      </c>
      <c r="C22" s="2726" t="s">
        <v>5369</v>
      </c>
      <c r="D22" s="2822" t="s">
        <v>5370</v>
      </c>
      <c r="E22" s="2903" t="s">
        <v>5371</v>
      </c>
      <c r="F22" s="2903" t="s">
        <v>5372</v>
      </c>
      <c r="G22" s="2903" t="s">
        <v>5373</v>
      </c>
      <c r="H22" s="2903" t="s">
        <v>5374</v>
      </c>
      <c r="I22" s="2903" t="s">
        <v>5375</v>
      </c>
      <c r="J22" s="2903" t="s">
        <v>5376</v>
      </c>
      <c r="K22" s="2903" t="s">
        <v>5377</v>
      </c>
      <c r="L22" s="2903" t="s">
        <v>5378</v>
      </c>
      <c r="M22" s="2903" t="s">
        <v>5379</v>
      </c>
      <c r="N22" s="2903" t="s">
        <v>5380</v>
      </c>
      <c r="O22" s="2903" t="s">
        <v>5381</v>
      </c>
      <c r="P22" s="2903" t="s">
        <v>5382</v>
      </c>
      <c r="Q22" s="2903" t="s">
        <v>5383</v>
      </c>
      <c r="R22" s="2903" t="s">
        <v>5384</v>
      </c>
      <c r="S22" s="2903" t="s">
        <v>5385</v>
      </c>
      <c r="T22" s="2824" t="s">
        <v>5386</v>
      </c>
      <c r="U22" s="2678" t="s">
        <v>5387</v>
      </c>
      <c r="V22" s="110" t="s">
        <v>5388</v>
      </c>
      <c r="W22" s="122" t="s">
        <v>5389</v>
      </c>
      <c r="X22" s="135" t="s">
        <v>5390</v>
      </c>
      <c r="Y22" s="110" t="s">
        <v>5391</v>
      </c>
      <c r="Z22" s="111" t="s">
        <v>5392</v>
      </c>
      <c r="AA22" s="122" t="s">
        <v>5393</v>
      </c>
      <c r="AB22" s="323" t="s">
        <v>5394</v>
      </c>
      <c r="AC22" s="110" t="s">
        <v>5395</v>
      </c>
      <c r="AD22" s="136" t="s">
        <v>5396</v>
      </c>
      <c r="AE22" s="122" t="s">
        <v>5397</v>
      </c>
      <c r="AF22" s="3230" t="s">
        <v>5398</v>
      </c>
      <c r="AG22" s="2034" t="s">
        <v>5399</v>
      </c>
      <c r="AH22" s="1360" t="e">
        <f t="shared" si="9"/>
        <v>#VALUE!</v>
      </c>
      <c r="AI22" s="806"/>
      <c r="AJ22" s="806"/>
      <c r="AK22" s="806"/>
      <c r="AL22" s="806"/>
      <c r="AM22" s="806"/>
      <c r="AN22" s="806"/>
      <c r="AO22" s="806"/>
      <c r="AP22" s="290"/>
      <c r="AQ22" s="290"/>
      <c r="AR22" s="290"/>
      <c r="AS22" s="290"/>
      <c r="AT22" s="290"/>
      <c r="BF22" s="1430"/>
      <c r="BG22" s="1430"/>
      <c r="BY22" s="165"/>
      <c r="BZ22" s="165"/>
      <c r="CA22" s="165"/>
      <c r="CB22" s="1515" t="e">
        <f t="shared" si="0"/>
        <v>#VALUE!</v>
      </c>
      <c r="CC22" s="1515" t="str">
        <f t="shared" si="1"/>
        <v/>
      </c>
      <c r="CD22" s="1515" t="str">
        <f t="shared" si="2"/>
        <v xml:space="preserve">* El número de Beneficiarios NO DEBE ser mayor que el Total. </v>
      </c>
      <c r="CE22" s="1515" t="e">
        <f t="shared" si="3"/>
        <v>#VALUE!</v>
      </c>
      <c r="CF22" s="1515" t="str">
        <f t="shared" si="4"/>
        <v/>
      </c>
      <c r="CG22" s="1515"/>
      <c r="CT22" s="1435"/>
      <c r="CU22" s="1435"/>
      <c r="CV22" s="1435"/>
      <c r="CW22" s="1435"/>
      <c r="CX22" s="1435"/>
      <c r="CY22" s="1435"/>
      <c r="CZ22" s="1435"/>
      <c r="DA22" s="1435"/>
      <c r="DB22" s="3222" t="e">
        <f t="shared" si="5"/>
        <v>#VALUE!</v>
      </c>
      <c r="DC22" s="3222">
        <f t="shared" si="6"/>
        <v>0</v>
      </c>
      <c r="DD22" s="3222">
        <f t="shared" si="7"/>
        <v>1</v>
      </c>
      <c r="DE22" s="3222" t="e">
        <f t="shared" si="8"/>
        <v>#VALUE!</v>
      </c>
      <c r="DF22" s="3222"/>
      <c r="DG22" s="3222"/>
      <c r="DH22" s="3222"/>
      <c r="DI22" s="3222"/>
      <c r="DJ22" s="3222"/>
      <c r="DK22" s="3222"/>
      <c r="DL22" s="3222"/>
      <c r="DM22" s="3222"/>
    </row>
    <row r="23" spans="1:117" ht="16.350000000000001" customHeight="1" x14ac:dyDescent="0.3">
      <c r="A23" s="7299" t="s">
        <v>4745</v>
      </c>
      <c r="B23" s="2855" t="s">
        <v>264</v>
      </c>
      <c r="C23" s="2726" t="s">
        <v>5369</v>
      </c>
      <c r="D23" s="2822" t="s">
        <v>5370</v>
      </c>
      <c r="E23" s="2903" t="s">
        <v>5371</v>
      </c>
      <c r="F23" s="2903" t="s">
        <v>5372</v>
      </c>
      <c r="G23" s="2903" t="s">
        <v>5373</v>
      </c>
      <c r="H23" s="2903" t="s">
        <v>5374</v>
      </c>
      <c r="I23" s="2903" t="s">
        <v>5375</v>
      </c>
      <c r="J23" s="2903" t="s">
        <v>5376</v>
      </c>
      <c r="K23" s="2903" t="s">
        <v>5377</v>
      </c>
      <c r="L23" s="2903" t="s">
        <v>5378</v>
      </c>
      <c r="M23" s="2903" t="s">
        <v>5379</v>
      </c>
      <c r="N23" s="2903" t="s">
        <v>5380</v>
      </c>
      <c r="O23" s="2903" t="s">
        <v>5381</v>
      </c>
      <c r="P23" s="2903" t="s">
        <v>5382</v>
      </c>
      <c r="Q23" s="2903" t="s">
        <v>5383</v>
      </c>
      <c r="R23" s="2903" t="s">
        <v>5384</v>
      </c>
      <c r="S23" s="2903" t="s">
        <v>5385</v>
      </c>
      <c r="T23" s="2824" t="s">
        <v>5386</v>
      </c>
      <c r="U23" s="2678" t="s">
        <v>5387</v>
      </c>
      <c r="V23" s="110" t="s">
        <v>5388</v>
      </c>
      <c r="W23" s="122" t="s">
        <v>5389</v>
      </c>
      <c r="X23" s="135" t="s">
        <v>5390</v>
      </c>
      <c r="Y23" s="110" t="s">
        <v>5391</v>
      </c>
      <c r="Z23" s="111" t="s">
        <v>5392</v>
      </c>
      <c r="AA23" s="122" t="s">
        <v>5393</v>
      </c>
      <c r="AB23" s="323" t="s">
        <v>5394</v>
      </c>
      <c r="AC23" s="110" t="s">
        <v>5395</v>
      </c>
      <c r="AD23" s="136" t="s">
        <v>5396</v>
      </c>
      <c r="AE23" s="122" t="s">
        <v>5397</v>
      </c>
      <c r="AF23" s="3230" t="s">
        <v>5398</v>
      </c>
      <c r="AG23" s="2034" t="s">
        <v>5399</v>
      </c>
      <c r="AH23" s="1360" t="e">
        <f t="shared" si="9"/>
        <v>#VALUE!</v>
      </c>
      <c r="AI23" s="806"/>
      <c r="AJ23" s="806"/>
      <c r="AK23" s="806"/>
      <c r="AL23" s="806"/>
      <c r="AM23" s="806"/>
      <c r="AN23" s="806"/>
      <c r="AO23" s="806"/>
      <c r="AP23" s="290"/>
      <c r="AQ23" s="290"/>
      <c r="AR23" s="290"/>
      <c r="AS23" s="290"/>
      <c r="AT23" s="290"/>
      <c r="BF23" s="1430"/>
      <c r="BG23" s="1430"/>
      <c r="BY23" s="165"/>
      <c r="BZ23" s="165"/>
      <c r="CA23" s="165"/>
      <c r="CB23" s="1515" t="e">
        <f t="shared" si="0"/>
        <v>#VALUE!</v>
      </c>
      <c r="CC23" s="1515" t="str">
        <f t="shared" si="1"/>
        <v/>
      </c>
      <c r="CD23" s="1515" t="str">
        <f t="shared" si="2"/>
        <v xml:space="preserve">* El número de Beneficiarios NO DEBE ser mayor que el Total. </v>
      </c>
      <c r="CE23" s="1515" t="e">
        <f t="shared" si="3"/>
        <v>#VALUE!</v>
      </c>
      <c r="CF23" s="1515" t="str">
        <f t="shared" si="4"/>
        <v/>
      </c>
      <c r="CG23" s="1515"/>
      <c r="CT23" s="1435"/>
      <c r="CU23" s="1435"/>
      <c r="CV23" s="1435"/>
      <c r="CW23" s="1435"/>
      <c r="CX23" s="1435"/>
      <c r="CY23" s="1435"/>
      <c r="CZ23" s="1435"/>
      <c r="DA23" s="1435"/>
      <c r="DB23" s="3222" t="e">
        <f t="shared" si="5"/>
        <v>#VALUE!</v>
      </c>
      <c r="DC23" s="3222">
        <f t="shared" si="6"/>
        <v>0</v>
      </c>
      <c r="DD23" s="3222">
        <f t="shared" si="7"/>
        <v>1</v>
      </c>
      <c r="DE23" s="3222" t="e">
        <f t="shared" si="8"/>
        <v>#VALUE!</v>
      </c>
      <c r="DF23" s="3222"/>
      <c r="DG23" s="3222"/>
      <c r="DH23" s="3222"/>
      <c r="DI23" s="3222"/>
      <c r="DJ23" s="3222"/>
      <c r="DK23" s="3222"/>
      <c r="DL23" s="3222"/>
      <c r="DM23" s="3222"/>
    </row>
    <row r="24" spans="1:117" ht="16.350000000000001" customHeight="1" x14ac:dyDescent="0.3">
      <c r="A24" s="7299" t="s">
        <v>4746</v>
      </c>
      <c r="B24" s="2855" t="s">
        <v>456</v>
      </c>
      <c r="C24" s="2726" t="s">
        <v>5369</v>
      </c>
      <c r="D24" s="2822" t="s">
        <v>5370</v>
      </c>
      <c r="E24" s="2903" t="s">
        <v>5371</v>
      </c>
      <c r="F24" s="2903" t="s">
        <v>5372</v>
      </c>
      <c r="G24" s="2903" t="s">
        <v>5373</v>
      </c>
      <c r="H24" s="2903" t="s">
        <v>5374</v>
      </c>
      <c r="I24" s="2903" t="s">
        <v>5375</v>
      </c>
      <c r="J24" s="2903" t="s">
        <v>5376</v>
      </c>
      <c r="K24" s="2903" t="s">
        <v>5377</v>
      </c>
      <c r="L24" s="2903" t="s">
        <v>5378</v>
      </c>
      <c r="M24" s="2903" t="s">
        <v>5379</v>
      </c>
      <c r="N24" s="2903" t="s">
        <v>5380</v>
      </c>
      <c r="O24" s="2903" t="s">
        <v>5381</v>
      </c>
      <c r="P24" s="2903" t="s">
        <v>5382</v>
      </c>
      <c r="Q24" s="2903" t="s">
        <v>5383</v>
      </c>
      <c r="R24" s="2903" t="s">
        <v>5384</v>
      </c>
      <c r="S24" s="2903" t="s">
        <v>5385</v>
      </c>
      <c r="T24" s="2824" t="s">
        <v>5386</v>
      </c>
      <c r="U24" s="2678" t="s">
        <v>5387</v>
      </c>
      <c r="V24" s="110" t="s">
        <v>5388</v>
      </c>
      <c r="W24" s="122" t="s">
        <v>5389</v>
      </c>
      <c r="X24" s="135" t="s">
        <v>5390</v>
      </c>
      <c r="Y24" s="110" t="s">
        <v>5391</v>
      </c>
      <c r="Z24" s="111" t="s">
        <v>5392</v>
      </c>
      <c r="AA24" s="122" t="s">
        <v>5393</v>
      </c>
      <c r="AB24" s="323" t="s">
        <v>5394</v>
      </c>
      <c r="AC24" s="110" t="s">
        <v>5395</v>
      </c>
      <c r="AD24" s="136" t="s">
        <v>5396</v>
      </c>
      <c r="AE24" s="122" t="s">
        <v>5397</v>
      </c>
      <c r="AF24" s="3230" t="s">
        <v>5398</v>
      </c>
      <c r="AG24" s="2034" t="s">
        <v>5399</v>
      </c>
      <c r="AH24" s="1360" t="e">
        <f t="shared" si="9"/>
        <v>#VALUE!</v>
      </c>
      <c r="AI24" s="806"/>
      <c r="AJ24" s="806"/>
      <c r="AK24" s="806"/>
      <c r="AL24" s="806"/>
      <c r="AM24" s="806"/>
      <c r="AN24" s="806"/>
      <c r="AO24" s="806"/>
      <c r="AP24" s="290"/>
      <c r="AQ24" s="290"/>
      <c r="AR24" s="290"/>
      <c r="AS24" s="290"/>
      <c r="AT24" s="290"/>
      <c r="BF24" s="1430"/>
      <c r="BG24" s="1430"/>
      <c r="BY24" s="165"/>
      <c r="BZ24" s="165"/>
      <c r="CA24" s="165"/>
      <c r="CB24" s="1515" t="e">
        <f t="shared" si="0"/>
        <v>#VALUE!</v>
      </c>
      <c r="CC24" s="1515" t="str">
        <f t="shared" si="1"/>
        <v/>
      </c>
      <c r="CD24" s="1515" t="str">
        <f t="shared" si="2"/>
        <v xml:space="preserve">* El número de Beneficiarios NO DEBE ser mayor que el Total. </v>
      </c>
      <c r="CE24" s="1515" t="e">
        <f t="shared" si="3"/>
        <v>#VALUE!</v>
      </c>
      <c r="CF24" s="1515" t="str">
        <f t="shared" si="4"/>
        <v/>
      </c>
      <c r="CG24" s="1515"/>
      <c r="CT24" s="1435"/>
      <c r="CU24" s="1435"/>
      <c r="CV24" s="1435"/>
      <c r="CW24" s="1435"/>
      <c r="CX24" s="1435"/>
      <c r="CY24" s="1435"/>
      <c r="CZ24" s="1435"/>
      <c r="DA24" s="1435"/>
      <c r="DB24" s="3222" t="e">
        <f t="shared" si="5"/>
        <v>#VALUE!</v>
      </c>
      <c r="DC24" s="3222">
        <f t="shared" si="6"/>
        <v>0</v>
      </c>
      <c r="DD24" s="3222">
        <f t="shared" si="7"/>
        <v>1</v>
      </c>
      <c r="DE24" s="3222" t="e">
        <f t="shared" si="8"/>
        <v>#VALUE!</v>
      </c>
      <c r="DF24" s="3222"/>
      <c r="DG24" s="3222"/>
      <c r="DH24" s="3222"/>
      <c r="DI24" s="3222"/>
      <c r="DJ24" s="3222"/>
      <c r="DK24" s="3222"/>
      <c r="DL24" s="3222"/>
      <c r="DM24" s="3222"/>
    </row>
    <row r="25" spans="1:117" ht="16.350000000000001" customHeight="1" x14ac:dyDescent="0.3">
      <c r="A25" s="7299" t="s">
        <v>4747</v>
      </c>
      <c r="B25" s="2855" t="s">
        <v>265</v>
      </c>
      <c r="C25" s="2726" t="s">
        <v>5369</v>
      </c>
      <c r="D25" s="2822" t="s">
        <v>5370</v>
      </c>
      <c r="E25" s="2903" t="s">
        <v>5371</v>
      </c>
      <c r="F25" s="2903" t="s">
        <v>5372</v>
      </c>
      <c r="G25" s="2903" t="s">
        <v>5373</v>
      </c>
      <c r="H25" s="2903" t="s">
        <v>5374</v>
      </c>
      <c r="I25" s="2903" t="s">
        <v>5375</v>
      </c>
      <c r="J25" s="2903" t="s">
        <v>5376</v>
      </c>
      <c r="K25" s="2903" t="s">
        <v>5377</v>
      </c>
      <c r="L25" s="2903" t="s">
        <v>5378</v>
      </c>
      <c r="M25" s="2903" t="s">
        <v>5379</v>
      </c>
      <c r="N25" s="2903" t="s">
        <v>5380</v>
      </c>
      <c r="O25" s="2903" t="s">
        <v>5381</v>
      </c>
      <c r="P25" s="2903" t="s">
        <v>5382</v>
      </c>
      <c r="Q25" s="2903" t="s">
        <v>5383</v>
      </c>
      <c r="R25" s="2903" t="s">
        <v>5384</v>
      </c>
      <c r="S25" s="2903" t="s">
        <v>5385</v>
      </c>
      <c r="T25" s="2824" t="s">
        <v>5386</v>
      </c>
      <c r="U25" s="2678" t="s">
        <v>5387</v>
      </c>
      <c r="V25" s="110" t="s">
        <v>5388</v>
      </c>
      <c r="W25" s="122" t="s">
        <v>5389</v>
      </c>
      <c r="X25" s="135" t="s">
        <v>5390</v>
      </c>
      <c r="Y25" s="110" t="s">
        <v>5391</v>
      </c>
      <c r="Z25" s="111" t="s">
        <v>5392</v>
      </c>
      <c r="AA25" s="122" t="s">
        <v>5393</v>
      </c>
      <c r="AB25" s="323" t="s">
        <v>5394</v>
      </c>
      <c r="AC25" s="110" t="s">
        <v>5395</v>
      </c>
      <c r="AD25" s="136" t="s">
        <v>5396</v>
      </c>
      <c r="AE25" s="122" t="s">
        <v>5397</v>
      </c>
      <c r="AF25" s="3230" t="s">
        <v>5398</v>
      </c>
      <c r="AG25" s="2034" t="s">
        <v>5399</v>
      </c>
      <c r="AH25" s="1360" t="e">
        <f t="shared" si="9"/>
        <v>#VALUE!</v>
      </c>
      <c r="AI25" s="806"/>
      <c r="AJ25" s="806"/>
      <c r="AK25" s="806"/>
      <c r="AL25" s="806"/>
      <c r="AM25" s="806"/>
      <c r="AN25" s="806"/>
      <c r="AO25" s="806"/>
      <c r="AP25" s="290"/>
      <c r="AQ25" s="290"/>
      <c r="AR25" s="290"/>
      <c r="AS25" s="290"/>
      <c r="AT25" s="290"/>
      <c r="BF25" s="1430"/>
      <c r="BG25" s="1430"/>
      <c r="BY25" s="165"/>
      <c r="BZ25" s="165"/>
      <c r="CA25" s="165"/>
      <c r="CB25" s="1515" t="e">
        <f t="shared" si="0"/>
        <v>#VALUE!</v>
      </c>
      <c r="CC25" s="1515" t="str">
        <f t="shared" si="1"/>
        <v/>
      </c>
      <c r="CD25" s="1515" t="str">
        <f t="shared" si="2"/>
        <v xml:space="preserve">* El número de Beneficiarios NO DEBE ser mayor que el Total. </v>
      </c>
      <c r="CE25" s="1515" t="e">
        <f t="shared" si="3"/>
        <v>#VALUE!</v>
      </c>
      <c r="CF25" s="1515" t="str">
        <f t="shared" si="4"/>
        <v/>
      </c>
      <c r="CG25" s="1515"/>
      <c r="CT25" s="1435"/>
      <c r="CU25" s="1435"/>
      <c r="CV25" s="1435"/>
      <c r="CW25" s="1435"/>
      <c r="CX25" s="1435"/>
      <c r="CY25" s="1435"/>
      <c r="CZ25" s="1435"/>
      <c r="DA25" s="1435"/>
      <c r="DB25" s="3222" t="e">
        <f t="shared" si="5"/>
        <v>#VALUE!</v>
      </c>
      <c r="DC25" s="3222">
        <f t="shared" si="6"/>
        <v>0</v>
      </c>
      <c r="DD25" s="3222">
        <f t="shared" si="7"/>
        <v>1</v>
      </c>
      <c r="DE25" s="3222" t="e">
        <f t="shared" si="8"/>
        <v>#VALUE!</v>
      </c>
      <c r="DF25" s="3222"/>
      <c r="DG25" s="3222"/>
      <c r="DH25" s="3222"/>
      <c r="DI25" s="3222"/>
      <c r="DJ25" s="3222"/>
      <c r="DK25" s="3222"/>
      <c r="DL25" s="3222"/>
      <c r="DM25" s="3222"/>
    </row>
    <row r="26" spans="1:117" ht="16.350000000000001" customHeight="1" x14ac:dyDescent="0.3">
      <c r="A26" s="7299" t="s">
        <v>4748</v>
      </c>
      <c r="B26" s="2855" t="s">
        <v>266</v>
      </c>
      <c r="C26" s="2726" t="s">
        <v>5369</v>
      </c>
      <c r="D26" s="2822" t="s">
        <v>5370</v>
      </c>
      <c r="E26" s="2903" t="s">
        <v>5371</v>
      </c>
      <c r="F26" s="2903" t="s">
        <v>5372</v>
      </c>
      <c r="G26" s="2903" t="s">
        <v>5373</v>
      </c>
      <c r="H26" s="2903" t="s">
        <v>5374</v>
      </c>
      <c r="I26" s="2903" t="s">
        <v>5375</v>
      </c>
      <c r="J26" s="2903" t="s">
        <v>5376</v>
      </c>
      <c r="K26" s="2903" t="s">
        <v>5377</v>
      </c>
      <c r="L26" s="2903" t="s">
        <v>5378</v>
      </c>
      <c r="M26" s="2903" t="s">
        <v>5379</v>
      </c>
      <c r="N26" s="2903" t="s">
        <v>5380</v>
      </c>
      <c r="O26" s="2903" t="s">
        <v>5381</v>
      </c>
      <c r="P26" s="2903" t="s">
        <v>5382</v>
      </c>
      <c r="Q26" s="2903" t="s">
        <v>5383</v>
      </c>
      <c r="R26" s="2903" t="s">
        <v>5384</v>
      </c>
      <c r="S26" s="2903" t="s">
        <v>5385</v>
      </c>
      <c r="T26" s="2824" t="s">
        <v>5386</v>
      </c>
      <c r="U26" s="2678" t="s">
        <v>5387</v>
      </c>
      <c r="V26" s="110" t="s">
        <v>5388</v>
      </c>
      <c r="W26" s="122" t="s">
        <v>5389</v>
      </c>
      <c r="X26" s="135" t="s">
        <v>5390</v>
      </c>
      <c r="Y26" s="110" t="s">
        <v>5391</v>
      </c>
      <c r="Z26" s="111" t="s">
        <v>5392</v>
      </c>
      <c r="AA26" s="122" t="s">
        <v>5393</v>
      </c>
      <c r="AB26" s="323" t="s">
        <v>5394</v>
      </c>
      <c r="AC26" s="110" t="s">
        <v>5395</v>
      </c>
      <c r="AD26" s="136" t="s">
        <v>5396</v>
      </c>
      <c r="AE26" s="122" t="s">
        <v>5397</v>
      </c>
      <c r="AF26" s="3230" t="s">
        <v>5398</v>
      </c>
      <c r="AG26" s="2034" t="s">
        <v>5399</v>
      </c>
      <c r="AH26" s="1360" t="e">
        <f t="shared" si="9"/>
        <v>#VALUE!</v>
      </c>
      <c r="AI26" s="806"/>
      <c r="AJ26" s="806"/>
      <c r="AK26" s="806"/>
      <c r="AL26" s="806"/>
      <c r="AM26" s="806"/>
      <c r="AN26" s="806"/>
      <c r="AO26" s="806"/>
      <c r="AP26" s="290"/>
      <c r="AQ26" s="290"/>
      <c r="AR26" s="290"/>
      <c r="AS26" s="290"/>
      <c r="AT26" s="290"/>
      <c r="BF26" s="1430"/>
      <c r="BG26" s="1430"/>
      <c r="BY26" s="165"/>
      <c r="BZ26" s="165"/>
      <c r="CA26" s="165"/>
      <c r="CB26" s="1515" t="e">
        <f t="shared" si="0"/>
        <v>#VALUE!</v>
      </c>
      <c r="CC26" s="1515" t="str">
        <f t="shared" si="1"/>
        <v/>
      </c>
      <c r="CD26" s="1515" t="str">
        <f t="shared" si="2"/>
        <v xml:space="preserve">* El número de Beneficiarios NO DEBE ser mayor que el Total. </v>
      </c>
      <c r="CE26" s="1515" t="e">
        <f t="shared" si="3"/>
        <v>#VALUE!</v>
      </c>
      <c r="CF26" s="1515" t="str">
        <f t="shared" si="4"/>
        <v/>
      </c>
      <c r="CG26" s="1515"/>
      <c r="CT26" s="1435"/>
      <c r="CU26" s="1435"/>
      <c r="CV26" s="1435"/>
      <c r="CW26" s="1435"/>
      <c r="CX26" s="1435"/>
      <c r="CY26" s="1435"/>
      <c r="CZ26" s="1435"/>
      <c r="DA26" s="1435"/>
      <c r="DB26" s="3222" t="e">
        <f t="shared" si="5"/>
        <v>#VALUE!</v>
      </c>
      <c r="DC26" s="3222">
        <f t="shared" si="6"/>
        <v>0</v>
      </c>
      <c r="DD26" s="3222">
        <f t="shared" si="7"/>
        <v>1</v>
      </c>
      <c r="DE26" s="3222" t="e">
        <f t="shared" si="8"/>
        <v>#VALUE!</v>
      </c>
      <c r="DF26" s="3222"/>
      <c r="DG26" s="3222"/>
      <c r="DH26" s="3222"/>
      <c r="DI26" s="3222"/>
      <c r="DJ26" s="3222"/>
      <c r="DK26" s="3222"/>
      <c r="DL26" s="3222"/>
      <c r="DM26" s="3222"/>
    </row>
    <row r="27" spans="1:117" ht="16.350000000000001" customHeight="1" x14ac:dyDescent="0.3">
      <c r="A27" s="7299" t="s">
        <v>4749</v>
      </c>
      <c r="B27" s="2855" t="s">
        <v>267</v>
      </c>
      <c r="C27" s="2726" t="s">
        <v>5369</v>
      </c>
      <c r="D27" s="2822" t="s">
        <v>5370</v>
      </c>
      <c r="E27" s="2903" t="s">
        <v>5371</v>
      </c>
      <c r="F27" s="2903" t="s">
        <v>5372</v>
      </c>
      <c r="G27" s="2903" t="s">
        <v>5373</v>
      </c>
      <c r="H27" s="2903" t="s">
        <v>5374</v>
      </c>
      <c r="I27" s="2903" t="s">
        <v>5375</v>
      </c>
      <c r="J27" s="2903" t="s">
        <v>5376</v>
      </c>
      <c r="K27" s="2903" t="s">
        <v>5377</v>
      </c>
      <c r="L27" s="2903" t="s">
        <v>5378</v>
      </c>
      <c r="M27" s="2903" t="s">
        <v>5379</v>
      </c>
      <c r="N27" s="2903" t="s">
        <v>5380</v>
      </c>
      <c r="O27" s="2903" t="s">
        <v>5381</v>
      </c>
      <c r="P27" s="2903" t="s">
        <v>5382</v>
      </c>
      <c r="Q27" s="2903" t="s">
        <v>5383</v>
      </c>
      <c r="R27" s="2903" t="s">
        <v>5384</v>
      </c>
      <c r="S27" s="2903" t="s">
        <v>5385</v>
      </c>
      <c r="T27" s="2824" t="s">
        <v>5386</v>
      </c>
      <c r="U27" s="2678" t="s">
        <v>5387</v>
      </c>
      <c r="V27" s="110" t="s">
        <v>5388</v>
      </c>
      <c r="W27" s="122" t="s">
        <v>5389</v>
      </c>
      <c r="X27" s="135" t="s">
        <v>5390</v>
      </c>
      <c r="Y27" s="110" t="s">
        <v>5391</v>
      </c>
      <c r="Z27" s="111" t="s">
        <v>5392</v>
      </c>
      <c r="AA27" s="122" t="s">
        <v>5393</v>
      </c>
      <c r="AB27" s="323" t="s">
        <v>5394</v>
      </c>
      <c r="AC27" s="110" t="s">
        <v>5395</v>
      </c>
      <c r="AD27" s="136" t="s">
        <v>5396</v>
      </c>
      <c r="AE27" s="122" t="s">
        <v>5397</v>
      </c>
      <c r="AF27" s="3230" t="s">
        <v>5398</v>
      </c>
      <c r="AG27" s="2034" t="s">
        <v>5399</v>
      </c>
      <c r="AH27" s="1360" t="e">
        <f t="shared" si="9"/>
        <v>#VALUE!</v>
      </c>
      <c r="AI27" s="806"/>
      <c r="AJ27" s="806"/>
      <c r="AK27" s="806"/>
      <c r="AL27" s="806"/>
      <c r="AM27" s="806"/>
      <c r="AN27" s="806"/>
      <c r="AO27" s="806"/>
      <c r="AP27" s="290"/>
      <c r="AQ27" s="290"/>
      <c r="AR27" s="290"/>
      <c r="AS27" s="290"/>
      <c r="AT27" s="290"/>
      <c r="BF27" s="1430"/>
      <c r="BG27" s="1430"/>
      <c r="BY27" s="165"/>
      <c r="BZ27" s="165"/>
      <c r="CA27" s="165"/>
      <c r="CB27" s="1515" t="e">
        <f t="shared" si="0"/>
        <v>#VALUE!</v>
      </c>
      <c r="CC27" s="1515" t="str">
        <f t="shared" si="1"/>
        <v/>
      </c>
      <c r="CD27" s="1515" t="str">
        <f t="shared" si="2"/>
        <v xml:space="preserve">* El número de Beneficiarios NO DEBE ser mayor que el Total. </v>
      </c>
      <c r="CE27" s="1515" t="e">
        <f t="shared" si="3"/>
        <v>#VALUE!</v>
      </c>
      <c r="CF27" s="1515" t="str">
        <f t="shared" si="4"/>
        <v/>
      </c>
      <c r="CG27" s="1515"/>
      <c r="CT27" s="1435"/>
      <c r="CU27" s="1435"/>
      <c r="CV27" s="1435"/>
      <c r="CW27" s="1435"/>
      <c r="CX27" s="1435"/>
      <c r="CY27" s="1435"/>
      <c r="CZ27" s="1435"/>
      <c r="DA27" s="1435"/>
      <c r="DB27" s="3222" t="e">
        <f t="shared" si="5"/>
        <v>#VALUE!</v>
      </c>
      <c r="DC27" s="3222">
        <f t="shared" si="6"/>
        <v>0</v>
      </c>
      <c r="DD27" s="3222">
        <f t="shared" si="7"/>
        <v>1</v>
      </c>
      <c r="DE27" s="3222" t="e">
        <f t="shared" si="8"/>
        <v>#VALUE!</v>
      </c>
      <c r="DF27" s="3222"/>
      <c r="DG27" s="3222"/>
      <c r="DH27" s="3222"/>
      <c r="DI27" s="3222"/>
      <c r="DJ27" s="3222"/>
      <c r="DK27" s="3222"/>
      <c r="DL27" s="3222"/>
      <c r="DM27" s="3222"/>
    </row>
    <row r="28" spans="1:117" ht="16.350000000000001" customHeight="1" x14ac:dyDescent="0.3">
      <c r="A28" s="7299" t="s">
        <v>4750</v>
      </c>
      <c r="B28" s="2855" t="s">
        <v>457</v>
      </c>
      <c r="C28" s="2726" t="s">
        <v>5369</v>
      </c>
      <c r="D28" s="2822" t="s">
        <v>5370</v>
      </c>
      <c r="E28" s="2903" t="s">
        <v>5371</v>
      </c>
      <c r="F28" s="2903" t="s">
        <v>5372</v>
      </c>
      <c r="G28" s="2903" t="s">
        <v>5373</v>
      </c>
      <c r="H28" s="2903" t="s">
        <v>5374</v>
      </c>
      <c r="I28" s="2903" t="s">
        <v>5375</v>
      </c>
      <c r="J28" s="2903" t="s">
        <v>5376</v>
      </c>
      <c r="K28" s="2903" t="s">
        <v>5377</v>
      </c>
      <c r="L28" s="2903" t="s">
        <v>5378</v>
      </c>
      <c r="M28" s="2903" t="s">
        <v>5379</v>
      </c>
      <c r="N28" s="2903" t="s">
        <v>5380</v>
      </c>
      <c r="O28" s="2903" t="s">
        <v>5381</v>
      </c>
      <c r="P28" s="2903" t="s">
        <v>5382</v>
      </c>
      <c r="Q28" s="2903" t="s">
        <v>5383</v>
      </c>
      <c r="R28" s="2903" t="s">
        <v>5384</v>
      </c>
      <c r="S28" s="2903" t="s">
        <v>5385</v>
      </c>
      <c r="T28" s="2824" t="s">
        <v>5386</v>
      </c>
      <c r="U28" s="2678" t="s">
        <v>5387</v>
      </c>
      <c r="V28" s="110" t="s">
        <v>5388</v>
      </c>
      <c r="W28" s="122" t="s">
        <v>5389</v>
      </c>
      <c r="X28" s="135" t="s">
        <v>5390</v>
      </c>
      <c r="Y28" s="110" t="s">
        <v>5391</v>
      </c>
      <c r="Z28" s="111" t="s">
        <v>5392</v>
      </c>
      <c r="AA28" s="122" t="s">
        <v>5393</v>
      </c>
      <c r="AB28" s="323" t="s">
        <v>5394</v>
      </c>
      <c r="AC28" s="110" t="s">
        <v>5395</v>
      </c>
      <c r="AD28" s="136" t="s">
        <v>5396</v>
      </c>
      <c r="AE28" s="122" t="s">
        <v>5397</v>
      </c>
      <c r="AF28" s="3230" t="s">
        <v>5398</v>
      </c>
      <c r="AG28" s="2034" t="s">
        <v>5399</v>
      </c>
      <c r="AH28" s="1360" t="e">
        <f t="shared" si="9"/>
        <v>#VALUE!</v>
      </c>
      <c r="AI28" s="806"/>
      <c r="AJ28" s="806"/>
      <c r="AK28" s="806"/>
      <c r="AL28" s="806"/>
      <c r="AM28" s="806"/>
      <c r="AN28" s="806"/>
      <c r="AO28" s="806"/>
      <c r="AP28" s="290"/>
      <c r="AQ28" s="290"/>
      <c r="AR28" s="290"/>
      <c r="AS28" s="290"/>
      <c r="AT28" s="290"/>
      <c r="BF28" s="1430"/>
      <c r="BG28" s="1430"/>
      <c r="BY28" s="165"/>
      <c r="BZ28" s="165"/>
      <c r="CA28" s="165"/>
      <c r="CB28" s="1515" t="e">
        <f t="shared" si="0"/>
        <v>#VALUE!</v>
      </c>
      <c r="CC28" s="1515" t="str">
        <f t="shared" si="1"/>
        <v/>
      </c>
      <c r="CD28" s="1515" t="str">
        <f t="shared" si="2"/>
        <v xml:space="preserve">* El número de Beneficiarios NO DEBE ser mayor que el Total. </v>
      </c>
      <c r="CE28" s="1515" t="e">
        <f t="shared" si="3"/>
        <v>#VALUE!</v>
      </c>
      <c r="CF28" s="1515" t="str">
        <f t="shared" si="4"/>
        <v/>
      </c>
      <c r="CG28" s="1515"/>
      <c r="CT28" s="1435"/>
      <c r="CU28" s="1435"/>
      <c r="CV28" s="1435"/>
      <c r="CW28" s="1435"/>
      <c r="CX28" s="1435"/>
      <c r="CY28" s="1435"/>
      <c r="CZ28" s="1435"/>
      <c r="DA28" s="1435"/>
      <c r="DB28" s="3222" t="e">
        <f t="shared" si="5"/>
        <v>#VALUE!</v>
      </c>
      <c r="DC28" s="3222">
        <f t="shared" si="6"/>
        <v>0</v>
      </c>
      <c r="DD28" s="3222">
        <f t="shared" si="7"/>
        <v>1</v>
      </c>
      <c r="DE28" s="3222" t="e">
        <f t="shared" si="8"/>
        <v>#VALUE!</v>
      </c>
      <c r="DF28" s="3222"/>
      <c r="DG28" s="3222"/>
      <c r="DH28" s="3222"/>
      <c r="DI28" s="3222"/>
      <c r="DJ28" s="3222"/>
      <c r="DK28" s="3222"/>
      <c r="DL28" s="3222"/>
      <c r="DM28" s="3222"/>
    </row>
    <row r="29" spans="1:117" ht="16.350000000000001" customHeight="1" x14ac:dyDescent="0.3">
      <c r="A29" s="7299" t="s">
        <v>4751</v>
      </c>
      <c r="B29" s="2855" t="s">
        <v>268</v>
      </c>
      <c r="C29" s="2726" t="s">
        <v>5369</v>
      </c>
      <c r="D29" s="2822" t="s">
        <v>5370</v>
      </c>
      <c r="E29" s="2903" t="s">
        <v>5371</v>
      </c>
      <c r="F29" s="2903" t="s">
        <v>5372</v>
      </c>
      <c r="G29" s="2903" t="s">
        <v>5373</v>
      </c>
      <c r="H29" s="2903" t="s">
        <v>5374</v>
      </c>
      <c r="I29" s="2903" t="s">
        <v>5375</v>
      </c>
      <c r="J29" s="2903" t="s">
        <v>5376</v>
      </c>
      <c r="K29" s="2903" t="s">
        <v>5377</v>
      </c>
      <c r="L29" s="2903" t="s">
        <v>5378</v>
      </c>
      <c r="M29" s="2903" t="s">
        <v>5379</v>
      </c>
      <c r="N29" s="2903" t="s">
        <v>5380</v>
      </c>
      <c r="O29" s="2903" t="s">
        <v>5381</v>
      </c>
      <c r="P29" s="2903" t="s">
        <v>5382</v>
      </c>
      <c r="Q29" s="2903" t="s">
        <v>5383</v>
      </c>
      <c r="R29" s="2903" t="s">
        <v>5384</v>
      </c>
      <c r="S29" s="2903" t="s">
        <v>5385</v>
      </c>
      <c r="T29" s="2824" t="s">
        <v>5386</v>
      </c>
      <c r="U29" s="2678" t="s">
        <v>5387</v>
      </c>
      <c r="V29" s="110" t="s">
        <v>5388</v>
      </c>
      <c r="W29" s="122" t="s">
        <v>5389</v>
      </c>
      <c r="X29" s="135" t="s">
        <v>5390</v>
      </c>
      <c r="Y29" s="110" t="s">
        <v>5391</v>
      </c>
      <c r="Z29" s="111" t="s">
        <v>5392</v>
      </c>
      <c r="AA29" s="122" t="s">
        <v>5393</v>
      </c>
      <c r="AB29" s="323" t="s">
        <v>5394</v>
      </c>
      <c r="AC29" s="110" t="s">
        <v>5395</v>
      </c>
      <c r="AD29" s="136" t="s">
        <v>5396</v>
      </c>
      <c r="AE29" s="122" t="s">
        <v>5397</v>
      </c>
      <c r="AF29" s="3230" t="s">
        <v>5398</v>
      </c>
      <c r="AG29" s="2034" t="s">
        <v>5399</v>
      </c>
      <c r="AH29" s="1360" t="e">
        <f t="shared" si="9"/>
        <v>#VALUE!</v>
      </c>
      <c r="AI29" s="806"/>
      <c r="AJ29" s="806"/>
      <c r="AK29" s="806"/>
      <c r="AL29" s="806"/>
      <c r="AM29" s="806"/>
      <c r="AN29" s="806"/>
      <c r="AO29" s="806"/>
      <c r="AP29" s="290"/>
      <c r="AQ29" s="290"/>
      <c r="AR29" s="290"/>
      <c r="AS29" s="290"/>
      <c r="AT29" s="290"/>
      <c r="BF29" s="1430"/>
      <c r="BG29" s="1430"/>
      <c r="BY29" s="165"/>
      <c r="BZ29" s="165"/>
      <c r="CA29" s="165"/>
      <c r="CB29" s="1515" t="e">
        <f t="shared" si="0"/>
        <v>#VALUE!</v>
      </c>
      <c r="CC29" s="1515" t="str">
        <f t="shared" si="1"/>
        <v/>
      </c>
      <c r="CD29" s="1515" t="str">
        <f t="shared" si="2"/>
        <v xml:space="preserve">* El número de Beneficiarios NO DEBE ser mayor que el Total. </v>
      </c>
      <c r="CE29" s="1515" t="e">
        <f t="shared" si="3"/>
        <v>#VALUE!</v>
      </c>
      <c r="CF29" s="1515" t="str">
        <f t="shared" si="4"/>
        <v/>
      </c>
      <c r="CG29" s="1515"/>
      <c r="CT29" s="1435"/>
      <c r="CU29" s="1435"/>
      <c r="CV29" s="1435"/>
      <c r="CW29" s="1435"/>
      <c r="CX29" s="1435"/>
      <c r="CY29" s="1435"/>
      <c r="CZ29" s="1435"/>
      <c r="DA29" s="1435"/>
      <c r="DB29" s="3222" t="e">
        <f t="shared" si="5"/>
        <v>#VALUE!</v>
      </c>
      <c r="DC29" s="3222">
        <f t="shared" si="6"/>
        <v>0</v>
      </c>
      <c r="DD29" s="3222">
        <f t="shared" si="7"/>
        <v>1</v>
      </c>
      <c r="DE29" s="3222" t="e">
        <f t="shared" si="8"/>
        <v>#VALUE!</v>
      </c>
      <c r="DF29" s="3222"/>
      <c r="DG29" s="3222"/>
      <c r="DH29" s="3222"/>
      <c r="DI29" s="3222"/>
      <c r="DJ29" s="3222"/>
      <c r="DK29" s="3222"/>
      <c r="DL29" s="3222"/>
      <c r="DM29" s="3222"/>
    </row>
    <row r="30" spans="1:117" ht="16.350000000000001" customHeight="1" x14ac:dyDescent="0.3">
      <c r="A30" s="7299" t="s">
        <v>4752</v>
      </c>
      <c r="B30" s="2855" t="s">
        <v>458</v>
      </c>
      <c r="C30" s="2726" t="s">
        <v>5369</v>
      </c>
      <c r="D30" s="2822" t="s">
        <v>5370</v>
      </c>
      <c r="E30" s="2903" t="s">
        <v>5371</v>
      </c>
      <c r="F30" s="2903" t="s">
        <v>5372</v>
      </c>
      <c r="G30" s="2903" t="s">
        <v>5373</v>
      </c>
      <c r="H30" s="2903" t="s">
        <v>5374</v>
      </c>
      <c r="I30" s="2903" t="s">
        <v>5375</v>
      </c>
      <c r="J30" s="2903" t="s">
        <v>5376</v>
      </c>
      <c r="K30" s="2903" t="s">
        <v>5377</v>
      </c>
      <c r="L30" s="2903" t="s">
        <v>5378</v>
      </c>
      <c r="M30" s="2903" t="s">
        <v>5379</v>
      </c>
      <c r="N30" s="2903" t="s">
        <v>5380</v>
      </c>
      <c r="O30" s="2903" t="s">
        <v>5381</v>
      </c>
      <c r="P30" s="2903" t="s">
        <v>5382</v>
      </c>
      <c r="Q30" s="2903" t="s">
        <v>5383</v>
      </c>
      <c r="R30" s="2903" t="s">
        <v>5384</v>
      </c>
      <c r="S30" s="2903" t="s">
        <v>5385</v>
      </c>
      <c r="T30" s="2824" t="s">
        <v>5386</v>
      </c>
      <c r="U30" s="2678" t="s">
        <v>5387</v>
      </c>
      <c r="V30" s="110" t="s">
        <v>5388</v>
      </c>
      <c r="W30" s="122" t="s">
        <v>5389</v>
      </c>
      <c r="X30" s="135" t="s">
        <v>5390</v>
      </c>
      <c r="Y30" s="110" t="s">
        <v>5391</v>
      </c>
      <c r="Z30" s="111" t="s">
        <v>5392</v>
      </c>
      <c r="AA30" s="122" t="s">
        <v>5393</v>
      </c>
      <c r="AB30" s="323" t="s">
        <v>5394</v>
      </c>
      <c r="AC30" s="110" t="s">
        <v>5395</v>
      </c>
      <c r="AD30" s="136" t="s">
        <v>5396</v>
      </c>
      <c r="AE30" s="122" t="s">
        <v>5397</v>
      </c>
      <c r="AF30" s="3230" t="s">
        <v>5398</v>
      </c>
      <c r="AG30" s="2034" t="s">
        <v>5399</v>
      </c>
      <c r="AH30" s="1360" t="e">
        <f t="shared" si="9"/>
        <v>#VALUE!</v>
      </c>
      <c r="AI30" s="806"/>
      <c r="AJ30" s="806"/>
      <c r="AK30" s="806"/>
      <c r="AL30" s="806"/>
      <c r="AM30" s="806"/>
      <c r="AN30" s="806"/>
      <c r="AO30" s="806"/>
      <c r="AP30" s="290"/>
      <c r="AQ30" s="290"/>
      <c r="AR30" s="290"/>
      <c r="AS30" s="290"/>
      <c r="AT30" s="290"/>
      <c r="BF30" s="1430"/>
      <c r="BG30" s="1430"/>
      <c r="BY30" s="165"/>
      <c r="BZ30" s="165"/>
      <c r="CA30" s="165"/>
      <c r="CB30" s="1515" t="e">
        <f t="shared" si="0"/>
        <v>#VALUE!</v>
      </c>
      <c r="CC30" s="1515" t="str">
        <f t="shared" si="1"/>
        <v/>
      </c>
      <c r="CD30" s="1515" t="str">
        <f t="shared" si="2"/>
        <v xml:space="preserve">* El número de Beneficiarios NO DEBE ser mayor que el Total. </v>
      </c>
      <c r="CE30" s="1515" t="e">
        <f t="shared" si="3"/>
        <v>#VALUE!</v>
      </c>
      <c r="CF30" s="1515" t="str">
        <f t="shared" si="4"/>
        <v/>
      </c>
      <c r="CG30" s="1515"/>
      <c r="CT30" s="1435"/>
      <c r="CU30" s="1435"/>
      <c r="CV30" s="1435"/>
      <c r="CW30" s="1435"/>
      <c r="CX30" s="1435"/>
      <c r="CY30" s="1435"/>
      <c r="CZ30" s="1435"/>
      <c r="DA30" s="1435"/>
      <c r="DB30" s="3222" t="e">
        <f t="shared" si="5"/>
        <v>#VALUE!</v>
      </c>
      <c r="DC30" s="3222">
        <f t="shared" si="6"/>
        <v>0</v>
      </c>
      <c r="DD30" s="3222">
        <f t="shared" si="7"/>
        <v>1</v>
      </c>
      <c r="DE30" s="3222" t="e">
        <f t="shared" si="8"/>
        <v>#VALUE!</v>
      </c>
      <c r="DF30" s="3222"/>
      <c r="DG30" s="3222"/>
      <c r="DH30" s="3222"/>
      <c r="DI30" s="3222"/>
      <c r="DJ30" s="3222"/>
      <c r="DK30" s="3222"/>
      <c r="DL30" s="3222"/>
      <c r="DM30" s="3222"/>
    </row>
    <row r="31" spans="1:117" ht="16.350000000000001" customHeight="1" x14ac:dyDescent="0.3">
      <c r="A31" s="7299" t="s">
        <v>4753</v>
      </c>
      <c r="B31" s="2855" t="s">
        <v>269</v>
      </c>
      <c r="C31" s="2726" t="s">
        <v>5369</v>
      </c>
      <c r="D31" s="2822" t="s">
        <v>5370</v>
      </c>
      <c r="E31" s="2903" t="s">
        <v>5371</v>
      </c>
      <c r="F31" s="2903" t="s">
        <v>5372</v>
      </c>
      <c r="G31" s="2903" t="s">
        <v>5373</v>
      </c>
      <c r="H31" s="2903" t="s">
        <v>5374</v>
      </c>
      <c r="I31" s="2903" t="s">
        <v>5375</v>
      </c>
      <c r="J31" s="2903" t="s">
        <v>5376</v>
      </c>
      <c r="K31" s="2903" t="s">
        <v>5377</v>
      </c>
      <c r="L31" s="2903" t="s">
        <v>5378</v>
      </c>
      <c r="M31" s="2903" t="s">
        <v>5379</v>
      </c>
      <c r="N31" s="2903" t="s">
        <v>5380</v>
      </c>
      <c r="O31" s="2903" t="s">
        <v>5381</v>
      </c>
      <c r="P31" s="2903" t="s">
        <v>5382</v>
      </c>
      <c r="Q31" s="2903" t="s">
        <v>5383</v>
      </c>
      <c r="R31" s="2903" t="s">
        <v>5384</v>
      </c>
      <c r="S31" s="2903" t="s">
        <v>5385</v>
      </c>
      <c r="T31" s="2824" t="s">
        <v>5386</v>
      </c>
      <c r="U31" s="2678" t="s">
        <v>5387</v>
      </c>
      <c r="V31" s="110" t="s">
        <v>5388</v>
      </c>
      <c r="W31" s="122" t="s">
        <v>5389</v>
      </c>
      <c r="X31" s="135" t="s">
        <v>5390</v>
      </c>
      <c r="Y31" s="110" t="s">
        <v>5391</v>
      </c>
      <c r="Z31" s="111" t="s">
        <v>5392</v>
      </c>
      <c r="AA31" s="122" t="s">
        <v>5393</v>
      </c>
      <c r="AB31" s="323" t="s">
        <v>5394</v>
      </c>
      <c r="AC31" s="110" t="s">
        <v>5395</v>
      </c>
      <c r="AD31" s="136" t="s">
        <v>5396</v>
      </c>
      <c r="AE31" s="122" t="s">
        <v>5397</v>
      </c>
      <c r="AF31" s="3230" t="s">
        <v>5398</v>
      </c>
      <c r="AG31" s="2034" t="s">
        <v>5399</v>
      </c>
      <c r="AH31" s="1360" t="e">
        <f t="shared" si="9"/>
        <v>#VALUE!</v>
      </c>
      <c r="AI31" s="806"/>
      <c r="AJ31" s="806"/>
      <c r="AK31" s="806"/>
      <c r="AL31" s="806"/>
      <c r="AM31" s="806"/>
      <c r="AN31" s="806"/>
      <c r="AO31" s="806"/>
      <c r="AP31" s="290"/>
      <c r="AQ31" s="290"/>
      <c r="AR31" s="290"/>
      <c r="AS31" s="290"/>
      <c r="AT31" s="290"/>
      <c r="BF31" s="1430"/>
      <c r="BG31" s="1430"/>
      <c r="BY31" s="165"/>
      <c r="BZ31" s="165"/>
      <c r="CA31" s="165"/>
      <c r="CB31" s="1515" t="e">
        <f t="shared" si="0"/>
        <v>#VALUE!</v>
      </c>
      <c r="CC31" s="1515" t="str">
        <f t="shared" si="1"/>
        <v/>
      </c>
      <c r="CD31" s="1515" t="str">
        <f t="shared" si="2"/>
        <v xml:space="preserve">* El número de Beneficiarios NO DEBE ser mayor que el Total. </v>
      </c>
      <c r="CE31" s="1515" t="e">
        <f t="shared" si="3"/>
        <v>#VALUE!</v>
      </c>
      <c r="CF31" s="1515" t="str">
        <f t="shared" si="4"/>
        <v/>
      </c>
      <c r="CG31" s="1515"/>
      <c r="CT31" s="1435"/>
      <c r="CU31" s="1435"/>
      <c r="CV31" s="1435"/>
      <c r="CW31" s="1435"/>
      <c r="CX31" s="1435"/>
      <c r="CY31" s="1435"/>
      <c r="CZ31" s="1435"/>
      <c r="DA31" s="1435"/>
      <c r="DB31" s="3222" t="e">
        <f t="shared" si="5"/>
        <v>#VALUE!</v>
      </c>
      <c r="DC31" s="3222">
        <f t="shared" si="6"/>
        <v>0</v>
      </c>
      <c r="DD31" s="3222">
        <f t="shared" si="7"/>
        <v>1</v>
      </c>
      <c r="DE31" s="3222" t="e">
        <f t="shared" si="8"/>
        <v>#VALUE!</v>
      </c>
      <c r="DF31" s="3222"/>
      <c r="DG31" s="3222"/>
      <c r="DH31" s="3222"/>
      <c r="DI31" s="3222"/>
      <c r="DJ31" s="3222"/>
      <c r="DK31" s="3222"/>
      <c r="DL31" s="3222"/>
      <c r="DM31" s="3222"/>
    </row>
    <row r="32" spans="1:117" ht="16.350000000000001" customHeight="1" x14ac:dyDescent="0.3">
      <c r="A32" s="7299" t="s">
        <v>4754</v>
      </c>
      <c r="B32" s="2855" t="s">
        <v>270</v>
      </c>
      <c r="C32" s="2726" t="s">
        <v>5369</v>
      </c>
      <c r="D32" s="2822" t="s">
        <v>5370</v>
      </c>
      <c r="E32" s="2903" t="s">
        <v>5371</v>
      </c>
      <c r="F32" s="2903" t="s">
        <v>5372</v>
      </c>
      <c r="G32" s="2903" t="s">
        <v>5373</v>
      </c>
      <c r="H32" s="2903" t="s">
        <v>5374</v>
      </c>
      <c r="I32" s="2903" t="s">
        <v>5375</v>
      </c>
      <c r="J32" s="2903" t="s">
        <v>5376</v>
      </c>
      <c r="K32" s="2903" t="s">
        <v>5377</v>
      </c>
      <c r="L32" s="2903" t="s">
        <v>5378</v>
      </c>
      <c r="M32" s="2903" t="s">
        <v>5379</v>
      </c>
      <c r="N32" s="2903" t="s">
        <v>5380</v>
      </c>
      <c r="O32" s="2903" t="s">
        <v>5381</v>
      </c>
      <c r="P32" s="2903" t="s">
        <v>5382</v>
      </c>
      <c r="Q32" s="2903" t="s">
        <v>5383</v>
      </c>
      <c r="R32" s="2903" t="s">
        <v>5384</v>
      </c>
      <c r="S32" s="2903" t="s">
        <v>5385</v>
      </c>
      <c r="T32" s="2824" t="s">
        <v>5386</v>
      </c>
      <c r="U32" s="2678" t="s">
        <v>5387</v>
      </c>
      <c r="V32" s="110" t="s">
        <v>5388</v>
      </c>
      <c r="W32" s="122" t="s">
        <v>5389</v>
      </c>
      <c r="X32" s="135" t="s">
        <v>5390</v>
      </c>
      <c r="Y32" s="110" t="s">
        <v>5391</v>
      </c>
      <c r="Z32" s="111" t="s">
        <v>5392</v>
      </c>
      <c r="AA32" s="122" t="s">
        <v>5393</v>
      </c>
      <c r="AB32" s="323" t="s">
        <v>5394</v>
      </c>
      <c r="AC32" s="110" t="s">
        <v>5395</v>
      </c>
      <c r="AD32" s="136" t="s">
        <v>5396</v>
      </c>
      <c r="AE32" s="122" t="s">
        <v>5397</v>
      </c>
      <c r="AF32" s="3230" t="s">
        <v>5398</v>
      </c>
      <c r="AG32" s="2034" t="s">
        <v>5399</v>
      </c>
      <c r="AH32" s="1360" t="e">
        <f t="shared" si="9"/>
        <v>#VALUE!</v>
      </c>
      <c r="AI32" s="806"/>
      <c r="AJ32" s="806"/>
      <c r="AK32" s="806"/>
      <c r="AL32" s="806"/>
      <c r="AM32" s="806"/>
      <c r="AN32" s="806"/>
      <c r="AO32" s="806"/>
      <c r="AP32" s="290"/>
      <c r="AQ32" s="290"/>
      <c r="AR32" s="290"/>
      <c r="AS32" s="290"/>
      <c r="AT32" s="290"/>
      <c r="BF32" s="1430"/>
      <c r="BG32" s="1430"/>
      <c r="BY32" s="165"/>
      <c r="BZ32" s="165"/>
      <c r="CA32" s="165"/>
      <c r="CB32" s="1515" t="e">
        <f t="shared" si="0"/>
        <v>#VALUE!</v>
      </c>
      <c r="CC32" s="1515" t="str">
        <f t="shared" si="1"/>
        <v/>
      </c>
      <c r="CD32" s="1515" t="str">
        <f t="shared" si="2"/>
        <v xml:space="preserve">* El número de Beneficiarios NO DEBE ser mayor que el Total. </v>
      </c>
      <c r="CE32" s="1515" t="e">
        <f t="shared" si="3"/>
        <v>#VALUE!</v>
      </c>
      <c r="CF32" s="1515" t="str">
        <f t="shared" si="4"/>
        <v/>
      </c>
      <c r="CG32" s="1515"/>
      <c r="CT32" s="1435"/>
      <c r="CU32" s="1435"/>
      <c r="CV32" s="1435"/>
      <c r="CW32" s="1435"/>
      <c r="CX32" s="1435"/>
      <c r="CY32" s="1435"/>
      <c r="CZ32" s="1435"/>
      <c r="DA32" s="1435"/>
      <c r="DB32" s="3222" t="e">
        <f t="shared" si="5"/>
        <v>#VALUE!</v>
      </c>
      <c r="DC32" s="3222">
        <f t="shared" si="6"/>
        <v>0</v>
      </c>
      <c r="DD32" s="3222">
        <f t="shared" si="7"/>
        <v>1</v>
      </c>
      <c r="DE32" s="3222" t="e">
        <f t="shared" si="8"/>
        <v>#VALUE!</v>
      </c>
      <c r="DF32" s="3222"/>
      <c r="DG32" s="3222"/>
      <c r="DH32" s="3222"/>
      <c r="DI32" s="3222"/>
      <c r="DJ32" s="3222"/>
      <c r="DK32" s="3222"/>
      <c r="DL32" s="3222"/>
      <c r="DM32" s="3222"/>
    </row>
    <row r="33" spans="1:117" ht="16.350000000000001" customHeight="1" x14ac:dyDescent="0.3">
      <c r="A33" s="7299" t="s">
        <v>4755</v>
      </c>
      <c r="B33" s="2855" t="s">
        <v>459</v>
      </c>
      <c r="C33" s="2726" t="s">
        <v>5369</v>
      </c>
      <c r="D33" s="2822" t="s">
        <v>5370</v>
      </c>
      <c r="E33" s="2903" t="s">
        <v>5371</v>
      </c>
      <c r="F33" s="2903" t="s">
        <v>5372</v>
      </c>
      <c r="G33" s="2903" t="s">
        <v>5373</v>
      </c>
      <c r="H33" s="2903" t="s">
        <v>5374</v>
      </c>
      <c r="I33" s="2903" t="s">
        <v>5375</v>
      </c>
      <c r="J33" s="2903" t="s">
        <v>5376</v>
      </c>
      <c r="K33" s="2903" t="s">
        <v>5377</v>
      </c>
      <c r="L33" s="2903" t="s">
        <v>5378</v>
      </c>
      <c r="M33" s="2903" t="s">
        <v>5379</v>
      </c>
      <c r="N33" s="2903" t="s">
        <v>5380</v>
      </c>
      <c r="O33" s="2903" t="s">
        <v>5381</v>
      </c>
      <c r="P33" s="2903" t="s">
        <v>5382</v>
      </c>
      <c r="Q33" s="2903" t="s">
        <v>5383</v>
      </c>
      <c r="R33" s="2903" t="s">
        <v>5384</v>
      </c>
      <c r="S33" s="2903" t="s">
        <v>5385</v>
      </c>
      <c r="T33" s="2824" t="s">
        <v>5386</v>
      </c>
      <c r="U33" s="2678" t="s">
        <v>5387</v>
      </c>
      <c r="V33" s="110" t="s">
        <v>5388</v>
      </c>
      <c r="W33" s="122" t="s">
        <v>5389</v>
      </c>
      <c r="X33" s="135" t="s">
        <v>5390</v>
      </c>
      <c r="Y33" s="110" t="s">
        <v>5391</v>
      </c>
      <c r="Z33" s="111" t="s">
        <v>5392</v>
      </c>
      <c r="AA33" s="122" t="s">
        <v>5393</v>
      </c>
      <c r="AB33" s="323" t="s">
        <v>5394</v>
      </c>
      <c r="AC33" s="110" t="s">
        <v>5395</v>
      </c>
      <c r="AD33" s="136" t="s">
        <v>5396</v>
      </c>
      <c r="AE33" s="122" t="s">
        <v>5397</v>
      </c>
      <c r="AF33" s="3230" t="s">
        <v>5398</v>
      </c>
      <c r="AG33" s="2034" t="s">
        <v>5399</v>
      </c>
      <c r="AH33" s="1360" t="e">
        <f t="shared" si="9"/>
        <v>#VALUE!</v>
      </c>
      <c r="AI33" s="806"/>
      <c r="AJ33" s="806"/>
      <c r="AK33" s="806"/>
      <c r="AL33" s="806"/>
      <c r="AM33" s="806"/>
      <c r="AN33" s="806"/>
      <c r="AO33" s="806"/>
      <c r="AP33" s="290"/>
      <c r="AQ33" s="290"/>
      <c r="AR33" s="290"/>
      <c r="AS33" s="290"/>
      <c r="AT33" s="290"/>
      <c r="BF33" s="1430"/>
      <c r="BG33" s="1430"/>
      <c r="BY33" s="165"/>
      <c r="BZ33" s="165"/>
      <c r="CA33" s="165"/>
      <c r="CB33" s="1515" t="e">
        <f t="shared" si="0"/>
        <v>#VALUE!</v>
      </c>
      <c r="CC33" s="1515" t="str">
        <f t="shared" si="1"/>
        <v/>
      </c>
      <c r="CD33" s="1515" t="str">
        <f t="shared" si="2"/>
        <v xml:space="preserve">* El número de Beneficiarios NO DEBE ser mayor que el Total. </v>
      </c>
      <c r="CE33" s="1515" t="e">
        <f t="shared" si="3"/>
        <v>#VALUE!</v>
      </c>
      <c r="CF33" s="1515" t="str">
        <f t="shared" si="4"/>
        <v/>
      </c>
      <c r="CG33" s="1515"/>
      <c r="CT33" s="1435"/>
      <c r="CU33" s="1435"/>
      <c r="CV33" s="1435"/>
      <c r="CW33" s="1435"/>
      <c r="CX33" s="1435"/>
      <c r="CY33" s="1435"/>
      <c r="CZ33" s="1435"/>
      <c r="DA33" s="1435"/>
      <c r="DB33" s="3222" t="e">
        <f t="shared" si="5"/>
        <v>#VALUE!</v>
      </c>
      <c r="DC33" s="3222">
        <f t="shared" si="6"/>
        <v>0</v>
      </c>
      <c r="DD33" s="3222">
        <f t="shared" si="7"/>
        <v>1</v>
      </c>
      <c r="DE33" s="3222" t="e">
        <f t="shared" si="8"/>
        <v>#VALUE!</v>
      </c>
      <c r="DF33" s="3222"/>
      <c r="DG33" s="3222"/>
      <c r="DH33" s="3222"/>
      <c r="DI33" s="3222"/>
      <c r="DJ33" s="3222"/>
      <c r="DK33" s="3222"/>
      <c r="DL33" s="3222"/>
      <c r="DM33" s="3222"/>
    </row>
    <row r="34" spans="1:117" ht="16.350000000000001" customHeight="1" x14ac:dyDescent="0.3">
      <c r="A34" s="7299" t="s">
        <v>4756</v>
      </c>
      <c r="B34" s="2855" t="s">
        <v>271</v>
      </c>
      <c r="C34" s="2726" t="s">
        <v>5369</v>
      </c>
      <c r="D34" s="2822" t="s">
        <v>5370</v>
      </c>
      <c r="E34" s="2903" t="s">
        <v>5371</v>
      </c>
      <c r="F34" s="2903" t="s">
        <v>5372</v>
      </c>
      <c r="G34" s="2903" t="s">
        <v>5373</v>
      </c>
      <c r="H34" s="2903" t="s">
        <v>5374</v>
      </c>
      <c r="I34" s="2903" t="s">
        <v>5375</v>
      </c>
      <c r="J34" s="2903" t="s">
        <v>5376</v>
      </c>
      <c r="K34" s="2903" t="s">
        <v>5377</v>
      </c>
      <c r="L34" s="2903" t="s">
        <v>5378</v>
      </c>
      <c r="M34" s="2903" t="s">
        <v>5379</v>
      </c>
      <c r="N34" s="2903" t="s">
        <v>5380</v>
      </c>
      <c r="O34" s="2903" t="s">
        <v>5381</v>
      </c>
      <c r="P34" s="2903" t="s">
        <v>5382</v>
      </c>
      <c r="Q34" s="2903" t="s">
        <v>5383</v>
      </c>
      <c r="R34" s="2903" t="s">
        <v>5384</v>
      </c>
      <c r="S34" s="2903" t="s">
        <v>5385</v>
      </c>
      <c r="T34" s="2824" t="s">
        <v>5386</v>
      </c>
      <c r="U34" s="2678" t="s">
        <v>5387</v>
      </c>
      <c r="V34" s="110" t="s">
        <v>5388</v>
      </c>
      <c r="W34" s="122" t="s">
        <v>5389</v>
      </c>
      <c r="X34" s="135" t="s">
        <v>5390</v>
      </c>
      <c r="Y34" s="110" t="s">
        <v>5391</v>
      </c>
      <c r="Z34" s="111" t="s">
        <v>5392</v>
      </c>
      <c r="AA34" s="122" t="s">
        <v>5393</v>
      </c>
      <c r="AB34" s="323" t="s">
        <v>5394</v>
      </c>
      <c r="AC34" s="110" t="s">
        <v>5395</v>
      </c>
      <c r="AD34" s="136" t="s">
        <v>5396</v>
      </c>
      <c r="AE34" s="122" t="s">
        <v>5397</v>
      </c>
      <c r="AF34" s="3230" t="s">
        <v>5398</v>
      </c>
      <c r="AG34" s="2034" t="s">
        <v>5399</v>
      </c>
      <c r="AH34" s="1360" t="e">
        <f t="shared" si="9"/>
        <v>#VALUE!</v>
      </c>
      <c r="AI34" s="806"/>
      <c r="AJ34" s="806"/>
      <c r="AK34" s="806"/>
      <c r="AL34" s="806"/>
      <c r="AM34" s="806"/>
      <c r="AN34" s="806"/>
      <c r="AO34" s="806"/>
      <c r="AP34" s="290"/>
      <c r="AQ34" s="290"/>
      <c r="AR34" s="290"/>
      <c r="AS34" s="290"/>
      <c r="AT34" s="290"/>
      <c r="BF34" s="1430"/>
      <c r="BG34" s="1430"/>
      <c r="BY34" s="165"/>
      <c r="BZ34" s="165"/>
      <c r="CA34" s="165"/>
      <c r="CB34" s="1515" t="e">
        <f t="shared" si="0"/>
        <v>#VALUE!</v>
      </c>
      <c r="CC34" s="1515" t="str">
        <f t="shared" si="1"/>
        <v/>
      </c>
      <c r="CD34" s="1515" t="str">
        <f t="shared" si="2"/>
        <v xml:space="preserve">* El número de Beneficiarios NO DEBE ser mayor que el Total. </v>
      </c>
      <c r="CE34" s="1515" t="e">
        <f t="shared" si="3"/>
        <v>#VALUE!</v>
      </c>
      <c r="CF34" s="1515" t="str">
        <f t="shared" si="4"/>
        <v/>
      </c>
      <c r="CG34" s="1515"/>
      <c r="CT34" s="1435"/>
      <c r="CU34" s="1435"/>
      <c r="CV34" s="1435"/>
      <c r="CW34" s="1435"/>
      <c r="CX34" s="1435"/>
      <c r="CY34" s="1435"/>
      <c r="CZ34" s="1435"/>
      <c r="DA34" s="1435"/>
      <c r="DB34" s="3222" t="e">
        <f t="shared" si="5"/>
        <v>#VALUE!</v>
      </c>
      <c r="DC34" s="3222">
        <f t="shared" si="6"/>
        <v>0</v>
      </c>
      <c r="DD34" s="3222">
        <f t="shared" si="7"/>
        <v>1</v>
      </c>
      <c r="DE34" s="3222" t="e">
        <f t="shared" si="8"/>
        <v>#VALUE!</v>
      </c>
      <c r="DF34" s="3222"/>
      <c r="DG34" s="3222"/>
      <c r="DH34" s="3222"/>
      <c r="DI34" s="3222"/>
      <c r="DJ34" s="3222"/>
      <c r="DK34" s="3222"/>
      <c r="DL34" s="3222"/>
      <c r="DM34" s="3222"/>
    </row>
    <row r="35" spans="1:117" ht="16.350000000000001" customHeight="1" x14ac:dyDescent="0.3">
      <c r="A35" s="7301" t="s">
        <v>4757</v>
      </c>
      <c r="B35" s="2855" t="s">
        <v>272</v>
      </c>
      <c r="C35" s="2726" t="s">
        <v>5369</v>
      </c>
      <c r="D35" s="2846" t="s">
        <v>5370</v>
      </c>
      <c r="E35" s="3388" t="s">
        <v>5371</v>
      </c>
      <c r="F35" s="3388" t="s">
        <v>5372</v>
      </c>
      <c r="G35" s="3388" t="s">
        <v>5373</v>
      </c>
      <c r="H35" s="3388" t="s">
        <v>5374</v>
      </c>
      <c r="I35" s="3388" t="s">
        <v>5375</v>
      </c>
      <c r="J35" s="3388" t="s">
        <v>5376</v>
      </c>
      <c r="K35" s="3388" t="s">
        <v>5377</v>
      </c>
      <c r="L35" s="3388" t="s">
        <v>5378</v>
      </c>
      <c r="M35" s="3388" t="s">
        <v>5379</v>
      </c>
      <c r="N35" s="3388" t="s">
        <v>5380</v>
      </c>
      <c r="O35" s="3388" t="s">
        <v>5381</v>
      </c>
      <c r="P35" s="2903" t="s">
        <v>5382</v>
      </c>
      <c r="Q35" s="2903" t="s">
        <v>5383</v>
      </c>
      <c r="R35" s="2903" t="s">
        <v>5384</v>
      </c>
      <c r="S35" s="2903" t="s">
        <v>5385</v>
      </c>
      <c r="T35" s="2824" t="s">
        <v>5386</v>
      </c>
      <c r="U35" s="2678" t="s">
        <v>5387</v>
      </c>
      <c r="V35" s="110" t="s">
        <v>5388</v>
      </c>
      <c r="W35" s="122" t="s">
        <v>5389</v>
      </c>
      <c r="X35" s="135" t="s">
        <v>5390</v>
      </c>
      <c r="Y35" s="110" t="s">
        <v>5391</v>
      </c>
      <c r="Z35" s="111" t="s">
        <v>5392</v>
      </c>
      <c r="AA35" s="122" t="s">
        <v>5393</v>
      </c>
      <c r="AB35" s="323" t="s">
        <v>5394</v>
      </c>
      <c r="AC35" s="110" t="s">
        <v>5395</v>
      </c>
      <c r="AD35" s="136" t="s">
        <v>5396</v>
      </c>
      <c r="AE35" s="122" t="s">
        <v>5397</v>
      </c>
      <c r="AF35" s="3230" t="s">
        <v>5398</v>
      </c>
      <c r="AG35" s="2034" t="s">
        <v>5399</v>
      </c>
      <c r="AH35" s="1360" t="e">
        <f t="shared" si="9"/>
        <v>#VALUE!</v>
      </c>
      <c r="AI35" s="806"/>
      <c r="AJ35" s="806"/>
      <c r="AK35" s="806"/>
      <c r="AL35" s="806"/>
      <c r="AM35" s="806"/>
      <c r="AN35" s="806"/>
      <c r="AO35" s="806"/>
      <c r="AP35" s="290"/>
      <c r="AQ35" s="290"/>
      <c r="AR35" s="290"/>
      <c r="AS35" s="290"/>
      <c r="AT35" s="290"/>
      <c r="BF35" s="1430"/>
      <c r="BG35" s="1430"/>
      <c r="BY35" s="165"/>
      <c r="BZ35" s="165"/>
      <c r="CA35" s="165"/>
      <c r="CB35" s="1515" t="e">
        <f t="shared" si="0"/>
        <v>#VALUE!</v>
      </c>
      <c r="CC35" s="1515" t="str">
        <f t="shared" si="1"/>
        <v/>
      </c>
      <c r="CD35" s="1515" t="str">
        <f t="shared" si="2"/>
        <v xml:space="preserve">* El número de Beneficiarios NO DEBE ser mayor que el Total. </v>
      </c>
      <c r="CE35" s="1515" t="e">
        <f>IF(DE35=1,"* El total de Consultas Nuevas NO DEBE ser MAYOR que el total de las Consultas Médicas. ","")</f>
        <v>#VALUE!</v>
      </c>
      <c r="CF35" s="1515" t="str">
        <f t="shared" si="4"/>
        <v/>
      </c>
      <c r="CG35" s="1515"/>
      <c r="CT35" s="1435"/>
      <c r="CU35" s="1435"/>
      <c r="CV35" s="1435"/>
      <c r="CW35" s="1435"/>
      <c r="CX35" s="1435"/>
      <c r="CY35" s="1435"/>
      <c r="CZ35" s="1435"/>
      <c r="DA35" s="1435"/>
      <c r="DB35" s="3222" t="e">
        <f t="shared" si="5"/>
        <v>#VALUE!</v>
      </c>
      <c r="DC35" s="3222">
        <f t="shared" si="6"/>
        <v>0</v>
      </c>
      <c r="DD35" s="3222">
        <f t="shared" si="7"/>
        <v>1</v>
      </c>
      <c r="DE35" s="3222" t="e">
        <f t="shared" si="8"/>
        <v>#VALUE!</v>
      </c>
      <c r="DF35" s="3222"/>
      <c r="DG35" s="3222"/>
      <c r="DH35" s="3222"/>
      <c r="DI35" s="3222"/>
      <c r="DJ35" s="3222"/>
      <c r="DK35" s="3222"/>
      <c r="DL35" s="3222"/>
      <c r="DM35" s="3222"/>
    </row>
    <row r="36" spans="1:117" ht="16.350000000000001" customHeight="1" x14ac:dyDescent="0.3">
      <c r="A36" s="7299" t="s">
        <v>4758</v>
      </c>
      <c r="B36" s="2855" t="s">
        <v>273</v>
      </c>
      <c r="C36" s="2726" t="s">
        <v>5369</v>
      </c>
      <c r="D36" s="2822" t="s">
        <v>5370</v>
      </c>
      <c r="E36" s="2903" t="s">
        <v>5371</v>
      </c>
      <c r="F36" s="2903" t="s">
        <v>5372</v>
      </c>
      <c r="G36" s="3389" t="s">
        <v>5373</v>
      </c>
      <c r="H36" s="3389" t="s">
        <v>5374</v>
      </c>
      <c r="I36" s="3389" t="s">
        <v>5375</v>
      </c>
      <c r="J36" s="3389" t="s">
        <v>5376</v>
      </c>
      <c r="K36" s="3389" t="s">
        <v>5377</v>
      </c>
      <c r="L36" s="3389" t="s">
        <v>5378</v>
      </c>
      <c r="M36" s="2903" t="s">
        <v>5379</v>
      </c>
      <c r="N36" s="2903" t="s">
        <v>5380</v>
      </c>
      <c r="O36" s="2903" t="s">
        <v>5381</v>
      </c>
      <c r="P36" s="2903" t="s">
        <v>5382</v>
      </c>
      <c r="Q36" s="2903" t="s">
        <v>5383</v>
      </c>
      <c r="R36" s="2903" t="s">
        <v>5384</v>
      </c>
      <c r="S36" s="2903" t="s">
        <v>5385</v>
      </c>
      <c r="T36" s="2824" t="s">
        <v>5386</v>
      </c>
      <c r="U36" s="2678" t="s">
        <v>5387</v>
      </c>
      <c r="V36" s="110" t="s">
        <v>5388</v>
      </c>
      <c r="W36" s="122" t="s">
        <v>5389</v>
      </c>
      <c r="X36" s="135" t="s">
        <v>5390</v>
      </c>
      <c r="Y36" s="110" t="s">
        <v>5391</v>
      </c>
      <c r="Z36" s="111" t="s">
        <v>5392</v>
      </c>
      <c r="AA36" s="122" t="s">
        <v>5393</v>
      </c>
      <c r="AB36" s="323" t="s">
        <v>5394</v>
      </c>
      <c r="AC36" s="110" t="s">
        <v>5395</v>
      </c>
      <c r="AD36" s="136" t="s">
        <v>5396</v>
      </c>
      <c r="AE36" s="122" t="s">
        <v>5397</v>
      </c>
      <c r="AF36" s="3230" t="s">
        <v>5398</v>
      </c>
      <c r="AG36" s="2034" t="s">
        <v>5399</v>
      </c>
      <c r="AH36" s="1360" t="e">
        <f t="shared" si="9"/>
        <v>#VALUE!</v>
      </c>
      <c r="AI36" s="806"/>
      <c r="AJ36" s="806"/>
      <c r="AK36" s="806"/>
      <c r="AL36" s="806"/>
      <c r="AM36" s="806"/>
      <c r="AN36" s="806"/>
      <c r="AO36" s="806"/>
      <c r="AP36" s="290"/>
      <c r="AQ36" s="290"/>
      <c r="AR36" s="290"/>
      <c r="AS36" s="290"/>
      <c r="AT36" s="290"/>
      <c r="BF36" s="1430"/>
      <c r="BG36" s="1430"/>
      <c r="BY36" s="165"/>
      <c r="BZ36" s="165"/>
      <c r="CA36" s="165"/>
      <c r="CB36" s="1515" t="e">
        <f t="shared" si="0"/>
        <v>#VALUE!</v>
      </c>
      <c r="CC36" s="1515" t="str">
        <f t="shared" si="1"/>
        <v/>
      </c>
      <c r="CD36" s="1515" t="str">
        <f t="shared" si="2"/>
        <v xml:space="preserve">* El número de Beneficiarios NO DEBE ser mayor que el Total. </v>
      </c>
      <c r="CE36" s="1515" t="e">
        <f t="shared" si="3"/>
        <v>#VALUE!</v>
      </c>
      <c r="CF36" s="1515" t="str">
        <f t="shared" si="4"/>
        <v/>
      </c>
      <c r="CG36" s="1515"/>
      <c r="CT36" s="1435"/>
      <c r="CU36" s="1435"/>
      <c r="CV36" s="1435"/>
      <c r="CW36" s="1435"/>
      <c r="CX36" s="1435"/>
      <c r="CY36" s="1435"/>
      <c r="CZ36" s="1435"/>
      <c r="DA36" s="1435"/>
      <c r="DB36" s="3222" t="e">
        <f t="shared" si="5"/>
        <v>#VALUE!</v>
      </c>
      <c r="DC36" s="3222">
        <f t="shared" si="6"/>
        <v>0</v>
      </c>
      <c r="DD36" s="3222">
        <f t="shared" si="7"/>
        <v>1</v>
      </c>
      <c r="DE36" s="3222" t="e">
        <f t="shared" si="8"/>
        <v>#VALUE!</v>
      </c>
      <c r="DF36" s="3222"/>
      <c r="DG36" s="3222"/>
      <c r="DH36" s="3222"/>
      <c r="DI36" s="3222"/>
      <c r="DJ36" s="3222"/>
      <c r="DK36" s="3222"/>
      <c r="DL36" s="3222"/>
      <c r="DM36" s="3222"/>
    </row>
    <row r="37" spans="1:117" ht="16.350000000000001" customHeight="1" x14ac:dyDescent="0.3">
      <c r="A37" s="7299" t="s">
        <v>4759</v>
      </c>
      <c r="B37" s="2855" t="s">
        <v>274</v>
      </c>
      <c r="C37" s="2726" t="s">
        <v>5369</v>
      </c>
      <c r="D37" s="3390" t="s">
        <v>5370</v>
      </c>
      <c r="E37" s="3389" t="s">
        <v>5371</v>
      </c>
      <c r="F37" s="3389" t="s">
        <v>5372</v>
      </c>
      <c r="G37" s="3389" t="s">
        <v>5373</v>
      </c>
      <c r="H37" s="2903" t="s">
        <v>5374</v>
      </c>
      <c r="I37" s="2903" t="s">
        <v>5375</v>
      </c>
      <c r="J37" s="2903" t="s">
        <v>5376</v>
      </c>
      <c r="K37" s="2903" t="s">
        <v>5377</v>
      </c>
      <c r="L37" s="2903" t="s">
        <v>5378</v>
      </c>
      <c r="M37" s="2903" t="s">
        <v>5379</v>
      </c>
      <c r="N37" s="2903" t="s">
        <v>5380</v>
      </c>
      <c r="O37" s="2903" t="s">
        <v>5381</v>
      </c>
      <c r="P37" s="2903" t="s">
        <v>5382</v>
      </c>
      <c r="Q37" s="2903" t="s">
        <v>5383</v>
      </c>
      <c r="R37" s="2903" t="s">
        <v>5384</v>
      </c>
      <c r="S37" s="2903" t="s">
        <v>5385</v>
      </c>
      <c r="T37" s="2824" t="s">
        <v>5386</v>
      </c>
      <c r="U37" s="2678" t="s">
        <v>5387</v>
      </c>
      <c r="V37" s="110" t="s">
        <v>5388</v>
      </c>
      <c r="W37" s="122" t="s">
        <v>5389</v>
      </c>
      <c r="X37" s="135" t="s">
        <v>5390</v>
      </c>
      <c r="Y37" s="110" t="s">
        <v>5391</v>
      </c>
      <c r="Z37" s="111" t="s">
        <v>5392</v>
      </c>
      <c r="AA37" s="122" t="s">
        <v>5393</v>
      </c>
      <c r="AB37" s="323" t="s">
        <v>5394</v>
      </c>
      <c r="AC37" s="110" t="s">
        <v>5395</v>
      </c>
      <c r="AD37" s="136" t="s">
        <v>5396</v>
      </c>
      <c r="AE37" s="122" t="s">
        <v>5397</v>
      </c>
      <c r="AF37" s="3230" t="s">
        <v>5398</v>
      </c>
      <c r="AG37" s="2034" t="s">
        <v>5399</v>
      </c>
      <c r="AH37" s="1360" t="e">
        <f t="shared" si="9"/>
        <v>#VALUE!</v>
      </c>
      <c r="AI37" s="806"/>
      <c r="AJ37" s="806"/>
      <c r="AK37" s="806"/>
      <c r="AL37" s="806"/>
      <c r="AM37" s="806"/>
      <c r="AN37" s="806"/>
      <c r="AO37" s="806"/>
      <c r="AP37" s="290"/>
      <c r="AQ37" s="290"/>
      <c r="AR37" s="290"/>
      <c r="AS37" s="290"/>
      <c r="AT37" s="290"/>
      <c r="BF37" s="1430"/>
      <c r="BG37" s="1430"/>
      <c r="BY37" s="165"/>
      <c r="BZ37" s="165"/>
      <c r="CA37" s="165"/>
      <c r="CB37" s="1515" t="e">
        <f t="shared" si="0"/>
        <v>#VALUE!</v>
      </c>
      <c r="CC37" s="1515" t="str">
        <f t="shared" si="1"/>
        <v/>
      </c>
      <c r="CD37" s="1515" t="str">
        <f t="shared" si="2"/>
        <v xml:space="preserve">* El número de Beneficiarios NO DEBE ser mayor que el Total. </v>
      </c>
      <c r="CE37" s="1515" t="e">
        <f t="shared" si="3"/>
        <v>#VALUE!</v>
      </c>
      <c r="CF37" s="1515" t="str">
        <f t="shared" si="4"/>
        <v/>
      </c>
      <c r="CG37" s="1515"/>
      <c r="CT37" s="1435"/>
      <c r="CU37" s="1435"/>
      <c r="CV37" s="1435"/>
      <c r="CW37" s="1435"/>
      <c r="CX37" s="1435"/>
      <c r="CY37" s="1435"/>
      <c r="CZ37" s="1435"/>
      <c r="DA37" s="1435"/>
      <c r="DB37" s="3222" t="e">
        <f t="shared" si="5"/>
        <v>#VALUE!</v>
      </c>
      <c r="DC37" s="3222">
        <f t="shared" si="6"/>
        <v>0</v>
      </c>
      <c r="DD37" s="3222">
        <f t="shared" si="7"/>
        <v>1</v>
      </c>
      <c r="DE37" s="3222" t="e">
        <f t="shared" si="8"/>
        <v>#VALUE!</v>
      </c>
      <c r="DF37" s="3222"/>
      <c r="DG37" s="3222"/>
      <c r="DH37" s="3222"/>
      <c r="DI37" s="3222"/>
      <c r="DJ37" s="3222"/>
      <c r="DK37" s="3222"/>
      <c r="DL37" s="3222"/>
      <c r="DM37" s="3222"/>
    </row>
    <row r="38" spans="1:117" ht="16.350000000000001" customHeight="1" x14ac:dyDescent="0.3">
      <c r="A38" s="7299" t="s">
        <v>4760</v>
      </c>
      <c r="B38" s="2855" t="s">
        <v>275</v>
      </c>
      <c r="C38" s="2726" t="s">
        <v>5369</v>
      </c>
      <c r="D38" s="3390" t="s">
        <v>5370</v>
      </c>
      <c r="E38" s="3389" t="s">
        <v>5371</v>
      </c>
      <c r="F38" s="3389" t="s">
        <v>5372</v>
      </c>
      <c r="G38" s="3389" t="s">
        <v>5373</v>
      </c>
      <c r="H38" s="3389" t="s">
        <v>5374</v>
      </c>
      <c r="I38" s="3389" t="s">
        <v>5375</v>
      </c>
      <c r="J38" s="3389" t="s">
        <v>5376</v>
      </c>
      <c r="K38" s="3389" t="s">
        <v>5377</v>
      </c>
      <c r="L38" s="3389" t="s">
        <v>5378</v>
      </c>
      <c r="M38" s="2903" t="s">
        <v>5379</v>
      </c>
      <c r="N38" s="2903" t="s">
        <v>5380</v>
      </c>
      <c r="O38" s="2903" t="s">
        <v>5381</v>
      </c>
      <c r="P38" s="2903" t="s">
        <v>5382</v>
      </c>
      <c r="Q38" s="2903" t="s">
        <v>5383</v>
      </c>
      <c r="R38" s="2903" t="s">
        <v>5384</v>
      </c>
      <c r="S38" s="2903" t="s">
        <v>5385</v>
      </c>
      <c r="T38" s="2824" t="s">
        <v>5386</v>
      </c>
      <c r="U38" s="2678" t="s">
        <v>5387</v>
      </c>
      <c r="V38" s="110" t="s">
        <v>5388</v>
      </c>
      <c r="W38" s="122" t="s">
        <v>5389</v>
      </c>
      <c r="X38" s="135" t="s">
        <v>5390</v>
      </c>
      <c r="Y38" s="110" t="s">
        <v>5391</v>
      </c>
      <c r="Z38" s="111" t="s">
        <v>5392</v>
      </c>
      <c r="AA38" s="122" t="s">
        <v>5393</v>
      </c>
      <c r="AB38" s="323" t="s">
        <v>5394</v>
      </c>
      <c r="AC38" s="110" t="s">
        <v>5395</v>
      </c>
      <c r="AD38" s="136" t="s">
        <v>5396</v>
      </c>
      <c r="AE38" s="122" t="s">
        <v>5397</v>
      </c>
      <c r="AF38" s="3230" t="s">
        <v>5398</v>
      </c>
      <c r="AG38" s="2034" t="s">
        <v>5399</v>
      </c>
      <c r="AH38" s="1360" t="e">
        <f t="shared" si="9"/>
        <v>#VALUE!</v>
      </c>
      <c r="AI38" s="806"/>
      <c r="AJ38" s="806"/>
      <c r="AK38" s="806"/>
      <c r="AL38" s="806"/>
      <c r="AM38" s="806"/>
      <c r="AN38" s="806"/>
      <c r="AO38" s="806"/>
      <c r="AP38" s="290"/>
      <c r="AQ38" s="290"/>
      <c r="AR38" s="290"/>
      <c r="AS38" s="290"/>
      <c r="AT38" s="290"/>
      <c r="BF38" s="1430"/>
      <c r="BG38" s="1430"/>
      <c r="BY38" s="165"/>
      <c r="BZ38" s="165"/>
      <c r="CA38" s="165"/>
      <c r="CB38" s="1515" t="e">
        <f t="shared" si="0"/>
        <v>#VALUE!</v>
      </c>
      <c r="CC38" s="1515" t="str">
        <f t="shared" si="1"/>
        <v/>
      </c>
      <c r="CD38" s="1515" t="str">
        <f t="shared" si="2"/>
        <v xml:space="preserve">* El número de Beneficiarios NO DEBE ser mayor que el Total. </v>
      </c>
      <c r="CE38" s="1515" t="e">
        <f t="shared" si="3"/>
        <v>#VALUE!</v>
      </c>
      <c r="CF38" s="1515" t="str">
        <f t="shared" si="4"/>
        <v/>
      </c>
      <c r="CG38" s="1515"/>
      <c r="CT38" s="1435"/>
      <c r="CU38" s="1435"/>
      <c r="CV38" s="1435"/>
      <c r="CW38" s="1435"/>
      <c r="CX38" s="1435"/>
      <c r="CY38" s="1435"/>
      <c r="CZ38" s="1435"/>
      <c r="DA38" s="1435"/>
      <c r="DB38" s="3222" t="e">
        <f t="shared" si="5"/>
        <v>#VALUE!</v>
      </c>
      <c r="DC38" s="3222">
        <f t="shared" si="6"/>
        <v>0</v>
      </c>
      <c r="DD38" s="3222">
        <f t="shared" si="7"/>
        <v>1</v>
      </c>
      <c r="DE38" s="3222" t="e">
        <f t="shared" si="8"/>
        <v>#VALUE!</v>
      </c>
      <c r="DF38" s="3222"/>
      <c r="DG38" s="3222"/>
      <c r="DH38" s="3222"/>
      <c r="DI38" s="3222"/>
      <c r="DJ38" s="3222"/>
      <c r="DK38" s="3222"/>
      <c r="DL38" s="3222"/>
      <c r="DM38" s="3222"/>
    </row>
    <row r="39" spans="1:117" ht="16.350000000000001" customHeight="1" x14ac:dyDescent="0.3">
      <c r="A39" s="7301" t="s">
        <v>4761</v>
      </c>
      <c r="B39" s="2855" t="s">
        <v>460</v>
      </c>
      <c r="C39" s="2726" t="s">
        <v>5369</v>
      </c>
      <c r="D39" s="3390" t="s">
        <v>5370</v>
      </c>
      <c r="E39" s="3389" t="s">
        <v>5371</v>
      </c>
      <c r="F39" s="3389" t="s">
        <v>5372</v>
      </c>
      <c r="G39" s="2903" t="s">
        <v>5373</v>
      </c>
      <c r="H39" s="2903" t="s">
        <v>5374</v>
      </c>
      <c r="I39" s="2903" t="s">
        <v>5375</v>
      </c>
      <c r="J39" s="2903" t="s">
        <v>5376</v>
      </c>
      <c r="K39" s="2903" t="s">
        <v>5377</v>
      </c>
      <c r="L39" s="2903" t="s">
        <v>5378</v>
      </c>
      <c r="M39" s="2903" t="s">
        <v>5379</v>
      </c>
      <c r="N39" s="2903" t="s">
        <v>5380</v>
      </c>
      <c r="O39" s="2903" t="s">
        <v>5381</v>
      </c>
      <c r="P39" s="2903" t="s">
        <v>5382</v>
      </c>
      <c r="Q39" s="2903" t="s">
        <v>5383</v>
      </c>
      <c r="R39" s="2903" t="s">
        <v>5384</v>
      </c>
      <c r="S39" s="2903" t="s">
        <v>5385</v>
      </c>
      <c r="T39" s="2824" t="s">
        <v>5386</v>
      </c>
      <c r="U39" s="2678" t="s">
        <v>5387</v>
      </c>
      <c r="V39" s="110" t="s">
        <v>5388</v>
      </c>
      <c r="W39" s="122" t="s">
        <v>5389</v>
      </c>
      <c r="X39" s="135" t="s">
        <v>5390</v>
      </c>
      <c r="Y39" s="110" t="s">
        <v>5391</v>
      </c>
      <c r="Z39" s="111" t="s">
        <v>5392</v>
      </c>
      <c r="AA39" s="122" t="s">
        <v>5393</v>
      </c>
      <c r="AB39" s="323" t="s">
        <v>5394</v>
      </c>
      <c r="AC39" s="110" t="s">
        <v>5395</v>
      </c>
      <c r="AD39" s="136" t="s">
        <v>5396</v>
      </c>
      <c r="AE39" s="122" t="s">
        <v>5397</v>
      </c>
      <c r="AF39" s="3230" t="s">
        <v>5398</v>
      </c>
      <c r="AG39" s="2034" t="s">
        <v>5399</v>
      </c>
      <c r="AH39" s="1360" t="e">
        <f t="shared" si="9"/>
        <v>#VALUE!</v>
      </c>
      <c r="AI39" s="806"/>
      <c r="AJ39" s="806"/>
      <c r="AK39" s="806"/>
      <c r="AL39" s="806"/>
      <c r="AM39" s="806"/>
      <c r="AN39" s="806"/>
      <c r="AO39" s="806"/>
      <c r="AP39" s="290"/>
      <c r="AQ39" s="290"/>
      <c r="AR39" s="290"/>
      <c r="AS39" s="290"/>
      <c r="AT39" s="290"/>
      <c r="BF39" s="1430"/>
      <c r="BG39" s="1430"/>
      <c r="BY39" s="165"/>
      <c r="BZ39" s="165"/>
      <c r="CA39" s="165"/>
      <c r="CB39" s="1515" t="e">
        <f t="shared" si="0"/>
        <v>#VALUE!</v>
      </c>
      <c r="CC39" s="1515" t="str">
        <f t="shared" si="1"/>
        <v/>
      </c>
      <c r="CD39" s="1515" t="str">
        <f t="shared" si="2"/>
        <v xml:space="preserve">* El número de Beneficiarios NO DEBE ser mayor que el Total. </v>
      </c>
      <c r="CE39" s="1515" t="e">
        <f t="shared" si="3"/>
        <v>#VALUE!</v>
      </c>
      <c r="CF39" s="1515" t="str">
        <f t="shared" si="4"/>
        <v/>
      </c>
      <c r="CG39" s="1515"/>
      <c r="CT39" s="1435"/>
      <c r="CU39" s="1435"/>
      <c r="CV39" s="1435"/>
      <c r="CW39" s="1435"/>
      <c r="CX39" s="1435"/>
      <c r="CY39" s="1435"/>
      <c r="CZ39" s="1435"/>
      <c r="DA39" s="1435"/>
      <c r="DB39" s="3222" t="e">
        <f t="shared" si="5"/>
        <v>#VALUE!</v>
      </c>
      <c r="DC39" s="3222">
        <f t="shared" si="6"/>
        <v>0</v>
      </c>
      <c r="DD39" s="3222">
        <f t="shared" si="7"/>
        <v>1</v>
      </c>
      <c r="DE39" s="3222" t="e">
        <f t="shared" si="8"/>
        <v>#VALUE!</v>
      </c>
      <c r="DF39" s="3222"/>
      <c r="DG39" s="3222"/>
      <c r="DH39" s="3222"/>
      <c r="DI39" s="3222"/>
      <c r="DJ39" s="3222"/>
      <c r="DK39" s="3222"/>
      <c r="DL39" s="3222"/>
      <c r="DM39" s="3222"/>
    </row>
    <row r="40" spans="1:117" ht="16.350000000000001" customHeight="1" x14ac:dyDescent="0.3">
      <c r="A40" s="7299" t="s">
        <v>4762</v>
      </c>
      <c r="B40" s="2855" t="s">
        <v>276</v>
      </c>
      <c r="C40" s="2726" t="s">
        <v>5369</v>
      </c>
      <c r="D40" s="3390" t="s">
        <v>5370</v>
      </c>
      <c r="E40" s="3389" t="s">
        <v>5371</v>
      </c>
      <c r="F40" s="3389" t="s">
        <v>5372</v>
      </c>
      <c r="G40" s="2903" t="s">
        <v>5373</v>
      </c>
      <c r="H40" s="2903" t="s">
        <v>5374</v>
      </c>
      <c r="I40" s="2903" t="s">
        <v>5375</v>
      </c>
      <c r="J40" s="2903" t="s">
        <v>5376</v>
      </c>
      <c r="K40" s="2903" t="s">
        <v>5377</v>
      </c>
      <c r="L40" s="2903" t="s">
        <v>5378</v>
      </c>
      <c r="M40" s="2903" t="s">
        <v>5379</v>
      </c>
      <c r="N40" s="2903" t="s">
        <v>5380</v>
      </c>
      <c r="O40" s="2903" t="s">
        <v>5381</v>
      </c>
      <c r="P40" s="2903" t="s">
        <v>5382</v>
      </c>
      <c r="Q40" s="2903" t="s">
        <v>5383</v>
      </c>
      <c r="R40" s="2903" t="s">
        <v>5384</v>
      </c>
      <c r="S40" s="2903" t="s">
        <v>5385</v>
      </c>
      <c r="T40" s="2824" t="s">
        <v>5386</v>
      </c>
      <c r="U40" s="2678" t="s">
        <v>5387</v>
      </c>
      <c r="V40" s="110" t="s">
        <v>5388</v>
      </c>
      <c r="W40" s="122" t="s">
        <v>5389</v>
      </c>
      <c r="X40" s="135" t="s">
        <v>5390</v>
      </c>
      <c r="Y40" s="110" t="s">
        <v>5391</v>
      </c>
      <c r="Z40" s="111" t="s">
        <v>5392</v>
      </c>
      <c r="AA40" s="122" t="s">
        <v>5393</v>
      </c>
      <c r="AB40" s="323" t="s">
        <v>5394</v>
      </c>
      <c r="AC40" s="110" t="s">
        <v>5395</v>
      </c>
      <c r="AD40" s="136" t="s">
        <v>5396</v>
      </c>
      <c r="AE40" s="122" t="s">
        <v>5397</v>
      </c>
      <c r="AF40" s="3230" t="s">
        <v>5398</v>
      </c>
      <c r="AG40" s="2034" t="s">
        <v>5399</v>
      </c>
      <c r="AH40" s="1360" t="e">
        <f t="shared" si="9"/>
        <v>#VALUE!</v>
      </c>
      <c r="AI40" s="806"/>
      <c r="AJ40" s="806"/>
      <c r="AK40" s="806"/>
      <c r="AL40" s="806"/>
      <c r="AM40" s="806"/>
      <c r="AN40" s="806"/>
      <c r="AO40" s="806"/>
      <c r="AP40" s="290"/>
      <c r="AQ40" s="290"/>
      <c r="AR40" s="290"/>
      <c r="AS40" s="290"/>
      <c r="AT40" s="290"/>
      <c r="BF40" s="1430"/>
      <c r="BG40" s="1430"/>
      <c r="BY40" s="165"/>
      <c r="BZ40" s="165"/>
      <c r="CA40" s="165"/>
      <c r="CB40" s="1515" t="e">
        <f t="shared" si="0"/>
        <v>#VALUE!</v>
      </c>
      <c r="CC40" s="1515" t="str">
        <f t="shared" si="1"/>
        <v/>
      </c>
      <c r="CD40" s="1515" t="str">
        <f t="shared" si="2"/>
        <v xml:space="preserve">* El número de Beneficiarios NO DEBE ser mayor que el Total. </v>
      </c>
      <c r="CE40" s="1515" t="e">
        <f t="shared" si="3"/>
        <v>#VALUE!</v>
      </c>
      <c r="CF40" s="1515" t="str">
        <f t="shared" si="4"/>
        <v/>
      </c>
      <c r="CG40" s="1515"/>
      <c r="CT40" s="1435"/>
      <c r="CU40" s="1435"/>
      <c r="CV40" s="1435"/>
      <c r="CW40" s="1435"/>
      <c r="CX40" s="1435"/>
      <c r="CY40" s="1435"/>
      <c r="CZ40" s="1435"/>
      <c r="DA40" s="1435"/>
      <c r="DB40" s="3222" t="e">
        <f t="shared" si="5"/>
        <v>#VALUE!</v>
      </c>
      <c r="DC40" s="3222">
        <f t="shared" si="6"/>
        <v>0</v>
      </c>
      <c r="DD40" s="3222">
        <f t="shared" si="7"/>
        <v>1</v>
      </c>
      <c r="DE40" s="3222" t="e">
        <f t="shared" si="8"/>
        <v>#VALUE!</v>
      </c>
      <c r="DF40" s="3222"/>
      <c r="DG40" s="3222"/>
      <c r="DH40" s="3222"/>
      <c r="DI40" s="3222"/>
      <c r="DJ40" s="3222"/>
      <c r="DK40" s="3222"/>
      <c r="DL40" s="3222"/>
      <c r="DM40" s="3222"/>
    </row>
    <row r="41" spans="1:117" ht="16.350000000000001" customHeight="1" x14ac:dyDescent="0.3">
      <c r="A41" s="7299" t="s">
        <v>4763</v>
      </c>
      <c r="B41" s="2855" t="s">
        <v>277</v>
      </c>
      <c r="C41" s="2726" t="s">
        <v>5369</v>
      </c>
      <c r="D41" s="3390" t="s">
        <v>5370</v>
      </c>
      <c r="E41" s="3389" t="s">
        <v>5371</v>
      </c>
      <c r="F41" s="3389" t="s">
        <v>5372</v>
      </c>
      <c r="G41" s="2903" t="s">
        <v>5373</v>
      </c>
      <c r="H41" s="2903" t="s">
        <v>5374</v>
      </c>
      <c r="I41" s="2903" t="s">
        <v>5375</v>
      </c>
      <c r="J41" s="2903" t="s">
        <v>5376</v>
      </c>
      <c r="K41" s="2903" t="s">
        <v>5377</v>
      </c>
      <c r="L41" s="2903" t="s">
        <v>5378</v>
      </c>
      <c r="M41" s="2903" t="s">
        <v>5379</v>
      </c>
      <c r="N41" s="2903" t="s">
        <v>5380</v>
      </c>
      <c r="O41" s="2903" t="s">
        <v>5381</v>
      </c>
      <c r="P41" s="2903" t="s">
        <v>5382</v>
      </c>
      <c r="Q41" s="2903" t="s">
        <v>5383</v>
      </c>
      <c r="R41" s="2903" t="s">
        <v>5384</v>
      </c>
      <c r="S41" s="2903" t="s">
        <v>5385</v>
      </c>
      <c r="T41" s="2824" t="s">
        <v>5386</v>
      </c>
      <c r="U41" s="2678" t="s">
        <v>5387</v>
      </c>
      <c r="V41" s="110" t="s">
        <v>5388</v>
      </c>
      <c r="W41" s="122" t="s">
        <v>5389</v>
      </c>
      <c r="X41" s="135" t="s">
        <v>5390</v>
      </c>
      <c r="Y41" s="110" t="s">
        <v>5391</v>
      </c>
      <c r="Z41" s="111" t="s">
        <v>5392</v>
      </c>
      <c r="AA41" s="122" t="s">
        <v>5393</v>
      </c>
      <c r="AB41" s="323" t="s">
        <v>5394</v>
      </c>
      <c r="AC41" s="110" t="s">
        <v>5395</v>
      </c>
      <c r="AD41" s="136" t="s">
        <v>5396</v>
      </c>
      <c r="AE41" s="122" t="s">
        <v>5397</v>
      </c>
      <c r="AF41" s="3230" t="s">
        <v>5398</v>
      </c>
      <c r="AG41" s="2034" t="s">
        <v>5399</v>
      </c>
      <c r="AH41" s="1360" t="e">
        <f t="shared" si="9"/>
        <v>#VALUE!</v>
      </c>
      <c r="AI41" s="806"/>
      <c r="AJ41" s="806"/>
      <c r="AK41" s="806"/>
      <c r="AL41" s="806"/>
      <c r="AM41" s="806"/>
      <c r="AN41" s="806"/>
      <c r="AO41" s="806"/>
      <c r="AP41" s="290"/>
      <c r="AQ41" s="290"/>
      <c r="AR41" s="290"/>
      <c r="AS41" s="290"/>
      <c r="AT41" s="290"/>
      <c r="BF41" s="1430"/>
      <c r="BG41" s="1430"/>
      <c r="BY41" s="165"/>
      <c r="BZ41" s="165"/>
      <c r="CA41" s="165"/>
      <c r="CB41" s="1515" t="e">
        <f t="shared" si="0"/>
        <v>#VALUE!</v>
      </c>
      <c r="CC41" s="1515" t="str">
        <f t="shared" si="1"/>
        <v/>
      </c>
      <c r="CD41" s="1515" t="str">
        <f t="shared" si="2"/>
        <v xml:space="preserve">* El número de Beneficiarios NO DEBE ser mayor que el Total. </v>
      </c>
      <c r="CE41" s="1515" t="e">
        <f t="shared" si="3"/>
        <v>#VALUE!</v>
      </c>
      <c r="CF41" s="1515" t="str">
        <f t="shared" si="4"/>
        <v/>
      </c>
      <c r="CG41" s="1515"/>
      <c r="CT41" s="1435"/>
      <c r="CU41" s="1435"/>
      <c r="CV41" s="1435"/>
      <c r="CW41" s="1435"/>
      <c r="CX41" s="1435"/>
      <c r="CY41" s="1435"/>
      <c r="CZ41" s="1435"/>
      <c r="DA41" s="1435"/>
      <c r="DB41" s="3222" t="e">
        <f t="shared" si="5"/>
        <v>#VALUE!</v>
      </c>
      <c r="DC41" s="3222">
        <f t="shared" si="6"/>
        <v>0</v>
      </c>
      <c r="DD41" s="3222">
        <f t="shared" si="7"/>
        <v>1</v>
      </c>
      <c r="DE41" s="3222" t="e">
        <f t="shared" si="8"/>
        <v>#VALUE!</v>
      </c>
      <c r="DF41" s="3222"/>
      <c r="DG41" s="3222"/>
      <c r="DH41" s="3222"/>
      <c r="DI41" s="3222"/>
      <c r="DJ41" s="3222"/>
      <c r="DK41" s="3222"/>
      <c r="DL41" s="3222"/>
      <c r="DM41" s="3222"/>
    </row>
    <row r="42" spans="1:117" ht="16.350000000000001" customHeight="1" x14ac:dyDescent="0.3">
      <c r="A42" s="7299" t="s">
        <v>4764</v>
      </c>
      <c r="B42" s="2855" t="s">
        <v>461</v>
      </c>
      <c r="C42" s="2726" t="s">
        <v>5369</v>
      </c>
      <c r="D42" s="2822" t="s">
        <v>5370</v>
      </c>
      <c r="E42" s="2903" t="s">
        <v>5371</v>
      </c>
      <c r="F42" s="2903" t="s">
        <v>5372</v>
      </c>
      <c r="G42" s="2903" t="s">
        <v>5373</v>
      </c>
      <c r="H42" s="2903" t="s">
        <v>5374</v>
      </c>
      <c r="I42" s="2903" t="s">
        <v>5375</v>
      </c>
      <c r="J42" s="2903" t="s">
        <v>5376</v>
      </c>
      <c r="K42" s="2903" t="s">
        <v>5377</v>
      </c>
      <c r="L42" s="2903" t="s">
        <v>5378</v>
      </c>
      <c r="M42" s="2903" t="s">
        <v>5379</v>
      </c>
      <c r="N42" s="2903" t="s">
        <v>5380</v>
      </c>
      <c r="O42" s="2903" t="s">
        <v>5381</v>
      </c>
      <c r="P42" s="2903" t="s">
        <v>5382</v>
      </c>
      <c r="Q42" s="2903" t="s">
        <v>5383</v>
      </c>
      <c r="R42" s="2903" t="s">
        <v>5384</v>
      </c>
      <c r="S42" s="2903" t="s">
        <v>5385</v>
      </c>
      <c r="T42" s="2824" t="s">
        <v>5386</v>
      </c>
      <c r="U42" s="2678" t="s">
        <v>5387</v>
      </c>
      <c r="V42" s="110" t="s">
        <v>5388</v>
      </c>
      <c r="W42" s="122" t="s">
        <v>5389</v>
      </c>
      <c r="X42" s="135" t="s">
        <v>5390</v>
      </c>
      <c r="Y42" s="110" t="s">
        <v>5391</v>
      </c>
      <c r="Z42" s="111" t="s">
        <v>5392</v>
      </c>
      <c r="AA42" s="122" t="s">
        <v>5393</v>
      </c>
      <c r="AB42" s="323" t="s">
        <v>5394</v>
      </c>
      <c r="AC42" s="110" t="s">
        <v>5395</v>
      </c>
      <c r="AD42" s="136" t="s">
        <v>5396</v>
      </c>
      <c r="AE42" s="122" t="s">
        <v>5397</v>
      </c>
      <c r="AF42" s="3230" t="s">
        <v>5398</v>
      </c>
      <c r="AG42" s="2034" t="s">
        <v>5399</v>
      </c>
      <c r="AH42" s="1360" t="e">
        <f t="shared" si="9"/>
        <v>#VALUE!</v>
      </c>
      <c r="AI42" s="806"/>
      <c r="AJ42" s="806"/>
      <c r="AK42" s="806"/>
      <c r="AL42" s="806"/>
      <c r="AM42" s="806"/>
      <c r="AN42" s="806"/>
      <c r="AO42" s="806"/>
      <c r="AP42" s="290"/>
      <c r="AQ42" s="290"/>
      <c r="AR42" s="290"/>
      <c r="AS42" s="290"/>
      <c r="AT42" s="290"/>
      <c r="BF42" s="1430"/>
      <c r="BG42" s="1430"/>
      <c r="BY42" s="165"/>
      <c r="BZ42" s="165"/>
      <c r="CA42" s="165"/>
      <c r="CB42" s="1515" t="e">
        <f t="shared" si="0"/>
        <v>#VALUE!</v>
      </c>
      <c r="CC42" s="1515" t="str">
        <f t="shared" si="1"/>
        <v/>
      </c>
      <c r="CD42" s="1515" t="str">
        <f t="shared" si="2"/>
        <v xml:space="preserve">* El número de Beneficiarios NO DEBE ser mayor que el Total. </v>
      </c>
      <c r="CE42" s="1515" t="e">
        <f t="shared" si="3"/>
        <v>#VALUE!</v>
      </c>
      <c r="CF42" s="1515" t="str">
        <f t="shared" si="4"/>
        <v/>
      </c>
      <c r="CG42" s="1515"/>
      <c r="CT42" s="1435"/>
      <c r="CU42" s="1435"/>
      <c r="CV42" s="1435"/>
      <c r="CW42" s="1435"/>
      <c r="CX42" s="1435"/>
      <c r="CY42" s="1435"/>
      <c r="CZ42" s="1435"/>
      <c r="DA42" s="1435"/>
      <c r="DB42" s="3222" t="e">
        <f t="shared" si="5"/>
        <v>#VALUE!</v>
      </c>
      <c r="DC42" s="3222">
        <f t="shared" si="6"/>
        <v>0</v>
      </c>
      <c r="DD42" s="3222">
        <f t="shared" si="7"/>
        <v>1</v>
      </c>
      <c r="DE42" s="3222" t="e">
        <f t="shared" si="8"/>
        <v>#VALUE!</v>
      </c>
      <c r="DF42" s="3222"/>
      <c r="DG42" s="3222"/>
      <c r="DH42" s="3222"/>
      <c r="DI42" s="3222"/>
      <c r="DJ42" s="3222"/>
      <c r="DK42" s="3222"/>
      <c r="DL42" s="3222"/>
      <c r="DM42" s="3222"/>
    </row>
    <row r="43" spans="1:117" ht="16.350000000000001" customHeight="1" x14ac:dyDescent="0.3">
      <c r="A43" s="7299" t="s">
        <v>4765</v>
      </c>
      <c r="B43" s="2855" t="s">
        <v>278</v>
      </c>
      <c r="C43" s="2726" t="s">
        <v>5369</v>
      </c>
      <c r="D43" s="2822" t="s">
        <v>5370</v>
      </c>
      <c r="E43" s="2903" t="s">
        <v>5371</v>
      </c>
      <c r="F43" s="2903" t="s">
        <v>5372</v>
      </c>
      <c r="G43" s="2903" t="s">
        <v>5373</v>
      </c>
      <c r="H43" s="2903" t="s">
        <v>5374</v>
      </c>
      <c r="I43" s="2903" t="s">
        <v>5375</v>
      </c>
      <c r="J43" s="2903" t="s">
        <v>5376</v>
      </c>
      <c r="K43" s="2903" t="s">
        <v>5377</v>
      </c>
      <c r="L43" s="2903" t="s">
        <v>5378</v>
      </c>
      <c r="M43" s="2903" t="s">
        <v>5379</v>
      </c>
      <c r="N43" s="2903" t="s">
        <v>5380</v>
      </c>
      <c r="O43" s="2903" t="s">
        <v>5381</v>
      </c>
      <c r="P43" s="2903" t="s">
        <v>5382</v>
      </c>
      <c r="Q43" s="2903" t="s">
        <v>5383</v>
      </c>
      <c r="R43" s="2903" t="s">
        <v>5384</v>
      </c>
      <c r="S43" s="2903" t="s">
        <v>5385</v>
      </c>
      <c r="T43" s="2824" t="s">
        <v>5386</v>
      </c>
      <c r="U43" s="2678" t="s">
        <v>5387</v>
      </c>
      <c r="V43" s="110" t="s">
        <v>5388</v>
      </c>
      <c r="W43" s="122" t="s">
        <v>5389</v>
      </c>
      <c r="X43" s="135" t="s">
        <v>5390</v>
      </c>
      <c r="Y43" s="110" t="s">
        <v>5391</v>
      </c>
      <c r="Z43" s="111" t="s">
        <v>5392</v>
      </c>
      <c r="AA43" s="122" t="s">
        <v>5393</v>
      </c>
      <c r="AB43" s="323" t="s">
        <v>5394</v>
      </c>
      <c r="AC43" s="110" t="s">
        <v>5395</v>
      </c>
      <c r="AD43" s="136" t="s">
        <v>5396</v>
      </c>
      <c r="AE43" s="122" t="s">
        <v>5397</v>
      </c>
      <c r="AF43" s="3230" t="s">
        <v>5398</v>
      </c>
      <c r="AG43" s="2034" t="s">
        <v>5399</v>
      </c>
      <c r="AH43" s="1360" t="e">
        <f t="shared" si="9"/>
        <v>#VALUE!</v>
      </c>
      <c r="AI43" s="806"/>
      <c r="AJ43" s="806"/>
      <c r="AK43" s="806"/>
      <c r="AL43" s="806"/>
      <c r="AM43" s="806"/>
      <c r="AN43" s="806"/>
      <c r="AO43" s="806"/>
      <c r="AP43" s="290"/>
      <c r="AQ43" s="290"/>
      <c r="AR43" s="290"/>
      <c r="AS43" s="290"/>
      <c r="AT43" s="290"/>
      <c r="BF43" s="1430"/>
      <c r="BG43" s="1430"/>
      <c r="BY43" s="165"/>
      <c r="BZ43" s="165"/>
      <c r="CA43" s="165"/>
      <c r="CB43" s="1515" t="e">
        <f t="shared" ref="CB43:CB70" si="10">IF(DB43=1,"* El número de consultas según sexo NO DEBE ser diferente al Total. ","")</f>
        <v>#VALUE!</v>
      </c>
      <c r="CC43" s="1515" t="str">
        <f t="shared" ref="CC43:CC70" si="11">IF(DC43=1,"* No olvide digitar la columna Beneficiarios (Digite CEROS si no tiene). ","")</f>
        <v/>
      </c>
      <c r="CD43" s="1515" t="str">
        <f t="shared" ref="CD43:CD70" si="12">IF(DD43=1,"* El número de Beneficiarios NO DEBE ser mayor que el Total. ","")</f>
        <v xml:space="preserve">* El número de Beneficiarios NO DEBE ser mayor que el Total. </v>
      </c>
      <c r="CE43" s="1515" t="e">
        <f t="shared" ref="CE43:CE70" si="13">IF(DE43=1,"* El total de Consultas Nuevas NO DEBE ser MAYOR que el total de las Consultas Médicas. ","")</f>
        <v>#VALUE!</v>
      </c>
      <c r="CF43" s="1515" t="str">
        <f t="shared" ref="CF43:CF70" si="14">IF(DF43=1,"* No olvide registrar datos en Pertinencia (Digite CEROS si no tiene). ","")</f>
        <v/>
      </c>
      <c r="CG43" s="1515"/>
      <c r="CT43" s="1435"/>
      <c r="CU43" s="1435"/>
      <c r="CV43" s="1435"/>
      <c r="CW43" s="1435"/>
      <c r="CX43" s="1435"/>
      <c r="CY43" s="1435"/>
      <c r="CZ43" s="1435"/>
      <c r="DA43" s="1435"/>
      <c r="DB43" s="3222" t="e">
        <f t="shared" ref="DB43:DB70" si="15">IF(C43&lt;&gt;(V43+W43),1,0)</f>
        <v>#VALUE!</v>
      </c>
      <c r="DC43" s="3222">
        <f t="shared" ref="DC43:DC70" si="16">IF(AND(C43&lt;&gt;0,U43=""),1,0)</f>
        <v>0</v>
      </c>
      <c r="DD43" s="3222">
        <f t="shared" ref="DD43:DD70" si="17">IF(C43&lt;(U43),1,0)</f>
        <v>1</v>
      </c>
      <c r="DE43" s="3222" t="e">
        <f t="shared" ref="DE43:DE70" si="18">IF(C43&lt;(X43+AB43),1,0)</f>
        <v>#VALUE!</v>
      </c>
      <c r="DF43" s="3222"/>
      <c r="DG43" s="3222"/>
      <c r="DH43" s="3222"/>
      <c r="DI43" s="3222"/>
      <c r="DJ43" s="3222"/>
      <c r="DK43" s="3222"/>
      <c r="DL43" s="3222"/>
      <c r="DM43" s="3222"/>
    </row>
    <row r="44" spans="1:117" ht="16.350000000000001" customHeight="1" x14ac:dyDescent="0.3">
      <c r="A44" s="7299" t="s">
        <v>4766</v>
      </c>
      <c r="B44" s="2855" t="s">
        <v>462</v>
      </c>
      <c r="C44" s="2726" t="s">
        <v>5369</v>
      </c>
      <c r="D44" s="2822" t="s">
        <v>5370</v>
      </c>
      <c r="E44" s="2903" t="s">
        <v>5371</v>
      </c>
      <c r="F44" s="2903" t="s">
        <v>5372</v>
      </c>
      <c r="G44" s="2903" t="s">
        <v>5373</v>
      </c>
      <c r="H44" s="2903" t="s">
        <v>5374</v>
      </c>
      <c r="I44" s="2903" t="s">
        <v>5375</v>
      </c>
      <c r="J44" s="2903" t="s">
        <v>5376</v>
      </c>
      <c r="K44" s="2903" t="s">
        <v>5377</v>
      </c>
      <c r="L44" s="2903" t="s">
        <v>5378</v>
      </c>
      <c r="M44" s="2903" t="s">
        <v>5379</v>
      </c>
      <c r="N44" s="2903" t="s">
        <v>5380</v>
      </c>
      <c r="O44" s="2903" t="s">
        <v>5381</v>
      </c>
      <c r="P44" s="2903" t="s">
        <v>5382</v>
      </c>
      <c r="Q44" s="2903" t="s">
        <v>5383</v>
      </c>
      <c r="R44" s="2903" t="s">
        <v>5384</v>
      </c>
      <c r="S44" s="2903" t="s">
        <v>5385</v>
      </c>
      <c r="T44" s="2824" t="s">
        <v>5386</v>
      </c>
      <c r="U44" s="2678" t="s">
        <v>5387</v>
      </c>
      <c r="V44" s="1990" t="s">
        <v>5388</v>
      </c>
      <c r="W44" s="1993" t="s">
        <v>5389</v>
      </c>
      <c r="X44" s="2032" t="s">
        <v>5390</v>
      </c>
      <c r="Y44" s="110" t="s">
        <v>5391</v>
      </c>
      <c r="Z44" s="111" t="s">
        <v>5392</v>
      </c>
      <c r="AA44" s="122" t="s">
        <v>5393</v>
      </c>
      <c r="AB44" s="323" t="s">
        <v>5394</v>
      </c>
      <c r="AC44" s="110" t="s">
        <v>5395</v>
      </c>
      <c r="AD44" s="136" t="s">
        <v>5396</v>
      </c>
      <c r="AE44" s="122" t="s">
        <v>5397</v>
      </c>
      <c r="AF44" s="3230" t="s">
        <v>5398</v>
      </c>
      <c r="AG44" s="2034" t="s">
        <v>5399</v>
      </c>
      <c r="AH44" s="1360" t="e">
        <f t="shared" si="9"/>
        <v>#VALUE!</v>
      </c>
      <c r="AI44" s="806"/>
      <c r="AJ44" s="806"/>
      <c r="AK44" s="806"/>
      <c r="AL44" s="806"/>
      <c r="AM44" s="806"/>
      <c r="AN44" s="806"/>
      <c r="AO44" s="806"/>
      <c r="AP44" s="290"/>
      <c r="AQ44" s="290"/>
      <c r="AR44" s="290"/>
      <c r="AS44" s="290"/>
      <c r="AT44" s="290"/>
      <c r="BF44" s="1430"/>
      <c r="BG44" s="1430"/>
      <c r="BY44" s="165"/>
      <c r="BZ44" s="165"/>
      <c r="CA44" s="165"/>
      <c r="CB44" s="1515" t="e">
        <f t="shared" si="10"/>
        <v>#VALUE!</v>
      </c>
      <c r="CC44" s="1515" t="str">
        <f t="shared" si="11"/>
        <v/>
      </c>
      <c r="CD44" s="1515" t="str">
        <f t="shared" si="12"/>
        <v xml:space="preserve">* El número de Beneficiarios NO DEBE ser mayor que el Total. </v>
      </c>
      <c r="CE44" s="1515" t="e">
        <f t="shared" si="13"/>
        <v>#VALUE!</v>
      </c>
      <c r="CF44" s="1515" t="str">
        <f t="shared" si="14"/>
        <v/>
      </c>
      <c r="CG44" s="1515"/>
      <c r="CT44" s="1435"/>
      <c r="CU44" s="1435"/>
      <c r="CV44" s="1435"/>
      <c r="CW44" s="1435"/>
      <c r="CX44" s="1435"/>
      <c r="CY44" s="1435"/>
      <c r="CZ44" s="1435"/>
      <c r="DA44" s="1435"/>
      <c r="DB44" s="3222" t="e">
        <f t="shared" si="15"/>
        <v>#VALUE!</v>
      </c>
      <c r="DC44" s="3222">
        <f t="shared" si="16"/>
        <v>0</v>
      </c>
      <c r="DD44" s="3222">
        <f t="shared" si="17"/>
        <v>1</v>
      </c>
      <c r="DE44" s="3222" t="e">
        <f t="shared" si="18"/>
        <v>#VALUE!</v>
      </c>
      <c r="DF44" s="3222"/>
      <c r="DG44" s="3222"/>
      <c r="DH44" s="3222"/>
      <c r="DI44" s="3222"/>
      <c r="DJ44" s="3222"/>
      <c r="DK44" s="3222"/>
      <c r="DL44" s="3222"/>
      <c r="DM44" s="3222"/>
    </row>
    <row r="45" spans="1:117" ht="16.350000000000001" customHeight="1" x14ac:dyDescent="0.3">
      <c r="A45" s="7302" t="s">
        <v>4767</v>
      </c>
      <c r="B45" s="153" t="s">
        <v>3591</v>
      </c>
      <c r="C45" s="2726" t="s">
        <v>5369</v>
      </c>
      <c r="D45" s="3390" t="s">
        <v>5370</v>
      </c>
      <c r="E45" s="3389" t="s">
        <v>5371</v>
      </c>
      <c r="F45" s="3389" t="s">
        <v>5372</v>
      </c>
      <c r="G45" s="3389" t="s">
        <v>5373</v>
      </c>
      <c r="H45" s="2903" t="s">
        <v>5374</v>
      </c>
      <c r="I45" s="2903" t="s">
        <v>5375</v>
      </c>
      <c r="J45" s="2903" t="s">
        <v>5376</v>
      </c>
      <c r="K45" s="2903" t="s">
        <v>5377</v>
      </c>
      <c r="L45" s="2903" t="s">
        <v>5378</v>
      </c>
      <c r="M45" s="2903" t="s">
        <v>5379</v>
      </c>
      <c r="N45" s="2903" t="s">
        <v>5380</v>
      </c>
      <c r="O45" s="2903" t="s">
        <v>5381</v>
      </c>
      <c r="P45" s="2903" t="s">
        <v>5382</v>
      </c>
      <c r="Q45" s="2903" t="s">
        <v>5383</v>
      </c>
      <c r="R45" s="2903" t="s">
        <v>5384</v>
      </c>
      <c r="S45" s="2903" t="s">
        <v>5385</v>
      </c>
      <c r="T45" s="2824" t="s">
        <v>5386</v>
      </c>
      <c r="U45" s="2678" t="s">
        <v>5387</v>
      </c>
      <c r="V45" s="1990" t="s">
        <v>5388</v>
      </c>
      <c r="W45" s="2034" t="s">
        <v>5389</v>
      </c>
      <c r="X45" s="2032" t="s">
        <v>5390</v>
      </c>
      <c r="Y45" s="110" t="s">
        <v>5391</v>
      </c>
      <c r="Z45" s="111" t="s">
        <v>5392</v>
      </c>
      <c r="AA45" s="122" t="s">
        <v>5393</v>
      </c>
      <c r="AB45" s="323" t="s">
        <v>5394</v>
      </c>
      <c r="AC45" s="110" t="s">
        <v>5395</v>
      </c>
      <c r="AD45" s="136" t="s">
        <v>5396</v>
      </c>
      <c r="AE45" s="122" t="s">
        <v>5397</v>
      </c>
      <c r="AF45" s="3230" t="s">
        <v>5398</v>
      </c>
      <c r="AG45" s="2034" t="s">
        <v>5399</v>
      </c>
      <c r="AH45" s="1360" t="e">
        <f t="shared" si="9"/>
        <v>#VALUE!</v>
      </c>
      <c r="AI45" s="806"/>
      <c r="AJ45" s="806"/>
      <c r="AK45" s="806"/>
      <c r="AL45" s="806"/>
      <c r="AM45" s="806"/>
      <c r="AN45" s="806"/>
      <c r="AO45" s="806"/>
      <c r="AP45" s="290"/>
      <c r="AQ45" s="290"/>
      <c r="AR45" s="290"/>
      <c r="AS45" s="290"/>
      <c r="AT45" s="290"/>
      <c r="BF45" s="1430"/>
      <c r="BG45" s="1430"/>
      <c r="BY45" s="165"/>
      <c r="BZ45" s="165"/>
      <c r="CA45" s="165"/>
      <c r="CB45" s="1515" t="e">
        <f t="shared" si="10"/>
        <v>#VALUE!</v>
      </c>
      <c r="CC45" s="1515" t="str">
        <f t="shared" si="11"/>
        <v/>
      </c>
      <c r="CD45" s="1515" t="str">
        <f t="shared" si="12"/>
        <v xml:space="preserve">* El número de Beneficiarios NO DEBE ser mayor que el Total. </v>
      </c>
      <c r="CE45" s="1515" t="e">
        <f t="shared" si="13"/>
        <v>#VALUE!</v>
      </c>
      <c r="CF45" s="1515" t="str">
        <f t="shared" si="14"/>
        <v/>
      </c>
      <c r="CG45" s="1515"/>
      <c r="CT45" s="1435"/>
      <c r="CU45" s="1435"/>
      <c r="CV45" s="1435"/>
      <c r="CW45" s="1435"/>
      <c r="CX45" s="1435"/>
      <c r="CY45" s="1435"/>
      <c r="CZ45" s="1435"/>
      <c r="DA45" s="1435"/>
      <c r="DB45" s="3222" t="e">
        <f t="shared" si="15"/>
        <v>#VALUE!</v>
      </c>
      <c r="DC45" s="3222">
        <f t="shared" si="16"/>
        <v>0</v>
      </c>
      <c r="DD45" s="3222">
        <f t="shared" si="17"/>
        <v>1</v>
      </c>
      <c r="DE45" s="3222" t="e">
        <f t="shared" si="18"/>
        <v>#VALUE!</v>
      </c>
      <c r="DF45" s="3222"/>
      <c r="DG45" s="3222"/>
      <c r="DH45" s="3222"/>
      <c r="DI45" s="3222"/>
      <c r="DJ45" s="3222"/>
      <c r="DK45" s="3222"/>
      <c r="DL45" s="3222"/>
      <c r="DM45" s="3222"/>
    </row>
    <row r="46" spans="1:117" ht="16.350000000000001" customHeight="1" x14ac:dyDescent="0.3">
      <c r="A46" s="7299" t="s">
        <v>4768</v>
      </c>
      <c r="B46" s="3384" t="s">
        <v>279</v>
      </c>
      <c r="C46" s="2726" t="s">
        <v>5369</v>
      </c>
      <c r="D46" s="3390" t="s">
        <v>5370</v>
      </c>
      <c r="E46" s="3389" t="s">
        <v>5371</v>
      </c>
      <c r="F46" s="3389" t="s">
        <v>5372</v>
      </c>
      <c r="G46" s="3389" t="s">
        <v>5373</v>
      </c>
      <c r="H46" s="2903" t="s">
        <v>5374</v>
      </c>
      <c r="I46" s="2903" t="s">
        <v>5375</v>
      </c>
      <c r="J46" s="2903" t="s">
        <v>5376</v>
      </c>
      <c r="K46" s="2903" t="s">
        <v>5377</v>
      </c>
      <c r="L46" s="2903" t="s">
        <v>5378</v>
      </c>
      <c r="M46" s="2903" t="s">
        <v>5379</v>
      </c>
      <c r="N46" s="2903" t="s">
        <v>5380</v>
      </c>
      <c r="O46" s="2903" t="s">
        <v>5381</v>
      </c>
      <c r="P46" s="2903" t="s">
        <v>5382</v>
      </c>
      <c r="Q46" s="2903" t="s">
        <v>5383</v>
      </c>
      <c r="R46" s="2903" t="s">
        <v>5384</v>
      </c>
      <c r="S46" s="2903" t="s">
        <v>5385</v>
      </c>
      <c r="T46" s="2824" t="s">
        <v>5386</v>
      </c>
      <c r="U46" s="2678" t="s">
        <v>5387</v>
      </c>
      <c r="V46" s="1990" t="s">
        <v>5388</v>
      </c>
      <c r="W46" s="2034" t="s">
        <v>5389</v>
      </c>
      <c r="X46" s="2032" t="s">
        <v>5390</v>
      </c>
      <c r="Y46" s="110" t="s">
        <v>5391</v>
      </c>
      <c r="Z46" s="111" t="s">
        <v>5392</v>
      </c>
      <c r="AA46" s="122" t="s">
        <v>5393</v>
      </c>
      <c r="AB46" s="323" t="s">
        <v>5394</v>
      </c>
      <c r="AC46" s="110" t="s">
        <v>5395</v>
      </c>
      <c r="AD46" s="136" t="s">
        <v>5396</v>
      </c>
      <c r="AE46" s="122" t="s">
        <v>5397</v>
      </c>
      <c r="AF46" s="3230" t="s">
        <v>5398</v>
      </c>
      <c r="AG46" s="2034" t="s">
        <v>5399</v>
      </c>
      <c r="AH46" s="1360" t="e">
        <f t="shared" si="9"/>
        <v>#VALUE!</v>
      </c>
      <c r="AI46" s="806"/>
      <c r="AJ46" s="806"/>
      <c r="AK46" s="806"/>
      <c r="AL46" s="806"/>
      <c r="AM46" s="806"/>
      <c r="AN46" s="806"/>
      <c r="AO46" s="806"/>
      <c r="AP46" s="290"/>
      <c r="AQ46" s="290"/>
      <c r="AR46" s="290"/>
      <c r="AS46" s="290"/>
      <c r="AT46" s="290"/>
      <c r="BF46" s="1430"/>
      <c r="BG46" s="1430"/>
      <c r="BY46" s="165"/>
      <c r="BZ46" s="165"/>
      <c r="CA46" s="165"/>
      <c r="CB46" s="1515" t="e">
        <f t="shared" si="10"/>
        <v>#VALUE!</v>
      </c>
      <c r="CC46" s="1515" t="str">
        <f t="shared" si="11"/>
        <v/>
      </c>
      <c r="CD46" s="1515" t="str">
        <f t="shared" si="12"/>
        <v xml:space="preserve">* El número de Beneficiarios NO DEBE ser mayor que el Total. </v>
      </c>
      <c r="CE46" s="1515" t="e">
        <f t="shared" si="13"/>
        <v>#VALUE!</v>
      </c>
      <c r="CF46" s="1515" t="str">
        <f t="shared" si="14"/>
        <v/>
      </c>
      <c r="CG46" s="1515"/>
      <c r="CT46" s="1435"/>
      <c r="CU46" s="1435"/>
      <c r="CV46" s="1435"/>
      <c r="CW46" s="1435"/>
      <c r="CX46" s="1435"/>
      <c r="CY46" s="1435"/>
      <c r="CZ46" s="1435"/>
      <c r="DA46" s="1435"/>
      <c r="DB46" s="3222" t="e">
        <f t="shared" si="15"/>
        <v>#VALUE!</v>
      </c>
      <c r="DC46" s="3222">
        <f t="shared" si="16"/>
        <v>0</v>
      </c>
      <c r="DD46" s="3222">
        <f t="shared" si="17"/>
        <v>1</v>
      </c>
      <c r="DE46" s="3222" t="e">
        <f t="shared" si="18"/>
        <v>#VALUE!</v>
      </c>
      <c r="DF46" s="3222"/>
      <c r="DG46" s="3222"/>
      <c r="DH46" s="3222"/>
      <c r="DI46" s="3222"/>
      <c r="DJ46" s="3222"/>
      <c r="DK46" s="3222"/>
      <c r="DL46" s="3222"/>
      <c r="DM46" s="3222"/>
    </row>
    <row r="47" spans="1:117" ht="16.350000000000001" customHeight="1" x14ac:dyDescent="0.3">
      <c r="A47" s="7299" t="s">
        <v>4769</v>
      </c>
      <c r="B47" s="2855" t="s">
        <v>280</v>
      </c>
      <c r="C47" s="2726" t="s">
        <v>5369</v>
      </c>
      <c r="D47" s="3390" t="s">
        <v>5370</v>
      </c>
      <c r="E47" s="3389" t="s">
        <v>5371</v>
      </c>
      <c r="F47" s="3389" t="s">
        <v>5372</v>
      </c>
      <c r="G47" s="3389" t="s">
        <v>5373</v>
      </c>
      <c r="H47" s="3389" t="s">
        <v>5374</v>
      </c>
      <c r="I47" s="3389" t="s">
        <v>5375</v>
      </c>
      <c r="J47" s="3389" t="s">
        <v>5376</v>
      </c>
      <c r="K47" s="3389" t="s">
        <v>5377</v>
      </c>
      <c r="L47" s="3389" t="s">
        <v>5378</v>
      </c>
      <c r="M47" s="2903" t="s">
        <v>5379</v>
      </c>
      <c r="N47" s="2903" t="s">
        <v>5380</v>
      </c>
      <c r="O47" s="2903" t="s">
        <v>5381</v>
      </c>
      <c r="P47" s="2903" t="s">
        <v>5382</v>
      </c>
      <c r="Q47" s="2903" t="s">
        <v>5383</v>
      </c>
      <c r="R47" s="2903" t="s">
        <v>5384</v>
      </c>
      <c r="S47" s="2903" t="s">
        <v>5385</v>
      </c>
      <c r="T47" s="2824" t="s">
        <v>5386</v>
      </c>
      <c r="U47" s="2678" t="s">
        <v>5387</v>
      </c>
      <c r="V47" s="1990" t="s">
        <v>5388</v>
      </c>
      <c r="W47" s="2034" t="s">
        <v>5389</v>
      </c>
      <c r="X47" s="2032" t="s">
        <v>5390</v>
      </c>
      <c r="Y47" s="110" t="s">
        <v>5391</v>
      </c>
      <c r="Z47" s="111" t="s">
        <v>5392</v>
      </c>
      <c r="AA47" s="122" t="s">
        <v>5393</v>
      </c>
      <c r="AB47" s="323" t="s">
        <v>5394</v>
      </c>
      <c r="AC47" s="110" t="s">
        <v>5395</v>
      </c>
      <c r="AD47" s="136" t="s">
        <v>5396</v>
      </c>
      <c r="AE47" s="122" t="s">
        <v>5397</v>
      </c>
      <c r="AF47" s="3230" t="s">
        <v>5398</v>
      </c>
      <c r="AG47" s="2034" t="s">
        <v>5399</v>
      </c>
      <c r="AH47" s="1360" t="e">
        <f t="shared" si="9"/>
        <v>#VALUE!</v>
      </c>
      <c r="AI47" s="806"/>
      <c r="AJ47" s="806"/>
      <c r="AK47" s="806"/>
      <c r="AL47" s="806"/>
      <c r="AM47" s="806"/>
      <c r="AN47" s="806"/>
      <c r="AO47" s="806"/>
      <c r="AP47" s="290"/>
      <c r="AQ47" s="290"/>
      <c r="AR47" s="290"/>
      <c r="AS47" s="290"/>
      <c r="AT47" s="290"/>
      <c r="BF47" s="1430"/>
      <c r="BG47" s="1430"/>
      <c r="BY47" s="165"/>
      <c r="BZ47" s="165"/>
      <c r="CA47" s="165"/>
      <c r="CB47" s="1515" t="e">
        <f t="shared" si="10"/>
        <v>#VALUE!</v>
      </c>
      <c r="CC47" s="1515" t="str">
        <f t="shared" si="11"/>
        <v/>
      </c>
      <c r="CD47" s="1515" t="str">
        <f t="shared" si="12"/>
        <v xml:space="preserve">* El número de Beneficiarios NO DEBE ser mayor que el Total. </v>
      </c>
      <c r="CE47" s="1515" t="e">
        <f t="shared" si="13"/>
        <v>#VALUE!</v>
      </c>
      <c r="CF47" s="1515" t="str">
        <f t="shared" si="14"/>
        <v/>
      </c>
      <c r="CG47" s="1515"/>
      <c r="CT47" s="1435"/>
      <c r="CU47" s="1435"/>
      <c r="CV47" s="1435"/>
      <c r="CW47" s="1435"/>
      <c r="CX47" s="1435"/>
      <c r="CY47" s="1435"/>
      <c r="CZ47" s="1435"/>
      <c r="DA47" s="1435"/>
      <c r="DB47" s="3222" t="e">
        <f t="shared" si="15"/>
        <v>#VALUE!</v>
      </c>
      <c r="DC47" s="3222">
        <f t="shared" si="16"/>
        <v>0</v>
      </c>
      <c r="DD47" s="3222">
        <f t="shared" si="17"/>
        <v>1</v>
      </c>
      <c r="DE47" s="3222" t="e">
        <f t="shared" si="18"/>
        <v>#VALUE!</v>
      </c>
      <c r="DF47" s="3222"/>
      <c r="DG47" s="3222"/>
      <c r="DH47" s="3222"/>
      <c r="DI47" s="3222"/>
      <c r="DJ47" s="3222"/>
      <c r="DK47" s="3222"/>
      <c r="DL47" s="3222"/>
      <c r="DM47" s="3222"/>
    </row>
    <row r="48" spans="1:117" ht="16.350000000000001" customHeight="1" x14ac:dyDescent="0.3">
      <c r="A48" s="7299" t="s">
        <v>4770</v>
      </c>
      <c r="B48" s="2855" t="s">
        <v>463</v>
      </c>
      <c r="C48" s="2726" t="s">
        <v>5369</v>
      </c>
      <c r="D48" s="3390" t="s">
        <v>5370</v>
      </c>
      <c r="E48" s="3389" t="s">
        <v>5371</v>
      </c>
      <c r="F48" s="3389" t="s">
        <v>5372</v>
      </c>
      <c r="G48" s="3389" t="s">
        <v>5373</v>
      </c>
      <c r="H48" s="2903" t="s">
        <v>5374</v>
      </c>
      <c r="I48" s="2903" t="s">
        <v>5375</v>
      </c>
      <c r="J48" s="2903" t="s">
        <v>5376</v>
      </c>
      <c r="K48" s="2903" t="s">
        <v>5377</v>
      </c>
      <c r="L48" s="2903" t="s">
        <v>5378</v>
      </c>
      <c r="M48" s="2903" t="s">
        <v>5379</v>
      </c>
      <c r="N48" s="2903" t="s">
        <v>5380</v>
      </c>
      <c r="O48" s="2903" t="s">
        <v>5381</v>
      </c>
      <c r="P48" s="2903" t="s">
        <v>5382</v>
      </c>
      <c r="Q48" s="2903" t="s">
        <v>5383</v>
      </c>
      <c r="R48" s="2903" t="s">
        <v>5384</v>
      </c>
      <c r="S48" s="2903" t="s">
        <v>5385</v>
      </c>
      <c r="T48" s="2824" t="s">
        <v>5386</v>
      </c>
      <c r="U48" s="2422" t="s">
        <v>5387</v>
      </c>
      <c r="V48" s="1312" t="s">
        <v>5388</v>
      </c>
      <c r="W48" s="1317" t="s">
        <v>5389</v>
      </c>
      <c r="X48" s="1490" t="s">
        <v>5390</v>
      </c>
      <c r="Y48" s="110" t="s">
        <v>5391</v>
      </c>
      <c r="Z48" s="111" t="s">
        <v>5392</v>
      </c>
      <c r="AA48" s="122" t="s">
        <v>5393</v>
      </c>
      <c r="AB48" s="323" t="s">
        <v>5394</v>
      </c>
      <c r="AC48" s="110" t="s">
        <v>5395</v>
      </c>
      <c r="AD48" s="136" t="s">
        <v>5396</v>
      </c>
      <c r="AE48" s="122" t="s">
        <v>5397</v>
      </c>
      <c r="AF48" s="3230" t="s">
        <v>5398</v>
      </c>
      <c r="AG48" s="2034" t="s">
        <v>5399</v>
      </c>
      <c r="AH48" s="1360" t="e">
        <f t="shared" si="9"/>
        <v>#VALUE!</v>
      </c>
      <c r="AI48" s="806"/>
      <c r="AJ48" s="806"/>
      <c r="AK48" s="806"/>
      <c r="AL48" s="806"/>
      <c r="AM48" s="806"/>
      <c r="AN48" s="806"/>
      <c r="AO48" s="806"/>
      <c r="AP48" s="290"/>
      <c r="AQ48" s="290"/>
      <c r="AR48" s="290"/>
      <c r="AS48" s="290"/>
      <c r="AT48" s="290"/>
      <c r="BF48" s="1430"/>
      <c r="BG48" s="1430"/>
      <c r="BY48" s="165"/>
      <c r="BZ48" s="165"/>
      <c r="CA48" s="165"/>
      <c r="CB48" s="1515" t="e">
        <f t="shared" si="10"/>
        <v>#VALUE!</v>
      </c>
      <c r="CC48" s="1515" t="str">
        <f t="shared" si="11"/>
        <v/>
      </c>
      <c r="CD48" s="1515" t="str">
        <f t="shared" si="12"/>
        <v xml:space="preserve">* El número de Beneficiarios NO DEBE ser mayor que el Total. </v>
      </c>
      <c r="CE48" s="1515" t="e">
        <f t="shared" si="13"/>
        <v>#VALUE!</v>
      </c>
      <c r="CF48" s="1515" t="str">
        <f t="shared" si="14"/>
        <v/>
      </c>
      <c r="CG48" s="1515"/>
      <c r="CT48" s="1435"/>
      <c r="CU48" s="1435"/>
      <c r="CV48" s="1435"/>
      <c r="CW48" s="1435"/>
      <c r="CX48" s="1435"/>
      <c r="CY48" s="1435"/>
      <c r="CZ48" s="1435"/>
      <c r="DA48" s="1435"/>
      <c r="DB48" s="3222" t="e">
        <f t="shared" si="15"/>
        <v>#VALUE!</v>
      </c>
      <c r="DC48" s="3222">
        <f t="shared" si="16"/>
        <v>0</v>
      </c>
      <c r="DD48" s="3222">
        <f t="shared" si="17"/>
        <v>1</v>
      </c>
      <c r="DE48" s="3222" t="e">
        <f t="shared" si="18"/>
        <v>#VALUE!</v>
      </c>
      <c r="DF48" s="3222"/>
      <c r="DG48" s="3222"/>
      <c r="DH48" s="3222"/>
      <c r="DI48" s="3222"/>
      <c r="DJ48" s="3222"/>
      <c r="DK48" s="3222"/>
      <c r="DL48" s="3222"/>
      <c r="DM48" s="3222"/>
    </row>
    <row r="49" spans="1:117" ht="16.350000000000001" customHeight="1" x14ac:dyDescent="0.3">
      <c r="A49" s="7299" t="s">
        <v>4771</v>
      </c>
      <c r="B49" s="2855" t="s">
        <v>3592</v>
      </c>
      <c r="C49" s="2726" t="s">
        <v>5369</v>
      </c>
      <c r="D49" s="2822" t="s">
        <v>5370</v>
      </c>
      <c r="E49" s="2903" t="s">
        <v>5371</v>
      </c>
      <c r="F49" s="2903" t="s">
        <v>5372</v>
      </c>
      <c r="G49" s="2903" t="s">
        <v>5373</v>
      </c>
      <c r="H49" s="2903" t="s">
        <v>5374</v>
      </c>
      <c r="I49" s="2903" t="s">
        <v>5375</v>
      </c>
      <c r="J49" s="2903" t="s">
        <v>5376</v>
      </c>
      <c r="K49" s="2903" t="s">
        <v>5377</v>
      </c>
      <c r="L49" s="2903" t="s">
        <v>5378</v>
      </c>
      <c r="M49" s="2903" t="s">
        <v>5379</v>
      </c>
      <c r="N49" s="2903" t="s">
        <v>5380</v>
      </c>
      <c r="O49" s="2903" t="s">
        <v>5381</v>
      </c>
      <c r="P49" s="2903" t="s">
        <v>5382</v>
      </c>
      <c r="Q49" s="2903" t="s">
        <v>5383</v>
      </c>
      <c r="R49" s="2903" t="s">
        <v>5384</v>
      </c>
      <c r="S49" s="2903" t="s">
        <v>5385</v>
      </c>
      <c r="T49" s="2824" t="s">
        <v>5386</v>
      </c>
      <c r="U49" s="2678" t="s">
        <v>5387</v>
      </c>
      <c r="V49" s="110" t="s">
        <v>5388</v>
      </c>
      <c r="W49" s="122" t="s">
        <v>5389</v>
      </c>
      <c r="X49" s="135" t="s">
        <v>5390</v>
      </c>
      <c r="Y49" s="110" t="s">
        <v>5391</v>
      </c>
      <c r="Z49" s="111" t="s">
        <v>5392</v>
      </c>
      <c r="AA49" s="122" t="s">
        <v>5393</v>
      </c>
      <c r="AB49" s="323" t="s">
        <v>5394</v>
      </c>
      <c r="AC49" s="110" t="s">
        <v>5395</v>
      </c>
      <c r="AD49" s="136" t="s">
        <v>5396</v>
      </c>
      <c r="AE49" s="122" t="s">
        <v>5397</v>
      </c>
      <c r="AF49" s="3230" t="s">
        <v>5398</v>
      </c>
      <c r="AG49" s="2034" t="s">
        <v>5399</v>
      </c>
      <c r="AH49" s="1360" t="e">
        <f t="shared" si="9"/>
        <v>#VALUE!</v>
      </c>
      <c r="AI49" s="806"/>
      <c r="AJ49" s="806"/>
      <c r="AK49" s="806"/>
      <c r="AL49" s="806"/>
      <c r="AM49" s="806"/>
      <c r="AN49" s="806"/>
      <c r="AO49" s="806"/>
      <c r="AP49" s="290"/>
      <c r="AQ49" s="290"/>
      <c r="AR49" s="290"/>
      <c r="AS49" s="290"/>
      <c r="AT49" s="290"/>
      <c r="BF49" s="1430"/>
      <c r="BG49" s="1430"/>
      <c r="BY49" s="165"/>
      <c r="BZ49" s="165"/>
      <c r="CA49" s="165"/>
      <c r="CB49" s="1515" t="e">
        <f t="shared" si="10"/>
        <v>#VALUE!</v>
      </c>
      <c r="CC49" s="1515" t="str">
        <f t="shared" si="11"/>
        <v/>
      </c>
      <c r="CD49" s="1515" t="str">
        <f t="shared" si="12"/>
        <v xml:space="preserve">* El número de Beneficiarios NO DEBE ser mayor que el Total. </v>
      </c>
      <c r="CE49" s="1515" t="e">
        <f t="shared" si="13"/>
        <v>#VALUE!</v>
      </c>
      <c r="CF49" s="1515" t="str">
        <f t="shared" si="14"/>
        <v/>
      </c>
      <c r="CG49" s="1515"/>
      <c r="CT49" s="1435"/>
      <c r="CU49" s="1435"/>
      <c r="CV49" s="1435"/>
      <c r="CW49" s="1435"/>
      <c r="CX49" s="1435"/>
      <c r="CY49" s="1435"/>
      <c r="CZ49" s="1435"/>
      <c r="DA49" s="1435"/>
      <c r="DB49" s="3222" t="e">
        <f t="shared" si="15"/>
        <v>#VALUE!</v>
      </c>
      <c r="DC49" s="3222">
        <f t="shared" si="16"/>
        <v>0</v>
      </c>
      <c r="DD49" s="3222">
        <f t="shared" si="17"/>
        <v>1</v>
      </c>
      <c r="DE49" s="3222" t="e">
        <f t="shared" si="18"/>
        <v>#VALUE!</v>
      </c>
      <c r="DF49" s="3222"/>
      <c r="DG49" s="3222"/>
      <c r="DH49" s="3222"/>
      <c r="DI49" s="3222"/>
      <c r="DJ49" s="3222"/>
      <c r="DK49" s="3222"/>
      <c r="DL49" s="3222"/>
      <c r="DM49" s="3222"/>
    </row>
    <row r="50" spans="1:117" ht="16.350000000000001" customHeight="1" x14ac:dyDescent="0.3">
      <c r="A50" s="7299" t="s">
        <v>4772</v>
      </c>
      <c r="B50" s="2855" t="s">
        <v>35</v>
      </c>
      <c r="C50" s="2726" t="s">
        <v>5369</v>
      </c>
      <c r="D50" s="2822" t="s">
        <v>5370</v>
      </c>
      <c r="E50" s="2903" t="s">
        <v>5371</v>
      </c>
      <c r="F50" s="2903" t="s">
        <v>5372</v>
      </c>
      <c r="G50" s="2903" t="s">
        <v>5373</v>
      </c>
      <c r="H50" s="2903" t="s">
        <v>5374</v>
      </c>
      <c r="I50" s="2903" t="s">
        <v>5375</v>
      </c>
      <c r="J50" s="2903" t="s">
        <v>5376</v>
      </c>
      <c r="K50" s="2903" t="s">
        <v>5377</v>
      </c>
      <c r="L50" s="2903" t="s">
        <v>5378</v>
      </c>
      <c r="M50" s="2903" t="s">
        <v>5379</v>
      </c>
      <c r="N50" s="2903" t="s">
        <v>5380</v>
      </c>
      <c r="O50" s="2903" t="s">
        <v>5381</v>
      </c>
      <c r="P50" s="2903" t="s">
        <v>5382</v>
      </c>
      <c r="Q50" s="2903" t="s">
        <v>5383</v>
      </c>
      <c r="R50" s="2903" t="s">
        <v>5384</v>
      </c>
      <c r="S50" s="2903" t="s">
        <v>5385</v>
      </c>
      <c r="T50" s="2824" t="s">
        <v>5386</v>
      </c>
      <c r="U50" s="2678" t="s">
        <v>5387</v>
      </c>
      <c r="V50" s="110" t="s">
        <v>5388</v>
      </c>
      <c r="W50" s="122" t="s">
        <v>5389</v>
      </c>
      <c r="X50" s="135" t="s">
        <v>5390</v>
      </c>
      <c r="Y50" s="110" t="s">
        <v>5391</v>
      </c>
      <c r="Z50" s="111" t="s">
        <v>5392</v>
      </c>
      <c r="AA50" s="122" t="s">
        <v>5393</v>
      </c>
      <c r="AB50" s="323" t="s">
        <v>5394</v>
      </c>
      <c r="AC50" s="110" t="s">
        <v>5395</v>
      </c>
      <c r="AD50" s="136" t="s">
        <v>5396</v>
      </c>
      <c r="AE50" s="122" t="s">
        <v>5397</v>
      </c>
      <c r="AF50" s="3230" t="s">
        <v>5398</v>
      </c>
      <c r="AG50" s="2034" t="s">
        <v>5399</v>
      </c>
      <c r="AH50" s="1360" t="e">
        <f t="shared" si="9"/>
        <v>#VALUE!</v>
      </c>
      <c r="AI50" s="806"/>
      <c r="AJ50" s="806"/>
      <c r="AK50" s="806"/>
      <c r="AL50" s="806"/>
      <c r="AM50" s="806"/>
      <c r="AN50" s="806"/>
      <c r="AO50" s="806"/>
      <c r="AP50" s="290"/>
      <c r="AQ50" s="290"/>
      <c r="AR50" s="290"/>
      <c r="AS50" s="290"/>
      <c r="AT50" s="290"/>
      <c r="BF50" s="1430"/>
      <c r="BG50" s="1430"/>
      <c r="BY50" s="165"/>
      <c r="BZ50" s="165"/>
      <c r="CA50" s="165"/>
      <c r="CB50" s="1515" t="e">
        <f t="shared" si="10"/>
        <v>#VALUE!</v>
      </c>
      <c r="CC50" s="1515" t="str">
        <f t="shared" si="11"/>
        <v/>
      </c>
      <c r="CD50" s="1515" t="str">
        <f t="shared" si="12"/>
        <v xml:space="preserve">* El número de Beneficiarios NO DEBE ser mayor que el Total. </v>
      </c>
      <c r="CE50" s="1515" t="e">
        <f t="shared" si="13"/>
        <v>#VALUE!</v>
      </c>
      <c r="CF50" s="1515" t="str">
        <f t="shared" si="14"/>
        <v/>
      </c>
      <c r="CG50" s="1515"/>
      <c r="CT50" s="1435"/>
      <c r="CU50" s="1435"/>
      <c r="CV50" s="1435"/>
      <c r="CW50" s="1435"/>
      <c r="CX50" s="1435"/>
      <c r="CY50" s="1435"/>
      <c r="CZ50" s="1435"/>
      <c r="DA50" s="1435"/>
      <c r="DB50" s="3222" t="e">
        <f t="shared" si="15"/>
        <v>#VALUE!</v>
      </c>
      <c r="DC50" s="3222">
        <f t="shared" si="16"/>
        <v>0</v>
      </c>
      <c r="DD50" s="3222">
        <f t="shared" si="17"/>
        <v>1</v>
      </c>
      <c r="DE50" s="3222" t="e">
        <f t="shared" si="18"/>
        <v>#VALUE!</v>
      </c>
      <c r="DF50" s="3222"/>
      <c r="DG50" s="3222"/>
      <c r="DH50" s="3222"/>
      <c r="DI50" s="3222"/>
      <c r="DJ50" s="3222"/>
      <c r="DK50" s="3222"/>
      <c r="DL50" s="3222"/>
      <c r="DM50" s="3222"/>
    </row>
    <row r="51" spans="1:117" ht="16.350000000000001" customHeight="1" x14ac:dyDescent="0.3">
      <c r="A51" s="7299" t="s">
        <v>4773</v>
      </c>
      <c r="B51" s="2855" t="s">
        <v>281</v>
      </c>
      <c r="C51" s="2726" t="s">
        <v>5369</v>
      </c>
      <c r="D51" s="2822" t="s">
        <v>5370</v>
      </c>
      <c r="E51" s="2903" t="s">
        <v>5371</v>
      </c>
      <c r="F51" s="2903" t="s">
        <v>5372</v>
      </c>
      <c r="G51" s="2903" t="s">
        <v>5373</v>
      </c>
      <c r="H51" s="2903" t="s">
        <v>5374</v>
      </c>
      <c r="I51" s="2903" t="s">
        <v>5375</v>
      </c>
      <c r="J51" s="2903" t="s">
        <v>5376</v>
      </c>
      <c r="K51" s="2903" t="s">
        <v>5377</v>
      </c>
      <c r="L51" s="2903" t="s">
        <v>5378</v>
      </c>
      <c r="M51" s="2903" t="s">
        <v>5379</v>
      </c>
      <c r="N51" s="2903" t="s">
        <v>5380</v>
      </c>
      <c r="O51" s="2903" t="s">
        <v>5381</v>
      </c>
      <c r="P51" s="2903" t="s">
        <v>5382</v>
      </c>
      <c r="Q51" s="2903" t="s">
        <v>5383</v>
      </c>
      <c r="R51" s="2903" t="s">
        <v>5384</v>
      </c>
      <c r="S51" s="2903" t="s">
        <v>5385</v>
      </c>
      <c r="T51" s="2824" t="s">
        <v>5386</v>
      </c>
      <c r="U51" s="2678" t="s">
        <v>5387</v>
      </c>
      <c r="V51" s="110" t="s">
        <v>5388</v>
      </c>
      <c r="W51" s="122" t="s">
        <v>5389</v>
      </c>
      <c r="X51" s="135" t="s">
        <v>5390</v>
      </c>
      <c r="Y51" s="110" t="s">
        <v>5391</v>
      </c>
      <c r="Z51" s="111" t="s">
        <v>5392</v>
      </c>
      <c r="AA51" s="122" t="s">
        <v>5393</v>
      </c>
      <c r="AB51" s="323" t="s">
        <v>5394</v>
      </c>
      <c r="AC51" s="110" t="s">
        <v>5395</v>
      </c>
      <c r="AD51" s="136" t="s">
        <v>5396</v>
      </c>
      <c r="AE51" s="122" t="s">
        <v>5397</v>
      </c>
      <c r="AF51" s="3230" t="s">
        <v>5398</v>
      </c>
      <c r="AG51" s="2034" t="s">
        <v>5399</v>
      </c>
      <c r="AH51" s="1360" t="e">
        <f t="shared" si="9"/>
        <v>#VALUE!</v>
      </c>
      <c r="AI51" s="806"/>
      <c r="AJ51" s="806"/>
      <c r="AK51" s="806"/>
      <c r="AL51" s="806"/>
      <c r="AM51" s="806"/>
      <c r="AN51" s="806"/>
      <c r="AO51" s="806"/>
      <c r="AP51" s="290"/>
      <c r="AQ51" s="290"/>
      <c r="AR51" s="290"/>
      <c r="AS51" s="290"/>
      <c r="AT51" s="290"/>
      <c r="BF51" s="1430"/>
      <c r="BG51" s="1430"/>
      <c r="BY51" s="165"/>
      <c r="BZ51" s="165"/>
      <c r="CA51" s="165"/>
      <c r="CB51" s="1515" t="e">
        <f t="shared" si="10"/>
        <v>#VALUE!</v>
      </c>
      <c r="CC51" s="1515" t="str">
        <f t="shared" si="11"/>
        <v/>
      </c>
      <c r="CD51" s="1515" t="str">
        <f t="shared" si="12"/>
        <v xml:space="preserve">* El número de Beneficiarios NO DEBE ser mayor que el Total. </v>
      </c>
      <c r="CE51" s="1515" t="e">
        <f t="shared" si="13"/>
        <v>#VALUE!</v>
      </c>
      <c r="CF51" s="1515" t="str">
        <f t="shared" si="14"/>
        <v/>
      </c>
      <c r="CG51" s="1515"/>
      <c r="CT51" s="1435"/>
      <c r="CU51" s="1435"/>
      <c r="CV51" s="1435"/>
      <c r="CW51" s="1435"/>
      <c r="CX51" s="1435"/>
      <c r="CY51" s="1435"/>
      <c r="CZ51" s="1435"/>
      <c r="DA51" s="1435"/>
      <c r="DB51" s="3222" t="e">
        <f t="shared" si="15"/>
        <v>#VALUE!</v>
      </c>
      <c r="DC51" s="3222">
        <f t="shared" si="16"/>
        <v>0</v>
      </c>
      <c r="DD51" s="3222">
        <f t="shared" si="17"/>
        <v>1</v>
      </c>
      <c r="DE51" s="3222" t="e">
        <f t="shared" si="18"/>
        <v>#VALUE!</v>
      </c>
      <c r="DF51" s="3222"/>
      <c r="DG51" s="3222"/>
      <c r="DH51" s="3222"/>
      <c r="DI51" s="3222"/>
      <c r="DJ51" s="3222"/>
      <c r="DK51" s="3222"/>
      <c r="DL51" s="3222"/>
      <c r="DM51" s="3222"/>
    </row>
    <row r="52" spans="1:117" ht="16.350000000000001" customHeight="1" x14ac:dyDescent="0.3">
      <c r="A52" s="7301" t="s">
        <v>4774</v>
      </c>
      <c r="B52" s="2855" t="s">
        <v>36</v>
      </c>
      <c r="C52" s="2726" t="s">
        <v>5369</v>
      </c>
      <c r="D52" s="2822" t="s">
        <v>5370</v>
      </c>
      <c r="E52" s="2903" t="s">
        <v>5371</v>
      </c>
      <c r="F52" s="2903" t="s">
        <v>5372</v>
      </c>
      <c r="G52" s="2903" t="s">
        <v>5373</v>
      </c>
      <c r="H52" s="2903" t="s">
        <v>5374</v>
      </c>
      <c r="I52" s="2903" t="s">
        <v>5375</v>
      </c>
      <c r="J52" s="2903" t="s">
        <v>5376</v>
      </c>
      <c r="K52" s="2903" t="s">
        <v>5377</v>
      </c>
      <c r="L52" s="2903" t="s">
        <v>5378</v>
      </c>
      <c r="M52" s="2903" t="s">
        <v>5379</v>
      </c>
      <c r="N52" s="2903" t="s">
        <v>5380</v>
      </c>
      <c r="O52" s="2903" t="s">
        <v>5381</v>
      </c>
      <c r="P52" s="2903" t="s">
        <v>5382</v>
      </c>
      <c r="Q52" s="2903" t="s">
        <v>5383</v>
      </c>
      <c r="R52" s="2903" t="s">
        <v>5384</v>
      </c>
      <c r="S52" s="2903" t="s">
        <v>5385</v>
      </c>
      <c r="T52" s="2824" t="s">
        <v>5386</v>
      </c>
      <c r="U52" s="2678" t="s">
        <v>5387</v>
      </c>
      <c r="V52" s="110" t="s">
        <v>5388</v>
      </c>
      <c r="W52" s="122" t="s">
        <v>5389</v>
      </c>
      <c r="X52" s="135" t="s">
        <v>5390</v>
      </c>
      <c r="Y52" s="110" t="s">
        <v>5391</v>
      </c>
      <c r="Z52" s="111" t="s">
        <v>5392</v>
      </c>
      <c r="AA52" s="122" t="s">
        <v>5393</v>
      </c>
      <c r="AB52" s="323" t="s">
        <v>5394</v>
      </c>
      <c r="AC52" s="110" t="s">
        <v>5395</v>
      </c>
      <c r="AD52" s="136" t="s">
        <v>5396</v>
      </c>
      <c r="AE52" s="122" t="s">
        <v>5397</v>
      </c>
      <c r="AF52" s="3230" t="s">
        <v>5398</v>
      </c>
      <c r="AG52" s="2034" t="s">
        <v>5399</v>
      </c>
      <c r="AH52" s="1360" t="e">
        <f t="shared" si="9"/>
        <v>#VALUE!</v>
      </c>
      <c r="AI52" s="806"/>
      <c r="AJ52" s="806"/>
      <c r="AK52" s="806"/>
      <c r="AL52" s="806"/>
      <c r="AM52" s="806"/>
      <c r="AN52" s="806"/>
      <c r="AO52" s="806"/>
      <c r="AP52" s="290"/>
      <c r="AQ52" s="290"/>
      <c r="AR52" s="290"/>
      <c r="AS52" s="290"/>
      <c r="AT52" s="290"/>
      <c r="BF52" s="1430"/>
      <c r="BG52" s="1430"/>
      <c r="BY52" s="165"/>
      <c r="BZ52" s="165"/>
      <c r="CA52" s="165"/>
      <c r="CB52" s="1515" t="e">
        <f t="shared" si="10"/>
        <v>#VALUE!</v>
      </c>
      <c r="CC52" s="1515" t="str">
        <f t="shared" si="11"/>
        <v/>
      </c>
      <c r="CD52" s="1515" t="str">
        <f t="shared" si="12"/>
        <v xml:space="preserve">* El número de Beneficiarios NO DEBE ser mayor que el Total. </v>
      </c>
      <c r="CE52" s="1515" t="e">
        <f t="shared" si="13"/>
        <v>#VALUE!</v>
      </c>
      <c r="CF52" s="1515" t="str">
        <f t="shared" si="14"/>
        <v/>
      </c>
      <c r="CG52" s="1515"/>
      <c r="CT52" s="1435"/>
      <c r="CU52" s="1435"/>
      <c r="CV52" s="1435"/>
      <c r="CW52" s="1435"/>
      <c r="CX52" s="1435"/>
      <c r="CY52" s="1435"/>
      <c r="CZ52" s="1435"/>
      <c r="DA52" s="1435"/>
      <c r="DB52" s="3222" t="e">
        <f t="shared" si="15"/>
        <v>#VALUE!</v>
      </c>
      <c r="DC52" s="3222">
        <f t="shared" si="16"/>
        <v>0</v>
      </c>
      <c r="DD52" s="3222">
        <f t="shared" si="17"/>
        <v>1</v>
      </c>
      <c r="DE52" s="3222" t="e">
        <f t="shared" si="18"/>
        <v>#VALUE!</v>
      </c>
      <c r="DF52" s="3222"/>
      <c r="DG52" s="3222"/>
      <c r="DH52" s="3222"/>
      <c r="DI52" s="3222"/>
      <c r="DJ52" s="3222"/>
      <c r="DK52" s="3222"/>
      <c r="DL52" s="3222"/>
      <c r="DM52" s="3222"/>
    </row>
    <row r="53" spans="1:117" ht="16.350000000000001" customHeight="1" x14ac:dyDescent="0.3">
      <c r="A53" s="7299" t="s">
        <v>4775</v>
      </c>
      <c r="B53" s="2855" t="s">
        <v>34</v>
      </c>
      <c r="C53" s="2726" t="s">
        <v>5369</v>
      </c>
      <c r="D53" s="2822" t="s">
        <v>5370</v>
      </c>
      <c r="E53" s="2903" t="s">
        <v>5371</v>
      </c>
      <c r="F53" s="2903" t="s">
        <v>5372</v>
      </c>
      <c r="G53" s="2903" t="s">
        <v>5373</v>
      </c>
      <c r="H53" s="2903" t="s">
        <v>5374</v>
      </c>
      <c r="I53" s="2903" t="s">
        <v>5375</v>
      </c>
      <c r="J53" s="2903" t="s">
        <v>5376</v>
      </c>
      <c r="K53" s="2903" t="s">
        <v>5377</v>
      </c>
      <c r="L53" s="2903" t="s">
        <v>5378</v>
      </c>
      <c r="M53" s="2903" t="s">
        <v>5379</v>
      </c>
      <c r="N53" s="2903" t="s">
        <v>5380</v>
      </c>
      <c r="O53" s="2903" t="s">
        <v>5381</v>
      </c>
      <c r="P53" s="2903" t="s">
        <v>5382</v>
      </c>
      <c r="Q53" s="2903" t="s">
        <v>5383</v>
      </c>
      <c r="R53" s="2903" t="s">
        <v>5384</v>
      </c>
      <c r="S53" s="2903" t="s">
        <v>5385</v>
      </c>
      <c r="T53" s="2824" t="s">
        <v>5386</v>
      </c>
      <c r="U53" s="2678" t="s">
        <v>5387</v>
      </c>
      <c r="V53" s="110" t="s">
        <v>5388</v>
      </c>
      <c r="W53" s="122" t="s">
        <v>5389</v>
      </c>
      <c r="X53" s="135" t="s">
        <v>5390</v>
      </c>
      <c r="Y53" s="110" t="s">
        <v>5391</v>
      </c>
      <c r="Z53" s="111" t="s">
        <v>5392</v>
      </c>
      <c r="AA53" s="122" t="s">
        <v>5393</v>
      </c>
      <c r="AB53" s="323" t="s">
        <v>5394</v>
      </c>
      <c r="AC53" s="110" t="s">
        <v>5395</v>
      </c>
      <c r="AD53" s="136" t="s">
        <v>5396</v>
      </c>
      <c r="AE53" s="122" t="s">
        <v>5397</v>
      </c>
      <c r="AF53" s="3230" t="s">
        <v>5398</v>
      </c>
      <c r="AG53" s="2034" t="s">
        <v>5399</v>
      </c>
      <c r="AH53" s="1360" t="e">
        <f t="shared" si="9"/>
        <v>#VALUE!</v>
      </c>
      <c r="AI53" s="806"/>
      <c r="AJ53" s="806"/>
      <c r="AK53" s="806"/>
      <c r="AL53" s="806"/>
      <c r="AM53" s="806"/>
      <c r="AN53" s="806"/>
      <c r="AO53" s="806"/>
      <c r="AP53" s="290"/>
      <c r="AQ53" s="290"/>
      <c r="AR53" s="290"/>
      <c r="AS53" s="290"/>
      <c r="AT53" s="290"/>
      <c r="BF53" s="1430"/>
      <c r="BG53" s="1430"/>
      <c r="BY53" s="165"/>
      <c r="BZ53" s="165"/>
      <c r="CA53" s="165"/>
      <c r="CB53" s="1515" t="e">
        <f t="shared" si="10"/>
        <v>#VALUE!</v>
      </c>
      <c r="CC53" s="1515" t="str">
        <f t="shared" si="11"/>
        <v/>
      </c>
      <c r="CD53" s="1515" t="str">
        <f t="shared" si="12"/>
        <v xml:space="preserve">* El número de Beneficiarios NO DEBE ser mayor que el Total. </v>
      </c>
      <c r="CE53" s="1515" t="e">
        <f t="shared" si="13"/>
        <v>#VALUE!</v>
      </c>
      <c r="CF53" s="1515" t="str">
        <f t="shared" si="14"/>
        <v/>
      </c>
      <c r="CG53" s="1515"/>
      <c r="CT53" s="1435"/>
      <c r="CU53" s="1435"/>
      <c r="CV53" s="1435"/>
      <c r="CW53" s="1435"/>
      <c r="CX53" s="1435"/>
      <c r="CY53" s="1435"/>
      <c r="CZ53" s="1435"/>
      <c r="DA53" s="1435"/>
      <c r="DB53" s="3222" t="e">
        <f t="shared" si="15"/>
        <v>#VALUE!</v>
      </c>
      <c r="DC53" s="3222">
        <f t="shared" si="16"/>
        <v>0</v>
      </c>
      <c r="DD53" s="3222">
        <f t="shared" si="17"/>
        <v>1</v>
      </c>
      <c r="DE53" s="3222" t="e">
        <f t="shared" si="18"/>
        <v>#VALUE!</v>
      </c>
      <c r="DF53" s="3222"/>
      <c r="DG53" s="3222"/>
      <c r="DH53" s="3222"/>
      <c r="DI53" s="3222"/>
      <c r="DJ53" s="3222"/>
      <c r="DK53" s="3222"/>
      <c r="DL53" s="3222"/>
      <c r="DM53" s="3222"/>
    </row>
    <row r="54" spans="1:117" ht="16.350000000000001" customHeight="1" x14ac:dyDescent="0.3">
      <c r="A54" s="7299" t="s">
        <v>4776</v>
      </c>
      <c r="B54" s="3151" t="s">
        <v>282</v>
      </c>
      <c r="C54" s="2726" t="s">
        <v>5369</v>
      </c>
      <c r="D54" s="2822" t="s">
        <v>5370</v>
      </c>
      <c r="E54" s="2903" t="s">
        <v>5371</v>
      </c>
      <c r="F54" s="2903" t="s">
        <v>5372</v>
      </c>
      <c r="G54" s="2903" t="s">
        <v>5373</v>
      </c>
      <c r="H54" s="2903" t="s">
        <v>5374</v>
      </c>
      <c r="I54" s="2903" t="s">
        <v>5375</v>
      </c>
      <c r="J54" s="2903" t="s">
        <v>5376</v>
      </c>
      <c r="K54" s="2903" t="s">
        <v>5377</v>
      </c>
      <c r="L54" s="2903" t="s">
        <v>5378</v>
      </c>
      <c r="M54" s="2903" t="s">
        <v>5379</v>
      </c>
      <c r="N54" s="2903" t="s">
        <v>5380</v>
      </c>
      <c r="O54" s="2903" t="s">
        <v>5381</v>
      </c>
      <c r="P54" s="2903" t="s">
        <v>5382</v>
      </c>
      <c r="Q54" s="2903" t="s">
        <v>5383</v>
      </c>
      <c r="R54" s="2903" t="s">
        <v>5384</v>
      </c>
      <c r="S54" s="2903" t="s">
        <v>5385</v>
      </c>
      <c r="T54" s="2824" t="s">
        <v>5386</v>
      </c>
      <c r="U54" s="2678" t="s">
        <v>5387</v>
      </c>
      <c r="V54" s="110" t="s">
        <v>5388</v>
      </c>
      <c r="W54" s="122" t="s">
        <v>5389</v>
      </c>
      <c r="X54" s="135" t="s">
        <v>5390</v>
      </c>
      <c r="Y54" s="110" t="s">
        <v>5391</v>
      </c>
      <c r="Z54" s="111" t="s">
        <v>5392</v>
      </c>
      <c r="AA54" s="122" t="s">
        <v>5393</v>
      </c>
      <c r="AB54" s="323" t="s">
        <v>5394</v>
      </c>
      <c r="AC54" s="110" t="s">
        <v>5395</v>
      </c>
      <c r="AD54" s="136" t="s">
        <v>5396</v>
      </c>
      <c r="AE54" s="122" t="s">
        <v>5397</v>
      </c>
      <c r="AF54" s="3230" t="s">
        <v>5398</v>
      </c>
      <c r="AG54" s="2034" t="s">
        <v>5399</v>
      </c>
      <c r="AH54" s="1360" t="e">
        <f t="shared" si="9"/>
        <v>#VALUE!</v>
      </c>
      <c r="AI54" s="806"/>
      <c r="AJ54" s="806"/>
      <c r="AK54" s="806"/>
      <c r="AL54" s="806"/>
      <c r="AM54" s="806"/>
      <c r="AN54" s="806"/>
      <c r="AO54" s="806"/>
      <c r="AP54" s="290"/>
      <c r="AQ54" s="290"/>
      <c r="AR54" s="290"/>
      <c r="AS54" s="290"/>
      <c r="AT54" s="290"/>
      <c r="BF54" s="1430"/>
      <c r="BG54" s="1430"/>
      <c r="BY54" s="165"/>
      <c r="BZ54" s="165"/>
      <c r="CA54" s="165"/>
      <c r="CB54" s="1515" t="e">
        <f t="shared" si="10"/>
        <v>#VALUE!</v>
      </c>
      <c r="CC54" s="1515" t="str">
        <f t="shared" si="11"/>
        <v/>
      </c>
      <c r="CD54" s="1515" t="str">
        <f t="shared" si="12"/>
        <v xml:space="preserve">* El número de Beneficiarios NO DEBE ser mayor que el Total. </v>
      </c>
      <c r="CE54" s="1515" t="e">
        <f t="shared" si="13"/>
        <v>#VALUE!</v>
      </c>
      <c r="CF54" s="1515" t="str">
        <f t="shared" si="14"/>
        <v/>
      </c>
      <c r="CG54" s="1515"/>
      <c r="CT54" s="1435"/>
      <c r="CU54" s="1435"/>
      <c r="CV54" s="1435"/>
      <c r="CW54" s="1435"/>
      <c r="CX54" s="1435"/>
      <c r="CY54" s="1435"/>
      <c r="CZ54" s="1435"/>
      <c r="DA54" s="1435"/>
      <c r="DB54" s="3222" t="e">
        <f t="shared" si="15"/>
        <v>#VALUE!</v>
      </c>
      <c r="DC54" s="3222">
        <f t="shared" si="16"/>
        <v>0</v>
      </c>
      <c r="DD54" s="3222">
        <f t="shared" si="17"/>
        <v>1</v>
      </c>
      <c r="DE54" s="3222" t="e">
        <f t="shared" si="18"/>
        <v>#VALUE!</v>
      </c>
      <c r="DF54" s="3222"/>
      <c r="DG54" s="3222"/>
      <c r="DH54" s="3222"/>
      <c r="DI54" s="3222"/>
      <c r="DJ54" s="3222"/>
      <c r="DK54" s="3222"/>
      <c r="DL54" s="3222"/>
      <c r="DM54" s="3222"/>
    </row>
    <row r="55" spans="1:117" ht="16.350000000000001" customHeight="1" x14ac:dyDescent="0.3">
      <c r="A55" s="7299" t="s">
        <v>4777</v>
      </c>
      <c r="B55" s="3384" t="s">
        <v>283</v>
      </c>
      <c r="C55" s="2726" t="s">
        <v>5369</v>
      </c>
      <c r="D55" s="2822" t="s">
        <v>5370</v>
      </c>
      <c r="E55" s="2903" t="s">
        <v>5371</v>
      </c>
      <c r="F55" s="2903" t="s">
        <v>5372</v>
      </c>
      <c r="G55" s="2903" t="s">
        <v>5373</v>
      </c>
      <c r="H55" s="2903" t="s">
        <v>5374</v>
      </c>
      <c r="I55" s="2903" t="s">
        <v>5375</v>
      </c>
      <c r="J55" s="2903" t="s">
        <v>5376</v>
      </c>
      <c r="K55" s="2903" t="s">
        <v>5377</v>
      </c>
      <c r="L55" s="2903" t="s">
        <v>5378</v>
      </c>
      <c r="M55" s="2903" t="s">
        <v>5379</v>
      </c>
      <c r="N55" s="2903" t="s">
        <v>5380</v>
      </c>
      <c r="O55" s="2903" t="s">
        <v>5381</v>
      </c>
      <c r="P55" s="2903" t="s">
        <v>5382</v>
      </c>
      <c r="Q55" s="2903" t="s">
        <v>5383</v>
      </c>
      <c r="R55" s="2903" t="s">
        <v>5384</v>
      </c>
      <c r="S55" s="2903" t="s">
        <v>5385</v>
      </c>
      <c r="T55" s="2824" t="s">
        <v>5386</v>
      </c>
      <c r="U55" s="2678" t="s">
        <v>5387</v>
      </c>
      <c r="V55" s="110" t="s">
        <v>5388</v>
      </c>
      <c r="W55" s="122" t="s">
        <v>5389</v>
      </c>
      <c r="X55" s="135" t="s">
        <v>5390</v>
      </c>
      <c r="Y55" s="110" t="s">
        <v>5391</v>
      </c>
      <c r="Z55" s="111" t="s">
        <v>5392</v>
      </c>
      <c r="AA55" s="122" t="s">
        <v>5393</v>
      </c>
      <c r="AB55" s="323" t="s">
        <v>5394</v>
      </c>
      <c r="AC55" s="110" t="s">
        <v>5395</v>
      </c>
      <c r="AD55" s="136" t="s">
        <v>5396</v>
      </c>
      <c r="AE55" s="122" t="s">
        <v>5397</v>
      </c>
      <c r="AF55" s="3230" t="s">
        <v>5398</v>
      </c>
      <c r="AG55" s="2034" t="s">
        <v>5399</v>
      </c>
      <c r="AH55" s="1360" t="e">
        <f t="shared" si="9"/>
        <v>#VALUE!</v>
      </c>
      <c r="AI55" s="806"/>
      <c r="AJ55" s="806"/>
      <c r="AK55" s="806"/>
      <c r="AL55" s="806"/>
      <c r="AM55" s="806"/>
      <c r="AN55" s="806"/>
      <c r="AO55" s="806"/>
      <c r="AP55" s="290"/>
      <c r="AQ55" s="290"/>
      <c r="AR55" s="290"/>
      <c r="AS55" s="290"/>
      <c r="AT55" s="290"/>
      <c r="BF55" s="1430"/>
      <c r="BG55" s="1430"/>
      <c r="BY55" s="165"/>
      <c r="BZ55" s="165"/>
      <c r="CA55" s="165"/>
      <c r="CB55" s="1515" t="e">
        <f t="shared" si="10"/>
        <v>#VALUE!</v>
      </c>
      <c r="CC55" s="1515" t="str">
        <f t="shared" si="11"/>
        <v/>
      </c>
      <c r="CD55" s="1515" t="str">
        <f t="shared" si="12"/>
        <v xml:space="preserve">* El número de Beneficiarios NO DEBE ser mayor que el Total. </v>
      </c>
      <c r="CE55" s="1515" t="e">
        <f t="shared" si="13"/>
        <v>#VALUE!</v>
      </c>
      <c r="CF55" s="1515" t="str">
        <f t="shared" si="14"/>
        <v/>
      </c>
      <c r="CG55" s="1515"/>
      <c r="CT55" s="1435"/>
      <c r="CU55" s="1435"/>
      <c r="CV55" s="1435"/>
      <c r="CW55" s="1435"/>
      <c r="CX55" s="1435"/>
      <c r="CY55" s="1435"/>
      <c r="CZ55" s="1435"/>
      <c r="DA55" s="1435"/>
      <c r="DB55" s="3222" t="e">
        <f t="shared" si="15"/>
        <v>#VALUE!</v>
      </c>
      <c r="DC55" s="3222">
        <f t="shared" si="16"/>
        <v>0</v>
      </c>
      <c r="DD55" s="3222">
        <f t="shared" si="17"/>
        <v>1</v>
      </c>
      <c r="DE55" s="3222" t="e">
        <f t="shared" si="18"/>
        <v>#VALUE!</v>
      </c>
      <c r="DF55" s="3222"/>
      <c r="DG55" s="3222"/>
      <c r="DH55" s="3222"/>
      <c r="DI55" s="3222"/>
      <c r="DJ55" s="3222"/>
      <c r="DK55" s="3222"/>
      <c r="DL55" s="3222"/>
      <c r="DM55" s="3222"/>
    </row>
    <row r="56" spans="1:117" ht="16.350000000000001" customHeight="1" x14ac:dyDescent="0.3">
      <c r="A56" s="7299" t="s">
        <v>4778</v>
      </c>
      <c r="B56" s="3384" t="s">
        <v>284</v>
      </c>
      <c r="C56" s="2726" t="s">
        <v>5369</v>
      </c>
      <c r="D56" s="2822" t="s">
        <v>5370</v>
      </c>
      <c r="E56" s="2903" t="s">
        <v>5371</v>
      </c>
      <c r="F56" s="2903" t="s">
        <v>5372</v>
      </c>
      <c r="G56" s="2903" t="s">
        <v>5373</v>
      </c>
      <c r="H56" s="2903" t="s">
        <v>5374</v>
      </c>
      <c r="I56" s="2903" t="s">
        <v>5375</v>
      </c>
      <c r="J56" s="2903" t="s">
        <v>5376</v>
      </c>
      <c r="K56" s="2903" t="s">
        <v>5377</v>
      </c>
      <c r="L56" s="2903" t="s">
        <v>5378</v>
      </c>
      <c r="M56" s="2903" t="s">
        <v>5379</v>
      </c>
      <c r="N56" s="2903" t="s">
        <v>5380</v>
      </c>
      <c r="O56" s="2903" t="s">
        <v>5381</v>
      </c>
      <c r="P56" s="2903" t="s">
        <v>5382</v>
      </c>
      <c r="Q56" s="2903" t="s">
        <v>5383</v>
      </c>
      <c r="R56" s="2903" t="s">
        <v>5384</v>
      </c>
      <c r="S56" s="2903" t="s">
        <v>5385</v>
      </c>
      <c r="T56" s="2824" t="s">
        <v>5386</v>
      </c>
      <c r="U56" s="2678" t="s">
        <v>5387</v>
      </c>
      <c r="V56" s="110" t="s">
        <v>5388</v>
      </c>
      <c r="W56" s="122" t="s">
        <v>5389</v>
      </c>
      <c r="X56" s="135" t="s">
        <v>5390</v>
      </c>
      <c r="Y56" s="110" t="s">
        <v>5391</v>
      </c>
      <c r="Z56" s="111" t="s">
        <v>5392</v>
      </c>
      <c r="AA56" s="122" t="s">
        <v>5393</v>
      </c>
      <c r="AB56" s="323" t="s">
        <v>5394</v>
      </c>
      <c r="AC56" s="110" t="s">
        <v>5395</v>
      </c>
      <c r="AD56" s="136" t="s">
        <v>5396</v>
      </c>
      <c r="AE56" s="122" t="s">
        <v>5397</v>
      </c>
      <c r="AF56" s="3230" t="s">
        <v>5398</v>
      </c>
      <c r="AG56" s="2034" t="s">
        <v>5399</v>
      </c>
      <c r="AH56" s="1360" t="e">
        <f t="shared" si="9"/>
        <v>#VALUE!</v>
      </c>
      <c r="AI56" s="806"/>
      <c r="AJ56" s="806"/>
      <c r="AK56" s="806"/>
      <c r="AL56" s="806"/>
      <c r="AM56" s="806"/>
      <c r="AN56" s="806"/>
      <c r="AO56" s="806"/>
      <c r="AP56" s="290"/>
      <c r="AQ56" s="290"/>
      <c r="AR56" s="290"/>
      <c r="AS56" s="290"/>
      <c r="AT56" s="290"/>
      <c r="BF56" s="1430"/>
      <c r="BG56" s="1430"/>
      <c r="BY56" s="165"/>
      <c r="BZ56" s="165"/>
      <c r="CA56" s="165"/>
      <c r="CB56" s="1515" t="e">
        <f t="shared" si="10"/>
        <v>#VALUE!</v>
      </c>
      <c r="CC56" s="1515" t="str">
        <f t="shared" si="11"/>
        <v/>
      </c>
      <c r="CD56" s="1515" t="str">
        <f t="shared" si="12"/>
        <v xml:space="preserve">* El número de Beneficiarios NO DEBE ser mayor que el Total. </v>
      </c>
      <c r="CE56" s="1515" t="e">
        <f t="shared" si="13"/>
        <v>#VALUE!</v>
      </c>
      <c r="CF56" s="1515" t="str">
        <f t="shared" si="14"/>
        <v/>
      </c>
      <c r="CG56" s="1515"/>
      <c r="CT56" s="1435"/>
      <c r="CU56" s="1435"/>
      <c r="CV56" s="1435"/>
      <c r="CW56" s="1435"/>
      <c r="CX56" s="1435"/>
      <c r="CY56" s="1435"/>
      <c r="CZ56" s="1435"/>
      <c r="DA56" s="1435"/>
      <c r="DB56" s="3222" t="e">
        <f t="shared" si="15"/>
        <v>#VALUE!</v>
      </c>
      <c r="DC56" s="3222">
        <f t="shared" si="16"/>
        <v>0</v>
      </c>
      <c r="DD56" s="3222">
        <f t="shared" si="17"/>
        <v>1</v>
      </c>
      <c r="DE56" s="3222" t="e">
        <f t="shared" si="18"/>
        <v>#VALUE!</v>
      </c>
      <c r="DF56" s="3222"/>
      <c r="DG56" s="3222"/>
      <c r="DH56" s="3222"/>
      <c r="DI56" s="3222"/>
      <c r="DJ56" s="3222"/>
      <c r="DK56" s="3222"/>
      <c r="DL56" s="3222"/>
      <c r="DM56" s="3222"/>
    </row>
    <row r="57" spans="1:117" ht="16.350000000000001" customHeight="1" x14ac:dyDescent="0.3">
      <c r="A57" s="7299" t="s">
        <v>4779</v>
      </c>
      <c r="B57" s="3384" t="s">
        <v>464</v>
      </c>
      <c r="C57" s="2726" t="s">
        <v>5369</v>
      </c>
      <c r="D57" s="2822" t="s">
        <v>5370</v>
      </c>
      <c r="E57" s="2903" t="s">
        <v>5371</v>
      </c>
      <c r="F57" s="2903" t="s">
        <v>5372</v>
      </c>
      <c r="G57" s="2903" t="s">
        <v>5373</v>
      </c>
      <c r="H57" s="2903" t="s">
        <v>5374</v>
      </c>
      <c r="I57" s="2903" t="s">
        <v>5375</v>
      </c>
      <c r="J57" s="2903" t="s">
        <v>5376</v>
      </c>
      <c r="K57" s="2903" t="s">
        <v>5377</v>
      </c>
      <c r="L57" s="2903" t="s">
        <v>5378</v>
      </c>
      <c r="M57" s="2903" t="s">
        <v>5379</v>
      </c>
      <c r="N57" s="2903" t="s">
        <v>5380</v>
      </c>
      <c r="O57" s="2903" t="s">
        <v>5381</v>
      </c>
      <c r="P57" s="2903" t="s">
        <v>5382</v>
      </c>
      <c r="Q57" s="2903" t="s">
        <v>5383</v>
      </c>
      <c r="R57" s="2903" t="s">
        <v>5384</v>
      </c>
      <c r="S57" s="2903" t="s">
        <v>5385</v>
      </c>
      <c r="T57" s="2824" t="s">
        <v>5386</v>
      </c>
      <c r="U57" s="2678" t="s">
        <v>5387</v>
      </c>
      <c r="V57" s="110" t="s">
        <v>5388</v>
      </c>
      <c r="W57" s="122" t="s">
        <v>5389</v>
      </c>
      <c r="X57" s="135" t="s">
        <v>5390</v>
      </c>
      <c r="Y57" s="110" t="s">
        <v>5391</v>
      </c>
      <c r="Z57" s="111" t="s">
        <v>5392</v>
      </c>
      <c r="AA57" s="122" t="s">
        <v>5393</v>
      </c>
      <c r="AB57" s="323" t="s">
        <v>5394</v>
      </c>
      <c r="AC57" s="110" t="s">
        <v>5395</v>
      </c>
      <c r="AD57" s="136" t="s">
        <v>5396</v>
      </c>
      <c r="AE57" s="122" t="s">
        <v>5397</v>
      </c>
      <c r="AF57" s="3230" t="s">
        <v>5398</v>
      </c>
      <c r="AG57" s="2034" t="s">
        <v>5399</v>
      </c>
      <c r="AH57" s="1360" t="e">
        <f t="shared" si="9"/>
        <v>#VALUE!</v>
      </c>
      <c r="AI57" s="806"/>
      <c r="AJ57" s="806"/>
      <c r="AK57" s="806"/>
      <c r="AL57" s="806"/>
      <c r="AM57" s="806"/>
      <c r="AN57" s="806"/>
      <c r="AO57" s="806"/>
      <c r="AP57" s="290"/>
      <c r="AQ57" s="290"/>
      <c r="AR57" s="290"/>
      <c r="AS57" s="290"/>
      <c r="AT57" s="290"/>
      <c r="BF57" s="1430"/>
      <c r="BG57" s="1430"/>
      <c r="BY57" s="165"/>
      <c r="BZ57" s="165"/>
      <c r="CA57" s="165"/>
      <c r="CB57" s="1515" t="e">
        <f t="shared" si="10"/>
        <v>#VALUE!</v>
      </c>
      <c r="CC57" s="1515" t="str">
        <f t="shared" si="11"/>
        <v/>
      </c>
      <c r="CD57" s="1515" t="str">
        <f t="shared" si="12"/>
        <v xml:space="preserve">* El número de Beneficiarios NO DEBE ser mayor que el Total. </v>
      </c>
      <c r="CE57" s="1515" t="e">
        <f t="shared" si="13"/>
        <v>#VALUE!</v>
      </c>
      <c r="CF57" s="1515" t="str">
        <f t="shared" si="14"/>
        <v/>
      </c>
      <c r="CG57" s="1515"/>
      <c r="CT57" s="1435"/>
      <c r="CU57" s="1435"/>
      <c r="CV57" s="1435"/>
      <c r="CW57" s="1435"/>
      <c r="CX57" s="1435"/>
      <c r="CY57" s="1435"/>
      <c r="CZ57" s="1435"/>
      <c r="DA57" s="1435"/>
      <c r="DB57" s="3222" t="e">
        <f t="shared" si="15"/>
        <v>#VALUE!</v>
      </c>
      <c r="DC57" s="3222">
        <f t="shared" si="16"/>
        <v>0</v>
      </c>
      <c r="DD57" s="3222">
        <f t="shared" si="17"/>
        <v>1</v>
      </c>
      <c r="DE57" s="3222" t="e">
        <f t="shared" si="18"/>
        <v>#VALUE!</v>
      </c>
      <c r="DF57" s="3222"/>
      <c r="DG57" s="3222"/>
      <c r="DH57" s="3222"/>
      <c r="DI57" s="3222"/>
      <c r="DJ57" s="3222"/>
      <c r="DK57" s="3222"/>
      <c r="DL57" s="3222"/>
      <c r="DM57" s="3222"/>
    </row>
    <row r="58" spans="1:117" ht="16.350000000000001" customHeight="1" x14ac:dyDescent="0.3">
      <c r="A58" s="7299" t="s">
        <v>4780</v>
      </c>
      <c r="B58" s="2855" t="s">
        <v>38</v>
      </c>
      <c r="C58" s="2726" t="s">
        <v>5369</v>
      </c>
      <c r="D58" s="2822" t="s">
        <v>5370</v>
      </c>
      <c r="E58" s="2903" t="s">
        <v>5371</v>
      </c>
      <c r="F58" s="2903" t="s">
        <v>5372</v>
      </c>
      <c r="G58" s="2903" t="s">
        <v>5373</v>
      </c>
      <c r="H58" s="2903" t="s">
        <v>5374</v>
      </c>
      <c r="I58" s="2903" t="s">
        <v>5375</v>
      </c>
      <c r="J58" s="2903" t="s">
        <v>5376</v>
      </c>
      <c r="K58" s="2903" t="s">
        <v>5377</v>
      </c>
      <c r="L58" s="2903" t="s">
        <v>5378</v>
      </c>
      <c r="M58" s="2903" t="s">
        <v>5379</v>
      </c>
      <c r="N58" s="2903" t="s">
        <v>5380</v>
      </c>
      <c r="O58" s="2903" t="s">
        <v>5381</v>
      </c>
      <c r="P58" s="2903" t="s">
        <v>5382</v>
      </c>
      <c r="Q58" s="2903" t="s">
        <v>5383</v>
      </c>
      <c r="R58" s="2903" t="s">
        <v>5384</v>
      </c>
      <c r="S58" s="2903" t="s">
        <v>5385</v>
      </c>
      <c r="T58" s="2824" t="s">
        <v>5386</v>
      </c>
      <c r="U58" s="2678" t="s">
        <v>5387</v>
      </c>
      <c r="V58" s="110" t="s">
        <v>5388</v>
      </c>
      <c r="W58" s="122" t="s">
        <v>5389</v>
      </c>
      <c r="X58" s="135" t="s">
        <v>5390</v>
      </c>
      <c r="Y58" s="110" t="s">
        <v>5391</v>
      </c>
      <c r="Z58" s="111" t="s">
        <v>5392</v>
      </c>
      <c r="AA58" s="122" t="s">
        <v>5393</v>
      </c>
      <c r="AB58" s="323" t="s">
        <v>5394</v>
      </c>
      <c r="AC58" s="110" t="s">
        <v>5395</v>
      </c>
      <c r="AD58" s="136" t="s">
        <v>5396</v>
      </c>
      <c r="AE58" s="122" t="s">
        <v>5397</v>
      </c>
      <c r="AF58" s="3230" t="s">
        <v>5398</v>
      </c>
      <c r="AG58" s="2034" t="s">
        <v>5399</v>
      </c>
      <c r="AH58" s="1360" t="e">
        <f t="shared" si="9"/>
        <v>#VALUE!</v>
      </c>
      <c r="AI58" s="806"/>
      <c r="AJ58" s="806"/>
      <c r="AK58" s="806"/>
      <c r="AL58" s="806"/>
      <c r="AM58" s="806"/>
      <c r="AN58" s="806"/>
      <c r="AO58" s="806"/>
      <c r="AP58" s="290"/>
      <c r="AQ58" s="290"/>
      <c r="AR58" s="290"/>
      <c r="AS58" s="290"/>
      <c r="AT58" s="290"/>
      <c r="BF58" s="1430"/>
      <c r="BG58" s="1430"/>
      <c r="BY58" s="165"/>
      <c r="BZ58" s="165"/>
      <c r="CA58" s="165"/>
      <c r="CB58" s="1515" t="e">
        <f t="shared" si="10"/>
        <v>#VALUE!</v>
      </c>
      <c r="CC58" s="1515" t="str">
        <f t="shared" si="11"/>
        <v/>
      </c>
      <c r="CD58" s="1515" t="str">
        <f t="shared" si="12"/>
        <v xml:space="preserve">* El número de Beneficiarios NO DEBE ser mayor que el Total. </v>
      </c>
      <c r="CE58" s="1515" t="e">
        <f t="shared" si="13"/>
        <v>#VALUE!</v>
      </c>
      <c r="CF58" s="1515" t="str">
        <f t="shared" si="14"/>
        <v/>
      </c>
      <c r="CG58" s="1515"/>
      <c r="CT58" s="1435"/>
      <c r="CU58" s="1435"/>
      <c r="CV58" s="1435"/>
      <c r="CW58" s="1435"/>
      <c r="CX58" s="1435"/>
      <c r="CY58" s="1435"/>
      <c r="CZ58" s="1435"/>
      <c r="DA58" s="1435"/>
      <c r="DB58" s="3222" t="e">
        <f t="shared" si="15"/>
        <v>#VALUE!</v>
      </c>
      <c r="DC58" s="3222">
        <f t="shared" si="16"/>
        <v>0</v>
      </c>
      <c r="DD58" s="3222">
        <f t="shared" si="17"/>
        <v>1</v>
      </c>
      <c r="DE58" s="3222" t="e">
        <f t="shared" si="18"/>
        <v>#VALUE!</v>
      </c>
      <c r="DF58" s="3222"/>
      <c r="DG58" s="3222"/>
      <c r="DH58" s="3222"/>
      <c r="DI58" s="3222"/>
      <c r="DJ58" s="3222"/>
      <c r="DK58" s="3222"/>
      <c r="DL58" s="3222"/>
      <c r="DM58" s="3222"/>
    </row>
    <row r="59" spans="1:117" ht="16.350000000000001" customHeight="1" x14ac:dyDescent="0.3">
      <c r="A59" s="7299" t="s">
        <v>4781</v>
      </c>
      <c r="B59" s="2855" t="s">
        <v>37</v>
      </c>
      <c r="C59" s="2726" t="s">
        <v>5369</v>
      </c>
      <c r="D59" s="2822" t="s">
        <v>5370</v>
      </c>
      <c r="E59" s="2903" t="s">
        <v>5371</v>
      </c>
      <c r="F59" s="2903" t="s">
        <v>5372</v>
      </c>
      <c r="G59" s="2903" t="s">
        <v>5373</v>
      </c>
      <c r="H59" s="2903" t="s">
        <v>5374</v>
      </c>
      <c r="I59" s="2903" t="s">
        <v>5375</v>
      </c>
      <c r="J59" s="2903" t="s">
        <v>5376</v>
      </c>
      <c r="K59" s="2903" t="s">
        <v>5377</v>
      </c>
      <c r="L59" s="2903" t="s">
        <v>5378</v>
      </c>
      <c r="M59" s="2903" t="s">
        <v>5379</v>
      </c>
      <c r="N59" s="2903" t="s">
        <v>5380</v>
      </c>
      <c r="O59" s="2903" t="s">
        <v>5381</v>
      </c>
      <c r="P59" s="2903" t="s">
        <v>5382</v>
      </c>
      <c r="Q59" s="2903" t="s">
        <v>5383</v>
      </c>
      <c r="R59" s="2903" t="s">
        <v>5384</v>
      </c>
      <c r="S59" s="2903" t="s">
        <v>5385</v>
      </c>
      <c r="T59" s="2824" t="s">
        <v>5386</v>
      </c>
      <c r="U59" s="2678" t="s">
        <v>5387</v>
      </c>
      <c r="V59" s="110" t="s">
        <v>5388</v>
      </c>
      <c r="W59" s="122" t="s">
        <v>5389</v>
      </c>
      <c r="X59" s="135" t="s">
        <v>5390</v>
      </c>
      <c r="Y59" s="110" t="s">
        <v>5391</v>
      </c>
      <c r="Z59" s="111" t="s">
        <v>5392</v>
      </c>
      <c r="AA59" s="122" t="s">
        <v>5393</v>
      </c>
      <c r="AB59" s="323" t="s">
        <v>5394</v>
      </c>
      <c r="AC59" s="110" t="s">
        <v>5395</v>
      </c>
      <c r="AD59" s="136" t="s">
        <v>5396</v>
      </c>
      <c r="AE59" s="122" t="s">
        <v>5397</v>
      </c>
      <c r="AF59" s="3230" t="s">
        <v>5398</v>
      </c>
      <c r="AG59" s="2034" t="s">
        <v>5399</v>
      </c>
      <c r="AH59" s="1360" t="e">
        <f t="shared" si="9"/>
        <v>#VALUE!</v>
      </c>
      <c r="AI59" s="806"/>
      <c r="AJ59" s="806"/>
      <c r="AK59" s="806"/>
      <c r="AL59" s="806"/>
      <c r="AM59" s="806"/>
      <c r="AN59" s="806"/>
      <c r="AO59" s="806"/>
      <c r="AP59" s="290"/>
      <c r="AQ59" s="290"/>
      <c r="AR59" s="290"/>
      <c r="AS59" s="290"/>
      <c r="AT59" s="290"/>
      <c r="BF59" s="1430"/>
      <c r="BG59" s="1430"/>
      <c r="BY59" s="165"/>
      <c r="BZ59" s="165"/>
      <c r="CA59" s="165"/>
      <c r="CB59" s="1515" t="e">
        <f t="shared" si="10"/>
        <v>#VALUE!</v>
      </c>
      <c r="CC59" s="1515" t="str">
        <f t="shared" si="11"/>
        <v/>
      </c>
      <c r="CD59" s="1515" t="str">
        <f t="shared" si="12"/>
        <v xml:space="preserve">* El número de Beneficiarios NO DEBE ser mayor que el Total. </v>
      </c>
      <c r="CE59" s="1515" t="e">
        <f t="shared" si="13"/>
        <v>#VALUE!</v>
      </c>
      <c r="CF59" s="1515" t="str">
        <f t="shared" si="14"/>
        <v/>
      </c>
      <c r="CG59" s="1515"/>
      <c r="CT59" s="1435"/>
      <c r="CU59" s="1435"/>
      <c r="CV59" s="1435"/>
      <c r="CW59" s="1435"/>
      <c r="CX59" s="1435"/>
      <c r="CY59" s="1435"/>
      <c r="CZ59" s="1435"/>
      <c r="DA59" s="1435"/>
      <c r="DB59" s="3222" t="e">
        <f t="shared" si="15"/>
        <v>#VALUE!</v>
      </c>
      <c r="DC59" s="3222">
        <f t="shared" si="16"/>
        <v>0</v>
      </c>
      <c r="DD59" s="3222">
        <f t="shared" si="17"/>
        <v>1</v>
      </c>
      <c r="DE59" s="3222" t="e">
        <f t="shared" si="18"/>
        <v>#VALUE!</v>
      </c>
      <c r="DF59" s="3222"/>
      <c r="DG59" s="3222"/>
      <c r="DH59" s="3222"/>
      <c r="DI59" s="3222"/>
      <c r="DJ59" s="3222"/>
      <c r="DK59" s="3222"/>
      <c r="DL59" s="3222"/>
      <c r="DM59" s="3222"/>
    </row>
    <row r="60" spans="1:117" ht="16.350000000000001" customHeight="1" x14ac:dyDescent="0.3">
      <c r="A60" s="7299" t="s">
        <v>4782</v>
      </c>
      <c r="B60" s="2855" t="s">
        <v>285</v>
      </c>
      <c r="C60" s="2726" t="s">
        <v>5369</v>
      </c>
      <c r="D60" s="2822" t="s">
        <v>5370</v>
      </c>
      <c r="E60" s="2903" t="s">
        <v>5371</v>
      </c>
      <c r="F60" s="2903" t="s">
        <v>5372</v>
      </c>
      <c r="G60" s="2903" t="s">
        <v>5373</v>
      </c>
      <c r="H60" s="2903" t="s">
        <v>5374</v>
      </c>
      <c r="I60" s="2903" t="s">
        <v>5375</v>
      </c>
      <c r="J60" s="2903" t="s">
        <v>5376</v>
      </c>
      <c r="K60" s="2903" t="s">
        <v>5377</v>
      </c>
      <c r="L60" s="2903" t="s">
        <v>5378</v>
      </c>
      <c r="M60" s="2903" t="s">
        <v>5379</v>
      </c>
      <c r="N60" s="2903" t="s">
        <v>5380</v>
      </c>
      <c r="O60" s="2903" t="s">
        <v>5381</v>
      </c>
      <c r="P60" s="2903" t="s">
        <v>5382</v>
      </c>
      <c r="Q60" s="2903" t="s">
        <v>5383</v>
      </c>
      <c r="R60" s="2903" t="s">
        <v>5384</v>
      </c>
      <c r="S60" s="2903" t="s">
        <v>5385</v>
      </c>
      <c r="T60" s="2824" t="s">
        <v>5386</v>
      </c>
      <c r="U60" s="2678" t="s">
        <v>5387</v>
      </c>
      <c r="V60" s="110" t="s">
        <v>5388</v>
      </c>
      <c r="W60" s="122" t="s">
        <v>5389</v>
      </c>
      <c r="X60" s="135" t="s">
        <v>5390</v>
      </c>
      <c r="Y60" s="110" t="s">
        <v>5391</v>
      </c>
      <c r="Z60" s="111" t="s">
        <v>5392</v>
      </c>
      <c r="AA60" s="122" t="s">
        <v>5393</v>
      </c>
      <c r="AB60" s="323" t="s">
        <v>5394</v>
      </c>
      <c r="AC60" s="110" t="s">
        <v>5395</v>
      </c>
      <c r="AD60" s="136" t="s">
        <v>5396</v>
      </c>
      <c r="AE60" s="122" t="s">
        <v>5397</v>
      </c>
      <c r="AF60" s="3230" t="s">
        <v>5398</v>
      </c>
      <c r="AG60" s="2034" t="s">
        <v>5399</v>
      </c>
      <c r="AH60" s="1360" t="e">
        <f t="shared" si="9"/>
        <v>#VALUE!</v>
      </c>
      <c r="AI60" s="806"/>
      <c r="AJ60" s="806"/>
      <c r="AK60" s="806"/>
      <c r="AL60" s="806"/>
      <c r="AM60" s="806"/>
      <c r="AN60" s="806"/>
      <c r="AO60" s="806"/>
      <c r="AP60" s="290"/>
      <c r="AQ60" s="290"/>
      <c r="AR60" s="290"/>
      <c r="AS60" s="290"/>
      <c r="AT60" s="290"/>
      <c r="BF60" s="1430"/>
      <c r="BG60" s="1430"/>
      <c r="BY60" s="165"/>
      <c r="BZ60" s="165"/>
      <c r="CA60" s="165"/>
      <c r="CB60" s="1515" t="e">
        <f t="shared" si="10"/>
        <v>#VALUE!</v>
      </c>
      <c r="CC60" s="1515" t="str">
        <f t="shared" si="11"/>
        <v/>
      </c>
      <c r="CD60" s="1515" t="str">
        <f t="shared" si="12"/>
        <v xml:space="preserve">* El número de Beneficiarios NO DEBE ser mayor que el Total. </v>
      </c>
      <c r="CE60" s="1515" t="e">
        <f t="shared" si="13"/>
        <v>#VALUE!</v>
      </c>
      <c r="CF60" s="1515" t="str">
        <f t="shared" si="14"/>
        <v/>
      </c>
      <c r="CG60" s="1515"/>
      <c r="CT60" s="1435"/>
      <c r="CU60" s="1435"/>
      <c r="CV60" s="1435"/>
      <c r="CW60" s="1435"/>
      <c r="CX60" s="1435"/>
      <c r="CY60" s="1435"/>
      <c r="CZ60" s="1435"/>
      <c r="DA60" s="1435"/>
      <c r="DB60" s="3222" t="e">
        <f t="shared" si="15"/>
        <v>#VALUE!</v>
      </c>
      <c r="DC60" s="3222">
        <f t="shared" si="16"/>
        <v>0</v>
      </c>
      <c r="DD60" s="3222">
        <f t="shared" si="17"/>
        <v>1</v>
      </c>
      <c r="DE60" s="3222" t="e">
        <f t="shared" si="18"/>
        <v>#VALUE!</v>
      </c>
      <c r="DF60" s="3222"/>
      <c r="DG60" s="3222"/>
      <c r="DH60" s="3222"/>
      <c r="DI60" s="3222"/>
      <c r="DJ60" s="3222"/>
      <c r="DK60" s="3222"/>
      <c r="DL60" s="3222"/>
      <c r="DM60" s="3222"/>
    </row>
    <row r="61" spans="1:117" ht="16.350000000000001" customHeight="1" x14ac:dyDescent="0.3">
      <c r="A61" s="7299" t="s">
        <v>4783</v>
      </c>
      <c r="B61" s="2855" t="s">
        <v>465</v>
      </c>
      <c r="C61" s="2726" t="s">
        <v>5369</v>
      </c>
      <c r="D61" s="2822" t="s">
        <v>5370</v>
      </c>
      <c r="E61" s="2903" t="s">
        <v>5371</v>
      </c>
      <c r="F61" s="2903" t="s">
        <v>5372</v>
      </c>
      <c r="G61" s="2903" t="s">
        <v>5373</v>
      </c>
      <c r="H61" s="2903" t="s">
        <v>5374</v>
      </c>
      <c r="I61" s="2903" t="s">
        <v>5375</v>
      </c>
      <c r="J61" s="2903" t="s">
        <v>5376</v>
      </c>
      <c r="K61" s="2903" t="s">
        <v>5377</v>
      </c>
      <c r="L61" s="2903" t="s">
        <v>5378</v>
      </c>
      <c r="M61" s="2903" t="s">
        <v>5379</v>
      </c>
      <c r="N61" s="2903" t="s">
        <v>5380</v>
      </c>
      <c r="O61" s="2903" t="s">
        <v>5381</v>
      </c>
      <c r="P61" s="2903" t="s">
        <v>5382</v>
      </c>
      <c r="Q61" s="2903" t="s">
        <v>5383</v>
      </c>
      <c r="R61" s="2903" t="s">
        <v>5384</v>
      </c>
      <c r="S61" s="2903" t="s">
        <v>5385</v>
      </c>
      <c r="T61" s="2824" t="s">
        <v>5386</v>
      </c>
      <c r="U61" s="2678" t="s">
        <v>5387</v>
      </c>
      <c r="V61" s="110" t="s">
        <v>5388</v>
      </c>
      <c r="W61" s="122" t="s">
        <v>5389</v>
      </c>
      <c r="X61" s="135" t="s">
        <v>5390</v>
      </c>
      <c r="Y61" s="110" t="s">
        <v>5391</v>
      </c>
      <c r="Z61" s="111" t="s">
        <v>5392</v>
      </c>
      <c r="AA61" s="122" t="s">
        <v>5393</v>
      </c>
      <c r="AB61" s="323" t="s">
        <v>5394</v>
      </c>
      <c r="AC61" s="110" t="s">
        <v>5395</v>
      </c>
      <c r="AD61" s="136" t="s">
        <v>5396</v>
      </c>
      <c r="AE61" s="122" t="s">
        <v>5397</v>
      </c>
      <c r="AF61" s="3230" t="s">
        <v>5398</v>
      </c>
      <c r="AG61" s="2034" t="s">
        <v>5399</v>
      </c>
      <c r="AH61" s="1360" t="e">
        <f t="shared" si="9"/>
        <v>#VALUE!</v>
      </c>
      <c r="AI61" s="806"/>
      <c r="AJ61" s="806"/>
      <c r="AK61" s="806"/>
      <c r="AL61" s="806"/>
      <c r="AM61" s="806"/>
      <c r="AN61" s="806"/>
      <c r="AO61" s="806"/>
      <c r="AP61" s="290"/>
      <c r="AQ61" s="290"/>
      <c r="AR61" s="290"/>
      <c r="AS61" s="290"/>
      <c r="AT61" s="290"/>
      <c r="BF61" s="1430"/>
      <c r="BG61" s="1430"/>
      <c r="BY61" s="165"/>
      <c r="BZ61" s="165"/>
      <c r="CA61" s="165"/>
      <c r="CB61" s="1515" t="e">
        <f t="shared" si="10"/>
        <v>#VALUE!</v>
      </c>
      <c r="CC61" s="1515" t="str">
        <f t="shared" si="11"/>
        <v/>
      </c>
      <c r="CD61" s="1515" t="str">
        <f t="shared" si="12"/>
        <v xml:space="preserve">* El número de Beneficiarios NO DEBE ser mayor que el Total. </v>
      </c>
      <c r="CE61" s="1515" t="e">
        <f t="shared" si="13"/>
        <v>#VALUE!</v>
      </c>
      <c r="CF61" s="1515" t="str">
        <f t="shared" si="14"/>
        <v/>
      </c>
      <c r="CG61" s="1515"/>
      <c r="CT61" s="1435"/>
      <c r="CU61" s="1435"/>
      <c r="CV61" s="1435"/>
      <c r="CW61" s="1435"/>
      <c r="CX61" s="1435"/>
      <c r="CY61" s="1435"/>
      <c r="CZ61" s="1435"/>
      <c r="DA61" s="1435"/>
      <c r="DB61" s="3222" t="e">
        <f t="shared" si="15"/>
        <v>#VALUE!</v>
      </c>
      <c r="DC61" s="3222">
        <f t="shared" si="16"/>
        <v>0</v>
      </c>
      <c r="DD61" s="3222">
        <f t="shared" si="17"/>
        <v>1</v>
      </c>
      <c r="DE61" s="3222" t="e">
        <f t="shared" si="18"/>
        <v>#VALUE!</v>
      </c>
      <c r="DF61" s="3222"/>
      <c r="DG61" s="3222"/>
      <c r="DH61" s="3222"/>
      <c r="DI61" s="3222"/>
      <c r="DJ61" s="3222"/>
      <c r="DK61" s="3222"/>
      <c r="DL61" s="3222"/>
      <c r="DM61" s="3222"/>
    </row>
    <row r="62" spans="1:117" ht="16.350000000000001" customHeight="1" x14ac:dyDescent="0.3">
      <c r="A62" s="7299" t="s">
        <v>4784</v>
      </c>
      <c r="B62" s="2855" t="s">
        <v>286</v>
      </c>
      <c r="C62" s="2726" t="s">
        <v>5369</v>
      </c>
      <c r="D62" s="2822" t="s">
        <v>5370</v>
      </c>
      <c r="E62" s="2903" t="s">
        <v>5371</v>
      </c>
      <c r="F62" s="2903" t="s">
        <v>5372</v>
      </c>
      <c r="G62" s="2903" t="s">
        <v>5373</v>
      </c>
      <c r="H62" s="2903" t="s">
        <v>5374</v>
      </c>
      <c r="I62" s="2903" t="s">
        <v>5375</v>
      </c>
      <c r="J62" s="2903" t="s">
        <v>5376</v>
      </c>
      <c r="K62" s="2903" t="s">
        <v>5377</v>
      </c>
      <c r="L62" s="2903" t="s">
        <v>5378</v>
      </c>
      <c r="M62" s="2903" t="s">
        <v>5379</v>
      </c>
      <c r="N62" s="2903" t="s">
        <v>5380</v>
      </c>
      <c r="O62" s="2903" t="s">
        <v>5381</v>
      </c>
      <c r="P62" s="2903" t="s">
        <v>5382</v>
      </c>
      <c r="Q62" s="2903" t="s">
        <v>5383</v>
      </c>
      <c r="R62" s="2903" t="s">
        <v>5384</v>
      </c>
      <c r="S62" s="2903" t="s">
        <v>5385</v>
      </c>
      <c r="T62" s="2824" t="s">
        <v>5386</v>
      </c>
      <c r="U62" s="2678" t="s">
        <v>5387</v>
      </c>
      <c r="V62" s="110" t="s">
        <v>5388</v>
      </c>
      <c r="W62" s="122" t="s">
        <v>5389</v>
      </c>
      <c r="X62" s="135" t="s">
        <v>5390</v>
      </c>
      <c r="Y62" s="110" t="s">
        <v>5391</v>
      </c>
      <c r="Z62" s="111" t="s">
        <v>5392</v>
      </c>
      <c r="AA62" s="122" t="s">
        <v>5393</v>
      </c>
      <c r="AB62" s="323" t="s">
        <v>5394</v>
      </c>
      <c r="AC62" s="110" t="s">
        <v>5395</v>
      </c>
      <c r="AD62" s="136" t="s">
        <v>5396</v>
      </c>
      <c r="AE62" s="122" t="s">
        <v>5397</v>
      </c>
      <c r="AF62" s="3230" t="s">
        <v>5398</v>
      </c>
      <c r="AG62" s="2034" t="s">
        <v>5399</v>
      </c>
      <c r="AH62" s="1360" t="e">
        <f t="shared" si="9"/>
        <v>#VALUE!</v>
      </c>
      <c r="AI62" s="806"/>
      <c r="AJ62" s="806"/>
      <c r="AK62" s="806"/>
      <c r="AL62" s="806"/>
      <c r="AM62" s="806"/>
      <c r="AN62" s="806"/>
      <c r="AO62" s="806"/>
      <c r="AP62" s="290"/>
      <c r="AQ62" s="290"/>
      <c r="AR62" s="290"/>
      <c r="AS62" s="290"/>
      <c r="AT62" s="290"/>
      <c r="BF62" s="1430"/>
      <c r="BG62" s="1430"/>
      <c r="BY62" s="165"/>
      <c r="BZ62" s="165"/>
      <c r="CA62" s="165"/>
      <c r="CB62" s="1515" t="e">
        <f t="shared" si="10"/>
        <v>#VALUE!</v>
      </c>
      <c r="CC62" s="1515" t="str">
        <f t="shared" si="11"/>
        <v/>
      </c>
      <c r="CD62" s="1515" t="str">
        <f t="shared" si="12"/>
        <v xml:space="preserve">* El número de Beneficiarios NO DEBE ser mayor que el Total. </v>
      </c>
      <c r="CE62" s="1515" t="e">
        <f t="shared" si="13"/>
        <v>#VALUE!</v>
      </c>
      <c r="CF62" s="1515" t="str">
        <f t="shared" si="14"/>
        <v/>
      </c>
      <c r="CG62" s="1515"/>
      <c r="CT62" s="1435"/>
      <c r="CU62" s="1435"/>
      <c r="CV62" s="1435"/>
      <c r="CW62" s="1435"/>
      <c r="CX62" s="1435"/>
      <c r="CY62" s="1435"/>
      <c r="CZ62" s="1435"/>
      <c r="DA62" s="1435"/>
      <c r="DB62" s="3222" t="e">
        <f t="shared" si="15"/>
        <v>#VALUE!</v>
      </c>
      <c r="DC62" s="3222">
        <f t="shared" si="16"/>
        <v>0</v>
      </c>
      <c r="DD62" s="3222">
        <f t="shared" si="17"/>
        <v>1</v>
      </c>
      <c r="DE62" s="3222" t="e">
        <f t="shared" si="18"/>
        <v>#VALUE!</v>
      </c>
      <c r="DF62" s="3222"/>
      <c r="DG62" s="3222"/>
      <c r="DH62" s="3222"/>
      <c r="DI62" s="3222"/>
      <c r="DJ62" s="3222"/>
      <c r="DK62" s="3222"/>
      <c r="DL62" s="3222"/>
      <c r="DM62" s="3222"/>
    </row>
    <row r="63" spans="1:117" ht="16.350000000000001" customHeight="1" x14ac:dyDescent="0.3">
      <c r="A63" s="7299" t="s">
        <v>4785</v>
      </c>
      <c r="B63" s="2855" t="s">
        <v>466</v>
      </c>
      <c r="C63" s="2726" t="s">
        <v>5369</v>
      </c>
      <c r="D63" s="2822" t="s">
        <v>5370</v>
      </c>
      <c r="E63" s="2903" t="s">
        <v>5371</v>
      </c>
      <c r="F63" s="2903" t="s">
        <v>5372</v>
      </c>
      <c r="G63" s="2903" t="s">
        <v>5373</v>
      </c>
      <c r="H63" s="2903" t="s">
        <v>5374</v>
      </c>
      <c r="I63" s="2903" t="s">
        <v>5375</v>
      </c>
      <c r="J63" s="2903" t="s">
        <v>5376</v>
      </c>
      <c r="K63" s="2903" t="s">
        <v>5377</v>
      </c>
      <c r="L63" s="2903" t="s">
        <v>5378</v>
      </c>
      <c r="M63" s="2903" t="s">
        <v>5379</v>
      </c>
      <c r="N63" s="2903" t="s">
        <v>5380</v>
      </c>
      <c r="O63" s="2903" t="s">
        <v>5381</v>
      </c>
      <c r="P63" s="2903" t="s">
        <v>5382</v>
      </c>
      <c r="Q63" s="2903" t="s">
        <v>5383</v>
      </c>
      <c r="R63" s="2903" t="s">
        <v>5384</v>
      </c>
      <c r="S63" s="2903" t="s">
        <v>5385</v>
      </c>
      <c r="T63" s="2824" t="s">
        <v>5386</v>
      </c>
      <c r="U63" s="2678" t="s">
        <v>5387</v>
      </c>
      <c r="V63" s="110" t="s">
        <v>5388</v>
      </c>
      <c r="W63" s="122" t="s">
        <v>5389</v>
      </c>
      <c r="X63" s="135" t="s">
        <v>5390</v>
      </c>
      <c r="Y63" s="110" t="s">
        <v>5391</v>
      </c>
      <c r="Z63" s="111" t="s">
        <v>5392</v>
      </c>
      <c r="AA63" s="122" t="s">
        <v>5393</v>
      </c>
      <c r="AB63" s="323" t="s">
        <v>5394</v>
      </c>
      <c r="AC63" s="110" t="s">
        <v>5395</v>
      </c>
      <c r="AD63" s="136" t="s">
        <v>5396</v>
      </c>
      <c r="AE63" s="122" t="s">
        <v>5397</v>
      </c>
      <c r="AF63" s="3230" t="s">
        <v>5398</v>
      </c>
      <c r="AG63" s="2034" t="s">
        <v>5399</v>
      </c>
      <c r="AH63" s="1360" t="e">
        <f t="shared" si="9"/>
        <v>#VALUE!</v>
      </c>
      <c r="AI63" s="806"/>
      <c r="AJ63" s="806"/>
      <c r="AK63" s="806"/>
      <c r="AL63" s="806"/>
      <c r="AM63" s="806"/>
      <c r="AN63" s="806"/>
      <c r="AO63" s="806"/>
      <c r="AP63" s="290"/>
      <c r="AQ63" s="290"/>
      <c r="AR63" s="290"/>
      <c r="AS63" s="290"/>
      <c r="AT63" s="290"/>
      <c r="BF63" s="1430"/>
      <c r="BG63" s="1430"/>
      <c r="CB63" s="1515" t="e">
        <f t="shared" si="10"/>
        <v>#VALUE!</v>
      </c>
      <c r="CC63" s="1515" t="str">
        <f t="shared" si="11"/>
        <v/>
      </c>
      <c r="CD63" s="1515" t="str">
        <f t="shared" si="12"/>
        <v xml:space="preserve">* El número de Beneficiarios NO DEBE ser mayor que el Total. </v>
      </c>
      <c r="CE63" s="1515" t="e">
        <f t="shared" si="13"/>
        <v>#VALUE!</v>
      </c>
      <c r="CF63" s="1515" t="str">
        <f t="shared" si="14"/>
        <v/>
      </c>
      <c r="CG63" s="1515"/>
      <c r="CT63" s="1435"/>
      <c r="CU63" s="1435"/>
      <c r="CV63" s="1435"/>
      <c r="CW63" s="1435"/>
      <c r="CX63" s="1435"/>
      <c r="CY63" s="1435"/>
      <c r="CZ63" s="1435"/>
      <c r="DA63" s="1435"/>
      <c r="DB63" s="3222" t="e">
        <f t="shared" si="15"/>
        <v>#VALUE!</v>
      </c>
      <c r="DC63" s="3222">
        <f t="shared" si="16"/>
        <v>0</v>
      </c>
      <c r="DD63" s="3222">
        <f t="shared" si="17"/>
        <v>1</v>
      </c>
      <c r="DE63" s="3222" t="e">
        <f t="shared" si="18"/>
        <v>#VALUE!</v>
      </c>
      <c r="DF63" s="3222"/>
      <c r="DG63" s="3222"/>
      <c r="DH63" s="3222"/>
      <c r="DI63" s="3222"/>
      <c r="DJ63" s="3222"/>
      <c r="DK63" s="3222"/>
      <c r="DL63" s="3222"/>
      <c r="DM63" s="3222"/>
    </row>
    <row r="64" spans="1:117" ht="16.350000000000001" customHeight="1" x14ac:dyDescent="0.3">
      <c r="A64" s="7299" t="s">
        <v>4786</v>
      </c>
      <c r="B64" s="2855" t="s">
        <v>3593</v>
      </c>
      <c r="C64" s="2726" t="s">
        <v>5369</v>
      </c>
      <c r="D64" s="2822" t="s">
        <v>5370</v>
      </c>
      <c r="E64" s="2903" t="s">
        <v>5371</v>
      </c>
      <c r="F64" s="2903" t="s">
        <v>5372</v>
      </c>
      <c r="G64" s="2903" t="s">
        <v>5373</v>
      </c>
      <c r="H64" s="2903" t="s">
        <v>5374</v>
      </c>
      <c r="I64" s="2903" t="s">
        <v>5375</v>
      </c>
      <c r="J64" s="2903" t="s">
        <v>5376</v>
      </c>
      <c r="K64" s="2903" t="s">
        <v>5377</v>
      </c>
      <c r="L64" s="2903" t="s">
        <v>5378</v>
      </c>
      <c r="M64" s="2903" t="s">
        <v>5379</v>
      </c>
      <c r="N64" s="2903" t="s">
        <v>5380</v>
      </c>
      <c r="O64" s="2903" t="s">
        <v>5381</v>
      </c>
      <c r="P64" s="2903" t="s">
        <v>5382</v>
      </c>
      <c r="Q64" s="2903" t="s">
        <v>5383</v>
      </c>
      <c r="R64" s="2903" t="s">
        <v>5384</v>
      </c>
      <c r="S64" s="2903" t="s">
        <v>5385</v>
      </c>
      <c r="T64" s="2824" t="s">
        <v>5386</v>
      </c>
      <c r="U64" s="2678" t="s">
        <v>5387</v>
      </c>
      <c r="V64" s="110" t="s">
        <v>5388</v>
      </c>
      <c r="W64" s="122" t="s">
        <v>5389</v>
      </c>
      <c r="X64" s="135" t="s">
        <v>5390</v>
      </c>
      <c r="Y64" s="110" t="s">
        <v>5391</v>
      </c>
      <c r="Z64" s="111" t="s">
        <v>5392</v>
      </c>
      <c r="AA64" s="122" t="s">
        <v>5393</v>
      </c>
      <c r="AB64" s="323" t="s">
        <v>5394</v>
      </c>
      <c r="AC64" s="110" t="s">
        <v>5395</v>
      </c>
      <c r="AD64" s="136" t="s">
        <v>5396</v>
      </c>
      <c r="AE64" s="122" t="s">
        <v>5397</v>
      </c>
      <c r="AF64" s="3230" t="s">
        <v>5398</v>
      </c>
      <c r="AG64" s="2034" t="s">
        <v>5399</v>
      </c>
      <c r="AH64" s="1360" t="e">
        <f t="shared" si="9"/>
        <v>#VALUE!</v>
      </c>
      <c r="AI64" s="806"/>
      <c r="AJ64" s="806"/>
      <c r="AK64" s="806"/>
      <c r="AL64" s="806"/>
      <c r="AM64" s="806"/>
      <c r="AN64" s="806"/>
      <c r="AO64" s="806"/>
      <c r="AP64" s="290"/>
      <c r="AQ64" s="290"/>
      <c r="AR64" s="290"/>
      <c r="AS64" s="290"/>
      <c r="AT64" s="290"/>
      <c r="BF64" s="1430"/>
      <c r="BG64" s="1430"/>
      <c r="BY64" s="165"/>
      <c r="BZ64" s="165"/>
      <c r="CA64" s="165"/>
      <c r="CB64" s="1515" t="e">
        <f t="shared" si="10"/>
        <v>#VALUE!</v>
      </c>
      <c r="CC64" s="1515" t="str">
        <f t="shared" si="11"/>
        <v/>
      </c>
      <c r="CD64" s="1515" t="str">
        <f t="shared" si="12"/>
        <v xml:space="preserve">* El número de Beneficiarios NO DEBE ser mayor que el Total. </v>
      </c>
      <c r="CE64" s="1515" t="e">
        <f t="shared" si="13"/>
        <v>#VALUE!</v>
      </c>
      <c r="CF64" s="1515" t="str">
        <f t="shared" si="14"/>
        <v/>
      </c>
      <c r="CG64" s="1515"/>
      <c r="CT64" s="1435"/>
      <c r="CU64" s="1435"/>
      <c r="CV64" s="1435"/>
      <c r="CW64" s="1435"/>
      <c r="CX64" s="1435"/>
      <c r="CY64" s="1435"/>
      <c r="CZ64" s="1435"/>
      <c r="DA64" s="1435"/>
      <c r="DB64" s="3222" t="e">
        <f t="shared" si="15"/>
        <v>#VALUE!</v>
      </c>
      <c r="DC64" s="3222">
        <f t="shared" si="16"/>
        <v>0</v>
      </c>
      <c r="DD64" s="3222">
        <f t="shared" si="17"/>
        <v>1</v>
      </c>
      <c r="DE64" s="3222" t="e">
        <f t="shared" si="18"/>
        <v>#VALUE!</v>
      </c>
      <c r="DF64" s="3222"/>
      <c r="DG64" s="3222"/>
      <c r="DH64" s="3222"/>
      <c r="DI64" s="3222"/>
      <c r="DJ64" s="3222"/>
      <c r="DK64" s="3222"/>
      <c r="DL64" s="3222"/>
      <c r="DM64" s="3222"/>
    </row>
    <row r="65" spans="1:131" ht="16.350000000000001" customHeight="1" x14ac:dyDescent="0.3">
      <c r="A65" s="7299" t="s">
        <v>4787</v>
      </c>
      <c r="B65" s="2855" t="s">
        <v>287</v>
      </c>
      <c r="C65" s="2726" t="s">
        <v>5369</v>
      </c>
      <c r="D65" s="2822" t="s">
        <v>5370</v>
      </c>
      <c r="E65" s="2903" t="s">
        <v>5371</v>
      </c>
      <c r="F65" s="2903" t="s">
        <v>5372</v>
      </c>
      <c r="G65" s="2903" t="s">
        <v>5373</v>
      </c>
      <c r="H65" s="2903" t="s">
        <v>5374</v>
      </c>
      <c r="I65" s="2903" t="s">
        <v>5375</v>
      </c>
      <c r="J65" s="2903" t="s">
        <v>5376</v>
      </c>
      <c r="K65" s="2903" t="s">
        <v>5377</v>
      </c>
      <c r="L65" s="2903" t="s">
        <v>5378</v>
      </c>
      <c r="M65" s="2903" t="s">
        <v>5379</v>
      </c>
      <c r="N65" s="2903" t="s">
        <v>5380</v>
      </c>
      <c r="O65" s="2903" t="s">
        <v>5381</v>
      </c>
      <c r="P65" s="2903" t="s">
        <v>5382</v>
      </c>
      <c r="Q65" s="2903" t="s">
        <v>5383</v>
      </c>
      <c r="R65" s="2903" t="s">
        <v>5384</v>
      </c>
      <c r="S65" s="2903" t="s">
        <v>5385</v>
      </c>
      <c r="T65" s="2824" t="s">
        <v>5386</v>
      </c>
      <c r="U65" s="2678" t="s">
        <v>5387</v>
      </c>
      <c r="V65" s="110" t="s">
        <v>5388</v>
      </c>
      <c r="W65" s="122" t="s">
        <v>5389</v>
      </c>
      <c r="X65" s="135" t="s">
        <v>5390</v>
      </c>
      <c r="Y65" s="110" t="s">
        <v>5391</v>
      </c>
      <c r="Z65" s="111" t="s">
        <v>5392</v>
      </c>
      <c r="AA65" s="122" t="s">
        <v>5393</v>
      </c>
      <c r="AB65" s="323" t="s">
        <v>5394</v>
      </c>
      <c r="AC65" s="110" t="s">
        <v>5395</v>
      </c>
      <c r="AD65" s="136" t="s">
        <v>5396</v>
      </c>
      <c r="AE65" s="122" t="s">
        <v>5397</v>
      </c>
      <c r="AF65" s="3230" t="s">
        <v>5398</v>
      </c>
      <c r="AG65" s="2034" t="s">
        <v>5399</v>
      </c>
      <c r="AH65" s="1360" t="e">
        <f t="shared" si="9"/>
        <v>#VALUE!</v>
      </c>
      <c r="AI65" s="806"/>
      <c r="AJ65" s="806"/>
      <c r="AK65" s="806"/>
      <c r="AL65" s="806"/>
      <c r="AM65" s="806"/>
      <c r="AN65" s="806"/>
      <c r="AO65" s="806"/>
      <c r="AP65" s="290"/>
      <c r="AQ65" s="290"/>
      <c r="AR65" s="290"/>
      <c r="AS65" s="290"/>
      <c r="AT65" s="290"/>
      <c r="BF65" s="1430"/>
      <c r="BG65" s="1430"/>
      <c r="BY65" s="165"/>
      <c r="BZ65" s="165"/>
      <c r="CA65" s="165"/>
      <c r="CB65" s="1515" t="e">
        <f t="shared" si="10"/>
        <v>#VALUE!</v>
      </c>
      <c r="CC65" s="1515" t="str">
        <f t="shared" si="11"/>
        <v/>
      </c>
      <c r="CD65" s="1515" t="str">
        <f t="shared" si="12"/>
        <v xml:space="preserve">* El número de Beneficiarios NO DEBE ser mayor que el Total. </v>
      </c>
      <c r="CE65" s="1515" t="e">
        <f t="shared" si="13"/>
        <v>#VALUE!</v>
      </c>
      <c r="CF65" s="1515" t="str">
        <f t="shared" si="14"/>
        <v/>
      </c>
      <c r="CG65" s="1515"/>
      <c r="CT65" s="1435"/>
      <c r="CU65" s="1435"/>
      <c r="CV65" s="1435"/>
      <c r="CW65" s="1435"/>
      <c r="CX65" s="1435"/>
      <c r="CY65" s="1435"/>
      <c r="CZ65" s="1435"/>
      <c r="DA65" s="1435"/>
      <c r="DB65" s="3222" t="e">
        <f t="shared" si="15"/>
        <v>#VALUE!</v>
      </c>
      <c r="DC65" s="3222">
        <f t="shared" si="16"/>
        <v>0</v>
      </c>
      <c r="DD65" s="3222">
        <f t="shared" si="17"/>
        <v>1</v>
      </c>
      <c r="DE65" s="3222" t="e">
        <f t="shared" si="18"/>
        <v>#VALUE!</v>
      </c>
      <c r="DF65" s="3222"/>
      <c r="DG65" s="3222"/>
      <c r="DH65" s="3222"/>
      <c r="DI65" s="3222"/>
      <c r="DJ65" s="3222"/>
      <c r="DK65" s="3222"/>
      <c r="DL65" s="3222"/>
      <c r="DM65" s="3222"/>
    </row>
    <row r="66" spans="1:131" ht="16.350000000000001" customHeight="1" x14ac:dyDescent="0.3">
      <c r="A66" s="7299" t="s">
        <v>4788</v>
      </c>
      <c r="B66" s="2855" t="s">
        <v>452</v>
      </c>
      <c r="C66" s="2726" t="s">
        <v>5369</v>
      </c>
      <c r="D66" s="3391" t="s">
        <v>5370</v>
      </c>
      <c r="E66" s="3392" t="s">
        <v>5371</v>
      </c>
      <c r="F66" s="3392" t="s">
        <v>5372</v>
      </c>
      <c r="G66" s="3392" t="s">
        <v>5373</v>
      </c>
      <c r="H66" s="3392" t="s">
        <v>5374</v>
      </c>
      <c r="I66" s="3392" t="s">
        <v>5375</v>
      </c>
      <c r="J66" s="3392" t="s">
        <v>5376</v>
      </c>
      <c r="K66" s="3392" t="s">
        <v>5377</v>
      </c>
      <c r="L66" s="3392" t="s">
        <v>5378</v>
      </c>
      <c r="M66" s="2903" t="s">
        <v>5379</v>
      </c>
      <c r="N66" s="2903" t="s">
        <v>5380</v>
      </c>
      <c r="O66" s="2903" t="s">
        <v>5381</v>
      </c>
      <c r="P66" s="2903" t="s">
        <v>5382</v>
      </c>
      <c r="Q66" s="2903" t="s">
        <v>5383</v>
      </c>
      <c r="R66" s="2903" t="s">
        <v>5384</v>
      </c>
      <c r="S66" s="2903" t="s">
        <v>5385</v>
      </c>
      <c r="T66" s="2824" t="s">
        <v>5386</v>
      </c>
      <c r="U66" s="2678" t="s">
        <v>5387</v>
      </c>
      <c r="V66" s="110" t="s">
        <v>5388</v>
      </c>
      <c r="W66" s="122" t="s">
        <v>5389</v>
      </c>
      <c r="X66" s="135" t="s">
        <v>5390</v>
      </c>
      <c r="Y66" s="110" t="s">
        <v>5391</v>
      </c>
      <c r="Z66" s="111" t="s">
        <v>5392</v>
      </c>
      <c r="AA66" s="122" t="s">
        <v>5393</v>
      </c>
      <c r="AB66" s="323" t="s">
        <v>5394</v>
      </c>
      <c r="AC66" s="110" t="s">
        <v>5395</v>
      </c>
      <c r="AD66" s="136" t="s">
        <v>5396</v>
      </c>
      <c r="AE66" s="122" t="s">
        <v>5397</v>
      </c>
      <c r="AF66" s="3230" t="s">
        <v>5398</v>
      </c>
      <c r="AG66" s="2034" t="s">
        <v>5399</v>
      </c>
      <c r="AH66" s="1360" t="e">
        <f t="shared" si="9"/>
        <v>#VALUE!</v>
      </c>
      <c r="AI66" s="806"/>
      <c r="AJ66" s="806"/>
      <c r="AK66" s="806"/>
      <c r="AL66" s="806"/>
      <c r="AM66" s="806"/>
      <c r="AN66" s="806"/>
      <c r="AO66" s="806"/>
      <c r="AP66" s="290"/>
      <c r="AQ66" s="290"/>
      <c r="AR66" s="290"/>
      <c r="AS66" s="290"/>
      <c r="AT66" s="290"/>
      <c r="BF66" s="1430"/>
      <c r="BG66" s="1430"/>
      <c r="BY66" s="165"/>
      <c r="BZ66" s="165"/>
      <c r="CA66" s="165"/>
      <c r="CB66" s="1515" t="e">
        <f t="shared" si="10"/>
        <v>#VALUE!</v>
      </c>
      <c r="CC66" s="1515" t="str">
        <f t="shared" si="11"/>
        <v/>
      </c>
      <c r="CD66" s="1515" t="str">
        <f t="shared" si="12"/>
        <v xml:space="preserve">* El número de Beneficiarios NO DEBE ser mayor que el Total. </v>
      </c>
      <c r="CE66" s="1515" t="e">
        <f t="shared" si="13"/>
        <v>#VALUE!</v>
      </c>
      <c r="CF66" s="1515" t="str">
        <f t="shared" si="14"/>
        <v/>
      </c>
      <c r="CG66" s="1515"/>
      <c r="CT66" s="1435"/>
      <c r="CU66" s="1435"/>
      <c r="CV66" s="1435"/>
      <c r="CW66" s="1435"/>
      <c r="CX66" s="1435"/>
      <c r="CY66" s="1435"/>
      <c r="CZ66" s="1435"/>
      <c r="DA66" s="1435"/>
      <c r="DB66" s="3222" t="e">
        <f t="shared" si="15"/>
        <v>#VALUE!</v>
      </c>
      <c r="DC66" s="3222">
        <f t="shared" si="16"/>
        <v>0</v>
      </c>
      <c r="DD66" s="3222">
        <f t="shared" si="17"/>
        <v>1</v>
      </c>
      <c r="DE66" s="3222" t="e">
        <f t="shared" si="18"/>
        <v>#VALUE!</v>
      </c>
      <c r="DF66" s="3222"/>
      <c r="DG66" s="3222"/>
      <c r="DH66" s="3222"/>
      <c r="DI66" s="3222"/>
      <c r="DJ66" s="3222"/>
      <c r="DK66" s="3222"/>
      <c r="DL66" s="3222"/>
      <c r="DM66" s="3222"/>
    </row>
    <row r="67" spans="1:131" ht="16.350000000000001" customHeight="1" x14ac:dyDescent="0.3">
      <c r="A67" s="7299" t="s">
        <v>4789</v>
      </c>
      <c r="B67" s="2855" t="s">
        <v>288</v>
      </c>
      <c r="C67" s="2726" t="s">
        <v>5369</v>
      </c>
      <c r="D67" s="2822" t="s">
        <v>5370</v>
      </c>
      <c r="E67" s="2903" t="s">
        <v>5371</v>
      </c>
      <c r="F67" s="2903" t="s">
        <v>5372</v>
      </c>
      <c r="G67" s="2903" t="s">
        <v>5373</v>
      </c>
      <c r="H67" s="2903" t="s">
        <v>5374</v>
      </c>
      <c r="I67" s="2903" t="s">
        <v>5375</v>
      </c>
      <c r="J67" s="2903" t="s">
        <v>5376</v>
      </c>
      <c r="K67" s="2903" t="s">
        <v>5377</v>
      </c>
      <c r="L67" s="2903" t="s">
        <v>5378</v>
      </c>
      <c r="M67" s="2903" t="s">
        <v>5379</v>
      </c>
      <c r="N67" s="2903" t="s">
        <v>5380</v>
      </c>
      <c r="O67" s="2903" t="s">
        <v>5381</v>
      </c>
      <c r="P67" s="2903" t="s">
        <v>5382</v>
      </c>
      <c r="Q67" s="2903" t="s">
        <v>5383</v>
      </c>
      <c r="R67" s="2903" t="s">
        <v>5384</v>
      </c>
      <c r="S67" s="2903" t="s">
        <v>5385</v>
      </c>
      <c r="T67" s="2824" t="s">
        <v>5386</v>
      </c>
      <c r="U67" s="2678" t="s">
        <v>5387</v>
      </c>
      <c r="V67" s="110" t="s">
        <v>5388</v>
      </c>
      <c r="W67" s="122" t="s">
        <v>5389</v>
      </c>
      <c r="X67" s="135" t="s">
        <v>5390</v>
      </c>
      <c r="Y67" s="110" t="s">
        <v>5391</v>
      </c>
      <c r="Z67" s="111" t="s">
        <v>5392</v>
      </c>
      <c r="AA67" s="122" t="s">
        <v>5393</v>
      </c>
      <c r="AB67" s="323" t="s">
        <v>5394</v>
      </c>
      <c r="AC67" s="110" t="s">
        <v>5395</v>
      </c>
      <c r="AD67" s="136" t="s">
        <v>5396</v>
      </c>
      <c r="AE67" s="122" t="s">
        <v>5397</v>
      </c>
      <c r="AF67" s="3230" t="s">
        <v>5398</v>
      </c>
      <c r="AG67" s="2034" t="s">
        <v>5399</v>
      </c>
      <c r="AH67" s="1360" t="e">
        <f t="shared" si="9"/>
        <v>#VALUE!</v>
      </c>
      <c r="AI67" s="806"/>
      <c r="AJ67" s="806"/>
      <c r="AK67" s="806"/>
      <c r="AL67" s="806"/>
      <c r="AM67" s="806"/>
      <c r="AN67" s="806"/>
      <c r="AO67" s="806"/>
      <c r="AP67" s="290"/>
      <c r="AQ67" s="290"/>
      <c r="AR67" s="290"/>
      <c r="AS67" s="290"/>
      <c r="AT67" s="290"/>
      <c r="BF67" s="1430"/>
      <c r="BG67" s="1430"/>
      <c r="BY67" s="165"/>
      <c r="BZ67" s="165"/>
      <c r="CA67" s="165"/>
      <c r="CB67" s="1515" t="e">
        <f t="shared" si="10"/>
        <v>#VALUE!</v>
      </c>
      <c r="CC67" s="1515" t="str">
        <f t="shared" si="11"/>
        <v/>
      </c>
      <c r="CD67" s="1515" t="str">
        <f t="shared" si="12"/>
        <v xml:space="preserve">* El número de Beneficiarios NO DEBE ser mayor que el Total. </v>
      </c>
      <c r="CE67" s="1515" t="e">
        <f t="shared" si="13"/>
        <v>#VALUE!</v>
      </c>
      <c r="CF67" s="1515" t="str">
        <f t="shared" si="14"/>
        <v/>
      </c>
      <c r="CG67" s="1515"/>
      <c r="CT67" s="1435"/>
      <c r="CU67" s="1435"/>
      <c r="CV67" s="1435"/>
      <c r="CW67" s="1435"/>
      <c r="CX67" s="1435"/>
      <c r="CY67" s="1435"/>
      <c r="CZ67" s="1435"/>
      <c r="DA67" s="1435"/>
      <c r="DB67" s="3222" t="e">
        <f t="shared" si="15"/>
        <v>#VALUE!</v>
      </c>
      <c r="DC67" s="3222">
        <f t="shared" si="16"/>
        <v>0</v>
      </c>
      <c r="DD67" s="3222">
        <f t="shared" si="17"/>
        <v>1</v>
      </c>
      <c r="DE67" s="3222" t="e">
        <f t="shared" si="18"/>
        <v>#VALUE!</v>
      </c>
      <c r="DF67" s="3222"/>
      <c r="DG67" s="3222"/>
      <c r="DH67" s="3222"/>
      <c r="DI67" s="3222"/>
      <c r="DJ67" s="3222"/>
      <c r="DK67" s="3222"/>
      <c r="DL67" s="3222"/>
      <c r="DM67" s="3222"/>
    </row>
    <row r="68" spans="1:131" ht="16.350000000000001" customHeight="1" x14ac:dyDescent="0.3">
      <c r="A68" s="7299" t="s">
        <v>4790</v>
      </c>
      <c r="B68" s="2855" t="s">
        <v>289</v>
      </c>
      <c r="C68" s="2726" t="s">
        <v>5369</v>
      </c>
      <c r="D68" s="2822" t="s">
        <v>5370</v>
      </c>
      <c r="E68" s="2903" t="s">
        <v>5371</v>
      </c>
      <c r="F68" s="2903" t="s">
        <v>5372</v>
      </c>
      <c r="G68" s="2903" t="s">
        <v>5373</v>
      </c>
      <c r="H68" s="2903" t="s">
        <v>5374</v>
      </c>
      <c r="I68" s="2903" t="s">
        <v>5375</v>
      </c>
      <c r="J68" s="2903" t="s">
        <v>5376</v>
      </c>
      <c r="K68" s="2903" t="s">
        <v>5377</v>
      </c>
      <c r="L68" s="2903" t="s">
        <v>5378</v>
      </c>
      <c r="M68" s="2903" t="s">
        <v>5379</v>
      </c>
      <c r="N68" s="2903" t="s">
        <v>5380</v>
      </c>
      <c r="O68" s="2903" t="s">
        <v>5381</v>
      </c>
      <c r="P68" s="2903" t="s">
        <v>5382</v>
      </c>
      <c r="Q68" s="2903" t="s">
        <v>5383</v>
      </c>
      <c r="R68" s="2903" t="s">
        <v>5384</v>
      </c>
      <c r="S68" s="2903" t="s">
        <v>5385</v>
      </c>
      <c r="T68" s="2824" t="s">
        <v>5386</v>
      </c>
      <c r="U68" s="2678" t="s">
        <v>5387</v>
      </c>
      <c r="V68" s="110" t="s">
        <v>5388</v>
      </c>
      <c r="W68" s="122" t="s">
        <v>5389</v>
      </c>
      <c r="X68" s="135" t="s">
        <v>5390</v>
      </c>
      <c r="Y68" s="110" t="s">
        <v>5391</v>
      </c>
      <c r="Z68" s="111" t="s">
        <v>5392</v>
      </c>
      <c r="AA68" s="122" t="s">
        <v>5393</v>
      </c>
      <c r="AB68" s="323" t="s">
        <v>5394</v>
      </c>
      <c r="AC68" s="110" t="s">
        <v>5395</v>
      </c>
      <c r="AD68" s="136" t="s">
        <v>5396</v>
      </c>
      <c r="AE68" s="122" t="s">
        <v>5397</v>
      </c>
      <c r="AF68" s="3230" t="s">
        <v>5398</v>
      </c>
      <c r="AG68" s="2034" t="s">
        <v>5399</v>
      </c>
      <c r="AH68" s="1360" t="e">
        <f t="shared" si="9"/>
        <v>#VALUE!</v>
      </c>
      <c r="AI68" s="806"/>
      <c r="AJ68" s="806"/>
      <c r="AK68" s="806"/>
      <c r="AL68" s="806"/>
      <c r="AM68" s="806"/>
      <c r="AN68" s="806"/>
      <c r="AO68" s="806"/>
      <c r="AP68" s="290"/>
      <c r="AQ68" s="290"/>
      <c r="AR68" s="290"/>
      <c r="AS68" s="290"/>
      <c r="AT68" s="290"/>
      <c r="BF68" s="1430"/>
      <c r="BG68" s="1430"/>
      <c r="BY68" s="165"/>
      <c r="BZ68" s="165"/>
      <c r="CA68" s="165"/>
      <c r="CB68" s="1515" t="e">
        <f t="shared" si="10"/>
        <v>#VALUE!</v>
      </c>
      <c r="CC68" s="1515" t="str">
        <f t="shared" si="11"/>
        <v/>
      </c>
      <c r="CD68" s="1515" t="str">
        <f t="shared" si="12"/>
        <v xml:space="preserve">* El número de Beneficiarios NO DEBE ser mayor que el Total. </v>
      </c>
      <c r="CE68" s="1515" t="e">
        <f t="shared" si="13"/>
        <v>#VALUE!</v>
      </c>
      <c r="CF68" s="1515" t="str">
        <f t="shared" si="14"/>
        <v/>
      </c>
      <c r="CG68" s="1515"/>
      <c r="CT68" s="1435"/>
      <c r="CU68" s="1435"/>
      <c r="CV68" s="1435"/>
      <c r="CW68" s="1435"/>
      <c r="CX68" s="1435"/>
      <c r="CY68" s="1435"/>
      <c r="CZ68" s="1435"/>
      <c r="DA68" s="1435"/>
      <c r="DB68" s="3222" t="e">
        <f t="shared" si="15"/>
        <v>#VALUE!</v>
      </c>
      <c r="DC68" s="3222">
        <f t="shared" si="16"/>
        <v>0</v>
      </c>
      <c r="DD68" s="3222">
        <f t="shared" si="17"/>
        <v>1</v>
      </c>
      <c r="DE68" s="3222" t="e">
        <f t="shared" si="18"/>
        <v>#VALUE!</v>
      </c>
      <c r="DF68" s="3222"/>
      <c r="DG68" s="3222"/>
      <c r="DH68" s="3222"/>
      <c r="DI68" s="3222"/>
      <c r="DJ68" s="3222"/>
      <c r="DK68" s="3222"/>
      <c r="DL68" s="3222"/>
      <c r="DM68" s="3222"/>
    </row>
    <row r="69" spans="1:131" ht="16.350000000000001" customHeight="1" x14ac:dyDescent="0.3">
      <c r="A69" s="7299" t="s">
        <v>4791</v>
      </c>
      <c r="B69" s="3151" t="s">
        <v>418</v>
      </c>
      <c r="C69" s="2726" t="s">
        <v>5369</v>
      </c>
      <c r="D69" s="2822" t="s">
        <v>5370</v>
      </c>
      <c r="E69" s="2903" t="s">
        <v>5371</v>
      </c>
      <c r="F69" s="2903" t="s">
        <v>5372</v>
      </c>
      <c r="G69" s="2903" t="s">
        <v>5373</v>
      </c>
      <c r="H69" s="2903" t="s">
        <v>5374</v>
      </c>
      <c r="I69" s="2903" t="s">
        <v>5375</v>
      </c>
      <c r="J69" s="2903" t="s">
        <v>5376</v>
      </c>
      <c r="K69" s="2903" t="s">
        <v>5377</v>
      </c>
      <c r="L69" s="2903" t="s">
        <v>5378</v>
      </c>
      <c r="M69" s="2903" t="s">
        <v>5379</v>
      </c>
      <c r="N69" s="2903" t="s">
        <v>5380</v>
      </c>
      <c r="O69" s="2903" t="s">
        <v>5381</v>
      </c>
      <c r="P69" s="2903" t="s">
        <v>5382</v>
      </c>
      <c r="Q69" s="2903" t="s">
        <v>5383</v>
      </c>
      <c r="R69" s="2903" t="s">
        <v>5384</v>
      </c>
      <c r="S69" s="2903" t="s">
        <v>5385</v>
      </c>
      <c r="T69" s="2824" t="s">
        <v>5386</v>
      </c>
      <c r="U69" s="2422" t="s">
        <v>5387</v>
      </c>
      <c r="V69" s="156" t="s">
        <v>5388</v>
      </c>
      <c r="W69" s="130" t="s">
        <v>5389</v>
      </c>
      <c r="X69" s="98" t="s">
        <v>5390</v>
      </c>
      <c r="Y69" s="110" t="s">
        <v>5391</v>
      </c>
      <c r="Z69" s="111" t="s">
        <v>5392</v>
      </c>
      <c r="AA69" s="122" t="s">
        <v>5393</v>
      </c>
      <c r="AB69" s="2171" t="s">
        <v>5394</v>
      </c>
      <c r="AC69" s="110" t="s">
        <v>5395</v>
      </c>
      <c r="AD69" s="136" t="s">
        <v>5396</v>
      </c>
      <c r="AE69" s="122" t="s">
        <v>5397</v>
      </c>
      <c r="AF69" s="3230" t="s">
        <v>5398</v>
      </c>
      <c r="AG69" s="2034" t="s">
        <v>5399</v>
      </c>
      <c r="AH69" s="1360" t="e">
        <f t="shared" si="9"/>
        <v>#VALUE!</v>
      </c>
      <c r="AI69" s="806"/>
      <c r="AJ69" s="806"/>
      <c r="AK69" s="806"/>
      <c r="AL69" s="806"/>
      <c r="AM69" s="806"/>
      <c r="AN69" s="806"/>
      <c r="AO69" s="806"/>
      <c r="AP69" s="290"/>
      <c r="AQ69" s="290"/>
      <c r="AR69" s="290"/>
      <c r="AS69" s="290"/>
      <c r="AT69" s="290"/>
      <c r="BF69" s="1430"/>
      <c r="BG69" s="1430"/>
      <c r="BY69" s="165"/>
      <c r="BZ69" s="165"/>
      <c r="CA69" s="165"/>
      <c r="CB69" s="1515" t="e">
        <f t="shared" si="10"/>
        <v>#VALUE!</v>
      </c>
      <c r="CC69" s="1515" t="str">
        <f t="shared" si="11"/>
        <v/>
      </c>
      <c r="CD69" s="1515" t="str">
        <f t="shared" si="12"/>
        <v xml:space="preserve">* El número de Beneficiarios NO DEBE ser mayor que el Total. </v>
      </c>
      <c r="CE69" s="1515" t="e">
        <f t="shared" si="13"/>
        <v>#VALUE!</v>
      </c>
      <c r="CF69" s="1515" t="str">
        <f t="shared" si="14"/>
        <v/>
      </c>
      <c r="CG69" s="1515"/>
      <c r="CT69" s="1435"/>
      <c r="CU69" s="1435"/>
      <c r="CV69" s="1435"/>
      <c r="CW69" s="1435"/>
      <c r="CX69" s="1435"/>
      <c r="CY69" s="1435"/>
      <c r="CZ69" s="1435"/>
      <c r="DA69" s="1435"/>
      <c r="DB69" s="3222" t="e">
        <f t="shared" si="15"/>
        <v>#VALUE!</v>
      </c>
      <c r="DC69" s="3222">
        <f t="shared" si="16"/>
        <v>0</v>
      </c>
      <c r="DD69" s="3222">
        <f t="shared" si="17"/>
        <v>1</v>
      </c>
      <c r="DE69" s="3222" t="e">
        <f t="shared" si="18"/>
        <v>#VALUE!</v>
      </c>
      <c r="DF69" s="3222"/>
      <c r="DG69" s="3222"/>
      <c r="DH69" s="3222"/>
      <c r="DI69" s="3222"/>
      <c r="DJ69" s="3222"/>
      <c r="DK69" s="3222"/>
      <c r="DL69" s="3222"/>
      <c r="DM69" s="3222"/>
    </row>
    <row r="70" spans="1:131" ht="16.350000000000001" customHeight="1" x14ac:dyDescent="0.3">
      <c r="A70" s="7299" t="s">
        <v>4792</v>
      </c>
      <c r="B70" s="3152" t="s">
        <v>419</v>
      </c>
      <c r="C70" s="176" t="s">
        <v>5369</v>
      </c>
      <c r="D70" s="2825" t="s">
        <v>5370</v>
      </c>
      <c r="E70" s="2828" t="s">
        <v>5371</v>
      </c>
      <c r="F70" s="2828" t="s">
        <v>5372</v>
      </c>
      <c r="G70" s="2828" t="s">
        <v>5373</v>
      </c>
      <c r="H70" s="2828" t="s">
        <v>5374</v>
      </c>
      <c r="I70" s="2828" t="s">
        <v>5375</v>
      </c>
      <c r="J70" s="2828" t="s">
        <v>5376</v>
      </c>
      <c r="K70" s="2828" t="s">
        <v>5377</v>
      </c>
      <c r="L70" s="2828" t="s">
        <v>5378</v>
      </c>
      <c r="M70" s="2828" t="s">
        <v>5379</v>
      </c>
      <c r="N70" s="2828" t="s">
        <v>5380</v>
      </c>
      <c r="O70" s="2828" t="s">
        <v>5381</v>
      </c>
      <c r="P70" s="2828" t="s">
        <v>5382</v>
      </c>
      <c r="Q70" s="2828" t="s">
        <v>5383</v>
      </c>
      <c r="R70" s="2828" t="s">
        <v>5384</v>
      </c>
      <c r="S70" s="2828" t="s">
        <v>5385</v>
      </c>
      <c r="T70" s="2821" t="s">
        <v>5386</v>
      </c>
      <c r="U70" s="3159" t="s">
        <v>5387</v>
      </c>
      <c r="V70" s="3160" t="s">
        <v>5388</v>
      </c>
      <c r="W70" s="3046" t="s">
        <v>5389</v>
      </c>
      <c r="X70" s="3161" t="s">
        <v>5390</v>
      </c>
      <c r="Y70" s="3158" t="s">
        <v>5391</v>
      </c>
      <c r="Z70" s="2991" t="s">
        <v>5392</v>
      </c>
      <c r="AA70" s="3046" t="s">
        <v>5393</v>
      </c>
      <c r="AB70" s="3162" t="s">
        <v>5394</v>
      </c>
      <c r="AC70" s="3158" t="s">
        <v>5395</v>
      </c>
      <c r="AD70" s="3045" t="s">
        <v>5396</v>
      </c>
      <c r="AE70" s="3046" t="s">
        <v>5397</v>
      </c>
      <c r="AF70" s="3160" t="s">
        <v>5398</v>
      </c>
      <c r="AG70" s="3046" t="s">
        <v>5399</v>
      </c>
      <c r="AH70" s="1360" t="e">
        <f t="shared" si="9"/>
        <v>#VALUE!</v>
      </c>
      <c r="AI70" s="806"/>
      <c r="AJ70" s="806"/>
      <c r="AK70" s="806"/>
      <c r="AL70" s="806"/>
      <c r="AM70" s="806"/>
      <c r="AN70" s="806"/>
      <c r="AO70" s="806"/>
      <c r="AP70" s="290"/>
      <c r="AQ70" s="290"/>
      <c r="AR70" s="290"/>
      <c r="AS70" s="290"/>
      <c r="AT70" s="290"/>
      <c r="BF70" s="1430"/>
      <c r="BG70" s="1430"/>
      <c r="BY70" s="165"/>
      <c r="BZ70" s="165"/>
      <c r="CA70" s="165"/>
      <c r="CB70" s="1515" t="e">
        <f t="shared" si="10"/>
        <v>#VALUE!</v>
      </c>
      <c r="CC70" s="1515" t="str">
        <f t="shared" si="11"/>
        <v/>
      </c>
      <c r="CD70" s="1515" t="str">
        <f t="shared" si="12"/>
        <v xml:space="preserve">* El número de Beneficiarios NO DEBE ser mayor que el Total. </v>
      </c>
      <c r="CE70" s="1515" t="e">
        <f t="shared" si="13"/>
        <v>#VALUE!</v>
      </c>
      <c r="CF70" s="1515" t="str">
        <f t="shared" si="14"/>
        <v/>
      </c>
      <c r="CG70" s="1515"/>
      <c r="CT70" s="1435"/>
      <c r="CU70" s="1435"/>
      <c r="CV70" s="1435"/>
      <c r="CW70" s="1435"/>
      <c r="CX70" s="1435"/>
      <c r="CY70" s="1435"/>
      <c r="CZ70" s="1435"/>
      <c r="DA70" s="1435"/>
      <c r="DB70" s="3222" t="e">
        <f t="shared" si="15"/>
        <v>#VALUE!</v>
      </c>
      <c r="DC70" s="3222">
        <f t="shared" si="16"/>
        <v>0</v>
      </c>
      <c r="DD70" s="3222">
        <f t="shared" si="17"/>
        <v>1</v>
      </c>
      <c r="DE70" s="3222" t="e">
        <f t="shared" si="18"/>
        <v>#VALUE!</v>
      </c>
      <c r="DF70" s="3222"/>
      <c r="DG70" s="3222"/>
      <c r="DH70" s="3222"/>
      <c r="DI70" s="3222"/>
      <c r="DJ70" s="3222"/>
      <c r="DK70" s="3222"/>
      <c r="DL70" s="3222"/>
      <c r="DM70" s="3222"/>
    </row>
    <row r="71" spans="1:131" s="140" customFormat="1" ht="16.350000000000001" customHeight="1" x14ac:dyDescent="0.25">
      <c r="A71" s="7303"/>
      <c r="B71" s="293" t="s">
        <v>24</v>
      </c>
      <c r="C71" s="2727">
        <f t="shared" ref="C71:AB71" si="19">SUM(C11:C70)</f>
        <v>0</v>
      </c>
      <c r="D71" s="2725">
        <f>SUM(D11:D70)</f>
        <v>0</v>
      </c>
      <c r="E71" s="2037">
        <f t="shared" si="19"/>
        <v>0</v>
      </c>
      <c r="F71" s="2037">
        <f t="shared" si="19"/>
        <v>0</v>
      </c>
      <c r="G71" s="2037">
        <f t="shared" si="19"/>
        <v>0</v>
      </c>
      <c r="H71" s="2037">
        <f t="shared" si="19"/>
        <v>0</v>
      </c>
      <c r="I71" s="2037">
        <f t="shared" si="19"/>
        <v>0</v>
      </c>
      <c r="J71" s="2037">
        <f t="shared" si="19"/>
        <v>0</v>
      </c>
      <c r="K71" s="2037">
        <f t="shared" si="19"/>
        <v>0</v>
      </c>
      <c r="L71" s="2037">
        <f t="shared" si="19"/>
        <v>0</v>
      </c>
      <c r="M71" s="2037">
        <f t="shared" si="19"/>
        <v>0</v>
      </c>
      <c r="N71" s="2037">
        <f t="shared" si="19"/>
        <v>0</v>
      </c>
      <c r="O71" s="2037">
        <f t="shared" si="19"/>
        <v>0</v>
      </c>
      <c r="P71" s="2037">
        <f t="shared" si="19"/>
        <v>0</v>
      </c>
      <c r="Q71" s="2037">
        <f t="shared" si="19"/>
        <v>0</v>
      </c>
      <c r="R71" s="2037">
        <f t="shared" si="19"/>
        <v>0</v>
      </c>
      <c r="S71" s="2037">
        <f t="shared" si="19"/>
        <v>0</v>
      </c>
      <c r="T71" s="3163">
        <f t="shared" si="19"/>
        <v>0</v>
      </c>
      <c r="U71" s="2728">
        <f t="shared" si="19"/>
        <v>0</v>
      </c>
      <c r="V71" s="2040">
        <f t="shared" si="19"/>
        <v>0</v>
      </c>
      <c r="W71" s="2038">
        <f t="shared" si="19"/>
        <v>0</v>
      </c>
      <c r="X71" s="2040">
        <f t="shared" si="19"/>
        <v>0</v>
      </c>
      <c r="Y71" s="2040">
        <f t="shared" si="19"/>
        <v>0</v>
      </c>
      <c r="Z71" s="2037">
        <f t="shared" si="19"/>
        <v>0</v>
      </c>
      <c r="AA71" s="2039">
        <f t="shared" si="19"/>
        <v>0</v>
      </c>
      <c r="AB71" s="1960">
        <f t="shared" si="19"/>
        <v>0</v>
      </c>
      <c r="AC71" s="2040">
        <f>SUM(AC11:AC70)</f>
        <v>0</v>
      </c>
      <c r="AD71" s="2037">
        <f>SUM(AD11:AD70)</f>
        <v>0</v>
      </c>
      <c r="AE71" s="2038">
        <f>SUM(AE11:AE70)</f>
        <v>0</v>
      </c>
      <c r="AF71" s="4497">
        <f>SUM(AF11:AF70)</f>
        <v>0</v>
      </c>
      <c r="AG71" s="4498">
        <f>SUM(AG11:AG70)</f>
        <v>0</v>
      </c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BF71" s="105"/>
      <c r="BS71" s="165"/>
      <c r="BT71" s="165"/>
      <c r="BU71" s="165"/>
      <c r="BV71" s="165"/>
      <c r="BW71" s="165"/>
      <c r="BX71" s="165"/>
      <c r="BY71" s="165"/>
      <c r="BZ71" s="165"/>
      <c r="CA71" s="165"/>
      <c r="CB71" s="687"/>
      <c r="CC71" s="687"/>
      <c r="CD71" s="687"/>
      <c r="CE71" s="687"/>
      <c r="CF71" s="687"/>
      <c r="CG71" s="687"/>
      <c r="CH71" s="3221"/>
      <c r="CI71" s="3221"/>
      <c r="CJ71" s="3221"/>
      <c r="CK71" s="3221"/>
      <c r="CL71" s="3221"/>
      <c r="CM71" s="3221"/>
      <c r="CN71" s="3221"/>
      <c r="CO71" s="3221"/>
      <c r="CP71" s="3221"/>
      <c r="CQ71" s="3221"/>
      <c r="CR71" s="3221"/>
      <c r="CS71" s="3221"/>
      <c r="CT71" s="3221"/>
      <c r="CU71" s="3221"/>
      <c r="CV71" s="3221"/>
      <c r="CW71" s="3221"/>
      <c r="CX71" s="3221"/>
      <c r="CY71" s="3221"/>
      <c r="CZ71" s="3221"/>
      <c r="DA71" s="3221"/>
      <c r="DB71" s="3216"/>
      <c r="DC71" s="3216"/>
      <c r="DD71" s="3216"/>
      <c r="DE71" s="3216"/>
      <c r="DF71" s="3216"/>
      <c r="DG71" s="3223"/>
      <c r="DH71" s="3223"/>
      <c r="DI71" s="3223"/>
      <c r="DJ71" s="3223"/>
      <c r="DK71" s="3223"/>
      <c r="DL71" s="3223"/>
      <c r="DM71" s="3223"/>
      <c r="DN71" s="3223"/>
      <c r="DO71" s="3223"/>
      <c r="DP71" s="3223"/>
      <c r="DQ71" s="3223"/>
      <c r="DR71" s="3223"/>
      <c r="DS71" s="3223"/>
      <c r="DT71" s="3223"/>
      <c r="DU71" s="3223"/>
      <c r="DV71" s="3223"/>
      <c r="DW71" s="3223"/>
      <c r="DX71" s="3223"/>
      <c r="DY71" s="3223"/>
      <c r="DZ71" s="3223"/>
      <c r="EA71" s="3223"/>
    </row>
    <row r="72" spans="1:131" s="140" customFormat="1" ht="16.350000000000001" customHeight="1" x14ac:dyDescent="0.25">
      <c r="B72" s="3393" t="s">
        <v>3477</v>
      </c>
      <c r="C72" s="165"/>
      <c r="D72" s="165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BF72" s="105"/>
      <c r="BS72" s="165"/>
      <c r="BT72" s="165"/>
      <c r="BU72" s="165"/>
      <c r="BV72" s="165"/>
      <c r="BW72" s="165"/>
      <c r="BX72" s="165"/>
      <c r="BY72" s="165"/>
      <c r="BZ72" s="165"/>
      <c r="CA72" s="165"/>
      <c r="CB72" s="687"/>
      <c r="CC72" s="687"/>
      <c r="CD72" s="687"/>
      <c r="CE72" s="687"/>
      <c r="CF72" s="687"/>
      <c r="CG72" s="687"/>
      <c r="CH72" s="3221"/>
      <c r="CI72" s="3221"/>
      <c r="CJ72" s="3221"/>
      <c r="CK72" s="3221"/>
      <c r="CL72" s="3221"/>
      <c r="CM72" s="3221"/>
      <c r="CN72" s="3221"/>
      <c r="CO72" s="3221"/>
      <c r="CP72" s="3221"/>
      <c r="CQ72" s="3221"/>
      <c r="CR72" s="3221"/>
      <c r="CS72" s="3221"/>
      <c r="CT72" s="3221"/>
      <c r="CU72" s="3221"/>
      <c r="CV72" s="3221"/>
      <c r="CW72" s="3221"/>
      <c r="CX72" s="3221"/>
      <c r="CY72" s="3221"/>
      <c r="CZ72" s="3221"/>
      <c r="DA72" s="3221"/>
      <c r="DB72" s="3216"/>
      <c r="DC72" s="3216"/>
      <c r="DD72" s="3216"/>
      <c r="DE72" s="3216"/>
      <c r="DF72" s="3216"/>
      <c r="DG72" s="3223"/>
      <c r="DH72" s="3223"/>
      <c r="DI72" s="3223"/>
      <c r="DJ72" s="3223"/>
      <c r="DK72" s="3223"/>
      <c r="DL72" s="3223"/>
      <c r="DM72" s="3223"/>
      <c r="DN72" s="3223"/>
      <c r="DO72" s="3223"/>
      <c r="DP72" s="3223"/>
      <c r="DQ72" s="3223"/>
      <c r="DR72" s="3223"/>
      <c r="DS72" s="3223"/>
      <c r="DT72" s="3223"/>
      <c r="DU72" s="3223"/>
      <c r="DV72" s="3223"/>
      <c r="DW72" s="3223"/>
      <c r="DX72" s="3223"/>
      <c r="DY72" s="3223"/>
      <c r="DZ72" s="3223"/>
      <c r="EA72" s="3223"/>
    </row>
    <row r="73" spans="1:131" s="140" customFormat="1" ht="28.2" customHeight="1" x14ac:dyDescent="0.2">
      <c r="B73" s="8975" t="s">
        <v>89</v>
      </c>
      <c r="C73" s="9539" t="s">
        <v>3534</v>
      </c>
      <c r="D73" s="9513"/>
      <c r="E73" s="9513"/>
      <c r="F73" s="9540"/>
      <c r="G73" s="9539" t="s">
        <v>3548</v>
      </c>
      <c r="H73" s="9513"/>
      <c r="I73" s="9513"/>
      <c r="J73" s="9540"/>
      <c r="K73" s="9513" t="s">
        <v>3590</v>
      </c>
      <c r="L73" s="9513"/>
      <c r="M73" s="9513"/>
      <c r="N73" s="9540"/>
      <c r="O73" s="9544" t="s">
        <v>3549</v>
      </c>
      <c r="P73" s="9545"/>
      <c r="Q73" s="9546"/>
      <c r="R73" s="9550" t="s">
        <v>3550</v>
      </c>
      <c r="S73" s="8952"/>
      <c r="T73" s="9574" t="s">
        <v>3724</v>
      </c>
      <c r="U73" s="9575"/>
      <c r="V73" s="9550" t="s">
        <v>2645</v>
      </c>
      <c r="W73" s="8952"/>
      <c r="X73" s="8975" t="s">
        <v>623</v>
      </c>
      <c r="Y73" s="9550" t="s">
        <v>2647</v>
      </c>
      <c r="Z73" s="8952"/>
      <c r="AA73" s="9550" t="s">
        <v>2648</v>
      </c>
      <c r="AB73" s="8952"/>
      <c r="AC73" s="9550" t="s">
        <v>3721</v>
      </c>
      <c r="AD73" s="8952"/>
      <c r="AE73" s="8975" t="s">
        <v>3722</v>
      </c>
      <c r="AF73" s="9577" t="s">
        <v>2653</v>
      </c>
      <c r="AG73" s="9578"/>
      <c r="AH73" s="9581" t="s">
        <v>2652</v>
      </c>
      <c r="AI73" s="9581"/>
      <c r="AJ73" s="9581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R73" s="105"/>
      <c r="CB73" s="687"/>
      <c r="CC73" s="687"/>
      <c r="CD73" s="687"/>
      <c r="CE73" s="687"/>
      <c r="CF73" s="687"/>
      <c r="CG73" s="687"/>
      <c r="CH73" s="3224"/>
      <c r="CI73" s="3224"/>
      <c r="CJ73" s="3224"/>
      <c r="CK73" s="3224"/>
      <c r="CL73" s="3224"/>
      <c r="CM73" s="687"/>
      <c r="CN73" s="687"/>
      <c r="CO73" s="687"/>
      <c r="CP73" s="687"/>
      <c r="CQ73" s="687"/>
      <c r="CR73" s="687"/>
      <c r="CS73" s="687"/>
      <c r="CT73" s="687"/>
      <c r="CU73" s="687"/>
      <c r="CV73" s="687"/>
      <c r="CW73" s="687"/>
      <c r="CX73" s="687"/>
      <c r="CY73" s="687"/>
      <c r="CZ73" s="687"/>
      <c r="DA73" s="687"/>
    </row>
    <row r="74" spans="1:131" s="140" customFormat="1" ht="22.95" customHeight="1" x14ac:dyDescent="0.2">
      <c r="B74" s="8889"/>
      <c r="C74" s="9541"/>
      <c r="D74" s="9542"/>
      <c r="E74" s="9542"/>
      <c r="F74" s="9543"/>
      <c r="G74" s="9541"/>
      <c r="H74" s="9542"/>
      <c r="I74" s="9542"/>
      <c r="J74" s="9543"/>
      <c r="K74" s="9542"/>
      <c r="L74" s="9542"/>
      <c r="M74" s="9542"/>
      <c r="N74" s="9543"/>
      <c r="O74" s="9547"/>
      <c r="P74" s="9548"/>
      <c r="Q74" s="9549"/>
      <c r="R74" s="9551"/>
      <c r="S74" s="8953"/>
      <c r="T74" s="9576"/>
      <c r="U74" s="8759"/>
      <c r="V74" s="9551"/>
      <c r="W74" s="8953"/>
      <c r="X74" s="8889"/>
      <c r="Y74" s="9551"/>
      <c r="Z74" s="8953"/>
      <c r="AA74" s="9551"/>
      <c r="AB74" s="8953"/>
      <c r="AC74" s="9551"/>
      <c r="AD74" s="8953"/>
      <c r="AE74" s="8889"/>
      <c r="AF74" s="9579"/>
      <c r="AG74" s="9580"/>
      <c r="AH74" s="9581"/>
      <c r="AI74" s="9581"/>
      <c r="AJ74" s="9581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R74" s="105"/>
      <c r="CB74" s="687"/>
      <c r="CC74" s="687"/>
      <c r="CD74" s="687"/>
      <c r="CE74" s="687"/>
      <c r="CF74" s="687"/>
      <c r="CG74" s="687"/>
      <c r="CH74" s="3224"/>
      <c r="CI74" s="3224"/>
      <c r="CJ74" s="3224"/>
      <c r="CK74" s="3224"/>
      <c r="CL74" s="3224"/>
      <c r="CM74" s="687"/>
      <c r="CN74" s="687"/>
      <c r="CO74" s="687"/>
      <c r="CP74" s="687"/>
      <c r="CQ74" s="687"/>
      <c r="CR74" s="687"/>
      <c r="CS74" s="687"/>
      <c r="CT74" s="687"/>
      <c r="CU74" s="687"/>
      <c r="CV74" s="687"/>
      <c r="CW74" s="687"/>
      <c r="CX74" s="687"/>
      <c r="CY74" s="687"/>
      <c r="CZ74" s="687"/>
      <c r="DA74" s="687"/>
    </row>
    <row r="75" spans="1:131" s="140" customFormat="1" ht="63" customHeight="1" x14ac:dyDescent="0.2">
      <c r="B75" s="8976"/>
      <c r="C75" s="3394" t="s">
        <v>44</v>
      </c>
      <c r="D75" s="3395" t="s">
        <v>95</v>
      </c>
      <c r="E75" s="3396" t="s">
        <v>3056</v>
      </c>
      <c r="F75" s="3397" t="s">
        <v>1642</v>
      </c>
      <c r="G75" s="3398" t="s">
        <v>44</v>
      </c>
      <c r="H75" s="3395" t="s">
        <v>95</v>
      </c>
      <c r="I75" s="3396" t="s">
        <v>3056</v>
      </c>
      <c r="J75" s="3397" t="s">
        <v>1642</v>
      </c>
      <c r="K75" s="3394" t="s">
        <v>44</v>
      </c>
      <c r="L75" s="3395" t="s">
        <v>95</v>
      </c>
      <c r="M75" s="3396" t="s">
        <v>3056</v>
      </c>
      <c r="N75" s="3396" t="s">
        <v>1642</v>
      </c>
      <c r="O75" s="3399" t="s">
        <v>44</v>
      </c>
      <c r="P75" s="3400" t="s">
        <v>91</v>
      </c>
      <c r="Q75" s="3283" t="s">
        <v>97</v>
      </c>
      <c r="R75" s="3179" t="s">
        <v>93</v>
      </c>
      <c r="S75" s="3383" t="s">
        <v>94</v>
      </c>
      <c r="T75" s="3673" t="s">
        <v>93</v>
      </c>
      <c r="U75" s="3674" t="s">
        <v>94</v>
      </c>
      <c r="V75" s="3179" t="s">
        <v>2646</v>
      </c>
      <c r="W75" s="3383" t="s">
        <v>428</v>
      </c>
      <c r="X75" s="8976"/>
      <c r="Y75" s="3179" t="s">
        <v>93</v>
      </c>
      <c r="Z75" s="3383" t="s">
        <v>94</v>
      </c>
      <c r="AA75" s="3239" t="s">
        <v>2650</v>
      </c>
      <c r="AB75" s="3239" t="s">
        <v>2649</v>
      </c>
      <c r="AC75" s="3276" t="s">
        <v>3496</v>
      </c>
      <c r="AD75" s="3276" t="s">
        <v>3497</v>
      </c>
      <c r="AE75" s="8976"/>
      <c r="AF75" s="3401" t="s">
        <v>91</v>
      </c>
      <c r="AG75" s="3402" t="s">
        <v>97</v>
      </c>
      <c r="AH75" s="3403" t="s">
        <v>290</v>
      </c>
      <c r="AI75" s="3404" t="s">
        <v>291</v>
      </c>
      <c r="AJ75" s="3405" t="s">
        <v>292</v>
      </c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R75" s="105"/>
      <c r="CB75" s="687"/>
      <c r="CC75" s="687"/>
      <c r="CD75" s="687"/>
      <c r="CE75" s="687"/>
      <c r="CF75" s="687"/>
      <c r="CG75" s="687"/>
      <c r="CH75" s="3224"/>
      <c r="CI75" s="3224"/>
      <c r="CJ75" s="3224"/>
      <c r="CK75" s="3224"/>
      <c r="CL75" s="3224"/>
      <c r="CM75" s="687"/>
      <c r="CN75" s="687"/>
      <c r="CO75" s="687"/>
      <c r="CP75" s="687"/>
      <c r="CQ75" s="687"/>
      <c r="CR75" s="687"/>
      <c r="CS75" s="687"/>
      <c r="CT75" s="687"/>
      <c r="CU75" s="687"/>
      <c r="CV75" s="687"/>
      <c r="CW75" s="687"/>
      <c r="CX75" s="687"/>
      <c r="CY75" s="687"/>
      <c r="CZ75" s="687"/>
      <c r="DA75" s="687"/>
    </row>
    <row r="76" spans="1:131" s="140" customFormat="1" ht="16.350000000000001" customHeight="1" x14ac:dyDescent="0.2">
      <c r="A76" s="7306" t="s">
        <v>4793</v>
      </c>
      <c r="B76" s="3151" t="s">
        <v>111</v>
      </c>
      <c r="C76" s="3406" t="s">
        <v>5369</v>
      </c>
      <c r="D76" s="3407" t="s">
        <v>5370</v>
      </c>
      <c r="E76" s="3408" t="s">
        <v>5371</v>
      </c>
      <c r="F76" s="3408" t="s">
        <v>5372</v>
      </c>
      <c r="G76" s="3406" t="s">
        <v>5373</v>
      </c>
      <c r="H76" s="3407" t="s">
        <v>5374</v>
      </c>
      <c r="I76" s="3408" t="s">
        <v>5375</v>
      </c>
      <c r="J76" s="3408" t="s">
        <v>5376</v>
      </c>
      <c r="K76" s="3406" t="s">
        <v>5377</v>
      </c>
      <c r="L76" s="3407" t="s">
        <v>5378</v>
      </c>
      <c r="M76" s="3408" t="s">
        <v>5379</v>
      </c>
      <c r="N76" s="3409" t="s">
        <v>5380</v>
      </c>
      <c r="O76" s="3410" t="s">
        <v>5381</v>
      </c>
      <c r="P76" s="1792" t="s">
        <v>5382</v>
      </c>
      <c r="Q76" s="209" t="s">
        <v>5383</v>
      </c>
      <c r="R76" s="3230" t="s">
        <v>5384</v>
      </c>
      <c r="S76" s="2034" t="s">
        <v>5385</v>
      </c>
      <c r="T76" s="3754" t="s">
        <v>5386</v>
      </c>
      <c r="U76" s="4501" t="s">
        <v>5387</v>
      </c>
      <c r="V76" s="4500" t="s">
        <v>5388</v>
      </c>
      <c r="W76" s="4501" t="s">
        <v>5389</v>
      </c>
      <c r="X76" s="3246" t="s">
        <v>5390</v>
      </c>
      <c r="Y76" s="3230" t="s">
        <v>5391</v>
      </c>
      <c r="Z76" s="2034" t="s">
        <v>5392</v>
      </c>
      <c r="AA76" s="2986" t="s">
        <v>5393</v>
      </c>
      <c r="AB76" s="2986" t="s">
        <v>5394</v>
      </c>
      <c r="AC76" s="2986" t="s">
        <v>5395</v>
      </c>
      <c r="AD76" s="2986" t="s">
        <v>5396</v>
      </c>
      <c r="AE76" s="2986" t="s">
        <v>5397</v>
      </c>
      <c r="AF76" s="3411" t="s">
        <v>5398</v>
      </c>
      <c r="AG76" s="3412" t="s">
        <v>5399</v>
      </c>
      <c r="AH76" s="3137" t="s">
        <v>5400</v>
      </c>
      <c r="AI76" s="3126" t="s">
        <v>5401</v>
      </c>
      <c r="AJ76" s="2814" t="s">
        <v>5402</v>
      </c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R76" s="105"/>
      <c r="CB76" s="687"/>
      <c r="CC76" s="687"/>
      <c r="CD76" s="687"/>
      <c r="CE76" s="687"/>
      <c r="CF76" s="687"/>
      <c r="CG76" s="687"/>
      <c r="CH76" s="3224"/>
      <c r="CI76" s="3224"/>
      <c r="CJ76" s="3224"/>
      <c r="CK76" s="3224"/>
      <c r="CL76" s="3224"/>
      <c r="CM76" s="687"/>
      <c r="CN76" s="687"/>
      <c r="CO76" s="687"/>
      <c r="CP76" s="687"/>
      <c r="CQ76" s="687"/>
      <c r="CR76" s="687"/>
      <c r="CS76" s="687"/>
      <c r="CT76" s="687"/>
      <c r="CU76" s="687"/>
      <c r="CV76" s="687"/>
      <c r="CW76" s="687"/>
      <c r="CX76" s="687"/>
      <c r="CY76" s="687"/>
      <c r="CZ76" s="687"/>
      <c r="DA76" s="687"/>
    </row>
    <row r="77" spans="1:131" s="140" customFormat="1" ht="16.350000000000001" customHeight="1" x14ac:dyDescent="0.2">
      <c r="A77" s="7306" t="s">
        <v>4794</v>
      </c>
      <c r="B77" s="2855" t="s">
        <v>110</v>
      </c>
      <c r="C77" s="3413" t="s">
        <v>5369</v>
      </c>
      <c r="D77" s="3185" t="s">
        <v>5370</v>
      </c>
      <c r="E77" s="3237" t="s">
        <v>5371</v>
      </c>
      <c r="F77" s="3237" t="s">
        <v>5372</v>
      </c>
      <c r="G77" s="3413" t="s">
        <v>5373</v>
      </c>
      <c r="H77" s="3185" t="s">
        <v>5374</v>
      </c>
      <c r="I77" s="3237" t="s">
        <v>5375</v>
      </c>
      <c r="J77" s="3237" t="s">
        <v>5376</v>
      </c>
      <c r="K77" s="3413" t="s">
        <v>5377</v>
      </c>
      <c r="L77" s="3185" t="s">
        <v>5378</v>
      </c>
      <c r="M77" s="3237" t="s">
        <v>5379</v>
      </c>
      <c r="N77" s="3229" t="s">
        <v>5380</v>
      </c>
      <c r="O77" s="3414" t="s">
        <v>5381</v>
      </c>
      <c r="P77" s="2796" t="s">
        <v>5382</v>
      </c>
      <c r="Q77" s="557" t="s">
        <v>5383</v>
      </c>
      <c r="R77" s="3230" t="s">
        <v>5384</v>
      </c>
      <c r="S77" s="2034" t="s">
        <v>5385</v>
      </c>
      <c r="T77" s="1842" t="s">
        <v>5386</v>
      </c>
      <c r="U77" s="1844" t="s">
        <v>5387</v>
      </c>
      <c r="V77" s="1853" t="s">
        <v>5388</v>
      </c>
      <c r="W77" s="1844" t="s">
        <v>5389</v>
      </c>
      <c r="X77" s="3246" t="s">
        <v>5390</v>
      </c>
      <c r="Y77" s="3230" t="s">
        <v>5391</v>
      </c>
      <c r="Z77" s="2034" t="s">
        <v>5392</v>
      </c>
      <c r="AA77" s="2986" t="s">
        <v>5393</v>
      </c>
      <c r="AB77" s="2986" t="s">
        <v>5394</v>
      </c>
      <c r="AC77" s="2986" t="s">
        <v>5395</v>
      </c>
      <c r="AD77" s="2986" t="s">
        <v>5396</v>
      </c>
      <c r="AE77" s="2986" t="s">
        <v>5397</v>
      </c>
      <c r="AF77" s="3411" t="s">
        <v>5398</v>
      </c>
      <c r="AG77" s="3412" t="s">
        <v>5399</v>
      </c>
      <c r="AH77" s="3139" t="s">
        <v>5400</v>
      </c>
      <c r="AI77" s="2987" t="s">
        <v>5401</v>
      </c>
      <c r="AJ77" s="2814" t="s">
        <v>5402</v>
      </c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R77" s="105"/>
      <c r="CB77" s="687"/>
      <c r="CC77" s="687"/>
      <c r="CD77" s="687"/>
      <c r="CE77" s="687"/>
      <c r="CF77" s="687"/>
      <c r="CG77" s="687"/>
      <c r="CH77" s="3224"/>
      <c r="CI77" s="3224"/>
      <c r="CJ77" s="3224"/>
      <c r="CK77" s="3224"/>
      <c r="CL77" s="3224"/>
      <c r="CM77" s="687"/>
      <c r="CN77" s="687"/>
      <c r="CO77" s="687"/>
      <c r="CP77" s="687"/>
      <c r="CQ77" s="687"/>
      <c r="CR77" s="687"/>
      <c r="CS77" s="687"/>
      <c r="CT77" s="687"/>
      <c r="CU77" s="687"/>
      <c r="CV77" s="687"/>
      <c r="CW77" s="687"/>
      <c r="CX77" s="687"/>
      <c r="CY77" s="687"/>
      <c r="CZ77" s="687"/>
      <c r="DA77" s="687"/>
    </row>
    <row r="78" spans="1:131" s="140" customFormat="1" ht="16.350000000000001" customHeight="1" x14ac:dyDescent="0.2">
      <c r="A78" s="7306" t="s">
        <v>4795</v>
      </c>
      <c r="B78" s="2855" t="s">
        <v>134</v>
      </c>
      <c r="C78" s="3415" t="s">
        <v>5369</v>
      </c>
      <c r="D78" s="2956" t="s">
        <v>5370</v>
      </c>
      <c r="E78" s="1833" t="s">
        <v>5371</v>
      </c>
      <c r="F78" s="1833" t="s">
        <v>5372</v>
      </c>
      <c r="G78" s="3415" t="s">
        <v>5373</v>
      </c>
      <c r="H78" s="2956" t="s">
        <v>5374</v>
      </c>
      <c r="I78" s="1833" t="s">
        <v>5375</v>
      </c>
      <c r="J78" s="1833" t="s">
        <v>5376</v>
      </c>
      <c r="K78" s="3415" t="s">
        <v>5377</v>
      </c>
      <c r="L78" s="2956" t="s">
        <v>5378</v>
      </c>
      <c r="M78" s="1833" t="s">
        <v>5379</v>
      </c>
      <c r="N78" s="2528" t="s">
        <v>5380</v>
      </c>
      <c r="O78" s="3414" t="s">
        <v>5381</v>
      </c>
      <c r="P78" s="3054" t="s">
        <v>5382</v>
      </c>
      <c r="Q78" s="3246" t="s">
        <v>5383</v>
      </c>
      <c r="R78" s="3230" t="s">
        <v>5384</v>
      </c>
      <c r="S78" s="2034" t="s">
        <v>5385</v>
      </c>
      <c r="T78" s="1842" t="s">
        <v>5386</v>
      </c>
      <c r="U78" s="1844" t="s">
        <v>5387</v>
      </c>
      <c r="V78" s="1853" t="s">
        <v>5388</v>
      </c>
      <c r="W78" s="1844" t="s">
        <v>5389</v>
      </c>
      <c r="X78" s="3246" t="s">
        <v>5390</v>
      </c>
      <c r="Y78" s="3230" t="s">
        <v>5391</v>
      </c>
      <c r="Z78" s="2034" t="s">
        <v>5392</v>
      </c>
      <c r="AA78" s="2986" t="s">
        <v>5393</v>
      </c>
      <c r="AB78" s="2986" t="s">
        <v>5394</v>
      </c>
      <c r="AC78" s="2986" t="s">
        <v>5395</v>
      </c>
      <c r="AD78" s="2986" t="s">
        <v>5396</v>
      </c>
      <c r="AE78" s="2986" t="s">
        <v>5397</v>
      </c>
      <c r="AF78" s="3411" t="s">
        <v>5398</v>
      </c>
      <c r="AG78" s="3412" t="s">
        <v>5399</v>
      </c>
      <c r="AH78" s="3139" t="s">
        <v>5400</v>
      </c>
      <c r="AI78" s="2987" t="s">
        <v>5401</v>
      </c>
      <c r="AJ78" s="2814" t="s">
        <v>5402</v>
      </c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R78" s="105"/>
      <c r="CB78" s="687"/>
      <c r="CC78" s="687"/>
      <c r="CD78" s="687"/>
      <c r="CE78" s="687"/>
      <c r="CF78" s="687"/>
      <c r="CG78" s="687"/>
      <c r="CH78" s="3224"/>
      <c r="CI78" s="3224"/>
      <c r="CJ78" s="3224"/>
      <c r="CK78" s="3224"/>
      <c r="CL78" s="3224"/>
      <c r="CM78" s="687"/>
      <c r="CN78" s="687"/>
      <c r="CO78" s="687"/>
      <c r="CP78" s="687"/>
      <c r="CQ78" s="687"/>
      <c r="CR78" s="687"/>
      <c r="CS78" s="687"/>
      <c r="CT78" s="687"/>
      <c r="CU78" s="687"/>
      <c r="CV78" s="687"/>
      <c r="CW78" s="687"/>
      <c r="CX78" s="687"/>
      <c r="CY78" s="687"/>
      <c r="CZ78" s="687"/>
      <c r="DA78" s="687"/>
    </row>
    <row r="79" spans="1:131" s="140" customFormat="1" ht="16.350000000000001" customHeight="1" x14ac:dyDescent="0.2">
      <c r="A79" s="7306" t="s">
        <v>4796</v>
      </c>
      <c r="B79" s="2855" t="s">
        <v>256</v>
      </c>
      <c r="C79" s="3415" t="s">
        <v>5369</v>
      </c>
      <c r="D79" s="2956" t="s">
        <v>5370</v>
      </c>
      <c r="E79" s="1833" t="s">
        <v>5371</v>
      </c>
      <c r="F79" s="1833" t="s">
        <v>5372</v>
      </c>
      <c r="G79" s="3415" t="s">
        <v>5373</v>
      </c>
      <c r="H79" s="2956" t="s">
        <v>5374</v>
      </c>
      <c r="I79" s="1833" t="s">
        <v>5375</v>
      </c>
      <c r="J79" s="1833" t="s">
        <v>5376</v>
      </c>
      <c r="K79" s="3415" t="s">
        <v>5377</v>
      </c>
      <c r="L79" s="2956" t="s">
        <v>5378</v>
      </c>
      <c r="M79" s="1833" t="s">
        <v>5379</v>
      </c>
      <c r="N79" s="2528" t="s">
        <v>5380</v>
      </c>
      <c r="O79" s="3414" t="s">
        <v>5381</v>
      </c>
      <c r="P79" s="3054" t="s">
        <v>5382</v>
      </c>
      <c r="Q79" s="3246" t="s">
        <v>5383</v>
      </c>
      <c r="R79" s="3230" t="s">
        <v>5384</v>
      </c>
      <c r="S79" s="2034" t="s">
        <v>5385</v>
      </c>
      <c r="T79" s="1842" t="s">
        <v>5386</v>
      </c>
      <c r="U79" s="1844" t="s">
        <v>5387</v>
      </c>
      <c r="V79" s="1853" t="s">
        <v>5388</v>
      </c>
      <c r="W79" s="1844" t="s">
        <v>5389</v>
      </c>
      <c r="X79" s="3246" t="s">
        <v>5390</v>
      </c>
      <c r="Y79" s="3230" t="s">
        <v>5391</v>
      </c>
      <c r="Z79" s="2034" t="s">
        <v>5392</v>
      </c>
      <c r="AA79" s="2986" t="s">
        <v>5393</v>
      </c>
      <c r="AB79" s="2986" t="s">
        <v>5394</v>
      </c>
      <c r="AC79" s="2986" t="s">
        <v>5395</v>
      </c>
      <c r="AD79" s="2986" t="s">
        <v>5396</v>
      </c>
      <c r="AE79" s="2986" t="s">
        <v>5397</v>
      </c>
      <c r="AF79" s="3411" t="s">
        <v>5398</v>
      </c>
      <c r="AG79" s="3412" t="s">
        <v>5399</v>
      </c>
      <c r="AH79" s="3139" t="s">
        <v>5400</v>
      </c>
      <c r="AI79" s="2987" t="s">
        <v>5401</v>
      </c>
      <c r="AJ79" s="2814" t="s">
        <v>5402</v>
      </c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R79" s="105"/>
      <c r="CB79" s="687"/>
      <c r="CC79" s="687"/>
      <c r="CD79" s="687"/>
      <c r="CE79" s="687"/>
      <c r="CF79" s="687"/>
      <c r="CG79" s="687"/>
      <c r="CH79" s="3224"/>
      <c r="CI79" s="3224"/>
      <c r="CJ79" s="3224"/>
      <c r="CK79" s="3224"/>
      <c r="CL79" s="3224"/>
      <c r="CM79" s="687"/>
      <c r="CN79" s="687"/>
      <c r="CO79" s="687"/>
      <c r="CP79" s="687"/>
      <c r="CQ79" s="687"/>
      <c r="CR79" s="687"/>
      <c r="CS79" s="687"/>
      <c r="CT79" s="687"/>
      <c r="CU79" s="687"/>
      <c r="CV79" s="687"/>
      <c r="CW79" s="687"/>
      <c r="CX79" s="687"/>
      <c r="CY79" s="687"/>
      <c r="CZ79" s="687"/>
      <c r="DA79" s="687"/>
    </row>
    <row r="80" spans="1:131" s="140" customFormat="1" ht="16.350000000000001" customHeight="1" x14ac:dyDescent="0.2">
      <c r="A80" s="7306" t="s">
        <v>4797</v>
      </c>
      <c r="B80" s="2855" t="s">
        <v>257</v>
      </c>
      <c r="C80" s="3415" t="s">
        <v>5369</v>
      </c>
      <c r="D80" s="2956" t="s">
        <v>5370</v>
      </c>
      <c r="E80" s="1833" t="s">
        <v>5371</v>
      </c>
      <c r="F80" s="1833" t="s">
        <v>5372</v>
      </c>
      <c r="G80" s="3415" t="s">
        <v>5373</v>
      </c>
      <c r="H80" s="2956" t="s">
        <v>5374</v>
      </c>
      <c r="I80" s="1833" t="s">
        <v>5375</v>
      </c>
      <c r="J80" s="1833" t="s">
        <v>5376</v>
      </c>
      <c r="K80" s="3415" t="s">
        <v>5377</v>
      </c>
      <c r="L80" s="2956" t="s">
        <v>5378</v>
      </c>
      <c r="M80" s="1833" t="s">
        <v>5379</v>
      </c>
      <c r="N80" s="2528" t="s">
        <v>5380</v>
      </c>
      <c r="O80" s="3414" t="s">
        <v>5381</v>
      </c>
      <c r="P80" s="3054" t="s">
        <v>5382</v>
      </c>
      <c r="Q80" s="3246" t="s">
        <v>5383</v>
      </c>
      <c r="R80" s="3230" t="s">
        <v>5384</v>
      </c>
      <c r="S80" s="2034" t="s">
        <v>5385</v>
      </c>
      <c r="T80" s="1842" t="s">
        <v>5386</v>
      </c>
      <c r="U80" s="1844" t="s">
        <v>5387</v>
      </c>
      <c r="V80" s="1853" t="s">
        <v>5388</v>
      </c>
      <c r="W80" s="1844" t="s">
        <v>5389</v>
      </c>
      <c r="X80" s="3246" t="s">
        <v>5390</v>
      </c>
      <c r="Y80" s="3230" t="s">
        <v>5391</v>
      </c>
      <c r="Z80" s="2034" t="s">
        <v>5392</v>
      </c>
      <c r="AA80" s="2986" t="s">
        <v>5393</v>
      </c>
      <c r="AB80" s="2986" t="s">
        <v>5394</v>
      </c>
      <c r="AC80" s="2986" t="s">
        <v>5395</v>
      </c>
      <c r="AD80" s="2986" t="s">
        <v>5396</v>
      </c>
      <c r="AE80" s="2986" t="s">
        <v>5397</v>
      </c>
      <c r="AF80" s="3411" t="s">
        <v>5398</v>
      </c>
      <c r="AG80" s="3412" t="s">
        <v>5399</v>
      </c>
      <c r="AH80" s="3139" t="s">
        <v>5400</v>
      </c>
      <c r="AI80" s="2987" t="s">
        <v>5401</v>
      </c>
      <c r="AJ80" s="2814" t="s">
        <v>5402</v>
      </c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R80" s="105"/>
      <c r="CB80" s="687"/>
      <c r="CC80" s="687"/>
      <c r="CD80" s="687"/>
      <c r="CE80" s="687"/>
      <c r="CF80" s="687"/>
      <c r="CG80" s="687"/>
      <c r="CH80" s="3224"/>
      <c r="CI80" s="3224"/>
      <c r="CJ80" s="3224"/>
      <c r="CK80" s="3224"/>
      <c r="CL80" s="3224"/>
      <c r="CM80" s="687"/>
      <c r="CN80" s="687"/>
      <c r="CO80" s="687"/>
      <c r="CP80" s="687"/>
      <c r="CQ80" s="687"/>
      <c r="CR80" s="687"/>
      <c r="CS80" s="687"/>
      <c r="CT80" s="687"/>
      <c r="CU80" s="687"/>
      <c r="CV80" s="687"/>
      <c r="CW80" s="687"/>
      <c r="CX80" s="687"/>
      <c r="CY80" s="687"/>
      <c r="CZ80" s="687"/>
      <c r="DA80" s="687"/>
    </row>
    <row r="81" spans="1:105" s="140" customFormat="1" ht="16.350000000000001" customHeight="1" x14ac:dyDescent="0.2">
      <c r="A81" s="7306" t="s">
        <v>4798</v>
      </c>
      <c r="B81" s="2855" t="s">
        <v>258</v>
      </c>
      <c r="C81" s="3415" t="s">
        <v>5369</v>
      </c>
      <c r="D81" s="2956" t="s">
        <v>5370</v>
      </c>
      <c r="E81" s="1833" t="s">
        <v>5371</v>
      </c>
      <c r="F81" s="1833" t="s">
        <v>5372</v>
      </c>
      <c r="G81" s="3415" t="s">
        <v>5373</v>
      </c>
      <c r="H81" s="2956" t="s">
        <v>5374</v>
      </c>
      <c r="I81" s="1833" t="s">
        <v>5375</v>
      </c>
      <c r="J81" s="1833" t="s">
        <v>5376</v>
      </c>
      <c r="K81" s="3415" t="s">
        <v>5377</v>
      </c>
      <c r="L81" s="2956" t="s">
        <v>5378</v>
      </c>
      <c r="M81" s="1833" t="s">
        <v>5379</v>
      </c>
      <c r="N81" s="2528" t="s">
        <v>5380</v>
      </c>
      <c r="O81" s="3414" t="s">
        <v>5381</v>
      </c>
      <c r="P81" s="3054" t="s">
        <v>5382</v>
      </c>
      <c r="Q81" s="3246" t="s">
        <v>5383</v>
      </c>
      <c r="R81" s="3230" t="s">
        <v>5384</v>
      </c>
      <c r="S81" s="2034" t="s">
        <v>5385</v>
      </c>
      <c r="T81" s="1842" t="s">
        <v>5386</v>
      </c>
      <c r="U81" s="1844" t="s">
        <v>5387</v>
      </c>
      <c r="V81" s="1853" t="s">
        <v>5388</v>
      </c>
      <c r="W81" s="1844" t="s">
        <v>5389</v>
      </c>
      <c r="X81" s="3246" t="s">
        <v>5390</v>
      </c>
      <c r="Y81" s="3230" t="s">
        <v>5391</v>
      </c>
      <c r="Z81" s="2034" t="s">
        <v>5392</v>
      </c>
      <c r="AA81" s="2986" t="s">
        <v>5393</v>
      </c>
      <c r="AB81" s="2986" t="s">
        <v>5394</v>
      </c>
      <c r="AC81" s="2986" t="s">
        <v>5395</v>
      </c>
      <c r="AD81" s="2986" t="s">
        <v>5396</v>
      </c>
      <c r="AE81" s="2986" t="s">
        <v>5397</v>
      </c>
      <c r="AF81" s="3411" t="s">
        <v>5398</v>
      </c>
      <c r="AG81" s="3412" t="s">
        <v>5399</v>
      </c>
      <c r="AH81" s="3139" t="s">
        <v>5400</v>
      </c>
      <c r="AI81" s="2987" t="s">
        <v>5401</v>
      </c>
      <c r="AJ81" s="2814" t="s">
        <v>5402</v>
      </c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R81" s="105"/>
      <c r="CB81" s="687"/>
      <c r="CC81" s="687"/>
      <c r="CD81" s="687"/>
      <c r="CE81" s="687"/>
      <c r="CF81" s="687"/>
      <c r="CG81" s="687"/>
      <c r="CH81" s="3224"/>
      <c r="CI81" s="3224"/>
      <c r="CJ81" s="3224"/>
      <c r="CK81" s="3224"/>
      <c r="CL81" s="3224"/>
      <c r="CM81" s="687"/>
      <c r="CN81" s="687"/>
      <c r="CO81" s="687"/>
      <c r="CP81" s="687"/>
      <c r="CQ81" s="687"/>
      <c r="CR81" s="687"/>
      <c r="CS81" s="687"/>
      <c r="CT81" s="687"/>
      <c r="CU81" s="687"/>
      <c r="CV81" s="687"/>
      <c r="CW81" s="687"/>
      <c r="CX81" s="687"/>
      <c r="CY81" s="687"/>
      <c r="CZ81" s="687"/>
      <c r="DA81" s="687"/>
    </row>
    <row r="82" spans="1:105" s="140" customFormat="1" ht="16.350000000000001" customHeight="1" x14ac:dyDescent="0.2">
      <c r="A82" s="7306" t="s">
        <v>4799</v>
      </c>
      <c r="B82" s="2855" t="s">
        <v>455</v>
      </c>
      <c r="C82" s="3415" t="s">
        <v>5369</v>
      </c>
      <c r="D82" s="2956" t="s">
        <v>5370</v>
      </c>
      <c r="E82" s="1833" t="s">
        <v>5371</v>
      </c>
      <c r="F82" s="1833" t="s">
        <v>5372</v>
      </c>
      <c r="G82" s="3415" t="s">
        <v>5373</v>
      </c>
      <c r="H82" s="2956" t="s">
        <v>5374</v>
      </c>
      <c r="I82" s="1833" t="s">
        <v>5375</v>
      </c>
      <c r="J82" s="1833" t="s">
        <v>5376</v>
      </c>
      <c r="K82" s="3415" t="s">
        <v>5377</v>
      </c>
      <c r="L82" s="2956" t="s">
        <v>5378</v>
      </c>
      <c r="M82" s="1833" t="s">
        <v>5379</v>
      </c>
      <c r="N82" s="2528" t="s">
        <v>5380</v>
      </c>
      <c r="O82" s="3414" t="s">
        <v>5381</v>
      </c>
      <c r="P82" s="3054" t="s">
        <v>5382</v>
      </c>
      <c r="Q82" s="3246" t="s">
        <v>5383</v>
      </c>
      <c r="R82" s="3230" t="s">
        <v>5384</v>
      </c>
      <c r="S82" s="2034" t="s">
        <v>5385</v>
      </c>
      <c r="T82" s="1842" t="s">
        <v>5386</v>
      </c>
      <c r="U82" s="1844" t="s">
        <v>5387</v>
      </c>
      <c r="V82" s="1853" t="s">
        <v>5388</v>
      </c>
      <c r="W82" s="1844" t="s">
        <v>5389</v>
      </c>
      <c r="X82" s="3246" t="s">
        <v>5390</v>
      </c>
      <c r="Y82" s="3230" t="s">
        <v>5391</v>
      </c>
      <c r="Z82" s="2034" t="s">
        <v>5392</v>
      </c>
      <c r="AA82" s="2986" t="s">
        <v>5393</v>
      </c>
      <c r="AB82" s="2986" t="s">
        <v>5394</v>
      </c>
      <c r="AC82" s="2986" t="s">
        <v>5395</v>
      </c>
      <c r="AD82" s="2986" t="s">
        <v>5396</v>
      </c>
      <c r="AE82" s="2986" t="s">
        <v>5397</v>
      </c>
      <c r="AF82" s="3411" t="s">
        <v>5398</v>
      </c>
      <c r="AG82" s="3412" t="s">
        <v>5399</v>
      </c>
      <c r="AH82" s="3139" t="s">
        <v>5400</v>
      </c>
      <c r="AI82" s="2987" t="s">
        <v>5401</v>
      </c>
      <c r="AJ82" s="2814" t="s">
        <v>5402</v>
      </c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R82" s="105"/>
      <c r="CB82" s="687"/>
      <c r="CC82" s="687"/>
      <c r="CD82" s="687"/>
      <c r="CE82" s="687"/>
      <c r="CF82" s="687"/>
      <c r="CG82" s="687"/>
      <c r="CH82" s="3224"/>
      <c r="CI82" s="3224"/>
      <c r="CJ82" s="3224"/>
      <c r="CK82" s="3224"/>
      <c r="CL82" s="3224"/>
      <c r="CM82" s="687"/>
      <c r="CN82" s="687"/>
      <c r="CO82" s="687"/>
      <c r="CP82" s="687"/>
      <c r="CQ82" s="687"/>
      <c r="CR82" s="687"/>
      <c r="CS82" s="687"/>
      <c r="CT82" s="687"/>
      <c r="CU82" s="687"/>
      <c r="CV82" s="687"/>
      <c r="CW82" s="687"/>
      <c r="CX82" s="687"/>
      <c r="CY82" s="687"/>
      <c r="CZ82" s="687"/>
      <c r="DA82" s="687"/>
    </row>
    <row r="83" spans="1:105" s="140" customFormat="1" ht="16.350000000000001" customHeight="1" x14ac:dyDescent="0.2">
      <c r="A83" s="7306" t="s">
        <v>4800</v>
      </c>
      <c r="B83" s="2855" t="s">
        <v>259</v>
      </c>
      <c r="C83" s="3415" t="s">
        <v>5369</v>
      </c>
      <c r="D83" s="2956" t="s">
        <v>5370</v>
      </c>
      <c r="E83" s="1833" t="s">
        <v>5371</v>
      </c>
      <c r="F83" s="1833" t="s">
        <v>5372</v>
      </c>
      <c r="G83" s="3415" t="s">
        <v>5373</v>
      </c>
      <c r="H83" s="2956" t="s">
        <v>5374</v>
      </c>
      <c r="I83" s="1833" t="s">
        <v>5375</v>
      </c>
      <c r="J83" s="1833" t="s">
        <v>5376</v>
      </c>
      <c r="K83" s="3415" t="s">
        <v>5377</v>
      </c>
      <c r="L83" s="2956" t="s">
        <v>5378</v>
      </c>
      <c r="M83" s="1833" t="s">
        <v>5379</v>
      </c>
      <c r="N83" s="2528" t="s">
        <v>5380</v>
      </c>
      <c r="O83" s="3414" t="s">
        <v>5381</v>
      </c>
      <c r="P83" s="3054" t="s">
        <v>5382</v>
      </c>
      <c r="Q83" s="3246" t="s">
        <v>5383</v>
      </c>
      <c r="R83" s="3230" t="s">
        <v>5384</v>
      </c>
      <c r="S83" s="2034" t="s">
        <v>5385</v>
      </c>
      <c r="T83" s="1842" t="s">
        <v>5386</v>
      </c>
      <c r="U83" s="1844" t="s">
        <v>5387</v>
      </c>
      <c r="V83" s="1853" t="s">
        <v>5388</v>
      </c>
      <c r="W83" s="1844" t="s">
        <v>5389</v>
      </c>
      <c r="X83" s="3246" t="s">
        <v>5390</v>
      </c>
      <c r="Y83" s="3230" t="s">
        <v>5391</v>
      </c>
      <c r="Z83" s="2034" t="s">
        <v>5392</v>
      </c>
      <c r="AA83" s="2986" t="s">
        <v>5393</v>
      </c>
      <c r="AB83" s="2986" t="s">
        <v>5394</v>
      </c>
      <c r="AC83" s="2986" t="s">
        <v>5395</v>
      </c>
      <c r="AD83" s="2986" t="s">
        <v>5396</v>
      </c>
      <c r="AE83" s="2986" t="s">
        <v>5397</v>
      </c>
      <c r="AF83" s="3411" t="s">
        <v>5398</v>
      </c>
      <c r="AG83" s="3412" t="s">
        <v>5399</v>
      </c>
      <c r="AH83" s="3139" t="s">
        <v>5400</v>
      </c>
      <c r="AI83" s="2987" t="s">
        <v>5401</v>
      </c>
      <c r="AJ83" s="2814" t="s">
        <v>5402</v>
      </c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R83" s="105"/>
      <c r="CB83" s="687"/>
      <c r="CC83" s="687"/>
      <c r="CD83" s="687"/>
      <c r="CE83" s="687"/>
      <c r="CF83" s="687"/>
      <c r="CG83" s="687"/>
      <c r="CH83" s="3224"/>
      <c r="CI83" s="3224"/>
      <c r="CJ83" s="3224"/>
      <c r="CK83" s="3224"/>
      <c r="CL83" s="3224"/>
      <c r="CM83" s="687"/>
      <c r="CN83" s="687"/>
      <c r="CO83" s="687"/>
      <c r="CP83" s="687"/>
      <c r="CQ83" s="687"/>
      <c r="CR83" s="687"/>
      <c r="CS83" s="687"/>
      <c r="CT83" s="687"/>
      <c r="CU83" s="687"/>
      <c r="CV83" s="687"/>
      <c r="CW83" s="687"/>
      <c r="CX83" s="687"/>
      <c r="CY83" s="687"/>
      <c r="CZ83" s="687"/>
      <c r="DA83" s="687"/>
    </row>
    <row r="84" spans="1:105" s="140" customFormat="1" ht="15" customHeight="1" x14ac:dyDescent="0.2">
      <c r="A84" s="7306" t="s">
        <v>4801</v>
      </c>
      <c r="B84" s="2855" t="s">
        <v>260</v>
      </c>
      <c r="C84" s="3415" t="s">
        <v>5369</v>
      </c>
      <c r="D84" s="2956" t="s">
        <v>5370</v>
      </c>
      <c r="E84" s="1833" t="s">
        <v>5371</v>
      </c>
      <c r="F84" s="1833" t="s">
        <v>5372</v>
      </c>
      <c r="G84" s="3415" t="s">
        <v>5373</v>
      </c>
      <c r="H84" s="2956" t="s">
        <v>5374</v>
      </c>
      <c r="I84" s="1833" t="s">
        <v>5375</v>
      </c>
      <c r="J84" s="1833" t="s">
        <v>5376</v>
      </c>
      <c r="K84" s="3415" t="s">
        <v>5377</v>
      </c>
      <c r="L84" s="2956" t="s">
        <v>5378</v>
      </c>
      <c r="M84" s="1833" t="s">
        <v>5379</v>
      </c>
      <c r="N84" s="2528" t="s">
        <v>5380</v>
      </c>
      <c r="O84" s="3414" t="s">
        <v>5381</v>
      </c>
      <c r="P84" s="3054" t="s">
        <v>5382</v>
      </c>
      <c r="Q84" s="3246" t="s">
        <v>5383</v>
      </c>
      <c r="R84" s="3230" t="s">
        <v>5384</v>
      </c>
      <c r="S84" s="2034" t="s">
        <v>5385</v>
      </c>
      <c r="T84" s="1842" t="s">
        <v>5386</v>
      </c>
      <c r="U84" s="1844" t="s">
        <v>5387</v>
      </c>
      <c r="V84" s="1853" t="s">
        <v>5388</v>
      </c>
      <c r="W84" s="1844" t="s">
        <v>5389</v>
      </c>
      <c r="X84" s="3246" t="s">
        <v>5390</v>
      </c>
      <c r="Y84" s="3230" t="s">
        <v>5391</v>
      </c>
      <c r="Z84" s="2034" t="s">
        <v>5392</v>
      </c>
      <c r="AA84" s="2986" t="s">
        <v>5393</v>
      </c>
      <c r="AB84" s="2986" t="s">
        <v>5394</v>
      </c>
      <c r="AC84" s="2986" t="s">
        <v>5395</v>
      </c>
      <c r="AD84" s="2986" t="s">
        <v>5396</v>
      </c>
      <c r="AE84" s="2986" t="s">
        <v>5397</v>
      </c>
      <c r="AF84" s="3411" t="s">
        <v>5398</v>
      </c>
      <c r="AG84" s="3412" t="s">
        <v>5399</v>
      </c>
      <c r="AH84" s="3139" t="s">
        <v>5400</v>
      </c>
      <c r="AI84" s="2987" t="s">
        <v>5401</v>
      </c>
      <c r="AJ84" s="2814" t="s">
        <v>5402</v>
      </c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R84" s="105"/>
      <c r="CB84" s="687"/>
      <c r="CC84" s="687"/>
      <c r="CD84" s="687"/>
      <c r="CE84" s="687"/>
      <c r="CF84" s="687"/>
      <c r="CG84" s="687"/>
      <c r="CH84" s="3224"/>
      <c r="CI84" s="3224"/>
      <c r="CJ84" s="3224"/>
      <c r="CK84" s="3224"/>
      <c r="CL84" s="3224"/>
      <c r="CM84" s="687"/>
      <c r="CN84" s="687"/>
      <c r="CO84" s="687"/>
      <c r="CP84" s="687"/>
      <c r="CQ84" s="687"/>
      <c r="CR84" s="687"/>
      <c r="CS84" s="687"/>
      <c r="CT84" s="687"/>
      <c r="CU84" s="687"/>
      <c r="CV84" s="687"/>
      <c r="CW84" s="687"/>
      <c r="CX84" s="687"/>
      <c r="CY84" s="687"/>
      <c r="CZ84" s="687"/>
      <c r="DA84" s="687"/>
    </row>
    <row r="85" spans="1:105" s="140" customFormat="1" ht="16.350000000000001" customHeight="1" x14ac:dyDescent="0.2">
      <c r="A85" s="7306" t="s">
        <v>4802</v>
      </c>
      <c r="B85" s="2855" t="s">
        <v>261</v>
      </c>
      <c r="C85" s="3415" t="s">
        <v>5369</v>
      </c>
      <c r="D85" s="2956" t="s">
        <v>5370</v>
      </c>
      <c r="E85" s="1833" t="s">
        <v>5371</v>
      </c>
      <c r="F85" s="1833" t="s">
        <v>5372</v>
      </c>
      <c r="G85" s="3415" t="s">
        <v>5373</v>
      </c>
      <c r="H85" s="2956" t="s">
        <v>5374</v>
      </c>
      <c r="I85" s="1833" t="s">
        <v>5375</v>
      </c>
      <c r="J85" s="1833" t="s">
        <v>5376</v>
      </c>
      <c r="K85" s="3415" t="s">
        <v>5377</v>
      </c>
      <c r="L85" s="2956" t="s">
        <v>5378</v>
      </c>
      <c r="M85" s="1833" t="s">
        <v>5379</v>
      </c>
      <c r="N85" s="2528" t="s">
        <v>5380</v>
      </c>
      <c r="O85" s="3414" t="s">
        <v>5381</v>
      </c>
      <c r="P85" s="3054" t="s">
        <v>5382</v>
      </c>
      <c r="Q85" s="3246" t="s">
        <v>5383</v>
      </c>
      <c r="R85" s="3230" t="s">
        <v>5384</v>
      </c>
      <c r="S85" s="2034" t="s">
        <v>5385</v>
      </c>
      <c r="T85" s="1842" t="s">
        <v>5386</v>
      </c>
      <c r="U85" s="1844" t="s">
        <v>5387</v>
      </c>
      <c r="V85" s="1853" t="s">
        <v>5388</v>
      </c>
      <c r="W85" s="1844" t="s">
        <v>5389</v>
      </c>
      <c r="X85" s="3246" t="s">
        <v>5390</v>
      </c>
      <c r="Y85" s="3230" t="s">
        <v>5391</v>
      </c>
      <c r="Z85" s="2034" t="s">
        <v>5392</v>
      </c>
      <c r="AA85" s="2986" t="s">
        <v>5393</v>
      </c>
      <c r="AB85" s="2986" t="s">
        <v>5394</v>
      </c>
      <c r="AC85" s="2986" t="s">
        <v>5395</v>
      </c>
      <c r="AD85" s="2986" t="s">
        <v>5396</v>
      </c>
      <c r="AE85" s="2986" t="s">
        <v>5397</v>
      </c>
      <c r="AF85" s="3411" t="s">
        <v>5398</v>
      </c>
      <c r="AG85" s="3412" t="s">
        <v>5399</v>
      </c>
      <c r="AH85" s="3139" t="s">
        <v>5400</v>
      </c>
      <c r="AI85" s="2987" t="s">
        <v>5401</v>
      </c>
      <c r="AJ85" s="2814" t="s">
        <v>5402</v>
      </c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R85" s="105"/>
      <c r="CB85" s="687"/>
      <c r="CC85" s="687"/>
      <c r="CD85" s="687"/>
      <c r="CE85" s="687"/>
      <c r="CF85" s="687"/>
      <c r="CG85" s="687"/>
      <c r="CH85" s="3224"/>
      <c r="CI85" s="3224"/>
      <c r="CJ85" s="3224"/>
      <c r="CK85" s="3224"/>
      <c r="CL85" s="3224"/>
      <c r="CM85" s="687"/>
      <c r="CN85" s="687"/>
      <c r="CO85" s="687"/>
      <c r="CP85" s="687"/>
      <c r="CQ85" s="687"/>
      <c r="CR85" s="687"/>
      <c r="CS85" s="687"/>
      <c r="CT85" s="687"/>
      <c r="CU85" s="687"/>
      <c r="CV85" s="687"/>
      <c r="CW85" s="687"/>
      <c r="CX85" s="687"/>
      <c r="CY85" s="687"/>
      <c r="CZ85" s="687"/>
      <c r="DA85" s="687"/>
    </row>
    <row r="86" spans="1:105" s="140" customFormat="1" ht="16.350000000000001" customHeight="1" x14ac:dyDescent="0.2">
      <c r="A86" s="7306" t="s">
        <v>4803</v>
      </c>
      <c r="B86" s="2855" t="s">
        <v>262</v>
      </c>
      <c r="C86" s="3415" t="s">
        <v>5369</v>
      </c>
      <c r="D86" s="2956" t="s">
        <v>5370</v>
      </c>
      <c r="E86" s="1833" t="s">
        <v>5371</v>
      </c>
      <c r="F86" s="1833" t="s">
        <v>5372</v>
      </c>
      <c r="G86" s="3415" t="s">
        <v>5373</v>
      </c>
      <c r="H86" s="2956" t="s">
        <v>5374</v>
      </c>
      <c r="I86" s="1833" t="s">
        <v>5375</v>
      </c>
      <c r="J86" s="1833" t="s">
        <v>5376</v>
      </c>
      <c r="K86" s="3415" t="s">
        <v>5377</v>
      </c>
      <c r="L86" s="2956" t="s">
        <v>5378</v>
      </c>
      <c r="M86" s="1833" t="s">
        <v>5379</v>
      </c>
      <c r="N86" s="2528" t="s">
        <v>5380</v>
      </c>
      <c r="O86" s="3414" t="s">
        <v>5381</v>
      </c>
      <c r="P86" s="3054" t="s">
        <v>5382</v>
      </c>
      <c r="Q86" s="3246" t="s">
        <v>5383</v>
      </c>
      <c r="R86" s="3230" t="s">
        <v>5384</v>
      </c>
      <c r="S86" s="2034" t="s">
        <v>5385</v>
      </c>
      <c r="T86" s="1842" t="s">
        <v>5386</v>
      </c>
      <c r="U86" s="1844" t="s">
        <v>5387</v>
      </c>
      <c r="V86" s="1853" t="s">
        <v>5388</v>
      </c>
      <c r="W86" s="1844" t="s">
        <v>5389</v>
      </c>
      <c r="X86" s="3246" t="s">
        <v>5390</v>
      </c>
      <c r="Y86" s="3230" t="s">
        <v>5391</v>
      </c>
      <c r="Z86" s="2034" t="s">
        <v>5392</v>
      </c>
      <c r="AA86" s="2986" t="s">
        <v>5393</v>
      </c>
      <c r="AB86" s="2986" t="s">
        <v>5394</v>
      </c>
      <c r="AC86" s="2986" t="s">
        <v>5395</v>
      </c>
      <c r="AD86" s="2986" t="s">
        <v>5396</v>
      </c>
      <c r="AE86" s="2986" t="s">
        <v>5397</v>
      </c>
      <c r="AF86" s="3411" t="s">
        <v>5398</v>
      </c>
      <c r="AG86" s="3412" t="s">
        <v>5399</v>
      </c>
      <c r="AH86" s="3139" t="s">
        <v>5400</v>
      </c>
      <c r="AI86" s="2987" t="s">
        <v>5401</v>
      </c>
      <c r="AJ86" s="2814" t="s">
        <v>5402</v>
      </c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R86" s="105"/>
      <c r="CB86" s="687"/>
      <c r="CC86" s="687"/>
      <c r="CD86" s="687"/>
      <c r="CE86" s="687"/>
      <c r="CF86" s="687"/>
      <c r="CG86" s="687"/>
      <c r="CH86" s="3224"/>
      <c r="CI86" s="3224"/>
      <c r="CJ86" s="3224"/>
      <c r="CK86" s="3224"/>
      <c r="CL86" s="3224"/>
      <c r="CM86" s="687"/>
      <c r="CN86" s="687"/>
      <c r="CO86" s="687"/>
      <c r="CP86" s="687"/>
      <c r="CQ86" s="687"/>
      <c r="CR86" s="687"/>
      <c r="CS86" s="687"/>
      <c r="CT86" s="687"/>
      <c r="CU86" s="687"/>
      <c r="CV86" s="687"/>
      <c r="CW86" s="687"/>
      <c r="CX86" s="687"/>
      <c r="CY86" s="687"/>
      <c r="CZ86" s="687"/>
      <c r="DA86" s="687"/>
    </row>
    <row r="87" spans="1:105" s="140" customFormat="1" ht="16.350000000000001" customHeight="1" x14ac:dyDescent="0.2">
      <c r="A87" s="7306" t="s">
        <v>4804</v>
      </c>
      <c r="B87" s="2855" t="s">
        <v>263</v>
      </c>
      <c r="C87" s="3415" t="s">
        <v>5369</v>
      </c>
      <c r="D87" s="2956" t="s">
        <v>5370</v>
      </c>
      <c r="E87" s="1833" t="s">
        <v>5371</v>
      </c>
      <c r="F87" s="1833" t="s">
        <v>5372</v>
      </c>
      <c r="G87" s="3415" t="s">
        <v>5373</v>
      </c>
      <c r="H87" s="2956" t="s">
        <v>5374</v>
      </c>
      <c r="I87" s="1833" t="s">
        <v>5375</v>
      </c>
      <c r="J87" s="1833" t="s">
        <v>5376</v>
      </c>
      <c r="K87" s="3415" t="s">
        <v>5377</v>
      </c>
      <c r="L87" s="2956" t="s">
        <v>5378</v>
      </c>
      <c r="M87" s="1833" t="s">
        <v>5379</v>
      </c>
      <c r="N87" s="2528" t="s">
        <v>5380</v>
      </c>
      <c r="O87" s="3414" t="s">
        <v>5381</v>
      </c>
      <c r="P87" s="3054" t="s">
        <v>5382</v>
      </c>
      <c r="Q87" s="3246" t="s">
        <v>5383</v>
      </c>
      <c r="R87" s="3230" t="s">
        <v>5384</v>
      </c>
      <c r="S87" s="2034" t="s">
        <v>5385</v>
      </c>
      <c r="T87" s="1842" t="s">
        <v>5386</v>
      </c>
      <c r="U87" s="1844" t="s">
        <v>5387</v>
      </c>
      <c r="V87" s="1853" t="s">
        <v>5388</v>
      </c>
      <c r="W87" s="1844" t="s">
        <v>5389</v>
      </c>
      <c r="X87" s="3246" t="s">
        <v>5390</v>
      </c>
      <c r="Y87" s="3230" t="s">
        <v>5391</v>
      </c>
      <c r="Z87" s="2034" t="s">
        <v>5392</v>
      </c>
      <c r="AA87" s="2986" t="s">
        <v>5393</v>
      </c>
      <c r="AB87" s="2986" t="s">
        <v>5394</v>
      </c>
      <c r="AC87" s="2986" t="s">
        <v>5395</v>
      </c>
      <c r="AD87" s="2986" t="s">
        <v>5396</v>
      </c>
      <c r="AE87" s="2986" t="s">
        <v>5397</v>
      </c>
      <c r="AF87" s="3411" t="s">
        <v>5398</v>
      </c>
      <c r="AG87" s="3412" t="s">
        <v>5399</v>
      </c>
      <c r="AH87" s="3139" t="s">
        <v>5400</v>
      </c>
      <c r="AI87" s="2987" t="s">
        <v>5401</v>
      </c>
      <c r="AJ87" s="2814" t="s">
        <v>5402</v>
      </c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R87" s="105"/>
      <c r="CB87" s="687"/>
      <c r="CC87" s="687"/>
      <c r="CD87" s="687"/>
      <c r="CE87" s="687"/>
      <c r="CF87" s="687"/>
      <c r="CG87" s="687"/>
      <c r="CH87" s="3224"/>
      <c r="CI87" s="3224"/>
      <c r="CJ87" s="3224"/>
      <c r="CK87" s="3224"/>
      <c r="CL87" s="3224"/>
      <c r="CM87" s="687"/>
      <c r="CN87" s="687"/>
      <c r="CO87" s="687"/>
      <c r="CP87" s="687"/>
      <c r="CQ87" s="687"/>
      <c r="CR87" s="687"/>
      <c r="CS87" s="687"/>
      <c r="CT87" s="687"/>
      <c r="CU87" s="687"/>
      <c r="CV87" s="687"/>
      <c r="CW87" s="687"/>
      <c r="CX87" s="687"/>
      <c r="CY87" s="687"/>
      <c r="CZ87" s="687"/>
      <c r="DA87" s="687"/>
    </row>
    <row r="88" spans="1:105" s="140" customFormat="1" ht="16.350000000000001" customHeight="1" x14ac:dyDescent="0.2">
      <c r="A88" s="7306" t="s">
        <v>4805</v>
      </c>
      <c r="B88" s="2855" t="s">
        <v>264</v>
      </c>
      <c r="C88" s="3415" t="s">
        <v>5369</v>
      </c>
      <c r="D88" s="2956" t="s">
        <v>5370</v>
      </c>
      <c r="E88" s="1833" t="s">
        <v>5371</v>
      </c>
      <c r="F88" s="1833" t="s">
        <v>5372</v>
      </c>
      <c r="G88" s="3415" t="s">
        <v>5373</v>
      </c>
      <c r="H88" s="2956" t="s">
        <v>5374</v>
      </c>
      <c r="I88" s="1833" t="s">
        <v>5375</v>
      </c>
      <c r="J88" s="1833" t="s">
        <v>5376</v>
      </c>
      <c r="K88" s="3415" t="s">
        <v>5377</v>
      </c>
      <c r="L88" s="2956" t="s">
        <v>5378</v>
      </c>
      <c r="M88" s="1833" t="s">
        <v>5379</v>
      </c>
      <c r="N88" s="2528" t="s">
        <v>5380</v>
      </c>
      <c r="O88" s="3414" t="s">
        <v>5381</v>
      </c>
      <c r="P88" s="3054" t="s">
        <v>5382</v>
      </c>
      <c r="Q88" s="3246" t="s">
        <v>5383</v>
      </c>
      <c r="R88" s="3230" t="s">
        <v>5384</v>
      </c>
      <c r="S88" s="2034" t="s">
        <v>5385</v>
      </c>
      <c r="T88" s="1842" t="s">
        <v>5386</v>
      </c>
      <c r="U88" s="1844" t="s">
        <v>5387</v>
      </c>
      <c r="V88" s="1853" t="s">
        <v>5388</v>
      </c>
      <c r="W88" s="1844" t="s">
        <v>5389</v>
      </c>
      <c r="X88" s="3246" t="s">
        <v>5390</v>
      </c>
      <c r="Y88" s="3230" t="s">
        <v>5391</v>
      </c>
      <c r="Z88" s="2034" t="s">
        <v>5392</v>
      </c>
      <c r="AA88" s="2986" t="s">
        <v>5393</v>
      </c>
      <c r="AB88" s="2986" t="s">
        <v>5394</v>
      </c>
      <c r="AC88" s="2986" t="s">
        <v>5395</v>
      </c>
      <c r="AD88" s="2986" t="s">
        <v>5396</v>
      </c>
      <c r="AE88" s="2986" t="s">
        <v>5397</v>
      </c>
      <c r="AF88" s="3411" t="s">
        <v>5398</v>
      </c>
      <c r="AG88" s="3412" t="s">
        <v>5399</v>
      </c>
      <c r="AH88" s="3139" t="s">
        <v>5400</v>
      </c>
      <c r="AI88" s="2987" t="s">
        <v>5401</v>
      </c>
      <c r="AJ88" s="2814" t="s">
        <v>5402</v>
      </c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R88" s="105"/>
      <c r="CB88" s="687"/>
      <c r="CC88" s="687"/>
      <c r="CD88" s="687"/>
      <c r="CE88" s="687"/>
      <c r="CF88" s="687"/>
      <c r="CG88" s="687"/>
      <c r="CH88" s="3224"/>
      <c r="CI88" s="3224"/>
      <c r="CJ88" s="3224"/>
      <c r="CK88" s="3224"/>
      <c r="CL88" s="3224"/>
      <c r="CM88" s="687"/>
      <c r="CN88" s="687"/>
      <c r="CO88" s="687"/>
      <c r="CP88" s="687"/>
      <c r="CQ88" s="687"/>
      <c r="CR88" s="687"/>
      <c r="CS88" s="687"/>
      <c r="CT88" s="687"/>
      <c r="CU88" s="687"/>
      <c r="CV88" s="687"/>
      <c r="CW88" s="687"/>
      <c r="CX88" s="687"/>
      <c r="CY88" s="687"/>
      <c r="CZ88" s="687"/>
      <c r="DA88" s="687"/>
    </row>
    <row r="89" spans="1:105" s="140" customFormat="1" ht="16.350000000000001" customHeight="1" x14ac:dyDescent="0.2">
      <c r="A89" s="7306" t="s">
        <v>4806</v>
      </c>
      <c r="B89" s="2855" t="s">
        <v>456</v>
      </c>
      <c r="C89" s="3415" t="s">
        <v>5369</v>
      </c>
      <c r="D89" s="2956" t="s">
        <v>5370</v>
      </c>
      <c r="E89" s="1833" t="s">
        <v>5371</v>
      </c>
      <c r="F89" s="1833" t="s">
        <v>5372</v>
      </c>
      <c r="G89" s="3415" t="s">
        <v>5373</v>
      </c>
      <c r="H89" s="2956" t="s">
        <v>5374</v>
      </c>
      <c r="I89" s="1833" t="s">
        <v>5375</v>
      </c>
      <c r="J89" s="1833" t="s">
        <v>5376</v>
      </c>
      <c r="K89" s="3415" t="s">
        <v>5377</v>
      </c>
      <c r="L89" s="2956" t="s">
        <v>5378</v>
      </c>
      <c r="M89" s="1833" t="s">
        <v>5379</v>
      </c>
      <c r="N89" s="2528" t="s">
        <v>5380</v>
      </c>
      <c r="O89" s="3414" t="s">
        <v>5381</v>
      </c>
      <c r="P89" s="3054" t="s">
        <v>5382</v>
      </c>
      <c r="Q89" s="3246" t="s">
        <v>5383</v>
      </c>
      <c r="R89" s="3230" t="s">
        <v>5384</v>
      </c>
      <c r="S89" s="2034" t="s">
        <v>5385</v>
      </c>
      <c r="T89" s="1842" t="s">
        <v>5386</v>
      </c>
      <c r="U89" s="1844" t="s">
        <v>5387</v>
      </c>
      <c r="V89" s="1853" t="s">
        <v>5388</v>
      </c>
      <c r="W89" s="1844" t="s">
        <v>5389</v>
      </c>
      <c r="X89" s="3246" t="s">
        <v>5390</v>
      </c>
      <c r="Y89" s="3230" t="s">
        <v>5391</v>
      </c>
      <c r="Z89" s="2034" t="s">
        <v>5392</v>
      </c>
      <c r="AA89" s="2986" t="s">
        <v>5393</v>
      </c>
      <c r="AB89" s="2986" t="s">
        <v>5394</v>
      </c>
      <c r="AC89" s="2986" t="s">
        <v>5395</v>
      </c>
      <c r="AD89" s="2986" t="s">
        <v>5396</v>
      </c>
      <c r="AE89" s="2986" t="s">
        <v>5397</v>
      </c>
      <c r="AF89" s="3411" t="s">
        <v>5398</v>
      </c>
      <c r="AG89" s="3412" t="s">
        <v>5399</v>
      </c>
      <c r="AH89" s="3139" t="s">
        <v>5400</v>
      </c>
      <c r="AI89" s="2987" t="s">
        <v>5401</v>
      </c>
      <c r="AJ89" s="2814" t="s">
        <v>5402</v>
      </c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R89" s="105"/>
      <c r="CB89" s="687"/>
      <c r="CC89" s="687"/>
      <c r="CD89" s="687"/>
      <c r="CE89" s="687"/>
      <c r="CF89" s="687"/>
      <c r="CG89" s="687"/>
      <c r="CH89" s="3224"/>
      <c r="CI89" s="3224"/>
      <c r="CJ89" s="3224"/>
      <c r="CK89" s="3224"/>
      <c r="CL89" s="3224"/>
      <c r="CM89" s="687"/>
      <c r="CN89" s="687"/>
      <c r="CO89" s="687"/>
      <c r="CP89" s="687"/>
      <c r="CQ89" s="687"/>
      <c r="CR89" s="687"/>
      <c r="CS89" s="687"/>
      <c r="CT89" s="687"/>
      <c r="CU89" s="687"/>
      <c r="CV89" s="687"/>
      <c r="CW89" s="687"/>
      <c r="CX89" s="687"/>
      <c r="CY89" s="687"/>
      <c r="CZ89" s="687"/>
      <c r="DA89" s="687"/>
    </row>
    <row r="90" spans="1:105" s="140" customFormat="1" ht="16.350000000000001" customHeight="1" x14ac:dyDescent="0.2">
      <c r="A90" s="7306" t="s">
        <v>4807</v>
      </c>
      <c r="B90" s="2855" t="s">
        <v>265</v>
      </c>
      <c r="C90" s="3415" t="s">
        <v>5369</v>
      </c>
      <c r="D90" s="2956" t="s">
        <v>5370</v>
      </c>
      <c r="E90" s="1833" t="s">
        <v>5371</v>
      </c>
      <c r="F90" s="1833" t="s">
        <v>5372</v>
      </c>
      <c r="G90" s="3415" t="s">
        <v>5373</v>
      </c>
      <c r="H90" s="2956" t="s">
        <v>5374</v>
      </c>
      <c r="I90" s="1833" t="s">
        <v>5375</v>
      </c>
      <c r="J90" s="1833" t="s">
        <v>5376</v>
      </c>
      <c r="K90" s="3415" t="s">
        <v>5377</v>
      </c>
      <c r="L90" s="2956" t="s">
        <v>5378</v>
      </c>
      <c r="M90" s="1833" t="s">
        <v>5379</v>
      </c>
      <c r="N90" s="2528" t="s">
        <v>5380</v>
      </c>
      <c r="O90" s="3414" t="s">
        <v>5381</v>
      </c>
      <c r="P90" s="3054" t="s">
        <v>5382</v>
      </c>
      <c r="Q90" s="3246" t="s">
        <v>5383</v>
      </c>
      <c r="R90" s="3230" t="s">
        <v>5384</v>
      </c>
      <c r="S90" s="2034" t="s">
        <v>5385</v>
      </c>
      <c r="T90" s="1842" t="s">
        <v>5386</v>
      </c>
      <c r="U90" s="1844" t="s">
        <v>5387</v>
      </c>
      <c r="V90" s="1853" t="s">
        <v>5388</v>
      </c>
      <c r="W90" s="1844" t="s">
        <v>5389</v>
      </c>
      <c r="X90" s="3246" t="s">
        <v>5390</v>
      </c>
      <c r="Y90" s="3230" t="s">
        <v>5391</v>
      </c>
      <c r="Z90" s="2034" t="s">
        <v>5392</v>
      </c>
      <c r="AA90" s="2986" t="s">
        <v>5393</v>
      </c>
      <c r="AB90" s="2986" t="s">
        <v>5394</v>
      </c>
      <c r="AC90" s="2986" t="s">
        <v>5395</v>
      </c>
      <c r="AD90" s="2986" t="s">
        <v>5396</v>
      </c>
      <c r="AE90" s="2986" t="s">
        <v>5397</v>
      </c>
      <c r="AF90" s="3411" t="s">
        <v>5398</v>
      </c>
      <c r="AG90" s="3412" t="s">
        <v>5399</v>
      </c>
      <c r="AH90" s="3139" t="s">
        <v>5400</v>
      </c>
      <c r="AI90" s="2987" t="s">
        <v>5401</v>
      </c>
      <c r="AJ90" s="2814" t="s">
        <v>5402</v>
      </c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R90" s="105"/>
      <c r="CB90" s="687"/>
      <c r="CC90" s="687"/>
      <c r="CD90" s="687"/>
      <c r="CE90" s="687"/>
      <c r="CF90" s="687"/>
      <c r="CG90" s="687"/>
      <c r="CH90" s="3224"/>
      <c r="CI90" s="3224"/>
      <c r="CJ90" s="3224"/>
      <c r="CK90" s="3224"/>
      <c r="CL90" s="3224"/>
      <c r="CM90" s="687"/>
      <c r="CN90" s="687"/>
      <c r="CO90" s="687"/>
      <c r="CP90" s="687"/>
      <c r="CQ90" s="687"/>
      <c r="CR90" s="687"/>
      <c r="CS90" s="687"/>
      <c r="CT90" s="687"/>
      <c r="CU90" s="687"/>
      <c r="CV90" s="687"/>
      <c r="CW90" s="687"/>
      <c r="CX90" s="687"/>
      <c r="CY90" s="687"/>
      <c r="CZ90" s="687"/>
      <c r="DA90" s="687"/>
    </row>
    <row r="91" spans="1:105" s="140" customFormat="1" ht="16.350000000000001" customHeight="1" x14ac:dyDescent="0.2">
      <c r="A91" s="7306" t="s">
        <v>4808</v>
      </c>
      <c r="B91" s="2855" t="s">
        <v>266</v>
      </c>
      <c r="C91" s="3415" t="s">
        <v>5369</v>
      </c>
      <c r="D91" s="2956" t="s">
        <v>5370</v>
      </c>
      <c r="E91" s="1833" t="s">
        <v>5371</v>
      </c>
      <c r="F91" s="1833" t="s">
        <v>5372</v>
      </c>
      <c r="G91" s="3415" t="s">
        <v>5373</v>
      </c>
      <c r="H91" s="2956" t="s">
        <v>5374</v>
      </c>
      <c r="I91" s="1833" t="s">
        <v>5375</v>
      </c>
      <c r="J91" s="1833" t="s">
        <v>5376</v>
      </c>
      <c r="K91" s="3415" t="s">
        <v>5377</v>
      </c>
      <c r="L91" s="2956" t="s">
        <v>5378</v>
      </c>
      <c r="M91" s="1833" t="s">
        <v>5379</v>
      </c>
      <c r="N91" s="2528" t="s">
        <v>5380</v>
      </c>
      <c r="O91" s="3414" t="s">
        <v>5381</v>
      </c>
      <c r="P91" s="3054" t="s">
        <v>5382</v>
      </c>
      <c r="Q91" s="3246" t="s">
        <v>5383</v>
      </c>
      <c r="R91" s="3230" t="s">
        <v>5384</v>
      </c>
      <c r="S91" s="2034" t="s">
        <v>5385</v>
      </c>
      <c r="T91" s="1842" t="s">
        <v>5386</v>
      </c>
      <c r="U91" s="1844" t="s">
        <v>5387</v>
      </c>
      <c r="V91" s="1853" t="s">
        <v>5388</v>
      </c>
      <c r="W91" s="1844" t="s">
        <v>5389</v>
      </c>
      <c r="X91" s="3246" t="s">
        <v>5390</v>
      </c>
      <c r="Y91" s="3230" t="s">
        <v>5391</v>
      </c>
      <c r="Z91" s="2034" t="s">
        <v>5392</v>
      </c>
      <c r="AA91" s="2986" t="s">
        <v>5393</v>
      </c>
      <c r="AB91" s="2986" t="s">
        <v>5394</v>
      </c>
      <c r="AC91" s="2986" t="s">
        <v>5395</v>
      </c>
      <c r="AD91" s="2986" t="s">
        <v>5396</v>
      </c>
      <c r="AE91" s="2986" t="s">
        <v>5397</v>
      </c>
      <c r="AF91" s="3411" t="s">
        <v>5398</v>
      </c>
      <c r="AG91" s="3412" t="s">
        <v>5399</v>
      </c>
      <c r="AH91" s="3139" t="s">
        <v>5400</v>
      </c>
      <c r="AI91" s="2987" t="s">
        <v>5401</v>
      </c>
      <c r="AJ91" s="2814" t="s">
        <v>5402</v>
      </c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R91" s="105"/>
      <c r="CB91" s="687"/>
      <c r="CC91" s="687"/>
      <c r="CD91" s="687"/>
      <c r="CE91" s="687"/>
      <c r="CF91" s="687"/>
      <c r="CG91" s="687"/>
      <c r="CH91" s="3224"/>
      <c r="CI91" s="3224"/>
      <c r="CJ91" s="3224"/>
      <c r="CK91" s="3224"/>
      <c r="CL91" s="3224"/>
      <c r="CM91" s="687"/>
      <c r="CN91" s="687"/>
      <c r="CO91" s="687"/>
      <c r="CP91" s="687"/>
      <c r="CQ91" s="687"/>
      <c r="CR91" s="687"/>
      <c r="CS91" s="687"/>
      <c r="CT91" s="687"/>
      <c r="CU91" s="687"/>
      <c r="CV91" s="687"/>
      <c r="CW91" s="687"/>
      <c r="CX91" s="687"/>
      <c r="CY91" s="687"/>
      <c r="CZ91" s="687"/>
      <c r="DA91" s="687"/>
    </row>
    <row r="92" spans="1:105" s="140" customFormat="1" ht="16.350000000000001" customHeight="1" x14ac:dyDescent="0.2">
      <c r="A92" s="7306" t="s">
        <v>4809</v>
      </c>
      <c r="B92" s="2855" t="s">
        <v>267</v>
      </c>
      <c r="C92" s="3415" t="s">
        <v>5369</v>
      </c>
      <c r="D92" s="2956" t="s">
        <v>5370</v>
      </c>
      <c r="E92" s="1833" t="s">
        <v>5371</v>
      </c>
      <c r="F92" s="1833" t="s">
        <v>5372</v>
      </c>
      <c r="G92" s="3415" t="s">
        <v>5373</v>
      </c>
      <c r="H92" s="2956" t="s">
        <v>5374</v>
      </c>
      <c r="I92" s="1833" t="s">
        <v>5375</v>
      </c>
      <c r="J92" s="1833" t="s">
        <v>5376</v>
      </c>
      <c r="K92" s="3415" t="s">
        <v>5377</v>
      </c>
      <c r="L92" s="2956" t="s">
        <v>5378</v>
      </c>
      <c r="M92" s="1833" t="s">
        <v>5379</v>
      </c>
      <c r="N92" s="2528" t="s">
        <v>5380</v>
      </c>
      <c r="O92" s="3414" t="s">
        <v>5381</v>
      </c>
      <c r="P92" s="3054" t="s">
        <v>5382</v>
      </c>
      <c r="Q92" s="3246" t="s">
        <v>5383</v>
      </c>
      <c r="R92" s="3230" t="s">
        <v>5384</v>
      </c>
      <c r="S92" s="2034" t="s">
        <v>5385</v>
      </c>
      <c r="T92" s="1842" t="s">
        <v>5386</v>
      </c>
      <c r="U92" s="1844" t="s">
        <v>5387</v>
      </c>
      <c r="V92" s="1853" t="s">
        <v>5388</v>
      </c>
      <c r="W92" s="1844" t="s">
        <v>5389</v>
      </c>
      <c r="X92" s="3246" t="s">
        <v>5390</v>
      </c>
      <c r="Y92" s="3230" t="s">
        <v>5391</v>
      </c>
      <c r="Z92" s="2034" t="s">
        <v>5392</v>
      </c>
      <c r="AA92" s="2986" t="s">
        <v>5393</v>
      </c>
      <c r="AB92" s="2986" t="s">
        <v>5394</v>
      </c>
      <c r="AC92" s="2986" t="s">
        <v>5395</v>
      </c>
      <c r="AD92" s="2986" t="s">
        <v>5396</v>
      </c>
      <c r="AE92" s="2986" t="s">
        <v>5397</v>
      </c>
      <c r="AF92" s="3411" t="s">
        <v>5398</v>
      </c>
      <c r="AG92" s="3412" t="s">
        <v>5399</v>
      </c>
      <c r="AH92" s="3139" t="s">
        <v>5400</v>
      </c>
      <c r="AI92" s="2987" t="s">
        <v>5401</v>
      </c>
      <c r="AJ92" s="2814" t="s">
        <v>5402</v>
      </c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R92" s="105"/>
      <c r="CB92" s="687"/>
      <c r="CC92" s="687"/>
      <c r="CD92" s="687"/>
      <c r="CE92" s="687"/>
      <c r="CF92" s="687"/>
      <c r="CG92" s="687"/>
      <c r="CH92" s="3224"/>
      <c r="CI92" s="3224"/>
      <c r="CJ92" s="3224"/>
      <c r="CK92" s="3224"/>
      <c r="CL92" s="3224"/>
      <c r="CM92" s="687"/>
      <c r="CN92" s="687"/>
      <c r="CO92" s="687"/>
      <c r="CP92" s="687"/>
      <c r="CQ92" s="687"/>
      <c r="CR92" s="687"/>
      <c r="CS92" s="687"/>
      <c r="CT92" s="687"/>
      <c r="CU92" s="687"/>
      <c r="CV92" s="687"/>
      <c r="CW92" s="687"/>
      <c r="CX92" s="687"/>
      <c r="CY92" s="687"/>
      <c r="CZ92" s="687"/>
      <c r="DA92" s="687"/>
    </row>
    <row r="93" spans="1:105" s="140" customFormat="1" ht="16.350000000000001" customHeight="1" x14ac:dyDescent="0.2">
      <c r="A93" s="7306" t="s">
        <v>4810</v>
      </c>
      <c r="B93" s="2855" t="s">
        <v>457</v>
      </c>
      <c r="C93" s="3415" t="s">
        <v>5369</v>
      </c>
      <c r="D93" s="2956" t="s">
        <v>5370</v>
      </c>
      <c r="E93" s="1833" t="s">
        <v>5371</v>
      </c>
      <c r="F93" s="1833" t="s">
        <v>5372</v>
      </c>
      <c r="G93" s="3415" t="s">
        <v>5373</v>
      </c>
      <c r="H93" s="2956" t="s">
        <v>5374</v>
      </c>
      <c r="I93" s="1833" t="s">
        <v>5375</v>
      </c>
      <c r="J93" s="1833" t="s">
        <v>5376</v>
      </c>
      <c r="K93" s="3415" t="s">
        <v>5377</v>
      </c>
      <c r="L93" s="2956" t="s">
        <v>5378</v>
      </c>
      <c r="M93" s="1833" t="s">
        <v>5379</v>
      </c>
      <c r="N93" s="2528" t="s">
        <v>5380</v>
      </c>
      <c r="O93" s="3414" t="s">
        <v>5381</v>
      </c>
      <c r="P93" s="3054" t="s">
        <v>5382</v>
      </c>
      <c r="Q93" s="3246" t="s">
        <v>5383</v>
      </c>
      <c r="R93" s="3230" t="s">
        <v>5384</v>
      </c>
      <c r="S93" s="2034" t="s">
        <v>5385</v>
      </c>
      <c r="T93" s="1842" t="s">
        <v>5386</v>
      </c>
      <c r="U93" s="1844" t="s">
        <v>5387</v>
      </c>
      <c r="V93" s="1853" t="s">
        <v>5388</v>
      </c>
      <c r="W93" s="1844" t="s">
        <v>5389</v>
      </c>
      <c r="X93" s="3246" t="s">
        <v>5390</v>
      </c>
      <c r="Y93" s="3230" t="s">
        <v>5391</v>
      </c>
      <c r="Z93" s="2034" t="s">
        <v>5392</v>
      </c>
      <c r="AA93" s="2986" t="s">
        <v>5393</v>
      </c>
      <c r="AB93" s="2986" t="s">
        <v>5394</v>
      </c>
      <c r="AC93" s="2986" t="s">
        <v>5395</v>
      </c>
      <c r="AD93" s="2986" t="s">
        <v>5396</v>
      </c>
      <c r="AE93" s="2986" t="s">
        <v>5397</v>
      </c>
      <c r="AF93" s="3411" t="s">
        <v>5398</v>
      </c>
      <c r="AG93" s="3412" t="s">
        <v>5399</v>
      </c>
      <c r="AH93" s="3139" t="s">
        <v>5400</v>
      </c>
      <c r="AI93" s="2987" t="s">
        <v>5401</v>
      </c>
      <c r="AJ93" s="2814" t="s">
        <v>5402</v>
      </c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R93" s="105"/>
      <c r="CB93" s="687"/>
      <c r="CC93" s="687"/>
      <c r="CD93" s="687"/>
      <c r="CE93" s="687"/>
      <c r="CF93" s="687"/>
      <c r="CG93" s="687"/>
      <c r="CH93" s="3224"/>
      <c r="CI93" s="3224"/>
      <c r="CJ93" s="3224"/>
      <c r="CK93" s="3224"/>
      <c r="CL93" s="3224"/>
      <c r="CM93" s="687"/>
      <c r="CN93" s="687"/>
      <c r="CO93" s="687"/>
      <c r="CP93" s="687"/>
      <c r="CQ93" s="687"/>
      <c r="CR93" s="687"/>
      <c r="CS93" s="687"/>
      <c r="CT93" s="687"/>
      <c r="CU93" s="687"/>
      <c r="CV93" s="687"/>
      <c r="CW93" s="687"/>
      <c r="CX93" s="687"/>
      <c r="CY93" s="687"/>
      <c r="CZ93" s="687"/>
      <c r="DA93" s="687"/>
    </row>
    <row r="94" spans="1:105" s="140" customFormat="1" ht="16.350000000000001" customHeight="1" x14ac:dyDescent="0.2">
      <c r="A94" s="7306" t="s">
        <v>4811</v>
      </c>
      <c r="B94" s="2855" t="s">
        <v>268</v>
      </c>
      <c r="C94" s="3415" t="s">
        <v>5369</v>
      </c>
      <c r="D94" s="2956" t="s">
        <v>5370</v>
      </c>
      <c r="E94" s="1833" t="s">
        <v>5371</v>
      </c>
      <c r="F94" s="1833" t="s">
        <v>5372</v>
      </c>
      <c r="G94" s="3415" t="s">
        <v>5373</v>
      </c>
      <c r="H94" s="2956" t="s">
        <v>5374</v>
      </c>
      <c r="I94" s="1833" t="s">
        <v>5375</v>
      </c>
      <c r="J94" s="1833" t="s">
        <v>5376</v>
      </c>
      <c r="K94" s="3415" t="s">
        <v>5377</v>
      </c>
      <c r="L94" s="2956" t="s">
        <v>5378</v>
      </c>
      <c r="M94" s="1833" t="s">
        <v>5379</v>
      </c>
      <c r="N94" s="2528" t="s">
        <v>5380</v>
      </c>
      <c r="O94" s="3414" t="s">
        <v>5381</v>
      </c>
      <c r="P94" s="3054" t="s">
        <v>5382</v>
      </c>
      <c r="Q94" s="3246" t="s">
        <v>5383</v>
      </c>
      <c r="R94" s="3230" t="s">
        <v>5384</v>
      </c>
      <c r="S94" s="2034" t="s">
        <v>5385</v>
      </c>
      <c r="T94" s="1842" t="s">
        <v>5386</v>
      </c>
      <c r="U94" s="1844" t="s">
        <v>5387</v>
      </c>
      <c r="V94" s="1853" t="s">
        <v>5388</v>
      </c>
      <c r="W94" s="1844" t="s">
        <v>5389</v>
      </c>
      <c r="X94" s="3246" t="s">
        <v>5390</v>
      </c>
      <c r="Y94" s="3230" t="s">
        <v>5391</v>
      </c>
      <c r="Z94" s="2034" t="s">
        <v>5392</v>
      </c>
      <c r="AA94" s="2986" t="s">
        <v>5393</v>
      </c>
      <c r="AB94" s="2986" t="s">
        <v>5394</v>
      </c>
      <c r="AC94" s="2986" t="s">
        <v>5395</v>
      </c>
      <c r="AD94" s="2986" t="s">
        <v>5396</v>
      </c>
      <c r="AE94" s="2986" t="s">
        <v>5397</v>
      </c>
      <c r="AF94" s="3411" t="s">
        <v>5398</v>
      </c>
      <c r="AG94" s="3412" t="s">
        <v>5399</v>
      </c>
      <c r="AH94" s="3139" t="s">
        <v>5400</v>
      </c>
      <c r="AI94" s="2987" t="s">
        <v>5401</v>
      </c>
      <c r="AJ94" s="2814" t="s">
        <v>5402</v>
      </c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R94" s="105"/>
      <c r="CB94" s="687"/>
      <c r="CC94" s="687"/>
      <c r="CD94" s="687"/>
      <c r="CE94" s="687"/>
      <c r="CF94" s="687"/>
      <c r="CG94" s="687"/>
      <c r="CH94" s="3224"/>
      <c r="CI94" s="3224"/>
      <c r="CJ94" s="3224"/>
      <c r="CK94" s="3224"/>
      <c r="CL94" s="3224"/>
      <c r="CM94" s="687"/>
      <c r="CN94" s="687"/>
      <c r="CO94" s="687"/>
      <c r="CP94" s="687"/>
      <c r="CQ94" s="687"/>
      <c r="CR94" s="687"/>
      <c r="CS94" s="687"/>
      <c r="CT94" s="687"/>
      <c r="CU94" s="687"/>
      <c r="CV94" s="687"/>
      <c r="CW94" s="687"/>
      <c r="CX94" s="687"/>
      <c r="CY94" s="687"/>
      <c r="CZ94" s="687"/>
      <c r="DA94" s="687"/>
    </row>
    <row r="95" spans="1:105" s="140" customFormat="1" ht="16.350000000000001" customHeight="1" x14ac:dyDescent="0.2">
      <c r="A95" s="7306" t="s">
        <v>4812</v>
      </c>
      <c r="B95" s="2855" t="s">
        <v>458</v>
      </c>
      <c r="C95" s="3415" t="s">
        <v>5369</v>
      </c>
      <c r="D95" s="2956" t="s">
        <v>5370</v>
      </c>
      <c r="E95" s="1833" t="s">
        <v>5371</v>
      </c>
      <c r="F95" s="1833" t="s">
        <v>5372</v>
      </c>
      <c r="G95" s="3415" t="s">
        <v>5373</v>
      </c>
      <c r="H95" s="2956" t="s">
        <v>5374</v>
      </c>
      <c r="I95" s="1833" t="s">
        <v>5375</v>
      </c>
      <c r="J95" s="1833" t="s">
        <v>5376</v>
      </c>
      <c r="K95" s="3415" t="s">
        <v>5377</v>
      </c>
      <c r="L95" s="2956" t="s">
        <v>5378</v>
      </c>
      <c r="M95" s="1833" t="s">
        <v>5379</v>
      </c>
      <c r="N95" s="2528" t="s">
        <v>5380</v>
      </c>
      <c r="O95" s="3414" t="s">
        <v>5381</v>
      </c>
      <c r="P95" s="3054" t="s">
        <v>5382</v>
      </c>
      <c r="Q95" s="3246" t="s">
        <v>5383</v>
      </c>
      <c r="R95" s="3230" t="s">
        <v>5384</v>
      </c>
      <c r="S95" s="2034" t="s">
        <v>5385</v>
      </c>
      <c r="T95" s="1842" t="s">
        <v>5386</v>
      </c>
      <c r="U95" s="1844" t="s">
        <v>5387</v>
      </c>
      <c r="V95" s="1853" t="s">
        <v>5388</v>
      </c>
      <c r="W95" s="1844" t="s">
        <v>5389</v>
      </c>
      <c r="X95" s="3246" t="s">
        <v>5390</v>
      </c>
      <c r="Y95" s="3230" t="s">
        <v>5391</v>
      </c>
      <c r="Z95" s="2034" t="s">
        <v>5392</v>
      </c>
      <c r="AA95" s="2986" t="s">
        <v>5393</v>
      </c>
      <c r="AB95" s="2986" t="s">
        <v>5394</v>
      </c>
      <c r="AC95" s="2986" t="s">
        <v>5395</v>
      </c>
      <c r="AD95" s="2986" t="s">
        <v>5396</v>
      </c>
      <c r="AE95" s="2986" t="s">
        <v>5397</v>
      </c>
      <c r="AF95" s="3411" t="s">
        <v>5398</v>
      </c>
      <c r="AG95" s="3412" t="s">
        <v>5399</v>
      </c>
      <c r="AH95" s="3139" t="s">
        <v>5400</v>
      </c>
      <c r="AI95" s="2987" t="s">
        <v>5401</v>
      </c>
      <c r="AJ95" s="2814" t="s">
        <v>5402</v>
      </c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R95" s="105"/>
      <c r="CB95" s="687"/>
      <c r="CC95" s="687"/>
      <c r="CD95" s="687"/>
      <c r="CE95" s="687"/>
      <c r="CF95" s="687"/>
      <c r="CG95" s="687"/>
      <c r="CH95" s="3224"/>
      <c r="CI95" s="3224"/>
      <c r="CJ95" s="3224"/>
      <c r="CK95" s="3224"/>
      <c r="CL95" s="3224"/>
      <c r="CM95" s="687"/>
      <c r="CN95" s="687"/>
      <c r="CO95" s="687"/>
      <c r="CP95" s="687"/>
      <c r="CQ95" s="687"/>
      <c r="CR95" s="687"/>
      <c r="CS95" s="687"/>
      <c r="CT95" s="687"/>
      <c r="CU95" s="687"/>
      <c r="CV95" s="687"/>
      <c r="CW95" s="687"/>
      <c r="CX95" s="687"/>
      <c r="CY95" s="687"/>
      <c r="CZ95" s="687"/>
      <c r="DA95" s="687"/>
    </row>
    <row r="96" spans="1:105" s="140" customFormat="1" ht="16.350000000000001" customHeight="1" x14ac:dyDescent="0.2">
      <c r="A96" s="7306" t="s">
        <v>4813</v>
      </c>
      <c r="B96" s="2855" t="s">
        <v>269</v>
      </c>
      <c r="C96" s="3415" t="s">
        <v>5369</v>
      </c>
      <c r="D96" s="2956" t="s">
        <v>5370</v>
      </c>
      <c r="E96" s="1833" t="s">
        <v>5371</v>
      </c>
      <c r="F96" s="1833" t="s">
        <v>5372</v>
      </c>
      <c r="G96" s="3415" t="s">
        <v>5373</v>
      </c>
      <c r="H96" s="2956" t="s">
        <v>5374</v>
      </c>
      <c r="I96" s="1833" t="s">
        <v>5375</v>
      </c>
      <c r="J96" s="1833" t="s">
        <v>5376</v>
      </c>
      <c r="K96" s="3415" t="s">
        <v>5377</v>
      </c>
      <c r="L96" s="2956" t="s">
        <v>5378</v>
      </c>
      <c r="M96" s="1833" t="s">
        <v>5379</v>
      </c>
      <c r="N96" s="2528" t="s">
        <v>5380</v>
      </c>
      <c r="O96" s="3414" t="s">
        <v>5381</v>
      </c>
      <c r="P96" s="3054" t="s">
        <v>5382</v>
      </c>
      <c r="Q96" s="3246" t="s">
        <v>5383</v>
      </c>
      <c r="R96" s="3230" t="s">
        <v>5384</v>
      </c>
      <c r="S96" s="2034" t="s">
        <v>5385</v>
      </c>
      <c r="T96" s="1842" t="s">
        <v>5386</v>
      </c>
      <c r="U96" s="1844" t="s">
        <v>5387</v>
      </c>
      <c r="V96" s="1853" t="s">
        <v>5388</v>
      </c>
      <c r="W96" s="1844" t="s">
        <v>5389</v>
      </c>
      <c r="X96" s="3246" t="s">
        <v>5390</v>
      </c>
      <c r="Y96" s="3230" t="s">
        <v>5391</v>
      </c>
      <c r="Z96" s="2034" t="s">
        <v>5392</v>
      </c>
      <c r="AA96" s="2986" t="s">
        <v>5393</v>
      </c>
      <c r="AB96" s="2986" t="s">
        <v>5394</v>
      </c>
      <c r="AC96" s="2986" t="s">
        <v>5395</v>
      </c>
      <c r="AD96" s="2986" t="s">
        <v>5396</v>
      </c>
      <c r="AE96" s="2986" t="s">
        <v>5397</v>
      </c>
      <c r="AF96" s="3411" t="s">
        <v>5398</v>
      </c>
      <c r="AG96" s="3412" t="s">
        <v>5399</v>
      </c>
      <c r="AH96" s="3139" t="s">
        <v>5400</v>
      </c>
      <c r="AI96" s="2987" t="s">
        <v>5401</v>
      </c>
      <c r="AJ96" s="2814" t="s">
        <v>5402</v>
      </c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R96" s="105"/>
      <c r="CB96" s="687"/>
      <c r="CC96" s="687"/>
      <c r="CD96" s="687"/>
      <c r="CE96" s="687"/>
      <c r="CF96" s="687"/>
      <c r="CG96" s="687"/>
      <c r="CH96" s="3224"/>
      <c r="CI96" s="3224"/>
      <c r="CJ96" s="3224"/>
      <c r="CK96" s="3224"/>
      <c r="CL96" s="3224"/>
      <c r="CM96" s="687"/>
      <c r="CN96" s="687"/>
      <c r="CO96" s="687"/>
      <c r="CP96" s="687"/>
      <c r="CQ96" s="687"/>
      <c r="CR96" s="687"/>
      <c r="CS96" s="687"/>
      <c r="CT96" s="687"/>
      <c r="CU96" s="687"/>
      <c r="CV96" s="687"/>
      <c r="CW96" s="687"/>
      <c r="CX96" s="687"/>
      <c r="CY96" s="687"/>
      <c r="CZ96" s="687"/>
      <c r="DA96" s="687"/>
    </row>
    <row r="97" spans="1:105" s="140" customFormat="1" ht="16.350000000000001" customHeight="1" x14ac:dyDescent="0.2">
      <c r="A97" s="7306" t="s">
        <v>4814</v>
      </c>
      <c r="B97" s="2855" t="s">
        <v>270</v>
      </c>
      <c r="C97" s="3415" t="s">
        <v>5369</v>
      </c>
      <c r="D97" s="2956" t="s">
        <v>5370</v>
      </c>
      <c r="E97" s="1833" t="s">
        <v>5371</v>
      </c>
      <c r="F97" s="1833" t="s">
        <v>5372</v>
      </c>
      <c r="G97" s="3415" t="s">
        <v>5373</v>
      </c>
      <c r="H97" s="2956" t="s">
        <v>5374</v>
      </c>
      <c r="I97" s="1833" t="s">
        <v>5375</v>
      </c>
      <c r="J97" s="1833" t="s">
        <v>5376</v>
      </c>
      <c r="K97" s="3415" t="s">
        <v>5377</v>
      </c>
      <c r="L97" s="2956" t="s">
        <v>5378</v>
      </c>
      <c r="M97" s="1833" t="s">
        <v>5379</v>
      </c>
      <c r="N97" s="2528" t="s">
        <v>5380</v>
      </c>
      <c r="O97" s="3414" t="s">
        <v>5381</v>
      </c>
      <c r="P97" s="3054" t="s">
        <v>5382</v>
      </c>
      <c r="Q97" s="3246" t="s">
        <v>5383</v>
      </c>
      <c r="R97" s="3230" t="s">
        <v>5384</v>
      </c>
      <c r="S97" s="2034" t="s">
        <v>5385</v>
      </c>
      <c r="T97" s="1842" t="s">
        <v>5386</v>
      </c>
      <c r="U97" s="1844" t="s">
        <v>5387</v>
      </c>
      <c r="V97" s="1853" t="s">
        <v>5388</v>
      </c>
      <c r="W97" s="1844" t="s">
        <v>5389</v>
      </c>
      <c r="X97" s="3246" t="s">
        <v>5390</v>
      </c>
      <c r="Y97" s="3230" t="s">
        <v>5391</v>
      </c>
      <c r="Z97" s="2034" t="s">
        <v>5392</v>
      </c>
      <c r="AA97" s="2986" t="s">
        <v>5393</v>
      </c>
      <c r="AB97" s="2986" t="s">
        <v>5394</v>
      </c>
      <c r="AC97" s="2986" t="s">
        <v>5395</v>
      </c>
      <c r="AD97" s="2986" t="s">
        <v>5396</v>
      </c>
      <c r="AE97" s="2986" t="s">
        <v>5397</v>
      </c>
      <c r="AF97" s="3411" t="s">
        <v>5398</v>
      </c>
      <c r="AG97" s="3412" t="s">
        <v>5399</v>
      </c>
      <c r="AH97" s="3139" t="s">
        <v>5400</v>
      </c>
      <c r="AI97" s="2987" t="s">
        <v>5401</v>
      </c>
      <c r="AJ97" s="2814" t="s">
        <v>5402</v>
      </c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R97" s="105"/>
      <c r="CB97" s="687"/>
      <c r="CC97" s="687"/>
      <c r="CD97" s="687"/>
      <c r="CE97" s="687"/>
      <c r="CF97" s="687"/>
      <c r="CG97" s="687"/>
      <c r="CH97" s="3224"/>
      <c r="CI97" s="3224"/>
      <c r="CJ97" s="3224"/>
      <c r="CK97" s="3224"/>
      <c r="CL97" s="3224"/>
      <c r="CM97" s="687"/>
      <c r="CN97" s="687"/>
      <c r="CO97" s="687"/>
      <c r="CP97" s="687"/>
      <c r="CQ97" s="687"/>
      <c r="CR97" s="687"/>
      <c r="CS97" s="687"/>
      <c r="CT97" s="687"/>
      <c r="CU97" s="687"/>
      <c r="CV97" s="687"/>
      <c r="CW97" s="687"/>
      <c r="CX97" s="687"/>
      <c r="CY97" s="687"/>
      <c r="CZ97" s="687"/>
      <c r="DA97" s="687"/>
    </row>
    <row r="98" spans="1:105" s="140" customFormat="1" ht="16.350000000000001" customHeight="1" x14ac:dyDescent="0.2">
      <c r="A98" s="7306" t="s">
        <v>4815</v>
      </c>
      <c r="B98" s="2855" t="s">
        <v>459</v>
      </c>
      <c r="C98" s="3415" t="s">
        <v>5369</v>
      </c>
      <c r="D98" s="2956" t="s">
        <v>5370</v>
      </c>
      <c r="E98" s="1833" t="s">
        <v>5371</v>
      </c>
      <c r="F98" s="1833" t="s">
        <v>5372</v>
      </c>
      <c r="G98" s="3415" t="s">
        <v>5373</v>
      </c>
      <c r="H98" s="2956" t="s">
        <v>5374</v>
      </c>
      <c r="I98" s="1833" t="s">
        <v>5375</v>
      </c>
      <c r="J98" s="1833" t="s">
        <v>5376</v>
      </c>
      <c r="K98" s="3415" t="s">
        <v>5377</v>
      </c>
      <c r="L98" s="2956" t="s">
        <v>5378</v>
      </c>
      <c r="M98" s="1833" t="s">
        <v>5379</v>
      </c>
      <c r="N98" s="2528" t="s">
        <v>5380</v>
      </c>
      <c r="O98" s="3414" t="s">
        <v>5381</v>
      </c>
      <c r="P98" s="3054" t="s">
        <v>5382</v>
      </c>
      <c r="Q98" s="3246" t="s">
        <v>5383</v>
      </c>
      <c r="R98" s="3230" t="s">
        <v>5384</v>
      </c>
      <c r="S98" s="2034" t="s">
        <v>5385</v>
      </c>
      <c r="T98" s="1842" t="s">
        <v>5386</v>
      </c>
      <c r="U98" s="1844" t="s">
        <v>5387</v>
      </c>
      <c r="V98" s="1853" t="s">
        <v>5388</v>
      </c>
      <c r="W98" s="1844" t="s">
        <v>5389</v>
      </c>
      <c r="X98" s="3246" t="s">
        <v>5390</v>
      </c>
      <c r="Y98" s="3230" t="s">
        <v>5391</v>
      </c>
      <c r="Z98" s="2034" t="s">
        <v>5392</v>
      </c>
      <c r="AA98" s="2986" t="s">
        <v>5393</v>
      </c>
      <c r="AB98" s="2986" t="s">
        <v>5394</v>
      </c>
      <c r="AC98" s="2986" t="s">
        <v>5395</v>
      </c>
      <c r="AD98" s="2986" t="s">
        <v>5396</v>
      </c>
      <c r="AE98" s="2986" t="s">
        <v>5397</v>
      </c>
      <c r="AF98" s="3411" t="s">
        <v>5398</v>
      </c>
      <c r="AG98" s="3412" t="s">
        <v>5399</v>
      </c>
      <c r="AH98" s="3139" t="s">
        <v>5400</v>
      </c>
      <c r="AI98" s="2987" t="s">
        <v>5401</v>
      </c>
      <c r="AJ98" s="2814" t="s">
        <v>5402</v>
      </c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R98" s="105"/>
      <c r="CB98" s="687"/>
      <c r="CC98" s="687"/>
      <c r="CD98" s="687"/>
      <c r="CE98" s="687"/>
      <c r="CF98" s="687"/>
      <c r="CG98" s="687"/>
      <c r="CH98" s="3224"/>
      <c r="CI98" s="3224"/>
      <c r="CJ98" s="3224"/>
      <c r="CK98" s="3224"/>
      <c r="CL98" s="3224"/>
      <c r="CM98" s="687"/>
      <c r="CN98" s="687"/>
      <c r="CO98" s="687"/>
      <c r="CP98" s="687"/>
      <c r="CQ98" s="687"/>
      <c r="CR98" s="687"/>
      <c r="CS98" s="687"/>
      <c r="CT98" s="687"/>
      <c r="CU98" s="687"/>
      <c r="CV98" s="687"/>
      <c r="CW98" s="687"/>
      <c r="CX98" s="687"/>
      <c r="CY98" s="687"/>
      <c r="CZ98" s="687"/>
      <c r="DA98" s="687"/>
    </row>
    <row r="99" spans="1:105" s="140" customFormat="1" ht="16.350000000000001" customHeight="1" x14ac:dyDescent="0.2">
      <c r="A99" s="7306" t="s">
        <v>4816</v>
      </c>
      <c r="B99" s="2855" t="s">
        <v>271</v>
      </c>
      <c r="C99" s="3415" t="s">
        <v>5369</v>
      </c>
      <c r="D99" s="2956" t="s">
        <v>5370</v>
      </c>
      <c r="E99" s="1833" t="s">
        <v>5371</v>
      </c>
      <c r="F99" s="1833" t="s">
        <v>5372</v>
      </c>
      <c r="G99" s="3415" t="s">
        <v>5373</v>
      </c>
      <c r="H99" s="2956" t="s">
        <v>5374</v>
      </c>
      <c r="I99" s="1833" t="s">
        <v>5375</v>
      </c>
      <c r="J99" s="1833" t="s">
        <v>5376</v>
      </c>
      <c r="K99" s="3415" t="s">
        <v>5377</v>
      </c>
      <c r="L99" s="2956" t="s">
        <v>5378</v>
      </c>
      <c r="M99" s="1833" t="s">
        <v>5379</v>
      </c>
      <c r="N99" s="2528" t="s">
        <v>5380</v>
      </c>
      <c r="O99" s="3414" t="s">
        <v>5381</v>
      </c>
      <c r="P99" s="3054" t="s">
        <v>5382</v>
      </c>
      <c r="Q99" s="3246" t="s">
        <v>5383</v>
      </c>
      <c r="R99" s="3230" t="s">
        <v>5384</v>
      </c>
      <c r="S99" s="2034" t="s">
        <v>5385</v>
      </c>
      <c r="T99" s="1842" t="s">
        <v>5386</v>
      </c>
      <c r="U99" s="1844" t="s">
        <v>5387</v>
      </c>
      <c r="V99" s="1853" t="s">
        <v>5388</v>
      </c>
      <c r="W99" s="1844" t="s">
        <v>5389</v>
      </c>
      <c r="X99" s="3246" t="s">
        <v>5390</v>
      </c>
      <c r="Y99" s="3230" t="s">
        <v>5391</v>
      </c>
      <c r="Z99" s="2034" t="s">
        <v>5392</v>
      </c>
      <c r="AA99" s="2986" t="s">
        <v>5393</v>
      </c>
      <c r="AB99" s="2986" t="s">
        <v>5394</v>
      </c>
      <c r="AC99" s="2986" t="s">
        <v>5395</v>
      </c>
      <c r="AD99" s="2986" t="s">
        <v>5396</v>
      </c>
      <c r="AE99" s="2986" t="s">
        <v>5397</v>
      </c>
      <c r="AF99" s="3411" t="s">
        <v>5398</v>
      </c>
      <c r="AG99" s="3412" t="s">
        <v>5399</v>
      </c>
      <c r="AH99" s="3139" t="s">
        <v>5400</v>
      </c>
      <c r="AI99" s="2987" t="s">
        <v>5401</v>
      </c>
      <c r="AJ99" s="2814" t="s">
        <v>5402</v>
      </c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R99" s="105"/>
      <c r="CB99" s="687"/>
      <c r="CC99" s="687"/>
      <c r="CD99" s="687"/>
      <c r="CE99" s="687"/>
      <c r="CF99" s="687"/>
      <c r="CG99" s="687"/>
      <c r="CH99" s="3224"/>
      <c r="CI99" s="3224"/>
      <c r="CJ99" s="3224"/>
      <c r="CK99" s="3224"/>
      <c r="CL99" s="3224"/>
      <c r="CM99" s="687"/>
      <c r="CN99" s="687"/>
      <c r="CO99" s="687"/>
      <c r="CP99" s="687"/>
      <c r="CQ99" s="687"/>
      <c r="CR99" s="687"/>
      <c r="CS99" s="687"/>
      <c r="CT99" s="687"/>
      <c r="CU99" s="687"/>
      <c r="CV99" s="687"/>
      <c r="CW99" s="687"/>
      <c r="CX99" s="687"/>
      <c r="CY99" s="687"/>
      <c r="CZ99" s="687"/>
      <c r="DA99" s="687"/>
    </row>
    <row r="100" spans="1:105" s="140" customFormat="1" ht="16.350000000000001" customHeight="1" x14ac:dyDescent="0.2">
      <c r="A100" s="7306" t="s">
        <v>4817</v>
      </c>
      <c r="B100" s="2855" t="s">
        <v>272</v>
      </c>
      <c r="C100" s="3415" t="s">
        <v>5369</v>
      </c>
      <c r="D100" s="2956" t="s">
        <v>5370</v>
      </c>
      <c r="E100" s="1833" t="s">
        <v>5371</v>
      </c>
      <c r="F100" s="1833" t="s">
        <v>5372</v>
      </c>
      <c r="G100" s="3415" t="s">
        <v>5373</v>
      </c>
      <c r="H100" s="2956" t="s">
        <v>5374</v>
      </c>
      <c r="I100" s="1833" t="s">
        <v>5375</v>
      </c>
      <c r="J100" s="1833" t="s">
        <v>5376</v>
      </c>
      <c r="K100" s="3415" t="s">
        <v>5377</v>
      </c>
      <c r="L100" s="2956" t="s">
        <v>5378</v>
      </c>
      <c r="M100" s="1833" t="s">
        <v>5379</v>
      </c>
      <c r="N100" s="2528" t="s">
        <v>5380</v>
      </c>
      <c r="O100" s="3414" t="s">
        <v>5381</v>
      </c>
      <c r="P100" s="3054" t="s">
        <v>5382</v>
      </c>
      <c r="Q100" s="3246" t="s">
        <v>5383</v>
      </c>
      <c r="R100" s="3230" t="s">
        <v>5384</v>
      </c>
      <c r="S100" s="2034" t="s">
        <v>5385</v>
      </c>
      <c r="T100" s="1842" t="s">
        <v>5386</v>
      </c>
      <c r="U100" s="1844" t="s">
        <v>5387</v>
      </c>
      <c r="V100" s="1853" t="s">
        <v>5388</v>
      </c>
      <c r="W100" s="1844" t="s">
        <v>5389</v>
      </c>
      <c r="X100" s="3246" t="s">
        <v>5390</v>
      </c>
      <c r="Y100" s="3230" t="s">
        <v>5391</v>
      </c>
      <c r="Z100" s="2034" t="s">
        <v>5392</v>
      </c>
      <c r="AA100" s="2986" t="s">
        <v>5393</v>
      </c>
      <c r="AB100" s="2986" t="s">
        <v>5394</v>
      </c>
      <c r="AC100" s="2986" t="s">
        <v>5395</v>
      </c>
      <c r="AD100" s="2986" t="s">
        <v>5396</v>
      </c>
      <c r="AE100" s="2986" t="s">
        <v>5397</v>
      </c>
      <c r="AF100" s="3411" t="s">
        <v>5398</v>
      </c>
      <c r="AG100" s="3412" t="s">
        <v>5399</v>
      </c>
      <c r="AH100" s="3139" t="s">
        <v>5400</v>
      </c>
      <c r="AI100" s="2987" t="s">
        <v>5401</v>
      </c>
      <c r="AJ100" s="2814" t="s">
        <v>5402</v>
      </c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R100" s="105"/>
      <c r="CB100" s="687"/>
      <c r="CC100" s="687"/>
      <c r="CD100" s="687"/>
      <c r="CE100" s="687"/>
      <c r="CF100" s="687"/>
      <c r="CG100" s="687"/>
      <c r="CH100" s="3224"/>
      <c r="CI100" s="3224"/>
      <c r="CJ100" s="3224"/>
      <c r="CK100" s="3224"/>
      <c r="CL100" s="3224"/>
      <c r="CM100" s="687"/>
      <c r="CN100" s="687"/>
      <c r="CO100" s="687"/>
      <c r="CP100" s="687"/>
      <c r="CQ100" s="687"/>
      <c r="CR100" s="687"/>
      <c r="CS100" s="687"/>
      <c r="CT100" s="687"/>
      <c r="CU100" s="687"/>
      <c r="CV100" s="687"/>
      <c r="CW100" s="687"/>
      <c r="CX100" s="687"/>
      <c r="CY100" s="687"/>
      <c r="CZ100" s="687"/>
      <c r="DA100" s="687"/>
    </row>
    <row r="101" spans="1:105" s="140" customFormat="1" ht="16.350000000000001" customHeight="1" x14ac:dyDescent="0.2">
      <c r="A101" s="7306" t="s">
        <v>4818</v>
      </c>
      <c r="B101" s="2855" t="s">
        <v>273</v>
      </c>
      <c r="C101" s="3415" t="s">
        <v>5369</v>
      </c>
      <c r="D101" s="2956" t="s">
        <v>5370</v>
      </c>
      <c r="E101" s="1833" t="s">
        <v>5371</v>
      </c>
      <c r="F101" s="1833" t="s">
        <v>5372</v>
      </c>
      <c r="G101" s="3415" t="s">
        <v>5373</v>
      </c>
      <c r="H101" s="2956" t="s">
        <v>5374</v>
      </c>
      <c r="I101" s="1833" t="s">
        <v>5375</v>
      </c>
      <c r="J101" s="1833" t="s">
        <v>5376</v>
      </c>
      <c r="K101" s="3415" t="s">
        <v>5377</v>
      </c>
      <c r="L101" s="2956" t="s">
        <v>5378</v>
      </c>
      <c r="M101" s="1833" t="s">
        <v>5379</v>
      </c>
      <c r="N101" s="2528" t="s">
        <v>5380</v>
      </c>
      <c r="O101" s="3414" t="s">
        <v>5381</v>
      </c>
      <c r="P101" s="3054" t="s">
        <v>5382</v>
      </c>
      <c r="Q101" s="3246" t="s">
        <v>5383</v>
      </c>
      <c r="R101" s="3230" t="s">
        <v>5384</v>
      </c>
      <c r="S101" s="2034" t="s">
        <v>5385</v>
      </c>
      <c r="T101" s="1842" t="s">
        <v>5386</v>
      </c>
      <c r="U101" s="1844" t="s">
        <v>5387</v>
      </c>
      <c r="V101" s="1853" t="s">
        <v>5388</v>
      </c>
      <c r="W101" s="1844" t="s">
        <v>5389</v>
      </c>
      <c r="X101" s="3246" t="s">
        <v>5390</v>
      </c>
      <c r="Y101" s="3230" t="s">
        <v>5391</v>
      </c>
      <c r="Z101" s="2034" t="s">
        <v>5392</v>
      </c>
      <c r="AA101" s="2986" t="s">
        <v>5393</v>
      </c>
      <c r="AB101" s="2986" t="s">
        <v>5394</v>
      </c>
      <c r="AC101" s="2986" t="s">
        <v>5395</v>
      </c>
      <c r="AD101" s="2986" t="s">
        <v>5396</v>
      </c>
      <c r="AE101" s="2986" t="s">
        <v>5397</v>
      </c>
      <c r="AF101" s="3411" t="s">
        <v>5398</v>
      </c>
      <c r="AG101" s="3412" t="s">
        <v>5399</v>
      </c>
      <c r="AH101" s="3139" t="s">
        <v>5400</v>
      </c>
      <c r="AI101" s="2987" t="s">
        <v>5401</v>
      </c>
      <c r="AJ101" s="2814" t="s">
        <v>5402</v>
      </c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R101" s="105"/>
      <c r="CB101" s="687"/>
      <c r="CC101" s="687"/>
      <c r="CD101" s="687"/>
      <c r="CE101" s="687"/>
      <c r="CF101" s="687"/>
      <c r="CG101" s="687"/>
      <c r="CH101" s="3224"/>
      <c r="CI101" s="3224"/>
      <c r="CJ101" s="3224"/>
      <c r="CK101" s="3224"/>
      <c r="CL101" s="3224"/>
      <c r="CM101" s="687"/>
      <c r="CN101" s="687"/>
      <c r="CO101" s="687"/>
      <c r="CP101" s="687"/>
      <c r="CQ101" s="687"/>
      <c r="CR101" s="687"/>
      <c r="CS101" s="687"/>
      <c r="CT101" s="687"/>
      <c r="CU101" s="687"/>
      <c r="CV101" s="687"/>
      <c r="CW101" s="687"/>
      <c r="CX101" s="687"/>
      <c r="CY101" s="687"/>
      <c r="CZ101" s="687"/>
      <c r="DA101" s="687"/>
    </row>
    <row r="102" spans="1:105" s="140" customFormat="1" ht="16.350000000000001" customHeight="1" x14ac:dyDescent="0.2">
      <c r="A102" s="7306" t="s">
        <v>4819</v>
      </c>
      <c r="B102" s="2855" t="s">
        <v>274</v>
      </c>
      <c r="C102" s="3415" t="s">
        <v>5369</v>
      </c>
      <c r="D102" s="2956" t="s">
        <v>5370</v>
      </c>
      <c r="E102" s="1833" t="s">
        <v>5371</v>
      </c>
      <c r="F102" s="1833" t="s">
        <v>5372</v>
      </c>
      <c r="G102" s="3415" t="s">
        <v>5373</v>
      </c>
      <c r="H102" s="2956" t="s">
        <v>5374</v>
      </c>
      <c r="I102" s="1833" t="s">
        <v>5375</v>
      </c>
      <c r="J102" s="1833" t="s">
        <v>5376</v>
      </c>
      <c r="K102" s="3415" t="s">
        <v>5377</v>
      </c>
      <c r="L102" s="2956" t="s">
        <v>5378</v>
      </c>
      <c r="M102" s="1833" t="s">
        <v>5379</v>
      </c>
      <c r="N102" s="2528" t="s">
        <v>5380</v>
      </c>
      <c r="O102" s="3414" t="s">
        <v>5381</v>
      </c>
      <c r="P102" s="3054" t="s">
        <v>5382</v>
      </c>
      <c r="Q102" s="3246" t="s">
        <v>5383</v>
      </c>
      <c r="R102" s="3230" t="s">
        <v>5384</v>
      </c>
      <c r="S102" s="2034" t="s">
        <v>5385</v>
      </c>
      <c r="T102" s="1842" t="s">
        <v>5386</v>
      </c>
      <c r="U102" s="1844" t="s">
        <v>5387</v>
      </c>
      <c r="V102" s="1853" t="s">
        <v>5388</v>
      </c>
      <c r="W102" s="1844" t="s">
        <v>5389</v>
      </c>
      <c r="X102" s="3246" t="s">
        <v>5390</v>
      </c>
      <c r="Y102" s="3230" t="s">
        <v>5391</v>
      </c>
      <c r="Z102" s="2034" t="s">
        <v>5392</v>
      </c>
      <c r="AA102" s="2986" t="s">
        <v>5393</v>
      </c>
      <c r="AB102" s="2986" t="s">
        <v>5394</v>
      </c>
      <c r="AC102" s="2986" t="s">
        <v>5395</v>
      </c>
      <c r="AD102" s="2986" t="s">
        <v>5396</v>
      </c>
      <c r="AE102" s="2986" t="s">
        <v>5397</v>
      </c>
      <c r="AF102" s="3411" t="s">
        <v>5398</v>
      </c>
      <c r="AG102" s="3412" t="s">
        <v>5399</v>
      </c>
      <c r="AH102" s="3139" t="s">
        <v>5400</v>
      </c>
      <c r="AI102" s="2987" t="s">
        <v>5401</v>
      </c>
      <c r="AJ102" s="2814" t="s">
        <v>5402</v>
      </c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R102" s="105"/>
      <c r="CB102" s="687"/>
      <c r="CC102" s="687"/>
      <c r="CD102" s="687"/>
      <c r="CE102" s="687"/>
      <c r="CF102" s="687"/>
      <c r="CG102" s="687"/>
      <c r="CH102" s="3224"/>
      <c r="CI102" s="3224"/>
      <c r="CJ102" s="3224"/>
      <c r="CK102" s="3224"/>
      <c r="CL102" s="3224"/>
      <c r="CM102" s="687"/>
      <c r="CN102" s="687"/>
      <c r="CO102" s="687"/>
      <c r="CP102" s="687"/>
      <c r="CQ102" s="687"/>
      <c r="CR102" s="687"/>
      <c r="CS102" s="687"/>
      <c r="CT102" s="687"/>
      <c r="CU102" s="687"/>
      <c r="CV102" s="687"/>
      <c r="CW102" s="687"/>
      <c r="CX102" s="687"/>
      <c r="CY102" s="687"/>
      <c r="CZ102" s="687"/>
      <c r="DA102" s="687"/>
    </row>
    <row r="103" spans="1:105" s="140" customFormat="1" ht="16.350000000000001" customHeight="1" x14ac:dyDescent="0.2">
      <c r="A103" s="7306" t="s">
        <v>4820</v>
      </c>
      <c r="B103" s="2855" t="s">
        <v>275</v>
      </c>
      <c r="C103" s="3415" t="s">
        <v>5369</v>
      </c>
      <c r="D103" s="2956" t="s">
        <v>5370</v>
      </c>
      <c r="E103" s="1833" t="s">
        <v>5371</v>
      </c>
      <c r="F103" s="1833" t="s">
        <v>5372</v>
      </c>
      <c r="G103" s="3415" t="s">
        <v>5373</v>
      </c>
      <c r="H103" s="2956" t="s">
        <v>5374</v>
      </c>
      <c r="I103" s="1833" t="s">
        <v>5375</v>
      </c>
      <c r="J103" s="1833" t="s">
        <v>5376</v>
      </c>
      <c r="K103" s="3415" t="s">
        <v>5377</v>
      </c>
      <c r="L103" s="2956" t="s">
        <v>5378</v>
      </c>
      <c r="M103" s="1833" t="s">
        <v>5379</v>
      </c>
      <c r="N103" s="2528" t="s">
        <v>5380</v>
      </c>
      <c r="O103" s="3414" t="s">
        <v>5381</v>
      </c>
      <c r="P103" s="3054" t="s">
        <v>5382</v>
      </c>
      <c r="Q103" s="3246" t="s">
        <v>5383</v>
      </c>
      <c r="R103" s="3230" t="s">
        <v>5384</v>
      </c>
      <c r="S103" s="2034" t="s">
        <v>5385</v>
      </c>
      <c r="T103" s="1842" t="s">
        <v>5386</v>
      </c>
      <c r="U103" s="1844" t="s">
        <v>5387</v>
      </c>
      <c r="V103" s="1853" t="s">
        <v>5388</v>
      </c>
      <c r="W103" s="1844" t="s">
        <v>5389</v>
      </c>
      <c r="X103" s="3246" t="s">
        <v>5390</v>
      </c>
      <c r="Y103" s="3230" t="s">
        <v>5391</v>
      </c>
      <c r="Z103" s="2034" t="s">
        <v>5392</v>
      </c>
      <c r="AA103" s="2986" t="s">
        <v>5393</v>
      </c>
      <c r="AB103" s="2986" t="s">
        <v>5394</v>
      </c>
      <c r="AC103" s="2986" t="s">
        <v>5395</v>
      </c>
      <c r="AD103" s="2986" t="s">
        <v>5396</v>
      </c>
      <c r="AE103" s="2986" t="s">
        <v>5397</v>
      </c>
      <c r="AF103" s="3411" t="s">
        <v>5398</v>
      </c>
      <c r="AG103" s="3412" t="s">
        <v>5399</v>
      </c>
      <c r="AH103" s="3139" t="s">
        <v>5400</v>
      </c>
      <c r="AI103" s="2987" t="s">
        <v>5401</v>
      </c>
      <c r="AJ103" s="2814" t="s">
        <v>5402</v>
      </c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R103" s="105"/>
      <c r="CB103" s="687"/>
      <c r="CC103" s="687"/>
      <c r="CD103" s="687"/>
      <c r="CE103" s="687"/>
      <c r="CF103" s="687"/>
      <c r="CG103" s="687"/>
      <c r="CH103" s="3224"/>
      <c r="CI103" s="3224"/>
      <c r="CJ103" s="3224"/>
      <c r="CK103" s="3224"/>
      <c r="CL103" s="3224"/>
      <c r="CM103" s="687"/>
      <c r="CN103" s="687"/>
      <c r="CO103" s="687"/>
      <c r="CP103" s="687"/>
      <c r="CQ103" s="687"/>
      <c r="CR103" s="687"/>
      <c r="CS103" s="687"/>
      <c r="CT103" s="687"/>
      <c r="CU103" s="687"/>
      <c r="CV103" s="687"/>
      <c r="CW103" s="687"/>
      <c r="CX103" s="687"/>
      <c r="CY103" s="687"/>
      <c r="CZ103" s="687"/>
      <c r="DA103" s="687"/>
    </row>
    <row r="104" spans="1:105" s="140" customFormat="1" ht="16.350000000000001" customHeight="1" x14ac:dyDescent="0.2">
      <c r="A104" s="7306" t="s">
        <v>4821</v>
      </c>
      <c r="B104" s="2855" t="s">
        <v>460</v>
      </c>
      <c r="C104" s="3416" t="s">
        <v>5369</v>
      </c>
      <c r="D104" s="828" t="s">
        <v>5370</v>
      </c>
      <c r="E104" s="752" t="s">
        <v>5371</v>
      </c>
      <c r="F104" s="752" t="s">
        <v>5372</v>
      </c>
      <c r="G104" s="3416" t="s">
        <v>5373</v>
      </c>
      <c r="H104" s="828" t="s">
        <v>5374</v>
      </c>
      <c r="I104" s="752" t="s">
        <v>5375</v>
      </c>
      <c r="J104" s="752" t="s">
        <v>5376</v>
      </c>
      <c r="K104" s="3416" t="s">
        <v>5377</v>
      </c>
      <c r="L104" s="828" t="s">
        <v>5378</v>
      </c>
      <c r="M104" s="752" t="s">
        <v>5379</v>
      </c>
      <c r="N104" s="2444" t="s">
        <v>5380</v>
      </c>
      <c r="O104" s="3414" t="s">
        <v>5381</v>
      </c>
      <c r="P104" s="1792" t="s">
        <v>5382</v>
      </c>
      <c r="Q104" s="209" t="s">
        <v>5383</v>
      </c>
      <c r="R104" s="3230" t="s">
        <v>5384</v>
      </c>
      <c r="S104" s="2034" t="s">
        <v>5385</v>
      </c>
      <c r="T104" s="1842" t="s">
        <v>5386</v>
      </c>
      <c r="U104" s="1844" t="s">
        <v>5387</v>
      </c>
      <c r="V104" s="1853" t="s">
        <v>5388</v>
      </c>
      <c r="W104" s="1844" t="s">
        <v>5389</v>
      </c>
      <c r="X104" s="3246" t="s">
        <v>5390</v>
      </c>
      <c r="Y104" s="3230" t="s">
        <v>5391</v>
      </c>
      <c r="Z104" s="2034" t="s">
        <v>5392</v>
      </c>
      <c r="AA104" s="2986" t="s">
        <v>5393</v>
      </c>
      <c r="AB104" s="2986" t="s">
        <v>5394</v>
      </c>
      <c r="AC104" s="2986" t="s">
        <v>5395</v>
      </c>
      <c r="AD104" s="2986" t="s">
        <v>5396</v>
      </c>
      <c r="AE104" s="2986" t="s">
        <v>5397</v>
      </c>
      <c r="AF104" s="3411" t="s">
        <v>5398</v>
      </c>
      <c r="AG104" s="3412" t="s">
        <v>5399</v>
      </c>
      <c r="AH104" s="3139" t="s">
        <v>5400</v>
      </c>
      <c r="AI104" s="2987" t="s">
        <v>5401</v>
      </c>
      <c r="AJ104" s="2814" t="s">
        <v>5402</v>
      </c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R104" s="105"/>
      <c r="CB104" s="687"/>
      <c r="CC104" s="687"/>
      <c r="CD104" s="687"/>
      <c r="CE104" s="687"/>
      <c r="CF104" s="687"/>
      <c r="CG104" s="687"/>
      <c r="CH104" s="3224"/>
      <c r="CI104" s="3224"/>
      <c r="CJ104" s="3224"/>
      <c r="CK104" s="3224"/>
      <c r="CL104" s="3224"/>
      <c r="CM104" s="687"/>
      <c r="CN104" s="687"/>
      <c r="CO104" s="687"/>
      <c r="CP104" s="687"/>
      <c r="CQ104" s="687"/>
      <c r="CR104" s="687"/>
      <c r="CS104" s="687"/>
      <c r="CT104" s="687"/>
      <c r="CU104" s="687"/>
      <c r="CV104" s="687"/>
      <c r="CW104" s="687"/>
      <c r="CX104" s="687"/>
      <c r="CY104" s="687"/>
      <c r="CZ104" s="687"/>
      <c r="DA104" s="687"/>
    </row>
    <row r="105" spans="1:105" s="140" customFormat="1" ht="16.350000000000001" customHeight="1" x14ac:dyDescent="0.2">
      <c r="A105" s="7306" t="s">
        <v>4822</v>
      </c>
      <c r="B105" s="2855" t="s">
        <v>276</v>
      </c>
      <c r="C105" s="3415" t="s">
        <v>5369</v>
      </c>
      <c r="D105" s="2956" t="s">
        <v>5370</v>
      </c>
      <c r="E105" s="1833" t="s">
        <v>5371</v>
      </c>
      <c r="F105" s="1833" t="s">
        <v>5372</v>
      </c>
      <c r="G105" s="3415" t="s">
        <v>5373</v>
      </c>
      <c r="H105" s="2956" t="s">
        <v>5374</v>
      </c>
      <c r="I105" s="1833" t="s">
        <v>5375</v>
      </c>
      <c r="J105" s="1833" t="s">
        <v>5376</v>
      </c>
      <c r="K105" s="3415" t="s">
        <v>5377</v>
      </c>
      <c r="L105" s="2956" t="s">
        <v>5378</v>
      </c>
      <c r="M105" s="1833" t="s">
        <v>5379</v>
      </c>
      <c r="N105" s="2528" t="s">
        <v>5380</v>
      </c>
      <c r="O105" s="3414" t="s">
        <v>5381</v>
      </c>
      <c r="P105" s="3054" t="s">
        <v>5382</v>
      </c>
      <c r="Q105" s="3246" t="s">
        <v>5383</v>
      </c>
      <c r="R105" s="3230" t="s">
        <v>5384</v>
      </c>
      <c r="S105" s="2034" t="s">
        <v>5385</v>
      </c>
      <c r="T105" s="1842" t="s">
        <v>5386</v>
      </c>
      <c r="U105" s="1844" t="s">
        <v>5387</v>
      </c>
      <c r="V105" s="1853" t="s">
        <v>5388</v>
      </c>
      <c r="W105" s="1844" t="s">
        <v>5389</v>
      </c>
      <c r="X105" s="3246" t="s">
        <v>5390</v>
      </c>
      <c r="Y105" s="3230" t="s">
        <v>5391</v>
      </c>
      <c r="Z105" s="2034" t="s">
        <v>5392</v>
      </c>
      <c r="AA105" s="2986" t="s">
        <v>5393</v>
      </c>
      <c r="AB105" s="2986" t="s">
        <v>5394</v>
      </c>
      <c r="AC105" s="2986" t="s">
        <v>5395</v>
      </c>
      <c r="AD105" s="2986" t="s">
        <v>5396</v>
      </c>
      <c r="AE105" s="2986" t="s">
        <v>5397</v>
      </c>
      <c r="AF105" s="3411" t="s">
        <v>5398</v>
      </c>
      <c r="AG105" s="3412" t="s">
        <v>5399</v>
      </c>
      <c r="AH105" s="3139" t="s">
        <v>5400</v>
      </c>
      <c r="AI105" s="2987" t="s">
        <v>5401</v>
      </c>
      <c r="AJ105" s="2814" t="s">
        <v>5402</v>
      </c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R105" s="105"/>
      <c r="CB105" s="687"/>
      <c r="CC105" s="687"/>
      <c r="CD105" s="687"/>
      <c r="CE105" s="687"/>
      <c r="CF105" s="687"/>
      <c r="CG105" s="687"/>
      <c r="CH105" s="3224"/>
      <c r="CI105" s="3224"/>
      <c r="CJ105" s="3224"/>
      <c r="CK105" s="3224"/>
      <c r="CL105" s="3224"/>
      <c r="CM105" s="687"/>
      <c r="CN105" s="687"/>
      <c r="CO105" s="687"/>
      <c r="CP105" s="687"/>
      <c r="CQ105" s="687"/>
      <c r="CR105" s="687"/>
      <c r="CS105" s="687"/>
      <c r="CT105" s="687"/>
      <c r="CU105" s="687"/>
      <c r="CV105" s="687"/>
      <c r="CW105" s="687"/>
      <c r="CX105" s="687"/>
      <c r="CY105" s="687"/>
      <c r="CZ105" s="687"/>
      <c r="DA105" s="687"/>
    </row>
    <row r="106" spans="1:105" s="140" customFormat="1" ht="16.350000000000001" customHeight="1" x14ac:dyDescent="0.2">
      <c r="A106" s="7306" t="s">
        <v>4823</v>
      </c>
      <c r="B106" s="2855" t="s">
        <v>277</v>
      </c>
      <c r="C106" s="3415" t="s">
        <v>5369</v>
      </c>
      <c r="D106" s="2956" t="s">
        <v>5370</v>
      </c>
      <c r="E106" s="1833" t="s">
        <v>5371</v>
      </c>
      <c r="F106" s="1833" t="s">
        <v>5372</v>
      </c>
      <c r="G106" s="3415" t="s">
        <v>5373</v>
      </c>
      <c r="H106" s="2956" t="s">
        <v>5374</v>
      </c>
      <c r="I106" s="1833" t="s">
        <v>5375</v>
      </c>
      <c r="J106" s="1833" t="s">
        <v>5376</v>
      </c>
      <c r="K106" s="3415" t="s">
        <v>5377</v>
      </c>
      <c r="L106" s="2956" t="s">
        <v>5378</v>
      </c>
      <c r="M106" s="1833" t="s">
        <v>5379</v>
      </c>
      <c r="N106" s="2528" t="s">
        <v>5380</v>
      </c>
      <c r="O106" s="3414" t="s">
        <v>5381</v>
      </c>
      <c r="P106" s="3054" t="s">
        <v>5382</v>
      </c>
      <c r="Q106" s="3246" t="s">
        <v>5383</v>
      </c>
      <c r="R106" s="3230" t="s">
        <v>5384</v>
      </c>
      <c r="S106" s="2034" t="s">
        <v>5385</v>
      </c>
      <c r="T106" s="1842" t="s">
        <v>5386</v>
      </c>
      <c r="U106" s="1844" t="s">
        <v>5387</v>
      </c>
      <c r="V106" s="1853" t="s">
        <v>5388</v>
      </c>
      <c r="W106" s="1844" t="s">
        <v>5389</v>
      </c>
      <c r="X106" s="3246" t="s">
        <v>5390</v>
      </c>
      <c r="Y106" s="3230" t="s">
        <v>5391</v>
      </c>
      <c r="Z106" s="2034" t="s">
        <v>5392</v>
      </c>
      <c r="AA106" s="2986" t="s">
        <v>5393</v>
      </c>
      <c r="AB106" s="2986" t="s">
        <v>5394</v>
      </c>
      <c r="AC106" s="2986" t="s">
        <v>5395</v>
      </c>
      <c r="AD106" s="2986" t="s">
        <v>5396</v>
      </c>
      <c r="AE106" s="2986" t="s">
        <v>5397</v>
      </c>
      <c r="AF106" s="3411" t="s">
        <v>5398</v>
      </c>
      <c r="AG106" s="3412" t="s">
        <v>5399</v>
      </c>
      <c r="AH106" s="3139" t="s">
        <v>5400</v>
      </c>
      <c r="AI106" s="2987" t="s">
        <v>5401</v>
      </c>
      <c r="AJ106" s="2814" t="s">
        <v>5402</v>
      </c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R106" s="105"/>
      <c r="CB106" s="687"/>
      <c r="CC106" s="687"/>
      <c r="CD106" s="687"/>
      <c r="CE106" s="687"/>
      <c r="CF106" s="687"/>
      <c r="CG106" s="687"/>
      <c r="CH106" s="3224"/>
      <c r="CI106" s="3224"/>
      <c r="CJ106" s="3224"/>
      <c r="CK106" s="3224"/>
      <c r="CL106" s="3224"/>
      <c r="CM106" s="687"/>
      <c r="CN106" s="687"/>
      <c r="CO106" s="687"/>
      <c r="CP106" s="687"/>
      <c r="CQ106" s="687"/>
      <c r="CR106" s="687"/>
      <c r="CS106" s="687"/>
      <c r="CT106" s="687"/>
      <c r="CU106" s="687"/>
      <c r="CV106" s="687"/>
      <c r="CW106" s="687"/>
      <c r="CX106" s="687"/>
      <c r="CY106" s="687"/>
      <c r="CZ106" s="687"/>
      <c r="DA106" s="687"/>
    </row>
    <row r="107" spans="1:105" s="140" customFormat="1" ht="16.350000000000001" customHeight="1" x14ac:dyDescent="0.2">
      <c r="A107" s="7306" t="s">
        <v>4824</v>
      </c>
      <c r="B107" s="2855" t="s">
        <v>461</v>
      </c>
      <c r="C107" s="3415" t="s">
        <v>5369</v>
      </c>
      <c r="D107" s="2956" t="s">
        <v>5370</v>
      </c>
      <c r="E107" s="1833" t="s">
        <v>5371</v>
      </c>
      <c r="F107" s="1833" t="s">
        <v>5372</v>
      </c>
      <c r="G107" s="3415" t="s">
        <v>5373</v>
      </c>
      <c r="H107" s="2956" t="s">
        <v>5374</v>
      </c>
      <c r="I107" s="1833" t="s">
        <v>5375</v>
      </c>
      <c r="J107" s="1833" t="s">
        <v>5376</v>
      </c>
      <c r="K107" s="3415" t="s">
        <v>5377</v>
      </c>
      <c r="L107" s="2956" t="s">
        <v>5378</v>
      </c>
      <c r="M107" s="1833" t="s">
        <v>5379</v>
      </c>
      <c r="N107" s="2528" t="s">
        <v>5380</v>
      </c>
      <c r="O107" s="3414" t="s">
        <v>5381</v>
      </c>
      <c r="P107" s="3054" t="s">
        <v>5382</v>
      </c>
      <c r="Q107" s="3246" t="s">
        <v>5383</v>
      </c>
      <c r="R107" s="3230" t="s">
        <v>5384</v>
      </c>
      <c r="S107" s="2034" t="s">
        <v>5385</v>
      </c>
      <c r="T107" s="1842" t="s">
        <v>5386</v>
      </c>
      <c r="U107" s="1844" t="s">
        <v>5387</v>
      </c>
      <c r="V107" s="1853" t="s">
        <v>5388</v>
      </c>
      <c r="W107" s="1844" t="s">
        <v>5389</v>
      </c>
      <c r="X107" s="3246" t="s">
        <v>5390</v>
      </c>
      <c r="Y107" s="3230" t="s">
        <v>5391</v>
      </c>
      <c r="Z107" s="2034" t="s">
        <v>5392</v>
      </c>
      <c r="AA107" s="2986" t="s">
        <v>5393</v>
      </c>
      <c r="AB107" s="2986" t="s">
        <v>5394</v>
      </c>
      <c r="AC107" s="2986" t="s">
        <v>5395</v>
      </c>
      <c r="AD107" s="2986" t="s">
        <v>5396</v>
      </c>
      <c r="AE107" s="2986" t="s">
        <v>5397</v>
      </c>
      <c r="AF107" s="3411" t="s">
        <v>5398</v>
      </c>
      <c r="AG107" s="3412" t="s">
        <v>5399</v>
      </c>
      <c r="AH107" s="3139" t="s">
        <v>5400</v>
      </c>
      <c r="AI107" s="2987" t="s">
        <v>5401</v>
      </c>
      <c r="AJ107" s="2814" t="s">
        <v>5402</v>
      </c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R107" s="105"/>
      <c r="CB107" s="687"/>
      <c r="CC107" s="687"/>
      <c r="CD107" s="687"/>
      <c r="CE107" s="687"/>
      <c r="CF107" s="687"/>
      <c r="CG107" s="687"/>
      <c r="CH107" s="3224"/>
      <c r="CI107" s="3224"/>
      <c r="CJ107" s="3224"/>
      <c r="CK107" s="3224"/>
      <c r="CL107" s="3224"/>
      <c r="CM107" s="687"/>
      <c r="CN107" s="687"/>
      <c r="CO107" s="687"/>
      <c r="CP107" s="687"/>
      <c r="CQ107" s="687"/>
      <c r="CR107" s="687"/>
      <c r="CS107" s="687"/>
      <c r="CT107" s="687"/>
      <c r="CU107" s="687"/>
      <c r="CV107" s="687"/>
      <c r="CW107" s="687"/>
      <c r="CX107" s="687"/>
      <c r="CY107" s="687"/>
      <c r="CZ107" s="687"/>
      <c r="DA107" s="687"/>
    </row>
    <row r="108" spans="1:105" s="140" customFormat="1" ht="16.350000000000001" customHeight="1" x14ac:dyDescent="0.2">
      <c r="A108" s="7306" t="s">
        <v>4825</v>
      </c>
      <c r="B108" s="2855" t="s">
        <v>278</v>
      </c>
      <c r="C108" s="3417" t="s">
        <v>5369</v>
      </c>
      <c r="D108" s="3139" t="s">
        <v>5370</v>
      </c>
      <c r="E108" s="2987" t="s">
        <v>5371</v>
      </c>
      <c r="F108" s="2987" t="s">
        <v>5372</v>
      </c>
      <c r="G108" s="3417" t="s">
        <v>5373</v>
      </c>
      <c r="H108" s="3139" t="s">
        <v>5374</v>
      </c>
      <c r="I108" s="2987" t="s">
        <v>5375</v>
      </c>
      <c r="J108" s="2987" t="s">
        <v>5376</v>
      </c>
      <c r="K108" s="3417" t="s">
        <v>5377</v>
      </c>
      <c r="L108" s="3139" t="s">
        <v>5378</v>
      </c>
      <c r="M108" s="2987" t="s">
        <v>5379</v>
      </c>
      <c r="N108" s="1743" t="s">
        <v>5380</v>
      </c>
      <c r="O108" s="3414" t="s">
        <v>5381</v>
      </c>
      <c r="P108" s="3032" t="s">
        <v>5382</v>
      </c>
      <c r="Q108" s="234" t="s">
        <v>5383</v>
      </c>
      <c r="R108" s="3230" t="s">
        <v>5384</v>
      </c>
      <c r="S108" s="2034" t="s">
        <v>5385</v>
      </c>
      <c r="T108" s="1842" t="s">
        <v>5386</v>
      </c>
      <c r="U108" s="1844" t="s">
        <v>5387</v>
      </c>
      <c r="V108" s="1853" t="s">
        <v>5388</v>
      </c>
      <c r="W108" s="1844" t="s">
        <v>5389</v>
      </c>
      <c r="X108" s="3246" t="s">
        <v>5390</v>
      </c>
      <c r="Y108" s="3230" t="s">
        <v>5391</v>
      </c>
      <c r="Z108" s="2034" t="s">
        <v>5392</v>
      </c>
      <c r="AA108" s="2986" t="s">
        <v>5393</v>
      </c>
      <c r="AB108" s="2986" t="s">
        <v>5394</v>
      </c>
      <c r="AC108" s="2986" t="s">
        <v>5395</v>
      </c>
      <c r="AD108" s="2986" t="s">
        <v>5396</v>
      </c>
      <c r="AE108" s="2986" t="s">
        <v>5397</v>
      </c>
      <c r="AF108" s="3411" t="s">
        <v>5398</v>
      </c>
      <c r="AG108" s="3412" t="s">
        <v>5399</v>
      </c>
      <c r="AH108" s="3139" t="s">
        <v>5400</v>
      </c>
      <c r="AI108" s="2987" t="s">
        <v>5401</v>
      </c>
      <c r="AJ108" s="2814" t="s">
        <v>5402</v>
      </c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R108" s="105"/>
      <c r="CB108" s="687"/>
      <c r="CC108" s="687"/>
      <c r="CD108" s="687"/>
      <c r="CE108" s="687"/>
      <c r="CF108" s="687"/>
      <c r="CG108" s="687"/>
      <c r="CH108" s="3224"/>
      <c r="CI108" s="3224"/>
      <c r="CJ108" s="3224"/>
      <c r="CK108" s="3224"/>
      <c r="CL108" s="3224"/>
      <c r="CM108" s="687"/>
      <c r="CN108" s="687"/>
      <c r="CO108" s="687"/>
      <c r="CP108" s="687"/>
      <c r="CQ108" s="687"/>
      <c r="CR108" s="687"/>
      <c r="CS108" s="687"/>
      <c r="CT108" s="687"/>
      <c r="CU108" s="687"/>
      <c r="CV108" s="687"/>
      <c r="CW108" s="687"/>
      <c r="CX108" s="687"/>
      <c r="CY108" s="687"/>
      <c r="CZ108" s="687"/>
      <c r="DA108" s="687"/>
    </row>
    <row r="109" spans="1:105" s="140" customFormat="1" ht="16.350000000000001" customHeight="1" x14ac:dyDescent="0.2">
      <c r="A109" s="7306" t="s">
        <v>4826</v>
      </c>
      <c r="B109" s="2855" t="s">
        <v>462</v>
      </c>
      <c r="C109" s="3416" t="s">
        <v>5369</v>
      </c>
      <c r="D109" s="828" t="s">
        <v>5370</v>
      </c>
      <c r="E109" s="752" t="s">
        <v>5371</v>
      </c>
      <c r="F109" s="752" t="s">
        <v>5372</v>
      </c>
      <c r="G109" s="3416" t="s">
        <v>5373</v>
      </c>
      <c r="H109" s="828" t="s">
        <v>5374</v>
      </c>
      <c r="I109" s="752" t="s">
        <v>5375</v>
      </c>
      <c r="J109" s="752" t="s">
        <v>5376</v>
      </c>
      <c r="K109" s="3416" t="s">
        <v>5377</v>
      </c>
      <c r="L109" s="828" t="s">
        <v>5378</v>
      </c>
      <c r="M109" s="752" t="s">
        <v>5379</v>
      </c>
      <c r="N109" s="2444" t="s">
        <v>5380</v>
      </c>
      <c r="O109" s="3414" t="s">
        <v>5381</v>
      </c>
      <c r="P109" s="1792" t="s">
        <v>5382</v>
      </c>
      <c r="Q109" s="209" t="s">
        <v>5383</v>
      </c>
      <c r="R109" s="3230" t="s">
        <v>5384</v>
      </c>
      <c r="S109" s="2034" t="s">
        <v>5385</v>
      </c>
      <c r="T109" s="1842" t="s">
        <v>5386</v>
      </c>
      <c r="U109" s="1844" t="s">
        <v>5387</v>
      </c>
      <c r="V109" s="1853" t="s">
        <v>5388</v>
      </c>
      <c r="W109" s="1844" t="s">
        <v>5389</v>
      </c>
      <c r="X109" s="3041" t="s">
        <v>5390</v>
      </c>
      <c r="Y109" s="3230" t="s">
        <v>5391</v>
      </c>
      <c r="Z109" s="2034" t="s">
        <v>5392</v>
      </c>
      <c r="AA109" s="2986" t="s">
        <v>5393</v>
      </c>
      <c r="AB109" s="2986" t="s">
        <v>5394</v>
      </c>
      <c r="AC109" s="2986" t="s">
        <v>5395</v>
      </c>
      <c r="AD109" s="2986" t="s">
        <v>5396</v>
      </c>
      <c r="AE109" s="2986" t="s">
        <v>5397</v>
      </c>
      <c r="AF109" s="3411" t="s">
        <v>5398</v>
      </c>
      <c r="AG109" s="3412" t="s">
        <v>5399</v>
      </c>
      <c r="AH109" s="3139" t="s">
        <v>5400</v>
      </c>
      <c r="AI109" s="2987" t="s">
        <v>5401</v>
      </c>
      <c r="AJ109" s="2814" t="s">
        <v>5402</v>
      </c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R109" s="105"/>
      <c r="CB109" s="687"/>
      <c r="CC109" s="687"/>
      <c r="CD109" s="687"/>
      <c r="CE109" s="687"/>
      <c r="CF109" s="687"/>
      <c r="CG109" s="687"/>
      <c r="CH109" s="3224"/>
      <c r="CI109" s="3224"/>
      <c r="CJ109" s="3224"/>
      <c r="CK109" s="3224"/>
      <c r="CL109" s="3224"/>
      <c r="CM109" s="687"/>
      <c r="CN109" s="687"/>
      <c r="CO109" s="687"/>
      <c r="CP109" s="687"/>
      <c r="CQ109" s="687"/>
      <c r="CR109" s="687"/>
      <c r="CS109" s="687"/>
      <c r="CT109" s="687"/>
      <c r="CU109" s="687"/>
      <c r="CV109" s="687"/>
      <c r="CW109" s="687"/>
      <c r="CX109" s="687"/>
      <c r="CY109" s="687"/>
      <c r="CZ109" s="687"/>
      <c r="DA109" s="687"/>
    </row>
    <row r="110" spans="1:105" s="140" customFormat="1" ht="16.350000000000001" customHeight="1" x14ac:dyDescent="0.2">
      <c r="A110" s="7306" t="s">
        <v>4827</v>
      </c>
      <c r="B110" s="153" t="s">
        <v>3591</v>
      </c>
      <c r="C110" s="3415" t="s">
        <v>5369</v>
      </c>
      <c r="D110" s="2956" t="s">
        <v>5370</v>
      </c>
      <c r="E110" s="1833" t="s">
        <v>5371</v>
      </c>
      <c r="F110" s="1833" t="s">
        <v>5372</v>
      </c>
      <c r="G110" s="3415" t="s">
        <v>5373</v>
      </c>
      <c r="H110" s="2956" t="s">
        <v>5374</v>
      </c>
      <c r="I110" s="1833" t="s">
        <v>5375</v>
      </c>
      <c r="J110" s="1833" t="s">
        <v>5376</v>
      </c>
      <c r="K110" s="3415" t="s">
        <v>5377</v>
      </c>
      <c r="L110" s="2956" t="s">
        <v>5378</v>
      </c>
      <c r="M110" s="1833" t="s">
        <v>5379</v>
      </c>
      <c r="N110" s="2528" t="s">
        <v>5380</v>
      </c>
      <c r="O110" s="3414" t="s">
        <v>5381</v>
      </c>
      <c r="P110" s="3054" t="s">
        <v>5382</v>
      </c>
      <c r="Q110" s="3246" t="s">
        <v>5383</v>
      </c>
      <c r="R110" s="3230" t="s">
        <v>5384</v>
      </c>
      <c r="S110" s="2034" t="s">
        <v>5385</v>
      </c>
      <c r="T110" s="1842" t="s">
        <v>5386</v>
      </c>
      <c r="U110" s="1844" t="s">
        <v>5387</v>
      </c>
      <c r="V110" s="1853" t="s">
        <v>5388</v>
      </c>
      <c r="W110" s="1844" t="s">
        <v>5389</v>
      </c>
      <c r="X110" s="3246" t="s">
        <v>5390</v>
      </c>
      <c r="Y110" s="3230" t="s">
        <v>5391</v>
      </c>
      <c r="Z110" s="2034" t="s">
        <v>5392</v>
      </c>
      <c r="AA110" s="2986" t="s">
        <v>5393</v>
      </c>
      <c r="AB110" s="2986" t="s">
        <v>5394</v>
      </c>
      <c r="AC110" s="2986" t="s">
        <v>5395</v>
      </c>
      <c r="AD110" s="2986" t="s">
        <v>5396</v>
      </c>
      <c r="AE110" s="2986" t="s">
        <v>5397</v>
      </c>
      <c r="AF110" s="3411" t="s">
        <v>5398</v>
      </c>
      <c r="AG110" s="3412" t="s">
        <v>5399</v>
      </c>
      <c r="AH110" s="3139" t="s">
        <v>5400</v>
      </c>
      <c r="AI110" s="2987" t="s">
        <v>5401</v>
      </c>
      <c r="AJ110" s="2814" t="s">
        <v>5402</v>
      </c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R110" s="105"/>
      <c r="CB110" s="687"/>
      <c r="CC110" s="687"/>
      <c r="CD110" s="687"/>
      <c r="CE110" s="687"/>
      <c r="CF110" s="687"/>
      <c r="CG110" s="687"/>
      <c r="CH110" s="3224"/>
      <c r="CI110" s="3224"/>
      <c r="CJ110" s="3224"/>
      <c r="CK110" s="3224"/>
      <c r="CL110" s="3224"/>
      <c r="CM110" s="687"/>
      <c r="CN110" s="687"/>
      <c r="CO110" s="687"/>
      <c r="CP110" s="687"/>
      <c r="CQ110" s="687"/>
      <c r="CR110" s="687"/>
      <c r="CS110" s="687"/>
      <c r="CT110" s="687"/>
      <c r="CU110" s="687"/>
      <c r="CV110" s="687"/>
      <c r="CW110" s="687"/>
      <c r="CX110" s="687"/>
      <c r="CY110" s="687"/>
      <c r="CZ110" s="687"/>
      <c r="DA110" s="687"/>
    </row>
    <row r="111" spans="1:105" s="140" customFormat="1" ht="16.350000000000001" customHeight="1" x14ac:dyDescent="0.2">
      <c r="A111" s="7306" t="s">
        <v>4828</v>
      </c>
      <c r="B111" s="3384" t="s">
        <v>279</v>
      </c>
      <c r="C111" s="3416" t="s">
        <v>5369</v>
      </c>
      <c r="D111" s="828" t="s">
        <v>5370</v>
      </c>
      <c r="E111" s="752" t="s">
        <v>5371</v>
      </c>
      <c r="F111" s="752" t="s">
        <v>5372</v>
      </c>
      <c r="G111" s="3416" t="s">
        <v>5373</v>
      </c>
      <c r="H111" s="828" t="s">
        <v>5374</v>
      </c>
      <c r="I111" s="752" t="s">
        <v>5375</v>
      </c>
      <c r="J111" s="752" t="s">
        <v>5376</v>
      </c>
      <c r="K111" s="3416" t="s">
        <v>5377</v>
      </c>
      <c r="L111" s="828" t="s">
        <v>5378</v>
      </c>
      <c r="M111" s="752" t="s">
        <v>5379</v>
      </c>
      <c r="N111" s="2444" t="s">
        <v>5380</v>
      </c>
      <c r="O111" s="3414" t="s">
        <v>5381</v>
      </c>
      <c r="P111" s="1792" t="s">
        <v>5382</v>
      </c>
      <c r="Q111" s="209" t="s">
        <v>5383</v>
      </c>
      <c r="R111" s="3230" t="s">
        <v>5384</v>
      </c>
      <c r="S111" s="2034" t="s">
        <v>5385</v>
      </c>
      <c r="T111" s="1842" t="s">
        <v>5386</v>
      </c>
      <c r="U111" s="1844" t="s">
        <v>5387</v>
      </c>
      <c r="V111" s="1853" t="s">
        <v>5388</v>
      </c>
      <c r="W111" s="1844" t="s">
        <v>5389</v>
      </c>
      <c r="X111" s="3246" t="s">
        <v>5390</v>
      </c>
      <c r="Y111" s="3230" t="s">
        <v>5391</v>
      </c>
      <c r="Z111" s="2034" t="s">
        <v>5392</v>
      </c>
      <c r="AA111" s="2986" t="s">
        <v>5393</v>
      </c>
      <c r="AB111" s="2986" t="s">
        <v>5394</v>
      </c>
      <c r="AC111" s="2986" t="s">
        <v>5395</v>
      </c>
      <c r="AD111" s="2986" t="s">
        <v>5396</v>
      </c>
      <c r="AE111" s="2986" t="s">
        <v>5397</v>
      </c>
      <c r="AF111" s="3411" t="s">
        <v>5398</v>
      </c>
      <c r="AG111" s="3412" t="s">
        <v>5399</v>
      </c>
      <c r="AH111" s="3139" t="s">
        <v>5400</v>
      </c>
      <c r="AI111" s="2987" t="s">
        <v>5401</v>
      </c>
      <c r="AJ111" s="2814" t="s">
        <v>5402</v>
      </c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R111" s="105"/>
      <c r="CB111" s="687"/>
      <c r="CC111" s="687"/>
      <c r="CD111" s="687"/>
      <c r="CE111" s="687"/>
      <c r="CF111" s="687"/>
      <c r="CG111" s="687"/>
      <c r="CH111" s="3224"/>
      <c r="CI111" s="3224"/>
      <c r="CJ111" s="3224"/>
      <c r="CK111" s="3224"/>
      <c r="CL111" s="3224"/>
      <c r="CM111" s="687"/>
      <c r="CN111" s="687"/>
      <c r="CO111" s="687"/>
      <c r="CP111" s="687"/>
      <c r="CQ111" s="687"/>
      <c r="CR111" s="687"/>
      <c r="CS111" s="687"/>
      <c r="CT111" s="687"/>
      <c r="CU111" s="687"/>
      <c r="CV111" s="687"/>
      <c r="CW111" s="687"/>
      <c r="CX111" s="687"/>
      <c r="CY111" s="687"/>
      <c r="CZ111" s="687"/>
      <c r="DA111" s="687"/>
    </row>
    <row r="112" spans="1:105" s="140" customFormat="1" ht="16.350000000000001" customHeight="1" x14ac:dyDescent="0.2">
      <c r="A112" s="7306" t="s">
        <v>4829</v>
      </c>
      <c r="B112" s="2855" t="s">
        <v>280</v>
      </c>
      <c r="C112" s="3415" t="s">
        <v>5369</v>
      </c>
      <c r="D112" s="2956" t="s">
        <v>5370</v>
      </c>
      <c r="E112" s="1833" t="s">
        <v>5371</v>
      </c>
      <c r="F112" s="1833" t="s">
        <v>5372</v>
      </c>
      <c r="G112" s="3415" t="s">
        <v>5373</v>
      </c>
      <c r="H112" s="2956" t="s">
        <v>5374</v>
      </c>
      <c r="I112" s="1833" t="s">
        <v>5375</v>
      </c>
      <c r="J112" s="1833" t="s">
        <v>5376</v>
      </c>
      <c r="K112" s="3415" t="s">
        <v>5377</v>
      </c>
      <c r="L112" s="2956" t="s">
        <v>5378</v>
      </c>
      <c r="M112" s="1833" t="s">
        <v>5379</v>
      </c>
      <c r="N112" s="2528" t="s">
        <v>5380</v>
      </c>
      <c r="O112" s="3414" t="s">
        <v>5381</v>
      </c>
      <c r="P112" s="3054" t="s">
        <v>5382</v>
      </c>
      <c r="Q112" s="3246" t="s">
        <v>5383</v>
      </c>
      <c r="R112" s="3230" t="s">
        <v>5384</v>
      </c>
      <c r="S112" s="2034" t="s">
        <v>5385</v>
      </c>
      <c r="T112" s="1842" t="s">
        <v>5386</v>
      </c>
      <c r="U112" s="1844" t="s">
        <v>5387</v>
      </c>
      <c r="V112" s="1853" t="s">
        <v>5388</v>
      </c>
      <c r="W112" s="1844" t="s">
        <v>5389</v>
      </c>
      <c r="X112" s="3246" t="s">
        <v>5390</v>
      </c>
      <c r="Y112" s="3230" t="s">
        <v>5391</v>
      </c>
      <c r="Z112" s="2034" t="s">
        <v>5392</v>
      </c>
      <c r="AA112" s="2986" t="s">
        <v>5393</v>
      </c>
      <c r="AB112" s="2986" t="s">
        <v>5394</v>
      </c>
      <c r="AC112" s="2986" t="s">
        <v>5395</v>
      </c>
      <c r="AD112" s="2986" t="s">
        <v>5396</v>
      </c>
      <c r="AE112" s="2986" t="s">
        <v>5397</v>
      </c>
      <c r="AF112" s="3411" t="s">
        <v>5398</v>
      </c>
      <c r="AG112" s="3412" t="s">
        <v>5399</v>
      </c>
      <c r="AH112" s="3139" t="s">
        <v>5400</v>
      </c>
      <c r="AI112" s="2987" t="s">
        <v>5401</v>
      </c>
      <c r="AJ112" s="2814" t="s">
        <v>5402</v>
      </c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R112" s="105"/>
      <c r="CB112" s="687"/>
      <c r="CC112" s="687"/>
      <c r="CD112" s="687"/>
      <c r="CE112" s="687"/>
      <c r="CF112" s="687"/>
      <c r="CG112" s="687"/>
      <c r="CH112" s="3224"/>
      <c r="CI112" s="3224"/>
      <c r="CJ112" s="3224"/>
      <c r="CK112" s="3224"/>
      <c r="CL112" s="3224"/>
      <c r="CM112" s="687"/>
      <c r="CN112" s="687"/>
      <c r="CO112" s="687"/>
      <c r="CP112" s="687"/>
      <c r="CQ112" s="687"/>
      <c r="CR112" s="687"/>
      <c r="CS112" s="687"/>
      <c r="CT112" s="687"/>
      <c r="CU112" s="687"/>
      <c r="CV112" s="687"/>
      <c r="CW112" s="687"/>
      <c r="CX112" s="687"/>
      <c r="CY112" s="687"/>
      <c r="CZ112" s="687"/>
      <c r="DA112" s="687"/>
    </row>
    <row r="113" spans="1:105" s="140" customFormat="1" ht="16.350000000000001" customHeight="1" x14ac:dyDescent="0.2">
      <c r="A113" s="7306" t="s">
        <v>4830</v>
      </c>
      <c r="B113" s="2855" t="s">
        <v>463</v>
      </c>
      <c r="C113" s="3415" t="s">
        <v>5369</v>
      </c>
      <c r="D113" s="2956" t="s">
        <v>5370</v>
      </c>
      <c r="E113" s="1833" t="s">
        <v>5371</v>
      </c>
      <c r="F113" s="1833" t="s">
        <v>5372</v>
      </c>
      <c r="G113" s="3415" t="s">
        <v>5373</v>
      </c>
      <c r="H113" s="2956" t="s">
        <v>5374</v>
      </c>
      <c r="I113" s="1833" t="s">
        <v>5375</v>
      </c>
      <c r="J113" s="1833" t="s">
        <v>5376</v>
      </c>
      <c r="K113" s="3415" t="s">
        <v>5377</v>
      </c>
      <c r="L113" s="2956" t="s">
        <v>5378</v>
      </c>
      <c r="M113" s="1833" t="s">
        <v>5379</v>
      </c>
      <c r="N113" s="2528" t="s">
        <v>5380</v>
      </c>
      <c r="O113" s="3414" t="s">
        <v>5381</v>
      </c>
      <c r="P113" s="3054" t="s">
        <v>5382</v>
      </c>
      <c r="Q113" s="3246" t="s">
        <v>5383</v>
      </c>
      <c r="R113" s="3230" t="s">
        <v>5384</v>
      </c>
      <c r="S113" s="2034" t="s">
        <v>5385</v>
      </c>
      <c r="T113" s="1842" t="s">
        <v>5386</v>
      </c>
      <c r="U113" s="1844" t="s">
        <v>5387</v>
      </c>
      <c r="V113" s="1853" t="s">
        <v>5388</v>
      </c>
      <c r="W113" s="1844" t="s">
        <v>5389</v>
      </c>
      <c r="X113" s="3246" t="s">
        <v>5390</v>
      </c>
      <c r="Y113" s="3230" t="s">
        <v>5391</v>
      </c>
      <c r="Z113" s="2034" t="s">
        <v>5392</v>
      </c>
      <c r="AA113" s="2986" t="s">
        <v>5393</v>
      </c>
      <c r="AB113" s="2986" t="s">
        <v>5394</v>
      </c>
      <c r="AC113" s="2986" t="s">
        <v>5395</v>
      </c>
      <c r="AD113" s="2986" t="s">
        <v>5396</v>
      </c>
      <c r="AE113" s="2986" t="s">
        <v>5397</v>
      </c>
      <c r="AF113" s="3411" t="s">
        <v>5398</v>
      </c>
      <c r="AG113" s="3412" t="s">
        <v>5399</v>
      </c>
      <c r="AH113" s="3139" t="s">
        <v>5400</v>
      </c>
      <c r="AI113" s="2987" t="s">
        <v>5401</v>
      </c>
      <c r="AJ113" s="2814" t="s">
        <v>5402</v>
      </c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R113" s="105"/>
      <c r="CB113" s="687"/>
      <c r="CC113" s="687"/>
      <c r="CD113" s="687"/>
      <c r="CE113" s="687"/>
      <c r="CF113" s="687"/>
      <c r="CG113" s="687"/>
      <c r="CH113" s="3224"/>
      <c r="CI113" s="3224"/>
      <c r="CJ113" s="3224"/>
      <c r="CK113" s="3224"/>
      <c r="CL113" s="3224"/>
      <c r="CM113" s="687"/>
      <c r="CN113" s="687"/>
      <c r="CO113" s="687"/>
      <c r="CP113" s="687"/>
      <c r="CQ113" s="687"/>
      <c r="CR113" s="687"/>
      <c r="CS113" s="687"/>
      <c r="CT113" s="687"/>
      <c r="CU113" s="687"/>
      <c r="CV113" s="687"/>
      <c r="CW113" s="687"/>
      <c r="CX113" s="687"/>
      <c r="CY113" s="687"/>
      <c r="CZ113" s="687"/>
      <c r="DA113" s="687"/>
    </row>
    <row r="114" spans="1:105" s="140" customFormat="1" ht="16.350000000000001" customHeight="1" x14ac:dyDescent="0.2">
      <c r="A114" s="7306" t="s">
        <v>4831</v>
      </c>
      <c r="B114" s="2855" t="s">
        <v>3592</v>
      </c>
      <c r="C114" s="3416" t="s">
        <v>5369</v>
      </c>
      <c r="D114" s="828" t="s">
        <v>5370</v>
      </c>
      <c r="E114" s="752" t="s">
        <v>5371</v>
      </c>
      <c r="F114" s="752" t="s">
        <v>5372</v>
      </c>
      <c r="G114" s="3416" t="s">
        <v>5373</v>
      </c>
      <c r="H114" s="828" t="s">
        <v>5374</v>
      </c>
      <c r="I114" s="752" t="s">
        <v>5375</v>
      </c>
      <c r="J114" s="752" t="s">
        <v>5376</v>
      </c>
      <c r="K114" s="3416" t="s">
        <v>5377</v>
      </c>
      <c r="L114" s="828" t="s">
        <v>5378</v>
      </c>
      <c r="M114" s="752" t="s">
        <v>5379</v>
      </c>
      <c r="N114" s="2444" t="s">
        <v>5380</v>
      </c>
      <c r="O114" s="3414" t="s">
        <v>5381</v>
      </c>
      <c r="P114" s="1792" t="s">
        <v>5382</v>
      </c>
      <c r="Q114" s="209" t="s">
        <v>5383</v>
      </c>
      <c r="R114" s="3230" t="s">
        <v>5384</v>
      </c>
      <c r="S114" s="2034" t="s">
        <v>5385</v>
      </c>
      <c r="T114" s="1842" t="s">
        <v>5386</v>
      </c>
      <c r="U114" s="1844" t="s">
        <v>5387</v>
      </c>
      <c r="V114" s="1853" t="s">
        <v>5388</v>
      </c>
      <c r="W114" s="1844" t="s">
        <v>5389</v>
      </c>
      <c r="X114" s="3246" t="s">
        <v>5390</v>
      </c>
      <c r="Y114" s="3230" t="s">
        <v>5391</v>
      </c>
      <c r="Z114" s="2034" t="s">
        <v>5392</v>
      </c>
      <c r="AA114" s="2986" t="s">
        <v>5393</v>
      </c>
      <c r="AB114" s="2986" t="s">
        <v>5394</v>
      </c>
      <c r="AC114" s="2986" t="s">
        <v>5395</v>
      </c>
      <c r="AD114" s="2986" t="s">
        <v>5396</v>
      </c>
      <c r="AE114" s="2986" t="s">
        <v>5397</v>
      </c>
      <c r="AF114" s="3411" t="s">
        <v>5398</v>
      </c>
      <c r="AG114" s="3412" t="s">
        <v>5399</v>
      </c>
      <c r="AH114" s="3139" t="s">
        <v>5400</v>
      </c>
      <c r="AI114" s="2987" t="s">
        <v>5401</v>
      </c>
      <c r="AJ114" s="2814" t="s">
        <v>5402</v>
      </c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R114" s="105"/>
      <c r="CB114" s="687"/>
      <c r="CC114" s="687"/>
      <c r="CD114" s="687"/>
      <c r="CE114" s="687"/>
      <c r="CF114" s="687"/>
      <c r="CG114" s="687"/>
      <c r="CH114" s="3224"/>
      <c r="CI114" s="3224"/>
      <c r="CJ114" s="3224"/>
      <c r="CK114" s="3224"/>
      <c r="CL114" s="3224"/>
      <c r="CM114" s="687"/>
      <c r="CN114" s="687"/>
      <c r="CO114" s="687"/>
      <c r="CP114" s="687"/>
      <c r="CQ114" s="687"/>
      <c r="CR114" s="687"/>
      <c r="CS114" s="687"/>
      <c r="CT114" s="687"/>
      <c r="CU114" s="687"/>
      <c r="CV114" s="687"/>
      <c r="CW114" s="687"/>
      <c r="CX114" s="687"/>
      <c r="CY114" s="687"/>
      <c r="CZ114" s="687"/>
      <c r="DA114" s="687"/>
    </row>
    <row r="115" spans="1:105" s="140" customFormat="1" ht="16.350000000000001" customHeight="1" x14ac:dyDescent="0.2">
      <c r="A115" s="7306" t="s">
        <v>4832</v>
      </c>
      <c r="B115" s="2855" t="s">
        <v>35</v>
      </c>
      <c r="C115" s="3415" t="s">
        <v>5369</v>
      </c>
      <c r="D115" s="2956" t="s">
        <v>5370</v>
      </c>
      <c r="E115" s="1833" t="s">
        <v>5371</v>
      </c>
      <c r="F115" s="1833" t="s">
        <v>5372</v>
      </c>
      <c r="G115" s="3415" t="s">
        <v>5373</v>
      </c>
      <c r="H115" s="2956" t="s">
        <v>5374</v>
      </c>
      <c r="I115" s="1833" t="s">
        <v>5375</v>
      </c>
      <c r="J115" s="1833" t="s">
        <v>5376</v>
      </c>
      <c r="K115" s="3415" t="s">
        <v>5377</v>
      </c>
      <c r="L115" s="2956" t="s">
        <v>5378</v>
      </c>
      <c r="M115" s="1833" t="s">
        <v>5379</v>
      </c>
      <c r="N115" s="2528" t="s">
        <v>5380</v>
      </c>
      <c r="O115" s="3414" t="s">
        <v>5381</v>
      </c>
      <c r="P115" s="3054" t="s">
        <v>5382</v>
      </c>
      <c r="Q115" s="3246" t="s">
        <v>5383</v>
      </c>
      <c r="R115" s="3230" t="s">
        <v>5384</v>
      </c>
      <c r="S115" s="2034" t="s">
        <v>5385</v>
      </c>
      <c r="T115" s="1842" t="s">
        <v>5386</v>
      </c>
      <c r="U115" s="1844" t="s">
        <v>5387</v>
      </c>
      <c r="V115" s="1853" t="s">
        <v>5388</v>
      </c>
      <c r="W115" s="1844" t="s">
        <v>5389</v>
      </c>
      <c r="X115" s="3246" t="s">
        <v>5390</v>
      </c>
      <c r="Y115" s="3230" t="s">
        <v>5391</v>
      </c>
      <c r="Z115" s="2034" t="s">
        <v>5392</v>
      </c>
      <c r="AA115" s="2986" t="s">
        <v>5393</v>
      </c>
      <c r="AB115" s="2986" t="s">
        <v>5394</v>
      </c>
      <c r="AC115" s="2986" t="s">
        <v>5395</v>
      </c>
      <c r="AD115" s="2986" t="s">
        <v>5396</v>
      </c>
      <c r="AE115" s="2986" t="s">
        <v>5397</v>
      </c>
      <c r="AF115" s="3411" t="s">
        <v>5398</v>
      </c>
      <c r="AG115" s="3412" t="s">
        <v>5399</v>
      </c>
      <c r="AH115" s="3139" t="s">
        <v>5400</v>
      </c>
      <c r="AI115" s="2987" t="s">
        <v>5401</v>
      </c>
      <c r="AJ115" s="2814" t="s">
        <v>5402</v>
      </c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R115" s="105"/>
      <c r="CB115" s="687"/>
      <c r="CC115" s="687"/>
      <c r="CD115" s="687"/>
      <c r="CE115" s="687"/>
      <c r="CF115" s="687"/>
      <c r="CG115" s="687"/>
      <c r="CH115" s="3224"/>
      <c r="CI115" s="3224"/>
      <c r="CJ115" s="3224"/>
      <c r="CK115" s="3224"/>
      <c r="CL115" s="3224"/>
      <c r="CM115" s="687"/>
      <c r="CN115" s="687"/>
      <c r="CO115" s="687"/>
      <c r="CP115" s="687"/>
      <c r="CQ115" s="687"/>
      <c r="CR115" s="687"/>
      <c r="CS115" s="687"/>
      <c r="CT115" s="687"/>
      <c r="CU115" s="687"/>
      <c r="CV115" s="687"/>
      <c r="CW115" s="687"/>
      <c r="CX115" s="687"/>
      <c r="CY115" s="687"/>
      <c r="CZ115" s="687"/>
      <c r="DA115" s="687"/>
    </row>
    <row r="116" spans="1:105" s="140" customFormat="1" ht="16.350000000000001" customHeight="1" x14ac:dyDescent="0.2">
      <c r="A116" s="7306" t="s">
        <v>4833</v>
      </c>
      <c r="B116" s="2855" t="s">
        <v>281</v>
      </c>
      <c r="C116" s="3413" t="s">
        <v>5369</v>
      </c>
      <c r="D116" s="3185" t="s">
        <v>5370</v>
      </c>
      <c r="E116" s="3237" t="s">
        <v>5371</v>
      </c>
      <c r="F116" s="3237" t="s">
        <v>5372</v>
      </c>
      <c r="G116" s="3413" t="s">
        <v>5373</v>
      </c>
      <c r="H116" s="3185" t="s">
        <v>5374</v>
      </c>
      <c r="I116" s="3237" t="s">
        <v>5375</v>
      </c>
      <c r="J116" s="3237" t="s">
        <v>5376</v>
      </c>
      <c r="K116" s="3413" t="s">
        <v>5377</v>
      </c>
      <c r="L116" s="3185" t="s">
        <v>5378</v>
      </c>
      <c r="M116" s="3237" t="s">
        <v>5379</v>
      </c>
      <c r="N116" s="3229" t="s">
        <v>5380</v>
      </c>
      <c r="O116" s="3414" t="s">
        <v>5381</v>
      </c>
      <c r="P116" s="2796" t="s">
        <v>5382</v>
      </c>
      <c r="Q116" s="557" t="s">
        <v>5383</v>
      </c>
      <c r="R116" s="3230" t="s">
        <v>5384</v>
      </c>
      <c r="S116" s="2034" t="s">
        <v>5385</v>
      </c>
      <c r="T116" s="1842" t="s">
        <v>5386</v>
      </c>
      <c r="U116" s="1844" t="s">
        <v>5387</v>
      </c>
      <c r="V116" s="1853" t="s">
        <v>5388</v>
      </c>
      <c r="W116" s="1844" t="s">
        <v>5389</v>
      </c>
      <c r="X116" s="3246" t="s">
        <v>5390</v>
      </c>
      <c r="Y116" s="3230" t="s">
        <v>5391</v>
      </c>
      <c r="Z116" s="2034" t="s">
        <v>5392</v>
      </c>
      <c r="AA116" s="2994" t="s">
        <v>5393</v>
      </c>
      <c r="AB116" s="2034" t="s">
        <v>5394</v>
      </c>
      <c r="AC116" s="2986" t="s">
        <v>5395</v>
      </c>
      <c r="AD116" s="2986" t="s">
        <v>5396</v>
      </c>
      <c r="AE116" s="2986" t="s">
        <v>5397</v>
      </c>
      <c r="AF116" s="3411" t="s">
        <v>5398</v>
      </c>
      <c r="AG116" s="3412" t="s">
        <v>5399</v>
      </c>
      <c r="AH116" s="3139" t="s">
        <v>5400</v>
      </c>
      <c r="AI116" s="2987" t="s">
        <v>5401</v>
      </c>
      <c r="AJ116" s="2814" t="s">
        <v>5402</v>
      </c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R116" s="105"/>
      <c r="CB116" s="687"/>
      <c r="CC116" s="687"/>
      <c r="CD116" s="687"/>
      <c r="CE116" s="687"/>
      <c r="CF116" s="687"/>
      <c r="CG116" s="687"/>
      <c r="CH116" s="3224"/>
      <c r="CI116" s="3224"/>
      <c r="CJ116" s="3224"/>
      <c r="CK116" s="3224"/>
      <c r="CL116" s="3224"/>
      <c r="CM116" s="687"/>
      <c r="CN116" s="687"/>
      <c r="CO116" s="687"/>
      <c r="CP116" s="687"/>
      <c r="CQ116" s="687"/>
      <c r="CR116" s="687"/>
      <c r="CS116" s="687"/>
      <c r="CT116" s="687"/>
      <c r="CU116" s="687"/>
      <c r="CV116" s="687"/>
      <c r="CW116" s="687"/>
      <c r="CX116" s="687"/>
      <c r="CY116" s="687"/>
      <c r="CZ116" s="687"/>
      <c r="DA116" s="687"/>
    </row>
    <row r="117" spans="1:105" s="140" customFormat="1" ht="16.350000000000001" customHeight="1" x14ac:dyDescent="0.2">
      <c r="A117" s="7306" t="s">
        <v>4834</v>
      </c>
      <c r="B117" s="2855" t="s">
        <v>36</v>
      </c>
      <c r="C117" s="3413" t="s">
        <v>5369</v>
      </c>
      <c r="D117" s="3185" t="s">
        <v>5370</v>
      </c>
      <c r="E117" s="3237" t="s">
        <v>5371</v>
      </c>
      <c r="F117" s="3237" t="s">
        <v>5372</v>
      </c>
      <c r="G117" s="3413" t="s">
        <v>5373</v>
      </c>
      <c r="H117" s="3185" t="s">
        <v>5374</v>
      </c>
      <c r="I117" s="3237" t="s">
        <v>5375</v>
      </c>
      <c r="J117" s="3237" t="s">
        <v>5376</v>
      </c>
      <c r="K117" s="3413" t="s">
        <v>5377</v>
      </c>
      <c r="L117" s="3185" t="s">
        <v>5378</v>
      </c>
      <c r="M117" s="3237" t="s">
        <v>5379</v>
      </c>
      <c r="N117" s="3229" t="s">
        <v>5380</v>
      </c>
      <c r="O117" s="3414" t="s">
        <v>5381</v>
      </c>
      <c r="P117" s="2796" t="s">
        <v>5382</v>
      </c>
      <c r="Q117" s="557" t="s">
        <v>5383</v>
      </c>
      <c r="R117" s="3230" t="s">
        <v>5384</v>
      </c>
      <c r="S117" s="2034" t="s">
        <v>5385</v>
      </c>
      <c r="T117" s="1842" t="s">
        <v>5386</v>
      </c>
      <c r="U117" s="1844" t="s">
        <v>5387</v>
      </c>
      <c r="V117" s="1853" t="s">
        <v>5388</v>
      </c>
      <c r="W117" s="1844" t="s">
        <v>5389</v>
      </c>
      <c r="X117" s="3246" t="s">
        <v>5390</v>
      </c>
      <c r="Y117" s="3230" t="s">
        <v>5391</v>
      </c>
      <c r="Z117" s="2034" t="s">
        <v>5392</v>
      </c>
      <c r="AA117" s="2994" t="s">
        <v>5393</v>
      </c>
      <c r="AB117" s="2034" t="s">
        <v>5394</v>
      </c>
      <c r="AC117" s="2986" t="s">
        <v>5395</v>
      </c>
      <c r="AD117" s="2986" t="s">
        <v>5396</v>
      </c>
      <c r="AE117" s="2986" t="s">
        <v>5397</v>
      </c>
      <c r="AF117" s="3411" t="s">
        <v>5398</v>
      </c>
      <c r="AG117" s="3412" t="s">
        <v>5399</v>
      </c>
      <c r="AH117" s="3139" t="s">
        <v>5400</v>
      </c>
      <c r="AI117" s="2987" t="s">
        <v>5401</v>
      </c>
      <c r="AJ117" s="2814" t="s">
        <v>5402</v>
      </c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R117" s="105"/>
      <c r="CB117" s="687"/>
      <c r="CC117" s="687"/>
      <c r="CD117" s="687"/>
      <c r="CE117" s="687"/>
      <c r="CF117" s="687"/>
      <c r="CG117" s="687"/>
      <c r="CH117" s="3224"/>
      <c r="CI117" s="3224"/>
      <c r="CJ117" s="3224"/>
      <c r="CK117" s="3224"/>
      <c r="CL117" s="3224"/>
      <c r="CM117" s="687"/>
      <c r="CN117" s="687"/>
      <c r="CO117" s="687"/>
      <c r="CP117" s="687"/>
      <c r="CQ117" s="687"/>
      <c r="CR117" s="687"/>
      <c r="CS117" s="687"/>
      <c r="CT117" s="687"/>
      <c r="CU117" s="687"/>
      <c r="CV117" s="687"/>
      <c r="CW117" s="687"/>
      <c r="CX117" s="687"/>
      <c r="CY117" s="687"/>
      <c r="CZ117" s="687"/>
      <c r="DA117" s="687"/>
    </row>
    <row r="118" spans="1:105" s="140" customFormat="1" ht="16.350000000000001" customHeight="1" x14ac:dyDescent="0.2">
      <c r="A118" s="7306" t="s">
        <v>4835</v>
      </c>
      <c r="B118" s="2855" t="s">
        <v>34</v>
      </c>
      <c r="C118" s="3413" t="s">
        <v>5369</v>
      </c>
      <c r="D118" s="3185" t="s">
        <v>5370</v>
      </c>
      <c r="E118" s="3237" t="s">
        <v>5371</v>
      </c>
      <c r="F118" s="3237" t="s">
        <v>5372</v>
      </c>
      <c r="G118" s="3413" t="s">
        <v>5373</v>
      </c>
      <c r="H118" s="3185" t="s">
        <v>5374</v>
      </c>
      <c r="I118" s="3237" t="s">
        <v>5375</v>
      </c>
      <c r="J118" s="3237" t="s">
        <v>5376</v>
      </c>
      <c r="K118" s="3413" t="s">
        <v>5377</v>
      </c>
      <c r="L118" s="3185" t="s">
        <v>5378</v>
      </c>
      <c r="M118" s="3237" t="s">
        <v>5379</v>
      </c>
      <c r="N118" s="3229" t="s">
        <v>5380</v>
      </c>
      <c r="O118" s="3414" t="s">
        <v>5381</v>
      </c>
      <c r="P118" s="2796" t="s">
        <v>5382</v>
      </c>
      <c r="Q118" s="557" t="s">
        <v>5383</v>
      </c>
      <c r="R118" s="3230" t="s">
        <v>5384</v>
      </c>
      <c r="S118" s="2034" t="s">
        <v>5385</v>
      </c>
      <c r="T118" s="1842" t="s">
        <v>5386</v>
      </c>
      <c r="U118" s="1844" t="s">
        <v>5387</v>
      </c>
      <c r="V118" s="1853" t="s">
        <v>5388</v>
      </c>
      <c r="W118" s="1844" t="s">
        <v>5389</v>
      </c>
      <c r="X118" s="3246" t="s">
        <v>5390</v>
      </c>
      <c r="Y118" s="3230" t="s">
        <v>5391</v>
      </c>
      <c r="Z118" s="2034" t="s">
        <v>5392</v>
      </c>
      <c r="AA118" s="2994" t="s">
        <v>5393</v>
      </c>
      <c r="AB118" s="2034" t="s">
        <v>5394</v>
      </c>
      <c r="AC118" s="2986" t="s">
        <v>5395</v>
      </c>
      <c r="AD118" s="2986" t="s">
        <v>5396</v>
      </c>
      <c r="AE118" s="2986" t="s">
        <v>5397</v>
      </c>
      <c r="AF118" s="3411" t="s">
        <v>5398</v>
      </c>
      <c r="AG118" s="3412" t="s">
        <v>5399</v>
      </c>
      <c r="AH118" s="3139" t="s">
        <v>5400</v>
      </c>
      <c r="AI118" s="2987" t="s">
        <v>5401</v>
      </c>
      <c r="AJ118" s="2814" t="s">
        <v>5402</v>
      </c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R118" s="105"/>
      <c r="CB118" s="687"/>
      <c r="CC118" s="687"/>
      <c r="CD118" s="687"/>
      <c r="CE118" s="687"/>
      <c r="CF118" s="687"/>
      <c r="CG118" s="687"/>
      <c r="CH118" s="3224"/>
      <c r="CI118" s="3224"/>
      <c r="CJ118" s="3224"/>
      <c r="CK118" s="3224"/>
      <c r="CL118" s="3224"/>
      <c r="CM118" s="687"/>
      <c r="CN118" s="687"/>
      <c r="CO118" s="687"/>
      <c r="CP118" s="687"/>
      <c r="CQ118" s="687"/>
      <c r="CR118" s="687"/>
      <c r="CS118" s="687"/>
      <c r="CT118" s="687"/>
      <c r="CU118" s="687"/>
      <c r="CV118" s="687"/>
      <c r="CW118" s="687"/>
      <c r="CX118" s="687"/>
      <c r="CY118" s="687"/>
      <c r="CZ118" s="687"/>
      <c r="DA118" s="687"/>
    </row>
    <row r="119" spans="1:105" s="140" customFormat="1" ht="16.350000000000001" customHeight="1" x14ac:dyDescent="0.2">
      <c r="A119" s="7306" t="s">
        <v>4836</v>
      </c>
      <c r="B119" s="3151" t="s">
        <v>282</v>
      </c>
      <c r="C119" s="3413" t="s">
        <v>5369</v>
      </c>
      <c r="D119" s="3185" t="s">
        <v>5370</v>
      </c>
      <c r="E119" s="3237" t="s">
        <v>5371</v>
      </c>
      <c r="F119" s="3237" t="s">
        <v>5372</v>
      </c>
      <c r="G119" s="3413" t="s">
        <v>5373</v>
      </c>
      <c r="H119" s="3185" t="s">
        <v>5374</v>
      </c>
      <c r="I119" s="3237" t="s">
        <v>5375</v>
      </c>
      <c r="J119" s="3237" t="s">
        <v>5376</v>
      </c>
      <c r="K119" s="3413" t="s">
        <v>5377</v>
      </c>
      <c r="L119" s="3185" t="s">
        <v>5378</v>
      </c>
      <c r="M119" s="3237" t="s">
        <v>5379</v>
      </c>
      <c r="N119" s="3229" t="s">
        <v>5380</v>
      </c>
      <c r="O119" s="3414" t="s">
        <v>5381</v>
      </c>
      <c r="P119" s="2796" t="s">
        <v>5382</v>
      </c>
      <c r="Q119" s="557" t="s">
        <v>5383</v>
      </c>
      <c r="R119" s="3230" t="s">
        <v>5384</v>
      </c>
      <c r="S119" s="2034" t="s">
        <v>5385</v>
      </c>
      <c r="T119" s="1842" t="s">
        <v>5386</v>
      </c>
      <c r="U119" s="1844" t="s">
        <v>5387</v>
      </c>
      <c r="V119" s="1853" t="s">
        <v>5388</v>
      </c>
      <c r="W119" s="1844" t="s">
        <v>5389</v>
      </c>
      <c r="X119" s="3246" t="s">
        <v>5390</v>
      </c>
      <c r="Y119" s="3230" t="s">
        <v>5391</v>
      </c>
      <c r="Z119" s="2034" t="s">
        <v>5392</v>
      </c>
      <c r="AA119" s="2994" t="s">
        <v>5393</v>
      </c>
      <c r="AB119" s="2034" t="s">
        <v>5394</v>
      </c>
      <c r="AC119" s="2986" t="s">
        <v>5395</v>
      </c>
      <c r="AD119" s="2986" t="s">
        <v>5396</v>
      </c>
      <c r="AE119" s="2986" t="s">
        <v>5397</v>
      </c>
      <c r="AF119" s="3411" t="s">
        <v>5398</v>
      </c>
      <c r="AG119" s="3412" t="s">
        <v>5399</v>
      </c>
      <c r="AH119" s="3139" t="s">
        <v>5400</v>
      </c>
      <c r="AI119" s="2987" t="s">
        <v>5401</v>
      </c>
      <c r="AJ119" s="2814" t="s">
        <v>5402</v>
      </c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R119" s="105"/>
      <c r="CB119" s="687"/>
      <c r="CC119" s="687"/>
      <c r="CD119" s="687"/>
      <c r="CE119" s="687"/>
      <c r="CF119" s="687"/>
      <c r="CG119" s="687"/>
      <c r="CH119" s="3224"/>
      <c r="CI119" s="3224"/>
      <c r="CJ119" s="3224"/>
      <c r="CK119" s="3224"/>
      <c r="CL119" s="3224"/>
      <c r="CM119" s="687"/>
      <c r="CN119" s="687"/>
      <c r="CO119" s="687"/>
      <c r="CP119" s="687"/>
      <c r="CQ119" s="687"/>
      <c r="CR119" s="687"/>
      <c r="CS119" s="687"/>
      <c r="CT119" s="687"/>
      <c r="CU119" s="687"/>
      <c r="CV119" s="687"/>
      <c r="CW119" s="687"/>
      <c r="CX119" s="687"/>
      <c r="CY119" s="687"/>
      <c r="CZ119" s="687"/>
      <c r="DA119" s="687"/>
    </row>
    <row r="120" spans="1:105" s="140" customFormat="1" ht="16.350000000000001" customHeight="1" x14ac:dyDescent="0.2">
      <c r="A120" s="7306" t="s">
        <v>4837</v>
      </c>
      <c r="B120" s="3384" t="s">
        <v>283</v>
      </c>
      <c r="C120" s="3413" t="s">
        <v>5369</v>
      </c>
      <c r="D120" s="3185" t="s">
        <v>5370</v>
      </c>
      <c r="E120" s="3237" t="s">
        <v>5371</v>
      </c>
      <c r="F120" s="3237" t="s">
        <v>5372</v>
      </c>
      <c r="G120" s="3413" t="s">
        <v>5373</v>
      </c>
      <c r="H120" s="3185" t="s">
        <v>5374</v>
      </c>
      <c r="I120" s="3237" t="s">
        <v>5375</v>
      </c>
      <c r="J120" s="3237" t="s">
        <v>5376</v>
      </c>
      <c r="K120" s="3413" t="s">
        <v>5377</v>
      </c>
      <c r="L120" s="3185" t="s">
        <v>5378</v>
      </c>
      <c r="M120" s="3237" t="s">
        <v>5379</v>
      </c>
      <c r="N120" s="3229" t="s">
        <v>5380</v>
      </c>
      <c r="O120" s="3414" t="s">
        <v>5381</v>
      </c>
      <c r="P120" s="2796" t="s">
        <v>5382</v>
      </c>
      <c r="Q120" s="557" t="s">
        <v>5383</v>
      </c>
      <c r="R120" s="3230" t="s">
        <v>5384</v>
      </c>
      <c r="S120" s="2034" t="s">
        <v>5385</v>
      </c>
      <c r="T120" s="1842" t="s">
        <v>5386</v>
      </c>
      <c r="U120" s="1844" t="s">
        <v>5387</v>
      </c>
      <c r="V120" s="1853" t="s">
        <v>5388</v>
      </c>
      <c r="W120" s="1844" t="s">
        <v>5389</v>
      </c>
      <c r="X120" s="3246" t="s">
        <v>5390</v>
      </c>
      <c r="Y120" s="3230" t="s">
        <v>5391</v>
      </c>
      <c r="Z120" s="2034" t="s">
        <v>5392</v>
      </c>
      <c r="AA120" s="2994" t="s">
        <v>5393</v>
      </c>
      <c r="AB120" s="2034" t="s">
        <v>5394</v>
      </c>
      <c r="AC120" s="2986" t="s">
        <v>5395</v>
      </c>
      <c r="AD120" s="2986" t="s">
        <v>5396</v>
      </c>
      <c r="AE120" s="2986" t="s">
        <v>5397</v>
      </c>
      <c r="AF120" s="3411" t="s">
        <v>5398</v>
      </c>
      <c r="AG120" s="3412" t="s">
        <v>5399</v>
      </c>
      <c r="AH120" s="3139" t="s">
        <v>5400</v>
      </c>
      <c r="AI120" s="2987" t="s">
        <v>5401</v>
      </c>
      <c r="AJ120" s="2814" t="s">
        <v>5402</v>
      </c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R120" s="105"/>
      <c r="CB120" s="687"/>
      <c r="CC120" s="687"/>
      <c r="CD120" s="687"/>
      <c r="CE120" s="687"/>
      <c r="CF120" s="687"/>
      <c r="CG120" s="687"/>
      <c r="CH120" s="3224"/>
      <c r="CI120" s="3224"/>
      <c r="CJ120" s="3224"/>
      <c r="CK120" s="3224"/>
      <c r="CL120" s="3224"/>
      <c r="CM120" s="687"/>
      <c r="CN120" s="687"/>
      <c r="CO120" s="687"/>
      <c r="CP120" s="687"/>
      <c r="CQ120" s="687"/>
      <c r="CR120" s="687"/>
      <c r="CS120" s="687"/>
      <c r="CT120" s="687"/>
      <c r="CU120" s="687"/>
      <c r="CV120" s="687"/>
      <c r="CW120" s="687"/>
      <c r="CX120" s="687"/>
      <c r="CY120" s="687"/>
      <c r="CZ120" s="687"/>
      <c r="DA120" s="687"/>
    </row>
    <row r="121" spans="1:105" s="140" customFormat="1" ht="16.350000000000001" customHeight="1" x14ac:dyDescent="0.2">
      <c r="A121" s="7306" t="s">
        <v>4838</v>
      </c>
      <c r="B121" s="3384" t="s">
        <v>284</v>
      </c>
      <c r="C121" s="3413" t="s">
        <v>5369</v>
      </c>
      <c r="D121" s="3185" t="s">
        <v>5370</v>
      </c>
      <c r="E121" s="3237" t="s">
        <v>5371</v>
      </c>
      <c r="F121" s="3237" t="s">
        <v>5372</v>
      </c>
      <c r="G121" s="3413" t="s">
        <v>5373</v>
      </c>
      <c r="H121" s="3185" t="s">
        <v>5374</v>
      </c>
      <c r="I121" s="3237" t="s">
        <v>5375</v>
      </c>
      <c r="J121" s="3237" t="s">
        <v>5376</v>
      </c>
      <c r="K121" s="3413" t="s">
        <v>5377</v>
      </c>
      <c r="L121" s="3185" t="s">
        <v>5378</v>
      </c>
      <c r="M121" s="3237" t="s">
        <v>5379</v>
      </c>
      <c r="N121" s="3229" t="s">
        <v>5380</v>
      </c>
      <c r="O121" s="3414" t="s">
        <v>5381</v>
      </c>
      <c r="P121" s="2796" t="s">
        <v>5382</v>
      </c>
      <c r="Q121" s="557" t="s">
        <v>5383</v>
      </c>
      <c r="R121" s="3230" t="s">
        <v>5384</v>
      </c>
      <c r="S121" s="2034" t="s">
        <v>5385</v>
      </c>
      <c r="T121" s="1842" t="s">
        <v>5386</v>
      </c>
      <c r="U121" s="1844" t="s">
        <v>5387</v>
      </c>
      <c r="V121" s="1853" t="s">
        <v>5388</v>
      </c>
      <c r="W121" s="1844" t="s">
        <v>5389</v>
      </c>
      <c r="X121" s="3246" t="s">
        <v>5390</v>
      </c>
      <c r="Y121" s="3230" t="s">
        <v>5391</v>
      </c>
      <c r="Z121" s="2034" t="s">
        <v>5392</v>
      </c>
      <c r="AA121" s="2994" t="s">
        <v>5393</v>
      </c>
      <c r="AB121" s="2034" t="s">
        <v>5394</v>
      </c>
      <c r="AC121" s="2986" t="s">
        <v>5395</v>
      </c>
      <c r="AD121" s="2986" t="s">
        <v>5396</v>
      </c>
      <c r="AE121" s="2986" t="s">
        <v>5397</v>
      </c>
      <c r="AF121" s="3411" t="s">
        <v>5398</v>
      </c>
      <c r="AG121" s="3412" t="s">
        <v>5399</v>
      </c>
      <c r="AH121" s="3139" t="s">
        <v>5400</v>
      </c>
      <c r="AI121" s="2987" t="s">
        <v>5401</v>
      </c>
      <c r="AJ121" s="2814" t="s">
        <v>5402</v>
      </c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R121" s="105"/>
      <c r="CB121" s="687"/>
      <c r="CC121" s="687"/>
      <c r="CD121" s="687"/>
      <c r="CE121" s="687"/>
      <c r="CF121" s="687"/>
      <c r="CG121" s="687"/>
      <c r="CH121" s="3224"/>
      <c r="CI121" s="3224"/>
      <c r="CJ121" s="3224"/>
      <c r="CK121" s="3224"/>
      <c r="CL121" s="3224"/>
      <c r="CM121" s="687"/>
      <c r="CN121" s="687"/>
      <c r="CO121" s="687"/>
      <c r="CP121" s="687"/>
      <c r="CQ121" s="687"/>
      <c r="CR121" s="687"/>
      <c r="CS121" s="687"/>
      <c r="CT121" s="687"/>
      <c r="CU121" s="687"/>
      <c r="CV121" s="687"/>
      <c r="CW121" s="687"/>
      <c r="CX121" s="687"/>
      <c r="CY121" s="687"/>
      <c r="CZ121" s="687"/>
      <c r="DA121" s="687"/>
    </row>
    <row r="122" spans="1:105" s="140" customFormat="1" ht="16.350000000000001" customHeight="1" x14ac:dyDescent="0.2">
      <c r="A122" s="7306" t="s">
        <v>4839</v>
      </c>
      <c r="B122" s="3384" t="s">
        <v>464</v>
      </c>
      <c r="C122" s="3413" t="s">
        <v>5369</v>
      </c>
      <c r="D122" s="3185" t="s">
        <v>5370</v>
      </c>
      <c r="E122" s="3237" t="s">
        <v>5371</v>
      </c>
      <c r="F122" s="3237" t="s">
        <v>5372</v>
      </c>
      <c r="G122" s="3413" t="s">
        <v>5373</v>
      </c>
      <c r="H122" s="3185" t="s">
        <v>5374</v>
      </c>
      <c r="I122" s="3237" t="s">
        <v>5375</v>
      </c>
      <c r="J122" s="3237" t="s">
        <v>5376</v>
      </c>
      <c r="K122" s="3413" t="s">
        <v>5377</v>
      </c>
      <c r="L122" s="3185" t="s">
        <v>5378</v>
      </c>
      <c r="M122" s="3237" t="s">
        <v>5379</v>
      </c>
      <c r="N122" s="3229" t="s">
        <v>5380</v>
      </c>
      <c r="O122" s="3414" t="s">
        <v>5381</v>
      </c>
      <c r="P122" s="2796" t="s">
        <v>5382</v>
      </c>
      <c r="Q122" s="557" t="s">
        <v>5383</v>
      </c>
      <c r="R122" s="3230" t="s">
        <v>5384</v>
      </c>
      <c r="S122" s="2034" t="s">
        <v>5385</v>
      </c>
      <c r="T122" s="1842" t="s">
        <v>5386</v>
      </c>
      <c r="U122" s="1844" t="s">
        <v>5387</v>
      </c>
      <c r="V122" s="1853" t="s">
        <v>5388</v>
      </c>
      <c r="W122" s="1844" t="s">
        <v>5389</v>
      </c>
      <c r="X122" s="3246" t="s">
        <v>5390</v>
      </c>
      <c r="Y122" s="3230" t="s">
        <v>5391</v>
      </c>
      <c r="Z122" s="2034" t="s">
        <v>5392</v>
      </c>
      <c r="AA122" s="2994" t="s">
        <v>5393</v>
      </c>
      <c r="AB122" s="2034" t="s">
        <v>5394</v>
      </c>
      <c r="AC122" s="2986" t="s">
        <v>5395</v>
      </c>
      <c r="AD122" s="2986" t="s">
        <v>5396</v>
      </c>
      <c r="AE122" s="2986" t="s">
        <v>5397</v>
      </c>
      <c r="AF122" s="3411" t="s">
        <v>5398</v>
      </c>
      <c r="AG122" s="3412" t="s">
        <v>5399</v>
      </c>
      <c r="AH122" s="3139" t="s">
        <v>5400</v>
      </c>
      <c r="AI122" s="2987" t="s">
        <v>5401</v>
      </c>
      <c r="AJ122" s="2814" t="s">
        <v>5402</v>
      </c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R122" s="105"/>
      <c r="CB122" s="687"/>
      <c r="CC122" s="687"/>
      <c r="CD122" s="687"/>
      <c r="CE122" s="687"/>
      <c r="CF122" s="687"/>
      <c r="CG122" s="687"/>
      <c r="CH122" s="3224"/>
      <c r="CI122" s="3224"/>
      <c r="CJ122" s="3224"/>
      <c r="CK122" s="3224"/>
      <c r="CL122" s="3224"/>
      <c r="CM122" s="687"/>
      <c r="CN122" s="687"/>
      <c r="CO122" s="687"/>
      <c r="CP122" s="687"/>
      <c r="CQ122" s="687"/>
      <c r="CR122" s="687"/>
      <c r="CS122" s="687"/>
      <c r="CT122" s="687"/>
      <c r="CU122" s="687"/>
      <c r="CV122" s="687"/>
      <c r="CW122" s="687"/>
      <c r="CX122" s="687"/>
      <c r="CY122" s="687"/>
      <c r="CZ122" s="687"/>
      <c r="DA122" s="687"/>
    </row>
    <row r="123" spans="1:105" s="140" customFormat="1" ht="16.350000000000001" customHeight="1" x14ac:dyDescent="0.2">
      <c r="A123" s="7306" t="s">
        <v>4840</v>
      </c>
      <c r="B123" s="2855" t="s">
        <v>38</v>
      </c>
      <c r="C123" s="3413" t="s">
        <v>5369</v>
      </c>
      <c r="D123" s="3185" t="s">
        <v>5370</v>
      </c>
      <c r="E123" s="3237" t="s">
        <v>5371</v>
      </c>
      <c r="F123" s="3237" t="s">
        <v>5372</v>
      </c>
      <c r="G123" s="3413" t="s">
        <v>5373</v>
      </c>
      <c r="H123" s="3185" t="s">
        <v>5374</v>
      </c>
      <c r="I123" s="3237" t="s">
        <v>5375</v>
      </c>
      <c r="J123" s="3237" t="s">
        <v>5376</v>
      </c>
      <c r="K123" s="3413" t="s">
        <v>5377</v>
      </c>
      <c r="L123" s="3185" t="s">
        <v>5378</v>
      </c>
      <c r="M123" s="3237" t="s">
        <v>5379</v>
      </c>
      <c r="N123" s="3229" t="s">
        <v>5380</v>
      </c>
      <c r="O123" s="3414" t="s">
        <v>5381</v>
      </c>
      <c r="P123" s="2796" t="s">
        <v>5382</v>
      </c>
      <c r="Q123" s="557" t="s">
        <v>5383</v>
      </c>
      <c r="R123" s="3230" t="s">
        <v>5384</v>
      </c>
      <c r="S123" s="2034" t="s">
        <v>5385</v>
      </c>
      <c r="T123" s="1842" t="s">
        <v>5386</v>
      </c>
      <c r="U123" s="1844" t="s">
        <v>5387</v>
      </c>
      <c r="V123" s="1853" t="s">
        <v>5388</v>
      </c>
      <c r="W123" s="1844" t="s">
        <v>5389</v>
      </c>
      <c r="X123" s="3246" t="s">
        <v>5390</v>
      </c>
      <c r="Y123" s="3230" t="s">
        <v>5391</v>
      </c>
      <c r="Z123" s="2034" t="s">
        <v>5392</v>
      </c>
      <c r="AA123" s="2994" t="s">
        <v>5393</v>
      </c>
      <c r="AB123" s="2034" t="s">
        <v>5394</v>
      </c>
      <c r="AC123" s="2986" t="s">
        <v>5395</v>
      </c>
      <c r="AD123" s="2986" t="s">
        <v>5396</v>
      </c>
      <c r="AE123" s="2986" t="s">
        <v>5397</v>
      </c>
      <c r="AF123" s="3411" t="s">
        <v>5398</v>
      </c>
      <c r="AG123" s="3412" t="s">
        <v>5399</v>
      </c>
      <c r="AH123" s="3139" t="s">
        <v>5400</v>
      </c>
      <c r="AI123" s="2987" t="s">
        <v>5401</v>
      </c>
      <c r="AJ123" s="2814" t="s">
        <v>5402</v>
      </c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R123" s="105"/>
      <c r="CB123" s="687"/>
      <c r="CC123" s="687"/>
      <c r="CD123" s="687"/>
      <c r="CE123" s="687"/>
      <c r="CF123" s="687"/>
      <c r="CG123" s="687"/>
      <c r="CH123" s="3224"/>
      <c r="CI123" s="3224"/>
      <c r="CJ123" s="3224"/>
      <c r="CK123" s="3224"/>
      <c r="CL123" s="3224"/>
      <c r="CM123" s="687"/>
      <c r="CN123" s="687"/>
      <c r="CO123" s="687"/>
      <c r="CP123" s="687"/>
      <c r="CQ123" s="687"/>
      <c r="CR123" s="687"/>
      <c r="CS123" s="687"/>
      <c r="CT123" s="687"/>
      <c r="CU123" s="687"/>
      <c r="CV123" s="687"/>
      <c r="CW123" s="687"/>
      <c r="CX123" s="687"/>
      <c r="CY123" s="687"/>
      <c r="CZ123" s="687"/>
      <c r="DA123" s="687"/>
    </row>
    <row r="124" spans="1:105" s="140" customFormat="1" ht="16.350000000000001" customHeight="1" x14ac:dyDescent="0.2">
      <c r="A124" s="7306" t="s">
        <v>4841</v>
      </c>
      <c r="B124" s="2855" t="s">
        <v>37</v>
      </c>
      <c r="C124" s="3415" t="s">
        <v>5369</v>
      </c>
      <c r="D124" s="2956" t="s">
        <v>5370</v>
      </c>
      <c r="E124" s="1833" t="s">
        <v>5371</v>
      </c>
      <c r="F124" s="1833" t="s">
        <v>5372</v>
      </c>
      <c r="G124" s="3415" t="s">
        <v>5373</v>
      </c>
      <c r="H124" s="2956" t="s">
        <v>5374</v>
      </c>
      <c r="I124" s="1833" t="s">
        <v>5375</v>
      </c>
      <c r="J124" s="1833" t="s">
        <v>5376</v>
      </c>
      <c r="K124" s="3415" t="s">
        <v>5377</v>
      </c>
      <c r="L124" s="2956" t="s">
        <v>5378</v>
      </c>
      <c r="M124" s="1833" t="s">
        <v>5379</v>
      </c>
      <c r="N124" s="2528" t="s">
        <v>5380</v>
      </c>
      <c r="O124" s="3414" t="s">
        <v>5381</v>
      </c>
      <c r="P124" s="3054" t="s">
        <v>5382</v>
      </c>
      <c r="Q124" s="3246" t="s">
        <v>5383</v>
      </c>
      <c r="R124" s="3230" t="s">
        <v>5384</v>
      </c>
      <c r="S124" s="2034" t="s">
        <v>5385</v>
      </c>
      <c r="T124" s="1842" t="s">
        <v>5386</v>
      </c>
      <c r="U124" s="1844" t="s">
        <v>5387</v>
      </c>
      <c r="V124" s="1853" t="s">
        <v>5388</v>
      </c>
      <c r="W124" s="1844" t="s">
        <v>5389</v>
      </c>
      <c r="X124" s="3246" t="s">
        <v>5390</v>
      </c>
      <c r="Y124" s="3230" t="s">
        <v>5391</v>
      </c>
      <c r="Z124" s="2034" t="s">
        <v>5392</v>
      </c>
      <c r="AA124" s="2994" t="s">
        <v>5393</v>
      </c>
      <c r="AB124" s="2034" t="s">
        <v>5394</v>
      </c>
      <c r="AC124" s="2986" t="s">
        <v>5395</v>
      </c>
      <c r="AD124" s="2986" t="s">
        <v>5396</v>
      </c>
      <c r="AE124" s="2986" t="s">
        <v>5397</v>
      </c>
      <c r="AF124" s="3411" t="s">
        <v>5398</v>
      </c>
      <c r="AG124" s="3412" t="s">
        <v>5399</v>
      </c>
      <c r="AH124" s="3139" t="s">
        <v>5400</v>
      </c>
      <c r="AI124" s="2987" t="s">
        <v>5401</v>
      </c>
      <c r="AJ124" s="2814" t="s">
        <v>5402</v>
      </c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R124" s="105"/>
      <c r="CB124" s="687"/>
      <c r="CC124" s="687"/>
      <c r="CD124" s="687"/>
      <c r="CE124" s="687"/>
      <c r="CF124" s="687"/>
      <c r="CG124" s="687"/>
      <c r="CH124" s="3224"/>
      <c r="CI124" s="3224"/>
      <c r="CJ124" s="3224"/>
      <c r="CK124" s="3224"/>
      <c r="CL124" s="3224"/>
      <c r="CM124" s="687"/>
      <c r="CN124" s="687"/>
      <c r="CO124" s="687"/>
      <c r="CP124" s="687"/>
      <c r="CQ124" s="687"/>
      <c r="CR124" s="687"/>
      <c r="CS124" s="687"/>
      <c r="CT124" s="687"/>
      <c r="CU124" s="687"/>
      <c r="CV124" s="687"/>
      <c r="CW124" s="687"/>
      <c r="CX124" s="687"/>
      <c r="CY124" s="687"/>
      <c r="CZ124" s="687"/>
      <c r="DA124" s="687"/>
    </row>
    <row r="125" spans="1:105" s="140" customFormat="1" ht="16.350000000000001" customHeight="1" x14ac:dyDescent="0.2">
      <c r="A125" s="7306" t="s">
        <v>4842</v>
      </c>
      <c r="B125" s="2855" t="s">
        <v>285</v>
      </c>
      <c r="C125" s="3415" t="s">
        <v>5369</v>
      </c>
      <c r="D125" s="2956" t="s">
        <v>5370</v>
      </c>
      <c r="E125" s="1833" t="s">
        <v>5371</v>
      </c>
      <c r="F125" s="1833" t="s">
        <v>5372</v>
      </c>
      <c r="G125" s="3415" t="s">
        <v>5373</v>
      </c>
      <c r="H125" s="2956" t="s">
        <v>5374</v>
      </c>
      <c r="I125" s="1833" t="s">
        <v>5375</v>
      </c>
      <c r="J125" s="1833" t="s">
        <v>5376</v>
      </c>
      <c r="K125" s="3415" t="s">
        <v>5377</v>
      </c>
      <c r="L125" s="2956" t="s">
        <v>5378</v>
      </c>
      <c r="M125" s="1833" t="s">
        <v>5379</v>
      </c>
      <c r="N125" s="2528" t="s">
        <v>5380</v>
      </c>
      <c r="O125" s="3414" t="s">
        <v>5381</v>
      </c>
      <c r="P125" s="3054" t="s">
        <v>5382</v>
      </c>
      <c r="Q125" s="3246" t="s">
        <v>5383</v>
      </c>
      <c r="R125" s="3230" t="s">
        <v>5384</v>
      </c>
      <c r="S125" s="2034" t="s">
        <v>5385</v>
      </c>
      <c r="T125" s="1842" t="s">
        <v>5386</v>
      </c>
      <c r="U125" s="1844" t="s">
        <v>5387</v>
      </c>
      <c r="V125" s="1853" t="s">
        <v>5388</v>
      </c>
      <c r="W125" s="1844" t="s">
        <v>5389</v>
      </c>
      <c r="X125" s="3246" t="s">
        <v>5390</v>
      </c>
      <c r="Y125" s="3230" t="s">
        <v>5391</v>
      </c>
      <c r="Z125" s="2034" t="s">
        <v>5392</v>
      </c>
      <c r="AA125" s="2994" t="s">
        <v>5393</v>
      </c>
      <c r="AB125" s="2034" t="s">
        <v>5394</v>
      </c>
      <c r="AC125" s="2986" t="s">
        <v>5395</v>
      </c>
      <c r="AD125" s="2986" t="s">
        <v>5396</v>
      </c>
      <c r="AE125" s="2986" t="s">
        <v>5397</v>
      </c>
      <c r="AF125" s="3411" t="s">
        <v>5398</v>
      </c>
      <c r="AG125" s="3412" t="s">
        <v>5399</v>
      </c>
      <c r="AH125" s="3139" t="s">
        <v>5400</v>
      </c>
      <c r="AI125" s="2987" t="s">
        <v>5401</v>
      </c>
      <c r="AJ125" s="2814" t="s">
        <v>5402</v>
      </c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R125" s="105"/>
      <c r="CB125" s="687"/>
      <c r="CC125" s="687"/>
      <c r="CD125" s="687"/>
      <c r="CE125" s="687"/>
      <c r="CF125" s="687"/>
      <c r="CG125" s="687"/>
      <c r="CH125" s="3224"/>
      <c r="CI125" s="3224"/>
      <c r="CJ125" s="3224"/>
      <c r="CK125" s="3224"/>
      <c r="CL125" s="3224"/>
      <c r="CM125" s="687"/>
      <c r="CN125" s="687"/>
      <c r="CO125" s="687"/>
      <c r="CP125" s="687"/>
      <c r="CQ125" s="687"/>
      <c r="CR125" s="687"/>
      <c r="CS125" s="687"/>
      <c r="CT125" s="687"/>
      <c r="CU125" s="687"/>
      <c r="CV125" s="687"/>
      <c r="CW125" s="687"/>
      <c r="CX125" s="687"/>
      <c r="CY125" s="687"/>
      <c r="CZ125" s="687"/>
      <c r="DA125" s="687"/>
    </row>
    <row r="126" spans="1:105" s="140" customFormat="1" ht="16.350000000000001" customHeight="1" x14ac:dyDescent="0.2">
      <c r="A126" s="7306" t="s">
        <v>4843</v>
      </c>
      <c r="B126" s="2855" t="s">
        <v>465</v>
      </c>
      <c r="C126" s="3416" t="s">
        <v>5369</v>
      </c>
      <c r="D126" s="828" t="s">
        <v>5370</v>
      </c>
      <c r="E126" s="752" t="s">
        <v>5371</v>
      </c>
      <c r="F126" s="752" t="s">
        <v>5372</v>
      </c>
      <c r="G126" s="3416" t="s">
        <v>5373</v>
      </c>
      <c r="H126" s="828" t="s">
        <v>5374</v>
      </c>
      <c r="I126" s="752" t="s">
        <v>5375</v>
      </c>
      <c r="J126" s="752" t="s">
        <v>5376</v>
      </c>
      <c r="K126" s="3416" t="s">
        <v>5377</v>
      </c>
      <c r="L126" s="828" t="s">
        <v>5378</v>
      </c>
      <c r="M126" s="752" t="s">
        <v>5379</v>
      </c>
      <c r="N126" s="2444" t="s">
        <v>5380</v>
      </c>
      <c r="O126" s="3414" t="s">
        <v>5381</v>
      </c>
      <c r="P126" s="1792" t="s">
        <v>5382</v>
      </c>
      <c r="Q126" s="209" t="s">
        <v>5383</v>
      </c>
      <c r="R126" s="3230" t="s">
        <v>5384</v>
      </c>
      <c r="S126" s="2034" t="s">
        <v>5385</v>
      </c>
      <c r="T126" s="1842" t="s">
        <v>5386</v>
      </c>
      <c r="U126" s="1844" t="s">
        <v>5387</v>
      </c>
      <c r="V126" s="1853" t="s">
        <v>5388</v>
      </c>
      <c r="W126" s="1844" t="s">
        <v>5389</v>
      </c>
      <c r="X126" s="3246" t="s">
        <v>5390</v>
      </c>
      <c r="Y126" s="3230" t="s">
        <v>5391</v>
      </c>
      <c r="Z126" s="2034" t="s">
        <v>5392</v>
      </c>
      <c r="AA126" s="2994" t="s">
        <v>5393</v>
      </c>
      <c r="AB126" s="2034" t="s">
        <v>5394</v>
      </c>
      <c r="AC126" s="2986" t="s">
        <v>5395</v>
      </c>
      <c r="AD126" s="2986" t="s">
        <v>5396</v>
      </c>
      <c r="AE126" s="2986" t="s">
        <v>5397</v>
      </c>
      <c r="AF126" s="3411" t="s">
        <v>5398</v>
      </c>
      <c r="AG126" s="3412" t="s">
        <v>5399</v>
      </c>
      <c r="AH126" s="3139" t="s">
        <v>5400</v>
      </c>
      <c r="AI126" s="2987" t="s">
        <v>5401</v>
      </c>
      <c r="AJ126" s="2814" t="s">
        <v>5402</v>
      </c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R126" s="105"/>
      <c r="CB126" s="687"/>
      <c r="CC126" s="687"/>
      <c r="CD126" s="687"/>
      <c r="CE126" s="687"/>
      <c r="CF126" s="687"/>
      <c r="CG126" s="687"/>
      <c r="CH126" s="3224"/>
      <c r="CI126" s="3224"/>
      <c r="CJ126" s="3224"/>
      <c r="CK126" s="3224"/>
      <c r="CL126" s="3224"/>
      <c r="CM126" s="687"/>
      <c r="CN126" s="687"/>
      <c r="CO126" s="687"/>
      <c r="CP126" s="687"/>
      <c r="CQ126" s="687"/>
      <c r="CR126" s="687"/>
      <c r="CS126" s="687"/>
      <c r="CT126" s="687"/>
      <c r="CU126" s="687"/>
      <c r="CV126" s="687"/>
      <c r="CW126" s="687"/>
      <c r="CX126" s="687"/>
      <c r="CY126" s="687"/>
      <c r="CZ126" s="687"/>
      <c r="DA126" s="687"/>
    </row>
    <row r="127" spans="1:105" s="140" customFormat="1" ht="16.350000000000001" customHeight="1" x14ac:dyDescent="0.2">
      <c r="A127" s="7306" t="s">
        <v>4844</v>
      </c>
      <c r="B127" s="2855" t="s">
        <v>286</v>
      </c>
      <c r="C127" s="3413" t="s">
        <v>5369</v>
      </c>
      <c r="D127" s="3185" t="s">
        <v>5370</v>
      </c>
      <c r="E127" s="3237" t="s">
        <v>5371</v>
      </c>
      <c r="F127" s="3237" t="s">
        <v>5372</v>
      </c>
      <c r="G127" s="3413" t="s">
        <v>5373</v>
      </c>
      <c r="H127" s="3185" t="s">
        <v>5374</v>
      </c>
      <c r="I127" s="3237" t="s">
        <v>5375</v>
      </c>
      <c r="J127" s="3237" t="s">
        <v>5376</v>
      </c>
      <c r="K127" s="3413" t="s">
        <v>5377</v>
      </c>
      <c r="L127" s="3185" t="s">
        <v>5378</v>
      </c>
      <c r="M127" s="3237" t="s">
        <v>5379</v>
      </c>
      <c r="N127" s="3229" t="s">
        <v>5380</v>
      </c>
      <c r="O127" s="3414" t="s">
        <v>5381</v>
      </c>
      <c r="P127" s="2796" t="s">
        <v>5382</v>
      </c>
      <c r="Q127" s="557" t="s">
        <v>5383</v>
      </c>
      <c r="R127" s="3230" t="s">
        <v>5384</v>
      </c>
      <c r="S127" s="2034" t="s">
        <v>5385</v>
      </c>
      <c r="T127" s="1842" t="s">
        <v>5386</v>
      </c>
      <c r="U127" s="1844" t="s">
        <v>5387</v>
      </c>
      <c r="V127" s="1853" t="s">
        <v>5388</v>
      </c>
      <c r="W127" s="1844" t="s">
        <v>5389</v>
      </c>
      <c r="X127" s="3246" t="s">
        <v>5390</v>
      </c>
      <c r="Y127" s="3230" t="s">
        <v>5391</v>
      </c>
      <c r="Z127" s="2034" t="s">
        <v>5392</v>
      </c>
      <c r="AA127" s="2994" t="s">
        <v>5393</v>
      </c>
      <c r="AB127" s="2034" t="s">
        <v>5394</v>
      </c>
      <c r="AC127" s="2986" t="s">
        <v>5395</v>
      </c>
      <c r="AD127" s="2986" t="s">
        <v>5396</v>
      </c>
      <c r="AE127" s="2986" t="s">
        <v>5397</v>
      </c>
      <c r="AF127" s="3411" t="s">
        <v>5398</v>
      </c>
      <c r="AG127" s="3412" t="s">
        <v>5399</v>
      </c>
      <c r="AH127" s="3139" t="s">
        <v>5400</v>
      </c>
      <c r="AI127" s="2987" t="s">
        <v>5401</v>
      </c>
      <c r="AJ127" s="2814" t="s">
        <v>5402</v>
      </c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R127" s="105"/>
      <c r="CB127" s="687"/>
      <c r="CC127" s="687"/>
      <c r="CD127" s="687"/>
      <c r="CE127" s="687"/>
      <c r="CF127" s="687"/>
      <c r="CG127" s="687"/>
      <c r="CH127" s="3224"/>
      <c r="CI127" s="3224"/>
      <c r="CJ127" s="3224"/>
      <c r="CK127" s="3224"/>
      <c r="CL127" s="3224"/>
      <c r="CM127" s="687"/>
      <c r="CN127" s="687"/>
      <c r="CO127" s="687"/>
      <c r="CP127" s="687"/>
      <c r="CQ127" s="687"/>
      <c r="CR127" s="687"/>
      <c r="CS127" s="687"/>
      <c r="CT127" s="687"/>
      <c r="CU127" s="687"/>
      <c r="CV127" s="687"/>
      <c r="CW127" s="687"/>
      <c r="CX127" s="687"/>
      <c r="CY127" s="687"/>
      <c r="CZ127" s="687"/>
      <c r="DA127" s="687"/>
    </row>
    <row r="128" spans="1:105" s="140" customFormat="1" ht="16.350000000000001" customHeight="1" x14ac:dyDescent="0.2">
      <c r="A128" s="7306" t="s">
        <v>4845</v>
      </c>
      <c r="B128" s="2855" t="s">
        <v>466</v>
      </c>
      <c r="C128" s="3413" t="s">
        <v>5369</v>
      </c>
      <c r="D128" s="3185" t="s">
        <v>5370</v>
      </c>
      <c r="E128" s="3237" t="s">
        <v>5371</v>
      </c>
      <c r="F128" s="3237" t="s">
        <v>5372</v>
      </c>
      <c r="G128" s="3413" t="s">
        <v>5373</v>
      </c>
      <c r="H128" s="3185" t="s">
        <v>5374</v>
      </c>
      <c r="I128" s="3237" t="s">
        <v>5375</v>
      </c>
      <c r="J128" s="3237" t="s">
        <v>5376</v>
      </c>
      <c r="K128" s="3413" t="s">
        <v>5377</v>
      </c>
      <c r="L128" s="3185" t="s">
        <v>5378</v>
      </c>
      <c r="M128" s="3237" t="s">
        <v>5379</v>
      </c>
      <c r="N128" s="3229" t="s">
        <v>5380</v>
      </c>
      <c r="O128" s="3414" t="s">
        <v>5381</v>
      </c>
      <c r="P128" s="2796" t="s">
        <v>5382</v>
      </c>
      <c r="Q128" s="557" t="s">
        <v>5383</v>
      </c>
      <c r="R128" s="3230" t="s">
        <v>5384</v>
      </c>
      <c r="S128" s="2034" t="s">
        <v>5385</v>
      </c>
      <c r="T128" s="1842" t="s">
        <v>5386</v>
      </c>
      <c r="U128" s="1844" t="s">
        <v>5387</v>
      </c>
      <c r="V128" s="1853" t="s">
        <v>5388</v>
      </c>
      <c r="W128" s="1844" t="s">
        <v>5389</v>
      </c>
      <c r="X128" s="3246" t="s">
        <v>5390</v>
      </c>
      <c r="Y128" s="3230" t="s">
        <v>5391</v>
      </c>
      <c r="Z128" s="2034" t="s">
        <v>5392</v>
      </c>
      <c r="AA128" s="2994" t="s">
        <v>5393</v>
      </c>
      <c r="AB128" s="2034" t="s">
        <v>5394</v>
      </c>
      <c r="AC128" s="2986" t="s">
        <v>5395</v>
      </c>
      <c r="AD128" s="2986" t="s">
        <v>5396</v>
      </c>
      <c r="AE128" s="2986" t="s">
        <v>5397</v>
      </c>
      <c r="AF128" s="3411" t="s">
        <v>5398</v>
      </c>
      <c r="AG128" s="3412" t="s">
        <v>5399</v>
      </c>
      <c r="AH128" s="3139" t="s">
        <v>5400</v>
      </c>
      <c r="AI128" s="2987" t="s">
        <v>5401</v>
      </c>
      <c r="AJ128" s="2814" t="s">
        <v>5402</v>
      </c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R128" s="105"/>
      <c r="CB128" s="687"/>
      <c r="CC128" s="687"/>
      <c r="CD128" s="687"/>
      <c r="CE128" s="687"/>
      <c r="CF128" s="687"/>
      <c r="CG128" s="687"/>
      <c r="CH128" s="3224"/>
      <c r="CI128" s="3224"/>
      <c r="CJ128" s="3224"/>
      <c r="CK128" s="3224"/>
      <c r="CL128" s="3224"/>
      <c r="CM128" s="687"/>
      <c r="CN128" s="687"/>
      <c r="CO128" s="687"/>
      <c r="CP128" s="687"/>
      <c r="CQ128" s="687"/>
      <c r="CR128" s="687"/>
      <c r="CS128" s="687"/>
      <c r="CT128" s="687"/>
      <c r="CU128" s="687"/>
      <c r="CV128" s="687"/>
      <c r="CW128" s="687"/>
      <c r="CX128" s="687"/>
      <c r="CY128" s="687"/>
      <c r="CZ128" s="687"/>
      <c r="DA128" s="687"/>
    </row>
    <row r="129" spans="1:109" s="140" customFormat="1" ht="16.350000000000001" customHeight="1" x14ac:dyDescent="0.2">
      <c r="A129" s="7306" t="s">
        <v>4846</v>
      </c>
      <c r="B129" s="2855" t="s">
        <v>3593</v>
      </c>
      <c r="C129" s="3413" t="s">
        <v>5369</v>
      </c>
      <c r="D129" s="3185" t="s">
        <v>5370</v>
      </c>
      <c r="E129" s="3237" t="s">
        <v>5371</v>
      </c>
      <c r="F129" s="3237" t="s">
        <v>5372</v>
      </c>
      <c r="G129" s="3413" t="s">
        <v>5373</v>
      </c>
      <c r="H129" s="3185" t="s">
        <v>5374</v>
      </c>
      <c r="I129" s="3237" t="s">
        <v>5375</v>
      </c>
      <c r="J129" s="3237" t="s">
        <v>5376</v>
      </c>
      <c r="K129" s="3413" t="s">
        <v>5377</v>
      </c>
      <c r="L129" s="3185" t="s">
        <v>5378</v>
      </c>
      <c r="M129" s="3237" t="s">
        <v>5379</v>
      </c>
      <c r="N129" s="3229" t="s">
        <v>5380</v>
      </c>
      <c r="O129" s="3414" t="s">
        <v>5381</v>
      </c>
      <c r="P129" s="2796" t="s">
        <v>5382</v>
      </c>
      <c r="Q129" s="557" t="s">
        <v>5383</v>
      </c>
      <c r="R129" s="3230" t="s">
        <v>5384</v>
      </c>
      <c r="S129" s="2034" t="s">
        <v>5385</v>
      </c>
      <c r="T129" s="1842" t="s">
        <v>5386</v>
      </c>
      <c r="U129" s="1844" t="s">
        <v>5387</v>
      </c>
      <c r="V129" s="1853" t="s">
        <v>5388</v>
      </c>
      <c r="W129" s="1844" t="s">
        <v>5389</v>
      </c>
      <c r="X129" s="3246" t="s">
        <v>5390</v>
      </c>
      <c r="Y129" s="3230" t="s">
        <v>5391</v>
      </c>
      <c r="Z129" s="2034" t="s">
        <v>5392</v>
      </c>
      <c r="AA129" s="2994" t="s">
        <v>5393</v>
      </c>
      <c r="AB129" s="2034" t="s">
        <v>5394</v>
      </c>
      <c r="AC129" s="2986" t="s">
        <v>5395</v>
      </c>
      <c r="AD129" s="2986" t="s">
        <v>5396</v>
      </c>
      <c r="AE129" s="2986" t="s">
        <v>5397</v>
      </c>
      <c r="AF129" s="3411" t="s">
        <v>5398</v>
      </c>
      <c r="AG129" s="3412" t="s">
        <v>5399</v>
      </c>
      <c r="AH129" s="3139" t="s">
        <v>5400</v>
      </c>
      <c r="AI129" s="2987" t="s">
        <v>5401</v>
      </c>
      <c r="AJ129" s="2814" t="s">
        <v>5402</v>
      </c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R129" s="105"/>
      <c r="CB129" s="687"/>
      <c r="CC129" s="687"/>
      <c r="CD129" s="687"/>
      <c r="CE129" s="687"/>
      <c r="CF129" s="687"/>
      <c r="CG129" s="687"/>
      <c r="CH129" s="3224"/>
      <c r="CI129" s="3224"/>
      <c r="CJ129" s="3224"/>
      <c r="CK129" s="3224"/>
      <c r="CL129" s="3224"/>
      <c r="CM129" s="687"/>
      <c r="CN129" s="687"/>
      <c r="CO129" s="687"/>
      <c r="CP129" s="687"/>
      <c r="CQ129" s="687"/>
      <c r="CR129" s="687"/>
      <c r="CS129" s="687"/>
      <c r="CT129" s="687"/>
      <c r="CU129" s="687"/>
      <c r="CV129" s="687"/>
      <c r="CW129" s="687"/>
      <c r="CX129" s="687"/>
      <c r="CY129" s="687"/>
      <c r="CZ129" s="687"/>
      <c r="DA129" s="687"/>
    </row>
    <row r="130" spans="1:109" s="140" customFormat="1" ht="16.350000000000001" customHeight="1" x14ac:dyDescent="0.2">
      <c r="A130" s="7306" t="s">
        <v>4847</v>
      </c>
      <c r="B130" s="2855" t="s">
        <v>287</v>
      </c>
      <c r="C130" s="3415" t="s">
        <v>5369</v>
      </c>
      <c r="D130" s="2956" t="s">
        <v>5370</v>
      </c>
      <c r="E130" s="1833" t="s">
        <v>5371</v>
      </c>
      <c r="F130" s="1833" t="s">
        <v>5372</v>
      </c>
      <c r="G130" s="3415" t="s">
        <v>5373</v>
      </c>
      <c r="H130" s="2956" t="s">
        <v>5374</v>
      </c>
      <c r="I130" s="1833" t="s">
        <v>5375</v>
      </c>
      <c r="J130" s="1833" t="s">
        <v>5376</v>
      </c>
      <c r="K130" s="3415" t="s">
        <v>5377</v>
      </c>
      <c r="L130" s="2956" t="s">
        <v>5378</v>
      </c>
      <c r="M130" s="1833" t="s">
        <v>5379</v>
      </c>
      <c r="N130" s="2528" t="s">
        <v>5380</v>
      </c>
      <c r="O130" s="3414" t="s">
        <v>5381</v>
      </c>
      <c r="P130" s="3054" t="s">
        <v>5382</v>
      </c>
      <c r="Q130" s="3246" t="s">
        <v>5383</v>
      </c>
      <c r="R130" s="3230" t="s">
        <v>5384</v>
      </c>
      <c r="S130" s="2034" t="s">
        <v>5385</v>
      </c>
      <c r="T130" s="1842" t="s">
        <v>5386</v>
      </c>
      <c r="U130" s="1844" t="s">
        <v>5387</v>
      </c>
      <c r="V130" s="1853" t="s">
        <v>5388</v>
      </c>
      <c r="W130" s="1844" t="s">
        <v>5389</v>
      </c>
      <c r="X130" s="3246" t="s">
        <v>5390</v>
      </c>
      <c r="Y130" s="3230" t="s">
        <v>5391</v>
      </c>
      <c r="Z130" s="2034" t="s">
        <v>5392</v>
      </c>
      <c r="AA130" s="2994" t="s">
        <v>5393</v>
      </c>
      <c r="AB130" s="2034" t="s">
        <v>5394</v>
      </c>
      <c r="AC130" s="2986" t="s">
        <v>5395</v>
      </c>
      <c r="AD130" s="2986" t="s">
        <v>5396</v>
      </c>
      <c r="AE130" s="2986" t="s">
        <v>5397</v>
      </c>
      <c r="AF130" s="3411" t="s">
        <v>5398</v>
      </c>
      <c r="AG130" s="3412" t="s">
        <v>5399</v>
      </c>
      <c r="AH130" s="3139" t="s">
        <v>5400</v>
      </c>
      <c r="AI130" s="2987" t="s">
        <v>5401</v>
      </c>
      <c r="AJ130" s="2814" t="s">
        <v>5402</v>
      </c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R130" s="105"/>
      <c r="CB130" s="687"/>
      <c r="CC130" s="687"/>
      <c r="CD130" s="687"/>
      <c r="CE130" s="687"/>
      <c r="CF130" s="687"/>
      <c r="CG130" s="687"/>
      <c r="CH130" s="3224"/>
      <c r="CI130" s="3224"/>
      <c r="CJ130" s="3224"/>
      <c r="CK130" s="3224"/>
      <c r="CL130" s="3224"/>
      <c r="CM130" s="687"/>
      <c r="CN130" s="687"/>
      <c r="CO130" s="687"/>
      <c r="CP130" s="687"/>
      <c r="CQ130" s="687"/>
      <c r="CR130" s="687"/>
      <c r="CS130" s="687"/>
      <c r="CT130" s="687"/>
      <c r="CU130" s="687"/>
      <c r="CV130" s="687"/>
      <c r="CW130" s="687"/>
      <c r="CX130" s="687"/>
      <c r="CY130" s="687"/>
      <c r="CZ130" s="687"/>
      <c r="DA130" s="687"/>
    </row>
    <row r="131" spans="1:109" s="140" customFormat="1" ht="16.350000000000001" customHeight="1" x14ac:dyDescent="0.2">
      <c r="A131" s="7306" t="s">
        <v>4848</v>
      </c>
      <c r="B131" s="2855" t="s">
        <v>452</v>
      </c>
      <c r="C131" s="3415" t="s">
        <v>5369</v>
      </c>
      <c r="D131" s="2956" t="s">
        <v>5370</v>
      </c>
      <c r="E131" s="1833" t="s">
        <v>5371</v>
      </c>
      <c r="F131" s="1833" t="s">
        <v>5372</v>
      </c>
      <c r="G131" s="3415" t="s">
        <v>5373</v>
      </c>
      <c r="H131" s="2956" t="s">
        <v>5374</v>
      </c>
      <c r="I131" s="1833" t="s">
        <v>5375</v>
      </c>
      <c r="J131" s="1833" t="s">
        <v>5376</v>
      </c>
      <c r="K131" s="3415" t="s">
        <v>5377</v>
      </c>
      <c r="L131" s="2956" t="s">
        <v>5378</v>
      </c>
      <c r="M131" s="1833" t="s">
        <v>5379</v>
      </c>
      <c r="N131" s="2528" t="s">
        <v>5380</v>
      </c>
      <c r="O131" s="3414" t="s">
        <v>5381</v>
      </c>
      <c r="P131" s="3054" t="s">
        <v>5382</v>
      </c>
      <c r="Q131" s="3246" t="s">
        <v>5383</v>
      </c>
      <c r="R131" s="3230" t="s">
        <v>5384</v>
      </c>
      <c r="S131" s="2034" t="s">
        <v>5385</v>
      </c>
      <c r="T131" s="1842" t="s">
        <v>5386</v>
      </c>
      <c r="U131" s="1844" t="s">
        <v>5387</v>
      </c>
      <c r="V131" s="1853" t="s">
        <v>5388</v>
      </c>
      <c r="W131" s="1844" t="s">
        <v>5389</v>
      </c>
      <c r="X131" s="3246" t="s">
        <v>5390</v>
      </c>
      <c r="Y131" s="3230" t="s">
        <v>5391</v>
      </c>
      <c r="Z131" s="2034" t="s">
        <v>5392</v>
      </c>
      <c r="AA131" s="2994" t="s">
        <v>5393</v>
      </c>
      <c r="AB131" s="2034" t="s">
        <v>5394</v>
      </c>
      <c r="AC131" s="2986" t="s">
        <v>5395</v>
      </c>
      <c r="AD131" s="2986" t="s">
        <v>5396</v>
      </c>
      <c r="AE131" s="2986" t="s">
        <v>5397</v>
      </c>
      <c r="AF131" s="3411" t="s">
        <v>5398</v>
      </c>
      <c r="AG131" s="3412" t="s">
        <v>5399</v>
      </c>
      <c r="AH131" s="3139" t="s">
        <v>5400</v>
      </c>
      <c r="AI131" s="2987" t="s">
        <v>5401</v>
      </c>
      <c r="AJ131" s="2814" t="s">
        <v>5402</v>
      </c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R131" s="105"/>
      <c r="CB131" s="687"/>
      <c r="CC131" s="687"/>
      <c r="CD131" s="687"/>
      <c r="CE131" s="687"/>
      <c r="CF131" s="687"/>
      <c r="CG131" s="687"/>
      <c r="CH131" s="3224"/>
      <c r="CI131" s="3224"/>
      <c r="CJ131" s="3224"/>
      <c r="CK131" s="3224"/>
      <c r="CL131" s="3224"/>
      <c r="CM131" s="687"/>
      <c r="CN131" s="687"/>
      <c r="CO131" s="687"/>
      <c r="CP131" s="687"/>
      <c r="CQ131" s="687"/>
      <c r="CR131" s="687"/>
      <c r="CS131" s="687"/>
      <c r="CT131" s="687"/>
      <c r="CU131" s="687"/>
      <c r="CV131" s="687"/>
      <c r="CW131" s="687"/>
      <c r="CX131" s="687"/>
      <c r="CY131" s="687"/>
      <c r="CZ131" s="687"/>
      <c r="DA131" s="687"/>
    </row>
    <row r="132" spans="1:109" s="140" customFormat="1" ht="16.350000000000001" customHeight="1" x14ac:dyDescent="0.2">
      <c r="A132" s="7306" t="s">
        <v>4849</v>
      </c>
      <c r="B132" s="2855" t="s">
        <v>288</v>
      </c>
      <c r="C132" s="3415" t="s">
        <v>5369</v>
      </c>
      <c r="D132" s="2956" t="s">
        <v>5370</v>
      </c>
      <c r="E132" s="1833" t="s">
        <v>5371</v>
      </c>
      <c r="F132" s="1833" t="s">
        <v>5372</v>
      </c>
      <c r="G132" s="3415" t="s">
        <v>5373</v>
      </c>
      <c r="H132" s="2956" t="s">
        <v>5374</v>
      </c>
      <c r="I132" s="1833" t="s">
        <v>5375</v>
      </c>
      <c r="J132" s="1833" t="s">
        <v>5376</v>
      </c>
      <c r="K132" s="3415" t="s">
        <v>5377</v>
      </c>
      <c r="L132" s="2956" t="s">
        <v>5378</v>
      </c>
      <c r="M132" s="1833" t="s">
        <v>5379</v>
      </c>
      <c r="N132" s="2528" t="s">
        <v>5380</v>
      </c>
      <c r="O132" s="3414" t="s">
        <v>5381</v>
      </c>
      <c r="P132" s="3054" t="s">
        <v>5382</v>
      </c>
      <c r="Q132" s="3246" t="s">
        <v>5383</v>
      </c>
      <c r="R132" s="3230" t="s">
        <v>5384</v>
      </c>
      <c r="S132" s="2034" t="s">
        <v>5385</v>
      </c>
      <c r="T132" s="1842" t="s">
        <v>5386</v>
      </c>
      <c r="U132" s="1844" t="s">
        <v>5387</v>
      </c>
      <c r="V132" s="1853" t="s">
        <v>5388</v>
      </c>
      <c r="W132" s="1844" t="s">
        <v>5389</v>
      </c>
      <c r="X132" s="3246" t="s">
        <v>5390</v>
      </c>
      <c r="Y132" s="3230" t="s">
        <v>5391</v>
      </c>
      <c r="Z132" s="2034" t="s">
        <v>5392</v>
      </c>
      <c r="AA132" s="2994" t="s">
        <v>5393</v>
      </c>
      <c r="AB132" s="2034" t="s">
        <v>5394</v>
      </c>
      <c r="AC132" s="2986" t="s">
        <v>5395</v>
      </c>
      <c r="AD132" s="2986" t="s">
        <v>5396</v>
      </c>
      <c r="AE132" s="2986" t="s">
        <v>5397</v>
      </c>
      <c r="AF132" s="3418" t="s">
        <v>5398</v>
      </c>
      <c r="AG132" s="3412" t="s">
        <v>5399</v>
      </c>
      <c r="AH132" s="3139" t="s">
        <v>5400</v>
      </c>
      <c r="AI132" s="2987" t="s">
        <v>5401</v>
      </c>
      <c r="AJ132" s="2814" t="s">
        <v>5402</v>
      </c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R132" s="105"/>
      <c r="CB132" s="687"/>
      <c r="CC132" s="687"/>
      <c r="CD132" s="687"/>
      <c r="CE132" s="687"/>
      <c r="CF132" s="687"/>
      <c r="CG132" s="687"/>
      <c r="CH132" s="3224"/>
      <c r="CI132" s="3224"/>
      <c r="CJ132" s="3224"/>
      <c r="CK132" s="3224"/>
      <c r="CL132" s="3224"/>
      <c r="CM132" s="687"/>
      <c r="CN132" s="687"/>
      <c r="CO132" s="687"/>
      <c r="CP132" s="687"/>
      <c r="CQ132" s="687"/>
      <c r="CR132" s="687"/>
      <c r="CS132" s="687"/>
      <c r="CT132" s="687"/>
      <c r="CU132" s="687"/>
      <c r="CV132" s="687"/>
      <c r="CW132" s="687"/>
      <c r="CX132" s="687"/>
      <c r="CY132" s="687"/>
      <c r="CZ132" s="687"/>
      <c r="DA132" s="687"/>
    </row>
    <row r="133" spans="1:109" s="140" customFormat="1" ht="16.350000000000001" customHeight="1" x14ac:dyDescent="0.2">
      <c r="A133" s="7306" t="s">
        <v>4850</v>
      </c>
      <c r="B133" s="2855" t="s">
        <v>289</v>
      </c>
      <c r="C133" s="3415" t="s">
        <v>5369</v>
      </c>
      <c r="D133" s="2956" t="s">
        <v>5370</v>
      </c>
      <c r="E133" s="1833" t="s">
        <v>5371</v>
      </c>
      <c r="F133" s="1833" t="s">
        <v>5372</v>
      </c>
      <c r="G133" s="3415" t="s">
        <v>5373</v>
      </c>
      <c r="H133" s="2956" t="s">
        <v>5374</v>
      </c>
      <c r="I133" s="1833" t="s">
        <v>5375</v>
      </c>
      <c r="J133" s="1833" t="s">
        <v>5376</v>
      </c>
      <c r="K133" s="3415" t="s">
        <v>5377</v>
      </c>
      <c r="L133" s="2956" t="s">
        <v>5378</v>
      </c>
      <c r="M133" s="1833" t="s">
        <v>5379</v>
      </c>
      <c r="N133" s="2528" t="s">
        <v>5380</v>
      </c>
      <c r="O133" s="3414" t="s">
        <v>5381</v>
      </c>
      <c r="P133" s="3054" t="s">
        <v>5382</v>
      </c>
      <c r="Q133" s="3246" t="s">
        <v>5383</v>
      </c>
      <c r="R133" s="3230" t="s">
        <v>5384</v>
      </c>
      <c r="S133" s="2034" t="s">
        <v>5385</v>
      </c>
      <c r="T133" s="1842" t="s">
        <v>5386</v>
      </c>
      <c r="U133" s="1844" t="s">
        <v>5387</v>
      </c>
      <c r="V133" s="1853" t="s">
        <v>5388</v>
      </c>
      <c r="W133" s="1844" t="s">
        <v>5389</v>
      </c>
      <c r="X133" s="3246" t="s">
        <v>5390</v>
      </c>
      <c r="Y133" s="3230" t="s">
        <v>5391</v>
      </c>
      <c r="Z133" s="2034" t="s">
        <v>5392</v>
      </c>
      <c r="AA133" s="2994" t="s">
        <v>5393</v>
      </c>
      <c r="AB133" s="2034" t="s">
        <v>5394</v>
      </c>
      <c r="AC133" s="2994" t="s">
        <v>5395</v>
      </c>
      <c r="AD133" s="2994" t="s">
        <v>5396</v>
      </c>
      <c r="AE133" s="2034" t="s">
        <v>5397</v>
      </c>
      <c r="AF133" s="3418" t="s">
        <v>5398</v>
      </c>
      <c r="AG133" s="3419" t="s">
        <v>5399</v>
      </c>
      <c r="AH133" s="2956" t="s">
        <v>5400</v>
      </c>
      <c r="AI133" s="1833" t="s">
        <v>5401</v>
      </c>
      <c r="AJ133" s="3041" t="s">
        <v>5402</v>
      </c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R133" s="105"/>
      <c r="CB133" s="687"/>
      <c r="CC133" s="687"/>
      <c r="CD133" s="687"/>
      <c r="CE133" s="687"/>
      <c r="CF133" s="687"/>
      <c r="CG133" s="687"/>
      <c r="CH133" s="3224"/>
      <c r="CI133" s="3224"/>
      <c r="CJ133" s="3224"/>
      <c r="CK133" s="3224"/>
      <c r="CL133" s="3224"/>
      <c r="CM133" s="687"/>
      <c r="CN133" s="687"/>
      <c r="CO133" s="687"/>
      <c r="CP133" s="687"/>
      <c r="CQ133" s="687"/>
      <c r="CR133" s="687"/>
      <c r="CS133" s="687"/>
      <c r="CT133" s="687"/>
      <c r="CU133" s="687"/>
      <c r="CV133" s="687"/>
      <c r="CW133" s="687"/>
      <c r="CX133" s="687"/>
      <c r="CY133" s="687"/>
      <c r="CZ133" s="687"/>
      <c r="DA133" s="687"/>
    </row>
    <row r="134" spans="1:109" s="140" customFormat="1" ht="16.350000000000001" customHeight="1" x14ac:dyDescent="0.2">
      <c r="A134" s="7306" t="s">
        <v>4851</v>
      </c>
      <c r="B134" s="3151" t="s">
        <v>418</v>
      </c>
      <c r="C134" s="3417" t="s">
        <v>5369</v>
      </c>
      <c r="D134" s="3139" t="s">
        <v>5370</v>
      </c>
      <c r="E134" s="2987" t="s">
        <v>5371</v>
      </c>
      <c r="F134" s="2987" t="s">
        <v>5372</v>
      </c>
      <c r="G134" s="3417" t="s">
        <v>5373</v>
      </c>
      <c r="H134" s="3139" t="s">
        <v>5374</v>
      </c>
      <c r="I134" s="2987" t="s">
        <v>5375</v>
      </c>
      <c r="J134" s="2987" t="s">
        <v>5376</v>
      </c>
      <c r="K134" s="3417" t="s">
        <v>5377</v>
      </c>
      <c r="L134" s="3139" t="s">
        <v>5378</v>
      </c>
      <c r="M134" s="2987" t="s">
        <v>5379</v>
      </c>
      <c r="N134" s="1743" t="s">
        <v>5380</v>
      </c>
      <c r="O134" s="3414" t="s">
        <v>5381</v>
      </c>
      <c r="P134" s="3032" t="s">
        <v>5382</v>
      </c>
      <c r="Q134" s="234" t="s">
        <v>5383</v>
      </c>
      <c r="R134" s="3230" t="s">
        <v>5384</v>
      </c>
      <c r="S134" s="2034" t="s">
        <v>5385</v>
      </c>
      <c r="T134" s="3757" t="s">
        <v>5386</v>
      </c>
      <c r="U134" s="2986" t="s">
        <v>5387</v>
      </c>
      <c r="V134" s="3756" t="s">
        <v>5388</v>
      </c>
      <c r="W134" s="2986" t="s">
        <v>5389</v>
      </c>
      <c r="X134" s="234" t="s">
        <v>5390</v>
      </c>
      <c r="Y134" s="3230" t="s">
        <v>5391</v>
      </c>
      <c r="Z134" s="2034" t="s">
        <v>5392</v>
      </c>
      <c r="AA134" s="2814" t="s">
        <v>5393</v>
      </c>
      <c r="AB134" s="2814" t="s">
        <v>5394</v>
      </c>
      <c r="AC134" s="2814" t="s">
        <v>5395</v>
      </c>
      <c r="AD134" s="2814" t="s">
        <v>5396</v>
      </c>
      <c r="AE134" s="2814" t="s">
        <v>5397</v>
      </c>
      <c r="AF134" s="3411" t="s">
        <v>5398</v>
      </c>
      <c r="AG134" s="3420" t="s">
        <v>5399</v>
      </c>
      <c r="AH134" s="3139" t="s">
        <v>5400</v>
      </c>
      <c r="AI134" s="2987" t="s">
        <v>5401</v>
      </c>
      <c r="AJ134" s="2814" t="s">
        <v>5402</v>
      </c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R134" s="105"/>
      <c r="CB134" s="687"/>
      <c r="CC134" s="687"/>
      <c r="CD134" s="687"/>
      <c r="CE134" s="687"/>
      <c r="CF134" s="687"/>
      <c r="CG134" s="687"/>
      <c r="CH134" s="3224"/>
      <c r="CI134" s="3224"/>
      <c r="CJ134" s="3224"/>
      <c r="CK134" s="3224"/>
      <c r="CL134" s="3224"/>
      <c r="CM134" s="687"/>
      <c r="CN134" s="687"/>
      <c r="CO134" s="687"/>
      <c r="CP134" s="687"/>
      <c r="CQ134" s="687"/>
      <c r="CR134" s="687"/>
      <c r="CS134" s="687"/>
      <c r="CT134" s="687"/>
      <c r="CU134" s="687"/>
      <c r="CV134" s="687"/>
      <c r="CW134" s="687"/>
      <c r="CX134" s="687"/>
      <c r="CY134" s="687"/>
      <c r="CZ134" s="687"/>
      <c r="DA134" s="687"/>
    </row>
    <row r="135" spans="1:109" s="140" customFormat="1" ht="16.350000000000001" customHeight="1" x14ac:dyDescent="0.2">
      <c r="A135" s="7306" t="s">
        <v>4852</v>
      </c>
      <c r="B135" s="3152" t="s">
        <v>419</v>
      </c>
      <c r="C135" s="3421" t="s">
        <v>5369</v>
      </c>
      <c r="D135" s="3158" t="s">
        <v>5370</v>
      </c>
      <c r="E135" s="2991" t="s">
        <v>5371</v>
      </c>
      <c r="F135" s="2991" t="s">
        <v>5372</v>
      </c>
      <c r="G135" s="3421" t="s">
        <v>5373</v>
      </c>
      <c r="H135" s="3158" t="s">
        <v>5374</v>
      </c>
      <c r="I135" s="2991" t="s">
        <v>5375</v>
      </c>
      <c r="J135" s="2991" t="s">
        <v>5376</v>
      </c>
      <c r="K135" s="3421" t="s">
        <v>5377</v>
      </c>
      <c r="L135" s="3158" t="s">
        <v>5378</v>
      </c>
      <c r="M135" s="2991" t="s">
        <v>5379</v>
      </c>
      <c r="N135" s="2665" t="s">
        <v>5380</v>
      </c>
      <c r="O135" s="3422" t="s">
        <v>5381</v>
      </c>
      <c r="P135" s="3045" t="s">
        <v>5382</v>
      </c>
      <c r="Q135" s="3423" t="s">
        <v>5383</v>
      </c>
      <c r="R135" s="3160" t="s">
        <v>5384</v>
      </c>
      <c r="S135" s="3046" t="s">
        <v>5385</v>
      </c>
      <c r="T135" s="2825" t="s">
        <v>5386</v>
      </c>
      <c r="U135" s="2821" t="s">
        <v>5387</v>
      </c>
      <c r="V135" s="2477" t="s">
        <v>5388</v>
      </c>
      <c r="W135" s="2821" t="s">
        <v>5389</v>
      </c>
      <c r="X135" s="3423" t="s">
        <v>5390</v>
      </c>
      <c r="Y135" s="3160" t="s">
        <v>5391</v>
      </c>
      <c r="Z135" s="3046" t="s">
        <v>5392</v>
      </c>
      <c r="AA135" s="3159" t="s">
        <v>5393</v>
      </c>
      <c r="AB135" s="3159" t="s">
        <v>5394</v>
      </c>
      <c r="AC135" s="3159" t="s">
        <v>5395</v>
      </c>
      <c r="AD135" s="3159" t="s">
        <v>5396</v>
      </c>
      <c r="AE135" s="3159" t="s">
        <v>5397</v>
      </c>
      <c r="AF135" s="3424" t="s">
        <v>5398</v>
      </c>
      <c r="AG135" s="3425" t="s">
        <v>5399</v>
      </c>
      <c r="AH135" s="3158" t="s">
        <v>5400</v>
      </c>
      <c r="AI135" s="2991" t="s">
        <v>5401</v>
      </c>
      <c r="AJ135" s="3159" t="s">
        <v>5402</v>
      </c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R135" s="105"/>
      <c r="CB135" s="687"/>
      <c r="CC135" s="687"/>
      <c r="CD135" s="687"/>
      <c r="CE135" s="687"/>
      <c r="CF135" s="687"/>
      <c r="CG135" s="687"/>
      <c r="CH135" s="3224"/>
      <c r="CI135" s="3224"/>
      <c r="CJ135" s="3224"/>
      <c r="CK135" s="3224"/>
      <c r="CL135" s="3224"/>
      <c r="CM135" s="687"/>
      <c r="CN135" s="687"/>
      <c r="CO135" s="687"/>
      <c r="CP135" s="687"/>
      <c r="CQ135" s="687"/>
      <c r="CR135" s="687"/>
      <c r="CS135" s="687"/>
      <c r="CT135" s="687"/>
      <c r="CU135" s="687"/>
      <c r="CV135" s="687"/>
      <c r="CW135" s="687"/>
      <c r="CX135" s="687"/>
      <c r="CY135" s="687"/>
      <c r="CZ135" s="687"/>
      <c r="DA135" s="687"/>
    </row>
    <row r="136" spans="1:109" s="140" customFormat="1" ht="16.350000000000001" customHeight="1" x14ac:dyDescent="0.2">
      <c r="A136" s="7304"/>
      <c r="B136" s="3426" t="s">
        <v>24</v>
      </c>
      <c r="C136" s="3427">
        <f t="shared" ref="C136:W136" si="20">SUM(C76:C135)</f>
        <v>0</v>
      </c>
      <c r="D136" s="3335">
        <f>SUM(D76:D135)</f>
        <v>0</v>
      </c>
      <c r="E136" s="3336">
        <f>SUM(E76:E135)</f>
        <v>0</v>
      </c>
      <c r="F136" s="3336">
        <f>SUM(F76:F135)</f>
        <v>0</v>
      </c>
      <c r="G136" s="3427">
        <f t="shared" si="20"/>
        <v>0</v>
      </c>
      <c r="H136" s="3335">
        <f t="shared" si="20"/>
        <v>0</v>
      </c>
      <c r="I136" s="3336">
        <f t="shared" si="20"/>
        <v>0</v>
      </c>
      <c r="J136" s="3336">
        <f t="shared" si="20"/>
        <v>0</v>
      </c>
      <c r="K136" s="3427">
        <f t="shared" si="20"/>
        <v>0</v>
      </c>
      <c r="L136" s="3335">
        <f t="shared" si="20"/>
        <v>0</v>
      </c>
      <c r="M136" s="3336">
        <f t="shared" si="20"/>
        <v>0</v>
      </c>
      <c r="N136" s="3336">
        <f t="shared" si="20"/>
        <v>0</v>
      </c>
      <c r="O136" s="3427">
        <f>SUM(O76:O135)</f>
        <v>0</v>
      </c>
      <c r="P136" s="1963">
        <f t="shared" si="20"/>
        <v>0</v>
      </c>
      <c r="Q136" s="2039">
        <f t="shared" si="20"/>
        <v>0</v>
      </c>
      <c r="R136" s="3335">
        <f t="shared" si="20"/>
        <v>0</v>
      </c>
      <c r="S136" s="1898">
        <f>SUM(S76:S135)</f>
        <v>0</v>
      </c>
      <c r="T136" s="4503">
        <f>SUM(T76:T135)</f>
        <v>0</v>
      </c>
      <c r="U136" s="3795">
        <f>SUM(U76:U135)</f>
        <v>0</v>
      </c>
      <c r="V136" s="4499">
        <f t="shared" si="20"/>
        <v>0</v>
      </c>
      <c r="W136" s="4502">
        <f t="shared" si="20"/>
        <v>0</v>
      </c>
      <c r="X136" s="1898">
        <f>SUM(X76:X135)</f>
        <v>0</v>
      </c>
      <c r="Y136" s="2040">
        <f t="shared" ref="Y136:AJ136" si="21">SUM(Y76:Y135)</f>
        <v>0</v>
      </c>
      <c r="Z136" s="3163">
        <f t="shared" si="21"/>
        <v>0</v>
      </c>
      <c r="AA136" s="1898">
        <f t="shared" si="21"/>
        <v>0</v>
      </c>
      <c r="AB136" s="1898">
        <f t="shared" si="21"/>
        <v>0</v>
      </c>
      <c r="AC136" s="1898">
        <f t="shared" si="21"/>
        <v>0</v>
      </c>
      <c r="AD136" s="1898">
        <f t="shared" si="21"/>
        <v>0</v>
      </c>
      <c r="AE136" s="3243">
        <f t="shared" si="21"/>
        <v>0</v>
      </c>
      <c r="AF136" s="3428">
        <f t="shared" si="21"/>
        <v>0</v>
      </c>
      <c r="AG136" s="3226">
        <f t="shared" si="21"/>
        <v>0</v>
      </c>
      <c r="AH136" s="3428">
        <f t="shared" si="21"/>
        <v>0</v>
      </c>
      <c r="AI136" s="3429">
        <f t="shared" si="21"/>
        <v>0</v>
      </c>
      <c r="AJ136" s="3430">
        <f t="shared" si="21"/>
        <v>0</v>
      </c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R136" s="105"/>
      <c r="CB136" s="687"/>
      <c r="CC136" s="687"/>
      <c r="CD136" s="687"/>
      <c r="CE136" s="687"/>
      <c r="CF136" s="687"/>
      <c r="CG136" s="687"/>
      <c r="CH136" s="3224"/>
      <c r="CI136" s="3224"/>
      <c r="CJ136" s="3224"/>
      <c r="CK136" s="3224"/>
      <c r="CL136" s="3224"/>
      <c r="CM136" s="687"/>
      <c r="CN136" s="687"/>
      <c r="CO136" s="687"/>
      <c r="CP136" s="687"/>
      <c r="CQ136" s="687"/>
      <c r="CR136" s="687"/>
      <c r="CS136" s="687"/>
      <c r="CT136" s="687"/>
      <c r="CU136" s="687"/>
      <c r="CV136" s="687"/>
      <c r="CW136" s="687"/>
      <c r="CX136" s="687"/>
      <c r="CY136" s="687"/>
      <c r="CZ136" s="687"/>
      <c r="DA136" s="687"/>
    </row>
    <row r="137" spans="1:109" ht="31.35" customHeight="1" x14ac:dyDescent="0.3">
      <c r="A137" s="7259"/>
      <c r="B137" s="3431" t="s">
        <v>2654</v>
      </c>
      <c r="C137" s="2730"/>
      <c r="D137" s="2730"/>
      <c r="AZ137" s="290"/>
      <c r="BA137" s="290"/>
      <c r="BB137" s="290"/>
      <c r="BC137" s="290"/>
      <c r="BD137" s="290"/>
      <c r="BE137" s="290"/>
      <c r="BF137" s="290"/>
      <c r="BG137" s="290"/>
      <c r="BH137" s="290"/>
      <c r="BI137" s="290"/>
      <c r="BJ137" s="290"/>
      <c r="BK137" s="290"/>
      <c r="BL137" s="290"/>
      <c r="BM137" s="290"/>
      <c r="BN137" s="290"/>
      <c r="BO137" s="290"/>
      <c r="BP137" s="290"/>
    </row>
    <row r="138" spans="1:109" ht="39" customHeight="1" x14ac:dyDescent="0.3">
      <c r="B138" s="2735" t="s">
        <v>192</v>
      </c>
      <c r="C138" s="2144" t="s">
        <v>24</v>
      </c>
      <c r="D138" s="491" t="s">
        <v>399</v>
      </c>
      <c r="E138" s="104" t="s">
        <v>54</v>
      </c>
      <c r="F138" s="73" t="s">
        <v>79</v>
      </c>
      <c r="G138" s="73" t="s">
        <v>80</v>
      </c>
      <c r="H138" s="73" t="s">
        <v>81</v>
      </c>
      <c r="I138" s="74" t="s">
        <v>82</v>
      </c>
      <c r="J138" s="74" t="s">
        <v>83</v>
      </c>
      <c r="K138" s="74" t="s">
        <v>400</v>
      </c>
      <c r="L138" s="74" t="s">
        <v>124</v>
      </c>
      <c r="M138" s="74" t="s">
        <v>125</v>
      </c>
      <c r="N138" s="74" t="s">
        <v>126</v>
      </c>
      <c r="O138" s="74" t="s">
        <v>127</v>
      </c>
      <c r="P138" s="74" t="s">
        <v>128</v>
      </c>
      <c r="Q138" s="74" t="s">
        <v>129</v>
      </c>
      <c r="R138" s="74" t="s">
        <v>130</v>
      </c>
      <c r="S138" s="74" t="s">
        <v>131</v>
      </c>
      <c r="T138" s="3436" t="s">
        <v>401</v>
      </c>
      <c r="U138" s="3279" t="s">
        <v>3595</v>
      </c>
      <c r="V138" s="3279" t="s">
        <v>3594</v>
      </c>
      <c r="AY138" s="290"/>
      <c r="AZ138" s="290"/>
      <c r="BA138" s="290"/>
      <c r="BB138" s="290"/>
      <c r="BC138" s="290"/>
      <c r="BD138" s="290"/>
      <c r="BE138" s="290"/>
      <c r="BF138" s="290"/>
      <c r="BG138" s="290"/>
      <c r="BH138" s="290"/>
      <c r="BI138" s="290"/>
      <c r="BJ138" s="290"/>
      <c r="BK138" s="290"/>
      <c r="BL138" s="290"/>
      <c r="BM138" s="290"/>
      <c r="BN138" s="290"/>
      <c r="BO138" s="290"/>
    </row>
    <row r="139" spans="1:109" ht="16.350000000000001" customHeight="1" x14ac:dyDescent="0.3">
      <c r="A139" s="7302" t="s">
        <v>4853</v>
      </c>
      <c r="B139" s="2736" t="s">
        <v>293</v>
      </c>
      <c r="C139" s="2731" t="s">
        <v>5369</v>
      </c>
      <c r="D139" s="106" t="s">
        <v>5370</v>
      </c>
      <c r="E139" s="89" t="s">
        <v>5371</v>
      </c>
      <c r="F139" s="89" t="s">
        <v>5372</v>
      </c>
      <c r="G139" s="89" t="s">
        <v>5373</v>
      </c>
      <c r="H139" s="89" t="s">
        <v>5374</v>
      </c>
      <c r="I139" s="89" t="s">
        <v>5375</v>
      </c>
      <c r="J139" s="89" t="s">
        <v>5376</v>
      </c>
      <c r="K139" s="89" t="s">
        <v>5377</v>
      </c>
      <c r="L139" s="89" t="s">
        <v>5378</v>
      </c>
      <c r="M139" s="89" t="s">
        <v>5379</v>
      </c>
      <c r="N139" s="89" t="s">
        <v>5380</v>
      </c>
      <c r="O139" s="89" t="s">
        <v>5381</v>
      </c>
      <c r="P139" s="89" t="s">
        <v>5382</v>
      </c>
      <c r="Q139" s="89" t="s">
        <v>5383</v>
      </c>
      <c r="R139" s="89" t="s">
        <v>5384</v>
      </c>
      <c r="S139" s="89" t="s">
        <v>5385</v>
      </c>
      <c r="T139" s="2712" t="s">
        <v>5386</v>
      </c>
      <c r="U139" s="2711" t="s">
        <v>5387</v>
      </c>
      <c r="V139" s="2711" t="s">
        <v>5388</v>
      </c>
      <c r="W139" s="1433" t="str">
        <f>CB139&amp;CC139&amp;CD139&amp;CE139</f>
        <v xml:space="preserve">* El número de Atenciones de Personas Trans NO DEBE ser mayor que Total. * El número de Atenciones de Personas Trans NO DEBE ser mayor que Total. </v>
      </c>
      <c r="AY139" s="290"/>
      <c r="AZ139" s="290"/>
      <c r="BA139" s="290"/>
      <c r="BB139" s="290"/>
      <c r="BC139" s="290"/>
      <c r="BD139" s="290"/>
      <c r="BE139" s="290"/>
      <c r="BF139" s="290"/>
      <c r="BG139" s="290"/>
      <c r="BH139" s="290"/>
      <c r="BI139" s="290"/>
      <c r="BJ139" s="290"/>
      <c r="BK139" s="290"/>
      <c r="BL139" s="290"/>
      <c r="BM139" s="290"/>
      <c r="BN139" s="290"/>
      <c r="BO139" s="290"/>
      <c r="CB139" s="1515" t="str">
        <f t="shared" ref="CB139" si="22">IF(DB139=1,"* No olvide digitar la columna Trans (Digite CEROS si no tiene). ","")</f>
        <v/>
      </c>
      <c r="CC139" s="1515" t="str">
        <f>IF(DC139=1,"* El número de Atenciones de Personas Trans NO DEBE ser mayor que Total. ","")</f>
        <v xml:space="preserve">* El número de Atenciones de Personas Trans NO DEBE ser mayor que Total. </v>
      </c>
      <c r="CD139" s="1515" t="str">
        <f>IF(DD139=1,"* No olvide digitar la columna Trans (Digite CEROS si no tiene). ","")</f>
        <v/>
      </c>
      <c r="CE139" s="1515" t="str">
        <f>IF(DE139=1,"* El número de Atenciones de Personas Trans NO DEBE ser mayor que Total. ","")</f>
        <v xml:space="preserve">* El número de Atenciones de Personas Trans NO DEBE ser mayor que Total. </v>
      </c>
      <c r="DB139" s="3222">
        <f>IF(AND($C139&lt;&gt;0,U139=""),1,0)</f>
        <v>0</v>
      </c>
      <c r="DC139" s="3222">
        <f>IF($C139&lt;U139,1,0)</f>
        <v>1</v>
      </c>
      <c r="DD139" s="3222">
        <f>IF(AND($C139&lt;&gt;0,V139=""),1,0)</f>
        <v>0</v>
      </c>
      <c r="DE139" s="3222">
        <f>IF($C139&lt;V139,1,0)</f>
        <v>1</v>
      </c>
    </row>
    <row r="140" spans="1:109" ht="16.350000000000001" customHeight="1" x14ac:dyDescent="0.3">
      <c r="A140" s="7302" t="s">
        <v>4854</v>
      </c>
      <c r="B140" s="2734" t="s">
        <v>255</v>
      </c>
      <c r="C140" s="2732" t="s">
        <v>5369</v>
      </c>
      <c r="D140" s="110" t="s">
        <v>5370</v>
      </c>
      <c r="E140" s="111" t="s">
        <v>5371</v>
      </c>
      <c r="F140" s="111" t="s">
        <v>5372</v>
      </c>
      <c r="G140" s="111" t="s">
        <v>5373</v>
      </c>
      <c r="H140" s="111" t="s">
        <v>5374</v>
      </c>
      <c r="I140" s="111" t="s">
        <v>5375</v>
      </c>
      <c r="J140" s="111" t="s">
        <v>5376</v>
      </c>
      <c r="K140" s="111" t="s">
        <v>5377</v>
      </c>
      <c r="L140" s="111" t="s">
        <v>5378</v>
      </c>
      <c r="M140" s="111" t="s">
        <v>5379</v>
      </c>
      <c r="N140" s="111" t="s">
        <v>5380</v>
      </c>
      <c r="O140" s="111" t="s">
        <v>5381</v>
      </c>
      <c r="P140" s="111" t="s">
        <v>5382</v>
      </c>
      <c r="Q140" s="111" t="s">
        <v>5383</v>
      </c>
      <c r="R140" s="111" t="s">
        <v>5384</v>
      </c>
      <c r="S140" s="111" t="s">
        <v>5385</v>
      </c>
      <c r="T140" s="2501" t="s">
        <v>5386</v>
      </c>
      <c r="U140" s="2678" t="s">
        <v>5387</v>
      </c>
      <c r="V140" s="2678" t="s">
        <v>5388</v>
      </c>
      <c r="W140" s="1433" t="str">
        <f t="shared" ref="W140:W154" si="23">CB140&amp;CC140&amp;CD140&amp;CE140</f>
        <v xml:space="preserve">* El número de Atenciones de Personas Trans NO DEBE ser mayor que Total. * El número de Atenciones de Personas Trans NO DEBE ser mayor que Total. </v>
      </c>
      <c r="AY140" s="290"/>
      <c r="AZ140" s="290"/>
      <c r="BA140" s="290"/>
      <c r="BB140" s="290"/>
      <c r="BC140" s="290"/>
      <c r="BD140" s="290"/>
      <c r="BE140" s="290"/>
      <c r="BF140" s="290"/>
      <c r="BG140" s="290"/>
      <c r="BH140" s="290"/>
      <c r="BI140" s="290"/>
      <c r="BJ140" s="290"/>
      <c r="BK140" s="290"/>
      <c r="BL140" s="290"/>
      <c r="BM140" s="290"/>
      <c r="BN140" s="290"/>
      <c r="BO140" s="290"/>
      <c r="CB140" s="1515" t="str">
        <f t="shared" ref="CB140:CB150" si="24">IF(DB140=1,"* No olvide digitar la columna Trans (Digite CEROS si no tiene). ","")</f>
        <v/>
      </c>
      <c r="CC140" s="1515" t="str">
        <f t="shared" ref="CC140:CC150" si="25">IF(DC140=1,"* El número de Atenciones de Personas Trans NO DEBE ser mayor que Total. ","")</f>
        <v xml:space="preserve">* El número de Atenciones de Personas Trans NO DEBE ser mayor que Total. </v>
      </c>
      <c r="CD140" s="1515" t="str">
        <f t="shared" ref="CD140:CD150" si="26">IF(DD140=1,"* No olvide digitar la columna Trans (Digite CEROS si no tiene). ","")</f>
        <v/>
      </c>
      <c r="CE140" s="1515" t="str">
        <f t="shared" ref="CE140:CE150" si="27">IF(DE140=1,"* El número de Atenciones de Personas Trans NO DEBE ser mayor que Total. ","")</f>
        <v xml:space="preserve">* El número de Atenciones de Personas Trans NO DEBE ser mayor que Total. </v>
      </c>
      <c r="DB140" s="3222">
        <f t="shared" ref="DB140:DB154" si="28">IF(AND($C140&lt;&gt;0,U140=""),1,0)</f>
        <v>0</v>
      </c>
      <c r="DC140" s="3222">
        <f t="shared" ref="DC140:DC154" si="29">IF($C140&lt;U140,1,0)</f>
        <v>1</v>
      </c>
      <c r="DD140" s="3222">
        <f t="shared" ref="DD140:DD154" si="30">IF(AND($C140&lt;&gt;0,V140=""),1,0)</f>
        <v>0</v>
      </c>
      <c r="DE140" s="3222">
        <f t="shared" ref="DE140:DE154" si="31">IF($C140&lt;V140,1,0)</f>
        <v>1</v>
      </c>
    </row>
    <row r="141" spans="1:109" ht="16.350000000000001" customHeight="1" x14ac:dyDescent="0.3">
      <c r="A141" s="7302" t="s">
        <v>4855</v>
      </c>
      <c r="B141" s="2734" t="s">
        <v>294</v>
      </c>
      <c r="C141" s="2732" t="s">
        <v>5369</v>
      </c>
      <c r="D141" s="110" t="s">
        <v>5370</v>
      </c>
      <c r="E141" s="111" t="s">
        <v>5371</v>
      </c>
      <c r="F141" s="111" t="s">
        <v>5372</v>
      </c>
      <c r="G141" s="111" t="s">
        <v>5373</v>
      </c>
      <c r="H141" s="111" t="s">
        <v>5374</v>
      </c>
      <c r="I141" s="111" t="s">
        <v>5375</v>
      </c>
      <c r="J141" s="111" t="s">
        <v>5376</v>
      </c>
      <c r="K141" s="111" t="s">
        <v>5377</v>
      </c>
      <c r="L141" s="111" t="s">
        <v>5378</v>
      </c>
      <c r="M141" s="111" t="s">
        <v>5379</v>
      </c>
      <c r="N141" s="111" t="s">
        <v>5380</v>
      </c>
      <c r="O141" s="111" t="s">
        <v>5381</v>
      </c>
      <c r="P141" s="111" t="s">
        <v>5382</v>
      </c>
      <c r="Q141" s="111" t="s">
        <v>5383</v>
      </c>
      <c r="R141" s="111" t="s">
        <v>5384</v>
      </c>
      <c r="S141" s="111" t="s">
        <v>5385</v>
      </c>
      <c r="T141" s="2501" t="s">
        <v>5386</v>
      </c>
      <c r="U141" s="2678" t="s">
        <v>5387</v>
      </c>
      <c r="V141" s="2678" t="s">
        <v>5388</v>
      </c>
      <c r="W141" s="1433" t="str">
        <f t="shared" si="23"/>
        <v xml:space="preserve">* El número de Atenciones de Personas Trans NO DEBE ser mayor que Total. * El número de Atenciones de Personas Trans NO DEBE ser mayor que Total. </v>
      </c>
      <c r="AY141" s="290"/>
      <c r="AZ141" s="290"/>
      <c r="BA141" s="290"/>
      <c r="BB141" s="290"/>
      <c r="BC141" s="290"/>
      <c r="BD141" s="290"/>
      <c r="BE141" s="290"/>
      <c r="BF141" s="290"/>
      <c r="BG141" s="290"/>
      <c r="BH141" s="290"/>
      <c r="BI141" s="290"/>
      <c r="BJ141" s="290"/>
      <c r="BK141" s="290"/>
      <c r="BL141" s="290"/>
      <c r="BM141" s="290"/>
      <c r="BN141" s="290"/>
      <c r="BO141" s="290"/>
      <c r="CB141" s="1515" t="str">
        <f t="shared" si="24"/>
        <v/>
      </c>
      <c r="CC141" s="1515" t="str">
        <f t="shared" si="25"/>
        <v xml:space="preserve">* El número de Atenciones de Personas Trans NO DEBE ser mayor que Total. </v>
      </c>
      <c r="CD141" s="1515" t="str">
        <f t="shared" si="26"/>
        <v/>
      </c>
      <c r="CE141" s="1515" t="str">
        <f t="shared" si="27"/>
        <v xml:space="preserve">* El número de Atenciones de Personas Trans NO DEBE ser mayor que Total. </v>
      </c>
      <c r="DB141" s="3222">
        <f t="shared" si="28"/>
        <v>0</v>
      </c>
      <c r="DC141" s="3222">
        <f t="shared" si="29"/>
        <v>1</v>
      </c>
      <c r="DD141" s="3222">
        <f t="shared" si="30"/>
        <v>0</v>
      </c>
      <c r="DE141" s="3222">
        <f t="shared" si="31"/>
        <v>1</v>
      </c>
    </row>
    <row r="142" spans="1:109" ht="16.350000000000001" customHeight="1" x14ac:dyDescent="0.3">
      <c r="A142" s="7302" t="s">
        <v>4856</v>
      </c>
      <c r="B142" s="2734" t="s">
        <v>295</v>
      </c>
      <c r="C142" s="2732" t="s">
        <v>5369</v>
      </c>
      <c r="D142" s="110" t="s">
        <v>5370</v>
      </c>
      <c r="E142" s="111" t="s">
        <v>5371</v>
      </c>
      <c r="F142" s="111" t="s">
        <v>5372</v>
      </c>
      <c r="G142" s="111" t="s">
        <v>5373</v>
      </c>
      <c r="H142" s="111" t="s">
        <v>5374</v>
      </c>
      <c r="I142" s="111" t="s">
        <v>5375</v>
      </c>
      <c r="J142" s="111" t="s">
        <v>5376</v>
      </c>
      <c r="K142" s="111" t="s">
        <v>5377</v>
      </c>
      <c r="L142" s="111" t="s">
        <v>5378</v>
      </c>
      <c r="M142" s="111" t="s">
        <v>5379</v>
      </c>
      <c r="N142" s="111" t="s">
        <v>5380</v>
      </c>
      <c r="O142" s="111" t="s">
        <v>5381</v>
      </c>
      <c r="P142" s="111" t="s">
        <v>5382</v>
      </c>
      <c r="Q142" s="111" t="s">
        <v>5383</v>
      </c>
      <c r="R142" s="111" t="s">
        <v>5384</v>
      </c>
      <c r="S142" s="111" t="s">
        <v>5385</v>
      </c>
      <c r="T142" s="2501" t="s">
        <v>5386</v>
      </c>
      <c r="U142" s="2678" t="s">
        <v>5387</v>
      </c>
      <c r="V142" s="2678" t="s">
        <v>5388</v>
      </c>
      <c r="W142" s="1433" t="str">
        <f t="shared" si="23"/>
        <v xml:space="preserve">* El número de Atenciones de Personas Trans NO DEBE ser mayor que Total. * El número de Atenciones de Personas Trans NO DEBE ser mayor que Total. </v>
      </c>
      <c r="AY142" s="290"/>
      <c r="AZ142" s="290"/>
      <c r="BA142" s="290"/>
      <c r="BB142" s="290"/>
      <c r="BC142" s="290"/>
      <c r="BD142" s="290"/>
      <c r="BE142" s="290"/>
      <c r="BF142" s="290"/>
      <c r="BG142" s="290"/>
      <c r="BH142" s="290"/>
      <c r="BI142" s="290"/>
      <c r="BJ142" s="290"/>
      <c r="BK142" s="290"/>
      <c r="BL142" s="290"/>
      <c r="BM142" s="290"/>
      <c r="BN142" s="290"/>
      <c r="BO142" s="290"/>
      <c r="CB142" s="1515" t="str">
        <f t="shared" si="24"/>
        <v/>
      </c>
      <c r="CC142" s="1515" t="str">
        <f t="shared" si="25"/>
        <v xml:space="preserve">* El número de Atenciones de Personas Trans NO DEBE ser mayor que Total. </v>
      </c>
      <c r="CD142" s="1515" t="str">
        <f t="shared" si="26"/>
        <v/>
      </c>
      <c r="CE142" s="1515" t="str">
        <f t="shared" si="27"/>
        <v xml:space="preserve">* El número de Atenciones de Personas Trans NO DEBE ser mayor que Total. </v>
      </c>
      <c r="DB142" s="3222">
        <f t="shared" si="28"/>
        <v>0</v>
      </c>
      <c r="DC142" s="3222">
        <f t="shared" si="29"/>
        <v>1</v>
      </c>
      <c r="DD142" s="3222">
        <f t="shared" si="30"/>
        <v>0</v>
      </c>
      <c r="DE142" s="3222">
        <f t="shared" si="31"/>
        <v>1</v>
      </c>
    </row>
    <row r="143" spans="1:109" ht="16.350000000000001" customHeight="1" x14ac:dyDescent="0.3">
      <c r="A143" s="7302" t="s">
        <v>4857</v>
      </c>
      <c r="B143" s="2734" t="s">
        <v>2185</v>
      </c>
      <c r="C143" s="2732" t="s">
        <v>5369</v>
      </c>
      <c r="D143" s="1617" t="s">
        <v>5370</v>
      </c>
      <c r="E143" s="1629" t="s">
        <v>5371</v>
      </c>
      <c r="F143" s="1629" t="s">
        <v>5372</v>
      </c>
      <c r="G143" s="1629" t="s">
        <v>5373</v>
      </c>
      <c r="H143" s="1629" t="s">
        <v>5374</v>
      </c>
      <c r="I143" s="1629" t="s">
        <v>5375</v>
      </c>
      <c r="J143" s="1629" t="s">
        <v>5376</v>
      </c>
      <c r="K143" s="1629" t="s">
        <v>5377</v>
      </c>
      <c r="L143" s="1629" t="s">
        <v>5378</v>
      </c>
      <c r="M143" s="1629" t="s">
        <v>5379</v>
      </c>
      <c r="N143" s="1629" t="s">
        <v>5380</v>
      </c>
      <c r="O143" s="1629" t="s">
        <v>5381</v>
      </c>
      <c r="P143" s="1629" t="s">
        <v>5382</v>
      </c>
      <c r="Q143" s="1629" t="s">
        <v>5383</v>
      </c>
      <c r="R143" s="1629" t="s">
        <v>5384</v>
      </c>
      <c r="S143" s="1629" t="s">
        <v>5385</v>
      </c>
      <c r="T143" s="2501" t="s">
        <v>5386</v>
      </c>
      <c r="U143" s="2678" t="s">
        <v>5387</v>
      </c>
      <c r="V143" s="2678" t="s">
        <v>5388</v>
      </c>
      <c r="W143" s="1433" t="str">
        <f t="shared" si="23"/>
        <v xml:space="preserve">* El número de Atenciones de Personas Trans NO DEBE ser mayor que Total. * El número de Atenciones de Personas Trans NO DEBE ser mayor que Total. </v>
      </c>
      <c r="AY143" s="290"/>
      <c r="AZ143" s="290"/>
      <c r="BA143" s="290"/>
      <c r="BB143" s="290"/>
      <c r="BC143" s="290"/>
      <c r="BD143" s="290"/>
      <c r="BE143" s="290"/>
      <c r="BF143" s="290"/>
      <c r="BG143" s="290"/>
      <c r="BH143" s="290"/>
      <c r="BI143" s="290"/>
      <c r="BJ143" s="290"/>
      <c r="BK143" s="290"/>
      <c r="BL143" s="290"/>
      <c r="BM143" s="290"/>
      <c r="BN143" s="290"/>
      <c r="BO143" s="290"/>
      <c r="CB143" s="1515" t="str">
        <f t="shared" si="24"/>
        <v/>
      </c>
      <c r="CC143" s="1515" t="str">
        <f t="shared" si="25"/>
        <v xml:space="preserve">* El número de Atenciones de Personas Trans NO DEBE ser mayor que Total. </v>
      </c>
      <c r="CD143" s="1515" t="str">
        <f t="shared" si="26"/>
        <v/>
      </c>
      <c r="CE143" s="1515" t="str">
        <f t="shared" si="27"/>
        <v xml:space="preserve">* El número de Atenciones de Personas Trans NO DEBE ser mayor que Total. </v>
      </c>
      <c r="DB143" s="3222">
        <f t="shared" si="28"/>
        <v>0</v>
      </c>
      <c r="DC143" s="3222">
        <f t="shared" si="29"/>
        <v>1</v>
      </c>
      <c r="DD143" s="3222">
        <f t="shared" si="30"/>
        <v>0</v>
      </c>
      <c r="DE143" s="3222">
        <f t="shared" si="31"/>
        <v>1</v>
      </c>
    </row>
    <row r="144" spans="1:109" ht="16.350000000000001" customHeight="1" x14ac:dyDescent="0.3">
      <c r="A144" s="7302" t="s">
        <v>4858</v>
      </c>
      <c r="B144" s="2734" t="s">
        <v>296</v>
      </c>
      <c r="C144" s="2732" t="s">
        <v>5369</v>
      </c>
      <c r="D144" s="110" t="s">
        <v>5370</v>
      </c>
      <c r="E144" s="111" t="s">
        <v>5371</v>
      </c>
      <c r="F144" s="111" t="s">
        <v>5372</v>
      </c>
      <c r="G144" s="111" t="s">
        <v>5373</v>
      </c>
      <c r="H144" s="111" t="s">
        <v>5374</v>
      </c>
      <c r="I144" s="111" t="s">
        <v>5375</v>
      </c>
      <c r="J144" s="111" t="s">
        <v>5376</v>
      </c>
      <c r="K144" s="111" t="s">
        <v>5377</v>
      </c>
      <c r="L144" s="111" t="s">
        <v>5378</v>
      </c>
      <c r="M144" s="111" t="s">
        <v>5379</v>
      </c>
      <c r="N144" s="111" t="s">
        <v>5380</v>
      </c>
      <c r="O144" s="111" t="s">
        <v>5381</v>
      </c>
      <c r="P144" s="111" t="s">
        <v>5382</v>
      </c>
      <c r="Q144" s="111" t="s">
        <v>5383</v>
      </c>
      <c r="R144" s="111" t="s">
        <v>5384</v>
      </c>
      <c r="S144" s="111" t="s">
        <v>5385</v>
      </c>
      <c r="T144" s="2501" t="s">
        <v>5386</v>
      </c>
      <c r="U144" s="2678" t="s">
        <v>5387</v>
      </c>
      <c r="V144" s="2678" t="s">
        <v>5388</v>
      </c>
      <c r="W144" s="1433" t="str">
        <f t="shared" si="23"/>
        <v xml:space="preserve">* El número de Atenciones de Personas Trans NO DEBE ser mayor que Total. * El número de Atenciones de Personas Trans NO DEBE ser mayor que Total. </v>
      </c>
      <c r="CB144" s="1515" t="str">
        <f t="shared" si="24"/>
        <v/>
      </c>
      <c r="CC144" s="1515" t="str">
        <f t="shared" si="25"/>
        <v xml:space="preserve">* El número de Atenciones de Personas Trans NO DEBE ser mayor que Total. </v>
      </c>
      <c r="CD144" s="1515" t="str">
        <f t="shared" si="26"/>
        <v/>
      </c>
      <c r="CE144" s="1515" t="str">
        <f t="shared" si="27"/>
        <v xml:space="preserve">* El número de Atenciones de Personas Trans NO DEBE ser mayor que Total. </v>
      </c>
      <c r="DB144" s="3222">
        <f t="shared" si="28"/>
        <v>0</v>
      </c>
      <c r="DC144" s="3222">
        <f t="shared" si="29"/>
        <v>1</v>
      </c>
      <c r="DD144" s="3222">
        <f t="shared" si="30"/>
        <v>0</v>
      </c>
      <c r="DE144" s="3222">
        <f t="shared" si="31"/>
        <v>1</v>
      </c>
    </row>
    <row r="145" spans="1:109" ht="16.350000000000001" customHeight="1" x14ac:dyDescent="0.3">
      <c r="A145" s="7302" t="s">
        <v>4859</v>
      </c>
      <c r="B145" s="2734" t="s">
        <v>297</v>
      </c>
      <c r="C145" s="2732" t="s">
        <v>5369</v>
      </c>
      <c r="D145" s="110" t="s">
        <v>5370</v>
      </c>
      <c r="E145" s="111" t="s">
        <v>5371</v>
      </c>
      <c r="F145" s="111" t="s">
        <v>5372</v>
      </c>
      <c r="G145" s="111" t="s">
        <v>5373</v>
      </c>
      <c r="H145" s="111" t="s">
        <v>5374</v>
      </c>
      <c r="I145" s="111" t="s">
        <v>5375</v>
      </c>
      <c r="J145" s="111" t="s">
        <v>5376</v>
      </c>
      <c r="K145" s="111" t="s">
        <v>5377</v>
      </c>
      <c r="L145" s="111" t="s">
        <v>5378</v>
      </c>
      <c r="M145" s="111" t="s">
        <v>5379</v>
      </c>
      <c r="N145" s="111" t="s">
        <v>5380</v>
      </c>
      <c r="O145" s="111" t="s">
        <v>5381</v>
      </c>
      <c r="P145" s="111" t="s">
        <v>5382</v>
      </c>
      <c r="Q145" s="111" t="s">
        <v>5383</v>
      </c>
      <c r="R145" s="111" t="s">
        <v>5384</v>
      </c>
      <c r="S145" s="111" t="s">
        <v>5385</v>
      </c>
      <c r="T145" s="2501" t="s">
        <v>5386</v>
      </c>
      <c r="U145" s="2678" t="s">
        <v>5387</v>
      </c>
      <c r="V145" s="2678" t="s">
        <v>5388</v>
      </c>
      <c r="W145" s="1433" t="str">
        <f t="shared" si="23"/>
        <v xml:space="preserve">* El número de Atenciones de Personas Trans NO DEBE ser mayor que Total. * El número de Atenciones de Personas Trans NO DEBE ser mayor que Total. </v>
      </c>
      <c r="CB145" s="1515" t="str">
        <f t="shared" si="24"/>
        <v/>
      </c>
      <c r="CC145" s="1515" t="str">
        <f t="shared" si="25"/>
        <v xml:space="preserve">* El número de Atenciones de Personas Trans NO DEBE ser mayor que Total. </v>
      </c>
      <c r="CD145" s="1515" t="str">
        <f t="shared" si="26"/>
        <v/>
      </c>
      <c r="CE145" s="1515" t="str">
        <f t="shared" si="27"/>
        <v xml:space="preserve">* El número de Atenciones de Personas Trans NO DEBE ser mayor que Total. </v>
      </c>
      <c r="DB145" s="3222">
        <f t="shared" si="28"/>
        <v>0</v>
      </c>
      <c r="DC145" s="3222">
        <f t="shared" si="29"/>
        <v>1</v>
      </c>
      <c r="DD145" s="3222">
        <f t="shared" si="30"/>
        <v>0</v>
      </c>
      <c r="DE145" s="3222">
        <f t="shared" si="31"/>
        <v>1</v>
      </c>
    </row>
    <row r="146" spans="1:109" ht="16.350000000000001" customHeight="1" x14ac:dyDescent="0.3">
      <c r="A146" s="7302" t="s">
        <v>4860</v>
      </c>
      <c r="B146" s="2734" t="s">
        <v>102</v>
      </c>
      <c r="C146" s="2732" t="s">
        <v>5369</v>
      </c>
      <c r="D146" s="110" t="s">
        <v>5370</v>
      </c>
      <c r="E146" s="111" t="s">
        <v>5371</v>
      </c>
      <c r="F146" s="111" t="s">
        <v>5372</v>
      </c>
      <c r="G146" s="111" t="s">
        <v>5373</v>
      </c>
      <c r="H146" s="111" t="s">
        <v>5374</v>
      </c>
      <c r="I146" s="111" t="s">
        <v>5375</v>
      </c>
      <c r="J146" s="111" t="s">
        <v>5376</v>
      </c>
      <c r="K146" s="111" t="s">
        <v>5377</v>
      </c>
      <c r="L146" s="111" t="s">
        <v>5378</v>
      </c>
      <c r="M146" s="111" t="s">
        <v>5379</v>
      </c>
      <c r="N146" s="111" t="s">
        <v>5380</v>
      </c>
      <c r="O146" s="111" t="s">
        <v>5381</v>
      </c>
      <c r="P146" s="111" t="s">
        <v>5382</v>
      </c>
      <c r="Q146" s="111" t="s">
        <v>5383</v>
      </c>
      <c r="R146" s="111" t="s">
        <v>5384</v>
      </c>
      <c r="S146" s="111" t="s">
        <v>5385</v>
      </c>
      <c r="T146" s="2501" t="s">
        <v>5386</v>
      </c>
      <c r="U146" s="2678" t="s">
        <v>5387</v>
      </c>
      <c r="V146" s="2678" t="s">
        <v>5388</v>
      </c>
      <c r="W146" s="1433" t="str">
        <f t="shared" si="23"/>
        <v xml:space="preserve">* El número de Atenciones de Personas Trans NO DEBE ser mayor que Total. * El número de Atenciones de Personas Trans NO DEBE ser mayor que Total. </v>
      </c>
      <c r="CB146" s="1515" t="str">
        <f t="shared" si="24"/>
        <v/>
      </c>
      <c r="CC146" s="1515" t="str">
        <f t="shared" si="25"/>
        <v xml:space="preserve">* El número de Atenciones de Personas Trans NO DEBE ser mayor que Total. </v>
      </c>
      <c r="CD146" s="1515" t="str">
        <f t="shared" si="26"/>
        <v/>
      </c>
      <c r="CE146" s="1515" t="str">
        <f t="shared" si="27"/>
        <v xml:space="preserve">* El número de Atenciones de Personas Trans NO DEBE ser mayor que Total. </v>
      </c>
      <c r="DB146" s="3222">
        <f t="shared" si="28"/>
        <v>0</v>
      </c>
      <c r="DC146" s="3222">
        <f t="shared" si="29"/>
        <v>1</v>
      </c>
      <c r="DD146" s="3222">
        <f t="shared" si="30"/>
        <v>0</v>
      </c>
      <c r="DE146" s="3222">
        <f t="shared" si="31"/>
        <v>1</v>
      </c>
    </row>
    <row r="147" spans="1:109" ht="16.350000000000001" customHeight="1" x14ac:dyDescent="0.3">
      <c r="A147" s="7302" t="s">
        <v>4861</v>
      </c>
      <c r="B147" s="2734" t="s">
        <v>298</v>
      </c>
      <c r="C147" s="2732" t="s">
        <v>5369</v>
      </c>
      <c r="D147" s="110" t="s">
        <v>5370</v>
      </c>
      <c r="E147" s="111" t="s">
        <v>5371</v>
      </c>
      <c r="F147" s="111" t="s">
        <v>5372</v>
      </c>
      <c r="G147" s="111" t="s">
        <v>5373</v>
      </c>
      <c r="H147" s="111" t="s">
        <v>5374</v>
      </c>
      <c r="I147" s="111" t="s">
        <v>5375</v>
      </c>
      <c r="J147" s="111" t="s">
        <v>5376</v>
      </c>
      <c r="K147" s="111" t="s">
        <v>5377</v>
      </c>
      <c r="L147" s="111" t="s">
        <v>5378</v>
      </c>
      <c r="M147" s="111" t="s">
        <v>5379</v>
      </c>
      <c r="N147" s="111" t="s">
        <v>5380</v>
      </c>
      <c r="O147" s="111" t="s">
        <v>5381</v>
      </c>
      <c r="P147" s="111" t="s">
        <v>5382</v>
      </c>
      <c r="Q147" s="111" t="s">
        <v>5383</v>
      </c>
      <c r="R147" s="111" t="s">
        <v>5384</v>
      </c>
      <c r="S147" s="111" t="s">
        <v>5385</v>
      </c>
      <c r="T147" s="2501" t="s">
        <v>5386</v>
      </c>
      <c r="U147" s="2678" t="s">
        <v>5387</v>
      </c>
      <c r="V147" s="2678" t="s">
        <v>5388</v>
      </c>
      <c r="W147" s="1433" t="str">
        <f t="shared" si="23"/>
        <v xml:space="preserve">* El número de Atenciones de Personas Trans NO DEBE ser mayor que Total. * El número de Atenciones de Personas Trans NO DEBE ser mayor que Total. </v>
      </c>
      <c r="X147" s="140"/>
      <c r="Y147" s="140"/>
      <c r="Z147" s="140"/>
      <c r="AA147" s="140"/>
      <c r="AB147" s="140"/>
      <c r="AC147" s="140"/>
      <c r="AD147" s="140"/>
      <c r="AE147" s="140"/>
      <c r="AF147" s="140"/>
      <c r="AG147" s="140"/>
      <c r="AH147" s="140"/>
      <c r="AI147" s="140"/>
      <c r="AJ147" s="140"/>
      <c r="AK147" s="140"/>
      <c r="AL147" s="140"/>
      <c r="AM147" s="140"/>
      <c r="AN147" s="140"/>
      <c r="AO147" s="140"/>
      <c r="AP147" s="140"/>
      <c r="AQ147" s="140"/>
      <c r="AR147" s="140"/>
      <c r="CB147" s="1515" t="str">
        <f t="shared" si="24"/>
        <v/>
      </c>
      <c r="CC147" s="1515" t="str">
        <f t="shared" si="25"/>
        <v xml:space="preserve">* El número de Atenciones de Personas Trans NO DEBE ser mayor que Total. </v>
      </c>
      <c r="CD147" s="1515" t="str">
        <f t="shared" si="26"/>
        <v/>
      </c>
      <c r="CE147" s="1515" t="str">
        <f t="shared" si="27"/>
        <v xml:space="preserve">* El número de Atenciones de Personas Trans NO DEBE ser mayor que Total. </v>
      </c>
      <c r="DB147" s="3222">
        <f t="shared" si="28"/>
        <v>0</v>
      </c>
      <c r="DC147" s="3222">
        <f t="shared" si="29"/>
        <v>1</v>
      </c>
      <c r="DD147" s="3222">
        <f t="shared" si="30"/>
        <v>0</v>
      </c>
      <c r="DE147" s="3222">
        <f t="shared" si="31"/>
        <v>1</v>
      </c>
    </row>
    <row r="148" spans="1:109" ht="16.350000000000001" customHeight="1" x14ac:dyDescent="0.3">
      <c r="A148" s="7302" t="s">
        <v>4862</v>
      </c>
      <c r="B148" s="2734" t="s">
        <v>299</v>
      </c>
      <c r="C148" s="2732" t="s">
        <v>5369</v>
      </c>
      <c r="D148" s="110" t="s">
        <v>5370</v>
      </c>
      <c r="E148" s="111" t="s">
        <v>5371</v>
      </c>
      <c r="F148" s="111" t="s">
        <v>5372</v>
      </c>
      <c r="G148" s="111" t="s">
        <v>5373</v>
      </c>
      <c r="H148" s="111" t="s">
        <v>5374</v>
      </c>
      <c r="I148" s="111" t="s">
        <v>5375</v>
      </c>
      <c r="J148" s="111" t="s">
        <v>5376</v>
      </c>
      <c r="K148" s="111" t="s">
        <v>5377</v>
      </c>
      <c r="L148" s="111" t="s">
        <v>5378</v>
      </c>
      <c r="M148" s="111" t="s">
        <v>5379</v>
      </c>
      <c r="N148" s="111" t="s">
        <v>5380</v>
      </c>
      <c r="O148" s="111" t="s">
        <v>5381</v>
      </c>
      <c r="P148" s="111" t="s">
        <v>5382</v>
      </c>
      <c r="Q148" s="111" t="s">
        <v>5383</v>
      </c>
      <c r="R148" s="111" t="s">
        <v>5384</v>
      </c>
      <c r="S148" s="111" t="s">
        <v>5385</v>
      </c>
      <c r="T148" s="2501" t="s">
        <v>5386</v>
      </c>
      <c r="U148" s="2678" t="s">
        <v>5387</v>
      </c>
      <c r="V148" s="2678" t="s">
        <v>5388</v>
      </c>
      <c r="W148" s="1433" t="str">
        <f t="shared" si="23"/>
        <v xml:space="preserve">* El número de Atenciones de Personas Trans NO DEBE ser mayor que Total. * El número de Atenciones de Personas Trans NO DEBE ser mayor que Total. </v>
      </c>
      <c r="CB148" s="1515" t="str">
        <f t="shared" si="24"/>
        <v/>
      </c>
      <c r="CC148" s="1515" t="str">
        <f t="shared" si="25"/>
        <v xml:space="preserve">* El número de Atenciones de Personas Trans NO DEBE ser mayor que Total. </v>
      </c>
      <c r="CD148" s="1515" t="str">
        <f t="shared" si="26"/>
        <v/>
      </c>
      <c r="CE148" s="1515" t="str">
        <f t="shared" si="27"/>
        <v xml:space="preserve">* El número de Atenciones de Personas Trans NO DEBE ser mayor que Total. </v>
      </c>
      <c r="DB148" s="3222">
        <f t="shared" si="28"/>
        <v>0</v>
      </c>
      <c r="DC148" s="3222">
        <f t="shared" si="29"/>
        <v>1</v>
      </c>
      <c r="DD148" s="3222">
        <f t="shared" si="30"/>
        <v>0</v>
      </c>
      <c r="DE148" s="3222">
        <f t="shared" si="31"/>
        <v>1</v>
      </c>
    </row>
    <row r="149" spans="1:109" ht="16.350000000000001" customHeight="1" x14ac:dyDescent="0.3">
      <c r="A149" s="7302" t="s">
        <v>4863</v>
      </c>
      <c r="B149" s="2734" t="s">
        <v>300</v>
      </c>
      <c r="C149" s="2732" t="s">
        <v>5369</v>
      </c>
      <c r="D149" s="110" t="s">
        <v>5370</v>
      </c>
      <c r="E149" s="111" t="s">
        <v>5371</v>
      </c>
      <c r="F149" s="111" t="s">
        <v>5372</v>
      </c>
      <c r="G149" s="111" t="s">
        <v>5373</v>
      </c>
      <c r="H149" s="111" t="s">
        <v>5374</v>
      </c>
      <c r="I149" s="111" t="s">
        <v>5375</v>
      </c>
      <c r="J149" s="111" t="s">
        <v>5376</v>
      </c>
      <c r="K149" s="111" t="s">
        <v>5377</v>
      </c>
      <c r="L149" s="111" t="s">
        <v>5378</v>
      </c>
      <c r="M149" s="111" t="s">
        <v>5379</v>
      </c>
      <c r="N149" s="111" t="s">
        <v>5380</v>
      </c>
      <c r="O149" s="111" t="s">
        <v>5381</v>
      </c>
      <c r="P149" s="111" t="s">
        <v>5382</v>
      </c>
      <c r="Q149" s="111" t="s">
        <v>5383</v>
      </c>
      <c r="R149" s="111" t="s">
        <v>5384</v>
      </c>
      <c r="S149" s="111" t="s">
        <v>5385</v>
      </c>
      <c r="T149" s="2501" t="s">
        <v>5386</v>
      </c>
      <c r="U149" s="2678" t="s">
        <v>5387</v>
      </c>
      <c r="V149" s="2678" t="s">
        <v>5388</v>
      </c>
      <c r="W149" s="1433" t="str">
        <f t="shared" si="23"/>
        <v xml:space="preserve">* El número de Atenciones de Personas Trans NO DEBE ser mayor que Total. * El número de Atenciones de Personas Trans NO DEBE ser mayor que Total. </v>
      </c>
      <c r="CB149" s="1515" t="str">
        <f t="shared" si="24"/>
        <v/>
      </c>
      <c r="CC149" s="1515" t="str">
        <f t="shared" si="25"/>
        <v xml:space="preserve">* El número de Atenciones de Personas Trans NO DEBE ser mayor que Total. </v>
      </c>
      <c r="CD149" s="1515" t="str">
        <f t="shared" si="26"/>
        <v/>
      </c>
      <c r="CE149" s="1515" t="str">
        <f t="shared" si="27"/>
        <v xml:space="preserve">* El número de Atenciones de Personas Trans NO DEBE ser mayor que Total. </v>
      </c>
      <c r="DB149" s="3222">
        <f t="shared" si="28"/>
        <v>0</v>
      </c>
      <c r="DC149" s="3222">
        <f t="shared" si="29"/>
        <v>1</v>
      </c>
      <c r="DD149" s="3222">
        <f t="shared" si="30"/>
        <v>0</v>
      </c>
      <c r="DE149" s="3222">
        <f t="shared" si="31"/>
        <v>1</v>
      </c>
    </row>
    <row r="150" spans="1:109" ht="16.350000000000001" customHeight="1" x14ac:dyDescent="0.3">
      <c r="A150" s="7302" t="s">
        <v>4864</v>
      </c>
      <c r="B150" s="2734" t="s">
        <v>191</v>
      </c>
      <c r="C150" s="2732" t="s">
        <v>5369</v>
      </c>
      <c r="D150" s="110" t="s">
        <v>5370</v>
      </c>
      <c r="E150" s="111" t="s">
        <v>5371</v>
      </c>
      <c r="F150" s="111" t="s">
        <v>5372</v>
      </c>
      <c r="G150" s="111" t="s">
        <v>5373</v>
      </c>
      <c r="H150" s="111" t="s">
        <v>5374</v>
      </c>
      <c r="I150" s="111" t="s">
        <v>5375</v>
      </c>
      <c r="J150" s="111" t="s">
        <v>5376</v>
      </c>
      <c r="K150" s="111" t="s">
        <v>5377</v>
      </c>
      <c r="L150" s="111" t="s">
        <v>5378</v>
      </c>
      <c r="M150" s="111" t="s">
        <v>5379</v>
      </c>
      <c r="N150" s="111" t="s">
        <v>5380</v>
      </c>
      <c r="O150" s="111" t="s">
        <v>5381</v>
      </c>
      <c r="P150" s="111" t="s">
        <v>5382</v>
      </c>
      <c r="Q150" s="111" t="s">
        <v>5383</v>
      </c>
      <c r="R150" s="111" t="s">
        <v>5384</v>
      </c>
      <c r="S150" s="111" t="s">
        <v>5385</v>
      </c>
      <c r="T150" s="2501" t="s">
        <v>5386</v>
      </c>
      <c r="U150" s="2678" t="s">
        <v>5387</v>
      </c>
      <c r="V150" s="2678" t="s">
        <v>5388</v>
      </c>
      <c r="W150" s="1433" t="str">
        <f t="shared" si="23"/>
        <v xml:space="preserve">* El número de Atenciones de Personas Trans NO DEBE ser mayor que Total. * El número de Atenciones de Personas Trans NO DEBE ser mayor que Total. </v>
      </c>
      <c r="AS150" s="290"/>
      <c r="AT150" s="290"/>
      <c r="AU150" s="290"/>
      <c r="AV150" s="290"/>
      <c r="AW150" s="290"/>
      <c r="AX150" s="290"/>
      <c r="AY150" s="290"/>
      <c r="AZ150" s="290"/>
      <c r="BA150" s="290"/>
      <c r="BB150" s="290"/>
      <c r="BC150" s="290"/>
      <c r="BD150" s="290"/>
      <c r="BE150" s="290"/>
      <c r="BF150" s="290"/>
      <c r="CB150" s="1515" t="str">
        <f t="shared" si="24"/>
        <v/>
      </c>
      <c r="CC150" s="1515" t="str">
        <f t="shared" si="25"/>
        <v xml:space="preserve">* El número de Atenciones de Personas Trans NO DEBE ser mayor que Total. </v>
      </c>
      <c r="CD150" s="1515" t="str">
        <f t="shared" si="26"/>
        <v/>
      </c>
      <c r="CE150" s="1515" t="str">
        <f t="shared" si="27"/>
        <v xml:space="preserve">* El número de Atenciones de Personas Trans NO DEBE ser mayor que Total. </v>
      </c>
      <c r="DB150" s="3222">
        <f t="shared" si="28"/>
        <v>0</v>
      </c>
      <c r="DC150" s="3222">
        <f t="shared" si="29"/>
        <v>1</v>
      </c>
      <c r="DD150" s="3222">
        <f t="shared" si="30"/>
        <v>0</v>
      </c>
      <c r="DE150" s="3222">
        <f t="shared" si="31"/>
        <v>1</v>
      </c>
    </row>
    <row r="151" spans="1:109" ht="16.350000000000001" customHeight="1" x14ac:dyDescent="0.3">
      <c r="A151" s="7302" t="s">
        <v>4865</v>
      </c>
      <c r="B151" s="2734" t="s">
        <v>193</v>
      </c>
      <c r="C151" s="2732" t="s">
        <v>5369</v>
      </c>
      <c r="D151" s="110" t="s">
        <v>5370</v>
      </c>
      <c r="E151" s="111" t="s">
        <v>5371</v>
      </c>
      <c r="F151" s="111" t="s">
        <v>5372</v>
      </c>
      <c r="G151" s="111" t="s">
        <v>5373</v>
      </c>
      <c r="H151" s="111" t="s">
        <v>5374</v>
      </c>
      <c r="I151" s="111" t="s">
        <v>5375</v>
      </c>
      <c r="J151" s="111" t="s">
        <v>5376</v>
      </c>
      <c r="K151" s="111" t="s">
        <v>5377</v>
      </c>
      <c r="L151" s="111" t="s">
        <v>5378</v>
      </c>
      <c r="M151" s="111" t="s">
        <v>5379</v>
      </c>
      <c r="N151" s="111" t="s">
        <v>5380</v>
      </c>
      <c r="O151" s="111" t="s">
        <v>5381</v>
      </c>
      <c r="P151" s="111" t="s">
        <v>5382</v>
      </c>
      <c r="Q151" s="111" t="s">
        <v>5383</v>
      </c>
      <c r="R151" s="111" t="s">
        <v>5384</v>
      </c>
      <c r="S151" s="111" t="s">
        <v>5385</v>
      </c>
      <c r="T151" s="2501" t="s">
        <v>5386</v>
      </c>
      <c r="U151" s="2678" t="s">
        <v>5387</v>
      </c>
      <c r="V151" s="2678" t="s">
        <v>5388</v>
      </c>
      <c r="W151" s="1433" t="str">
        <f t="shared" si="23"/>
        <v xml:space="preserve">* El número de Atenciones de Personas Trans NO DEBE ser mayor que Total. * El número de Atenciones de Personas Trans NO DEBE ser mayor que Total. </v>
      </c>
      <c r="AS151" s="290"/>
      <c r="AT151" s="290"/>
      <c r="AU151" s="290"/>
      <c r="AV151" s="290"/>
      <c r="AW151" s="290"/>
      <c r="AX151" s="290"/>
      <c r="AY151" s="290"/>
      <c r="AZ151" s="290"/>
      <c r="BA151" s="290"/>
      <c r="BB151" s="290"/>
      <c r="BC151" s="290"/>
      <c r="BD151" s="290"/>
      <c r="BE151" s="290"/>
      <c r="BF151" s="290"/>
      <c r="CB151" s="1515" t="str">
        <f t="shared" ref="CB151:CB154" si="32">IF(DB151=1,"* No olvide digitar la columna Trans (Digite CEROS si no tiene). ","")</f>
        <v/>
      </c>
      <c r="CC151" s="1515" t="str">
        <f t="shared" ref="CC151:CC154" si="33">IF(DC151=1,"* El número de Atenciones de Personas Trans NO DEBE ser mayor que Total. ","")</f>
        <v xml:space="preserve">* El número de Atenciones de Personas Trans NO DEBE ser mayor que Total. </v>
      </c>
      <c r="CD151" s="1515" t="str">
        <f t="shared" ref="CD151:CD154" si="34">IF(DD151=1,"* No olvide digitar la columna Trans (Digite CEROS si no tiene). ","")</f>
        <v/>
      </c>
      <c r="CE151" s="1515" t="str">
        <f t="shared" ref="CE151:CE154" si="35">IF(DE151=1,"* El número de Atenciones de Personas Trans NO DEBE ser mayor que Total. ","")</f>
        <v xml:space="preserve">* El número de Atenciones de Personas Trans NO DEBE ser mayor que Total. </v>
      </c>
      <c r="DB151" s="3222">
        <f t="shared" si="28"/>
        <v>0</v>
      </c>
      <c r="DC151" s="3222">
        <f t="shared" si="29"/>
        <v>1</v>
      </c>
      <c r="DD151" s="3222">
        <f t="shared" si="30"/>
        <v>0</v>
      </c>
      <c r="DE151" s="3222">
        <f t="shared" si="31"/>
        <v>1</v>
      </c>
    </row>
    <row r="152" spans="1:109" ht="16.350000000000001" customHeight="1" x14ac:dyDescent="0.3">
      <c r="A152" s="7302" t="s">
        <v>4866</v>
      </c>
      <c r="B152" s="2734" t="s">
        <v>194</v>
      </c>
      <c r="C152" s="2732" t="s">
        <v>5369</v>
      </c>
      <c r="D152" s="110" t="s">
        <v>5370</v>
      </c>
      <c r="E152" s="111" t="s">
        <v>5371</v>
      </c>
      <c r="F152" s="111" t="s">
        <v>5372</v>
      </c>
      <c r="G152" s="111" t="s">
        <v>5373</v>
      </c>
      <c r="H152" s="111" t="s">
        <v>5374</v>
      </c>
      <c r="I152" s="111" t="s">
        <v>5375</v>
      </c>
      <c r="J152" s="111" t="s">
        <v>5376</v>
      </c>
      <c r="K152" s="111" t="s">
        <v>5377</v>
      </c>
      <c r="L152" s="111" t="s">
        <v>5378</v>
      </c>
      <c r="M152" s="111" t="s">
        <v>5379</v>
      </c>
      <c r="N152" s="111" t="s">
        <v>5380</v>
      </c>
      <c r="O152" s="111" t="s">
        <v>5381</v>
      </c>
      <c r="P152" s="111" t="s">
        <v>5382</v>
      </c>
      <c r="Q152" s="111" t="s">
        <v>5383</v>
      </c>
      <c r="R152" s="111" t="s">
        <v>5384</v>
      </c>
      <c r="S152" s="111" t="s">
        <v>5385</v>
      </c>
      <c r="T152" s="2501" t="s">
        <v>5386</v>
      </c>
      <c r="U152" s="2678" t="s">
        <v>5387</v>
      </c>
      <c r="V152" s="2678" t="s">
        <v>5388</v>
      </c>
      <c r="W152" s="1433" t="str">
        <f t="shared" si="23"/>
        <v xml:space="preserve">* El número de Atenciones de Personas Trans NO DEBE ser mayor que Total. * El número de Atenciones de Personas Trans NO DEBE ser mayor que Total. </v>
      </c>
      <c r="AS152" s="290"/>
      <c r="AT152" s="290"/>
      <c r="AU152" s="290"/>
      <c r="AV152" s="290"/>
      <c r="AW152" s="290"/>
      <c r="AX152" s="290"/>
      <c r="AY152" s="290"/>
      <c r="AZ152" s="290"/>
      <c r="BA152" s="290"/>
      <c r="BB152" s="290"/>
      <c r="BC152" s="290"/>
      <c r="BD152" s="290"/>
      <c r="BE152" s="290"/>
      <c r="BF152" s="290"/>
      <c r="CB152" s="1515" t="str">
        <f t="shared" si="32"/>
        <v/>
      </c>
      <c r="CC152" s="1515" t="str">
        <f t="shared" si="33"/>
        <v xml:space="preserve">* El número de Atenciones de Personas Trans NO DEBE ser mayor que Total. </v>
      </c>
      <c r="CD152" s="1515" t="str">
        <f t="shared" si="34"/>
        <v/>
      </c>
      <c r="CE152" s="1515" t="str">
        <f t="shared" si="35"/>
        <v xml:space="preserve">* El número de Atenciones de Personas Trans NO DEBE ser mayor que Total. </v>
      </c>
      <c r="DB152" s="3222">
        <f t="shared" si="28"/>
        <v>0</v>
      </c>
      <c r="DC152" s="3222">
        <f t="shared" si="29"/>
        <v>1</v>
      </c>
      <c r="DD152" s="3222">
        <f t="shared" si="30"/>
        <v>0</v>
      </c>
      <c r="DE152" s="3222">
        <f t="shared" si="31"/>
        <v>1</v>
      </c>
    </row>
    <row r="153" spans="1:109" ht="16.350000000000001" customHeight="1" x14ac:dyDescent="0.3">
      <c r="A153" s="7302" t="s">
        <v>4867</v>
      </c>
      <c r="B153" s="2734" t="s">
        <v>301</v>
      </c>
      <c r="C153" s="2733" t="s">
        <v>5369</v>
      </c>
      <c r="D153" s="2055" t="s">
        <v>5370</v>
      </c>
      <c r="E153" s="2033" t="s">
        <v>5371</v>
      </c>
      <c r="F153" s="2033" t="s">
        <v>5372</v>
      </c>
      <c r="G153" s="2033" t="s">
        <v>5373</v>
      </c>
      <c r="H153" s="2033" t="s">
        <v>5374</v>
      </c>
      <c r="I153" s="2033" t="s">
        <v>5375</v>
      </c>
      <c r="J153" s="2033" t="s">
        <v>5376</v>
      </c>
      <c r="K153" s="2033" t="s">
        <v>5377</v>
      </c>
      <c r="L153" s="2033" t="s">
        <v>5378</v>
      </c>
      <c r="M153" s="2033" t="s">
        <v>5379</v>
      </c>
      <c r="N153" s="2033" t="s">
        <v>5380</v>
      </c>
      <c r="O153" s="2033" t="s">
        <v>5381</v>
      </c>
      <c r="P153" s="2033" t="s">
        <v>5382</v>
      </c>
      <c r="Q153" s="2033" t="s">
        <v>5383</v>
      </c>
      <c r="R153" s="2033" t="s">
        <v>5384</v>
      </c>
      <c r="S153" s="2033" t="s">
        <v>5385</v>
      </c>
      <c r="T153" s="2501" t="s">
        <v>5386</v>
      </c>
      <c r="U153" s="2678" t="s">
        <v>5387</v>
      </c>
      <c r="V153" s="2678" t="s">
        <v>5388</v>
      </c>
      <c r="W153" s="1433" t="str">
        <f t="shared" si="23"/>
        <v xml:space="preserve">* El número de Atenciones de Personas Trans NO DEBE ser mayor que Total. * El número de Atenciones de Personas Trans NO DEBE ser mayor que Total. </v>
      </c>
      <c r="AS153" s="290"/>
      <c r="AT153" s="290"/>
      <c r="AU153" s="290"/>
      <c r="AV153" s="290"/>
      <c r="AW153" s="290"/>
      <c r="AX153" s="290"/>
      <c r="AY153" s="290"/>
      <c r="AZ153" s="290"/>
      <c r="BA153" s="290"/>
      <c r="BB153" s="290"/>
      <c r="BC153" s="290"/>
      <c r="BD153" s="290"/>
      <c r="BE153" s="290"/>
      <c r="BF153" s="290"/>
      <c r="CB153" s="1515" t="str">
        <f t="shared" si="32"/>
        <v/>
      </c>
      <c r="CC153" s="1515" t="str">
        <f t="shared" si="33"/>
        <v xml:space="preserve">* El número de Atenciones de Personas Trans NO DEBE ser mayor que Total. </v>
      </c>
      <c r="CD153" s="1515" t="str">
        <f t="shared" si="34"/>
        <v/>
      </c>
      <c r="CE153" s="1515" t="str">
        <f t="shared" si="35"/>
        <v xml:space="preserve">* El número de Atenciones de Personas Trans NO DEBE ser mayor que Total. </v>
      </c>
      <c r="DB153" s="3222">
        <f t="shared" si="28"/>
        <v>0</v>
      </c>
      <c r="DC153" s="3222">
        <f t="shared" si="29"/>
        <v>1</v>
      </c>
      <c r="DD153" s="3222">
        <f t="shared" si="30"/>
        <v>0</v>
      </c>
      <c r="DE153" s="3222">
        <f t="shared" si="31"/>
        <v>1</v>
      </c>
    </row>
    <row r="154" spans="1:109" ht="16.350000000000001" customHeight="1" x14ac:dyDescent="0.3">
      <c r="A154" s="7307" t="s">
        <v>4868</v>
      </c>
      <c r="B154" s="3432" t="s">
        <v>2582</v>
      </c>
      <c r="C154" s="1138" t="s">
        <v>5369</v>
      </c>
      <c r="D154" s="2387" t="s">
        <v>5370</v>
      </c>
      <c r="E154" s="1924" t="s">
        <v>5371</v>
      </c>
      <c r="F154" s="1924" t="s">
        <v>5372</v>
      </c>
      <c r="G154" s="1924" t="s">
        <v>5373</v>
      </c>
      <c r="H154" s="1924" t="s">
        <v>5374</v>
      </c>
      <c r="I154" s="1924" t="s">
        <v>5375</v>
      </c>
      <c r="J154" s="1924" t="s">
        <v>5376</v>
      </c>
      <c r="K154" s="1924" t="s">
        <v>5377</v>
      </c>
      <c r="L154" s="1924" t="s">
        <v>5378</v>
      </c>
      <c r="M154" s="1924" t="s">
        <v>5379</v>
      </c>
      <c r="N154" s="1924" t="s">
        <v>5380</v>
      </c>
      <c r="O154" s="1924" t="s">
        <v>5381</v>
      </c>
      <c r="P154" s="1924" t="s">
        <v>5382</v>
      </c>
      <c r="Q154" s="1924" t="s">
        <v>5383</v>
      </c>
      <c r="R154" s="1924" t="s">
        <v>5384</v>
      </c>
      <c r="S154" s="1924" t="s">
        <v>5385</v>
      </c>
      <c r="T154" s="1992" t="s">
        <v>5386</v>
      </c>
      <c r="U154" s="2459" t="s">
        <v>5387</v>
      </c>
      <c r="V154" s="2459" t="s">
        <v>5388</v>
      </c>
      <c r="W154" s="1433" t="str">
        <f t="shared" si="23"/>
        <v xml:space="preserve">* El número de Atenciones de Personas Trans NO DEBE ser mayor que Total. * El número de Atenciones de Personas Trans NO DEBE ser mayor que Total. </v>
      </c>
      <c r="AS154" s="290"/>
      <c r="AT154" s="290"/>
      <c r="AU154" s="290"/>
      <c r="AV154" s="290"/>
      <c r="AW154" s="290"/>
      <c r="AX154" s="290"/>
      <c r="AY154" s="290"/>
      <c r="AZ154" s="290"/>
      <c r="BA154" s="290"/>
      <c r="BB154" s="290"/>
      <c r="BC154" s="290"/>
      <c r="BD154" s="290"/>
      <c r="BE154" s="290"/>
      <c r="BF154" s="290"/>
      <c r="CB154" s="1515" t="str">
        <f t="shared" si="32"/>
        <v/>
      </c>
      <c r="CC154" s="1515" t="str">
        <f t="shared" si="33"/>
        <v xml:space="preserve">* El número de Atenciones de Personas Trans NO DEBE ser mayor que Total. </v>
      </c>
      <c r="CD154" s="1515" t="str">
        <f t="shared" si="34"/>
        <v/>
      </c>
      <c r="CE154" s="1515" t="str">
        <f t="shared" si="35"/>
        <v xml:space="preserve">* El número de Atenciones de Personas Trans NO DEBE ser mayor que Total. </v>
      </c>
      <c r="DB154" s="3222">
        <f t="shared" si="28"/>
        <v>0</v>
      </c>
      <c r="DC154" s="3222">
        <f t="shared" si="29"/>
        <v>1</v>
      </c>
      <c r="DD154" s="3222">
        <f t="shared" si="30"/>
        <v>0</v>
      </c>
      <c r="DE154" s="3222">
        <f t="shared" si="31"/>
        <v>1</v>
      </c>
    </row>
    <row r="155" spans="1:109" ht="16.350000000000001" customHeight="1" x14ac:dyDescent="0.3">
      <c r="A155" s="7267"/>
      <c r="B155" s="1516" t="s">
        <v>39</v>
      </c>
      <c r="C155" s="139">
        <f>SUM(C139:C154)</f>
        <v>0</v>
      </c>
      <c r="D155" s="257">
        <f t="shared" ref="D155:U155" si="36">SUM(D139:D154)</f>
        <v>0</v>
      </c>
      <c r="E155" s="1517">
        <f t="shared" si="36"/>
        <v>0</v>
      </c>
      <c r="F155" s="1517">
        <f t="shared" si="36"/>
        <v>0</v>
      </c>
      <c r="G155" s="1517">
        <f t="shared" si="36"/>
        <v>0</v>
      </c>
      <c r="H155" s="1517">
        <f t="shared" si="36"/>
        <v>0</v>
      </c>
      <c r="I155" s="1517">
        <f>SUM(I139:I154)</f>
        <v>0</v>
      </c>
      <c r="J155" s="1517">
        <f t="shared" si="36"/>
        <v>0</v>
      </c>
      <c r="K155" s="1517">
        <f t="shared" si="36"/>
        <v>0</v>
      </c>
      <c r="L155" s="1517">
        <f t="shared" si="36"/>
        <v>0</v>
      </c>
      <c r="M155" s="1517">
        <f t="shared" si="36"/>
        <v>0</v>
      </c>
      <c r="N155" s="1517">
        <f t="shared" si="36"/>
        <v>0</v>
      </c>
      <c r="O155" s="1517">
        <f t="shared" si="36"/>
        <v>0</v>
      </c>
      <c r="P155" s="1517">
        <f t="shared" si="36"/>
        <v>0</v>
      </c>
      <c r="Q155" s="1517">
        <f t="shared" si="36"/>
        <v>0</v>
      </c>
      <c r="R155" s="1517">
        <f t="shared" si="36"/>
        <v>0</v>
      </c>
      <c r="S155" s="1517">
        <f t="shared" si="36"/>
        <v>0</v>
      </c>
      <c r="T155" s="2713">
        <f t="shared" si="36"/>
        <v>0</v>
      </c>
      <c r="U155" s="2682">
        <f t="shared" si="36"/>
        <v>0</v>
      </c>
      <c r="V155" s="2682">
        <f>SUM(V139:V154)</f>
        <v>0</v>
      </c>
      <c r="AS155" s="290"/>
      <c r="AT155" s="290"/>
      <c r="AU155" s="290"/>
      <c r="AV155" s="290"/>
      <c r="AW155" s="290"/>
      <c r="AX155" s="290"/>
      <c r="AY155" s="290"/>
      <c r="AZ155" s="290"/>
      <c r="BA155" s="290"/>
      <c r="BB155" s="290"/>
      <c r="BC155" s="290"/>
      <c r="BD155" s="290"/>
      <c r="BE155" s="290"/>
      <c r="BF155" s="290"/>
    </row>
    <row r="156" spans="1:109" ht="31.35" customHeight="1" x14ac:dyDescent="0.3">
      <c r="B156" s="3393" t="s">
        <v>195</v>
      </c>
      <c r="C156" s="118"/>
      <c r="D156" s="118"/>
      <c r="E156" s="118"/>
      <c r="F156" s="118"/>
      <c r="G156" s="118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  <c r="AA156" s="140"/>
      <c r="AB156" s="140"/>
      <c r="AD156" s="199"/>
      <c r="AS156" s="290"/>
      <c r="AT156" s="290"/>
      <c r="AU156" s="290"/>
      <c r="AV156" s="290"/>
      <c r="AW156" s="290"/>
      <c r="AX156" s="290"/>
      <c r="AY156" s="290"/>
      <c r="AZ156" s="290"/>
      <c r="BA156" s="290"/>
      <c r="BB156" s="290"/>
      <c r="BC156" s="290"/>
      <c r="BD156" s="290"/>
      <c r="BE156" s="290"/>
      <c r="BF156" s="290"/>
    </row>
    <row r="157" spans="1:109" ht="16.350000000000001" customHeight="1" x14ac:dyDescent="0.3">
      <c r="B157" s="9522" t="s">
        <v>0</v>
      </c>
      <c r="C157" s="9523"/>
      <c r="D157" s="9522" t="s">
        <v>39</v>
      </c>
      <c r="E157" s="9526"/>
      <c r="F157" s="9523"/>
      <c r="G157" s="9562" t="s">
        <v>98</v>
      </c>
      <c r="H157" s="9563"/>
      <c r="I157" s="9563"/>
      <c r="J157" s="9563"/>
      <c r="K157" s="9563"/>
      <c r="L157" s="9563"/>
      <c r="M157" s="9563"/>
      <c r="N157" s="9563"/>
      <c r="O157" s="9563"/>
      <c r="P157" s="9563"/>
      <c r="Q157" s="9563"/>
      <c r="R157" s="9563"/>
      <c r="S157" s="9563"/>
      <c r="T157" s="9563"/>
      <c r="U157" s="9563"/>
      <c r="V157" s="9563"/>
      <c r="W157" s="9563"/>
      <c r="X157" s="9563"/>
      <c r="Y157" s="9563"/>
      <c r="Z157" s="9563"/>
      <c r="AA157" s="9563"/>
      <c r="AB157" s="9563"/>
      <c r="AC157" s="9563"/>
      <c r="AD157" s="9563"/>
      <c r="AE157" s="9563"/>
      <c r="AF157" s="9563"/>
      <c r="AG157" s="9563"/>
      <c r="AH157" s="9563"/>
      <c r="AI157" s="9563"/>
      <c r="AJ157" s="9563"/>
      <c r="AK157" s="9563"/>
      <c r="AL157" s="9563"/>
      <c r="AM157" s="9563"/>
      <c r="AN157" s="9564"/>
      <c r="AO157" s="9509" t="s">
        <v>360</v>
      </c>
      <c r="AP157" s="9509" t="s">
        <v>364</v>
      </c>
      <c r="AQ157" s="9517" t="s">
        <v>362</v>
      </c>
      <c r="AR157" s="9511" t="s">
        <v>361</v>
      </c>
      <c r="AS157" s="290"/>
      <c r="AT157" s="290"/>
      <c r="AU157" s="290"/>
      <c r="AV157" s="290"/>
      <c r="AW157" s="290"/>
      <c r="AX157" s="290"/>
      <c r="AY157" s="290"/>
      <c r="AZ157" s="290"/>
      <c r="BA157" s="290"/>
      <c r="BB157" s="290"/>
      <c r="BC157" s="290"/>
      <c r="BD157" s="290"/>
      <c r="BE157" s="290"/>
      <c r="BF157" s="290"/>
    </row>
    <row r="158" spans="1:109" ht="16.350000000000001" customHeight="1" x14ac:dyDescent="0.3">
      <c r="B158" s="8887"/>
      <c r="C158" s="8868"/>
      <c r="D158" s="9524"/>
      <c r="E158" s="9527"/>
      <c r="F158" s="9525"/>
      <c r="G158" s="8570" t="s">
        <v>399</v>
      </c>
      <c r="H158" s="8571"/>
      <c r="I158" s="8570" t="s">
        <v>54</v>
      </c>
      <c r="J158" s="8571"/>
      <c r="K158" s="8570" t="s">
        <v>79</v>
      </c>
      <c r="L158" s="8571"/>
      <c r="M158" s="8570" t="s">
        <v>80</v>
      </c>
      <c r="N158" s="8571"/>
      <c r="O158" s="8570" t="s">
        <v>81</v>
      </c>
      <c r="P158" s="8571"/>
      <c r="Q158" s="8567" t="s">
        <v>82</v>
      </c>
      <c r="R158" s="8569"/>
      <c r="S158" s="8567" t="s">
        <v>83</v>
      </c>
      <c r="T158" s="8569"/>
      <c r="U158" s="8567" t="s">
        <v>400</v>
      </c>
      <c r="V158" s="8569"/>
      <c r="W158" s="8567" t="s">
        <v>124</v>
      </c>
      <c r="X158" s="8569"/>
      <c r="Y158" s="8567" t="s">
        <v>125</v>
      </c>
      <c r="Z158" s="8569"/>
      <c r="AA158" s="8567" t="s">
        <v>126</v>
      </c>
      <c r="AB158" s="8569"/>
      <c r="AC158" s="8567" t="s">
        <v>127</v>
      </c>
      <c r="AD158" s="8569"/>
      <c r="AE158" s="8567" t="s">
        <v>128</v>
      </c>
      <c r="AF158" s="8569"/>
      <c r="AG158" s="8567" t="s">
        <v>129</v>
      </c>
      <c r="AH158" s="8569"/>
      <c r="AI158" s="8567" t="s">
        <v>130</v>
      </c>
      <c r="AJ158" s="8569"/>
      <c r="AK158" s="8567" t="s">
        <v>131</v>
      </c>
      <c r="AL158" s="8569"/>
      <c r="AM158" s="8567" t="s">
        <v>1405</v>
      </c>
      <c r="AN158" s="8568"/>
      <c r="AO158" s="8581"/>
      <c r="AP158" s="8581"/>
      <c r="AQ158" s="9518"/>
      <c r="AR158" s="8622"/>
      <c r="AS158" s="290"/>
      <c r="AT158" s="290"/>
      <c r="AU158" s="290"/>
      <c r="AV158" s="290"/>
      <c r="AW158" s="290"/>
      <c r="AX158" s="290"/>
      <c r="AY158" s="290"/>
      <c r="AZ158" s="290"/>
      <c r="BA158" s="290"/>
      <c r="BB158" s="290"/>
      <c r="BC158" s="290"/>
      <c r="BD158" s="290"/>
      <c r="BE158" s="290"/>
      <c r="BF158" s="290"/>
    </row>
    <row r="159" spans="1:109" ht="16.350000000000001" customHeight="1" x14ac:dyDescent="0.3">
      <c r="B159" s="9524"/>
      <c r="C159" s="9525"/>
      <c r="D159" s="75" t="s">
        <v>42</v>
      </c>
      <c r="E159" s="74" t="s">
        <v>17</v>
      </c>
      <c r="F159" s="2134" t="s">
        <v>18</v>
      </c>
      <c r="G159" s="1899" t="s">
        <v>17</v>
      </c>
      <c r="H159" s="2133" t="s">
        <v>18</v>
      </c>
      <c r="I159" s="1899" t="s">
        <v>17</v>
      </c>
      <c r="J159" s="2133" t="s">
        <v>18</v>
      </c>
      <c r="K159" s="1899" t="s">
        <v>17</v>
      </c>
      <c r="L159" s="2133" t="s">
        <v>18</v>
      </c>
      <c r="M159" s="1899" t="s">
        <v>17</v>
      </c>
      <c r="N159" s="2133" t="s">
        <v>18</v>
      </c>
      <c r="O159" s="1899" t="s">
        <v>17</v>
      </c>
      <c r="P159" s="2133" t="s">
        <v>18</v>
      </c>
      <c r="Q159" s="1899" t="s">
        <v>17</v>
      </c>
      <c r="R159" s="2133" t="s">
        <v>18</v>
      </c>
      <c r="S159" s="1899" t="s">
        <v>17</v>
      </c>
      <c r="T159" s="2133" t="s">
        <v>18</v>
      </c>
      <c r="U159" s="1899" t="s">
        <v>17</v>
      </c>
      <c r="V159" s="2133" t="s">
        <v>18</v>
      </c>
      <c r="W159" s="1899" t="s">
        <v>17</v>
      </c>
      <c r="X159" s="2133" t="s">
        <v>18</v>
      </c>
      <c r="Y159" s="1899" t="s">
        <v>17</v>
      </c>
      <c r="Z159" s="2133" t="s">
        <v>18</v>
      </c>
      <c r="AA159" s="1899" t="s">
        <v>17</v>
      </c>
      <c r="AB159" s="2133" t="s">
        <v>18</v>
      </c>
      <c r="AC159" s="1899" t="s">
        <v>17</v>
      </c>
      <c r="AD159" s="2133" t="s">
        <v>18</v>
      </c>
      <c r="AE159" s="1899" t="s">
        <v>17</v>
      </c>
      <c r="AF159" s="2133" t="s">
        <v>18</v>
      </c>
      <c r="AG159" s="1899" t="s">
        <v>17</v>
      </c>
      <c r="AH159" s="2133" t="s">
        <v>18</v>
      </c>
      <c r="AI159" s="1899" t="s">
        <v>17</v>
      </c>
      <c r="AJ159" s="2133" t="s">
        <v>18</v>
      </c>
      <c r="AK159" s="1899" t="s">
        <v>17</v>
      </c>
      <c r="AL159" s="2133" t="s">
        <v>18</v>
      </c>
      <c r="AM159" s="1899" t="s">
        <v>17</v>
      </c>
      <c r="AN159" s="1900" t="s">
        <v>18</v>
      </c>
      <c r="AO159" s="8895"/>
      <c r="AP159" s="8895"/>
      <c r="AQ159" s="9519"/>
      <c r="AR159" s="9512"/>
      <c r="AS159" s="290"/>
      <c r="AT159" s="290"/>
      <c r="AU159" s="290"/>
      <c r="AV159" s="290"/>
      <c r="AW159" s="290"/>
      <c r="AX159" s="290"/>
      <c r="AY159" s="290"/>
      <c r="AZ159" s="290"/>
      <c r="BA159" s="290"/>
      <c r="BB159" s="290"/>
      <c r="BC159" s="290"/>
      <c r="BD159" s="290"/>
      <c r="BE159" s="290"/>
      <c r="BF159" s="290"/>
    </row>
    <row r="160" spans="1:109" ht="16.350000000000001" customHeight="1" x14ac:dyDescent="0.3">
      <c r="A160" s="7299" t="s">
        <v>4869</v>
      </c>
      <c r="B160" s="9528" t="s">
        <v>2592</v>
      </c>
      <c r="C160" s="9529"/>
      <c r="D160" s="243" t="s">
        <v>5369</v>
      </c>
      <c r="E160" s="282" t="s">
        <v>5370</v>
      </c>
      <c r="F160" s="217" t="s">
        <v>5371</v>
      </c>
      <c r="G160" s="1876" t="s">
        <v>5372</v>
      </c>
      <c r="H160" s="1897" t="s">
        <v>5373</v>
      </c>
      <c r="I160" s="1876" t="s">
        <v>5374</v>
      </c>
      <c r="J160" s="1897" t="s">
        <v>5375</v>
      </c>
      <c r="K160" s="1876" t="s">
        <v>5376</v>
      </c>
      <c r="L160" s="1878" t="s">
        <v>5377</v>
      </c>
      <c r="M160" s="1876" t="s">
        <v>5378</v>
      </c>
      <c r="N160" s="1878" t="s">
        <v>5379</v>
      </c>
      <c r="O160" s="1876" t="s">
        <v>5380</v>
      </c>
      <c r="P160" s="1878" t="s">
        <v>5381</v>
      </c>
      <c r="Q160" s="1876" t="s">
        <v>5382</v>
      </c>
      <c r="R160" s="1878" t="s">
        <v>5383</v>
      </c>
      <c r="S160" s="1876" t="s">
        <v>5384</v>
      </c>
      <c r="T160" s="1878" t="s">
        <v>5385</v>
      </c>
      <c r="U160" s="1876" t="s">
        <v>5386</v>
      </c>
      <c r="V160" s="1878" t="s">
        <v>5387</v>
      </c>
      <c r="W160" s="1876" t="s">
        <v>5388</v>
      </c>
      <c r="X160" s="1878" t="s">
        <v>5389</v>
      </c>
      <c r="Y160" s="1876" t="s">
        <v>5390</v>
      </c>
      <c r="Z160" s="1878" t="s">
        <v>5391</v>
      </c>
      <c r="AA160" s="1876" t="s">
        <v>5392</v>
      </c>
      <c r="AB160" s="1878" t="s">
        <v>5393</v>
      </c>
      <c r="AC160" s="1876" t="s">
        <v>5394</v>
      </c>
      <c r="AD160" s="1878" t="s">
        <v>5395</v>
      </c>
      <c r="AE160" s="1876" t="s">
        <v>5396</v>
      </c>
      <c r="AF160" s="1878" t="s">
        <v>5397</v>
      </c>
      <c r="AG160" s="1876" t="s">
        <v>5398</v>
      </c>
      <c r="AH160" s="1878" t="s">
        <v>5399</v>
      </c>
      <c r="AI160" s="1876" t="s">
        <v>5400</v>
      </c>
      <c r="AJ160" s="1878" t="s">
        <v>5401</v>
      </c>
      <c r="AK160" s="1876" t="s">
        <v>5402</v>
      </c>
      <c r="AL160" s="1878" t="s">
        <v>5403</v>
      </c>
      <c r="AM160" s="1892" t="s">
        <v>5404</v>
      </c>
      <c r="AN160" s="1879" t="s">
        <v>5405</v>
      </c>
      <c r="AO160" s="1897" t="s">
        <v>5406</v>
      </c>
      <c r="AP160" s="1895" t="s">
        <v>5407</v>
      </c>
      <c r="AQ160" s="215" t="s">
        <v>5408</v>
      </c>
      <c r="AR160" s="216" t="s">
        <v>5409</v>
      </c>
      <c r="AS160" s="1433" t="str">
        <f>CB160&amp;CC160&amp;CD160&amp;CE160</f>
        <v xml:space="preserve">* El número de Beneficiarios NO DEBE ser mayor que el Total. * El número de Pueblos Originarios y/o Migrantes NO DEBE ser mayor que el Total. * El número de Controles NO DEBE ser mayor que el Total. </v>
      </c>
      <c r="AT160" s="806"/>
      <c r="AU160" s="806"/>
      <c r="AV160" s="806"/>
      <c r="AW160" s="806"/>
      <c r="AX160" s="806"/>
      <c r="AY160" s="806"/>
      <c r="AZ160" s="806"/>
      <c r="BA160" s="806"/>
      <c r="BB160" s="806"/>
      <c r="BC160" s="806"/>
      <c r="BD160" s="806"/>
      <c r="BE160" s="290"/>
      <c r="BF160" s="290"/>
      <c r="CB160" s="1435" t="str">
        <f t="shared" ref="CB160:CB168" si="37">IF(DB160=1,"* El número de Beneficiarios NO DEBE ser mayor que el Total. ","")</f>
        <v xml:space="preserve">* El número de Beneficiarios NO DEBE ser mayor que el Total. </v>
      </c>
      <c r="CC160" s="1435" t="str">
        <f t="shared" ref="CC160:CC168" si="38">IF(DC160=1,"* No olvide digitar la columna Beneficiarios y/o Pueblos Originarios y/o Migrantes (Digite CEROS si no tiene.). ","")</f>
        <v/>
      </c>
      <c r="CD160" s="1435" t="str">
        <f t="shared" ref="CD160:CD168" si="39">IF(DD160=1,"* El número de Pueblos Originarios y/o Migrantes NO DEBE ser mayor que el Total. ","")</f>
        <v xml:space="preserve">* El número de Pueblos Originarios y/o Migrantes NO DEBE ser mayor que el Total. </v>
      </c>
      <c r="CE160" s="1435" t="str">
        <f t="shared" ref="CE160:CE168" si="40">IF(DE160=1,"* El número de Controles NO DEBE ser mayor que el Total. ","")</f>
        <v xml:space="preserve">* El número de Controles NO DEBE ser mayor que el Total. </v>
      </c>
      <c r="CF160" s="1435"/>
      <c r="CG160" s="1435"/>
      <c r="DB160" s="3222">
        <f>IF(D160&lt;AO160,1,0)</f>
        <v>1</v>
      </c>
      <c r="DC160" s="3222">
        <f>IF(AND(D160&lt;&gt;0,OR(AO160="",AQ160="",AR160="")),1,0)</f>
        <v>0</v>
      </c>
      <c r="DD160" s="3222">
        <f>IF(OR(D160&lt;AQ160,D160&lt;AR160),1,0)</f>
        <v>1</v>
      </c>
      <c r="DE160" s="3222">
        <f>IF(D160&lt;AP160,1,0)</f>
        <v>1</v>
      </c>
    </row>
    <row r="161" spans="1:112" ht="16.350000000000001" customHeight="1" x14ac:dyDescent="0.3">
      <c r="A161" s="7299" t="s">
        <v>4870</v>
      </c>
      <c r="B161" s="9507" t="s">
        <v>2600</v>
      </c>
      <c r="C161" s="1631" t="s">
        <v>100</v>
      </c>
      <c r="D161" s="250" t="s">
        <v>5369</v>
      </c>
      <c r="E161" s="283" t="s">
        <v>5370</v>
      </c>
      <c r="F161" s="1634" t="s">
        <v>5371</v>
      </c>
      <c r="G161" s="1901" t="s">
        <v>5372</v>
      </c>
      <c r="H161" s="1902" t="s">
        <v>5373</v>
      </c>
      <c r="I161" s="1901" t="s">
        <v>5374</v>
      </c>
      <c r="J161" s="1902" t="s">
        <v>5375</v>
      </c>
      <c r="K161" s="1901" t="s">
        <v>5376</v>
      </c>
      <c r="L161" s="1866" t="s">
        <v>5377</v>
      </c>
      <c r="M161" s="1901" t="s">
        <v>5378</v>
      </c>
      <c r="N161" s="1866" t="s">
        <v>5379</v>
      </c>
      <c r="O161" s="1901" t="s">
        <v>5380</v>
      </c>
      <c r="P161" s="1866" t="s">
        <v>5381</v>
      </c>
      <c r="Q161" s="1901" t="s">
        <v>5382</v>
      </c>
      <c r="R161" s="1866" t="s">
        <v>5383</v>
      </c>
      <c r="S161" s="1901" t="s">
        <v>5384</v>
      </c>
      <c r="T161" s="1866" t="s">
        <v>5385</v>
      </c>
      <c r="U161" s="1901" t="s">
        <v>5386</v>
      </c>
      <c r="V161" s="1866" t="s">
        <v>5387</v>
      </c>
      <c r="W161" s="1901" t="s">
        <v>5388</v>
      </c>
      <c r="X161" s="1866" t="s">
        <v>5389</v>
      </c>
      <c r="Y161" s="1901" t="s">
        <v>5390</v>
      </c>
      <c r="Z161" s="1866" t="s">
        <v>5391</v>
      </c>
      <c r="AA161" s="1901" t="s">
        <v>5392</v>
      </c>
      <c r="AB161" s="1866" t="s">
        <v>5393</v>
      </c>
      <c r="AC161" s="1901" t="s">
        <v>5394</v>
      </c>
      <c r="AD161" s="1866" t="s">
        <v>5395</v>
      </c>
      <c r="AE161" s="1901" t="s">
        <v>5396</v>
      </c>
      <c r="AF161" s="1866" t="s">
        <v>5397</v>
      </c>
      <c r="AG161" s="1901" t="s">
        <v>5398</v>
      </c>
      <c r="AH161" s="1866" t="s">
        <v>5399</v>
      </c>
      <c r="AI161" s="1901" t="s">
        <v>5400</v>
      </c>
      <c r="AJ161" s="1866" t="s">
        <v>5401</v>
      </c>
      <c r="AK161" s="1901" t="s">
        <v>5402</v>
      </c>
      <c r="AL161" s="1866" t="s">
        <v>5403</v>
      </c>
      <c r="AM161" s="1901" t="s">
        <v>5404</v>
      </c>
      <c r="AN161" s="1868" t="s">
        <v>5405</v>
      </c>
      <c r="AO161" s="1861" t="s">
        <v>5406</v>
      </c>
      <c r="AP161" s="1865" t="s">
        <v>5407</v>
      </c>
      <c r="AQ161" s="134" t="s">
        <v>5408</v>
      </c>
      <c r="AR161" s="126" t="s">
        <v>5409</v>
      </c>
      <c r="AS161" s="1433" t="str">
        <f t="shared" ref="AS161:AS170" si="41">CB161&amp;CC161&amp;CD161&amp;CE161</f>
        <v xml:space="preserve">* El número de Beneficiarios NO DEBE ser mayor que el Total. * El número de Pueblos Originarios y/o Migrantes NO DEBE ser mayor que el Total. * El número de Controles NO DEBE ser mayor que el Total. </v>
      </c>
      <c r="AT161" s="806"/>
      <c r="AU161" s="806"/>
      <c r="AV161" s="806"/>
      <c r="AW161" s="806"/>
      <c r="AX161" s="806"/>
      <c r="AY161" s="806"/>
      <c r="AZ161" s="806"/>
      <c r="BA161" s="806"/>
      <c r="BB161" s="806"/>
      <c r="BC161" s="806"/>
      <c r="BD161" s="806"/>
      <c r="BE161" s="290"/>
      <c r="BF161" s="290"/>
      <c r="CB161" s="1435" t="str">
        <f t="shared" si="37"/>
        <v xml:space="preserve">* El número de Beneficiarios NO DEBE ser mayor que el Total. </v>
      </c>
      <c r="CC161" s="1435" t="str">
        <f t="shared" si="38"/>
        <v/>
      </c>
      <c r="CD161" s="1435" t="str">
        <f t="shared" si="39"/>
        <v xml:space="preserve">* El número de Pueblos Originarios y/o Migrantes NO DEBE ser mayor que el Total. </v>
      </c>
      <c r="CE161" s="1435" t="str">
        <f t="shared" si="40"/>
        <v xml:space="preserve">* El número de Controles NO DEBE ser mayor que el Total. </v>
      </c>
      <c r="CF161" s="1435"/>
      <c r="CG161" s="1435"/>
      <c r="DB161" s="3222">
        <f>IF(F161&lt;AO161,1,0)</f>
        <v>1</v>
      </c>
      <c r="DC161" s="3222">
        <f>IF(AND(F161&lt;&gt;0,OR(AO161="",AQ161="",AR161="")),1,0)</f>
        <v>0</v>
      </c>
      <c r="DD161" s="3222">
        <f>IF(OR(F161&lt;AQ161,F161&lt;AR161),1,0)</f>
        <v>1</v>
      </c>
      <c r="DE161" s="3222">
        <f>IF(F161&lt;AP161,1,0)</f>
        <v>1</v>
      </c>
    </row>
    <row r="162" spans="1:112" ht="16.350000000000001" customHeight="1" x14ac:dyDescent="0.3">
      <c r="A162" s="7299" t="s">
        <v>4871</v>
      </c>
      <c r="B162" s="8705"/>
      <c r="C162" s="1802" t="s">
        <v>3474</v>
      </c>
      <c r="D162" s="250" t="s">
        <v>5369</v>
      </c>
      <c r="E162" s="1630" t="s">
        <v>5370</v>
      </c>
      <c r="F162" s="1635" t="s">
        <v>5371</v>
      </c>
      <c r="G162" s="1903" t="s">
        <v>5372</v>
      </c>
      <c r="H162" s="1803" t="s">
        <v>5373</v>
      </c>
      <c r="I162" s="1903" t="s">
        <v>5374</v>
      </c>
      <c r="J162" s="1803" t="s">
        <v>5375</v>
      </c>
      <c r="K162" s="1903" t="s">
        <v>5376</v>
      </c>
      <c r="L162" s="1668" t="s">
        <v>5377</v>
      </c>
      <c r="M162" s="1903" t="s">
        <v>5378</v>
      </c>
      <c r="N162" s="1668" t="s">
        <v>5379</v>
      </c>
      <c r="O162" s="1903" t="s">
        <v>5380</v>
      </c>
      <c r="P162" s="1668" t="s">
        <v>5381</v>
      </c>
      <c r="Q162" s="1903" t="s">
        <v>5382</v>
      </c>
      <c r="R162" s="1668" t="s">
        <v>5383</v>
      </c>
      <c r="S162" s="1903" t="s">
        <v>5384</v>
      </c>
      <c r="T162" s="1668" t="s">
        <v>5385</v>
      </c>
      <c r="U162" s="1903" t="s">
        <v>5386</v>
      </c>
      <c r="V162" s="1668" t="s">
        <v>5387</v>
      </c>
      <c r="W162" s="1903" t="s">
        <v>5388</v>
      </c>
      <c r="X162" s="1668" t="s">
        <v>5389</v>
      </c>
      <c r="Y162" s="1903" t="s">
        <v>5390</v>
      </c>
      <c r="Z162" s="1668" t="s">
        <v>5391</v>
      </c>
      <c r="AA162" s="1903" t="s">
        <v>5392</v>
      </c>
      <c r="AB162" s="1668" t="s">
        <v>5393</v>
      </c>
      <c r="AC162" s="1903" t="s">
        <v>5394</v>
      </c>
      <c r="AD162" s="1668" t="s">
        <v>5395</v>
      </c>
      <c r="AE162" s="1903" t="s">
        <v>5396</v>
      </c>
      <c r="AF162" s="1668" t="s">
        <v>5397</v>
      </c>
      <c r="AG162" s="1903" t="s">
        <v>5398</v>
      </c>
      <c r="AH162" s="1668" t="s">
        <v>5399</v>
      </c>
      <c r="AI162" s="1903" t="s">
        <v>5400</v>
      </c>
      <c r="AJ162" s="1668" t="s">
        <v>5401</v>
      </c>
      <c r="AK162" s="1903" t="s">
        <v>5402</v>
      </c>
      <c r="AL162" s="1668" t="s">
        <v>5403</v>
      </c>
      <c r="AM162" s="1904" t="s">
        <v>5404</v>
      </c>
      <c r="AN162" s="1701" t="s">
        <v>5405</v>
      </c>
      <c r="AO162" s="918" t="s">
        <v>5406</v>
      </c>
      <c r="AP162" s="1882" t="s">
        <v>5407</v>
      </c>
      <c r="AQ162" s="1585" t="s">
        <v>5408</v>
      </c>
      <c r="AR162" s="143" t="s">
        <v>5409</v>
      </c>
      <c r="AS162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62" s="806"/>
      <c r="AU162" s="806"/>
      <c r="AV162" s="806"/>
      <c r="AW162" s="806"/>
      <c r="AX162" s="806"/>
      <c r="AY162" s="806"/>
      <c r="AZ162" s="806"/>
      <c r="BA162" s="806"/>
      <c r="BB162" s="806"/>
      <c r="BC162" s="806"/>
      <c r="BD162" s="806"/>
      <c r="BE162" s="290"/>
      <c r="BF162" s="290"/>
      <c r="CB162" s="1435" t="str">
        <f t="shared" si="37"/>
        <v xml:space="preserve">* El número de Beneficiarios NO DEBE ser mayor que el Total. </v>
      </c>
      <c r="CC162" s="1435" t="str">
        <f t="shared" si="38"/>
        <v/>
      </c>
      <c r="CD162" s="1435" t="str">
        <f t="shared" si="39"/>
        <v xml:space="preserve">* El número de Pueblos Originarios y/o Migrantes NO DEBE ser mayor que el Total. </v>
      </c>
      <c r="CE162" s="1435" t="str">
        <f t="shared" si="40"/>
        <v xml:space="preserve">* El número de Controles NO DEBE ser mayor que el Total. </v>
      </c>
      <c r="CF162" s="1435"/>
      <c r="CG162" s="1435"/>
      <c r="DB162" s="3222">
        <f>IF(F162&lt;AO162,1,0)</f>
        <v>1</v>
      </c>
      <c r="DC162" s="3222">
        <f>IF(AND(F162&lt;&gt;0,OR(AO162="",AQ162="",AR162="")),1,0)</f>
        <v>0</v>
      </c>
      <c r="DD162" s="3222">
        <f>IF(OR(F162&lt;AQ162,F162&lt;AR162),1,0)</f>
        <v>1</v>
      </c>
      <c r="DE162" s="3222">
        <f>IF(F162&lt;AP162,1,0)</f>
        <v>1</v>
      </c>
    </row>
    <row r="163" spans="1:112" ht="16.350000000000001" customHeight="1" x14ac:dyDescent="0.3">
      <c r="A163" s="7299" t="s">
        <v>4872</v>
      </c>
      <c r="B163" s="8555"/>
      <c r="C163" s="1632" t="s">
        <v>3475</v>
      </c>
      <c r="D163" s="251" t="s">
        <v>5369</v>
      </c>
      <c r="E163" s="276" t="s">
        <v>5370</v>
      </c>
      <c r="F163" s="158" t="s">
        <v>5371</v>
      </c>
      <c r="G163" s="1842" t="s">
        <v>5372</v>
      </c>
      <c r="H163" s="1844" t="s">
        <v>5373</v>
      </c>
      <c r="I163" s="1842" t="s">
        <v>5374</v>
      </c>
      <c r="J163" s="1844" t="s">
        <v>5375</v>
      </c>
      <c r="K163" s="1842" t="s">
        <v>5376</v>
      </c>
      <c r="L163" s="1844" t="s">
        <v>5377</v>
      </c>
      <c r="M163" s="1842" t="s">
        <v>5378</v>
      </c>
      <c r="N163" s="1844" t="s">
        <v>5379</v>
      </c>
      <c r="O163" s="1842" t="s">
        <v>5380</v>
      </c>
      <c r="P163" s="1844" t="s">
        <v>5381</v>
      </c>
      <c r="Q163" s="1842" t="s">
        <v>5382</v>
      </c>
      <c r="R163" s="1844" t="s">
        <v>5383</v>
      </c>
      <c r="S163" s="1842" t="s">
        <v>5384</v>
      </c>
      <c r="T163" s="1844" t="s">
        <v>5385</v>
      </c>
      <c r="U163" s="1842" t="s">
        <v>5386</v>
      </c>
      <c r="V163" s="1844" t="s">
        <v>5387</v>
      </c>
      <c r="W163" s="1842" t="s">
        <v>5388</v>
      </c>
      <c r="X163" s="1844" t="s">
        <v>5389</v>
      </c>
      <c r="Y163" s="1842" t="s">
        <v>5390</v>
      </c>
      <c r="Z163" s="1844" t="s">
        <v>5391</v>
      </c>
      <c r="AA163" s="1842" t="s">
        <v>5392</v>
      </c>
      <c r="AB163" s="1844" t="s">
        <v>5393</v>
      </c>
      <c r="AC163" s="1842" t="s">
        <v>5394</v>
      </c>
      <c r="AD163" s="1844" t="s">
        <v>5395</v>
      </c>
      <c r="AE163" s="1842" t="s">
        <v>5396</v>
      </c>
      <c r="AF163" s="1844" t="s">
        <v>5397</v>
      </c>
      <c r="AG163" s="1842" t="s">
        <v>5398</v>
      </c>
      <c r="AH163" s="1844" t="s">
        <v>5399</v>
      </c>
      <c r="AI163" s="1842" t="s">
        <v>5400</v>
      </c>
      <c r="AJ163" s="1844" t="s">
        <v>5401</v>
      </c>
      <c r="AK163" s="1842" t="s">
        <v>5402</v>
      </c>
      <c r="AL163" s="1844" t="s">
        <v>5403</v>
      </c>
      <c r="AM163" s="1870" t="s">
        <v>5404</v>
      </c>
      <c r="AN163" s="1834" t="s">
        <v>5405</v>
      </c>
      <c r="AO163" s="1843" t="s">
        <v>5406</v>
      </c>
      <c r="AP163" s="1836" t="s">
        <v>5407</v>
      </c>
      <c r="AQ163" s="136" t="s">
        <v>5408</v>
      </c>
      <c r="AR163" s="144" t="s">
        <v>5409</v>
      </c>
      <c r="AS163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63" s="806"/>
      <c r="AU163" s="806"/>
      <c r="AV163" s="806"/>
      <c r="AW163" s="806"/>
      <c r="AX163" s="806"/>
      <c r="AY163" s="806"/>
      <c r="AZ163" s="806"/>
      <c r="BA163" s="806"/>
      <c r="BB163" s="806"/>
      <c r="BC163" s="806"/>
      <c r="BD163" s="806"/>
      <c r="BE163" s="290"/>
      <c r="BF163" s="290"/>
      <c r="CB163" s="1435" t="str">
        <f t="shared" si="37"/>
        <v xml:space="preserve">* El número de Beneficiarios NO DEBE ser mayor que el Total. </v>
      </c>
      <c r="CC163" s="1435" t="str">
        <f t="shared" si="38"/>
        <v/>
      </c>
      <c r="CD163" s="1435" t="str">
        <f t="shared" si="39"/>
        <v xml:space="preserve">* El número de Pueblos Originarios y/o Migrantes NO DEBE ser mayor que el Total. </v>
      </c>
      <c r="CE163" s="1435" t="str">
        <f t="shared" si="40"/>
        <v xml:space="preserve">* El número de Controles NO DEBE ser mayor que el Total. </v>
      </c>
      <c r="CF163" s="1435"/>
      <c r="CG163" s="1435"/>
      <c r="DB163" s="3222">
        <f t="shared" ref="DB163:DB168" si="42">IF(D163&lt;AO163,1,0)</f>
        <v>1</v>
      </c>
      <c r="DC163" s="3222">
        <f t="shared" ref="DC163:DC168" si="43">IF(AND(D163&lt;&gt;0,OR(AO163="",AQ163="",AR163="")),1,0)</f>
        <v>0</v>
      </c>
      <c r="DD163" s="3222">
        <f t="shared" ref="DD163:DD168" si="44">IF(OR(D163&lt;AQ163,D163&lt;AR163),1,0)</f>
        <v>1</v>
      </c>
      <c r="DE163" s="3222">
        <f t="shared" ref="DE163:DE168" si="45">IF(D163&lt;AP163,1,0)</f>
        <v>1</v>
      </c>
    </row>
    <row r="164" spans="1:112" ht="16.350000000000001" customHeight="1" x14ac:dyDescent="0.3">
      <c r="A164" s="7299" t="s">
        <v>4873</v>
      </c>
      <c r="B164" s="9508"/>
      <c r="C164" s="1633" t="s">
        <v>3476</v>
      </c>
      <c r="D164" s="266" t="s">
        <v>5369</v>
      </c>
      <c r="E164" s="267" t="s">
        <v>5370</v>
      </c>
      <c r="F164" s="220" t="s">
        <v>5371</v>
      </c>
      <c r="G164" s="1679" t="s">
        <v>5372</v>
      </c>
      <c r="H164" s="1698" t="s">
        <v>5373</v>
      </c>
      <c r="I164" s="1679" t="s">
        <v>5374</v>
      </c>
      <c r="J164" s="1698" t="s">
        <v>5375</v>
      </c>
      <c r="K164" s="1679" t="s">
        <v>5376</v>
      </c>
      <c r="L164" s="1698" t="s">
        <v>5377</v>
      </c>
      <c r="M164" s="1679" t="s">
        <v>5378</v>
      </c>
      <c r="N164" s="1698" t="s">
        <v>5379</v>
      </c>
      <c r="O164" s="1621" t="s">
        <v>5380</v>
      </c>
      <c r="P164" s="1845" t="s">
        <v>5381</v>
      </c>
      <c r="Q164" s="1621" t="s">
        <v>5382</v>
      </c>
      <c r="R164" s="1845" t="s">
        <v>5383</v>
      </c>
      <c r="S164" s="1621" t="s">
        <v>5384</v>
      </c>
      <c r="T164" s="1845" t="s">
        <v>5385</v>
      </c>
      <c r="U164" s="1621" t="s">
        <v>5386</v>
      </c>
      <c r="V164" s="1845" t="s">
        <v>5387</v>
      </c>
      <c r="W164" s="1621" t="s">
        <v>5388</v>
      </c>
      <c r="X164" s="1845" t="s">
        <v>5389</v>
      </c>
      <c r="Y164" s="1621" t="s">
        <v>5390</v>
      </c>
      <c r="Z164" s="1845" t="s">
        <v>5391</v>
      </c>
      <c r="AA164" s="1621" t="s">
        <v>5392</v>
      </c>
      <c r="AB164" s="1636" t="s">
        <v>5393</v>
      </c>
      <c r="AC164" s="1621" t="s">
        <v>5394</v>
      </c>
      <c r="AD164" s="1845" t="s">
        <v>5395</v>
      </c>
      <c r="AE164" s="1679" t="s">
        <v>5396</v>
      </c>
      <c r="AF164" s="1698" t="s">
        <v>5397</v>
      </c>
      <c r="AG164" s="1679" t="s">
        <v>5398</v>
      </c>
      <c r="AH164" s="1698" t="s">
        <v>5399</v>
      </c>
      <c r="AI164" s="1679" t="s">
        <v>5400</v>
      </c>
      <c r="AJ164" s="1698" t="s">
        <v>5401</v>
      </c>
      <c r="AK164" s="1679" t="s">
        <v>5402</v>
      </c>
      <c r="AL164" s="1698" t="s">
        <v>5403</v>
      </c>
      <c r="AM164" s="1679" t="s">
        <v>5404</v>
      </c>
      <c r="AN164" s="1905" t="s">
        <v>5405</v>
      </c>
      <c r="AO164" s="1636" t="s">
        <v>5406</v>
      </c>
      <c r="AP164" s="1654" t="s">
        <v>5407</v>
      </c>
      <c r="AQ164" s="102" t="s">
        <v>5408</v>
      </c>
      <c r="AR164" s="127" t="s">
        <v>5409</v>
      </c>
      <c r="AS164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64" s="806"/>
      <c r="AU164" s="806"/>
      <c r="AV164" s="806"/>
      <c r="AW164" s="806"/>
      <c r="AX164" s="806"/>
      <c r="AY164" s="806"/>
      <c r="AZ164" s="806"/>
      <c r="BA164" s="806"/>
      <c r="BB164" s="806"/>
      <c r="BC164" s="806"/>
      <c r="BD164" s="806"/>
      <c r="BE164" s="290"/>
      <c r="BF164" s="290"/>
      <c r="CB164" s="1435" t="str">
        <f t="shared" si="37"/>
        <v xml:space="preserve">* El número de Beneficiarios NO DEBE ser mayor que el Total. </v>
      </c>
      <c r="CC164" s="1435" t="str">
        <f t="shared" si="38"/>
        <v/>
      </c>
      <c r="CD164" s="1435" t="str">
        <f t="shared" si="39"/>
        <v xml:space="preserve">* El número de Pueblos Originarios y/o Migrantes NO DEBE ser mayor que el Total. </v>
      </c>
      <c r="CE164" s="1435" t="str">
        <f t="shared" si="40"/>
        <v xml:space="preserve">* El número de Controles NO DEBE ser mayor que el Total. </v>
      </c>
      <c r="CF164" s="1435"/>
      <c r="CG164" s="1435"/>
      <c r="DB164" s="3222">
        <f t="shared" si="42"/>
        <v>1</v>
      </c>
      <c r="DC164" s="3222">
        <f t="shared" si="43"/>
        <v>0</v>
      </c>
      <c r="DD164" s="3222">
        <f t="shared" si="44"/>
        <v>1</v>
      </c>
      <c r="DE164" s="3222">
        <f t="shared" si="45"/>
        <v>1</v>
      </c>
    </row>
    <row r="165" spans="1:112" ht="16.350000000000001" customHeight="1" x14ac:dyDescent="0.3">
      <c r="A165" s="7299" t="s">
        <v>4874</v>
      </c>
      <c r="B165" s="9535" t="s">
        <v>26</v>
      </c>
      <c r="C165" s="9536"/>
      <c r="D165" s="248" t="s">
        <v>5369</v>
      </c>
      <c r="E165" s="271" t="s">
        <v>5370</v>
      </c>
      <c r="F165" s="151" t="s">
        <v>5371</v>
      </c>
      <c r="G165" s="1885" t="s">
        <v>5372</v>
      </c>
      <c r="H165" s="918" t="s">
        <v>5373</v>
      </c>
      <c r="I165" s="1885" t="s">
        <v>5374</v>
      </c>
      <c r="J165" s="918" t="s">
        <v>5375</v>
      </c>
      <c r="K165" s="1885" t="s">
        <v>5376</v>
      </c>
      <c r="L165" s="1668" t="s">
        <v>5377</v>
      </c>
      <c r="M165" s="1885" t="s">
        <v>5378</v>
      </c>
      <c r="N165" s="1668" t="s">
        <v>5379</v>
      </c>
      <c r="O165" s="1885" t="s">
        <v>5380</v>
      </c>
      <c r="P165" s="1668" t="s">
        <v>5381</v>
      </c>
      <c r="Q165" s="1885" t="s">
        <v>5382</v>
      </c>
      <c r="R165" s="1668" t="s">
        <v>5383</v>
      </c>
      <c r="S165" s="1885" t="s">
        <v>5384</v>
      </c>
      <c r="T165" s="1668" t="s">
        <v>5385</v>
      </c>
      <c r="U165" s="1885" t="s">
        <v>5386</v>
      </c>
      <c r="V165" s="1668" t="s">
        <v>5387</v>
      </c>
      <c r="W165" s="1885" t="s">
        <v>5388</v>
      </c>
      <c r="X165" s="1668" t="s">
        <v>5389</v>
      </c>
      <c r="Y165" s="1885" t="s">
        <v>5390</v>
      </c>
      <c r="Z165" s="1668" t="s">
        <v>5391</v>
      </c>
      <c r="AA165" s="1885" t="s">
        <v>5392</v>
      </c>
      <c r="AB165" s="1668" t="s">
        <v>5393</v>
      </c>
      <c r="AC165" s="1885" t="s">
        <v>5394</v>
      </c>
      <c r="AD165" s="1668" t="s">
        <v>5395</v>
      </c>
      <c r="AE165" s="1885" t="s">
        <v>5396</v>
      </c>
      <c r="AF165" s="1668" t="s">
        <v>5397</v>
      </c>
      <c r="AG165" s="1885" t="s">
        <v>5398</v>
      </c>
      <c r="AH165" s="1668" t="s">
        <v>5399</v>
      </c>
      <c r="AI165" s="1885" t="s">
        <v>5400</v>
      </c>
      <c r="AJ165" s="918" t="s">
        <v>5401</v>
      </c>
      <c r="AK165" s="1885" t="s">
        <v>5402</v>
      </c>
      <c r="AL165" s="918" t="s">
        <v>5403</v>
      </c>
      <c r="AM165" s="1886" t="s">
        <v>5404</v>
      </c>
      <c r="AN165" s="1701" t="s">
        <v>5405</v>
      </c>
      <c r="AO165" s="918" t="s">
        <v>5406</v>
      </c>
      <c r="AP165" s="1882" t="s">
        <v>5407</v>
      </c>
      <c r="AQ165" s="100" t="s">
        <v>5408</v>
      </c>
      <c r="AR165" s="143" t="s">
        <v>5409</v>
      </c>
      <c r="AS165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65" s="806"/>
      <c r="AU165" s="806"/>
      <c r="AV165" s="806"/>
      <c r="AW165" s="806"/>
      <c r="AX165" s="806"/>
      <c r="AY165" s="806"/>
      <c r="AZ165" s="806"/>
      <c r="BA165" s="806"/>
      <c r="BB165" s="806"/>
      <c r="BC165" s="806"/>
      <c r="BD165" s="806"/>
      <c r="BE165" s="290"/>
      <c r="BF165" s="290"/>
      <c r="CB165" s="1435" t="str">
        <f t="shared" si="37"/>
        <v xml:space="preserve">* El número de Beneficiarios NO DEBE ser mayor que el Total. </v>
      </c>
      <c r="CC165" s="1435" t="str">
        <f t="shared" si="38"/>
        <v/>
      </c>
      <c r="CD165" s="1435" t="str">
        <f t="shared" si="39"/>
        <v xml:space="preserve">* El número de Pueblos Originarios y/o Migrantes NO DEBE ser mayor que el Total. </v>
      </c>
      <c r="CE165" s="1435" t="str">
        <f t="shared" si="40"/>
        <v xml:space="preserve">* El número de Controles NO DEBE ser mayor que el Total. </v>
      </c>
      <c r="CF165" s="1435"/>
      <c r="CG165" s="1435"/>
      <c r="DB165" s="3222">
        <f t="shared" si="42"/>
        <v>1</v>
      </c>
      <c r="DC165" s="3222">
        <f t="shared" si="43"/>
        <v>0</v>
      </c>
      <c r="DD165" s="3222">
        <f t="shared" si="44"/>
        <v>1</v>
      </c>
      <c r="DE165" s="3222">
        <f t="shared" si="45"/>
        <v>1</v>
      </c>
    </row>
    <row r="166" spans="1:112" ht="16.350000000000001" customHeight="1" x14ac:dyDescent="0.3">
      <c r="A166" s="7299" t="s">
        <v>4875</v>
      </c>
      <c r="B166" s="8838" t="s">
        <v>2602</v>
      </c>
      <c r="C166" s="9530"/>
      <c r="D166" s="275" t="s">
        <v>5369</v>
      </c>
      <c r="E166" s="276" t="s">
        <v>5370</v>
      </c>
      <c r="F166" s="158" t="s">
        <v>5371</v>
      </c>
      <c r="G166" s="1842" t="s">
        <v>5372</v>
      </c>
      <c r="H166" s="1843" t="s">
        <v>5373</v>
      </c>
      <c r="I166" s="1842" t="s">
        <v>5374</v>
      </c>
      <c r="J166" s="1843" t="s">
        <v>5375</v>
      </c>
      <c r="K166" s="1842" t="s">
        <v>5376</v>
      </c>
      <c r="L166" s="1844" t="s">
        <v>5377</v>
      </c>
      <c r="M166" s="1842" t="s">
        <v>5378</v>
      </c>
      <c r="N166" s="1844" t="s">
        <v>5379</v>
      </c>
      <c r="O166" s="1842" t="s">
        <v>5380</v>
      </c>
      <c r="P166" s="1844" t="s">
        <v>5381</v>
      </c>
      <c r="Q166" s="1842" t="s">
        <v>5382</v>
      </c>
      <c r="R166" s="1844" t="s">
        <v>5383</v>
      </c>
      <c r="S166" s="1842" t="s">
        <v>5384</v>
      </c>
      <c r="T166" s="1844" t="s">
        <v>5385</v>
      </c>
      <c r="U166" s="1842" t="s">
        <v>5386</v>
      </c>
      <c r="V166" s="1844" t="s">
        <v>5387</v>
      </c>
      <c r="W166" s="1842" t="s">
        <v>5388</v>
      </c>
      <c r="X166" s="1844" t="s">
        <v>5389</v>
      </c>
      <c r="Y166" s="1842" t="s">
        <v>5390</v>
      </c>
      <c r="Z166" s="1844" t="s">
        <v>5391</v>
      </c>
      <c r="AA166" s="1842" t="s">
        <v>5392</v>
      </c>
      <c r="AB166" s="1844" t="s">
        <v>5393</v>
      </c>
      <c r="AC166" s="1842" t="s">
        <v>5394</v>
      </c>
      <c r="AD166" s="1843" t="s">
        <v>5395</v>
      </c>
      <c r="AE166" s="1842" t="s">
        <v>5396</v>
      </c>
      <c r="AF166" s="1843" t="s">
        <v>5397</v>
      </c>
      <c r="AG166" s="1842" t="s">
        <v>5398</v>
      </c>
      <c r="AH166" s="1843" t="s">
        <v>5399</v>
      </c>
      <c r="AI166" s="1842" t="s">
        <v>5400</v>
      </c>
      <c r="AJ166" s="1843" t="s">
        <v>5401</v>
      </c>
      <c r="AK166" s="1842" t="s">
        <v>5402</v>
      </c>
      <c r="AL166" s="1843" t="s">
        <v>5403</v>
      </c>
      <c r="AM166" s="1870" t="s">
        <v>5404</v>
      </c>
      <c r="AN166" s="1834" t="s">
        <v>5405</v>
      </c>
      <c r="AO166" s="1843" t="s">
        <v>5406</v>
      </c>
      <c r="AP166" s="1836" t="s">
        <v>5407</v>
      </c>
      <c r="AQ166" s="136" t="s">
        <v>5408</v>
      </c>
      <c r="AR166" s="144" t="s">
        <v>5409</v>
      </c>
      <c r="AS166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66" s="806"/>
      <c r="AU166" s="806"/>
      <c r="AV166" s="806"/>
      <c r="AW166" s="806"/>
      <c r="AX166" s="806"/>
      <c r="AY166" s="806"/>
      <c r="AZ166" s="806"/>
      <c r="BA166" s="806"/>
      <c r="BB166" s="806"/>
      <c r="BC166" s="806"/>
      <c r="BD166" s="806"/>
      <c r="BE166" s="290"/>
      <c r="BF166" s="290"/>
      <c r="CB166" s="1435" t="str">
        <f t="shared" si="37"/>
        <v xml:space="preserve">* El número de Beneficiarios NO DEBE ser mayor que el Total. </v>
      </c>
      <c r="CC166" s="1435" t="str">
        <f t="shared" si="38"/>
        <v/>
      </c>
      <c r="CD166" s="1435" t="str">
        <f t="shared" si="39"/>
        <v xml:space="preserve">* El número de Pueblos Originarios y/o Migrantes NO DEBE ser mayor que el Total. </v>
      </c>
      <c r="CE166" s="1435" t="str">
        <f t="shared" si="40"/>
        <v xml:space="preserve">* El número de Controles NO DEBE ser mayor que el Total. </v>
      </c>
      <c r="CF166" s="1435"/>
      <c r="CG166" s="1435"/>
      <c r="DB166" s="3222">
        <f t="shared" si="42"/>
        <v>1</v>
      </c>
      <c r="DC166" s="3222">
        <f t="shared" si="43"/>
        <v>0</v>
      </c>
      <c r="DD166" s="3222">
        <f t="shared" si="44"/>
        <v>1</v>
      </c>
      <c r="DE166" s="3222">
        <f t="shared" si="45"/>
        <v>1</v>
      </c>
    </row>
    <row r="167" spans="1:112" ht="16.350000000000001" customHeight="1" x14ac:dyDescent="0.3">
      <c r="A167" s="7299" t="s">
        <v>4876</v>
      </c>
      <c r="B167" s="9537" t="s">
        <v>2593</v>
      </c>
      <c r="C167" s="9538"/>
      <c r="D167" s="284" t="s">
        <v>5369</v>
      </c>
      <c r="E167" s="285" t="s">
        <v>5370</v>
      </c>
      <c r="F167" s="158" t="s">
        <v>5371</v>
      </c>
      <c r="G167" s="1842" t="s">
        <v>5372</v>
      </c>
      <c r="H167" s="1843" t="s">
        <v>5373</v>
      </c>
      <c r="I167" s="1842" t="s">
        <v>5374</v>
      </c>
      <c r="J167" s="1843" t="s">
        <v>5375</v>
      </c>
      <c r="K167" s="1842" t="s">
        <v>5376</v>
      </c>
      <c r="L167" s="1844" t="s">
        <v>5377</v>
      </c>
      <c r="M167" s="1842" t="s">
        <v>5378</v>
      </c>
      <c r="N167" s="1844" t="s">
        <v>5379</v>
      </c>
      <c r="O167" s="1842" t="s">
        <v>5380</v>
      </c>
      <c r="P167" s="1844" t="s">
        <v>5381</v>
      </c>
      <c r="Q167" s="1842" t="s">
        <v>5382</v>
      </c>
      <c r="R167" s="1844" t="s">
        <v>5383</v>
      </c>
      <c r="S167" s="1842" t="s">
        <v>5384</v>
      </c>
      <c r="T167" s="1844" t="s">
        <v>5385</v>
      </c>
      <c r="U167" s="1842" t="s">
        <v>5386</v>
      </c>
      <c r="V167" s="1844" t="s">
        <v>5387</v>
      </c>
      <c r="W167" s="1842" t="s">
        <v>5388</v>
      </c>
      <c r="X167" s="1844" t="s">
        <v>5389</v>
      </c>
      <c r="Y167" s="1842" t="s">
        <v>5390</v>
      </c>
      <c r="Z167" s="1844" t="s">
        <v>5391</v>
      </c>
      <c r="AA167" s="1842" t="s">
        <v>5392</v>
      </c>
      <c r="AB167" s="1844" t="s">
        <v>5393</v>
      </c>
      <c r="AC167" s="1842" t="s">
        <v>5394</v>
      </c>
      <c r="AD167" s="1843" t="s">
        <v>5395</v>
      </c>
      <c r="AE167" s="1842" t="s">
        <v>5396</v>
      </c>
      <c r="AF167" s="1843" t="s">
        <v>5397</v>
      </c>
      <c r="AG167" s="1842" t="s">
        <v>5398</v>
      </c>
      <c r="AH167" s="1843" t="s">
        <v>5399</v>
      </c>
      <c r="AI167" s="1842" t="s">
        <v>5400</v>
      </c>
      <c r="AJ167" s="1843" t="s">
        <v>5401</v>
      </c>
      <c r="AK167" s="1842" t="s">
        <v>5402</v>
      </c>
      <c r="AL167" s="1843" t="s">
        <v>5403</v>
      </c>
      <c r="AM167" s="1870" t="s">
        <v>5404</v>
      </c>
      <c r="AN167" s="1834" t="s">
        <v>5405</v>
      </c>
      <c r="AO167" s="1843" t="s">
        <v>5406</v>
      </c>
      <c r="AP167" s="1836" t="s">
        <v>5407</v>
      </c>
      <c r="AQ167" s="136" t="s">
        <v>5408</v>
      </c>
      <c r="AR167" s="144" t="s">
        <v>5409</v>
      </c>
      <c r="AS167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67" s="806"/>
      <c r="AU167" s="806"/>
      <c r="AV167" s="806"/>
      <c r="AW167" s="806"/>
      <c r="AX167" s="806"/>
      <c r="AY167" s="806"/>
      <c r="AZ167" s="806"/>
      <c r="BA167" s="806"/>
      <c r="BB167" s="806"/>
      <c r="BC167" s="806"/>
      <c r="BD167" s="806"/>
      <c r="BE167" s="290"/>
      <c r="BF167" s="290"/>
      <c r="CB167" s="1435" t="str">
        <f t="shared" si="37"/>
        <v xml:space="preserve">* El número de Beneficiarios NO DEBE ser mayor que el Total. </v>
      </c>
      <c r="CC167" s="1435" t="str">
        <f t="shared" si="38"/>
        <v/>
      </c>
      <c r="CD167" s="1435" t="str">
        <f t="shared" si="39"/>
        <v xml:space="preserve">* El número de Pueblos Originarios y/o Migrantes NO DEBE ser mayor que el Total. </v>
      </c>
      <c r="CE167" s="1435" t="str">
        <f t="shared" si="40"/>
        <v xml:space="preserve">* El número de Controles NO DEBE ser mayor que el Total. </v>
      </c>
      <c r="CF167" s="1435"/>
      <c r="CG167" s="1435"/>
      <c r="DB167" s="3222">
        <f t="shared" si="42"/>
        <v>1</v>
      </c>
      <c r="DC167" s="3222">
        <f t="shared" si="43"/>
        <v>0</v>
      </c>
      <c r="DD167" s="3222">
        <f t="shared" si="44"/>
        <v>1</v>
      </c>
      <c r="DE167" s="3222">
        <f t="shared" si="45"/>
        <v>1</v>
      </c>
    </row>
    <row r="168" spans="1:112" ht="16.350000000000001" customHeight="1" x14ac:dyDescent="0.3">
      <c r="A168" s="7299" t="s">
        <v>4877</v>
      </c>
      <c r="B168" s="8838" t="s">
        <v>2603</v>
      </c>
      <c r="C168" s="9530"/>
      <c r="D168" s="275" t="s">
        <v>5369</v>
      </c>
      <c r="E168" s="276" t="s">
        <v>5370</v>
      </c>
      <c r="F168" s="158" t="s">
        <v>5371</v>
      </c>
      <c r="G168" s="1842" t="s">
        <v>5372</v>
      </c>
      <c r="H168" s="1843" t="s">
        <v>5373</v>
      </c>
      <c r="I168" s="1842" t="s">
        <v>5374</v>
      </c>
      <c r="J168" s="1843" t="s">
        <v>5375</v>
      </c>
      <c r="K168" s="1842" t="s">
        <v>5376</v>
      </c>
      <c r="L168" s="1844" t="s">
        <v>5377</v>
      </c>
      <c r="M168" s="1842" t="s">
        <v>5378</v>
      </c>
      <c r="N168" s="1844" t="s">
        <v>5379</v>
      </c>
      <c r="O168" s="1842" t="s">
        <v>5380</v>
      </c>
      <c r="P168" s="1844" t="s">
        <v>5381</v>
      </c>
      <c r="Q168" s="1842" t="s">
        <v>5382</v>
      </c>
      <c r="R168" s="1844" t="s">
        <v>5383</v>
      </c>
      <c r="S168" s="1842" t="s">
        <v>5384</v>
      </c>
      <c r="T168" s="1844" t="s">
        <v>5385</v>
      </c>
      <c r="U168" s="1842" t="s">
        <v>5386</v>
      </c>
      <c r="V168" s="1844" t="s">
        <v>5387</v>
      </c>
      <c r="W168" s="1842" t="s">
        <v>5388</v>
      </c>
      <c r="X168" s="1844" t="s">
        <v>5389</v>
      </c>
      <c r="Y168" s="1842" t="s">
        <v>5390</v>
      </c>
      <c r="Z168" s="1844" t="s">
        <v>5391</v>
      </c>
      <c r="AA168" s="1842" t="s">
        <v>5392</v>
      </c>
      <c r="AB168" s="1844" t="s">
        <v>5393</v>
      </c>
      <c r="AC168" s="1842" t="s">
        <v>5394</v>
      </c>
      <c r="AD168" s="1844" t="s">
        <v>5395</v>
      </c>
      <c r="AE168" s="1842" t="s">
        <v>5396</v>
      </c>
      <c r="AF168" s="1844" t="s">
        <v>5397</v>
      </c>
      <c r="AG168" s="1842" t="s">
        <v>5398</v>
      </c>
      <c r="AH168" s="1844" t="s">
        <v>5399</v>
      </c>
      <c r="AI168" s="1842" t="s">
        <v>5400</v>
      </c>
      <c r="AJ168" s="1843" t="s">
        <v>5401</v>
      </c>
      <c r="AK168" s="1842" t="s">
        <v>5402</v>
      </c>
      <c r="AL168" s="1843" t="s">
        <v>5403</v>
      </c>
      <c r="AM168" s="1870" t="s">
        <v>5404</v>
      </c>
      <c r="AN168" s="1834" t="s">
        <v>5405</v>
      </c>
      <c r="AO168" s="1843" t="s">
        <v>5406</v>
      </c>
      <c r="AP168" s="1836" t="s">
        <v>5407</v>
      </c>
      <c r="AQ168" s="136" t="s">
        <v>5408</v>
      </c>
      <c r="AR168" s="144" t="s">
        <v>5409</v>
      </c>
      <c r="AS168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68" s="806"/>
      <c r="AU168" s="806"/>
      <c r="AV168" s="806"/>
      <c r="AW168" s="806"/>
      <c r="AX168" s="806"/>
      <c r="AY168" s="806"/>
      <c r="AZ168" s="806"/>
      <c r="BA168" s="806"/>
      <c r="BB168" s="806"/>
      <c r="BC168" s="806"/>
      <c r="BD168" s="806"/>
      <c r="BE168" s="290"/>
      <c r="BF168" s="290"/>
      <c r="CB168" s="1435" t="str">
        <f t="shared" si="37"/>
        <v xml:space="preserve">* El número de Beneficiarios NO DEBE ser mayor que el Total. </v>
      </c>
      <c r="CC168" s="1435" t="str">
        <f t="shared" si="38"/>
        <v/>
      </c>
      <c r="CD168" s="1435" t="str">
        <f t="shared" si="39"/>
        <v xml:space="preserve">* El número de Pueblos Originarios y/o Migrantes NO DEBE ser mayor que el Total. </v>
      </c>
      <c r="CE168" s="1435" t="str">
        <f t="shared" si="40"/>
        <v xml:space="preserve">* El número de Controles NO DEBE ser mayor que el Total. </v>
      </c>
      <c r="CF168" s="1435"/>
      <c r="CG168" s="1435"/>
      <c r="DB168" s="3222">
        <f t="shared" si="42"/>
        <v>1</v>
      </c>
      <c r="DC168" s="3222">
        <f t="shared" si="43"/>
        <v>0</v>
      </c>
      <c r="DD168" s="3222">
        <f t="shared" si="44"/>
        <v>1</v>
      </c>
      <c r="DE168" s="3222">
        <f t="shared" si="45"/>
        <v>1</v>
      </c>
    </row>
    <row r="169" spans="1:112" ht="16.350000000000001" customHeight="1" x14ac:dyDescent="0.3">
      <c r="A169" s="7299" t="s">
        <v>4878</v>
      </c>
      <c r="B169" s="9520" t="s">
        <v>2597</v>
      </c>
      <c r="C169" s="9521"/>
      <c r="D169" s="3182" t="s">
        <v>5369</v>
      </c>
      <c r="E169" s="3183" t="s">
        <v>5370</v>
      </c>
      <c r="F169" s="3184" t="s">
        <v>5371</v>
      </c>
      <c r="G169" s="3185" t="s">
        <v>5372</v>
      </c>
      <c r="H169" s="3186" t="s">
        <v>5373</v>
      </c>
      <c r="I169" s="3185" t="s">
        <v>5374</v>
      </c>
      <c r="J169" s="3186" t="s">
        <v>5375</v>
      </c>
      <c r="K169" s="3185" t="s">
        <v>5376</v>
      </c>
      <c r="L169" s="3187" t="s">
        <v>5377</v>
      </c>
      <c r="M169" s="3185" t="s">
        <v>5378</v>
      </c>
      <c r="N169" s="3187" t="s">
        <v>5379</v>
      </c>
      <c r="O169" s="3185" t="s">
        <v>5380</v>
      </c>
      <c r="P169" s="3187" t="s">
        <v>5381</v>
      </c>
      <c r="Q169" s="3185" t="s">
        <v>5382</v>
      </c>
      <c r="R169" s="3187" t="s">
        <v>5383</v>
      </c>
      <c r="S169" s="3185" t="s">
        <v>5384</v>
      </c>
      <c r="T169" s="3187" t="s">
        <v>5385</v>
      </c>
      <c r="U169" s="3185" t="s">
        <v>5386</v>
      </c>
      <c r="V169" s="3187" t="s">
        <v>5387</v>
      </c>
      <c r="W169" s="3185" t="s">
        <v>5388</v>
      </c>
      <c r="X169" s="3187" t="s">
        <v>5389</v>
      </c>
      <c r="Y169" s="3185" t="s">
        <v>5390</v>
      </c>
      <c r="Z169" s="3187" t="s">
        <v>5391</v>
      </c>
      <c r="AA169" s="3185" t="s">
        <v>5392</v>
      </c>
      <c r="AB169" s="3187" t="s">
        <v>5393</v>
      </c>
      <c r="AC169" s="3185" t="s">
        <v>5394</v>
      </c>
      <c r="AD169" s="3187" t="s">
        <v>5395</v>
      </c>
      <c r="AE169" s="3185" t="s">
        <v>5396</v>
      </c>
      <c r="AF169" s="3187" t="s">
        <v>5397</v>
      </c>
      <c r="AG169" s="3185" t="s">
        <v>5398</v>
      </c>
      <c r="AH169" s="3187" t="s">
        <v>5399</v>
      </c>
      <c r="AI169" s="3185" t="s">
        <v>5400</v>
      </c>
      <c r="AJ169" s="3186" t="s">
        <v>5401</v>
      </c>
      <c r="AK169" s="3185" t="s">
        <v>5402</v>
      </c>
      <c r="AL169" s="3186" t="s">
        <v>5403</v>
      </c>
      <c r="AM169" s="2538" t="s">
        <v>5404</v>
      </c>
      <c r="AN169" s="2831" t="s">
        <v>5405</v>
      </c>
      <c r="AO169" s="3186" t="s">
        <v>5406</v>
      </c>
      <c r="AP169" s="3127" t="s">
        <v>5407</v>
      </c>
      <c r="AQ169" s="2796" t="s">
        <v>5408</v>
      </c>
      <c r="AR169" s="3186" t="s">
        <v>5409</v>
      </c>
      <c r="AS169" s="2912"/>
      <c r="AT169" s="806"/>
      <c r="AU169" s="806"/>
      <c r="AV169" s="806"/>
      <c r="AW169" s="806"/>
      <c r="AX169" s="806"/>
      <c r="AY169" s="806"/>
      <c r="AZ169" s="806"/>
      <c r="BA169" s="806"/>
      <c r="BB169" s="806"/>
      <c r="BC169" s="806"/>
      <c r="BD169" s="806"/>
      <c r="BE169" s="290"/>
      <c r="BF169" s="290"/>
      <c r="CB169" s="1435"/>
      <c r="CC169" s="1435"/>
      <c r="CD169" s="1435"/>
      <c r="CE169" s="1435"/>
      <c r="CF169" s="1435"/>
      <c r="CG169" s="1435"/>
      <c r="DB169" s="3222"/>
      <c r="DC169" s="3222"/>
      <c r="DD169" s="3222"/>
      <c r="DE169" s="3222"/>
    </row>
    <row r="170" spans="1:112" ht="16.350000000000001" customHeight="1" x14ac:dyDescent="0.3">
      <c r="A170" s="7259" t="s">
        <v>4879</v>
      </c>
      <c r="B170" s="8841" t="s">
        <v>62</v>
      </c>
      <c r="C170" s="8842"/>
      <c r="D170" s="249" t="s">
        <v>5369</v>
      </c>
      <c r="E170" s="277" t="s">
        <v>5370</v>
      </c>
      <c r="F170" s="152" t="s">
        <v>5371</v>
      </c>
      <c r="G170" s="1621" t="s">
        <v>5372</v>
      </c>
      <c r="H170" s="1636" t="s">
        <v>5373</v>
      </c>
      <c r="I170" s="1621" t="s">
        <v>5374</v>
      </c>
      <c r="J170" s="1636" t="s">
        <v>5375</v>
      </c>
      <c r="K170" s="1621" t="s">
        <v>5376</v>
      </c>
      <c r="L170" s="1845" t="s">
        <v>5377</v>
      </c>
      <c r="M170" s="1621" t="s">
        <v>5378</v>
      </c>
      <c r="N170" s="1845" t="s">
        <v>5379</v>
      </c>
      <c r="O170" s="1621" t="s">
        <v>5380</v>
      </c>
      <c r="P170" s="1845" t="s">
        <v>5381</v>
      </c>
      <c r="Q170" s="1621" t="s">
        <v>5382</v>
      </c>
      <c r="R170" s="1845" t="s">
        <v>5383</v>
      </c>
      <c r="S170" s="1621" t="s">
        <v>5384</v>
      </c>
      <c r="T170" s="1845" t="s">
        <v>5385</v>
      </c>
      <c r="U170" s="1621" t="s">
        <v>5386</v>
      </c>
      <c r="V170" s="1845" t="s">
        <v>5387</v>
      </c>
      <c r="W170" s="1621" t="s">
        <v>5388</v>
      </c>
      <c r="X170" s="1845" t="s">
        <v>5389</v>
      </c>
      <c r="Y170" s="1621" t="s">
        <v>5390</v>
      </c>
      <c r="Z170" s="1845" t="s">
        <v>5391</v>
      </c>
      <c r="AA170" s="1621" t="s">
        <v>5392</v>
      </c>
      <c r="AB170" s="1845" t="s">
        <v>5393</v>
      </c>
      <c r="AC170" s="1621" t="s">
        <v>5394</v>
      </c>
      <c r="AD170" s="1845" t="s">
        <v>5395</v>
      </c>
      <c r="AE170" s="1621" t="s">
        <v>5396</v>
      </c>
      <c r="AF170" s="1845" t="s">
        <v>5397</v>
      </c>
      <c r="AG170" s="1621" t="s">
        <v>5398</v>
      </c>
      <c r="AH170" s="1845" t="s">
        <v>5399</v>
      </c>
      <c r="AI170" s="1621" t="s">
        <v>5400</v>
      </c>
      <c r="AJ170" s="1845" t="s">
        <v>5401</v>
      </c>
      <c r="AK170" s="1621" t="s">
        <v>5402</v>
      </c>
      <c r="AL170" s="1845" t="s">
        <v>5403</v>
      </c>
      <c r="AM170" s="1637" t="s">
        <v>5404</v>
      </c>
      <c r="AN170" s="1838" t="s">
        <v>5405</v>
      </c>
      <c r="AO170" s="1636" t="s">
        <v>5406</v>
      </c>
      <c r="AP170" s="1654" t="s">
        <v>5407</v>
      </c>
      <c r="AQ170" s="102" t="s">
        <v>5408</v>
      </c>
      <c r="AR170" s="127" t="s">
        <v>5409</v>
      </c>
      <c r="AS170" s="1433" t="str">
        <f t="shared" si="41"/>
        <v xml:space="preserve">* El número de Beneficiarios NO DEBE ser mayor que el Total. * El número de Pueblos Originarios y/o Migrantes NO DEBE ser mayor que el Total. * El número de Controles NO DEBE ser mayor que el Total. </v>
      </c>
      <c r="AT170" s="806"/>
      <c r="AU170" s="806"/>
      <c r="AV170" s="806"/>
      <c r="AW170" s="806"/>
      <c r="AX170" s="806"/>
      <c r="AY170" s="806"/>
      <c r="AZ170" s="806"/>
      <c r="BA170" s="806"/>
      <c r="BB170" s="806"/>
      <c r="BC170" s="806"/>
      <c r="BD170" s="806"/>
      <c r="BE170" s="290"/>
      <c r="BF170" s="290"/>
      <c r="CB170" s="1435" t="str">
        <f>IF(DB170=1,"* El número de Beneficiarios NO DEBE ser mayor que el Total. ","")</f>
        <v xml:space="preserve">* El número de Beneficiarios NO DEBE ser mayor que el Total. </v>
      </c>
      <c r="CC170" s="1435" t="str">
        <f>IF(DC170=1,"* No olvide digitar la columna Beneficiarios y/o Pueblos Originarios y/o Migrantes (Digite CEROS si no tiene.). ","")</f>
        <v/>
      </c>
      <c r="CD170" s="1435" t="str">
        <f>IF(DD170=1,"* El número de Pueblos Originarios y/o Migrantes NO DEBE ser mayor que el Total. ","")</f>
        <v xml:space="preserve">* El número de Pueblos Originarios y/o Migrantes NO DEBE ser mayor que el Total. </v>
      </c>
      <c r="CE170" s="1435" t="str">
        <f>IF(DE170=1,"* El número de Controles NO DEBE ser mayor que el Total. ","")</f>
        <v xml:space="preserve">* El número de Controles NO DEBE ser mayor que el Total. </v>
      </c>
      <c r="CF170" s="1435"/>
      <c r="CG170" s="1435"/>
      <c r="DB170" s="3222">
        <f>IF(D170&lt;AO170,1,0)</f>
        <v>1</v>
      </c>
      <c r="DC170" s="3222">
        <f>IF(AND(D170&lt;&gt;0,OR(AO170="",AQ170="",AR170="")),1,0)</f>
        <v>0</v>
      </c>
      <c r="DD170" s="3222">
        <f>IF(OR(D170&lt;AQ170,D170&lt;AR170),1,0)</f>
        <v>1</v>
      </c>
      <c r="DE170" s="3222">
        <f>IF(D170&lt;AP170,1,0)</f>
        <v>1</v>
      </c>
    </row>
    <row r="171" spans="1:112" ht="16.350000000000001" customHeight="1" x14ac:dyDescent="0.3">
      <c r="A171" s="7267"/>
      <c r="B171" s="9565" t="s">
        <v>24</v>
      </c>
      <c r="C171" s="9566"/>
      <c r="D171" s="219">
        <f t="shared" ref="D171:AR171" si="46">SUM(D160:D170)</f>
        <v>0</v>
      </c>
      <c r="E171" s="272">
        <f t="shared" si="46"/>
        <v>0</v>
      </c>
      <c r="F171" s="220">
        <f t="shared" si="46"/>
        <v>0</v>
      </c>
      <c r="G171" s="1655">
        <f t="shared" si="46"/>
        <v>0</v>
      </c>
      <c r="H171" s="1898">
        <f t="shared" si="46"/>
        <v>0</v>
      </c>
      <c r="I171" s="1655">
        <f t="shared" si="46"/>
        <v>0</v>
      </c>
      <c r="J171" s="1898">
        <f t="shared" si="46"/>
        <v>0</v>
      </c>
      <c r="K171" s="1871">
        <f t="shared" si="46"/>
        <v>0</v>
      </c>
      <c r="L171" s="1872">
        <f t="shared" si="46"/>
        <v>0</v>
      </c>
      <c r="M171" s="1871">
        <f t="shared" si="46"/>
        <v>0</v>
      </c>
      <c r="N171" s="1872">
        <f t="shared" si="46"/>
        <v>0</v>
      </c>
      <c r="O171" s="1871">
        <f t="shared" si="46"/>
        <v>0</v>
      </c>
      <c r="P171" s="1872">
        <f t="shared" si="46"/>
        <v>0</v>
      </c>
      <c r="Q171" s="1871">
        <f t="shared" si="46"/>
        <v>0</v>
      </c>
      <c r="R171" s="1872">
        <f t="shared" si="46"/>
        <v>0</v>
      </c>
      <c r="S171" s="1871">
        <f t="shared" si="46"/>
        <v>0</v>
      </c>
      <c r="T171" s="1872">
        <f t="shared" si="46"/>
        <v>0</v>
      </c>
      <c r="U171" s="1871">
        <f t="shared" si="46"/>
        <v>0</v>
      </c>
      <c r="V171" s="1872">
        <f t="shared" si="46"/>
        <v>0</v>
      </c>
      <c r="W171" s="1871">
        <f t="shared" si="46"/>
        <v>0</v>
      </c>
      <c r="X171" s="1872">
        <f t="shared" si="46"/>
        <v>0</v>
      </c>
      <c r="Y171" s="1871">
        <f t="shared" si="46"/>
        <v>0</v>
      </c>
      <c r="Z171" s="1872">
        <f t="shared" si="46"/>
        <v>0</v>
      </c>
      <c r="AA171" s="1871">
        <f t="shared" si="46"/>
        <v>0</v>
      </c>
      <c r="AB171" s="1872">
        <f t="shared" si="46"/>
        <v>0</v>
      </c>
      <c r="AC171" s="1871">
        <f t="shared" si="46"/>
        <v>0</v>
      </c>
      <c r="AD171" s="1872">
        <f t="shared" si="46"/>
        <v>0</v>
      </c>
      <c r="AE171" s="1871">
        <f t="shared" si="46"/>
        <v>0</v>
      </c>
      <c r="AF171" s="1872">
        <f t="shared" si="46"/>
        <v>0</v>
      </c>
      <c r="AG171" s="1871">
        <f t="shared" si="46"/>
        <v>0</v>
      </c>
      <c r="AH171" s="1872">
        <f t="shared" si="46"/>
        <v>0</v>
      </c>
      <c r="AI171" s="1871">
        <f t="shared" si="46"/>
        <v>0</v>
      </c>
      <c r="AJ171" s="1872">
        <f t="shared" si="46"/>
        <v>0</v>
      </c>
      <c r="AK171" s="1871">
        <f t="shared" si="46"/>
        <v>0</v>
      </c>
      <c r="AL171" s="1872">
        <f t="shared" si="46"/>
        <v>0</v>
      </c>
      <c r="AM171" s="1873">
        <f t="shared" si="46"/>
        <v>0</v>
      </c>
      <c r="AN171" s="1874">
        <f t="shared" si="46"/>
        <v>0</v>
      </c>
      <c r="AO171" s="1898">
        <f t="shared" si="46"/>
        <v>0</v>
      </c>
      <c r="AP171" s="1896">
        <f t="shared" si="46"/>
        <v>0</v>
      </c>
      <c r="AQ171" s="268">
        <f t="shared" si="46"/>
        <v>0</v>
      </c>
      <c r="AR171" s="182">
        <f t="shared" si="46"/>
        <v>0</v>
      </c>
      <c r="AS171" s="288" t="s">
        <v>196</v>
      </c>
      <c r="AT171" s="290"/>
      <c r="AU171" s="290"/>
      <c r="AV171" s="290"/>
      <c r="AW171" s="290"/>
      <c r="AX171" s="290"/>
      <c r="AY171" s="290"/>
      <c r="AZ171" s="290"/>
      <c r="BA171" s="290"/>
      <c r="BB171" s="290"/>
      <c r="BC171" s="290"/>
      <c r="BD171" s="290"/>
      <c r="BE171" s="290"/>
      <c r="BF171" s="290"/>
    </row>
    <row r="172" spans="1:112" ht="31.35" customHeight="1" x14ac:dyDescent="0.3">
      <c r="B172" s="3435" t="s">
        <v>365</v>
      </c>
      <c r="C172" s="162"/>
      <c r="D172" s="162"/>
      <c r="E172" s="162"/>
      <c r="F172" s="162"/>
      <c r="G172" s="162"/>
      <c r="H172" s="224"/>
      <c r="I172" s="224"/>
      <c r="J172" s="224"/>
      <c r="K172" s="140"/>
      <c r="L172" s="140"/>
      <c r="M172" s="140"/>
      <c r="N172" s="153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  <c r="AN172" s="140"/>
      <c r="AO172" s="140"/>
      <c r="AP172" s="140"/>
      <c r="AQ172" s="140"/>
      <c r="AR172" s="140"/>
      <c r="AS172" s="290"/>
      <c r="AT172" s="290"/>
      <c r="AU172" s="290"/>
      <c r="AV172" s="290"/>
      <c r="AW172" s="290"/>
      <c r="AX172" s="290"/>
      <c r="AY172" s="290"/>
      <c r="AZ172" s="290"/>
      <c r="BA172" s="290"/>
      <c r="BB172" s="290"/>
      <c r="BC172" s="290"/>
      <c r="BD172" s="290"/>
      <c r="BE172" s="290"/>
      <c r="BF172" s="290"/>
    </row>
    <row r="173" spans="1:112" ht="21.75" customHeight="1" x14ac:dyDescent="0.3">
      <c r="B173" s="9570" t="s">
        <v>41</v>
      </c>
      <c r="C173" s="9507" t="s">
        <v>0</v>
      </c>
      <c r="D173" s="9522" t="s">
        <v>39</v>
      </c>
      <c r="E173" s="9526"/>
      <c r="F173" s="9523"/>
      <c r="G173" s="9562" t="s">
        <v>98</v>
      </c>
      <c r="H173" s="9563"/>
      <c r="I173" s="9563"/>
      <c r="J173" s="9563"/>
      <c r="K173" s="9563"/>
      <c r="L173" s="9563"/>
      <c r="M173" s="9563"/>
      <c r="N173" s="9563"/>
      <c r="O173" s="9563"/>
      <c r="P173" s="9563"/>
      <c r="Q173" s="9563"/>
      <c r="R173" s="9563"/>
      <c r="S173" s="9563"/>
      <c r="T173" s="9563"/>
      <c r="U173" s="9563"/>
      <c r="V173" s="9563"/>
      <c r="W173" s="9563"/>
      <c r="X173" s="9563"/>
      <c r="Y173" s="9563"/>
      <c r="Z173" s="9563"/>
      <c r="AA173" s="9563"/>
      <c r="AB173" s="9563"/>
      <c r="AC173" s="9563"/>
      <c r="AD173" s="9563"/>
      <c r="AE173" s="9563"/>
      <c r="AF173" s="9563"/>
      <c r="AG173" s="9563"/>
      <c r="AH173" s="9563"/>
      <c r="AI173" s="9563"/>
      <c r="AJ173" s="9563"/>
      <c r="AK173" s="9563"/>
      <c r="AL173" s="9563"/>
      <c r="AM173" s="9563"/>
      <c r="AN173" s="9564"/>
      <c r="AO173" s="9510" t="s">
        <v>360</v>
      </c>
      <c r="AP173" s="9513" t="s">
        <v>363</v>
      </c>
      <c r="AQ173" s="9514"/>
      <c r="AR173" s="9531" t="s">
        <v>362</v>
      </c>
      <c r="AS173" s="9511" t="s">
        <v>361</v>
      </c>
      <c r="AT173" s="9507" t="s">
        <v>3473</v>
      </c>
      <c r="AU173" s="9507" t="s">
        <v>2615</v>
      </c>
      <c r="AV173" s="290"/>
      <c r="AW173" s="290"/>
      <c r="AX173" s="290"/>
      <c r="AY173" s="290"/>
      <c r="AZ173" s="290"/>
      <c r="BA173" s="290"/>
      <c r="BB173" s="290"/>
      <c r="BC173" s="290"/>
      <c r="BD173" s="290"/>
      <c r="BE173" s="290"/>
      <c r="BF173" s="290"/>
      <c r="BG173" s="290"/>
      <c r="BH173" s="290"/>
      <c r="BY173" s="165"/>
    </row>
    <row r="174" spans="1:112" ht="22.5" customHeight="1" x14ac:dyDescent="0.3">
      <c r="B174" s="8619"/>
      <c r="C174" s="8555"/>
      <c r="D174" s="9524"/>
      <c r="E174" s="9527"/>
      <c r="F174" s="9525"/>
      <c r="G174" s="8570" t="s">
        <v>399</v>
      </c>
      <c r="H174" s="8571"/>
      <c r="I174" s="8570" t="s">
        <v>54</v>
      </c>
      <c r="J174" s="8571"/>
      <c r="K174" s="8570" t="s">
        <v>79</v>
      </c>
      <c r="L174" s="8571"/>
      <c r="M174" s="8570" t="s">
        <v>80</v>
      </c>
      <c r="N174" s="8571"/>
      <c r="O174" s="8570" t="s">
        <v>81</v>
      </c>
      <c r="P174" s="8571"/>
      <c r="Q174" s="8567" t="s">
        <v>82</v>
      </c>
      <c r="R174" s="8569"/>
      <c r="S174" s="8567" t="s">
        <v>83</v>
      </c>
      <c r="T174" s="8569"/>
      <c r="U174" s="8567" t="s">
        <v>400</v>
      </c>
      <c r="V174" s="8569"/>
      <c r="W174" s="8567" t="s">
        <v>124</v>
      </c>
      <c r="X174" s="8569"/>
      <c r="Y174" s="8567" t="s">
        <v>125</v>
      </c>
      <c r="Z174" s="8569"/>
      <c r="AA174" s="8567" t="s">
        <v>126</v>
      </c>
      <c r="AB174" s="8569"/>
      <c r="AC174" s="8567" t="s">
        <v>127</v>
      </c>
      <c r="AD174" s="8569"/>
      <c r="AE174" s="8567" t="s">
        <v>128</v>
      </c>
      <c r="AF174" s="8569"/>
      <c r="AG174" s="8567" t="s">
        <v>129</v>
      </c>
      <c r="AH174" s="8569"/>
      <c r="AI174" s="8567" t="s">
        <v>130</v>
      </c>
      <c r="AJ174" s="8569"/>
      <c r="AK174" s="8567" t="s">
        <v>131</v>
      </c>
      <c r="AL174" s="8569"/>
      <c r="AM174" s="8567" t="s">
        <v>1405</v>
      </c>
      <c r="AN174" s="8568"/>
      <c r="AO174" s="8581"/>
      <c r="AP174" s="9515"/>
      <c r="AQ174" s="9516"/>
      <c r="AR174" s="9518"/>
      <c r="AS174" s="8622"/>
      <c r="AT174" s="8555"/>
      <c r="AU174" s="8555"/>
      <c r="AV174" s="290"/>
      <c r="AW174" s="290"/>
      <c r="AX174" s="290"/>
      <c r="AY174" s="290"/>
      <c r="AZ174" s="290"/>
      <c r="BA174" s="290"/>
      <c r="BB174" s="290"/>
      <c r="BC174" s="290"/>
      <c r="BD174" s="290"/>
      <c r="BE174" s="290"/>
      <c r="BF174" s="290"/>
      <c r="BG174" s="290"/>
      <c r="BH174" s="290"/>
      <c r="BY174" s="165"/>
    </row>
    <row r="175" spans="1:112" ht="24" customHeight="1" x14ac:dyDescent="0.3">
      <c r="B175" s="9571"/>
      <c r="C175" s="9508"/>
      <c r="D175" s="200" t="s">
        <v>42</v>
      </c>
      <c r="E175" s="255" t="s">
        <v>104</v>
      </c>
      <c r="F175" s="2095" t="s">
        <v>69</v>
      </c>
      <c r="G175" s="1883" t="s">
        <v>104</v>
      </c>
      <c r="H175" s="1880" t="s">
        <v>69</v>
      </c>
      <c r="I175" s="1867" t="s">
        <v>104</v>
      </c>
      <c r="J175" s="2131" t="s">
        <v>69</v>
      </c>
      <c r="K175" s="1883" t="s">
        <v>104</v>
      </c>
      <c r="L175" s="1880" t="s">
        <v>69</v>
      </c>
      <c r="M175" s="1883" t="s">
        <v>104</v>
      </c>
      <c r="N175" s="1880" t="s">
        <v>69</v>
      </c>
      <c r="O175" s="1883" t="s">
        <v>104</v>
      </c>
      <c r="P175" s="1880" t="s">
        <v>69</v>
      </c>
      <c r="Q175" s="1867" t="s">
        <v>104</v>
      </c>
      <c r="R175" s="2131" t="s">
        <v>69</v>
      </c>
      <c r="S175" s="1867" t="s">
        <v>104</v>
      </c>
      <c r="T175" s="2131" t="s">
        <v>69</v>
      </c>
      <c r="U175" s="1883" t="s">
        <v>104</v>
      </c>
      <c r="V175" s="1880" t="s">
        <v>69</v>
      </c>
      <c r="W175" s="1867" t="s">
        <v>104</v>
      </c>
      <c r="X175" s="2131" t="s">
        <v>69</v>
      </c>
      <c r="Y175" s="1867" t="s">
        <v>104</v>
      </c>
      <c r="Z175" s="2131" t="s">
        <v>69</v>
      </c>
      <c r="AA175" s="1883" t="s">
        <v>104</v>
      </c>
      <c r="AB175" s="1880" t="s">
        <v>69</v>
      </c>
      <c r="AC175" s="1883" t="s">
        <v>104</v>
      </c>
      <c r="AD175" s="1880" t="s">
        <v>69</v>
      </c>
      <c r="AE175" s="1867" t="s">
        <v>104</v>
      </c>
      <c r="AF175" s="2131" t="s">
        <v>69</v>
      </c>
      <c r="AG175" s="1867" t="s">
        <v>104</v>
      </c>
      <c r="AH175" s="2131" t="s">
        <v>69</v>
      </c>
      <c r="AI175" s="1883" t="s">
        <v>104</v>
      </c>
      <c r="AJ175" s="1880" t="s">
        <v>69</v>
      </c>
      <c r="AK175" s="1867" t="s">
        <v>104</v>
      </c>
      <c r="AL175" s="2131" t="s">
        <v>69</v>
      </c>
      <c r="AM175" s="1883" t="s">
        <v>104</v>
      </c>
      <c r="AN175" s="1884" t="s">
        <v>69</v>
      </c>
      <c r="AO175" s="8895"/>
      <c r="AP175" s="2132" t="s">
        <v>358</v>
      </c>
      <c r="AQ175" s="1880" t="s">
        <v>359</v>
      </c>
      <c r="AR175" s="9532"/>
      <c r="AS175" s="9512"/>
      <c r="AT175" s="9508"/>
      <c r="AU175" s="9508"/>
      <c r="AV175" s="290"/>
      <c r="AW175" s="290"/>
      <c r="AX175" s="290"/>
      <c r="AY175" s="290"/>
      <c r="AZ175" s="290"/>
      <c r="BA175" s="290"/>
      <c r="BB175" s="290"/>
      <c r="BC175" s="290"/>
      <c r="BD175" s="290"/>
      <c r="BE175" s="290"/>
      <c r="BF175" s="290"/>
      <c r="BG175" s="290"/>
      <c r="BH175" s="290"/>
      <c r="BY175" s="165"/>
    </row>
    <row r="176" spans="1:112" ht="16.350000000000001" customHeight="1" x14ac:dyDescent="0.3">
      <c r="A176" s="7299" t="s">
        <v>4880</v>
      </c>
      <c r="B176" s="9572" t="s">
        <v>105</v>
      </c>
      <c r="C176" s="225" t="s">
        <v>2592</v>
      </c>
      <c r="D176" s="273" t="s">
        <v>5369</v>
      </c>
      <c r="E176" s="274" t="s">
        <v>5370</v>
      </c>
      <c r="F176" s="155" t="s">
        <v>5371</v>
      </c>
      <c r="G176" s="1863" t="s">
        <v>5372</v>
      </c>
      <c r="H176" s="1861" t="s">
        <v>5373</v>
      </c>
      <c r="I176" s="1863" t="s">
        <v>5374</v>
      </c>
      <c r="J176" s="1861" t="s">
        <v>5375</v>
      </c>
      <c r="K176" s="1863" t="s">
        <v>5376</v>
      </c>
      <c r="L176" s="1866" t="s">
        <v>5377</v>
      </c>
      <c r="M176" s="1863" t="s">
        <v>5378</v>
      </c>
      <c r="N176" s="1866" t="s">
        <v>5379</v>
      </c>
      <c r="O176" s="1863" t="s">
        <v>5380</v>
      </c>
      <c r="P176" s="1866" t="s">
        <v>5381</v>
      </c>
      <c r="Q176" s="1863" t="s">
        <v>5382</v>
      </c>
      <c r="R176" s="1866" t="s">
        <v>5383</v>
      </c>
      <c r="S176" s="1863" t="s">
        <v>5384</v>
      </c>
      <c r="T176" s="1866" t="s">
        <v>5385</v>
      </c>
      <c r="U176" s="1863" t="s">
        <v>5386</v>
      </c>
      <c r="V176" s="1866" t="s">
        <v>5387</v>
      </c>
      <c r="W176" s="1863" t="s">
        <v>5388</v>
      </c>
      <c r="X176" s="1866" t="s">
        <v>5389</v>
      </c>
      <c r="Y176" s="1863" t="s">
        <v>5390</v>
      </c>
      <c r="Z176" s="1866" t="s">
        <v>5391</v>
      </c>
      <c r="AA176" s="1863" t="s">
        <v>5392</v>
      </c>
      <c r="AB176" s="1866" t="s">
        <v>5393</v>
      </c>
      <c r="AC176" s="1863" t="s">
        <v>5394</v>
      </c>
      <c r="AD176" s="1866" t="s">
        <v>5395</v>
      </c>
      <c r="AE176" s="1863" t="s">
        <v>5396</v>
      </c>
      <c r="AF176" s="1866" t="s">
        <v>5397</v>
      </c>
      <c r="AG176" s="1863" t="s">
        <v>5398</v>
      </c>
      <c r="AH176" s="1866" t="s">
        <v>5399</v>
      </c>
      <c r="AI176" s="1863" t="s">
        <v>5400</v>
      </c>
      <c r="AJ176" s="1866" t="s">
        <v>5401</v>
      </c>
      <c r="AK176" s="1863" t="s">
        <v>5402</v>
      </c>
      <c r="AL176" s="1866" t="s">
        <v>5403</v>
      </c>
      <c r="AM176" s="1869" t="s">
        <v>5404</v>
      </c>
      <c r="AN176" s="1868" t="s">
        <v>5405</v>
      </c>
      <c r="AO176" s="1861" t="s">
        <v>5406</v>
      </c>
      <c r="AP176" s="1862" t="s">
        <v>5407</v>
      </c>
      <c r="AQ176" s="1861" t="s">
        <v>5408</v>
      </c>
      <c r="AR176" s="303" t="s">
        <v>5409</v>
      </c>
      <c r="AS176" s="126" t="s">
        <v>5410</v>
      </c>
      <c r="AT176" s="126" t="s">
        <v>5411</v>
      </c>
      <c r="AU176" s="126" t="s">
        <v>5412</v>
      </c>
      <c r="AV176" s="1433" t="e">
        <f>CB176&amp;CC176&amp;CD176&amp;CE176&amp;CF176&amp;CG176&amp;CH176</f>
        <v>#VALUE!</v>
      </c>
      <c r="AW176" s="806"/>
      <c r="AX176" s="806"/>
      <c r="AY176" s="806"/>
      <c r="AZ176" s="806"/>
      <c r="BA176" s="806"/>
      <c r="BB176" s="806"/>
      <c r="BC176" s="806"/>
      <c r="BD176" s="806"/>
      <c r="BE176" s="806"/>
      <c r="BF176" s="290"/>
      <c r="BG176" s="290"/>
      <c r="BH176" s="290"/>
      <c r="BY176" s="165"/>
      <c r="CB176" s="1515" t="str">
        <f t="shared" ref="CB176:CB186" si="47">IF(DB176=1,"* El número de Beneficiarios NO DEBE ser mayor que el Total ","")</f>
        <v xml:space="preserve">* El número de Beneficiarios NO DEBE ser mayor que el Total </v>
      </c>
      <c r="CC176" s="1515" t="str">
        <f>IF(DC176=1,"* No olvide digitar las columnas Beneficiarios y/o Trans y/o Pueblos Originarios y/o Migrantes y/o Niños, Niñas, Adolescentes y Jóvenes Población SENAME/Mejor Niñez (Digite CEROS si no tiene.). ","")</f>
        <v/>
      </c>
      <c r="CD176" s="1515" t="e">
        <f t="shared" ref="CD176:CD186" si="48">IF(DD176=1,"* El número de Trans NO DEBE ser mayor que el Total. ","")</f>
        <v>#VALUE!</v>
      </c>
      <c r="CE176" s="1515" t="str">
        <f t="shared" ref="CE176:CE186" si="49">IF(DE176=1,"* El número de Pueblos Originarios NO DEBE ser mayor que el Total. ","")</f>
        <v xml:space="preserve">* El número de Pueblos Originarios NO DEBE ser mayor que el Total. </v>
      </c>
      <c r="CF176" s="1515" t="str">
        <f t="shared" ref="CF176:CF186" si="50">IF(DF176=1,"* El número de Migrantes NO DEBE ser mayor que el Total. ","")</f>
        <v xml:space="preserve">* El número de Migrantes NO DEBE ser mayor que el Total. </v>
      </c>
      <c r="CG176" s="1515" t="str">
        <f t="shared" ref="CG176:CG186" si="51">IF(DG176=1,"* El número de Niños, Niñas, Adolescentes y Jóvenes Población SENAME NO DEBE ser mayor que el Total. ","")</f>
        <v xml:space="preserve">* El número de Niños, Niñas, Adolescentes y Jóvenes Población SENAME NO DEBE ser mayor que el Total. </v>
      </c>
      <c r="CH176" s="1515" t="str">
        <f>IF(DH176=1,"* El número de Niños, Niñas, Adolescentes y Jóvenes Población Mejor Niñez NO DEBE ser mayor que el Total. ","")</f>
        <v xml:space="preserve">* El número de Niños, Niñas, Adolescentes y Jóvenes Población Mejor Niñez NO DEBE ser mayor que el Total. </v>
      </c>
      <c r="DB176" s="3222">
        <f t="shared" ref="DB176:DB186" si="52">IF(D176&lt;AO176,1,0)</f>
        <v>1</v>
      </c>
      <c r="DC176" s="3222">
        <f t="shared" ref="DC176:DC186" si="53">IF(AND(D176&lt;&gt;0,OR(AO176="",AP176="",AQ176="",AR176="",AS176="",AT176="")),1,0)</f>
        <v>0</v>
      </c>
      <c r="DD176" s="3222" t="e">
        <f t="shared" ref="DD176:DD186" si="54">IF(D176&lt;(AP176+AQ176),1,0)</f>
        <v>#VALUE!</v>
      </c>
      <c r="DE176" s="3222">
        <f t="shared" ref="DE176:DE186" si="55">IF(D176&lt;AR176,1,0)</f>
        <v>1</v>
      </c>
      <c r="DF176" s="3222">
        <f t="shared" ref="DF176:DF186" si="56">IF(D176&lt;AS176,1,0)</f>
        <v>1</v>
      </c>
      <c r="DG176" s="3222">
        <f t="shared" ref="DG176:DG186" si="57">IF(D176&lt;AT176,1,0)</f>
        <v>1</v>
      </c>
      <c r="DH176" s="3222">
        <f>IF(D176&lt;AU176,1,0)</f>
        <v>1</v>
      </c>
    </row>
    <row r="177" spans="1:112" ht="16.350000000000001" customHeight="1" x14ac:dyDescent="0.3">
      <c r="A177" s="7302" t="s">
        <v>4881</v>
      </c>
      <c r="B177" s="8820"/>
      <c r="C177" s="226" t="s">
        <v>2600</v>
      </c>
      <c r="D177" s="249" t="s">
        <v>5369</v>
      </c>
      <c r="E177" s="277" t="s">
        <v>5370</v>
      </c>
      <c r="F177" s="152" t="s">
        <v>5371</v>
      </c>
      <c r="G177" s="1621" t="s">
        <v>5372</v>
      </c>
      <c r="H177" s="1636" t="s">
        <v>5373</v>
      </c>
      <c r="I177" s="1621" t="s">
        <v>5374</v>
      </c>
      <c r="J177" s="1636" t="s">
        <v>5375</v>
      </c>
      <c r="K177" s="1621" t="s">
        <v>5376</v>
      </c>
      <c r="L177" s="1845" t="s">
        <v>5377</v>
      </c>
      <c r="M177" s="1621" t="s">
        <v>5378</v>
      </c>
      <c r="N177" s="1845" t="s">
        <v>5379</v>
      </c>
      <c r="O177" s="1621" t="s">
        <v>5380</v>
      </c>
      <c r="P177" s="1845" t="s">
        <v>5381</v>
      </c>
      <c r="Q177" s="1621" t="s">
        <v>5382</v>
      </c>
      <c r="R177" s="1845" t="s">
        <v>5383</v>
      </c>
      <c r="S177" s="1621" t="s">
        <v>5384</v>
      </c>
      <c r="T177" s="1845" t="s">
        <v>5385</v>
      </c>
      <c r="U177" s="1621" t="s">
        <v>5386</v>
      </c>
      <c r="V177" s="1845" t="s">
        <v>5387</v>
      </c>
      <c r="W177" s="1621" t="s">
        <v>5388</v>
      </c>
      <c r="X177" s="1845" t="s">
        <v>5389</v>
      </c>
      <c r="Y177" s="1621" t="s">
        <v>5390</v>
      </c>
      <c r="Z177" s="1845" t="s">
        <v>5391</v>
      </c>
      <c r="AA177" s="1621" t="s">
        <v>5392</v>
      </c>
      <c r="AB177" s="1845" t="s">
        <v>5393</v>
      </c>
      <c r="AC177" s="1621" t="s">
        <v>5394</v>
      </c>
      <c r="AD177" s="1845" t="s">
        <v>5395</v>
      </c>
      <c r="AE177" s="1621" t="s">
        <v>5396</v>
      </c>
      <c r="AF177" s="1845" t="s">
        <v>5397</v>
      </c>
      <c r="AG177" s="1621" t="s">
        <v>5398</v>
      </c>
      <c r="AH177" s="1845" t="s">
        <v>5399</v>
      </c>
      <c r="AI177" s="1621" t="s">
        <v>5400</v>
      </c>
      <c r="AJ177" s="1845" t="s">
        <v>5401</v>
      </c>
      <c r="AK177" s="1621" t="s">
        <v>5402</v>
      </c>
      <c r="AL177" s="1845" t="s">
        <v>5403</v>
      </c>
      <c r="AM177" s="1637" t="s">
        <v>5404</v>
      </c>
      <c r="AN177" s="1838" t="s">
        <v>5405</v>
      </c>
      <c r="AO177" s="1636" t="s">
        <v>5406</v>
      </c>
      <c r="AP177" s="1666" t="s">
        <v>5407</v>
      </c>
      <c r="AQ177" s="1636" t="s">
        <v>5408</v>
      </c>
      <c r="AR177" s="102" t="s">
        <v>5409</v>
      </c>
      <c r="AS177" s="127" t="s">
        <v>5410</v>
      </c>
      <c r="AT177" s="127" t="s">
        <v>5411</v>
      </c>
      <c r="AU177" s="127" t="s">
        <v>5412</v>
      </c>
      <c r="AV177" s="1433" t="e">
        <f t="shared" ref="AV177:AV186" si="58">CB177&amp;CC177&amp;CD177&amp;CE177&amp;CF177&amp;CG177&amp;CH177</f>
        <v>#VALUE!</v>
      </c>
      <c r="AW177" s="806"/>
      <c r="AX177" s="806"/>
      <c r="AY177" s="806"/>
      <c r="AZ177" s="806"/>
      <c r="BA177" s="806"/>
      <c r="BB177" s="806"/>
      <c r="BC177" s="806"/>
      <c r="BD177" s="806"/>
      <c r="BE177" s="806"/>
      <c r="BF177" s="290"/>
      <c r="BG177" s="290"/>
      <c r="BH177" s="290"/>
      <c r="BY177" s="165"/>
      <c r="CB177" s="1515" t="str">
        <f t="shared" si="47"/>
        <v xml:space="preserve">* El número de Beneficiarios NO DEBE ser mayor que el Total </v>
      </c>
      <c r="CC177" s="1515" t="str">
        <f t="shared" ref="CC177:CC186" si="59">IF(DC177=1,"* No olvide digitar las columnas Beneficiarios y/o Trans y/o Pueblos Originarios y/o Migrantes y/o Niños, Niñas, Adolescentes y Jóvenes Población SENAME/Mejor Niñez (Digite CEROS si no tiene.). ","")</f>
        <v/>
      </c>
      <c r="CD177" s="1515" t="e">
        <f t="shared" si="48"/>
        <v>#VALUE!</v>
      </c>
      <c r="CE177" s="1515" t="str">
        <f t="shared" si="49"/>
        <v xml:space="preserve">* El número de Pueblos Originarios NO DEBE ser mayor que el Total. </v>
      </c>
      <c r="CF177" s="1515" t="str">
        <f t="shared" si="50"/>
        <v xml:space="preserve">* El número de Migrantes NO DEBE ser mayor que el Total. </v>
      </c>
      <c r="CG177" s="1515" t="str">
        <f t="shared" si="51"/>
        <v xml:space="preserve">* El número de Niños, Niñas, Adolescentes y Jóvenes Población SENAME NO DEBE ser mayor que el Total. </v>
      </c>
      <c r="CH177" s="1515" t="str">
        <f t="shared" ref="CH177:CH186" si="60">IF(DH177=1,"* El número de Niños, Niñas, Adolescentes y Jóvenes Población Mejor Niñez NO DEBE ser mayor que el Total. ","")</f>
        <v xml:space="preserve">* El número de Niños, Niñas, Adolescentes y Jóvenes Población Mejor Niñez NO DEBE ser mayor que el Total. </v>
      </c>
      <c r="DB177" s="3222">
        <f t="shared" si="52"/>
        <v>1</v>
      </c>
      <c r="DC177" s="3222">
        <f t="shared" si="53"/>
        <v>0</v>
      </c>
      <c r="DD177" s="3222" t="e">
        <f t="shared" si="54"/>
        <v>#VALUE!</v>
      </c>
      <c r="DE177" s="3222">
        <f t="shared" si="55"/>
        <v>1</v>
      </c>
      <c r="DF177" s="3222">
        <f t="shared" si="56"/>
        <v>1</v>
      </c>
      <c r="DG177" s="3222">
        <f t="shared" si="57"/>
        <v>1</v>
      </c>
      <c r="DH177" s="3222">
        <f t="shared" ref="DH177:DH186" si="61">IF(D177&lt;AU177,1,0)</f>
        <v>1</v>
      </c>
    </row>
    <row r="178" spans="1:112" ht="16.350000000000001" customHeight="1" x14ac:dyDescent="0.3">
      <c r="A178" s="7302" t="s">
        <v>4882</v>
      </c>
      <c r="B178" s="9567" t="s">
        <v>106</v>
      </c>
      <c r="C178" s="225" t="s">
        <v>2592</v>
      </c>
      <c r="D178" s="273" t="s">
        <v>5369</v>
      </c>
      <c r="E178" s="274" t="s">
        <v>5370</v>
      </c>
      <c r="F178" s="155" t="s">
        <v>5371</v>
      </c>
      <c r="G178" s="1863" t="s">
        <v>5372</v>
      </c>
      <c r="H178" s="1861" t="s">
        <v>5373</v>
      </c>
      <c r="I178" s="1863" t="s">
        <v>5374</v>
      </c>
      <c r="J178" s="1861" t="s">
        <v>5375</v>
      </c>
      <c r="K178" s="1863" t="s">
        <v>5376</v>
      </c>
      <c r="L178" s="1866" t="s">
        <v>5377</v>
      </c>
      <c r="M178" s="1863" t="s">
        <v>5378</v>
      </c>
      <c r="N178" s="1866" t="s">
        <v>5379</v>
      </c>
      <c r="O178" s="1863" t="s">
        <v>5380</v>
      </c>
      <c r="P178" s="1866" t="s">
        <v>5381</v>
      </c>
      <c r="Q178" s="1863" t="s">
        <v>5382</v>
      </c>
      <c r="R178" s="1866" t="s">
        <v>5383</v>
      </c>
      <c r="S178" s="1863" t="s">
        <v>5384</v>
      </c>
      <c r="T178" s="1866" t="s">
        <v>5385</v>
      </c>
      <c r="U178" s="1863" t="s">
        <v>5386</v>
      </c>
      <c r="V178" s="1866" t="s">
        <v>5387</v>
      </c>
      <c r="W178" s="1863" t="s">
        <v>5388</v>
      </c>
      <c r="X178" s="1866" t="s">
        <v>5389</v>
      </c>
      <c r="Y178" s="1863" t="s">
        <v>5390</v>
      </c>
      <c r="Z178" s="1866" t="s">
        <v>5391</v>
      </c>
      <c r="AA178" s="1863" t="s">
        <v>5392</v>
      </c>
      <c r="AB178" s="1866" t="s">
        <v>5393</v>
      </c>
      <c r="AC178" s="1863" t="s">
        <v>5394</v>
      </c>
      <c r="AD178" s="1866" t="s">
        <v>5395</v>
      </c>
      <c r="AE178" s="1863" t="s">
        <v>5396</v>
      </c>
      <c r="AF178" s="1866" t="s">
        <v>5397</v>
      </c>
      <c r="AG178" s="1863" t="s">
        <v>5398</v>
      </c>
      <c r="AH178" s="1866" t="s">
        <v>5399</v>
      </c>
      <c r="AI178" s="1863" t="s">
        <v>5400</v>
      </c>
      <c r="AJ178" s="1866" t="s">
        <v>5401</v>
      </c>
      <c r="AK178" s="1863" t="s">
        <v>5402</v>
      </c>
      <c r="AL178" s="1866" t="s">
        <v>5403</v>
      </c>
      <c r="AM178" s="1869" t="s">
        <v>5404</v>
      </c>
      <c r="AN178" s="1868" t="s">
        <v>5405</v>
      </c>
      <c r="AO178" s="1861" t="s">
        <v>5406</v>
      </c>
      <c r="AP178" s="1862" t="s">
        <v>5407</v>
      </c>
      <c r="AQ178" s="1861" t="s">
        <v>5408</v>
      </c>
      <c r="AR178" s="303" t="s">
        <v>5409</v>
      </c>
      <c r="AS178" s="126" t="s">
        <v>5410</v>
      </c>
      <c r="AT178" s="126" t="s">
        <v>5411</v>
      </c>
      <c r="AU178" s="126" t="s">
        <v>5412</v>
      </c>
      <c r="AV178" s="1433" t="e">
        <f t="shared" si="58"/>
        <v>#VALUE!</v>
      </c>
      <c r="AW178" s="806"/>
      <c r="AX178" s="806"/>
      <c r="AY178" s="806"/>
      <c r="AZ178" s="806"/>
      <c r="BA178" s="806"/>
      <c r="BB178" s="806"/>
      <c r="BC178" s="806"/>
      <c r="BD178" s="806"/>
      <c r="BE178" s="806"/>
      <c r="BF178" s="290"/>
      <c r="BG178" s="290"/>
      <c r="BH178" s="290"/>
      <c r="BY178" s="165"/>
      <c r="CB178" s="1515" t="str">
        <f t="shared" si="47"/>
        <v xml:space="preserve">* El número de Beneficiarios NO DEBE ser mayor que el Total </v>
      </c>
      <c r="CC178" s="1515" t="str">
        <f t="shared" si="59"/>
        <v/>
      </c>
      <c r="CD178" s="1515" t="e">
        <f t="shared" si="48"/>
        <v>#VALUE!</v>
      </c>
      <c r="CE178" s="1515" t="str">
        <f t="shared" si="49"/>
        <v xml:space="preserve">* El número de Pueblos Originarios NO DEBE ser mayor que el Total. </v>
      </c>
      <c r="CF178" s="1515" t="str">
        <f t="shared" si="50"/>
        <v xml:space="preserve">* El número de Migrantes NO DEBE ser mayor que el Total. </v>
      </c>
      <c r="CG178" s="1515" t="str">
        <f t="shared" si="51"/>
        <v xml:space="preserve">* El número de Niños, Niñas, Adolescentes y Jóvenes Población SENAME NO DEBE ser mayor que el Total. </v>
      </c>
      <c r="CH178" s="1515" t="str">
        <f t="shared" si="60"/>
        <v xml:space="preserve">* El número de Niños, Niñas, Adolescentes y Jóvenes Población Mejor Niñez NO DEBE ser mayor que el Total. </v>
      </c>
      <c r="DB178" s="3222">
        <f t="shared" si="52"/>
        <v>1</v>
      </c>
      <c r="DC178" s="3222">
        <f t="shared" si="53"/>
        <v>0</v>
      </c>
      <c r="DD178" s="3222" t="e">
        <f t="shared" si="54"/>
        <v>#VALUE!</v>
      </c>
      <c r="DE178" s="3222">
        <f t="shared" si="55"/>
        <v>1</v>
      </c>
      <c r="DF178" s="3222">
        <f t="shared" si="56"/>
        <v>1</v>
      </c>
      <c r="DG178" s="3222">
        <f t="shared" si="57"/>
        <v>1</v>
      </c>
      <c r="DH178" s="3222">
        <f t="shared" si="61"/>
        <v>1</v>
      </c>
    </row>
    <row r="179" spans="1:112" ht="16.350000000000001" customHeight="1" x14ac:dyDescent="0.3">
      <c r="A179" s="7302" t="s">
        <v>4883</v>
      </c>
      <c r="B179" s="9568"/>
      <c r="C179" s="3433" t="s">
        <v>2600</v>
      </c>
      <c r="D179" s="275" t="s">
        <v>5369</v>
      </c>
      <c r="E179" s="276" t="s">
        <v>5370</v>
      </c>
      <c r="F179" s="158" t="s">
        <v>5371</v>
      </c>
      <c r="G179" s="1842" t="s">
        <v>5372</v>
      </c>
      <c r="H179" s="1843" t="s">
        <v>5373</v>
      </c>
      <c r="I179" s="1842" t="s">
        <v>5374</v>
      </c>
      <c r="J179" s="1843" t="s">
        <v>5375</v>
      </c>
      <c r="K179" s="1842" t="s">
        <v>5376</v>
      </c>
      <c r="L179" s="1844" t="s">
        <v>5377</v>
      </c>
      <c r="M179" s="1842" t="s">
        <v>5378</v>
      </c>
      <c r="N179" s="1844" t="s">
        <v>5379</v>
      </c>
      <c r="O179" s="1842" t="s">
        <v>5380</v>
      </c>
      <c r="P179" s="1844" t="s">
        <v>5381</v>
      </c>
      <c r="Q179" s="1842" t="s">
        <v>5382</v>
      </c>
      <c r="R179" s="1844" t="s">
        <v>5383</v>
      </c>
      <c r="S179" s="1842" t="s">
        <v>5384</v>
      </c>
      <c r="T179" s="1844" t="s">
        <v>5385</v>
      </c>
      <c r="U179" s="1842" t="s">
        <v>5386</v>
      </c>
      <c r="V179" s="1844" t="s">
        <v>5387</v>
      </c>
      <c r="W179" s="1842" t="s">
        <v>5388</v>
      </c>
      <c r="X179" s="1844" t="s">
        <v>5389</v>
      </c>
      <c r="Y179" s="1842" t="s">
        <v>5390</v>
      </c>
      <c r="Z179" s="1844" t="s">
        <v>5391</v>
      </c>
      <c r="AA179" s="1842" t="s">
        <v>5392</v>
      </c>
      <c r="AB179" s="1844" t="s">
        <v>5393</v>
      </c>
      <c r="AC179" s="1842" t="s">
        <v>5394</v>
      </c>
      <c r="AD179" s="1844" t="s">
        <v>5395</v>
      </c>
      <c r="AE179" s="1842" t="s">
        <v>5396</v>
      </c>
      <c r="AF179" s="1844" t="s">
        <v>5397</v>
      </c>
      <c r="AG179" s="1842" t="s">
        <v>5398</v>
      </c>
      <c r="AH179" s="1844" t="s">
        <v>5399</v>
      </c>
      <c r="AI179" s="1842" t="s">
        <v>5400</v>
      </c>
      <c r="AJ179" s="1844" t="s">
        <v>5401</v>
      </c>
      <c r="AK179" s="1842" t="s">
        <v>5402</v>
      </c>
      <c r="AL179" s="1844" t="s">
        <v>5403</v>
      </c>
      <c r="AM179" s="1870" t="s">
        <v>5404</v>
      </c>
      <c r="AN179" s="1834" t="s">
        <v>5405</v>
      </c>
      <c r="AO179" s="1843" t="s">
        <v>5406</v>
      </c>
      <c r="AP179" s="1853" t="s">
        <v>5407</v>
      </c>
      <c r="AQ179" s="1843" t="s">
        <v>5408</v>
      </c>
      <c r="AR179" s="136" t="s">
        <v>5409</v>
      </c>
      <c r="AS179" s="144" t="s">
        <v>5410</v>
      </c>
      <c r="AT179" s="144" t="s">
        <v>5411</v>
      </c>
      <c r="AU179" s="144" t="s">
        <v>5412</v>
      </c>
      <c r="AV179" s="1433" t="e">
        <f t="shared" si="58"/>
        <v>#VALUE!</v>
      </c>
      <c r="AW179" s="806"/>
      <c r="AX179" s="806"/>
      <c r="AY179" s="806"/>
      <c r="AZ179" s="806"/>
      <c r="BA179" s="806"/>
      <c r="BB179" s="806"/>
      <c r="BC179" s="806"/>
      <c r="BD179" s="806"/>
      <c r="BE179" s="806"/>
      <c r="BF179" s="290"/>
      <c r="BG179" s="290"/>
      <c r="BH179" s="290"/>
      <c r="BY179" s="165"/>
      <c r="CB179" s="1515" t="str">
        <f t="shared" si="47"/>
        <v xml:space="preserve">* El número de Beneficiarios NO DEBE ser mayor que el Total </v>
      </c>
      <c r="CC179" s="1515" t="str">
        <f t="shared" si="59"/>
        <v/>
      </c>
      <c r="CD179" s="1515" t="e">
        <f t="shared" si="48"/>
        <v>#VALUE!</v>
      </c>
      <c r="CE179" s="1515" t="str">
        <f t="shared" si="49"/>
        <v xml:space="preserve">* El número de Pueblos Originarios NO DEBE ser mayor que el Total. </v>
      </c>
      <c r="CF179" s="1515" t="str">
        <f t="shared" si="50"/>
        <v xml:space="preserve">* El número de Migrantes NO DEBE ser mayor que el Total. </v>
      </c>
      <c r="CG179" s="1515" t="str">
        <f t="shared" si="51"/>
        <v xml:space="preserve">* El número de Niños, Niñas, Adolescentes y Jóvenes Población SENAME NO DEBE ser mayor que el Total. </v>
      </c>
      <c r="CH179" s="1515" t="str">
        <f t="shared" si="60"/>
        <v xml:space="preserve">* El número de Niños, Niñas, Adolescentes y Jóvenes Población Mejor Niñez NO DEBE ser mayor que el Total. </v>
      </c>
      <c r="DB179" s="3222">
        <f t="shared" si="52"/>
        <v>1</v>
      </c>
      <c r="DC179" s="3222">
        <f t="shared" si="53"/>
        <v>0</v>
      </c>
      <c r="DD179" s="3222" t="e">
        <f t="shared" si="54"/>
        <v>#VALUE!</v>
      </c>
      <c r="DE179" s="3222">
        <f t="shared" si="55"/>
        <v>1</v>
      </c>
      <c r="DF179" s="3222">
        <f t="shared" si="56"/>
        <v>1</v>
      </c>
      <c r="DG179" s="3222">
        <f t="shared" si="57"/>
        <v>1</v>
      </c>
      <c r="DH179" s="3222">
        <f t="shared" si="61"/>
        <v>1</v>
      </c>
    </row>
    <row r="180" spans="1:112" ht="16.350000000000001" customHeight="1" x14ac:dyDescent="0.3">
      <c r="A180" s="7302" t="s">
        <v>4884</v>
      </c>
      <c r="B180" s="9569"/>
      <c r="C180" s="3434" t="s">
        <v>60</v>
      </c>
      <c r="D180" s="249" t="s">
        <v>5369</v>
      </c>
      <c r="E180" s="277" t="s">
        <v>5370</v>
      </c>
      <c r="F180" s="152" t="s">
        <v>5371</v>
      </c>
      <c r="G180" s="1621" t="s">
        <v>5372</v>
      </c>
      <c r="H180" s="1636" t="s">
        <v>5373</v>
      </c>
      <c r="I180" s="1621" t="s">
        <v>5374</v>
      </c>
      <c r="J180" s="1636" t="s">
        <v>5375</v>
      </c>
      <c r="K180" s="1621" t="s">
        <v>5376</v>
      </c>
      <c r="L180" s="1845" t="s">
        <v>5377</v>
      </c>
      <c r="M180" s="1621" t="s">
        <v>5378</v>
      </c>
      <c r="N180" s="1845" t="s">
        <v>5379</v>
      </c>
      <c r="O180" s="1621" t="s">
        <v>5380</v>
      </c>
      <c r="P180" s="1845" t="s">
        <v>5381</v>
      </c>
      <c r="Q180" s="1621" t="s">
        <v>5382</v>
      </c>
      <c r="R180" s="1845" t="s">
        <v>5383</v>
      </c>
      <c r="S180" s="1621" t="s">
        <v>5384</v>
      </c>
      <c r="T180" s="1845" t="s">
        <v>5385</v>
      </c>
      <c r="U180" s="1621" t="s">
        <v>5386</v>
      </c>
      <c r="V180" s="1845" t="s">
        <v>5387</v>
      </c>
      <c r="W180" s="1621" t="s">
        <v>5388</v>
      </c>
      <c r="X180" s="1845" t="s">
        <v>5389</v>
      </c>
      <c r="Y180" s="1621" t="s">
        <v>5390</v>
      </c>
      <c r="Z180" s="1845" t="s">
        <v>5391</v>
      </c>
      <c r="AA180" s="1621" t="s">
        <v>5392</v>
      </c>
      <c r="AB180" s="1845" t="s">
        <v>5393</v>
      </c>
      <c r="AC180" s="1621" t="s">
        <v>5394</v>
      </c>
      <c r="AD180" s="1845" t="s">
        <v>5395</v>
      </c>
      <c r="AE180" s="1621" t="s">
        <v>5396</v>
      </c>
      <c r="AF180" s="1845" t="s">
        <v>5397</v>
      </c>
      <c r="AG180" s="1621" t="s">
        <v>5398</v>
      </c>
      <c r="AH180" s="1845" t="s">
        <v>5399</v>
      </c>
      <c r="AI180" s="1621" t="s">
        <v>5400</v>
      </c>
      <c r="AJ180" s="1845" t="s">
        <v>5401</v>
      </c>
      <c r="AK180" s="1621" t="s">
        <v>5402</v>
      </c>
      <c r="AL180" s="1845" t="s">
        <v>5403</v>
      </c>
      <c r="AM180" s="1637" t="s">
        <v>5404</v>
      </c>
      <c r="AN180" s="1838" t="s">
        <v>5405</v>
      </c>
      <c r="AO180" s="1636" t="s">
        <v>5406</v>
      </c>
      <c r="AP180" s="1666" t="s">
        <v>5407</v>
      </c>
      <c r="AQ180" s="1636" t="s">
        <v>5408</v>
      </c>
      <c r="AR180" s="102" t="s">
        <v>5409</v>
      </c>
      <c r="AS180" s="127" t="s">
        <v>5410</v>
      </c>
      <c r="AT180" s="127" t="s">
        <v>5411</v>
      </c>
      <c r="AU180" s="127" t="s">
        <v>5412</v>
      </c>
      <c r="AV180" s="1433" t="e">
        <f t="shared" si="58"/>
        <v>#VALUE!</v>
      </c>
      <c r="AW180" s="806"/>
      <c r="AX180" s="806"/>
      <c r="AY180" s="806"/>
      <c r="AZ180" s="806"/>
      <c r="BA180" s="806"/>
      <c r="BB180" s="806"/>
      <c r="BC180" s="806"/>
      <c r="BD180" s="806"/>
      <c r="BE180" s="806"/>
      <c r="BF180" s="290"/>
      <c r="BG180" s="290"/>
      <c r="BH180" s="290"/>
      <c r="BY180" s="165"/>
      <c r="CB180" s="1515" t="str">
        <f t="shared" si="47"/>
        <v xml:space="preserve">* El número de Beneficiarios NO DEBE ser mayor que el Total </v>
      </c>
      <c r="CC180" s="1515" t="str">
        <f t="shared" si="59"/>
        <v/>
      </c>
      <c r="CD180" s="1515" t="e">
        <f t="shared" si="48"/>
        <v>#VALUE!</v>
      </c>
      <c r="CE180" s="1515" t="str">
        <f t="shared" si="49"/>
        <v xml:space="preserve">* El número de Pueblos Originarios NO DEBE ser mayor que el Total. </v>
      </c>
      <c r="CF180" s="1515" t="str">
        <f t="shared" si="50"/>
        <v xml:space="preserve">* El número de Migrantes NO DEBE ser mayor que el Total. </v>
      </c>
      <c r="CG180" s="1515" t="str">
        <f t="shared" si="51"/>
        <v xml:space="preserve">* El número de Niños, Niñas, Adolescentes y Jóvenes Población SENAME NO DEBE ser mayor que el Total. </v>
      </c>
      <c r="CH180" s="1515" t="str">
        <f t="shared" si="60"/>
        <v xml:space="preserve">* El número de Niños, Niñas, Adolescentes y Jóvenes Población Mejor Niñez NO DEBE ser mayor que el Total. </v>
      </c>
      <c r="DB180" s="3222">
        <f t="shared" si="52"/>
        <v>1</v>
      </c>
      <c r="DC180" s="3222">
        <f t="shared" si="53"/>
        <v>0</v>
      </c>
      <c r="DD180" s="3222" t="e">
        <f t="shared" si="54"/>
        <v>#VALUE!</v>
      </c>
      <c r="DE180" s="3222">
        <f t="shared" si="55"/>
        <v>1</v>
      </c>
      <c r="DF180" s="3222">
        <f t="shared" si="56"/>
        <v>1</v>
      </c>
      <c r="DG180" s="3222">
        <f t="shared" si="57"/>
        <v>1</v>
      </c>
      <c r="DH180" s="3222">
        <f t="shared" si="61"/>
        <v>1</v>
      </c>
    </row>
    <row r="181" spans="1:112" ht="16.350000000000001" customHeight="1" x14ac:dyDescent="0.3">
      <c r="A181" s="7302" t="s">
        <v>4885</v>
      </c>
      <c r="B181" s="9523" t="s">
        <v>107</v>
      </c>
      <c r="C181" s="225" t="s">
        <v>2592</v>
      </c>
      <c r="D181" s="273" t="s">
        <v>5369</v>
      </c>
      <c r="E181" s="274" t="s">
        <v>5370</v>
      </c>
      <c r="F181" s="155" t="s">
        <v>5371</v>
      </c>
      <c r="G181" s="1863" t="s">
        <v>5372</v>
      </c>
      <c r="H181" s="1861" t="s">
        <v>5373</v>
      </c>
      <c r="I181" s="1863" t="s">
        <v>5374</v>
      </c>
      <c r="J181" s="1861" t="s">
        <v>5375</v>
      </c>
      <c r="K181" s="1863" t="s">
        <v>5376</v>
      </c>
      <c r="L181" s="1866" t="s">
        <v>5377</v>
      </c>
      <c r="M181" s="1863" t="s">
        <v>5378</v>
      </c>
      <c r="N181" s="1866" t="s">
        <v>5379</v>
      </c>
      <c r="O181" s="1863" t="s">
        <v>5380</v>
      </c>
      <c r="P181" s="1866" t="s">
        <v>5381</v>
      </c>
      <c r="Q181" s="1863" t="s">
        <v>5382</v>
      </c>
      <c r="R181" s="1866" t="s">
        <v>5383</v>
      </c>
      <c r="S181" s="1863" t="s">
        <v>5384</v>
      </c>
      <c r="T181" s="1866" t="s">
        <v>5385</v>
      </c>
      <c r="U181" s="1863" t="s">
        <v>5386</v>
      </c>
      <c r="V181" s="1866" t="s">
        <v>5387</v>
      </c>
      <c r="W181" s="1863" t="s">
        <v>5388</v>
      </c>
      <c r="X181" s="1861" t="s">
        <v>5389</v>
      </c>
      <c r="Y181" s="1863" t="s">
        <v>5390</v>
      </c>
      <c r="Z181" s="1866" t="s">
        <v>5391</v>
      </c>
      <c r="AA181" s="1863" t="s">
        <v>5392</v>
      </c>
      <c r="AB181" s="1866" t="s">
        <v>5393</v>
      </c>
      <c r="AC181" s="1863" t="s">
        <v>5394</v>
      </c>
      <c r="AD181" s="1866" t="s">
        <v>5395</v>
      </c>
      <c r="AE181" s="1863" t="s">
        <v>5396</v>
      </c>
      <c r="AF181" s="1866" t="s">
        <v>5397</v>
      </c>
      <c r="AG181" s="1863" t="s">
        <v>5398</v>
      </c>
      <c r="AH181" s="1866" t="s">
        <v>5399</v>
      </c>
      <c r="AI181" s="1863" t="s">
        <v>5400</v>
      </c>
      <c r="AJ181" s="1866" t="s">
        <v>5401</v>
      </c>
      <c r="AK181" s="1863" t="s">
        <v>5402</v>
      </c>
      <c r="AL181" s="1866" t="s">
        <v>5403</v>
      </c>
      <c r="AM181" s="1869" t="s">
        <v>5404</v>
      </c>
      <c r="AN181" s="1868" t="s">
        <v>5405</v>
      </c>
      <c r="AO181" s="1861" t="s">
        <v>5406</v>
      </c>
      <c r="AP181" s="1862" t="s">
        <v>5407</v>
      </c>
      <c r="AQ181" s="1861" t="s">
        <v>5408</v>
      </c>
      <c r="AR181" s="303" t="s">
        <v>5409</v>
      </c>
      <c r="AS181" s="126" t="s">
        <v>5410</v>
      </c>
      <c r="AT181" s="126" t="s">
        <v>5411</v>
      </c>
      <c r="AU181" s="126" t="s">
        <v>5412</v>
      </c>
      <c r="AV181" s="1433" t="e">
        <f t="shared" si="58"/>
        <v>#VALUE!</v>
      </c>
      <c r="AW181" s="806"/>
      <c r="AX181" s="806"/>
      <c r="AY181" s="806"/>
      <c r="AZ181" s="806"/>
      <c r="BA181" s="806"/>
      <c r="BB181" s="806"/>
      <c r="BC181" s="806"/>
      <c r="BD181" s="806"/>
      <c r="BE181" s="806"/>
      <c r="BF181" s="290"/>
      <c r="BG181" s="290"/>
      <c r="BH181" s="290"/>
      <c r="BY181" s="165"/>
      <c r="CB181" s="1515" t="str">
        <f t="shared" si="47"/>
        <v xml:space="preserve">* El número de Beneficiarios NO DEBE ser mayor que el Total </v>
      </c>
      <c r="CC181" s="1515" t="str">
        <f t="shared" si="59"/>
        <v/>
      </c>
      <c r="CD181" s="1515" t="e">
        <f t="shared" si="48"/>
        <v>#VALUE!</v>
      </c>
      <c r="CE181" s="1515" t="str">
        <f t="shared" si="49"/>
        <v xml:space="preserve">* El número de Pueblos Originarios NO DEBE ser mayor que el Total. </v>
      </c>
      <c r="CF181" s="1515" t="str">
        <f t="shared" si="50"/>
        <v xml:space="preserve">* El número de Migrantes NO DEBE ser mayor que el Total. </v>
      </c>
      <c r="CG181" s="1515" t="str">
        <f t="shared" si="51"/>
        <v xml:space="preserve">* El número de Niños, Niñas, Adolescentes y Jóvenes Población SENAME NO DEBE ser mayor que el Total. </v>
      </c>
      <c r="CH181" s="1515" t="str">
        <f t="shared" si="60"/>
        <v xml:space="preserve">* El número de Niños, Niñas, Adolescentes y Jóvenes Población Mejor Niñez NO DEBE ser mayor que el Total. </v>
      </c>
      <c r="DB181" s="3222">
        <f t="shared" si="52"/>
        <v>1</v>
      </c>
      <c r="DC181" s="3222">
        <f t="shared" si="53"/>
        <v>0</v>
      </c>
      <c r="DD181" s="3222" t="e">
        <f t="shared" si="54"/>
        <v>#VALUE!</v>
      </c>
      <c r="DE181" s="3222">
        <f t="shared" si="55"/>
        <v>1</v>
      </c>
      <c r="DF181" s="3222">
        <f t="shared" si="56"/>
        <v>1</v>
      </c>
      <c r="DG181" s="3222">
        <f t="shared" si="57"/>
        <v>1</v>
      </c>
      <c r="DH181" s="3222">
        <f t="shared" si="61"/>
        <v>1</v>
      </c>
    </row>
    <row r="182" spans="1:112" ht="16.350000000000001" customHeight="1" x14ac:dyDescent="0.3">
      <c r="A182" s="7305" t="s">
        <v>4886</v>
      </c>
      <c r="B182" s="8868"/>
      <c r="C182" s="226" t="s">
        <v>2600</v>
      </c>
      <c r="D182" s="275" t="s">
        <v>5369</v>
      </c>
      <c r="E182" s="276" t="s">
        <v>5370</v>
      </c>
      <c r="F182" s="158" t="s">
        <v>5371</v>
      </c>
      <c r="G182" s="1621" t="s">
        <v>5372</v>
      </c>
      <c r="H182" s="1636" t="s">
        <v>5373</v>
      </c>
      <c r="I182" s="1621" t="s">
        <v>5374</v>
      </c>
      <c r="J182" s="1636" t="s">
        <v>5375</v>
      </c>
      <c r="K182" s="1621" t="s">
        <v>5376</v>
      </c>
      <c r="L182" s="1845" t="s">
        <v>5377</v>
      </c>
      <c r="M182" s="1621" t="s">
        <v>5378</v>
      </c>
      <c r="N182" s="1845" t="s">
        <v>5379</v>
      </c>
      <c r="O182" s="1621" t="s">
        <v>5380</v>
      </c>
      <c r="P182" s="1845" t="s">
        <v>5381</v>
      </c>
      <c r="Q182" s="1621" t="s">
        <v>5382</v>
      </c>
      <c r="R182" s="1845" t="s">
        <v>5383</v>
      </c>
      <c r="S182" s="1621" t="s">
        <v>5384</v>
      </c>
      <c r="T182" s="1845" t="s">
        <v>5385</v>
      </c>
      <c r="U182" s="1621" t="s">
        <v>5386</v>
      </c>
      <c r="V182" s="1845" t="s">
        <v>5387</v>
      </c>
      <c r="W182" s="1621" t="s">
        <v>5388</v>
      </c>
      <c r="X182" s="1845" t="s">
        <v>5389</v>
      </c>
      <c r="Y182" s="1621" t="s">
        <v>5390</v>
      </c>
      <c r="Z182" s="1845" t="s">
        <v>5391</v>
      </c>
      <c r="AA182" s="1621" t="s">
        <v>5392</v>
      </c>
      <c r="AB182" s="1845" t="s">
        <v>5393</v>
      </c>
      <c r="AC182" s="1621" t="s">
        <v>5394</v>
      </c>
      <c r="AD182" s="1845" t="s">
        <v>5395</v>
      </c>
      <c r="AE182" s="1621" t="s">
        <v>5396</v>
      </c>
      <c r="AF182" s="1845" t="s">
        <v>5397</v>
      </c>
      <c r="AG182" s="1621" t="s">
        <v>5398</v>
      </c>
      <c r="AH182" s="1845" t="s">
        <v>5399</v>
      </c>
      <c r="AI182" s="1621" t="s">
        <v>5400</v>
      </c>
      <c r="AJ182" s="1845" t="s">
        <v>5401</v>
      </c>
      <c r="AK182" s="1621" t="s">
        <v>5402</v>
      </c>
      <c r="AL182" s="1845" t="s">
        <v>5403</v>
      </c>
      <c r="AM182" s="1637" t="s">
        <v>5404</v>
      </c>
      <c r="AN182" s="1838" t="s">
        <v>5405</v>
      </c>
      <c r="AO182" s="1636" t="s">
        <v>5406</v>
      </c>
      <c r="AP182" s="1666" t="s">
        <v>5407</v>
      </c>
      <c r="AQ182" s="1636" t="s">
        <v>5408</v>
      </c>
      <c r="AR182" s="102" t="s">
        <v>5409</v>
      </c>
      <c r="AS182" s="127" t="s">
        <v>5410</v>
      </c>
      <c r="AT182" s="127" t="s">
        <v>5411</v>
      </c>
      <c r="AU182" s="127" t="s">
        <v>5412</v>
      </c>
      <c r="AV182" s="1433" t="e">
        <f t="shared" si="58"/>
        <v>#VALUE!</v>
      </c>
      <c r="AW182" s="806"/>
      <c r="AX182" s="806"/>
      <c r="AY182" s="806"/>
      <c r="AZ182" s="806"/>
      <c r="BA182" s="806"/>
      <c r="BB182" s="806"/>
      <c r="BC182" s="806"/>
      <c r="BD182" s="806"/>
      <c r="BE182" s="806"/>
      <c r="BF182" s="290"/>
      <c r="BG182" s="290"/>
      <c r="BH182" s="290"/>
      <c r="BY182" s="165"/>
      <c r="CB182" s="1515" t="str">
        <f t="shared" si="47"/>
        <v xml:space="preserve">* El número de Beneficiarios NO DEBE ser mayor que el Total </v>
      </c>
      <c r="CC182" s="1515" t="str">
        <f t="shared" si="59"/>
        <v/>
      </c>
      <c r="CD182" s="1515" t="e">
        <f t="shared" si="48"/>
        <v>#VALUE!</v>
      </c>
      <c r="CE182" s="1515" t="str">
        <f t="shared" si="49"/>
        <v xml:space="preserve">* El número de Pueblos Originarios NO DEBE ser mayor que el Total. </v>
      </c>
      <c r="CF182" s="1515" t="str">
        <f t="shared" si="50"/>
        <v xml:space="preserve">* El número de Migrantes NO DEBE ser mayor que el Total. </v>
      </c>
      <c r="CG182" s="1515" t="str">
        <f t="shared" si="51"/>
        <v xml:space="preserve">* El número de Niños, Niñas, Adolescentes y Jóvenes Población SENAME NO DEBE ser mayor que el Total. </v>
      </c>
      <c r="CH182" s="1515" t="str">
        <f t="shared" si="60"/>
        <v xml:space="preserve">* El número de Niños, Niñas, Adolescentes y Jóvenes Población Mejor Niñez NO DEBE ser mayor que el Total. </v>
      </c>
      <c r="DB182" s="3222">
        <f t="shared" si="52"/>
        <v>1</v>
      </c>
      <c r="DC182" s="3222">
        <f t="shared" si="53"/>
        <v>0</v>
      </c>
      <c r="DD182" s="3222" t="e">
        <f t="shared" si="54"/>
        <v>#VALUE!</v>
      </c>
      <c r="DE182" s="3222">
        <f t="shared" si="55"/>
        <v>1</v>
      </c>
      <c r="DF182" s="3222">
        <f t="shared" si="56"/>
        <v>1</v>
      </c>
      <c r="DG182" s="3222">
        <f t="shared" si="57"/>
        <v>1</v>
      </c>
      <c r="DH182" s="3222">
        <f t="shared" si="61"/>
        <v>1</v>
      </c>
    </row>
    <row r="183" spans="1:112" ht="16.350000000000001" customHeight="1" x14ac:dyDescent="0.3">
      <c r="A183" s="7302" t="s">
        <v>4887</v>
      </c>
      <c r="B183" s="9523" t="s">
        <v>108</v>
      </c>
      <c r="C183" s="225" t="s">
        <v>2592</v>
      </c>
      <c r="D183" s="273" t="s">
        <v>5369</v>
      </c>
      <c r="E183" s="274" t="s">
        <v>5370</v>
      </c>
      <c r="F183" s="155" t="s">
        <v>5371</v>
      </c>
      <c r="G183" s="1863" t="s">
        <v>5372</v>
      </c>
      <c r="H183" s="1861" t="s">
        <v>5373</v>
      </c>
      <c r="I183" s="1863" t="s">
        <v>5374</v>
      </c>
      <c r="J183" s="1861" t="s">
        <v>5375</v>
      </c>
      <c r="K183" s="1863" t="s">
        <v>5376</v>
      </c>
      <c r="L183" s="1866" t="s">
        <v>5377</v>
      </c>
      <c r="M183" s="1863" t="s">
        <v>5378</v>
      </c>
      <c r="N183" s="1866" t="s">
        <v>5379</v>
      </c>
      <c r="O183" s="1863" t="s">
        <v>5380</v>
      </c>
      <c r="P183" s="1866" t="s">
        <v>5381</v>
      </c>
      <c r="Q183" s="1863" t="s">
        <v>5382</v>
      </c>
      <c r="R183" s="1866" t="s">
        <v>5383</v>
      </c>
      <c r="S183" s="1863" t="s">
        <v>5384</v>
      </c>
      <c r="T183" s="1866" t="s">
        <v>5385</v>
      </c>
      <c r="U183" s="1863" t="s">
        <v>5386</v>
      </c>
      <c r="V183" s="1866" t="s">
        <v>5387</v>
      </c>
      <c r="W183" s="1885" t="s">
        <v>5388</v>
      </c>
      <c r="X183" s="1668" t="s">
        <v>5389</v>
      </c>
      <c r="Y183" s="1885" t="s">
        <v>5390</v>
      </c>
      <c r="Z183" s="1668" t="s">
        <v>5391</v>
      </c>
      <c r="AA183" s="1885" t="s">
        <v>5392</v>
      </c>
      <c r="AB183" s="1668" t="s">
        <v>5393</v>
      </c>
      <c r="AC183" s="1885" t="s">
        <v>5394</v>
      </c>
      <c r="AD183" s="1668" t="s">
        <v>5395</v>
      </c>
      <c r="AE183" s="1885" t="s">
        <v>5396</v>
      </c>
      <c r="AF183" s="1668" t="s">
        <v>5397</v>
      </c>
      <c r="AG183" s="1885" t="s">
        <v>5398</v>
      </c>
      <c r="AH183" s="1668" t="s">
        <v>5399</v>
      </c>
      <c r="AI183" s="1885" t="s">
        <v>5400</v>
      </c>
      <c r="AJ183" s="1668" t="s">
        <v>5401</v>
      </c>
      <c r="AK183" s="1885" t="s">
        <v>5402</v>
      </c>
      <c r="AL183" s="1668" t="s">
        <v>5403</v>
      </c>
      <c r="AM183" s="1886" t="s">
        <v>5404</v>
      </c>
      <c r="AN183" s="1701" t="s">
        <v>5405</v>
      </c>
      <c r="AO183" s="1861" t="s">
        <v>5406</v>
      </c>
      <c r="AP183" s="1862" t="s">
        <v>5407</v>
      </c>
      <c r="AQ183" s="1861" t="s">
        <v>5408</v>
      </c>
      <c r="AR183" s="303" t="s">
        <v>5409</v>
      </c>
      <c r="AS183" s="126" t="s">
        <v>5410</v>
      </c>
      <c r="AT183" s="126" t="s">
        <v>5411</v>
      </c>
      <c r="AU183" s="126" t="s">
        <v>5412</v>
      </c>
      <c r="AV183" s="1433" t="e">
        <f t="shared" si="58"/>
        <v>#VALUE!</v>
      </c>
      <c r="AW183" s="806"/>
      <c r="AX183" s="806"/>
      <c r="AY183" s="806"/>
      <c r="AZ183" s="806"/>
      <c r="BA183" s="806"/>
      <c r="BB183" s="806"/>
      <c r="BC183" s="806"/>
      <c r="BD183" s="806"/>
      <c r="BE183" s="806"/>
      <c r="BF183" s="290"/>
      <c r="BG183" s="290"/>
      <c r="BH183" s="290"/>
      <c r="BY183" s="165"/>
      <c r="CB183" s="1515" t="str">
        <f t="shared" si="47"/>
        <v xml:space="preserve">* El número de Beneficiarios NO DEBE ser mayor que el Total </v>
      </c>
      <c r="CC183" s="1515" t="str">
        <f t="shared" si="59"/>
        <v/>
      </c>
      <c r="CD183" s="1515" t="e">
        <f t="shared" si="48"/>
        <v>#VALUE!</v>
      </c>
      <c r="CE183" s="1515" t="str">
        <f t="shared" si="49"/>
        <v xml:space="preserve">* El número de Pueblos Originarios NO DEBE ser mayor que el Total. </v>
      </c>
      <c r="CF183" s="1515" t="str">
        <f t="shared" si="50"/>
        <v xml:space="preserve">* El número de Migrantes NO DEBE ser mayor que el Total. </v>
      </c>
      <c r="CG183" s="1515" t="str">
        <f t="shared" si="51"/>
        <v xml:space="preserve">* El número de Niños, Niñas, Adolescentes y Jóvenes Población SENAME NO DEBE ser mayor que el Total. </v>
      </c>
      <c r="CH183" s="1515" t="str">
        <f t="shared" si="60"/>
        <v xml:space="preserve">* El número de Niños, Niñas, Adolescentes y Jóvenes Población Mejor Niñez NO DEBE ser mayor que el Total. </v>
      </c>
      <c r="DB183" s="3222">
        <f t="shared" si="52"/>
        <v>1</v>
      </c>
      <c r="DC183" s="3222">
        <f t="shared" si="53"/>
        <v>0</v>
      </c>
      <c r="DD183" s="3222" t="e">
        <f t="shared" si="54"/>
        <v>#VALUE!</v>
      </c>
      <c r="DE183" s="3222">
        <f t="shared" si="55"/>
        <v>1</v>
      </c>
      <c r="DF183" s="3222">
        <f t="shared" si="56"/>
        <v>1</v>
      </c>
      <c r="DG183" s="3222">
        <f t="shared" si="57"/>
        <v>1</v>
      </c>
      <c r="DH183" s="3222">
        <f t="shared" si="61"/>
        <v>1</v>
      </c>
    </row>
    <row r="184" spans="1:112" ht="16.350000000000001" customHeight="1" x14ac:dyDescent="0.3">
      <c r="A184" s="7302" t="s">
        <v>4888</v>
      </c>
      <c r="B184" s="8868"/>
      <c r="C184" s="226" t="s">
        <v>2600</v>
      </c>
      <c r="D184" s="275" t="s">
        <v>5369</v>
      </c>
      <c r="E184" s="276" t="s">
        <v>5370</v>
      </c>
      <c r="F184" s="158" t="s">
        <v>5371</v>
      </c>
      <c r="G184" s="1621" t="s">
        <v>5372</v>
      </c>
      <c r="H184" s="1636" t="s">
        <v>5373</v>
      </c>
      <c r="I184" s="1621" t="s">
        <v>5374</v>
      </c>
      <c r="J184" s="1636" t="s">
        <v>5375</v>
      </c>
      <c r="K184" s="1621" t="s">
        <v>5376</v>
      </c>
      <c r="L184" s="1845" t="s">
        <v>5377</v>
      </c>
      <c r="M184" s="1621" t="s">
        <v>5378</v>
      </c>
      <c r="N184" s="1845" t="s">
        <v>5379</v>
      </c>
      <c r="O184" s="1621" t="s">
        <v>5380</v>
      </c>
      <c r="P184" s="1845" t="s">
        <v>5381</v>
      </c>
      <c r="Q184" s="1621" t="s">
        <v>5382</v>
      </c>
      <c r="R184" s="1845" t="s">
        <v>5383</v>
      </c>
      <c r="S184" s="1621" t="s">
        <v>5384</v>
      </c>
      <c r="T184" s="1845" t="s">
        <v>5385</v>
      </c>
      <c r="U184" s="1621" t="s">
        <v>5386</v>
      </c>
      <c r="V184" s="1845" t="s">
        <v>5387</v>
      </c>
      <c r="W184" s="828" t="s">
        <v>5388</v>
      </c>
      <c r="X184" s="918" t="s">
        <v>5389</v>
      </c>
      <c r="Y184" s="1885" t="s">
        <v>5390</v>
      </c>
      <c r="Z184" s="1668" t="s">
        <v>5391</v>
      </c>
      <c r="AA184" s="1885" t="s">
        <v>5392</v>
      </c>
      <c r="AB184" s="1668" t="s">
        <v>5393</v>
      </c>
      <c r="AC184" s="1885" t="s">
        <v>5394</v>
      </c>
      <c r="AD184" s="1668" t="s">
        <v>5395</v>
      </c>
      <c r="AE184" s="1885" t="s">
        <v>5396</v>
      </c>
      <c r="AF184" s="1668" t="s">
        <v>5397</v>
      </c>
      <c r="AG184" s="1885" t="s">
        <v>5398</v>
      </c>
      <c r="AH184" s="1668" t="s">
        <v>5399</v>
      </c>
      <c r="AI184" s="1885" t="s">
        <v>5400</v>
      </c>
      <c r="AJ184" s="1668" t="s">
        <v>5401</v>
      </c>
      <c r="AK184" s="1885" t="s">
        <v>5402</v>
      </c>
      <c r="AL184" s="1668" t="s">
        <v>5403</v>
      </c>
      <c r="AM184" s="1886" t="s">
        <v>5404</v>
      </c>
      <c r="AN184" s="1701" t="s">
        <v>5405</v>
      </c>
      <c r="AO184" s="918" t="s">
        <v>5406</v>
      </c>
      <c r="AP184" s="1667" t="s">
        <v>5407</v>
      </c>
      <c r="AQ184" s="918" t="s">
        <v>5408</v>
      </c>
      <c r="AR184" s="100" t="s">
        <v>5409</v>
      </c>
      <c r="AS184" s="143" t="s">
        <v>5410</v>
      </c>
      <c r="AT184" s="143" t="s">
        <v>5411</v>
      </c>
      <c r="AU184" s="143" t="s">
        <v>5412</v>
      </c>
      <c r="AV184" s="1433" t="e">
        <f t="shared" si="58"/>
        <v>#VALUE!</v>
      </c>
      <c r="AW184" s="806"/>
      <c r="AX184" s="806"/>
      <c r="AY184" s="806"/>
      <c r="AZ184" s="806"/>
      <c r="BA184" s="806"/>
      <c r="BB184" s="806"/>
      <c r="BC184" s="806"/>
      <c r="BD184" s="806"/>
      <c r="BE184" s="806"/>
      <c r="BF184" s="290"/>
      <c r="BG184" s="290"/>
      <c r="BH184" s="290"/>
      <c r="BY184" s="165"/>
      <c r="CB184" s="1515" t="str">
        <f t="shared" si="47"/>
        <v xml:space="preserve">* El número de Beneficiarios NO DEBE ser mayor que el Total </v>
      </c>
      <c r="CC184" s="1515" t="str">
        <f t="shared" si="59"/>
        <v/>
      </c>
      <c r="CD184" s="1515" t="e">
        <f t="shared" si="48"/>
        <v>#VALUE!</v>
      </c>
      <c r="CE184" s="1515" t="str">
        <f t="shared" si="49"/>
        <v xml:space="preserve">* El número de Pueblos Originarios NO DEBE ser mayor que el Total. </v>
      </c>
      <c r="CF184" s="1515" t="str">
        <f t="shared" si="50"/>
        <v xml:space="preserve">* El número de Migrantes NO DEBE ser mayor que el Total. </v>
      </c>
      <c r="CG184" s="1515" t="str">
        <f t="shared" si="51"/>
        <v xml:space="preserve">* El número de Niños, Niñas, Adolescentes y Jóvenes Población SENAME NO DEBE ser mayor que el Total. </v>
      </c>
      <c r="CH184" s="1515" t="str">
        <f t="shared" si="60"/>
        <v xml:space="preserve">* El número de Niños, Niñas, Adolescentes y Jóvenes Población Mejor Niñez NO DEBE ser mayor que el Total. </v>
      </c>
      <c r="DB184" s="3222">
        <f t="shared" si="52"/>
        <v>1</v>
      </c>
      <c r="DC184" s="3222">
        <f t="shared" si="53"/>
        <v>0</v>
      </c>
      <c r="DD184" s="3222" t="e">
        <f t="shared" si="54"/>
        <v>#VALUE!</v>
      </c>
      <c r="DE184" s="3222">
        <f t="shared" si="55"/>
        <v>1</v>
      </c>
      <c r="DF184" s="3222">
        <f t="shared" si="56"/>
        <v>1</v>
      </c>
      <c r="DG184" s="3222">
        <f t="shared" si="57"/>
        <v>1</v>
      </c>
      <c r="DH184" s="3222">
        <f t="shared" si="61"/>
        <v>1</v>
      </c>
    </row>
    <row r="185" spans="1:112" ht="16.350000000000001" customHeight="1" x14ac:dyDescent="0.3">
      <c r="A185" s="7302" t="s">
        <v>4889</v>
      </c>
      <c r="B185" s="9507" t="s">
        <v>109</v>
      </c>
      <c r="C185" s="225" t="s">
        <v>2592</v>
      </c>
      <c r="D185" s="281" t="s">
        <v>5369</v>
      </c>
      <c r="E185" s="282" t="s">
        <v>5370</v>
      </c>
      <c r="F185" s="217" t="s">
        <v>5371</v>
      </c>
      <c r="G185" s="1887" t="s">
        <v>5372</v>
      </c>
      <c r="H185" s="1888" t="s">
        <v>5373</v>
      </c>
      <c r="I185" s="1887" t="s">
        <v>5374</v>
      </c>
      <c r="J185" s="1888" t="s">
        <v>5375</v>
      </c>
      <c r="K185" s="1887" t="s">
        <v>5376</v>
      </c>
      <c r="L185" s="1888" t="s">
        <v>5377</v>
      </c>
      <c r="M185" s="1889" t="s">
        <v>5378</v>
      </c>
      <c r="N185" s="1890" t="s">
        <v>5379</v>
      </c>
      <c r="O185" s="1891" t="s">
        <v>5380</v>
      </c>
      <c r="P185" s="1890" t="s">
        <v>5381</v>
      </c>
      <c r="Q185" s="1891" t="s">
        <v>5382</v>
      </c>
      <c r="R185" s="1890" t="s">
        <v>5383</v>
      </c>
      <c r="S185" s="1891" t="s">
        <v>5384</v>
      </c>
      <c r="T185" s="1890" t="s">
        <v>5385</v>
      </c>
      <c r="U185" s="1891" t="s">
        <v>5386</v>
      </c>
      <c r="V185" s="1890" t="s">
        <v>5387</v>
      </c>
      <c r="W185" s="1891" t="s">
        <v>5388</v>
      </c>
      <c r="X185" s="1890" t="s">
        <v>5389</v>
      </c>
      <c r="Y185" s="1891" t="s">
        <v>5390</v>
      </c>
      <c r="Z185" s="1890" t="s">
        <v>5391</v>
      </c>
      <c r="AA185" s="1891" t="s">
        <v>5392</v>
      </c>
      <c r="AB185" s="1890" t="s">
        <v>5393</v>
      </c>
      <c r="AC185" s="1891" t="s">
        <v>5394</v>
      </c>
      <c r="AD185" s="1890" t="s">
        <v>5395</v>
      </c>
      <c r="AE185" s="1891" t="s">
        <v>5396</v>
      </c>
      <c r="AF185" s="1890" t="s">
        <v>5397</v>
      </c>
      <c r="AG185" s="1891" t="s">
        <v>5398</v>
      </c>
      <c r="AH185" s="1890" t="s">
        <v>5399</v>
      </c>
      <c r="AI185" s="1891" t="s">
        <v>5400</v>
      </c>
      <c r="AJ185" s="1890" t="s">
        <v>5401</v>
      </c>
      <c r="AK185" s="1891" t="s">
        <v>5402</v>
      </c>
      <c r="AL185" s="1890" t="s">
        <v>5403</v>
      </c>
      <c r="AM185" s="1892" t="s">
        <v>5404</v>
      </c>
      <c r="AN185" s="1893" t="s">
        <v>5405</v>
      </c>
      <c r="AO185" s="1877" t="s">
        <v>5406</v>
      </c>
      <c r="AP185" s="1881" t="s">
        <v>5407</v>
      </c>
      <c r="AQ185" s="1877" t="s">
        <v>5408</v>
      </c>
      <c r="AR185" s="307" t="s">
        <v>5409</v>
      </c>
      <c r="AS185" s="216" t="s">
        <v>5410</v>
      </c>
      <c r="AT185" s="216" t="s">
        <v>5411</v>
      </c>
      <c r="AU185" s="216" t="s">
        <v>5412</v>
      </c>
      <c r="AV185" s="1433" t="e">
        <f t="shared" si="58"/>
        <v>#VALUE!</v>
      </c>
      <c r="AW185" s="806"/>
      <c r="AX185" s="806"/>
      <c r="AY185" s="806"/>
      <c r="AZ185" s="806"/>
      <c r="BA185" s="806"/>
      <c r="BB185" s="806"/>
      <c r="BC185" s="806"/>
      <c r="BD185" s="806"/>
      <c r="BE185" s="806"/>
      <c r="BF185" s="290"/>
      <c r="BG185" s="290"/>
      <c r="BH185" s="290"/>
      <c r="BY185" s="165"/>
      <c r="CB185" s="1515" t="str">
        <f t="shared" si="47"/>
        <v xml:space="preserve">* El número de Beneficiarios NO DEBE ser mayor que el Total </v>
      </c>
      <c r="CC185" s="1515" t="str">
        <f t="shared" si="59"/>
        <v/>
      </c>
      <c r="CD185" s="1515" t="e">
        <f t="shared" si="48"/>
        <v>#VALUE!</v>
      </c>
      <c r="CE185" s="1515" t="str">
        <f t="shared" si="49"/>
        <v xml:space="preserve">* El número de Pueblos Originarios NO DEBE ser mayor que el Total. </v>
      </c>
      <c r="CF185" s="1515" t="str">
        <f t="shared" si="50"/>
        <v xml:space="preserve">* El número de Migrantes NO DEBE ser mayor que el Total. </v>
      </c>
      <c r="CG185" s="1515" t="str">
        <f t="shared" si="51"/>
        <v xml:space="preserve">* El número de Niños, Niñas, Adolescentes y Jóvenes Población SENAME NO DEBE ser mayor que el Total. </v>
      </c>
      <c r="CH185" s="1515" t="str">
        <f t="shared" si="60"/>
        <v xml:space="preserve">* El número de Niños, Niñas, Adolescentes y Jóvenes Población Mejor Niñez NO DEBE ser mayor que el Total. </v>
      </c>
      <c r="DB185" s="3222">
        <f t="shared" si="52"/>
        <v>1</v>
      </c>
      <c r="DC185" s="3222">
        <f t="shared" si="53"/>
        <v>0</v>
      </c>
      <c r="DD185" s="3222" t="e">
        <f t="shared" si="54"/>
        <v>#VALUE!</v>
      </c>
      <c r="DE185" s="3222">
        <f t="shared" si="55"/>
        <v>1</v>
      </c>
      <c r="DF185" s="3222">
        <f t="shared" si="56"/>
        <v>1</v>
      </c>
      <c r="DG185" s="3222">
        <f t="shared" si="57"/>
        <v>1</v>
      </c>
      <c r="DH185" s="3222">
        <f t="shared" si="61"/>
        <v>1</v>
      </c>
    </row>
    <row r="186" spans="1:112" ht="16.350000000000001" customHeight="1" x14ac:dyDescent="0.3">
      <c r="A186" s="7302" t="s">
        <v>4890</v>
      </c>
      <c r="B186" s="9508"/>
      <c r="C186" s="226" t="s">
        <v>2600</v>
      </c>
      <c r="D186" s="249" t="s">
        <v>5369</v>
      </c>
      <c r="E186" s="277" t="s">
        <v>5370</v>
      </c>
      <c r="F186" s="152" t="s">
        <v>5371</v>
      </c>
      <c r="G186" s="1679" t="s">
        <v>5372</v>
      </c>
      <c r="H186" s="1698" t="s">
        <v>5373</v>
      </c>
      <c r="I186" s="1679" t="s">
        <v>5374</v>
      </c>
      <c r="J186" s="1698" t="s">
        <v>5375</v>
      </c>
      <c r="K186" s="1679" t="s">
        <v>5376</v>
      </c>
      <c r="L186" s="1698" t="s">
        <v>5377</v>
      </c>
      <c r="M186" s="1894" t="s">
        <v>5378</v>
      </c>
      <c r="N186" s="1845" t="s">
        <v>5379</v>
      </c>
      <c r="O186" s="1621" t="s">
        <v>5380</v>
      </c>
      <c r="P186" s="1845" t="s">
        <v>5381</v>
      </c>
      <c r="Q186" s="1621" t="s">
        <v>5382</v>
      </c>
      <c r="R186" s="1845" t="s">
        <v>5383</v>
      </c>
      <c r="S186" s="1621" t="s">
        <v>5384</v>
      </c>
      <c r="T186" s="1845" t="s">
        <v>5385</v>
      </c>
      <c r="U186" s="1621" t="s">
        <v>5386</v>
      </c>
      <c r="V186" s="1845" t="s">
        <v>5387</v>
      </c>
      <c r="W186" s="1621" t="s">
        <v>5388</v>
      </c>
      <c r="X186" s="1845" t="s">
        <v>5389</v>
      </c>
      <c r="Y186" s="1621" t="s">
        <v>5390</v>
      </c>
      <c r="Z186" s="1845" t="s">
        <v>5391</v>
      </c>
      <c r="AA186" s="1621" t="s">
        <v>5392</v>
      </c>
      <c r="AB186" s="1845" t="s">
        <v>5393</v>
      </c>
      <c r="AC186" s="1621" t="s">
        <v>5394</v>
      </c>
      <c r="AD186" s="1845" t="s">
        <v>5395</v>
      </c>
      <c r="AE186" s="1621" t="s">
        <v>5396</v>
      </c>
      <c r="AF186" s="1845" t="s">
        <v>5397</v>
      </c>
      <c r="AG186" s="1621" t="s">
        <v>5398</v>
      </c>
      <c r="AH186" s="1845" t="s">
        <v>5399</v>
      </c>
      <c r="AI186" s="1621" t="s">
        <v>5400</v>
      </c>
      <c r="AJ186" s="1845" t="s">
        <v>5401</v>
      </c>
      <c r="AK186" s="1621" t="s">
        <v>5402</v>
      </c>
      <c r="AL186" s="1845" t="s">
        <v>5403</v>
      </c>
      <c r="AM186" s="1637" t="s">
        <v>5404</v>
      </c>
      <c r="AN186" s="1838" t="s">
        <v>5405</v>
      </c>
      <c r="AO186" s="1636" t="s">
        <v>5406</v>
      </c>
      <c r="AP186" s="1666" t="s">
        <v>5407</v>
      </c>
      <c r="AQ186" s="1636" t="s">
        <v>5408</v>
      </c>
      <c r="AR186" s="102" t="s">
        <v>5409</v>
      </c>
      <c r="AS186" s="127" t="s">
        <v>5410</v>
      </c>
      <c r="AT186" s="127" t="s">
        <v>5411</v>
      </c>
      <c r="AU186" s="127" t="s">
        <v>5412</v>
      </c>
      <c r="AV186" s="1433" t="e">
        <f t="shared" si="58"/>
        <v>#VALUE!</v>
      </c>
      <c r="AW186" s="806"/>
      <c r="AX186" s="806"/>
      <c r="AY186" s="806"/>
      <c r="AZ186" s="806"/>
      <c r="BA186" s="806"/>
      <c r="BB186" s="806"/>
      <c r="BC186" s="806"/>
      <c r="BD186" s="806"/>
      <c r="BE186" s="806"/>
      <c r="BF186" s="290"/>
      <c r="BG186" s="290"/>
      <c r="BH186" s="290"/>
      <c r="BY186" s="165"/>
      <c r="CB186" s="1515" t="str">
        <f t="shared" si="47"/>
        <v xml:space="preserve">* El número de Beneficiarios NO DEBE ser mayor que el Total </v>
      </c>
      <c r="CC186" s="1515" t="str">
        <f t="shared" si="59"/>
        <v/>
      </c>
      <c r="CD186" s="1515" t="e">
        <f t="shared" si="48"/>
        <v>#VALUE!</v>
      </c>
      <c r="CE186" s="1515" t="str">
        <f t="shared" si="49"/>
        <v xml:space="preserve">* El número de Pueblos Originarios NO DEBE ser mayor que el Total. </v>
      </c>
      <c r="CF186" s="1515" t="str">
        <f t="shared" si="50"/>
        <v xml:space="preserve">* El número de Migrantes NO DEBE ser mayor que el Total. </v>
      </c>
      <c r="CG186" s="1515" t="str">
        <f t="shared" si="51"/>
        <v xml:space="preserve">* El número de Niños, Niñas, Adolescentes y Jóvenes Población SENAME NO DEBE ser mayor que el Total. </v>
      </c>
      <c r="CH186" s="1515" t="str">
        <f t="shared" si="60"/>
        <v xml:space="preserve">* El número de Niños, Niñas, Adolescentes y Jóvenes Población Mejor Niñez NO DEBE ser mayor que el Total. </v>
      </c>
      <c r="DB186" s="3222">
        <f t="shared" si="52"/>
        <v>1</v>
      </c>
      <c r="DC186" s="3222">
        <f t="shared" si="53"/>
        <v>0</v>
      </c>
      <c r="DD186" s="3222" t="e">
        <f t="shared" si="54"/>
        <v>#VALUE!</v>
      </c>
      <c r="DE186" s="3222">
        <f t="shared" si="55"/>
        <v>1</v>
      </c>
      <c r="DF186" s="3222">
        <f t="shared" si="56"/>
        <v>1</v>
      </c>
      <c r="DG186" s="3222">
        <f t="shared" si="57"/>
        <v>1</v>
      </c>
      <c r="DH186" s="3222">
        <f t="shared" si="61"/>
        <v>1</v>
      </c>
    </row>
    <row r="187" spans="1:112" ht="24" customHeight="1" x14ac:dyDescent="0.3">
      <c r="AB187" s="140"/>
      <c r="AC187" s="140"/>
      <c r="AD187" s="140"/>
      <c r="AE187" s="140"/>
      <c r="AF187" s="140"/>
      <c r="AS187" s="165" t="s">
        <v>196</v>
      </c>
      <c r="AT187" s="290"/>
      <c r="AU187" s="290"/>
      <c r="AV187" s="290"/>
      <c r="AW187" s="290"/>
      <c r="AX187" s="290"/>
      <c r="AY187" s="290"/>
      <c r="AZ187" s="290"/>
      <c r="BA187" s="290"/>
      <c r="BB187" s="290"/>
      <c r="BC187" s="290"/>
      <c r="BD187" s="290"/>
      <c r="BE187" s="290"/>
      <c r="BF187" s="290"/>
      <c r="BG187" s="290"/>
      <c r="BH187" s="290"/>
    </row>
    <row r="188" spans="1:112" ht="22.2" customHeight="1" x14ac:dyDescent="0.3">
      <c r="A188" s="165" t="s">
        <v>4068</v>
      </c>
      <c r="AB188" s="140"/>
      <c r="AC188" s="140"/>
      <c r="AD188" s="140"/>
      <c r="AE188" s="140"/>
      <c r="AF188" s="140"/>
      <c r="AT188" s="290"/>
      <c r="AU188" s="290"/>
      <c r="AV188" s="290"/>
      <c r="AW188" s="290"/>
      <c r="AX188" s="290"/>
      <c r="AY188" s="290"/>
      <c r="AZ188" s="290"/>
      <c r="BA188" s="290"/>
      <c r="BB188" s="290"/>
      <c r="BC188" s="290"/>
      <c r="BD188" s="290"/>
      <c r="BE188" s="290"/>
      <c r="BF188" s="290"/>
      <c r="BG188" s="290"/>
      <c r="BH188" s="290"/>
    </row>
    <row r="189" spans="1:112" ht="27.6" customHeight="1" x14ac:dyDescent="0.3">
      <c r="A189" s="7295" t="s">
        <v>4793</v>
      </c>
      <c r="AB189" s="140"/>
      <c r="AC189" s="140"/>
      <c r="AD189" s="140"/>
      <c r="AE189" s="140"/>
      <c r="AF189" s="140"/>
      <c r="AT189" s="290"/>
      <c r="AU189" s="290"/>
      <c r="AV189" s="290"/>
      <c r="AW189" s="290"/>
      <c r="AX189" s="290"/>
      <c r="AY189" s="290"/>
      <c r="AZ189" s="290"/>
      <c r="BA189" s="290"/>
      <c r="BB189" s="290"/>
      <c r="BC189" s="290"/>
      <c r="BD189" s="290"/>
      <c r="BE189" s="290"/>
      <c r="BF189" s="290"/>
      <c r="BG189" s="290"/>
      <c r="BH189" s="290"/>
    </row>
    <row r="190" spans="1:112" x14ac:dyDescent="0.3">
      <c r="A190" s="7295" t="s">
        <v>4794</v>
      </c>
      <c r="AB190" s="140"/>
      <c r="AC190" s="140"/>
      <c r="AD190" s="140"/>
      <c r="AE190" s="140"/>
      <c r="AF190" s="140"/>
      <c r="AT190" s="290"/>
      <c r="AU190" s="290"/>
      <c r="AV190" s="290"/>
      <c r="AW190" s="290"/>
      <c r="AX190" s="290"/>
      <c r="AY190" s="290"/>
      <c r="AZ190" s="290"/>
      <c r="BA190" s="290"/>
      <c r="BB190" s="290"/>
      <c r="BC190" s="290"/>
      <c r="BD190" s="290"/>
      <c r="BE190" s="290"/>
    </row>
    <row r="191" spans="1:112" x14ac:dyDescent="0.3">
      <c r="A191" s="7295" t="s">
        <v>4795</v>
      </c>
      <c r="AB191" s="140"/>
      <c r="AC191" s="140"/>
      <c r="AD191" s="140"/>
      <c r="AE191" s="140"/>
      <c r="AF191" s="140"/>
      <c r="AT191" s="290"/>
      <c r="AU191" s="290"/>
      <c r="AV191" s="290"/>
      <c r="AW191" s="290"/>
      <c r="AX191" s="290"/>
      <c r="AY191" s="290"/>
      <c r="AZ191" s="290"/>
      <c r="BA191" s="290"/>
      <c r="BB191" s="290"/>
      <c r="BC191" s="290"/>
      <c r="BD191" s="290"/>
      <c r="BE191" s="290"/>
    </row>
    <row r="192" spans="1:112" x14ac:dyDescent="0.3">
      <c r="A192" s="7295" t="s">
        <v>4796</v>
      </c>
      <c r="AB192" s="140"/>
      <c r="AC192" s="140"/>
      <c r="AD192" s="140"/>
      <c r="AE192" s="140"/>
      <c r="AF192" s="140"/>
      <c r="AT192" s="290"/>
      <c r="AU192" s="290"/>
      <c r="AV192" s="290"/>
      <c r="AW192" s="290"/>
      <c r="AX192" s="290"/>
      <c r="AY192" s="290"/>
      <c r="AZ192" s="290"/>
      <c r="BA192" s="290"/>
      <c r="BB192" s="290"/>
      <c r="BC192" s="290"/>
      <c r="BD192" s="290"/>
      <c r="BE192" s="290"/>
    </row>
    <row r="193" spans="1:44" x14ac:dyDescent="0.3">
      <c r="A193" s="7295" t="s">
        <v>4797</v>
      </c>
      <c r="AB193" s="140"/>
      <c r="AC193" s="140"/>
      <c r="AD193" s="140"/>
      <c r="AE193" s="140"/>
      <c r="AF193" s="140"/>
    </row>
    <row r="194" spans="1:44" x14ac:dyDescent="0.3">
      <c r="A194" s="7295" t="s">
        <v>4798</v>
      </c>
      <c r="AB194" s="140"/>
      <c r="AC194" s="140"/>
      <c r="AD194" s="140"/>
      <c r="AE194" s="140"/>
      <c r="AF194" s="140"/>
    </row>
    <row r="195" spans="1:44" x14ac:dyDescent="0.3">
      <c r="A195" s="7295" t="s">
        <v>4799</v>
      </c>
      <c r="AB195" s="140"/>
      <c r="AC195" s="140"/>
      <c r="AD195" s="140"/>
      <c r="AE195" s="140"/>
      <c r="AF195" s="140"/>
    </row>
    <row r="196" spans="1:44" x14ac:dyDescent="0.3">
      <c r="A196" s="7295" t="s">
        <v>4800</v>
      </c>
      <c r="AB196" s="140"/>
      <c r="AC196" s="140"/>
      <c r="AD196" s="140"/>
      <c r="AE196" s="140"/>
      <c r="AF196" s="140"/>
    </row>
    <row r="197" spans="1:44" x14ac:dyDescent="0.3">
      <c r="A197" s="7295" t="s">
        <v>4801</v>
      </c>
      <c r="AB197" s="140"/>
      <c r="AC197" s="140"/>
      <c r="AD197" s="140"/>
      <c r="AE197" s="140"/>
      <c r="AF197" s="140"/>
      <c r="AG197" s="140"/>
      <c r="AH197" s="140"/>
      <c r="AI197" s="140"/>
      <c r="AJ197" s="140"/>
      <c r="AK197" s="140"/>
      <c r="AL197" s="140"/>
      <c r="AM197" s="140"/>
    </row>
    <row r="198" spans="1:44" x14ac:dyDescent="0.3">
      <c r="A198" s="7295" t="s">
        <v>4802</v>
      </c>
      <c r="AB198" s="140"/>
      <c r="AC198" s="140"/>
      <c r="AD198" s="140"/>
      <c r="AE198" s="140"/>
      <c r="AF198" s="140"/>
      <c r="AG198" s="140"/>
      <c r="AH198" s="140"/>
      <c r="AI198" s="140"/>
      <c r="AJ198" s="140"/>
      <c r="AK198" s="140"/>
      <c r="AL198" s="140"/>
      <c r="AM198" s="140"/>
    </row>
    <row r="199" spans="1:44" x14ac:dyDescent="0.3">
      <c r="A199" s="7295" t="s">
        <v>4803</v>
      </c>
      <c r="AB199" s="140"/>
      <c r="AC199" s="140"/>
      <c r="AD199" s="140"/>
      <c r="AE199" s="140"/>
      <c r="AF199" s="140"/>
      <c r="AG199" s="140"/>
      <c r="AH199" s="140"/>
      <c r="AI199" s="140"/>
      <c r="AJ199" s="140"/>
      <c r="AK199" s="140"/>
      <c r="AL199" s="140"/>
      <c r="AM199" s="140"/>
    </row>
    <row r="200" spans="1:44" x14ac:dyDescent="0.3">
      <c r="A200" s="7295" t="s">
        <v>4804</v>
      </c>
      <c r="AB200" s="140"/>
      <c r="AC200" s="140"/>
      <c r="AD200" s="140"/>
      <c r="AE200" s="140"/>
      <c r="AF200" s="140"/>
      <c r="AG200" s="140"/>
      <c r="AH200" s="140"/>
      <c r="AI200" s="140"/>
      <c r="AJ200" s="140"/>
      <c r="AK200" s="140"/>
      <c r="AL200" s="140"/>
      <c r="AM200" s="140"/>
    </row>
    <row r="201" spans="1:44" x14ac:dyDescent="0.3">
      <c r="A201" s="7295" t="s">
        <v>4805</v>
      </c>
      <c r="AB201" s="140"/>
      <c r="AC201" s="140"/>
      <c r="AD201" s="140"/>
      <c r="AE201" s="140"/>
      <c r="AF201" s="140"/>
      <c r="AG201" s="140"/>
      <c r="AH201" s="140"/>
      <c r="AI201" s="140"/>
      <c r="AJ201" s="140"/>
      <c r="AK201" s="140"/>
      <c r="AL201" s="140"/>
      <c r="AM201" s="140"/>
    </row>
    <row r="202" spans="1:44" x14ac:dyDescent="0.3">
      <c r="A202" s="7295" t="s">
        <v>4806</v>
      </c>
      <c r="AB202" s="140"/>
      <c r="AC202" s="140"/>
      <c r="AD202" s="140"/>
      <c r="AE202" s="140"/>
      <c r="AF202" s="140"/>
      <c r="AG202" s="140"/>
      <c r="AH202" s="140"/>
      <c r="AI202" s="140"/>
      <c r="AJ202" s="140"/>
      <c r="AK202" s="140"/>
      <c r="AL202" s="140"/>
      <c r="AM202" s="140"/>
    </row>
    <row r="203" spans="1:44" x14ac:dyDescent="0.3">
      <c r="A203" s="7295" t="s">
        <v>4807</v>
      </c>
      <c r="AB203" s="140"/>
      <c r="AC203" s="140"/>
      <c r="AD203" s="140"/>
      <c r="AE203" s="140"/>
      <c r="AF203" s="140"/>
      <c r="AG203" s="140"/>
      <c r="AH203" s="140"/>
      <c r="AI203" s="140"/>
      <c r="AJ203" s="140"/>
      <c r="AK203" s="140"/>
      <c r="AL203" s="140"/>
      <c r="AM203" s="140"/>
    </row>
    <row r="204" spans="1:44" x14ac:dyDescent="0.3">
      <c r="A204" s="7295" t="s">
        <v>4808</v>
      </c>
      <c r="AB204" s="140"/>
      <c r="AC204" s="140"/>
      <c r="AD204" s="140"/>
      <c r="AE204" s="140"/>
      <c r="AF204" s="140"/>
      <c r="AG204" s="140"/>
      <c r="AH204" s="140"/>
      <c r="AI204" s="140"/>
      <c r="AJ204" s="140"/>
      <c r="AK204" s="140"/>
      <c r="AL204" s="140"/>
      <c r="AM204" s="140"/>
    </row>
    <row r="205" spans="1:44" x14ac:dyDescent="0.3">
      <c r="A205" s="7295" t="s">
        <v>4809</v>
      </c>
      <c r="Y205" s="140"/>
      <c r="Z205" s="140"/>
      <c r="AA205" s="140"/>
      <c r="AB205" s="140"/>
      <c r="AC205" s="140"/>
      <c r="AD205" s="140"/>
      <c r="AE205" s="140"/>
      <c r="AF205" s="140"/>
      <c r="AG205" s="140"/>
      <c r="AH205" s="140"/>
      <c r="AI205" s="140"/>
      <c r="AJ205" s="190"/>
      <c r="AK205" s="140"/>
      <c r="AL205" s="140"/>
      <c r="AM205" s="140"/>
      <c r="AN205" s="140"/>
      <c r="AO205" s="140"/>
      <c r="AP205" s="140"/>
      <c r="AQ205" s="140"/>
      <c r="AR205" s="190"/>
    </row>
    <row r="206" spans="1:44" x14ac:dyDescent="0.3">
      <c r="A206" s="7295" t="s">
        <v>4810</v>
      </c>
    </row>
    <row r="207" spans="1:44" x14ac:dyDescent="0.3">
      <c r="A207" s="7295" t="s">
        <v>4811</v>
      </c>
    </row>
    <row r="208" spans="1:44" x14ac:dyDescent="0.3">
      <c r="A208" s="7295" t="s">
        <v>4812</v>
      </c>
    </row>
    <row r="209" spans="1:1" x14ac:dyDescent="0.3">
      <c r="A209" s="7295" t="s">
        <v>4813</v>
      </c>
    </row>
    <row r="210" spans="1:1" x14ac:dyDescent="0.3">
      <c r="A210" s="7295" t="s">
        <v>4814</v>
      </c>
    </row>
    <row r="211" spans="1:1" x14ac:dyDescent="0.3">
      <c r="A211" s="7295" t="s">
        <v>4815</v>
      </c>
    </row>
    <row r="212" spans="1:1" x14ac:dyDescent="0.3">
      <c r="A212" s="7295" t="s">
        <v>4816</v>
      </c>
    </row>
    <row r="213" spans="1:1" x14ac:dyDescent="0.3">
      <c r="A213" s="7295" t="s">
        <v>4817</v>
      </c>
    </row>
    <row r="214" spans="1:1" x14ac:dyDescent="0.3">
      <c r="A214" s="7295" t="s">
        <v>4818</v>
      </c>
    </row>
    <row r="215" spans="1:1" x14ac:dyDescent="0.3">
      <c r="A215" s="7295" t="s">
        <v>4819</v>
      </c>
    </row>
    <row r="216" spans="1:1" x14ac:dyDescent="0.3">
      <c r="A216" s="7295" t="s">
        <v>4820</v>
      </c>
    </row>
    <row r="217" spans="1:1" x14ac:dyDescent="0.3">
      <c r="A217" s="7295" t="s">
        <v>4821</v>
      </c>
    </row>
    <row r="218" spans="1:1" x14ac:dyDescent="0.3">
      <c r="A218" s="7295" t="s">
        <v>4822</v>
      </c>
    </row>
    <row r="219" spans="1:1" x14ac:dyDescent="0.3">
      <c r="A219" s="7295" t="s">
        <v>4823</v>
      </c>
    </row>
    <row r="220" spans="1:1" x14ac:dyDescent="0.3">
      <c r="A220" s="7295" t="s">
        <v>4824</v>
      </c>
    </row>
    <row r="221" spans="1:1" x14ac:dyDescent="0.3">
      <c r="A221" s="7295" t="s">
        <v>4825</v>
      </c>
    </row>
    <row r="222" spans="1:1" x14ac:dyDescent="0.3">
      <c r="A222" s="7295" t="s">
        <v>4826</v>
      </c>
    </row>
    <row r="223" spans="1:1" x14ac:dyDescent="0.3">
      <c r="A223" s="7295" t="s">
        <v>4827</v>
      </c>
    </row>
    <row r="224" spans="1:1" x14ac:dyDescent="0.3">
      <c r="A224" s="7295" t="s">
        <v>4828</v>
      </c>
    </row>
    <row r="225" spans="1:1" x14ac:dyDescent="0.3">
      <c r="A225" s="7295" t="s">
        <v>4829</v>
      </c>
    </row>
    <row r="226" spans="1:1" x14ac:dyDescent="0.3">
      <c r="A226" s="7295" t="s">
        <v>4830</v>
      </c>
    </row>
    <row r="227" spans="1:1" x14ac:dyDescent="0.3">
      <c r="A227" s="7295" t="s">
        <v>4831</v>
      </c>
    </row>
    <row r="228" spans="1:1" x14ac:dyDescent="0.3">
      <c r="A228" s="7295" t="s">
        <v>4832</v>
      </c>
    </row>
    <row r="229" spans="1:1" x14ac:dyDescent="0.3">
      <c r="A229" s="7295" t="s">
        <v>4833</v>
      </c>
    </row>
    <row r="230" spans="1:1" x14ac:dyDescent="0.3">
      <c r="A230" s="7295" t="s">
        <v>4834</v>
      </c>
    </row>
    <row r="231" spans="1:1" x14ac:dyDescent="0.3">
      <c r="A231" s="7295" t="s">
        <v>4835</v>
      </c>
    </row>
    <row r="232" spans="1:1" x14ac:dyDescent="0.3">
      <c r="A232" s="7295" t="s">
        <v>4836</v>
      </c>
    </row>
    <row r="233" spans="1:1" x14ac:dyDescent="0.3">
      <c r="A233" s="7295" t="s">
        <v>4837</v>
      </c>
    </row>
    <row r="234" spans="1:1" x14ac:dyDescent="0.3">
      <c r="A234" s="7295" t="s">
        <v>4838</v>
      </c>
    </row>
    <row r="235" spans="1:1" x14ac:dyDescent="0.3">
      <c r="A235" s="7295" t="s">
        <v>4839</v>
      </c>
    </row>
    <row r="236" spans="1:1" x14ac:dyDescent="0.3">
      <c r="A236" s="7295" t="s">
        <v>4840</v>
      </c>
    </row>
    <row r="237" spans="1:1" x14ac:dyDescent="0.3">
      <c r="A237" s="7295" t="s">
        <v>4841</v>
      </c>
    </row>
    <row r="238" spans="1:1" x14ac:dyDescent="0.3">
      <c r="A238" s="7295" t="s">
        <v>4842</v>
      </c>
    </row>
    <row r="239" spans="1:1" x14ac:dyDescent="0.3">
      <c r="A239" s="7295" t="s">
        <v>4843</v>
      </c>
    </row>
    <row r="240" spans="1:1" x14ac:dyDescent="0.3">
      <c r="A240" s="7295" t="s">
        <v>4844</v>
      </c>
    </row>
    <row r="241" spans="1:1" x14ac:dyDescent="0.3">
      <c r="A241" s="7295" t="s">
        <v>4845</v>
      </c>
    </row>
    <row r="242" spans="1:1" x14ac:dyDescent="0.3">
      <c r="A242" s="7295" t="s">
        <v>4846</v>
      </c>
    </row>
    <row r="243" spans="1:1" x14ac:dyDescent="0.3">
      <c r="A243" s="7295" t="s">
        <v>4847</v>
      </c>
    </row>
    <row r="244" spans="1:1" x14ac:dyDescent="0.3">
      <c r="A244" s="7295" t="s">
        <v>4848</v>
      </c>
    </row>
    <row r="245" spans="1:1" x14ac:dyDescent="0.3">
      <c r="A245" s="7295" t="s">
        <v>4849</v>
      </c>
    </row>
    <row r="246" spans="1:1" x14ac:dyDescent="0.3">
      <c r="A246" s="7295" t="s">
        <v>4850</v>
      </c>
    </row>
    <row r="247" spans="1:1" x14ac:dyDescent="0.3">
      <c r="A247" s="7295" t="s">
        <v>4851</v>
      </c>
    </row>
    <row r="248" spans="1:1" x14ac:dyDescent="0.3">
      <c r="A248" s="7295" t="s">
        <v>4852</v>
      </c>
    </row>
    <row r="249" spans="1:1" x14ac:dyDescent="0.3">
      <c r="A249" s="7295" t="s">
        <v>4868</v>
      </c>
    </row>
    <row r="250" spans="1:1" x14ac:dyDescent="0.3">
      <c r="A250" s="7295" t="s">
        <v>4879</v>
      </c>
    </row>
    <row r="261" spans="2:131" ht="12.75" customHeight="1" x14ac:dyDescent="0.3"/>
    <row r="262" spans="2:131" s="1418" customFormat="1" ht="13.8" hidden="1" x14ac:dyDescent="0.25">
      <c r="B262" s="1418">
        <f>SUM(C71,C136,G136,K136,C155,D171,D176:D186)</f>
        <v>0</v>
      </c>
      <c r="C262" s="1418" t="e">
        <f>SUM(DB7:EA188)</f>
        <v>#VALUE!</v>
      </c>
      <c r="BY262" s="1419"/>
      <c r="BZ262" s="1419"/>
      <c r="CA262" s="1419"/>
      <c r="CB262" s="1419"/>
      <c r="CC262" s="1419"/>
      <c r="CD262" s="1419"/>
      <c r="CE262" s="1419"/>
      <c r="CF262" s="1419"/>
      <c r="CG262" s="1419"/>
      <c r="CH262" s="1435"/>
      <c r="CI262" s="1435"/>
      <c r="CJ262" s="1435"/>
      <c r="CK262" s="1435"/>
      <c r="CL262" s="1435"/>
      <c r="CM262" s="1435"/>
      <c r="CN262" s="1435"/>
      <c r="CO262" s="1435"/>
      <c r="CP262" s="1435"/>
      <c r="CQ262" s="1435"/>
      <c r="CR262" s="1435"/>
      <c r="CS262" s="1435"/>
      <c r="CT262" s="1429"/>
      <c r="CU262" s="1429"/>
      <c r="CV262" s="1429"/>
      <c r="CW262" s="1429"/>
      <c r="CX262" s="1429"/>
      <c r="CY262" s="1429"/>
      <c r="CZ262" s="1429"/>
      <c r="DA262" s="1429"/>
      <c r="DB262" s="3219"/>
      <c r="DC262" s="3219"/>
      <c r="DD262" s="3219"/>
      <c r="DE262" s="3219"/>
      <c r="DF262" s="3219"/>
      <c r="DG262" s="3219"/>
      <c r="DH262" s="3219"/>
      <c r="DI262" s="3219"/>
      <c r="DJ262" s="3219"/>
      <c r="DK262" s="3219"/>
      <c r="DL262" s="3219"/>
      <c r="DM262" s="3219"/>
      <c r="DN262" s="3222"/>
      <c r="DO262" s="3222"/>
      <c r="DP262" s="3222"/>
      <c r="DQ262" s="3222"/>
      <c r="DR262" s="3222"/>
      <c r="DS262" s="3222"/>
      <c r="DT262" s="3222"/>
      <c r="DU262" s="3222"/>
      <c r="DV262" s="3222"/>
      <c r="DW262" s="3222"/>
      <c r="DX262" s="3222"/>
      <c r="DY262" s="3222"/>
      <c r="DZ262" s="3222"/>
      <c r="EA262" s="3222"/>
    </row>
  </sheetData>
  <mergeCells count="94">
    <mergeCell ref="AF8:AG9"/>
    <mergeCell ref="T73:U74"/>
    <mergeCell ref="AF73:AG74"/>
    <mergeCell ref="AH73:AJ74"/>
    <mergeCell ref="V73:W74"/>
    <mergeCell ref="X73:X75"/>
    <mergeCell ref="AA73:AB74"/>
    <mergeCell ref="AC73:AD74"/>
    <mergeCell ref="AE73:AE75"/>
    <mergeCell ref="Y73:Z74"/>
    <mergeCell ref="U9:U10"/>
    <mergeCell ref="V9:W9"/>
    <mergeCell ref="C8:W8"/>
    <mergeCell ref="B183:B184"/>
    <mergeCell ref="B171:C171"/>
    <mergeCell ref="B185:B186"/>
    <mergeCell ref="B178:B180"/>
    <mergeCell ref="B173:B175"/>
    <mergeCell ref="C173:C175"/>
    <mergeCell ref="B176:B177"/>
    <mergeCell ref="B181:B182"/>
    <mergeCell ref="D173:F174"/>
    <mergeCell ref="G173:AN173"/>
    <mergeCell ref="S174:T174"/>
    <mergeCell ref="U174:V174"/>
    <mergeCell ref="AI174:AJ174"/>
    <mergeCell ref="G174:H174"/>
    <mergeCell ref="I174:J174"/>
    <mergeCell ref="AC174:AD174"/>
    <mergeCell ref="AM174:AN174"/>
    <mergeCell ref="AG174:AH174"/>
    <mergeCell ref="K174:L174"/>
    <mergeCell ref="M174:N174"/>
    <mergeCell ref="O174:P174"/>
    <mergeCell ref="AT7:AV7"/>
    <mergeCell ref="AQ5:AQ7"/>
    <mergeCell ref="AR5:AS7"/>
    <mergeCell ref="AA158:AB158"/>
    <mergeCell ref="AC158:AD158"/>
    <mergeCell ref="AE158:AF158"/>
    <mergeCell ref="B6:AE6"/>
    <mergeCell ref="B8:B10"/>
    <mergeCell ref="X8:AE8"/>
    <mergeCell ref="X9:AA9"/>
    <mergeCell ref="C9:C10"/>
    <mergeCell ref="G157:AN157"/>
    <mergeCell ref="AM158:AN158"/>
    <mergeCell ref="U158:V158"/>
    <mergeCell ref="AG158:AH158"/>
    <mergeCell ref="AI158:AJ158"/>
    <mergeCell ref="AR173:AR175"/>
    <mergeCell ref="D9:T9"/>
    <mergeCell ref="AB9:AE9"/>
    <mergeCell ref="O158:P158"/>
    <mergeCell ref="B165:C165"/>
    <mergeCell ref="AA174:AB174"/>
    <mergeCell ref="B166:C166"/>
    <mergeCell ref="B167:C167"/>
    <mergeCell ref="AK174:AL174"/>
    <mergeCell ref="B73:B75"/>
    <mergeCell ref="G73:J74"/>
    <mergeCell ref="C73:F74"/>
    <mergeCell ref="AE174:AF174"/>
    <mergeCell ref="K73:N74"/>
    <mergeCell ref="O73:Q74"/>
    <mergeCell ref="R73:S74"/>
    <mergeCell ref="B169:C169"/>
    <mergeCell ref="B161:B164"/>
    <mergeCell ref="B157:C159"/>
    <mergeCell ref="D157:F158"/>
    <mergeCell ref="B160:C160"/>
    <mergeCell ref="B168:C168"/>
    <mergeCell ref="G158:H158"/>
    <mergeCell ref="I158:J158"/>
    <mergeCell ref="Q158:R158"/>
    <mergeCell ref="S158:T158"/>
    <mergeCell ref="K158:L158"/>
    <mergeCell ref="M158:N158"/>
    <mergeCell ref="B170:C170"/>
    <mergeCell ref="AU173:AU175"/>
    <mergeCell ref="AT173:AT175"/>
    <mergeCell ref="AO157:AO159"/>
    <mergeCell ref="W158:X158"/>
    <mergeCell ref="Y158:Z158"/>
    <mergeCell ref="AO173:AO175"/>
    <mergeCell ref="AS173:AS175"/>
    <mergeCell ref="AR157:AR159"/>
    <mergeCell ref="AP173:AQ174"/>
    <mergeCell ref="AQ157:AQ159"/>
    <mergeCell ref="AP157:AP159"/>
    <mergeCell ref="AK158:AL158"/>
    <mergeCell ref="W174:X174"/>
    <mergeCell ref="Y174:Z174"/>
    <mergeCell ref="Q174:R174"/>
  </mergeCells>
  <dataValidations count="2">
    <dataValidation type="whole" operator="greaterThanOrEqual" allowBlank="1" showInputMessage="1" showErrorMessage="1" errorTitle="Error" error="Favor Ingrese sólo Números." sqref="D11:AD70 D139:V154 G176:AD186 AH176:AR186" xr:uid="{00000000-0002-0000-0700-000000000000}">
      <formula1>0</formula1>
    </dataValidation>
    <dataValidation operator="greaterThanOrEqual" allowBlank="1" showInputMessage="1" showErrorMessage="1" errorTitle="Error" error="Favor Ingrese sólo Números." sqref="AE1:AG156 AE172:AG1048576 AS176:AU186" xr:uid="{EB913758-1CAD-4F1E-B1AE-B47939B005FE}"/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EC220"/>
  <sheetViews>
    <sheetView showGridLines="0" zoomScaleNormal="100" workbookViewId="0"/>
  </sheetViews>
  <sheetFormatPr baseColWidth="10" defaultColWidth="11.44140625" defaultRowHeight="13.8" x14ac:dyDescent="0.25"/>
  <cols>
    <col min="1" max="1" width="15.109375" style="165" customWidth="1"/>
    <col min="2" max="2" width="44.6640625" style="165" customWidth="1"/>
    <col min="3" max="3" width="32.5546875" style="165" customWidth="1"/>
    <col min="4" max="4" width="14.109375" style="165" customWidth="1"/>
    <col min="5" max="5" width="12.44140625" style="165" customWidth="1"/>
    <col min="6" max="6" width="13.109375" style="165" customWidth="1"/>
    <col min="7" max="7" width="11.44140625" style="165" customWidth="1"/>
    <col min="8" max="8" width="11.88671875" style="165" customWidth="1"/>
    <col min="9" max="10" width="14.44140625" style="165" customWidth="1"/>
    <col min="11" max="11" width="12.5546875" style="165" customWidth="1"/>
    <col min="12" max="14" width="11.44140625" style="165" customWidth="1"/>
    <col min="15" max="15" width="12.44140625" style="165" customWidth="1"/>
    <col min="16" max="16" width="12" style="165" customWidth="1"/>
    <col min="17" max="23" width="11.44140625" style="165" customWidth="1"/>
    <col min="24" max="26" width="13.5546875" style="165" customWidth="1"/>
    <col min="27" max="27" width="13" style="165" customWidth="1"/>
    <col min="28" max="31" width="11.44140625" style="165" customWidth="1"/>
    <col min="32" max="32" width="13.33203125" style="165" customWidth="1"/>
    <col min="33" max="38" width="11.44140625" style="165" customWidth="1"/>
    <col min="39" max="39" width="11.44140625" style="165"/>
    <col min="40" max="40" width="11.109375" style="165" customWidth="1"/>
    <col min="41" max="41" width="13" style="165" customWidth="1"/>
    <col min="42" max="42" width="13.109375" style="165" customWidth="1"/>
    <col min="43" max="44" width="11.44140625" style="165"/>
    <col min="45" max="45" width="11.44140625" style="165" customWidth="1"/>
    <col min="46" max="73" width="11.44140625" style="165"/>
    <col min="74" max="74" width="15.44140625" style="165" customWidth="1"/>
    <col min="75" max="75" width="15.44140625" style="290" customWidth="1"/>
    <col min="76" max="76" width="15.6640625" style="290" customWidth="1"/>
    <col min="77" max="78" width="15.6640625" style="1438" customWidth="1"/>
    <col min="79" max="79" width="15.44140625" style="290" customWidth="1"/>
    <col min="80" max="105" width="15.44140625" style="1429" customWidth="1"/>
    <col min="106" max="131" width="11.44140625" style="3219" customWidth="1"/>
    <col min="132" max="16384" width="11.44140625" style="165"/>
  </cols>
  <sheetData>
    <row r="1" spans="1:109" ht="16.350000000000001" customHeight="1" x14ac:dyDescent="0.25">
      <c r="B1" s="233" t="s">
        <v>207</v>
      </c>
    </row>
    <row r="2" spans="1:109" ht="16.350000000000001" customHeight="1" x14ac:dyDescent="0.25">
      <c r="B2" s="150" t="str">
        <f>CONCATENATE("COMUNA: ",NOMBRE!B2," - ","( ",NOMBRE!C2,NOMBRE!D2,NOMBRE!E2,NOMBRE!F2,NOMBRE!G2," )")</f>
        <v>COMUNA:  - (  )</v>
      </c>
    </row>
    <row r="3" spans="1:109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</row>
    <row r="4" spans="1:109" ht="16.350000000000001" customHeight="1" x14ac:dyDescent="0.25">
      <c r="B4" s="150" t="str">
        <f>CONCATENATE("MES: ",NOMBRE!B6," - ","( ",NOMBRE!C6,NOMBRE!D6," )")</f>
        <v>MES:  - (  )</v>
      </c>
    </row>
    <row r="5" spans="1:109" ht="16.350000000000001" customHeight="1" x14ac:dyDescent="0.25">
      <c r="B5" s="150" t="str">
        <f>CONCATENATE("AÑO: ",NOMBRE!B7)</f>
        <v>AÑO: 2023</v>
      </c>
      <c r="AQ5" s="1497"/>
    </row>
    <row r="6" spans="1:109" ht="16.2" x14ac:dyDescent="0.25">
      <c r="B6" s="9558" t="s">
        <v>1026</v>
      </c>
      <c r="C6" s="9558"/>
      <c r="D6" s="9558"/>
      <c r="E6" s="9558"/>
      <c r="F6" s="9558"/>
      <c r="G6" s="9558"/>
      <c r="H6" s="9558"/>
      <c r="I6" s="9558"/>
      <c r="J6" s="9558"/>
      <c r="K6" s="9558"/>
      <c r="L6" s="9558"/>
      <c r="M6" s="9558"/>
      <c r="N6" s="9558"/>
      <c r="O6" s="9558"/>
      <c r="P6" s="9558"/>
      <c r="Q6" s="688"/>
      <c r="R6" s="688"/>
      <c r="S6" s="688"/>
      <c r="T6" s="688"/>
      <c r="U6" s="605"/>
      <c r="V6" s="605"/>
      <c r="W6" s="605"/>
      <c r="X6" s="605"/>
      <c r="Y6" s="605"/>
      <c r="Z6" s="605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</row>
    <row r="7" spans="1:109" ht="32.1" customHeight="1" x14ac:dyDescent="0.3">
      <c r="B7" s="531" t="s">
        <v>1025</v>
      </c>
      <c r="C7" s="531"/>
      <c r="D7" s="531"/>
      <c r="E7" s="531"/>
      <c r="F7" s="531"/>
      <c r="G7" s="531"/>
      <c r="H7" s="531"/>
      <c r="I7" s="531"/>
      <c r="J7" s="531"/>
      <c r="K7" s="531"/>
      <c r="L7" s="531"/>
      <c r="M7" s="531"/>
      <c r="N7" s="531"/>
      <c r="O7" s="531"/>
      <c r="P7" s="531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BY7" s="290"/>
      <c r="BZ7" s="290"/>
    </row>
    <row r="8" spans="1:109" ht="32.1" customHeight="1" x14ac:dyDescent="0.25">
      <c r="B8" s="3797" t="s">
        <v>3803</v>
      </c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233"/>
      <c r="P8" s="233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290"/>
      <c r="AU8" s="290"/>
      <c r="AV8" s="290"/>
      <c r="AW8" s="290"/>
      <c r="AX8" s="290"/>
      <c r="AY8" s="290"/>
      <c r="AZ8" s="290"/>
      <c r="BA8" s="290"/>
      <c r="BB8" s="290"/>
      <c r="BC8" s="290"/>
      <c r="BD8" s="290"/>
      <c r="BE8" s="290"/>
      <c r="BF8" s="290"/>
      <c r="BG8" s="290"/>
      <c r="BH8" s="290"/>
      <c r="BY8" s="290"/>
      <c r="BZ8" s="290"/>
    </row>
    <row r="9" spans="1:109" ht="32.1" customHeight="1" x14ac:dyDescent="0.25">
      <c r="B9" s="8616" t="s">
        <v>912</v>
      </c>
      <c r="C9" s="8612" t="s">
        <v>942</v>
      </c>
      <c r="D9" s="8597"/>
      <c r="E9" s="8613"/>
      <c r="F9" s="8771" t="s">
        <v>84</v>
      </c>
      <c r="G9" s="9592"/>
      <c r="H9" s="9592"/>
      <c r="I9" s="9592"/>
      <c r="J9" s="9592"/>
      <c r="K9" s="9592"/>
      <c r="L9" s="9592"/>
      <c r="M9" s="9592"/>
      <c r="N9" s="9592"/>
      <c r="O9" s="9592"/>
      <c r="P9" s="9592"/>
      <c r="Q9" s="9592"/>
      <c r="R9" s="9592"/>
      <c r="S9" s="9592"/>
      <c r="T9" s="9592"/>
      <c r="U9" s="9592"/>
      <c r="V9" s="9592"/>
      <c r="W9" s="9592"/>
      <c r="X9" s="9592"/>
      <c r="Y9" s="9592"/>
      <c r="Z9" s="9592"/>
      <c r="AA9" s="9592"/>
      <c r="AB9" s="9592"/>
      <c r="AC9" s="9592"/>
      <c r="AD9" s="9592"/>
      <c r="AE9" s="9592"/>
      <c r="AF9" s="9592"/>
      <c r="AG9" s="9592"/>
      <c r="AH9" s="9592"/>
      <c r="AI9" s="9592"/>
      <c r="AJ9" s="9592"/>
      <c r="AK9" s="9592"/>
      <c r="AL9" s="9592"/>
      <c r="AM9" s="8772"/>
      <c r="AN9" s="8583" t="s">
        <v>360</v>
      </c>
      <c r="AO9" s="8771" t="s">
        <v>1024</v>
      </c>
      <c r="AP9" s="9592"/>
      <c r="AQ9" s="9592"/>
      <c r="AR9" s="8772"/>
      <c r="AS9" s="8583" t="s">
        <v>1023</v>
      </c>
      <c r="AT9" s="8583" t="s">
        <v>1017</v>
      </c>
      <c r="AU9" s="290"/>
      <c r="AV9" s="290"/>
      <c r="AW9" s="290"/>
      <c r="AX9" s="290"/>
      <c r="AY9" s="290"/>
      <c r="AZ9" s="290"/>
      <c r="BA9" s="290"/>
      <c r="BB9" s="290"/>
      <c r="BC9" s="290"/>
      <c r="BD9" s="290"/>
      <c r="BE9" s="290"/>
      <c r="BF9" s="290"/>
      <c r="BG9" s="290"/>
      <c r="BH9" s="290"/>
    </row>
    <row r="10" spans="1:109" ht="16.350000000000001" customHeight="1" x14ac:dyDescent="0.25">
      <c r="B10" s="8619"/>
      <c r="C10" s="8614"/>
      <c r="D10" s="8598"/>
      <c r="E10" s="8615"/>
      <c r="F10" s="9645" t="s">
        <v>399</v>
      </c>
      <c r="G10" s="9646"/>
      <c r="H10" s="9645" t="s">
        <v>54</v>
      </c>
      <c r="I10" s="9646"/>
      <c r="J10" s="9645" t="s">
        <v>79</v>
      </c>
      <c r="K10" s="9646"/>
      <c r="L10" s="9645" t="s">
        <v>80</v>
      </c>
      <c r="M10" s="9646"/>
      <c r="N10" s="9645" t="s">
        <v>81</v>
      </c>
      <c r="O10" s="9646"/>
      <c r="P10" s="9642" t="s">
        <v>82</v>
      </c>
      <c r="Q10" s="9643"/>
      <c r="R10" s="9642" t="s">
        <v>83</v>
      </c>
      <c r="S10" s="9643"/>
      <c r="T10" s="9642" t="s">
        <v>400</v>
      </c>
      <c r="U10" s="9643"/>
      <c r="V10" s="9642" t="s">
        <v>124</v>
      </c>
      <c r="W10" s="9643"/>
      <c r="X10" s="9642" t="s">
        <v>125</v>
      </c>
      <c r="Y10" s="9643"/>
      <c r="Z10" s="9642" t="s">
        <v>126</v>
      </c>
      <c r="AA10" s="9643"/>
      <c r="AB10" s="9642" t="s">
        <v>127</v>
      </c>
      <c r="AC10" s="9643"/>
      <c r="AD10" s="9642" t="s">
        <v>128</v>
      </c>
      <c r="AE10" s="9643"/>
      <c r="AF10" s="9642" t="s">
        <v>129</v>
      </c>
      <c r="AG10" s="9643"/>
      <c r="AH10" s="9642" t="s">
        <v>130</v>
      </c>
      <c r="AI10" s="9643"/>
      <c r="AJ10" s="9642" t="s">
        <v>131</v>
      </c>
      <c r="AK10" s="9643"/>
      <c r="AL10" s="9642" t="s">
        <v>1405</v>
      </c>
      <c r="AM10" s="9644"/>
      <c r="AN10" s="8555"/>
      <c r="AO10" s="9654" t="s">
        <v>1022</v>
      </c>
      <c r="AP10" s="9650" t="s">
        <v>1021</v>
      </c>
      <c r="AQ10" s="9650" t="s">
        <v>1020</v>
      </c>
      <c r="AR10" s="9652" t="s">
        <v>1019</v>
      </c>
      <c r="AS10" s="8555"/>
      <c r="AT10" s="8555"/>
      <c r="AU10" s="290"/>
      <c r="AV10" s="290"/>
      <c r="AW10" s="290"/>
      <c r="AX10" s="290"/>
      <c r="AY10" s="290"/>
      <c r="AZ10" s="290"/>
      <c r="BA10" s="290"/>
      <c r="BB10" s="290"/>
      <c r="BC10" s="290"/>
      <c r="BD10" s="290"/>
      <c r="BE10" s="290"/>
      <c r="BF10" s="290"/>
      <c r="BG10" s="290"/>
      <c r="BH10" s="290"/>
    </row>
    <row r="11" spans="1:109" ht="32.1" customHeight="1" x14ac:dyDescent="0.25">
      <c r="B11" s="8617"/>
      <c r="C11" s="586" t="s">
        <v>42</v>
      </c>
      <c r="D11" s="595" t="s">
        <v>17</v>
      </c>
      <c r="E11" s="2081" t="s">
        <v>18</v>
      </c>
      <c r="F11" s="2120" t="s">
        <v>17</v>
      </c>
      <c r="G11" s="2079" t="s">
        <v>18</v>
      </c>
      <c r="H11" s="2120" t="s">
        <v>17</v>
      </c>
      <c r="I11" s="2079" t="s">
        <v>18</v>
      </c>
      <c r="J11" s="2120" t="s">
        <v>17</v>
      </c>
      <c r="K11" s="2079" t="s">
        <v>18</v>
      </c>
      <c r="L11" s="2120" t="s">
        <v>17</v>
      </c>
      <c r="M11" s="2079" t="s">
        <v>18</v>
      </c>
      <c r="N11" s="2120" t="s">
        <v>17</v>
      </c>
      <c r="O11" s="2079" t="s">
        <v>18</v>
      </c>
      <c r="P11" s="2120" t="s">
        <v>17</v>
      </c>
      <c r="Q11" s="2079" t="s">
        <v>18</v>
      </c>
      <c r="R11" s="2120" t="s">
        <v>17</v>
      </c>
      <c r="S11" s="2079" t="s">
        <v>18</v>
      </c>
      <c r="T11" s="2120" t="s">
        <v>17</v>
      </c>
      <c r="U11" s="2079" t="s">
        <v>18</v>
      </c>
      <c r="V11" s="2120" t="s">
        <v>17</v>
      </c>
      <c r="W11" s="2079" t="s">
        <v>18</v>
      </c>
      <c r="X11" s="2120" t="s">
        <v>17</v>
      </c>
      <c r="Y11" s="2079" t="s">
        <v>18</v>
      </c>
      <c r="Z11" s="2120" t="s">
        <v>17</v>
      </c>
      <c r="AA11" s="2079" t="s">
        <v>18</v>
      </c>
      <c r="AB11" s="2120" t="s">
        <v>17</v>
      </c>
      <c r="AC11" s="2079" t="s">
        <v>18</v>
      </c>
      <c r="AD11" s="2120" t="s">
        <v>17</v>
      </c>
      <c r="AE11" s="2079" t="s">
        <v>18</v>
      </c>
      <c r="AF11" s="2120" t="s">
        <v>17</v>
      </c>
      <c r="AG11" s="2079" t="s">
        <v>18</v>
      </c>
      <c r="AH11" s="2122" t="s">
        <v>17</v>
      </c>
      <c r="AI11" s="2069" t="s">
        <v>18</v>
      </c>
      <c r="AJ11" s="2120" t="s">
        <v>17</v>
      </c>
      <c r="AK11" s="2079" t="s">
        <v>18</v>
      </c>
      <c r="AL11" s="2122" t="s">
        <v>17</v>
      </c>
      <c r="AM11" s="2079" t="s">
        <v>18</v>
      </c>
      <c r="AN11" s="8584"/>
      <c r="AO11" s="9655"/>
      <c r="AP11" s="9651"/>
      <c r="AQ11" s="9651"/>
      <c r="AR11" s="9653"/>
      <c r="AS11" s="8584"/>
      <c r="AT11" s="8584"/>
      <c r="AU11" s="290"/>
      <c r="AV11" s="290"/>
      <c r="AW11" s="290"/>
      <c r="AX11" s="290"/>
      <c r="AY11" s="290"/>
      <c r="AZ11" s="290"/>
      <c r="BA11" s="290"/>
      <c r="BB11" s="290"/>
      <c r="BC11" s="290"/>
      <c r="BD11" s="290"/>
      <c r="BE11" s="290"/>
      <c r="BF11" s="290"/>
      <c r="BG11" s="290"/>
      <c r="BH11" s="290"/>
    </row>
    <row r="12" spans="1:109" ht="16.350000000000001" customHeight="1" x14ac:dyDescent="0.25">
      <c r="A12" s="7300" t="s">
        <v>4891</v>
      </c>
      <c r="B12" s="3798" t="s">
        <v>1018</v>
      </c>
      <c r="C12" s="2577" t="s">
        <v>5369</v>
      </c>
      <c r="D12" s="2578" t="s">
        <v>5370</v>
      </c>
      <c r="E12" s="2581" t="s">
        <v>5371</v>
      </c>
      <c r="F12" s="2576" t="s">
        <v>5372</v>
      </c>
      <c r="G12" s="2584" t="s">
        <v>5373</v>
      </c>
      <c r="H12" s="2576" t="s">
        <v>5374</v>
      </c>
      <c r="I12" s="2584" t="s">
        <v>5375</v>
      </c>
      <c r="J12" s="2576" t="s">
        <v>5376</v>
      </c>
      <c r="K12" s="1595" t="s">
        <v>5377</v>
      </c>
      <c r="L12" s="1593" t="s">
        <v>5378</v>
      </c>
      <c r="M12" s="2584" t="s">
        <v>5379</v>
      </c>
      <c r="N12" s="2576" t="s">
        <v>5380</v>
      </c>
      <c r="O12" s="1595" t="s">
        <v>5381</v>
      </c>
      <c r="P12" s="1593" t="s">
        <v>5382</v>
      </c>
      <c r="Q12" s="2584" t="s">
        <v>5383</v>
      </c>
      <c r="R12" s="2576" t="s">
        <v>5384</v>
      </c>
      <c r="S12" s="2584" t="s">
        <v>5385</v>
      </c>
      <c r="T12" s="2588" t="s">
        <v>5386</v>
      </c>
      <c r="U12" s="2587" t="s">
        <v>5387</v>
      </c>
      <c r="V12" s="2588" t="s">
        <v>5388</v>
      </c>
      <c r="W12" s="2587" t="s">
        <v>5389</v>
      </c>
      <c r="X12" s="2588" t="s">
        <v>5390</v>
      </c>
      <c r="Y12" s="2587" t="s">
        <v>5391</v>
      </c>
      <c r="Z12" s="2588" t="s">
        <v>5392</v>
      </c>
      <c r="AA12" s="2587" t="s">
        <v>5393</v>
      </c>
      <c r="AB12" s="1593" t="s">
        <v>5394</v>
      </c>
      <c r="AC12" s="1595" t="s">
        <v>5395</v>
      </c>
      <c r="AD12" s="1593" t="s">
        <v>5396</v>
      </c>
      <c r="AE12" s="1595" t="s">
        <v>5397</v>
      </c>
      <c r="AF12" s="1593" t="s">
        <v>5398</v>
      </c>
      <c r="AG12" s="1595" t="s">
        <v>5399</v>
      </c>
      <c r="AH12" s="2588" t="s">
        <v>5400</v>
      </c>
      <c r="AI12" s="2587" t="s">
        <v>5401</v>
      </c>
      <c r="AJ12" s="2588" t="s">
        <v>5402</v>
      </c>
      <c r="AK12" s="2587" t="s">
        <v>5403</v>
      </c>
      <c r="AL12" s="2588" t="s">
        <v>5404</v>
      </c>
      <c r="AM12" s="2587" t="s">
        <v>5405</v>
      </c>
      <c r="AN12" s="1596" t="s">
        <v>5406</v>
      </c>
      <c r="AO12" s="2588" t="s">
        <v>5407</v>
      </c>
      <c r="AP12" s="2576" t="s">
        <v>5408</v>
      </c>
      <c r="AQ12" s="2576" t="s">
        <v>5409</v>
      </c>
      <c r="AR12" s="2587" t="s">
        <v>5410</v>
      </c>
      <c r="AS12" s="2587" t="s">
        <v>5411</v>
      </c>
      <c r="AT12" s="2587" t="s">
        <v>5412</v>
      </c>
      <c r="AU12" s="1447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290"/>
      <c r="BG12" s="290"/>
      <c r="BH12" s="290"/>
      <c r="DB12" s="3219">
        <v>0</v>
      </c>
      <c r="DC12" s="3219">
        <v>0</v>
      </c>
      <c r="DD12" s="3219">
        <v>0</v>
      </c>
      <c r="DE12" s="3219">
        <v>0</v>
      </c>
    </row>
    <row r="13" spans="1:109" ht="16.350000000000001" customHeight="1" x14ac:dyDescent="0.25">
      <c r="A13" s="7300" t="s">
        <v>4892</v>
      </c>
      <c r="B13" s="3799" t="s">
        <v>3717</v>
      </c>
      <c r="C13" s="908" t="s">
        <v>5369</v>
      </c>
      <c r="D13" s="911" t="s">
        <v>5370</v>
      </c>
      <c r="E13" s="2582" t="s">
        <v>5371</v>
      </c>
      <c r="F13" s="2491" t="s">
        <v>5372</v>
      </c>
      <c r="G13" s="2495" t="s">
        <v>5373</v>
      </c>
      <c r="H13" s="2491" t="s">
        <v>5374</v>
      </c>
      <c r="I13" s="2495" t="s">
        <v>5375</v>
      </c>
      <c r="J13" s="2491" t="s">
        <v>5376</v>
      </c>
      <c r="K13" s="2495" t="s">
        <v>5377</v>
      </c>
      <c r="L13" s="2491" t="s">
        <v>5378</v>
      </c>
      <c r="M13" s="2495" t="s">
        <v>5379</v>
      </c>
      <c r="N13" s="2492" t="s">
        <v>5380</v>
      </c>
      <c r="O13" s="2499" t="s">
        <v>5381</v>
      </c>
      <c r="P13" s="2492" t="s">
        <v>5382</v>
      </c>
      <c r="Q13" s="2499" t="s">
        <v>5383</v>
      </c>
      <c r="R13" s="2492" t="s">
        <v>5384</v>
      </c>
      <c r="S13" s="2499" t="s">
        <v>5385</v>
      </c>
      <c r="T13" s="2492" t="s">
        <v>5386</v>
      </c>
      <c r="U13" s="2499" t="s">
        <v>5387</v>
      </c>
      <c r="V13" s="2492" t="s">
        <v>5388</v>
      </c>
      <c r="W13" s="2499" t="s">
        <v>5389</v>
      </c>
      <c r="X13" s="2492" t="s">
        <v>5390</v>
      </c>
      <c r="Y13" s="2499" t="s">
        <v>5391</v>
      </c>
      <c r="Z13" s="2492" t="s">
        <v>5392</v>
      </c>
      <c r="AA13" s="2499" t="s">
        <v>5393</v>
      </c>
      <c r="AB13" s="2492" t="s">
        <v>5394</v>
      </c>
      <c r="AC13" s="2499" t="s">
        <v>5395</v>
      </c>
      <c r="AD13" s="2492" t="s">
        <v>5396</v>
      </c>
      <c r="AE13" s="2499" t="s">
        <v>5397</v>
      </c>
      <c r="AF13" s="2492" t="s">
        <v>5398</v>
      </c>
      <c r="AG13" s="2499" t="s">
        <v>5399</v>
      </c>
      <c r="AH13" s="2492" t="s">
        <v>5400</v>
      </c>
      <c r="AI13" s="2499" t="s">
        <v>5401</v>
      </c>
      <c r="AJ13" s="2492" t="s">
        <v>5402</v>
      </c>
      <c r="AK13" s="2499" t="s">
        <v>5403</v>
      </c>
      <c r="AL13" s="2492" t="s">
        <v>5404</v>
      </c>
      <c r="AM13" s="2499" t="s">
        <v>5405</v>
      </c>
      <c r="AN13" s="2499" t="s">
        <v>5406</v>
      </c>
      <c r="AO13" s="2492" t="s">
        <v>5407</v>
      </c>
      <c r="AP13" s="2491" t="s">
        <v>5408</v>
      </c>
      <c r="AQ13" s="2491" t="s">
        <v>5409</v>
      </c>
      <c r="AR13" s="2499" t="s">
        <v>5410</v>
      </c>
      <c r="AS13" s="2499" t="s">
        <v>5411</v>
      </c>
      <c r="AT13" s="2499" t="s">
        <v>5412</v>
      </c>
      <c r="AU13" s="1447"/>
      <c r="AV13" s="806"/>
      <c r="AW13" s="806"/>
      <c r="AX13" s="806"/>
      <c r="AY13" s="806"/>
      <c r="AZ13" s="806"/>
      <c r="BA13" s="806"/>
      <c r="BB13" s="806"/>
      <c r="BC13" s="806"/>
      <c r="BD13" s="806"/>
      <c r="BE13" s="806"/>
      <c r="BF13" s="290"/>
      <c r="BG13" s="290"/>
      <c r="BH13" s="290"/>
      <c r="DB13" s="3219">
        <v>0</v>
      </c>
      <c r="DC13" s="3219">
        <v>0</v>
      </c>
      <c r="DD13" s="3219">
        <v>0</v>
      </c>
      <c r="DE13" s="3219">
        <v>0</v>
      </c>
    </row>
    <row r="14" spans="1:109" ht="16.350000000000001" customHeight="1" x14ac:dyDescent="0.25">
      <c r="A14" s="7300" t="s">
        <v>4893</v>
      </c>
      <c r="B14" s="3800" t="s">
        <v>2608</v>
      </c>
      <c r="C14" s="2579" t="s">
        <v>5369</v>
      </c>
      <c r="D14" s="2580" t="s">
        <v>5370</v>
      </c>
      <c r="E14" s="2583" t="s">
        <v>5371</v>
      </c>
      <c r="F14" s="2492" t="s">
        <v>5372</v>
      </c>
      <c r="G14" s="2499" t="s">
        <v>5373</v>
      </c>
      <c r="H14" s="2492" t="s">
        <v>5374</v>
      </c>
      <c r="I14" s="2499" t="s">
        <v>5375</v>
      </c>
      <c r="J14" s="2492" t="s">
        <v>5376</v>
      </c>
      <c r="K14" s="2499" t="s">
        <v>5377</v>
      </c>
      <c r="L14" s="2492" t="s">
        <v>5378</v>
      </c>
      <c r="M14" s="2499" t="s">
        <v>5379</v>
      </c>
      <c r="N14" s="2492" t="s">
        <v>5380</v>
      </c>
      <c r="O14" s="2499" t="s">
        <v>5381</v>
      </c>
      <c r="P14" s="2492" t="s">
        <v>5382</v>
      </c>
      <c r="Q14" s="2499" t="s">
        <v>5383</v>
      </c>
      <c r="R14" s="2492" t="s">
        <v>5384</v>
      </c>
      <c r="S14" s="2499" t="s">
        <v>5385</v>
      </c>
      <c r="T14" s="2492" t="s">
        <v>5386</v>
      </c>
      <c r="U14" s="2499" t="s">
        <v>5387</v>
      </c>
      <c r="V14" s="2492" t="s">
        <v>5388</v>
      </c>
      <c r="W14" s="2499" t="s">
        <v>5389</v>
      </c>
      <c r="X14" s="2492" t="s">
        <v>5390</v>
      </c>
      <c r="Y14" s="2499" t="s">
        <v>5391</v>
      </c>
      <c r="Z14" s="2492" t="s">
        <v>5392</v>
      </c>
      <c r="AA14" s="2499" t="s">
        <v>5393</v>
      </c>
      <c r="AB14" s="2492" t="s">
        <v>5394</v>
      </c>
      <c r="AC14" s="2499" t="s">
        <v>5395</v>
      </c>
      <c r="AD14" s="2492" t="s">
        <v>5396</v>
      </c>
      <c r="AE14" s="2499" t="s">
        <v>5397</v>
      </c>
      <c r="AF14" s="2492" t="s">
        <v>5398</v>
      </c>
      <c r="AG14" s="2499" t="s">
        <v>5399</v>
      </c>
      <c r="AH14" s="2492" t="s">
        <v>5400</v>
      </c>
      <c r="AI14" s="2499" t="s">
        <v>5401</v>
      </c>
      <c r="AJ14" s="2492" t="s">
        <v>5402</v>
      </c>
      <c r="AK14" s="2499" t="s">
        <v>5403</v>
      </c>
      <c r="AL14" s="2492" t="s">
        <v>5404</v>
      </c>
      <c r="AM14" s="2499" t="s">
        <v>5405</v>
      </c>
      <c r="AN14" s="2499" t="s">
        <v>5406</v>
      </c>
      <c r="AO14" s="2586" t="s">
        <v>5407</v>
      </c>
      <c r="AP14" s="2586" t="s">
        <v>5408</v>
      </c>
      <c r="AQ14" s="2586" t="s">
        <v>5409</v>
      </c>
      <c r="AR14" s="2429" t="s">
        <v>5410</v>
      </c>
      <c r="AS14" s="2429" t="s">
        <v>5411</v>
      </c>
      <c r="AT14" s="2429" t="s">
        <v>5412</v>
      </c>
      <c r="AU14" s="1447"/>
      <c r="AV14" s="806"/>
      <c r="AW14" s="806"/>
      <c r="AX14" s="806"/>
      <c r="AY14" s="806"/>
      <c r="AZ14" s="806"/>
      <c r="BA14" s="806"/>
      <c r="BB14" s="806"/>
      <c r="BC14" s="806"/>
      <c r="BD14" s="806"/>
      <c r="BE14" s="806"/>
      <c r="BF14" s="290"/>
      <c r="BG14" s="290"/>
      <c r="BH14" s="290"/>
      <c r="DB14" s="3219">
        <v>0</v>
      </c>
      <c r="DC14" s="3219">
        <v>0</v>
      </c>
    </row>
    <row r="15" spans="1:109" ht="16.350000000000001" customHeight="1" x14ac:dyDescent="0.25">
      <c r="A15" s="7300" t="s">
        <v>4894</v>
      </c>
      <c r="B15" s="6837" t="s">
        <v>2609</v>
      </c>
      <c r="C15" s="6838" t="s">
        <v>5369</v>
      </c>
      <c r="D15" s="6839" t="s">
        <v>5370</v>
      </c>
      <c r="E15" s="3484" t="s">
        <v>5371</v>
      </c>
      <c r="F15" s="3158" t="s">
        <v>5372</v>
      </c>
      <c r="G15" s="3159" t="s">
        <v>5373</v>
      </c>
      <c r="H15" s="3158" t="s">
        <v>5374</v>
      </c>
      <c r="I15" s="3159" t="s">
        <v>5375</v>
      </c>
      <c r="J15" s="3158" t="s">
        <v>5376</v>
      </c>
      <c r="K15" s="3159" t="s">
        <v>5377</v>
      </c>
      <c r="L15" s="3158" t="s">
        <v>5378</v>
      </c>
      <c r="M15" s="3159" t="s">
        <v>5379</v>
      </c>
      <c r="N15" s="3158" t="s">
        <v>5380</v>
      </c>
      <c r="O15" s="3159" t="s">
        <v>5381</v>
      </c>
      <c r="P15" s="3158" t="s">
        <v>5382</v>
      </c>
      <c r="Q15" s="3159" t="s">
        <v>5383</v>
      </c>
      <c r="R15" s="3158" t="s">
        <v>5384</v>
      </c>
      <c r="S15" s="3159" t="s">
        <v>5385</v>
      </c>
      <c r="T15" s="3158" t="s">
        <v>5386</v>
      </c>
      <c r="U15" s="3159" t="s">
        <v>5387</v>
      </c>
      <c r="V15" s="3158" t="s">
        <v>5388</v>
      </c>
      <c r="W15" s="3159" t="s">
        <v>5389</v>
      </c>
      <c r="X15" s="3158" t="s">
        <v>5390</v>
      </c>
      <c r="Y15" s="3159" t="s">
        <v>5391</v>
      </c>
      <c r="Z15" s="3158" t="s">
        <v>5392</v>
      </c>
      <c r="AA15" s="3159" t="s">
        <v>5393</v>
      </c>
      <c r="AB15" s="3158" t="s">
        <v>5394</v>
      </c>
      <c r="AC15" s="3159" t="s">
        <v>5395</v>
      </c>
      <c r="AD15" s="3158" t="s">
        <v>5396</v>
      </c>
      <c r="AE15" s="3159" t="s">
        <v>5397</v>
      </c>
      <c r="AF15" s="3158" t="s">
        <v>5398</v>
      </c>
      <c r="AG15" s="3159" t="s">
        <v>5399</v>
      </c>
      <c r="AH15" s="3158" t="s">
        <v>5400</v>
      </c>
      <c r="AI15" s="3159" t="s">
        <v>5401</v>
      </c>
      <c r="AJ15" s="3158" t="s">
        <v>5402</v>
      </c>
      <c r="AK15" s="3159" t="s">
        <v>5403</v>
      </c>
      <c r="AL15" s="3158" t="s">
        <v>5404</v>
      </c>
      <c r="AM15" s="3159" t="s">
        <v>5405</v>
      </c>
      <c r="AN15" s="3159" t="s">
        <v>5406</v>
      </c>
      <c r="AO15" s="2842" t="s">
        <v>5407</v>
      </c>
      <c r="AP15" s="2842" t="s">
        <v>5408</v>
      </c>
      <c r="AQ15" s="2842" t="s">
        <v>5409</v>
      </c>
      <c r="AR15" s="3202" t="s">
        <v>5410</v>
      </c>
      <c r="AS15" s="3202" t="s">
        <v>5411</v>
      </c>
      <c r="AT15" s="3202" t="s">
        <v>5412</v>
      </c>
      <c r="AU15" s="1447"/>
      <c r="AV15" s="806"/>
      <c r="AW15" s="806"/>
      <c r="AX15" s="806"/>
      <c r="AY15" s="806"/>
      <c r="AZ15" s="806"/>
      <c r="BA15" s="806"/>
      <c r="BB15" s="806"/>
      <c r="BC15" s="806"/>
      <c r="BD15" s="806"/>
      <c r="BE15" s="806"/>
      <c r="BF15" s="290"/>
      <c r="BG15" s="290"/>
      <c r="BH15" s="290"/>
      <c r="DB15" s="3219">
        <v>0</v>
      </c>
      <c r="DC15" s="3219">
        <v>0</v>
      </c>
    </row>
    <row r="16" spans="1:109" ht="32.1" customHeight="1" x14ac:dyDescent="0.25">
      <c r="B16" s="292" t="s">
        <v>3998</v>
      </c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290"/>
      <c r="AI16" s="290"/>
      <c r="AJ16" s="290"/>
      <c r="AK16" s="290"/>
      <c r="AL16" s="290"/>
      <c r="AM16" s="290"/>
      <c r="AN16" s="290"/>
      <c r="AO16" s="290"/>
      <c r="AP16" s="290"/>
      <c r="AQ16" s="290"/>
      <c r="AR16" s="290"/>
      <c r="AS16" s="290"/>
      <c r="AT16" s="290"/>
      <c r="AU16" s="290"/>
      <c r="AV16" s="290"/>
      <c r="AW16" s="290"/>
      <c r="AX16" s="290"/>
      <c r="AY16" s="290"/>
      <c r="AZ16" s="290"/>
      <c r="BA16" s="290"/>
      <c r="BB16" s="290"/>
      <c r="BC16" s="290"/>
      <c r="BD16" s="290"/>
      <c r="BE16" s="290"/>
      <c r="BF16" s="290"/>
      <c r="BG16" s="290"/>
      <c r="BH16" s="290"/>
      <c r="BI16" s="290"/>
      <c r="BJ16" s="290"/>
      <c r="BY16" s="290"/>
      <c r="BZ16" s="290"/>
    </row>
    <row r="17" spans="1:107" ht="16.350000000000001" customHeight="1" x14ac:dyDescent="0.25">
      <c r="B17" s="9477" t="s">
        <v>2607</v>
      </c>
      <c r="C17" s="9479" t="s">
        <v>942</v>
      </c>
      <c r="D17" s="9480"/>
      <c r="E17" s="9481"/>
      <c r="F17" s="9485" t="s">
        <v>84</v>
      </c>
      <c r="G17" s="9486"/>
      <c r="H17" s="9486"/>
      <c r="I17" s="9486"/>
      <c r="J17" s="9486"/>
      <c r="K17" s="9486"/>
      <c r="L17" s="9486"/>
      <c r="M17" s="9486"/>
      <c r="N17" s="9486"/>
      <c r="O17" s="9486"/>
      <c r="P17" s="9486"/>
      <c r="Q17" s="9486"/>
      <c r="R17" s="9486"/>
      <c r="S17" s="9486"/>
      <c r="T17" s="9486"/>
      <c r="U17" s="9486"/>
      <c r="V17" s="9486"/>
      <c r="W17" s="9486"/>
      <c r="X17" s="9486"/>
      <c r="Y17" s="9486"/>
      <c r="Z17" s="9486"/>
      <c r="AA17" s="9486"/>
      <c r="AB17" s="9486"/>
      <c r="AC17" s="9486"/>
      <c r="AD17" s="9486"/>
      <c r="AE17" s="9486"/>
      <c r="AF17" s="9486"/>
      <c r="AG17" s="9486"/>
      <c r="AH17" s="9486"/>
      <c r="AI17" s="9486"/>
      <c r="AJ17" s="9486"/>
      <c r="AK17" s="9486"/>
      <c r="AL17" s="9486"/>
      <c r="AM17" s="9503"/>
      <c r="AN17" s="8606" t="s">
        <v>360</v>
      </c>
      <c r="AO17" s="8583" t="s">
        <v>3707</v>
      </c>
      <c r="AP17" s="8583" t="s">
        <v>1017</v>
      </c>
      <c r="AQ17" s="8583" t="s">
        <v>2902</v>
      </c>
      <c r="AR17" s="290"/>
      <c r="AS17" s="290"/>
      <c r="AT17" s="290"/>
      <c r="AU17" s="290"/>
      <c r="AV17" s="290"/>
      <c r="AW17" s="290"/>
      <c r="AX17" s="290"/>
      <c r="AY17" s="290"/>
      <c r="AZ17" s="290"/>
      <c r="BA17" s="290"/>
      <c r="BB17" s="290"/>
      <c r="BC17" s="290"/>
      <c r="BD17" s="290"/>
      <c r="BE17" s="290"/>
      <c r="BF17" s="290"/>
      <c r="BG17" s="290"/>
      <c r="BH17" s="290"/>
      <c r="BI17" s="290"/>
      <c r="BJ17" s="290"/>
    </row>
    <row r="18" spans="1:107" ht="16.350000000000001" customHeight="1" x14ac:dyDescent="0.25">
      <c r="B18" s="8591"/>
      <c r="C18" s="9482"/>
      <c r="D18" s="9483"/>
      <c r="E18" s="9484"/>
      <c r="F18" s="9485" t="s">
        <v>399</v>
      </c>
      <c r="G18" s="9503"/>
      <c r="H18" s="9485" t="s">
        <v>54</v>
      </c>
      <c r="I18" s="9503"/>
      <c r="J18" s="9485" t="s">
        <v>79</v>
      </c>
      <c r="K18" s="9503"/>
      <c r="L18" s="9485" t="s">
        <v>80</v>
      </c>
      <c r="M18" s="9503"/>
      <c r="N18" s="9485" t="s">
        <v>81</v>
      </c>
      <c r="O18" s="9503"/>
      <c r="P18" s="9504" t="s">
        <v>82</v>
      </c>
      <c r="Q18" s="9505"/>
      <c r="R18" s="9504" t="s">
        <v>83</v>
      </c>
      <c r="S18" s="9505"/>
      <c r="T18" s="9504" t="s">
        <v>400</v>
      </c>
      <c r="U18" s="9505"/>
      <c r="V18" s="9504" t="s">
        <v>124</v>
      </c>
      <c r="W18" s="9505"/>
      <c r="X18" s="9504" t="s">
        <v>125</v>
      </c>
      <c r="Y18" s="9505"/>
      <c r="Z18" s="9504" t="s">
        <v>126</v>
      </c>
      <c r="AA18" s="9505"/>
      <c r="AB18" s="9504" t="s">
        <v>127</v>
      </c>
      <c r="AC18" s="9505"/>
      <c r="AD18" s="9504" t="s">
        <v>128</v>
      </c>
      <c r="AE18" s="9505"/>
      <c r="AF18" s="9504" t="s">
        <v>129</v>
      </c>
      <c r="AG18" s="9505"/>
      <c r="AH18" s="9504" t="s">
        <v>130</v>
      </c>
      <c r="AI18" s="9505"/>
      <c r="AJ18" s="9504" t="s">
        <v>131</v>
      </c>
      <c r="AK18" s="9505"/>
      <c r="AL18" s="9504" t="s">
        <v>1405</v>
      </c>
      <c r="AM18" s="9505"/>
      <c r="AN18" s="8581"/>
      <c r="AO18" s="8555"/>
      <c r="AP18" s="8555"/>
      <c r="AQ18" s="8555"/>
      <c r="AR18" s="290"/>
      <c r="AS18" s="290"/>
      <c r="AT18" s="290"/>
      <c r="AU18" s="290"/>
      <c r="AV18" s="290"/>
      <c r="AW18" s="290"/>
      <c r="AX18" s="290"/>
      <c r="AY18" s="290"/>
      <c r="AZ18" s="290"/>
      <c r="BA18" s="290"/>
      <c r="BB18" s="290"/>
      <c r="BC18" s="290"/>
      <c r="BD18" s="290"/>
      <c r="BE18" s="290"/>
      <c r="BF18" s="290"/>
      <c r="BG18" s="290"/>
      <c r="BH18" s="290"/>
      <c r="BI18" s="290"/>
      <c r="BJ18" s="290"/>
    </row>
    <row r="19" spans="1:107" ht="16.350000000000001" customHeight="1" x14ac:dyDescent="0.25">
      <c r="B19" s="9478"/>
      <c r="C19" s="6871" t="s">
        <v>42</v>
      </c>
      <c r="D19" s="7182" t="s">
        <v>708</v>
      </c>
      <c r="E19" s="7104" t="s">
        <v>18</v>
      </c>
      <c r="F19" s="7105" t="s">
        <v>708</v>
      </c>
      <c r="G19" s="7104" t="s">
        <v>18</v>
      </c>
      <c r="H19" s="7105" t="s">
        <v>708</v>
      </c>
      <c r="I19" s="7104" t="s">
        <v>18</v>
      </c>
      <c r="J19" s="7105" t="s">
        <v>708</v>
      </c>
      <c r="K19" s="7104" t="s">
        <v>18</v>
      </c>
      <c r="L19" s="7105" t="s">
        <v>708</v>
      </c>
      <c r="M19" s="7104" t="s">
        <v>18</v>
      </c>
      <c r="N19" s="7105" t="s">
        <v>708</v>
      </c>
      <c r="O19" s="7104" t="s">
        <v>18</v>
      </c>
      <c r="P19" s="7105" t="s">
        <v>708</v>
      </c>
      <c r="Q19" s="7104" t="s">
        <v>18</v>
      </c>
      <c r="R19" s="7105" t="s">
        <v>708</v>
      </c>
      <c r="S19" s="7104" t="s">
        <v>18</v>
      </c>
      <c r="T19" s="7105" t="s">
        <v>708</v>
      </c>
      <c r="U19" s="7104" t="s">
        <v>18</v>
      </c>
      <c r="V19" s="7105" t="s">
        <v>708</v>
      </c>
      <c r="W19" s="7104" t="s">
        <v>18</v>
      </c>
      <c r="X19" s="7105" t="s">
        <v>708</v>
      </c>
      <c r="Y19" s="7104" t="s">
        <v>18</v>
      </c>
      <c r="Z19" s="7105" t="s">
        <v>708</v>
      </c>
      <c r="AA19" s="7104" t="s">
        <v>18</v>
      </c>
      <c r="AB19" s="7105" t="s">
        <v>708</v>
      </c>
      <c r="AC19" s="7104" t="s">
        <v>18</v>
      </c>
      <c r="AD19" s="7105" t="s">
        <v>708</v>
      </c>
      <c r="AE19" s="7104" t="s">
        <v>18</v>
      </c>
      <c r="AF19" s="7105" t="s">
        <v>708</v>
      </c>
      <c r="AG19" s="7104" t="s">
        <v>18</v>
      </c>
      <c r="AH19" s="7105" t="s">
        <v>708</v>
      </c>
      <c r="AI19" s="7104" t="s">
        <v>18</v>
      </c>
      <c r="AJ19" s="7105" t="s">
        <v>708</v>
      </c>
      <c r="AK19" s="7104" t="s">
        <v>18</v>
      </c>
      <c r="AL19" s="7105" t="s">
        <v>708</v>
      </c>
      <c r="AM19" s="7104" t="s">
        <v>18</v>
      </c>
      <c r="AN19" s="8702"/>
      <c r="AO19" s="8584"/>
      <c r="AP19" s="8584"/>
      <c r="AQ19" s="8584"/>
      <c r="AR19" s="290"/>
      <c r="AS19" s="290"/>
      <c r="AT19" s="290"/>
      <c r="AU19" s="290"/>
      <c r="AV19" s="290"/>
      <c r="AW19" s="290"/>
      <c r="AX19" s="290"/>
      <c r="AY19" s="290"/>
      <c r="AZ19" s="290"/>
      <c r="BA19" s="290"/>
      <c r="BB19" s="290"/>
      <c r="BC19" s="290"/>
      <c r="BD19" s="290"/>
      <c r="BE19" s="290"/>
      <c r="BF19" s="290"/>
      <c r="BG19" s="290"/>
      <c r="BH19" s="290"/>
      <c r="BI19" s="290"/>
      <c r="BJ19" s="290"/>
    </row>
    <row r="20" spans="1:107" ht="16.350000000000001" customHeight="1" x14ac:dyDescent="0.25">
      <c r="A20" s="7300" t="s">
        <v>4895</v>
      </c>
      <c r="B20" s="7183" t="s">
        <v>2578</v>
      </c>
      <c r="C20" s="7068" t="s">
        <v>5369</v>
      </c>
      <c r="D20" s="4797" t="s">
        <v>5370</v>
      </c>
      <c r="E20" s="2930" t="s">
        <v>5371</v>
      </c>
      <c r="F20" s="3757" t="s">
        <v>5372</v>
      </c>
      <c r="G20" s="2814" t="s">
        <v>5373</v>
      </c>
      <c r="H20" s="3757" t="s">
        <v>5374</v>
      </c>
      <c r="I20" s="2814" t="s">
        <v>5375</v>
      </c>
      <c r="J20" s="3757" t="s">
        <v>5376</v>
      </c>
      <c r="K20" s="4551" t="s">
        <v>5377</v>
      </c>
      <c r="L20" s="3757" t="s">
        <v>5378</v>
      </c>
      <c r="M20" s="4551" t="s">
        <v>5379</v>
      </c>
      <c r="N20" s="3757" t="s">
        <v>5380</v>
      </c>
      <c r="O20" s="4551" t="s">
        <v>5381</v>
      </c>
      <c r="P20" s="6785" t="s">
        <v>5382</v>
      </c>
      <c r="Q20" s="4551" t="s">
        <v>5383</v>
      </c>
      <c r="R20" s="6785" t="s">
        <v>5384</v>
      </c>
      <c r="S20" s="4551" t="s">
        <v>5385</v>
      </c>
      <c r="T20" s="6785" t="s">
        <v>5386</v>
      </c>
      <c r="U20" s="4551" t="s">
        <v>5387</v>
      </c>
      <c r="V20" s="6785" t="s">
        <v>5388</v>
      </c>
      <c r="W20" s="4551" t="s">
        <v>5389</v>
      </c>
      <c r="X20" s="6785" t="s">
        <v>5390</v>
      </c>
      <c r="Y20" s="4551" t="s">
        <v>5391</v>
      </c>
      <c r="Z20" s="6785" t="s">
        <v>5392</v>
      </c>
      <c r="AA20" s="4551" t="s">
        <v>5393</v>
      </c>
      <c r="AB20" s="6785" t="s">
        <v>5394</v>
      </c>
      <c r="AC20" s="4551" t="s">
        <v>5395</v>
      </c>
      <c r="AD20" s="6785" t="s">
        <v>5396</v>
      </c>
      <c r="AE20" s="4551" t="s">
        <v>5397</v>
      </c>
      <c r="AF20" s="6785" t="s">
        <v>5398</v>
      </c>
      <c r="AG20" s="4551" t="s">
        <v>5399</v>
      </c>
      <c r="AH20" s="6785" t="s">
        <v>5400</v>
      </c>
      <c r="AI20" s="4551" t="s">
        <v>5401</v>
      </c>
      <c r="AJ20" s="6785" t="s">
        <v>5402</v>
      </c>
      <c r="AK20" s="4551" t="s">
        <v>5403</v>
      </c>
      <c r="AL20" s="6785" t="s">
        <v>5404</v>
      </c>
      <c r="AM20" s="4551" t="s">
        <v>5405</v>
      </c>
      <c r="AN20" s="2814" t="s">
        <v>5406</v>
      </c>
      <c r="AO20" s="91" t="s">
        <v>5407</v>
      </c>
      <c r="AP20" s="91" t="s">
        <v>5408</v>
      </c>
      <c r="AQ20" s="91" t="s">
        <v>5409</v>
      </c>
      <c r="AR20" s="1447"/>
      <c r="AS20" s="806"/>
      <c r="AT20" s="806"/>
      <c r="AU20" s="806"/>
      <c r="AV20" s="806"/>
      <c r="AW20" s="806"/>
      <c r="AX20" s="806"/>
      <c r="AY20" s="806"/>
      <c r="AZ20" s="806"/>
      <c r="BA20" s="290"/>
      <c r="BB20" s="290"/>
      <c r="BC20" s="290"/>
      <c r="BD20" s="290"/>
      <c r="BE20" s="290"/>
      <c r="BF20" s="290"/>
      <c r="BG20" s="290"/>
      <c r="BH20" s="290"/>
      <c r="BI20" s="290"/>
      <c r="BJ20" s="290"/>
      <c r="DB20" s="3219">
        <v>0</v>
      </c>
      <c r="DC20" s="3219">
        <v>0</v>
      </c>
    </row>
    <row r="21" spans="1:107" ht="16.350000000000001" customHeight="1" x14ac:dyDescent="0.25">
      <c r="A21" s="7300" t="s">
        <v>4896</v>
      </c>
      <c r="B21" s="7184" t="s">
        <v>3051</v>
      </c>
      <c r="C21" s="4667" t="s">
        <v>5369</v>
      </c>
      <c r="D21" s="4797" t="s">
        <v>5370</v>
      </c>
      <c r="E21" s="2930" t="s">
        <v>5371</v>
      </c>
      <c r="F21" s="3757" t="s">
        <v>5372</v>
      </c>
      <c r="G21" s="2814" t="s">
        <v>5373</v>
      </c>
      <c r="H21" s="3757" t="s">
        <v>5374</v>
      </c>
      <c r="I21" s="2814" t="s">
        <v>5375</v>
      </c>
      <c r="J21" s="3757" t="s">
        <v>5376</v>
      </c>
      <c r="K21" s="4551" t="s">
        <v>5377</v>
      </c>
      <c r="L21" s="3757" t="s">
        <v>5378</v>
      </c>
      <c r="M21" s="4551" t="s">
        <v>5379</v>
      </c>
      <c r="N21" s="3757" t="s">
        <v>5380</v>
      </c>
      <c r="O21" s="4551" t="s">
        <v>5381</v>
      </c>
      <c r="P21" s="6785" t="s">
        <v>5382</v>
      </c>
      <c r="Q21" s="4551" t="s">
        <v>5383</v>
      </c>
      <c r="R21" s="6785" t="s">
        <v>5384</v>
      </c>
      <c r="S21" s="4551" t="s">
        <v>5385</v>
      </c>
      <c r="T21" s="6785" t="s">
        <v>5386</v>
      </c>
      <c r="U21" s="4551" t="s">
        <v>5387</v>
      </c>
      <c r="V21" s="6785" t="s">
        <v>5388</v>
      </c>
      <c r="W21" s="4551" t="s">
        <v>5389</v>
      </c>
      <c r="X21" s="6785" t="s">
        <v>5390</v>
      </c>
      <c r="Y21" s="4551" t="s">
        <v>5391</v>
      </c>
      <c r="Z21" s="6785" t="s">
        <v>5392</v>
      </c>
      <c r="AA21" s="4551" t="s">
        <v>5393</v>
      </c>
      <c r="AB21" s="6785" t="s">
        <v>5394</v>
      </c>
      <c r="AC21" s="4551" t="s">
        <v>5395</v>
      </c>
      <c r="AD21" s="6785" t="s">
        <v>5396</v>
      </c>
      <c r="AE21" s="4551" t="s">
        <v>5397</v>
      </c>
      <c r="AF21" s="6785" t="s">
        <v>5398</v>
      </c>
      <c r="AG21" s="4551" t="s">
        <v>5399</v>
      </c>
      <c r="AH21" s="6785" t="s">
        <v>5400</v>
      </c>
      <c r="AI21" s="4551" t="s">
        <v>5401</v>
      </c>
      <c r="AJ21" s="6785" t="s">
        <v>5402</v>
      </c>
      <c r="AK21" s="4551" t="s">
        <v>5403</v>
      </c>
      <c r="AL21" s="6785" t="s">
        <v>5404</v>
      </c>
      <c r="AM21" s="4551" t="s">
        <v>5405</v>
      </c>
      <c r="AN21" s="2814" t="s">
        <v>5406</v>
      </c>
      <c r="AO21" s="3033" t="s">
        <v>5407</v>
      </c>
      <c r="AP21" s="3033" t="s">
        <v>5408</v>
      </c>
      <c r="AQ21" s="3033" t="s">
        <v>5409</v>
      </c>
      <c r="AR21" s="1447"/>
      <c r="AS21" s="806"/>
      <c r="AT21" s="806"/>
      <c r="AU21" s="806"/>
      <c r="AV21" s="806"/>
      <c r="AW21" s="806"/>
      <c r="AX21" s="806"/>
      <c r="AY21" s="806"/>
      <c r="AZ21" s="806"/>
      <c r="BA21" s="290"/>
      <c r="BB21" s="290"/>
      <c r="BC21" s="290"/>
      <c r="BD21" s="290"/>
      <c r="BE21" s="290"/>
      <c r="BF21" s="290"/>
      <c r="BG21" s="290"/>
      <c r="BH21" s="290"/>
      <c r="BI21" s="290"/>
      <c r="BJ21" s="290"/>
      <c r="DB21" s="3219">
        <v>0</v>
      </c>
      <c r="DC21" s="3219">
        <v>0</v>
      </c>
    </row>
    <row r="22" spans="1:107" ht="16.350000000000001" customHeight="1" x14ac:dyDescent="0.25">
      <c r="A22" s="7300" t="s">
        <v>4897</v>
      </c>
      <c r="B22" s="7185" t="s">
        <v>2579</v>
      </c>
      <c r="C22" s="4667" t="s">
        <v>5369</v>
      </c>
      <c r="D22" s="4797" t="s">
        <v>5370</v>
      </c>
      <c r="E22" s="7111" t="s">
        <v>5371</v>
      </c>
      <c r="F22" s="2956" t="s">
        <v>5372</v>
      </c>
      <c r="G22" s="3041" t="s">
        <v>5373</v>
      </c>
      <c r="H22" s="2956" t="s">
        <v>5374</v>
      </c>
      <c r="I22" s="3041" t="s">
        <v>5375</v>
      </c>
      <c r="J22" s="2956" t="s">
        <v>5376</v>
      </c>
      <c r="K22" s="1844" t="s">
        <v>5377</v>
      </c>
      <c r="L22" s="2956" t="s">
        <v>5378</v>
      </c>
      <c r="M22" s="1844" t="s">
        <v>5379</v>
      </c>
      <c r="N22" s="2956" t="s">
        <v>5380</v>
      </c>
      <c r="O22" s="1844" t="s">
        <v>5381</v>
      </c>
      <c r="P22" s="1870" t="s">
        <v>5382</v>
      </c>
      <c r="Q22" s="1844" t="s">
        <v>5383</v>
      </c>
      <c r="R22" s="1870" t="s">
        <v>5384</v>
      </c>
      <c r="S22" s="1844" t="s">
        <v>5385</v>
      </c>
      <c r="T22" s="1870" t="s">
        <v>5386</v>
      </c>
      <c r="U22" s="1844" t="s">
        <v>5387</v>
      </c>
      <c r="V22" s="1870" t="s">
        <v>5388</v>
      </c>
      <c r="W22" s="1844" t="s">
        <v>5389</v>
      </c>
      <c r="X22" s="1870" t="s">
        <v>5390</v>
      </c>
      <c r="Y22" s="1844" t="s">
        <v>5391</v>
      </c>
      <c r="Z22" s="1870" t="s">
        <v>5392</v>
      </c>
      <c r="AA22" s="1844" t="s">
        <v>5393</v>
      </c>
      <c r="AB22" s="1870" t="s">
        <v>5394</v>
      </c>
      <c r="AC22" s="1844" t="s">
        <v>5395</v>
      </c>
      <c r="AD22" s="1870" t="s">
        <v>5396</v>
      </c>
      <c r="AE22" s="1844" t="s">
        <v>5397</v>
      </c>
      <c r="AF22" s="1870" t="s">
        <v>5398</v>
      </c>
      <c r="AG22" s="1844" t="s">
        <v>5399</v>
      </c>
      <c r="AH22" s="1870" t="s">
        <v>5400</v>
      </c>
      <c r="AI22" s="1844" t="s">
        <v>5401</v>
      </c>
      <c r="AJ22" s="1870" t="s">
        <v>5402</v>
      </c>
      <c r="AK22" s="1844" t="s">
        <v>5403</v>
      </c>
      <c r="AL22" s="1870" t="s">
        <v>5404</v>
      </c>
      <c r="AM22" s="1844" t="s">
        <v>5405</v>
      </c>
      <c r="AN22" s="3041" t="s">
        <v>5406</v>
      </c>
      <c r="AO22" s="123" t="s">
        <v>5407</v>
      </c>
      <c r="AP22" s="123" t="s">
        <v>5408</v>
      </c>
      <c r="AQ22" s="3063" t="s">
        <v>5409</v>
      </c>
      <c r="AR22" s="1447"/>
      <c r="AS22" s="806"/>
      <c r="AT22" s="806"/>
      <c r="AU22" s="806"/>
      <c r="AV22" s="806"/>
      <c r="AW22" s="806"/>
      <c r="AX22" s="806"/>
      <c r="AY22" s="806"/>
      <c r="AZ22" s="806"/>
      <c r="BA22" s="290"/>
      <c r="BB22" s="290"/>
      <c r="BC22" s="290"/>
      <c r="BD22" s="290"/>
      <c r="BE22" s="290"/>
      <c r="BF22" s="290"/>
      <c r="BG22" s="290"/>
      <c r="BH22" s="290"/>
      <c r="BI22" s="290"/>
      <c r="BJ22" s="290"/>
      <c r="DB22" s="3219">
        <v>0</v>
      </c>
      <c r="DC22" s="3219">
        <v>0</v>
      </c>
    </row>
    <row r="23" spans="1:107" ht="16.350000000000001" customHeight="1" thickBot="1" x14ac:dyDescent="0.3">
      <c r="A23" s="7300" t="s">
        <v>4898</v>
      </c>
      <c r="B23" s="7178" t="s">
        <v>3495</v>
      </c>
      <c r="C23" s="7112" t="s">
        <v>5369</v>
      </c>
      <c r="D23" s="3617" t="s">
        <v>5370</v>
      </c>
      <c r="E23" s="3184" t="s">
        <v>5371</v>
      </c>
      <c r="F23" s="3185" t="s">
        <v>5372</v>
      </c>
      <c r="G23" s="3186" t="s">
        <v>5373</v>
      </c>
      <c r="H23" s="3185" t="s">
        <v>5374</v>
      </c>
      <c r="I23" s="3186" t="s">
        <v>5375</v>
      </c>
      <c r="J23" s="3185" t="s">
        <v>5376</v>
      </c>
      <c r="K23" s="2537" t="s">
        <v>5377</v>
      </c>
      <c r="L23" s="2796" t="s">
        <v>5378</v>
      </c>
      <c r="M23" s="3186" t="s">
        <v>5379</v>
      </c>
      <c r="N23" s="3185" t="s">
        <v>5380</v>
      </c>
      <c r="O23" s="3186" t="s">
        <v>5381</v>
      </c>
      <c r="P23" s="3185" t="s">
        <v>5382</v>
      </c>
      <c r="Q23" s="3186" t="s">
        <v>5383</v>
      </c>
      <c r="R23" s="3185" t="s">
        <v>5384</v>
      </c>
      <c r="S23" s="3186" t="s">
        <v>5385</v>
      </c>
      <c r="T23" s="3185" t="s">
        <v>5386</v>
      </c>
      <c r="U23" s="3186" t="s">
        <v>5387</v>
      </c>
      <c r="V23" s="3185" t="s">
        <v>5388</v>
      </c>
      <c r="W23" s="3186" t="s">
        <v>5389</v>
      </c>
      <c r="X23" s="3185" t="s">
        <v>5390</v>
      </c>
      <c r="Y23" s="3186" t="s">
        <v>5391</v>
      </c>
      <c r="Z23" s="3185" t="s">
        <v>5392</v>
      </c>
      <c r="AA23" s="3186" t="s">
        <v>5393</v>
      </c>
      <c r="AB23" s="3185" t="s">
        <v>5394</v>
      </c>
      <c r="AC23" s="3186" t="s">
        <v>5395</v>
      </c>
      <c r="AD23" s="3185" t="s">
        <v>5396</v>
      </c>
      <c r="AE23" s="3186" t="s">
        <v>5397</v>
      </c>
      <c r="AF23" s="3185" t="s">
        <v>5398</v>
      </c>
      <c r="AG23" s="3186" t="s">
        <v>5399</v>
      </c>
      <c r="AH23" s="3185" t="s">
        <v>5400</v>
      </c>
      <c r="AI23" s="3186" t="s">
        <v>5401</v>
      </c>
      <c r="AJ23" s="3185" t="s">
        <v>5402</v>
      </c>
      <c r="AK23" s="3186" t="s">
        <v>5403</v>
      </c>
      <c r="AL23" s="3185" t="s">
        <v>5404</v>
      </c>
      <c r="AM23" s="3186" t="s">
        <v>5405</v>
      </c>
      <c r="AN23" s="3186" t="s">
        <v>5406</v>
      </c>
      <c r="AO23" s="3186" t="s">
        <v>5407</v>
      </c>
      <c r="AP23" s="3186" t="s">
        <v>5408</v>
      </c>
      <c r="AQ23" s="3186" t="s">
        <v>5409</v>
      </c>
      <c r="AR23" s="1447"/>
      <c r="AS23" s="806"/>
      <c r="AT23" s="806"/>
      <c r="AU23" s="806"/>
      <c r="AV23" s="806"/>
      <c r="AW23" s="806"/>
      <c r="AX23" s="806"/>
      <c r="AY23" s="806"/>
      <c r="AZ23" s="806"/>
      <c r="BA23" s="290"/>
      <c r="BB23" s="290"/>
      <c r="BC23" s="290"/>
      <c r="BD23" s="290"/>
      <c r="BE23" s="290"/>
      <c r="BF23" s="290"/>
      <c r="BG23" s="290"/>
      <c r="BH23" s="290"/>
      <c r="BI23" s="290"/>
      <c r="BJ23" s="290"/>
      <c r="DB23" s="3219">
        <v>0</v>
      </c>
      <c r="DC23" s="3219">
        <v>0</v>
      </c>
    </row>
    <row r="24" spans="1:107" ht="16.350000000000001" customHeight="1" thickTop="1" x14ac:dyDescent="0.25">
      <c r="A24" s="7259" t="s">
        <v>4899</v>
      </c>
      <c r="B24" s="7488" t="s">
        <v>2702</v>
      </c>
      <c r="C24" s="934" t="s">
        <v>5369</v>
      </c>
      <c r="D24" s="7179" t="s">
        <v>5370</v>
      </c>
      <c r="E24" s="932" t="s">
        <v>5371</v>
      </c>
      <c r="F24" s="537" t="s">
        <v>5372</v>
      </c>
      <c r="G24" s="535" t="s">
        <v>5373</v>
      </c>
      <c r="H24" s="537" t="s">
        <v>5374</v>
      </c>
      <c r="I24" s="535" t="s">
        <v>5375</v>
      </c>
      <c r="J24" s="537" t="s">
        <v>5376</v>
      </c>
      <c r="K24" s="575" t="s">
        <v>5377</v>
      </c>
      <c r="L24" s="7180" t="s">
        <v>5378</v>
      </c>
      <c r="M24" s="535" t="s">
        <v>5379</v>
      </c>
      <c r="N24" s="537" t="s">
        <v>5380</v>
      </c>
      <c r="O24" s="535" t="s">
        <v>5381</v>
      </c>
      <c r="P24" s="537" t="s">
        <v>5382</v>
      </c>
      <c r="Q24" s="535" t="s">
        <v>5383</v>
      </c>
      <c r="R24" s="537" t="s">
        <v>5384</v>
      </c>
      <c r="S24" s="535" t="s">
        <v>5385</v>
      </c>
      <c r="T24" s="537" t="s">
        <v>5386</v>
      </c>
      <c r="U24" s="535" t="s">
        <v>5387</v>
      </c>
      <c r="V24" s="537" t="s">
        <v>5388</v>
      </c>
      <c r="W24" s="535" t="s">
        <v>5389</v>
      </c>
      <c r="X24" s="537" t="s">
        <v>5390</v>
      </c>
      <c r="Y24" s="535" t="s">
        <v>5391</v>
      </c>
      <c r="Z24" s="537" t="s">
        <v>5392</v>
      </c>
      <c r="AA24" s="535" t="s">
        <v>5393</v>
      </c>
      <c r="AB24" s="537" t="s">
        <v>5394</v>
      </c>
      <c r="AC24" s="535" t="s">
        <v>5395</v>
      </c>
      <c r="AD24" s="537" t="s">
        <v>5396</v>
      </c>
      <c r="AE24" s="535" t="s">
        <v>5397</v>
      </c>
      <c r="AF24" s="537" t="s">
        <v>5398</v>
      </c>
      <c r="AG24" s="535" t="s">
        <v>5399</v>
      </c>
      <c r="AH24" s="537" t="s">
        <v>5400</v>
      </c>
      <c r="AI24" s="535" t="s">
        <v>5401</v>
      </c>
      <c r="AJ24" s="537" t="s">
        <v>5402</v>
      </c>
      <c r="AK24" s="535" t="s">
        <v>5403</v>
      </c>
      <c r="AL24" s="537" t="s">
        <v>5404</v>
      </c>
      <c r="AM24" s="535" t="s">
        <v>5405</v>
      </c>
      <c r="AN24" s="535" t="s">
        <v>5406</v>
      </c>
      <c r="AO24" s="535" t="s">
        <v>5407</v>
      </c>
      <c r="AP24" s="7253" t="s">
        <v>5408</v>
      </c>
      <c r="AQ24" s="7181" t="s">
        <v>5409</v>
      </c>
      <c r="AR24" s="1447"/>
      <c r="AS24" s="806"/>
      <c r="AT24" s="806"/>
      <c r="AU24" s="806"/>
      <c r="AV24" s="806"/>
      <c r="AW24" s="806"/>
      <c r="AX24" s="806"/>
      <c r="AY24" s="806"/>
      <c r="AZ24" s="806"/>
      <c r="BA24" s="290"/>
      <c r="BB24" s="290"/>
      <c r="BC24" s="290"/>
      <c r="BD24" s="290"/>
      <c r="BE24" s="290"/>
      <c r="BF24" s="290"/>
      <c r="BG24" s="290"/>
      <c r="BH24" s="290"/>
      <c r="BI24" s="290"/>
      <c r="BJ24" s="290"/>
      <c r="DB24" s="3219">
        <v>0</v>
      </c>
      <c r="DC24" s="3219">
        <v>0</v>
      </c>
    </row>
    <row r="25" spans="1:107" ht="16.350000000000001" customHeight="1" x14ac:dyDescent="0.25">
      <c r="A25" s="7259" t="s">
        <v>4900</v>
      </c>
      <c r="B25" s="7489" t="s">
        <v>2703</v>
      </c>
      <c r="C25" s="4676" t="s">
        <v>5369</v>
      </c>
      <c r="D25" s="3615" t="s">
        <v>5370</v>
      </c>
      <c r="E25" s="7123" t="s">
        <v>5371</v>
      </c>
      <c r="F25" s="6926" t="s">
        <v>5372</v>
      </c>
      <c r="G25" s="7124" t="s">
        <v>5373</v>
      </c>
      <c r="H25" s="6926" t="s">
        <v>5374</v>
      </c>
      <c r="I25" s="7124" t="s">
        <v>5375</v>
      </c>
      <c r="J25" s="6926" t="s">
        <v>5376</v>
      </c>
      <c r="K25" s="6925" t="s">
        <v>5377</v>
      </c>
      <c r="L25" s="6924" t="s">
        <v>5378</v>
      </c>
      <c r="M25" s="7124" t="s">
        <v>5379</v>
      </c>
      <c r="N25" s="6926" t="s">
        <v>5380</v>
      </c>
      <c r="O25" s="7124" t="s">
        <v>5381</v>
      </c>
      <c r="P25" s="6926" t="s">
        <v>5382</v>
      </c>
      <c r="Q25" s="7124" t="s">
        <v>5383</v>
      </c>
      <c r="R25" s="6926" t="s">
        <v>5384</v>
      </c>
      <c r="S25" s="7124" t="s">
        <v>5385</v>
      </c>
      <c r="T25" s="6926" t="s">
        <v>5386</v>
      </c>
      <c r="U25" s="7124" t="s">
        <v>5387</v>
      </c>
      <c r="V25" s="6926" t="s">
        <v>5388</v>
      </c>
      <c r="W25" s="7124" t="s">
        <v>5389</v>
      </c>
      <c r="X25" s="6926" t="s">
        <v>5390</v>
      </c>
      <c r="Y25" s="7124" t="s">
        <v>5391</v>
      </c>
      <c r="Z25" s="6926" t="s">
        <v>5392</v>
      </c>
      <c r="AA25" s="7124" t="s">
        <v>5393</v>
      </c>
      <c r="AB25" s="6926" t="s">
        <v>5394</v>
      </c>
      <c r="AC25" s="7124" t="s">
        <v>5395</v>
      </c>
      <c r="AD25" s="6926" t="s">
        <v>5396</v>
      </c>
      <c r="AE25" s="7124" t="s">
        <v>5397</v>
      </c>
      <c r="AF25" s="6926" t="s">
        <v>5398</v>
      </c>
      <c r="AG25" s="7124" t="s">
        <v>5399</v>
      </c>
      <c r="AH25" s="6926" t="s">
        <v>5400</v>
      </c>
      <c r="AI25" s="7124" t="s">
        <v>5401</v>
      </c>
      <c r="AJ25" s="6926" t="s">
        <v>5402</v>
      </c>
      <c r="AK25" s="7124" t="s">
        <v>5403</v>
      </c>
      <c r="AL25" s="6926" t="s">
        <v>5404</v>
      </c>
      <c r="AM25" s="7124" t="s">
        <v>5405</v>
      </c>
      <c r="AN25" s="2814" t="s">
        <v>5406</v>
      </c>
      <c r="AO25" s="2814" t="s">
        <v>5407</v>
      </c>
      <c r="AP25" s="2778" t="s">
        <v>5408</v>
      </c>
      <c r="AQ25" s="3001" t="s">
        <v>5409</v>
      </c>
      <c r="AR25" s="1447" t="s">
        <v>3995</v>
      </c>
      <c r="AS25" s="806"/>
      <c r="AT25" s="806"/>
      <c r="AU25" s="806"/>
      <c r="AV25" s="806"/>
      <c r="AW25" s="806"/>
      <c r="AX25" s="806"/>
      <c r="AY25" s="806"/>
      <c r="AZ25" s="806"/>
      <c r="BA25" s="290"/>
      <c r="BB25" s="290"/>
      <c r="BC25" s="290"/>
      <c r="BD25" s="290"/>
      <c r="BE25" s="290"/>
      <c r="BF25" s="290"/>
      <c r="BG25" s="290"/>
      <c r="BH25" s="290"/>
      <c r="BI25" s="290"/>
      <c r="BJ25" s="290"/>
      <c r="CC25" s="1429" t="s">
        <v>3995</v>
      </c>
      <c r="DB25" s="3219">
        <v>0</v>
      </c>
      <c r="DC25" s="3219">
        <v>1</v>
      </c>
    </row>
    <row r="26" spans="1:107" ht="16.350000000000001" customHeight="1" x14ac:dyDescent="0.25">
      <c r="B26" s="133" t="s">
        <v>3997</v>
      </c>
      <c r="C26" s="133"/>
      <c r="D26" s="133"/>
      <c r="E26" s="133"/>
      <c r="F26" s="133"/>
      <c r="G26" s="133"/>
      <c r="H26" s="233"/>
      <c r="I26" s="233"/>
      <c r="J26" s="233"/>
      <c r="K26" s="233"/>
      <c r="L26" s="233"/>
      <c r="M26" s="72"/>
      <c r="N26" s="233"/>
      <c r="O26" s="233"/>
      <c r="P26" s="140"/>
      <c r="Q26" s="140"/>
      <c r="R26" s="140"/>
      <c r="S26" s="140"/>
      <c r="T26" s="140"/>
      <c r="U26" s="140"/>
      <c r="V26" s="140"/>
      <c r="W26" s="140"/>
      <c r="X26" s="140"/>
      <c r="Y26" s="153"/>
      <c r="Z26" s="153"/>
      <c r="AA26" s="153"/>
      <c r="AB26" s="153"/>
      <c r="AC26" s="153"/>
      <c r="AD26" s="153"/>
      <c r="AE26" s="153"/>
      <c r="AF26" s="153"/>
      <c r="AG26" s="153"/>
      <c r="AH26" s="153"/>
      <c r="AI26" s="153"/>
      <c r="AJ26" s="153"/>
      <c r="AK26" s="153"/>
      <c r="AL26" s="153"/>
      <c r="AM26" s="153"/>
      <c r="AN26" s="6813"/>
      <c r="AO26" s="288"/>
      <c r="AP26" s="6825"/>
      <c r="AQ26" s="6825"/>
      <c r="AR26" s="1447"/>
      <c r="AS26" s="806"/>
      <c r="AT26" s="806"/>
      <c r="AU26" s="806"/>
      <c r="AV26" s="806"/>
      <c r="AW26" s="806"/>
      <c r="AX26" s="806"/>
      <c r="AY26" s="806"/>
      <c r="AZ26" s="806"/>
      <c r="BA26" s="290"/>
      <c r="BB26" s="290"/>
      <c r="BC26" s="290"/>
      <c r="BD26" s="290"/>
      <c r="BE26" s="290"/>
      <c r="BF26" s="290"/>
      <c r="BG26" s="290"/>
      <c r="BH26" s="290"/>
      <c r="BI26" s="290"/>
      <c r="BJ26" s="290"/>
      <c r="DB26" s="3219">
        <v>0</v>
      </c>
      <c r="DC26" s="3219">
        <v>0</v>
      </c>
    </row>
    <row r="27" spans="1:107" ht="16.350000000000001" customHeight="1" x14ac:dyDescent="0.25">
      <c r="B27" s="9666" t="s">
        <v>0</v>
      </c>
      <c r="C27" s="9479" t="s">
        <v>942</v>
      </c>
      <c r="D27" s="9480"/>
      <c r="E27" s="9481"/>
      <c r="F27" s="8601" t="s">
        <v>84</v>
      </c>
      <c r="G27" s="8602"/>
      <c r="H27" s="8602"/>
      <c r="I27" s="8602"/>
      <c r="J27" s="8602"/>
      <c r="K27" s="8602"/>
      <c r="L27" s="8602"/>
      <c r="M27" s="8602"/>
      <c r="N27" s="8602"/>
      <c r="O27" s="8602"/>
      <c r="P27" s="8602"/>
      <c r="Q27" s="8602"/>
      <c r="R27" s="8602"/>
      <c r="S27" s="8602"/>
      <c r="T27" s="8602"/>
      <c r="U27" s="8602"/>
      <c r="V27" s="8602"/>
      <c r="W27" s="8602"/>
      <c r="X27" s="8602"/>
      <c r="Y27" s="8602"/>
      <c r="Z27" s="8602"/>
      <c r="AA27" s="8602"/>
      <c r="AB27" s="8602"/>
      <c r="AC27" s="8602"/>
      <c r="AD27" s="8602"/>
      <c r="AE27" s="8602"/>
      <c r="AF27" s="8602"/>
      <c r="AG27" s="8602"/>
      <c r="AH27" s="8602"/>
      <c r="AI27" s="8602"/>
      <c r="AJ27" s="8602"/>
      <c r="AK27" s="8602"/>
      <c r="AL27" s="8602"/>
      <c r="AM27" s="9671"/>
      <c r="AN27" s="9497" t="s">
        <v>360</v>
      </c>
      <c r="AO27" s="9497" t="s">
        <v>1017</v>
      </c>
      <c r="AP27" s="6825"/>
      <c r="AQ27" s="6825"/>
      <c r="AR27" s="1447"/>
      <c r="AS27" s="806"/>
      <c r="AT27" s="806"/>
      <c r="AU27" s="806"/>
      <c r="AV27" s="806"/>
      <c r="AW27" s="806"/>
      <c r="AX27" s="806"/>
      <c r="AY27" s="806"/>
      <c r="AZ27" s="806"/>
      <c r="BA27" s="290"/>
      <c r="BB27" s="290"/>
      <c r="BC27" s="290"/>
      <c r="BD27" s="290"/>
      <c r="BE27" s="290"/>
      <c r="BF27" s="290"/>
      <c r="BG27" s="290"/>
      <c r="BH27" s="290"/>
      <c r="BI27" s="290"/>
      <c r="BJ27" s="290"/>
    </row>
    <row r="28" spans="1:107" ht="16.350000000000001" customHeight="1" x14ac:dyDescent="0.25">
      <c r="B28" s="9667"/>
      <c r="C28" s="9669"/>
      <c r="D28" s="9670"/>
      <c r="E28" s="9617"/>
      <c r="F28" s="8601" t="s">
        <v>75</v>
      </c>
      <c r="G28" s="9671"/>
      <c r="H28" s="8601" t="s">
        <v>76</v>
      </c>
      <c r="I28" s="9671"/>
      <c r="J28" s="8601" t="s">
        <v>77</v>
      </c>
      <c r="K28" s="9671"/>
      <c r="L28" s="8601" t="s">
        <v>71</v>
      </c>
      <c r="M28" s="9671"/>
      <c r="N28" s="8601" t="s">
        <v>4</v>
      </c>
      <c r="O28" s="9671"/>
      <c r="P28" s="9657" t="s">
        <v>5</v>
      </c>
      <c r="Q28" s="9658"/>
      <c r="R28" s="9657" t="s">
        <v>6</v>
      </c>
      <c r="S28" s="9658"/>
      <c r="T28" s="9657" t="s">
        <v>7</v>
      </c>
      <c r="U28" s="9658"/>
      <c r="V28" s="9657" t="s">
        <v>8</v>
      </c>
      <c r="W28" s="9658"/>
      <c r="X28" s="9657" t="s">
        <v>9</v>
      </c>
      <c r="Y28" s="9658"/>
      <c r="Z28" s="9657" t="s">
        <v>10</v>
      </c>
      <c r="AA28" s="9658"/>
      <c r="AB28" s="9657" t="s">
        <v>11</v>
      </c>
      <c r="AC28" s="9658"/>
      <c r="AD28" s="9657" t="s">
        <v>12</v>
      </c>
      <c r="AE28" s="9658"/>
      <c r="AF28" s="9657" t="s">
        <v>13</v>
      </c>
      <c r="AG28" s="9658"/>
      <c r="AH28" s="9657" t="s">
        <v>14</v>
      </c>
      <c r="AI28" s="9658"/>
      <c r="AJ28" s="9657" t="s">
        <v>15</v>
      </c>
      <c r="AK28" s="9658"/>
      <c r="AL28" s="9657" t="s">
        <v>16</v>
      </c>
      <c r="AM28" s="9658"/>
      <c r="AN28" s="8705"/>
      <c r="AO28" s="8705"/>
      <c r="AP28" s="6825"/>
      <c r="AQ28" s="6825"/>
      <c r="AR28" s="1447"/>
      <c r="AS28" s="806"/>
      <c r="AT28" s="806"/>
      <c r="AU28" s="806"/>
      <c r="AV28" s="806"/>
      <c r="AW28" s="806"/>
      <c r="AX28" s="806"/>
      <c r="AY28" s="806"/>
      <c r="AZ28" s="806"/>
      <c r="BA28" s="290"/>
      <c r="BB28" s="290"/>
      <c r="BC28" s="290"/>
      <c r="BD28" s="290"/>
      <c r="BE28" s="290"/>
      <c r="BF28" s="290"/>
      <c r="BG28" s="290"/>
      <c r="BH28" s="290"/>
      <c r="BI28" s="290"/>
      <c r="BJ28" s="290"/>
      <c r="DB28" s="3219">
        <v>0</v>
      </c>
      <c r="DC28" s="3219">
        <v>0</v>
      </c>
    </row>
    <row r="29" spans="1:107" ht="16.350000000000001" customHeight="1" x14ac:dyDescent="0.25">
      <c r="B29" s="9668"/>
      <c r="C29" s="6816" t="s">
        <v>42</v>
      </c>
      <c r="D29" s="6817" t="s">
        <v>708</v>
      </c>
      <c r="E29" s="3259" t="s">
        <v>18</v>
      </c>
      <c r="F29" s="6814" t="s">
        <v>708</v>
      </c>
      <c r="G29" s="6815" t="s">
        <v>18</v>
      </c>
      <c r="H29" s="6814" t="s">
        <v>708</v>
      </c>
      <c r="I29" s="6815" t="s">
        <v>18</v>
      </c>
      <c r="J29" s="6814" t="s">
        <v>708</v>
      </c>
      <c r="K29" s="6815" t="s">
        <v>18</v>
      </c>
      <c r="L29" s="6814" t="s">
        <v>708</v>
      </c>
      <c r="M29" s="6815" t="s">
        <v>18</v>
      </c>
      <c r="N29" s="6814" t="s">
        <v>708</v>
      </c>
      <c r="O29" s="6815" t="s">
        <v>18</v>
      </c>
      <c r="P29" s="6814" t="s">
        <v>708</v>
      </c>
      <c r="Q29" s="6815" t="s">
        <v>18</v>
      </c>
      <c r="R29" s="6814" t="s">
        <v>708</v>
      </c>
      <c r="S29" s="6815" t="s">
        <v>18</v>
      </c>
      <c r="T29" s="6814" t="s">
        <v>708</v>
      </c>
      <c r="U29" s="6815" t="s">
        <v>18</v>
      </c>
      <c r="V29" s="6814" t="s">
        <v>708</v>
      </c>
      <c r="W29" s="6815" t="s">
        <v>18</v>
      </c>
      <c r="X29" s="6814" t="s">
        <v>708</v>
      </c>
      <c r="Y29" s="6815" t="s">
        <v>18</v>
      </c>
      <c r="Z29" s="6814" t="s">
        <v>708</v>
      </c>
      <c r="AA29" s="6815" t="s">
        <v>18</v>
      </c>
      <c r="AB29" s="6814" t="s">
        <v>708</v>
      </c>
      <c r="AC29" s="6815" t="s">
        <v>18</v>
      </c>
      <c r="AD29" s="6814" t="s">
        <v>708</v>
      </c>
      <c r="AE29" s="6815" t="s">
        <v>18</v>
      </c>
      <c r="AF29" s="6814" t="s">
        <v>708</v>
      </c>
      <c r="AG29" s="6815" t="s">
        <v>18</v>
      </c>
      <c r="AH29" s="6814" t="s">
        <v>708</v>
      </c>
      <c r="AI29" s="6815" t="s">
        <v>18</v>
      </c>
      <c r="AJ29" s="6814" t="s">
        <v>708</v>
      </c>
      <c r="AK29" s="6815" t="s">
        <v>18</v>
      </c>
      <c r="AL29" s="6814" t="s">
        <v>708</v>
      </c>
      <c r="AM29" s="6815" t="s">
        <v>18</v>
      </c>
      <c r="AN29" s="9065"/>
      <c r="AO29" s="9065"/>
      <c r="AP29" s="6825"/>
      <c r="AQ29" s="6825"/>
      <c r="AR29" s="1447"/>
      <c r="AS29" s="806"/>
      <c r="AT29" s="806"/>
      <c r="AU29" s="806"/>
      <c r="AV29" s="806"/>
      <c r="AW29" s="806"/>
      <c r="AX29" s="806"/>
      <c r="AY29" s="806"/>
      <c r="AZ29" s="806"/>
      <c r="BA29" s="290"/>
      <c r="BB29" s="290"/>
      <c r="BC29" s="290"/>
      <c r="BD29" s="290"/>
      <c r="BE29" s="290"/>
      <c r="BF29" s="290"/>
      <c r="BG29" s="290"/>
      <c r="BH29" s="290"/>
      <c r="BI29" s="290"/>
      <c r="BJ29" s="290"/>
    </row>
    <row r="30" spans="1:107" ht="16.350000000000001" customHeight="1" x14ac:dyDescent="0.25">
      <c r="A30" s="7300" t="s">
        <v>4901</v>
      </c>
      <c r="B30" s="6818" t="s">
        <v>19</v>
      </c>
      <c r="C30" s="6819" t="s">
        <v>5369</v>
      </c>
      <c r="D30" s="6820" t="s">
        <v>5370</v>
      </c>
      <c r="E30" s="6821" t="s">
        <v>5371</v>
      </c>
      <c r="F30" s="6782" t="s">
        <v>5372</v>
      </c>
      <c r="G30" s="5831" t="s">
        <v>5373</v>
      </c>
      <c r="H30" s="6782" t="s">
        <v>5374</v>
      </c>
      <c r="I30" s="5831" t="s">
        <v>5375</v>
      </c>
      <c r="J30" s="6782" t="s">
        <v>5376</v>
      </c>
      <c r="K30" s="6822" t="s">
        <v>5377</v>
      </c>
      <c r="L30" s="6782" t="s">
        <v>5378</v>
      </c>
      <c r="M30" s="6822" t="s">
        <v>5379</v>
      </c>
      <c r="N30" s="6782" t="s">
        <v>5380</v>
      </c>
      <c r="O30" s="6822" t="s">
        <v>5381</v>
      </c>
      <c r="P30" s="6784" t="s">
        <v>5382</v>
      </c>
      <c r="Q30" s="6822" t="s">
        <v>5383</v>
      </c>
      <c r="R30" s="6784" t="s">
        <v>5384</v>
      </c>
      <c r="S30" s="6822" t="s">
        <v>5385</v>
      </c>
      <c r="T30" s="6784" t="s">
        <v>5386</v>
      </c>
      <c r="U30" s="6822" t="s">
        <v>5387</v>
      </c>
      <c r="V30" s="6784" t="s">
        <v>5388</v>
      </c>
      <c r="W30" s="6822" t="s">
        <v>5389</v>
      </c>
      <c r="X30" s="6784" t="s">
        <v>5390</v>
      </c>
      <c r="Y30" s="6822" t="s">
        <v>5391</v>
      </c>
      <c r="Z30" s="6784" t="s">
        <v>5392</v>
      </c>
      <c r="AA30" s="6822" t="s">
        <v>5393</v>
      </c>
      <c r="AB30" s="6784" t="s">
        <v>5394</v>
      </c>
      <c r="AC30" s="6822" t="s">
        <v>5395</v>
      </c>
      <c r="AD30" s="6784" t="s">
        <v>5396</v>
      </c>
      <c r="AE30" s="6822" t="s">
        <v>5397</v>
      </c>
      <c r="AF30" s="6784" t="s">
        <v>5398</v>
      </c>
      <c r="AG30" s="6822" t="s">
        <v>5399</v>
      </c>
      <c r="AH30" s="6784" t="s">
        <v>5400</v>
      </c>
      <c r="AI30" s="6822" t="s">
        <v>5401</v>
      </c>
      <c r="AJ30" s="6784" t="s">
        <v>5402</v>
      </c>
      <c r="AK30" s="6822" t="s">
        <v>5403</v>
      </c>
      <c r="AL30" s="6784" t="s">
        <v>5404</v>
      </c>
      <c r="AM30" s="6822" t="s">
        <v>5405</v>
      </c>
      <c r="AN30" s="6823" t="s">
        <v>5406</v>
      </c>
      <c r="AO30" s="6823" t="s">
        <v>5407</v>
      </c>
      <c r="AP30" s="6825"/>
      <c r="AQ30" s="6825"/>
      <c r="AR30" s="1447"/>
      <c r="AS30" s="806"/>
      <c r="AT30" s="806"/>
      <c r="AU30" s="806"/>
      <c r="AV30" s="806"/>
      <c r="AW30" s="806"/>
      <c r="AX30" s="806"/>
      <c r="AY30" s="806"/>
      <c r="AZ30" s="806"/>
      <c r="BA30" s="290"/>
      <c r="BB30" s="290"/>
      <c r="BC30" s="290"/>
      <c r="BD30" s="290"/>
      <c r="BE30" s="290"/>
      <c r="BF30" s="290"/>
      <c r="BG30" s="290"/>
      <c r="BH30" s="290"/>
      <c r="BI30" s="290"/>
      <c r="BJ30" s="290"/>
      <c r="DB30" s="3219">
        <v>0</v>
      </c>
      <c r="DC30" s="3219">
        <v>0</v>
      </c>
    </row>
    <row r="31" spans="1:107" ht="16.350000000000001" customHeight="1" x14ac:dyDescent="0.25">
      <c r="A31" s="7300" t="s">
        <v>4902</v>
      </c>
      <c r="B31" s="3750" t="s">
        <v>23</v>
      </c>
      <c r="C31" s="4667" t="s">
        <v>5369</v>
      </c>
      <c r="D31" s="3062" t="s">
        <v>5370</v>
      </c>
      <c r="E31" s="2931" t="s">
        <v>5371</v>
      </c>
      <c r="F31" s="2822" t="s">
        <v>5372</v>
      </c>
      <c r="G31" s="2826" t="s">
        <v>5373</v>
      </c>
      <c r="H31" s="2822" t="s">
        <v>5374</v>
      </c>
      <c r="I31" s="2826" t="s">
        <v>5375</v>
      </c>
      <c r="J31" s="2822" t="s">
        <v>5376</v>
      </c>
      <c r="K31" s="2824" t="s">
        <v>5377</v>
      </c>
      <c r="L31" s="2822" t="s">
        <v>5378</v>
      </c>
      <c r="M31" s="2824" t="s">
        <v>5379</v>
      </c>
      <c r="N31" s="2822" t="s">
        <v>5380</v>
      </c>
      <c r="O31" s="2824" t="s">
        <v>5381</v>
      </c>
      <c r="P31" s="3448" t="s">
        <v>5382</v>
      </c>
      <c r="Q31" s="2824" t="s">
        <v>5383</v>
      </c>
      <c r="R31" s="3448" t="s">
        <v>5384</v>
      </c>
      <c r="S31" s="2824" t="s">
        <v>5385</v>
      </c>
      <c r="T31" s="3448" t="s">
        <v>5386</v>
      </c>
      <c r="U31" s="2824" t="s">
        <v>5387</v>
      </c>
      <c r="V31" s="3448" t="s">
        <v>5388</v>
      </c>
      <c r="W31" s="2824" t="s">
        <v>5389</v>
      </c>
      <c r="X31" s="3448" t="s">
        <v>5390</v>
      </c>
      <c r="Y31" s="2824" t="s">
        <v>5391</v>
      </c>
      <c r="Z31" s="3448" t="s">
        <v>5392</v>
      </c>
      <c r="AA31" s="2824" t="s">
        <v>5393</v>
      </c>
      <c r="AB31" s="3448" t="s">
        <v>5394</v>
      </c>
      <c r="AC31" s="2824" t="s">
        <v>5395</v>
      </c>
      <c r="AD31" s="3448" t="s">
        <v>5396</v>
      </c>
      <c r="AE31" s="2824" t="s">
        <v>5397</v>
      </c>
      <c r="AF31" s="3448" t="s">
        <v>5398</v>
      </c>
      <c r="AG31" s="2824" t="s">
        <v>5399</v>
      </c>
      <c r="AH31" s="3448" t="s">
        <v>5400</v>
      </c>
      <c r="AI31" s="2824" t="s">
        <v>5401</v>
      </c>
      <c r="AJ31" s="3448" t="s">
        <v>5402</v>
      </c>
      <c r="AK31" s="2824" t="s">
        <v>5403</v>
      </c>
      <c r="AL31" s="3448" t="s">
        <v>5404</v>
      </c>
      <c r="AM31" s="2824" t="s">
        <v>5405</v>
      </c>
      <c r="AN31" s="3478" t="s">
        <v>5406</v>
      </c>
      <c r="AO31" s="7254" t="s">
        <v>5407</v>
      </c>
      <c r="AP31" s="6825"/>
      <c r="AQ31" s="6825"/>
      <c r="AR31" s="1447"/>
      <c r="AS31" s="806"/>
      <c r="AT31" s="806"/>
      <c r="AU31" s="806"/>
      <c r="AV31" s="806"/>
      <c r="AW31" s="806"/>
      <c r="AX31" s="806"/>
      <c r="AY31" s="806"/>
      <c r="AZ31" s="806"/>
      <c r="BA31" s="290"/>
      <c r="BB31" s="290"/>
      <c r="BC31" s="290"/>
      <c r="BD31" s="290"/>
      <c r="BE31" s="290"/>
      <c r="BF31" s="290"/>
      <c r="BG31" s="290"/>
      <c r="BH31" s="290"/>
      <c r="BI31" s="290"/>
      <c r="BJ31" s="290"/>
      <c r="DB31" s="3219">
        <v>0</v>
      </c>
      <c r="DC31" s="3219">
        <v>0</v>
      </c>
    </row>
    <row r="32" spans="1:107" ht="16.350000000000001" customHeight="1" x14ac:dyDescent="0.25">
      <c r="A32" s="7300" t="s">
        <v>4903</v>
      </c>
      <c r="B32" s="3750" t="s">
        <v>20</v>
      </c>
      <c r="C32" s="4667" t="s">
        <v>5369</v>
      </c>
      <c r="D32" s="3062" t="s">
        <v>5370</v>
      </c>
      <c r="E32" s="2931" t="s">
        <v>5371</v>
      </c>
      <c r="F32" s="2822" t="s">
        <v>5372</v>
      </c>
      <c r="G32" s="2826" t="s">
        <v>5373</v>
      </c>
      <c r="H32" s="2822" t="s">
        <v>5374</v>
      </c>
      <c r="I32" s="2826" t="s">
        <v>5375</v>
      </c>
      <c r="J32" s="2822" t="s">
        <v>5376</v>
      </c>
      <c r="K32" s="2824" t="s">
        <v>5377</v>
      </c>
      <c r="L32" s="2822" t="s">
        <v>5378</v>
      </c>
      <c r="M32" s="2824" t="s">
        <v>5379</v>
      </c>
      <c r="N32" s="2822" t="s">
        <v>5380</v>
      </c>
      <c r="O32" s="2824" t="s">
        <v>5381</v>
      </c>
      <c r="P32" s="3448" t="s">
        <v>5382</v>
      </c>
      <c r="Q32" s="2824" t="s">
        <v>5383</v>
      </c>
      <c r="R32" s="3448" t="s">
        <v>5384</v>
      </c>
      <c r="S32" s="2824" t="s">
        <v>5385</v>
      </c>
      <c r="T32" s="3448" t="s">
        <v>5386</v>
      </c>
      <c r="U32" s="2824" t="s">
        <v>5387</v>
      </c>
      <c r="V32" s="3448" t="s">
        <v>5388</v>
      </c>
      <c r="W32" s="2824" t="s">
        <v>5389</v>
      </c>
      <c r="X32" s="3448" t="s">
        <v>5390</v>
      </c>
      <c r="Y32" s="2824" t="s">
        <v>5391</v>
      </c>
      <c r="Z32" s="3448" t="s">
        <v>5392</v>
      </c>
      <c r="AA32" s="2824" t="s">
        <v>5393</v>
      </c>
      <c r="AB32" s="3448" t="s">
        <v>5394</v>
      </c>
      <c r="AC32" s="2824" t="s">
        <v>5395</v>
      </c>
      <c r="AD32" s="3448" t="s">
        <v>5396</v>
      </c>
      <c r="AE32" s="2824" t="s">
        <v>5397</v>
      </c>
      <c r="AF32" s="3448" t="s">
        <v>5398</v>
      </c>
      <c r="AG32" s="2824" t="s">
        <v>5399</v>
      </c>
      <c r="AH32" s="3448" t="s">
        <v>5400</v>
      </c>
      <c r="AI32" s="2824" t="s">
        <v>5401</v>
      </c>
      <c r="AJ32" s="3448" t="s">
        <v>5402</v>
      </c>
      <c r="AK32" s="2824" t="s">
        <v>5403</v>
      </c>
      <c r="AL32" s="3448" t="s">
        <v>5404</v>
      </c>
      <c r="AM32" s="2824" t="s">
        <v>5405</v>
      </c>
      <c r="AN32" s="3478" t="s">
        <v>5406</v>
      </c>
      <c r="AO32" s="7254" t="s">
        <v>5407</v>
      </c>
      <c r="AP32" s="6825"/>
      <c r="AQ32" s="6825"/>
      <c r="AR32" s="1447"/>
      <c r="AS32" s="806"/>
      <c r="AT32" s="806"/>
      <c r="AU32" s="806"/>
      <c r="AV32" s="806"/>
      <c r="AW32" s="806"/>
      <c r="AX32" s="806"/>
      <c r="AY32" s="806"/>
      <c r="AZ32" s="806"/>
      <c r="BA32" s="290"/>
      <c r="BB32" s="290"/>
      <c r="BC32" s="290"/>
      <c r="BD32" s="290"/>
      <c r="BE32" s="290"/>
      <c r="BF32" s="290"/>
      <c r="BG32" s="290"/>
      <c r="BH32" s="290"/>
      <c r="BI32" s="290"/>
      <c r="BJ32" s="290"/>
      <c r="DB32" s="3219">
        <v>0</v>
      </c>
      <c r="DC32" s="3219">
        <v>0</v>
      </c>
    </row>
    <row r="33" spans="1:107" ht="16.350000000000001" customHeight="1" x14ac:dyDescent="0.25">
      <c r="A33" s="7300" t="s">
        <v>4904</v>
      </c>
      <c r="B33" s="3750" t="s">
        <v>1016</v>
      </c>
      <c r="C33" s="4667" t="s">
        <v>5369</v>
      </c>
      <c r="D33" s="3062" t="s">
        <v>5370</v>
      </c>
      <c r="E33" s="2931" t="s">
        <v>5371</v>
      </c>
      <c r="F33" s="2822" t="s">
        <v>5372</v>
      </c>
      <c r="G33" s="2826" t="s">
        <v>5373</v>
      </c>
      <c r="H33" s="2822" t="s">
        <v>5374</v>
      </c>
      <c r="I33" s="2826" t="s">
        <v>5375</v>
      </c>
      <c r="J33" s="2822" t="s">
        <v>5376</v>
      </c>
      <c r="K33" s="2824" t="s">
        <v>5377</v>
      </c>
      <c r="L33" s="2822" t="s">
        <v>5378</v>
      </c>
      <c r="M33" s="2824" t="s">
        <v>5379</v>
      </c>
      <c r="N33" s="2822" t="s">
        <v>5380</v>
      </c>
      <c r="O33" s="2824" t="s">
        <v>5381</v>
      </c>
      <c r="P33" s="3448" t="s">
        <v>5382</v>
      </c>
      <c r="Q33" s="2824" t="s">
        <v>5383</v>
      </c>
      <c r="R33" s="3448" t="s">
        <v>5384</v>
      </c>
      <c r="S33" s="2824" t="s">
        <v>5385</v>
      </c>
      <c r="T33" s="3448" t="s">
        <v>5386</v>
      </c>
      <c r="U33" s="2824" t="s">
        <v>5387</v>
      </c>
      <c r="V33" s="3448" t="s">
        <v>5388</v>
      </c>
      <c r="W33" s="2824" t="s">
        <v>5389</v>
      </c>
      <c r="X33" s="3448" t="s">
        <v>5390</v>
      </c>
      <c r="Y33" s="2824" t="s">
        <v>5391</v>
      </c>
      <c r="Z33" s="3448" t="s">
        <v>5392</v>
      </c>
      <c r="AA33" s="2824" t="s">
        <v>5393</v>
      </c>
      <c r="AB33" s="3448" t="s">
        <v>5394</v>
      </c>
      <c r="AC33" s="2824" t="s">
        <v>5395</v>
      </c>
      <c r="AD33" s="3448" t="s">
        <v>5396</v>
      </c>
      <c r="AE33" s="2824" t="s">
        <v>5397</v>
      </c>
      <c r="AF33" s="3448" t="s">
        <v>5398</v>
      </c>
      <c r="AG33" s="2824" t="s">
        <v>5399</v>
      </c>
      <c r="AH33" s="3448" t="s">
        <v>5400</v>
      </c>
      <c r="AI33" s="2824" t="s">
        <v>5401</v>
      </c>
      <c r="AJ33" s="3448" t="s">
        <v>5402</v>
      </c>
      <c r="AK33" s="2824" t="s">
        <v>5403</v>
      </c>
      <c r="AL33" s="3448" t="s">
        <v>5404</v>
      </c>
      <c r="AM33" s="2824" t="s">
        <v>5405</v>
      </c>
      <c r="AN33" s="3478" t="s">
        <v>5406</v>
      </c>
      <c r="AO33" s="7254" t="s">
        <v>5407</v>
      </c>
      <c r="AP33" s="6825"/>
      <c r="AQ33" s="6825"/>
      <c r="AR33" s="1447"/>
      <c r="AS33" s="806"/>
      <c r="AT33" s="806"/>
      <c r="AU33" s="806"/>
      <c r="AV33" s="806"/>
      <c r="AW33" s="806"/>
      <c r="AX33" s="806"/>
      <c r="AY33" s="806"/>
      <c r="AZ33" s="806"/>
      <c r="BA33" s="290"/>
      <c r="BB33" s="290"/>
      <c r="BC33" s="290"/>
      <c r="BD33" s="290"/>
      <c r="BE33" s="290"/>
      <c r="BF33" s="290"/>
      <c r="BG33" s="290"/>
      <c r="BH33" s="290"/>
      <c r="BI33" s="290"/>
      <c r="BJ33" s="290"/>
      <c r="DB33" s="3219">
        <v>0</v>
      </c>
      <c r="DC33" s="3219">
        <v>0</v>
      </c>
    </row>
    <row r="34" spans="1:107" ht="16.350000000000001" customHeight="1" x14ac:dyDescent="0.25">
      <c r="A34" s="7300" t="s">
        <v>4905</v>
      </c>
      <c r="B34" s="3750" t="s">
        <v>27</v>
      </c>
      <c r="C34" s="4667" t="s">
        <v>5369</v>
      </c>
      <c r="D34" s="3062" t="s">
        <v>5370</v>
      </c>
      <c r="E34" s="2931" t="s">
        <v>5371</v>
      </c>
      <c r="F34" s="2822" t="s">
        <v>5372</v>
      </c>
      <c r="G34" s="2826" t="s">
        <v>5373</v>
      </c>
      <c r="H34" s="2822" t="s">
        <v>5374</v>
      </c>
      <c r="I34" s="2826" t="s">
        <v>5375</v>
      </c>
      <c r="J34" s="2822" t="s">
        <v>5376</v>
      </c>
      <c r="K34" s="2824" t="s">
        <v>5377</v>
      </c>
      <c r="L34" s="2822" t="s">
        <v>5378</v>
      </c>
      <c r="M34" s="2824" t="s">
        <v>5379</v>
      </c>
      <c r="N34" s="2822" t="s">
        <v>5380</v>
      </c>
      <c r="O34" s="2824" t="s">
        <v>5381</v>
      </c>
      <c r="P34" s="3448" t="s">
        <v>5382</v>
      </c>
      <c r="Q34" s="2824" t="s">
        <v>5383</v>
      </c>
      <c r="R34" s="3448" t="s">
        <v>5384</v>
      </c>
      <c r="S34" s="2824" t="s">
        <v>5385</v>
      </c>
      <c r="T34" s="3448" t="s">
        <v>5386</v>
      </c>
      <c r="U34" s="2824" t="s">
        <v>5387</v>
      </c>
      <c r="V34" s="3448" t="s">
        <v>5388</v>
      </c>
      <c r="W34" s="2824" t="s">
        <v>5389</v>
      </c>
      <c r="X34" s="3448" t="s">
        <v>5390</v>
      </c>
      <c r="Y34" s="2824" t="s">
        <v>5391</v>
      </c>
      <c r="Z34" s="3448" t="s">
        <v>5392</v>
      </c>
      <c r="AA34" s="2824" t="s">
        <v>5393</v>
      </c>
      <c r="AB34" s="3448" t="s">
        <v>5394</v>
      </c>
      <c r="AC34" s="2824" t="s">
        <v>5395</v>
      </c>
      <c r="AD34" s="3448" t="s">
        <v>5396</v>
      </c>
      <c r="AE34" s="2824" t="s">
        <v>5397</v>
      </c>
      <c r="AF34" s="3448" t="s">
        <v>5398</v>
      </c>
      <c r="AG34" s="2824" t="s">
        <v>5399</v>
      </c>
      <c r="AH34" s="3448" t="s">
        <v>5400</v>
      </c>
      <c r="AI34" s="2824" t="s">
        <v>5401</v>
      </c>
      <c r="AJ34" s="3448" t="s">
        <v>5402</v>
      </c>
      <c r="AK34" s="2824" t="s">
        <v>5403</v>
      </c>
      <c r="AL34" s="3448" t="s">
        <v>5404</v>
      </c>
      <c r="AM34" s="2824" t="s">
        <v>5405</v>
      </c>
      <c r="AN34" s="3478" t="s">
        <v>5406</v>
      </c>
      <c r="AO34" s="7254" t="s">
        <v>5407</v>
      </c>
      <c r="AP34" s="6825"/>
      <c r="AQ34" s="6825"/>
      <c r="AR34" s="1447"/>
      <c r="AS34" s="806"/>
      <c r="AT34" s="806"/>
      <c r="AU34" s="806"/>
      <c r="AV34" s="806"/>
      <c r="AW34" s="806"/>
      <c r="AX34" s="806"/>
      <c r="AY34" s="806"/>
      <c r="AZ34" s="806"/>
      <c r="BA34" s="290"/>
      <c r="BB34" s="290"/>
      <c r="BC34" s="290"/>
      <c r="BD34" s="290"/>
      <c r="BE34" s="290"/>
      <c r="BF34" s="290"/>
      <c r="BG34" s="290"/>
      <c r="BH34" s="290"/>
      <c r="BI34" s="290"/>
      <c r="BJ34" s="290"/>
      <c r="DB34" s="3219">
        <v>0</v>
      </c>
      <c r="DC34" s="3219">
        <v>0</v>
      </c>
    </row>
    <row r="35" spans="1:107" ht="16.350000000000001" customHeight="1" x14ac:dyDescent="0.25">
      <c r="A35" s="7300" t="s">
        <v>4906</v>
      </c>
      <c r="B35" s="3245" t="s">
        <v>63</v>
      </c>
      <c r="C35" s="4676" t="s">
        <v>5369</v>
      </c>
      <c r="D35" s="4806" t="s">
        <v>5370</v>
      </c>
      <c r="E35" s="6824" t="s">
        <v>5371</v>
      </c>
      <c r="F35" s="3158" t="s">
        <v>5372</v>
      </c>
      <c r="G35" s="3159" t="s">
        <v>5373</v>
      </c>
      <c r="H35" s="3158" t="s">
        <v>5374</v>
      </c>
      <c r="I35" s="3159" t="s">
        <v>5375</v>
      </c>
      <c r="J35" s="3158" t="s">
        <v>5376</v>
      </c>
      <c r="K35" s="2821" t="s">
        <v>5377</v>
      </c>
      <c r="L35" s="3158" t="s">
        <v>5378</v>
      </c>
      <c r="M35" s="2821" t="s">
        <v>5379</v>
      </c>
      <c r="N35" s="3158" t="s">
        <v>5380</v>
      </c>
      <c r="O35" s="2821" t="s">
        <v>5381</v>
      </c>
      <c r="P35" s="3160" t="s">
        <v>5382</v>
      </c>
      <c r="Q35" s="2821" t="s">
        <v>5383</v>
      </c>
      <c r="R35" s="3160" t="s">
        <v>5384</v>
      </c>
      <c r="S35" s="2821" t="s">
        <v>5385</v>
      </c>
      <c r="T35" s="3160" t="s">
        <v>5386</v>
      </c>
      <c r="U35" s="2821" t="s">
        <v>5387</v>
      </c>
      <c r="V35" s="3160" t="s">
        <v>5388</v>
      </c>
      <c r="W35" s="2821" t="s">
        <v>5389</v>
      </c>
      <c r="X35" s="3160" t="s">
        <v>5390</v>
      </c>
      <c r="Y35" s="2821" t="s">
        <v>5391</v>
      </c>
      <c r="Z35" s="3160" t="s">
        <v>5392</v>
      </c>
      <c r="AA35" s="2821" t="s">
        <v>5393</v>
      </c>
      <c r="AB35" s="3160" t="s">
        <v>5394</v>
      </c>
      <c r="AC35" s="2821" t="s">
        <v>5395</v>
      </c>
      <c r="AD35" s="3160" t="s">
        <v>5396</v>
      </c>
      <c r="AE35" s="2821" t="s">
        <v>5397</v>
      </c>
      <c r="AF35" s="3160" t="s">
        <v>5398</v>
      </c>
      <c r="AG35" s="2821" t="s">
        <v>5399</v>
      </c>
      <c r="AH35" s="3160" t="s">
        <v>5400</v>
      </c>
      <c r="AI35" s="2821" t="s">
        <v>5401</v>
      </c>
      <c r="AJ35" s="3160" t="s">
        <v>5402</v>
      </c>
      <c r="AK35" s="2821" t="s">
        <v>5403</v>
      </c>
      <c r="AL35" s="3160" t="s">
        <v>5404</v>
      </c>
      <c r="AM35" s="2821" t="s">
        <v>5405</v>
      </c>
      <c r="AN35" s="3236" t="s">
        <v>5406</v>
      </c>
      <c r="AO35" s="7255" t="s">
        <v>5407</v>
      </c>
      <c r="AP35" s="6825"/>
      <c r="AQ35" s="6825"/>
      <c r="AR35" s="1447"/>
      <c r="AS35" s="806"/>
      <c r="AT35" s="806"/>
      <c r="AU35" s="806"/>
      <c r="AV35" s="806"/>
      <c r="AW35" s="806"/>
      <c r="AX35" s="806"/>
      <c r="AY35" s="806"/>
      <c r="AZ35" s="806"/>
      <c r="BA35" s="290"/>
      <c r="BB35" s="290"/>
      <c r="BC35" s="290"/>
      <c r="BD35" s="290"/>
      <c r="BE35" s="290"/>
      <c r="BF35" s="290"/>
      <c r="BG35" s="290"/>
      <c r="BH35" s="290"/>
      <c r="BI35" s="290"/>
      <c r="BJ35" s="290"/>
      <c r="DB35" s="3219">
        <v>0</v>
      </c>
      <c r="DC35" s="3219">
        <v>0</v>
      </c>
    </row>
    <row r="36" spans="1:107" ht="32.1" customHeight="1" x14ac:dyDescent="0.25">
      <c r="B36" s="133" t="s">
        <v>3772</v>
      </c>
      <c r="C36" s="133"/>
      <c r="D36" s="133"/>
      <c r="E36" s="133"/>
      <c r="F36" s="133"/>
      <c r="G36" s="133"/>
      <c r="H36" s="233"/>
      <c r="I36" s="233"/>
      <c r="J36" s="233"/>
      <c r="K36" s="233"/>
      <c r="L36" s="133"/>
      <c r="M36" s="72"/>
      <c r="N36" s="233"/>
      <c r="O36" s="233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290"/>
      <c r="AR36" s="290"/>
      <c r="AS36" s="290"/>
      <c r="AT36" s="290"/>
      <c r="AU36" s="290"/>
      <c r="AV36" s="290"/>
      <c r="AW36" s="290"/>
      <c r="AX36" s="290"/>
      <c r="AY36" s="290"/>
      <c r="AZ36" s="290"/>
      <c r="BA36" s="290"/>
      <c r="BB36" s="290"/>
      <c r="BC36" s="290"/>
      <c r="BD36" s="290"/>
      <c r="BE36" s="290"/>
      <c r="BF36" s="290"/>
      <c r="BG36" s="290"/>
      <c r="BH36" s="290"/>
      <c r="BI36" s="290"/>
      <c r="BJ36" s="290"/>
      <c r="BY36" s="290"/>
      <c r="BZ36" s="290"/>
    </row>
    <row r="37" spans="1:107" ht="16.350000000000001" customHeight="1" x14ac:dyDescent="0.25">
      <c r="B37" s="9587" t="s">
        <v>0</v>
      </c>
      <c r="C37" s="8612" t="s">
        <v>942</v>
      </c>
      <c r="D37" s="8597"/>
      <c r="E37" s="8613"/>
      <c r="F37" s="8771" t="s">
        <v>84</v>
      </c>
      <c r="G37" s="9592"/>
      <c r="H37" s="9592"/>
      <c r="I37" s="9592"/>
      <c r="J37" s="9592"/>
      <c r="K37" s="9592"/>
      <c r="L37" s="9592"/>
      <c r="M37" s="9592"/>
      <c r="N37" s="9592"/>
      <c r="O37" s="9592"/>
      <c r="P37" s="9592"/>
      <c r="Q37" s="9592"/>
      <c r="R37" s="9592"/>
      <c r="S37" s="9592"/>
      <c r="T37" s="9592"/>
      <c r="U37" s="9592"/>
      <c r="V37" s="9592"/>
      <c r="W37" s="9592"/>
      <c r="X37" s="9592"/>
      <c r="Y37" s="9592"/>
      <c r="Z37" s="9592"/>
      <c r="AA37" s="9592"/>
      <c r="AB37" s="9592"/>
      <c r="AC37" s="9592"/>
      <c r="AD37" s="9592"/>
      <c r="AE37" s="9592"/>
      <c r="AF37" s="9592"/>
      <c r="AG37" s="9592"/>
      <c r="AH37" s="9592"/>
      <c r="AI37" s="9592"/>
      <c r="AJ37" s="9592"/>
      <c r="AK37" s="9592"/>
      <c r="AL37" s="9592"/>
      <c r="AM37" s="8772"/>
      <c r="AN37" s="8583" t="s">
        <v>360</v>
      </c>
      <c r="AO37" s="8583" t="s">
        <v>1017</v>
      </c>
      <c r="AP37" s="290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  <c r="BC37" s="290"/>
      <c r="BD37" s="290"/>
      <c r="BE37" s="290"/>
      <c r="BF37" s="290"/>
      <c r="BG37" s="290"/>
      <c r="BH37" s="290"/>
      <c r="BI37" s="290"/>
      <c r="BJ37" s="290"/>
    </row>
    <row r="38" spans="1:107" ht="16.350000000000001" customHeight="1" x14ac:dyDescent="0.25">
      <c r="B38" s="8887"/>
      <c r="C38" s="8614"/>
      <c r="D38" s="8598"/>
      <c r="E38" s="8615"/>
      <c r="F38" s="8623" t="s">
        <v>399</v>
      </c>
      <c r="G38" s="9622"/>
      <c r="H38" s="8623" t="s">
        <v>54</v>
      </c>
      <c r="I38" s="9622"/>
      <c r="J38" s="8623" t="s">
        <v>79</v>
      </c>
      <c r="K38" s="9622"/>
      <c r="L38" s="8623" t="s">
        <v>80</v>
      </c>
      <c r="M38" s="9622"/>
      <c r="N38" s="8623" t="s">
        <v>81</v>
      </c>
      <c r="O38" s="9622"/>
      <c r="P38" s="8998" t="s">
        <v>82</v>
      </c>
      <c r="Q38" s="9623"/>
      <c r="R38" s="8998" t="s">
        <v>83</v>
      </c>
      <c r="S38" s="9623"/>
      <c r="T38" s="8998" t="s">
        <v>400</v>
      </c>
      <c r="U38" s="9623"/>
      <c r="V38" s="8998" t="s">
        <v>124</v>
      </c>
      <c r="W38" s="9623"/>
      <c r="X38" s="8998" t="s">
        <v>125</v>
      </c>
      <c r="Y38" s="9623"/>
      <c r="Z38" s="8998" t="s">
        <v>126</v>
      </c>
      <c r="AA38" s="9623"/>
      <c r="AB38" s="8998" t="s">
        <v>127</v>
      </c>
      <c r="AC38" s="9623"/>
      <c r="AD38" s="8998" t="s">
        <v>128</v>
      </c>
      <c r="AE38" s="9623"/>
      <c r="AF38" s="8998" t="s">
        <v>129</v>
      </c>
      <c r="AG38" s="9623"/>
      <c r="AH38" s="8998" t="s">
        <v>130</v>
      </c>
      <c r="AI38" s="9623"/>
      <c r="AJ38" s="8998" t="s">
        <v>131</v>
      </c>
      <c r="AK38" s="9623"/>
      <c r="AL38" s="8998" t="s">
        <v>1405</v>
      </c>
      <c r="AM38" s="9656"/>
      <c r="AN38" s="8555"/>
      <c r="AO38" s="8555"/>
      <c r="AP38" s="290"/>
      <c r="AQ38" s="290"/>
      <c r="AR38" s="290"/>
      <c r="AS38" s="290"/>
      <c r="AT38" s="290"/>
      <c r="AU38" s="290"/>
      <c r="AV38" s="290"/>
      <c r="AW38" s="290"/>
      <c r="AX38" s="290"/>
      <c r="AY38" s="290"/>
      <c r="AZ38" s="290"/>
      <c r="BA38" s="290"/>
      <c r="BB38" s="290"/>
      <c r="BC38" s="290"/>
      <c r="BD38" s="290"/>
      <c r="BE38" s="290"/>
      <c r="BF38" s="290"/>
      <c r="BG38" s="290"/>
      <c r="BH38" s="290"/>
      <c r="BI38" s="290"/>
      <c r="BJ38" s="290"/>
    </row>
    <row r="39" spans="1:107" ht="16.350000000000001" customHeight="1" x14ac:dyDescent="0.25">
      <c r="B39" s="9588"/>
      <c r="C39" s="2089" t="s">
        <v>42</v>
      </c>
      <c r="D39" s="595" t="s">
        <v>708</v>
      </c>
      <c r="E39" s="2081" t="s">
        <v>18</v>
      </c>
      <c r="F39" s="2074" t="s">
        <v>708</v>
      </c>
      <c r="G39" s="2076" t="s">
        <v>18</v>
      </c>
      <c r="H39" s="2074" t="s">
        <v>708</v>
      </c>
      <c r="I39" s="2076" t="s">
        <v>18</v>
      </c>
      <c r="J39" s="2074" t="s">
        <v>708</v>
      </c>
      <c r="K39" s="2076" t="s">
        <v>18</v>
      </c>
      <c r="L39" s="2074" t="s">
        <v>708</v>
      </c>
      <c r="M39" s="2076" t="s">
        <v>18</v>
      </c>
      <c r="N39" s="2074" t="s">
        <v>708</v>
      </c>
      <c r="O39" s="2076" t="s">
        <v>18</v>
      </c>
      <c r="P39" s="2074" t="s">
        <v>708</v>
      </c>
      <c r="Q39" s="2076" t="s">
        <v>18</v>
      </c>
      <c r="R39" s="2074" t="s">
        <v>708</v>
      </c>
      <c r="S39" s="2076" t="s">
        <v>18</v>
      </c>
      <c r="T39" s="2074" t="s">
        <v>708</v>
      </c>
      <c r="U39" s="2076" t="s">
        <v>18</v>
      </c>
      <c r="V39" s="2074" t="s">
        <v>708</v>
      </c>
      <c r="W39" s="2076" t="s">
        <v>18</v>
      </c>
      <c r="X39" s="2074" t="s">
        <v>708</v>
      </c>
      <c r="Y39" s="2076" t="s">
        <v>18</v>
      </c>
      <c r="Z39" s="2074" t="s">
        <v>708</v>
      </c>
      <c r="AA39" s="2076" t="s">
        <v>18</v>
      </c>
      <c r="AB39" s="2074" t="s">
        <v>708</v>
      </c>
      <c r="AC39" s="2076" t="s">
        <v>18</v>
      </c>
      <c r="AD39" s="2074" t="s">
        <v>708</v>
      </c>
      <c r="AE39" s="2076" t="s">
        <v>18</v>
      </c>
      <c r="AF39" s="2074" t="s">
        <v>708</v>
      </c>
      <c r="AG39" s="2076" t="s">
        <v>18</v>
      </c>
      <c r="AH39" s="2074" t="s">
        <v>708</v>
      </c>
      <c r="AI39" s="2076" t="s">
        <v>18</v>
      </c>
      <c r="AJ39" s="2074" t="s">
        <v>708</v>
      </c>
      <c r="AK39" s="2076" t="s">
        <v>18</v>
      </c>
      <c r="AL39" s="2074" t="s">
        <v>708</v>
      </c>
      <c r="AM39" s="2076" t="s">
        <v>18</v>
      </c>
      <c r="AN39" s="8584"/>
      <c r="AO39" s="8584"/>
      <c r="AP39" s="1438"/>
      <c r="AQ39" s="290"/>
      <c r="AR39" s="290"/>
      <c r="AS39" s="290"/>
      <c r="AT39" s="290"/>
      <c r="AU39" s="290"/>
      <c r="AV39" s="290"/>
      <c r="AW39" s="290"/>
      <c r="AX39" s="290"/>
      <c r="AY39" s="290"/>
      <c r="AZ39" s="290"/>
      <c r="BA39" s="290"/>
      <c r="BB39" s="290"/>
      <c r="BC39" s="290"/>
      <c r="BD39" s="290"/>
      <c r="BE39" s="290"/>
      <c r="BF39" s="290"/>
      <c r="BG39" s="290"/>
      <c r="BH39" s="290"/>
      <c r="BI39" s="290"/>
      <c r="BJ39" s="290"/>
    </row>
    <row r="40" spans="1:107" ht="16.350000000000001" customHeight="1" x14ac:dyDescent="0.25">
      <c r="A40" s="7300" t="s">
        <v>4907</v>
      </c>
      <c r="B40" s="1327" t="s">
        <v>19</v>
      </c>
      <c r="C40" s="603" t="s">
        <v>5369</v>
      </c>
      <c r="D40" s="613" t="s">
        <v>5370</v>
      </c>
      <c r="E40" s="553" t="s">
        <v>5371</v>
      </c>
      <c r="F40" s="129" t="s">
        <v>5372</v>
      </c>
      <c r="G40" s="143" t="s">
        <v>5373</v>
      </c>
      <c r="H40" s="129" t="s">
        <v>5374</v>
      </c>
      <c r="I40" s="143" t="s">
        <v>5375</v>
      </c>
      <c r="J40" s="129" t="s">
        <v>5376</v>
      </c>
      <c r="K40" s="130" t="s">
        <v>5377</v>
      </c>
      <c r="L40" s="129" t="s">
        <v>5378</v>
      </c>
      <c r="M40" s="130" t="s">
        <v>5379</v>
      </c>
      <c r="N40" s="129" t="s">
        <v>5380</v>
      </c>
      <c r="O40" s="130" t="s">
        <v>5381</v>
      </c>
      <c r="P40" s="156" t="s">
        <v>5382</v>
      </c>
      <c r="Q40" s="130" t="s">
        <v>5383</v>
      </c>
      <c r="R40" s="156" t="s">
        <v>5384</v>
      </c>
      <c r="S40" s="130" t="s">
        <v>5385</v>
      </c>
      <c r="T40" s="156" t="s">
        <v>5386</v>
      </c>
      <c r="U40" s="130" t="s">
        <v>5387</v>
      </c>
      <c r="V40" s="156" t="s">
        <v>5388</v>
      </c>
      <c r="W40" s="130" t="s">
        <v>5389</v>
      </c>
      <c r="X40" s="156" t="s">
        <v>5390</v>
      </c>
      <c r="Y40" s="130" t="s">
        <v>5391</v>
      </c>
      <c r="Z40" s="156" t="s">
        <v>5392</v>
      </c>
      <c r="AA40" s="130" t="s">
        <v>5393</v>
      </c>
      <c r="AB40" s="156" t="s">
        <v>5394</v>
      </c>
      <c r="AC40" s="130" t="s">
        <v>5395</v>
      </c>
      <c r="AD40" s="156" t="s">
        <v>5396</v>
      </c>
      <c r="AE40" s="130" t="s">
        <v>5397</v>
      </c>
      <c r="AF40" s="156" t="s">
        <v>5398</v>
      </c>
      <c r="AG40" s="130" t="s">
        <v>5399</v>
      </c>
      <c r="AH40" s="156" t="s">
        <v>5400</v>
      </c>
      <c r="AI40" s="130" t="s">
        <v>5401</v>
      </c>
      <c r="AJ40" s="156" t="s">
        <v>5402</v>
      </c>
      <c r="AK40" s="130" t="s">
        <v>5403</v>
      </c>
      <c r="AL40" s="156" t="s">
        <v>5404</v>
      </c>
      <c r="AM40" s="130" t="s">
        <v>5405</v>
      </c>
      <c r="AN40" s="123" t="s">
        <v>5406</v>
      </c>
      <c r="AO40" s="546" t="s">
        <v>5407</v>
      </c>
      <c r="AP40" s="1444"/>
      <c r="AQ40" s="806"/>
      <c r="AR40" s="806"/>
      <c r="AS40" s="806"/>
      <c r="AT40" s="806"/>
      <c r="AU40" s="806"/>
      <c r="AV40" s="806"/>
      <c r="AW40" s="806"/>
      <c r="AX40" s="806"/>
      <c r="AY40" s="806"/>
      <c r="AZ40" s="806"/>
      <c r="BA40" s="290"/>
      <c r="BB40" s="290"/>
      <c r="BC40" s="290"/>
      <c r="BD40" s="290"/>
      <c r="BE40" s="290"/>
      <c r="BF40" s="290"/>
      <c r="BG40" s="290"/>
      <c r="BH40" s="290"/>
      <c r="BI40" s="290"/>
      <c r="BJ40" s="290"/>
      <c r="DB40" s="3219">
        <v>0</v>
      </c>
      <c r="DC40" s="3219">
        <v>0</v>
      </c>
    </row>
    <row r="41" spans="1:107" ht="16.350000000000001" customHeight="1" x14ac:dyDescent="0.25">
      <c r="A41" s="7300" t="s">
        <v>4908</v>
      </c>
      <c r="B41" s="2071" t="s">
        <v>23</v>
      </c>
      <c r="C41" s="251" t="s">
        <v>5369</v>
      </c>
      <c r="D41" s="619" t="s">
        <v>5370</v>
      </c>
      <c r="E41" s="158" t="s">
        <v>5371</v>
      </c>
      <c r="F41" s="110" t="s">
        <v>5372</v>
      </c>
      <c r="G41" s="144" t="s">
        <v>5373</v>
      </c>
      <c r="H41" s="110" t="s">
        <v>5374</v>
      </c>
      <c r="I41" s="144" t="s">
        <v>5375</v>
      </c>
      <c r="J41" s="110" t="s">
        <v>5376</v>
      </c>
      <c r="K41" s="122" t="s">
        <v>5377</v>
      </c>
      <c r="L41" s="110" t="s">
        <v>5378</v>
      </c>
      <c r="M41" s="122" t="s">
        <v>5379</v>
      </c>
      <c r="N41" s="110" t="s">
        <v>5380</v>
      </c>
      <c r="O41" s="122" t="s">
        <v>5381</v>
      </c>
      <c r="P41" s="157" t="s">
        <v>5382</v>
      </c>
      <c r="Q41" s="122" t="s">
        <v>5383</v>
      </c>
      <c r="R41" s="157" t="s">
        <v>5384</v>
      </c>
      <c r="S41" s="122" t="s">
        <v>5385</v>
      </c>
      <c r="T41" s="157" t="s">
        <v>5386</v>
      </c>
      <c r="U41" s="122" t="s">
        <v>5387</v>
      </c>
      <c r="V41" s="157" t="s">
        <v>5388</v>
      </c>
      <c r="W41" s="122" t="s">
        <v>5389</v>
      </c>
      <c r="X41" s="157" t="s">
        <v>5390</v>
      </c>
      <c r="Y41" s="122" t="s">
        <v>5391</v>
      </c>
      <c r="Z41" s="157" t="s">
        <v>5392</v>
      </c>
      <c r="AA41" s="122" t="s">
        <v>5393</v>
      </c>
      <c r="AB41" s="157" t="s">
        <v>5394</v>
      </c>
      <c r="AC41" s="122" t="s">
        <v>5395</v>
      </c>
      <c r="AD41" s="157" t="s">
        <v>5396</v>
      </c>
      <c r="AE41" s="122" t="s">
        <v>5397</v>
      </c>
      <c r="AF41" s="157" t="s">
        <v>5398</v>
      </c>
      <c r="AG41" s="122" t="s">
        <v>5399</v>
      </c>
      <c r="AH41" s="157" t="s">
        <v>5400</v>
      </c>
      <c r="AI41" s="122" t="s">
        <v>5401</v>
      </c>
      <c r="AJ41" s="157" t="s">
        <v>5402</v>
      </c>
      <c r="AK41" s="122" t="s">
        <v>5403</v>
      </c>
      <c r="AL41" s="157" t="s">
        <v>5404</v>
      </c>
      <c r="AM41" s="122" t="s">
        <v>5405</v>
      </c>
      <c r="AN41" s="123" t="s">
        <v>5406</v>
      </c>
      <c r="AO41" s="123" t="s">
        <v>5407</v>
      </c>
      <c r="AP41" s="1444"/>
      <c r="AQ41" s="806"/>
      <c r="AR41" s="806"/>
      <c r="AS41" s="806"/>
      <c r="AT41" s="806"/>
      <c r="AU41" s="806"/>
      <c r="AV41" s="806"/>
      <c r="AW41" s="806"/>
      <c r="AX41" s="806"/>
      <c r="AY41" s="806"/>
      <c r="AZ41" s="806"/>
      <c r="BA41" s="290"/>
      <c r="BB41" s="290"/>
      <c r="BC41" s="290"/>
      <c r="BD41" s="290"/>
      <c r="BE41" s="290"/>
      <c r="BF41" s="290"/>
      <c r="BG41" s="290"/>
      <c r="BH41" s="290"/>
      <c r="BI41" s="290"/>
      <c r="BJ41" s="290"/>
      <c r="DB41" s="3219">
        <v>0</v>
      </c>
      <c r="DC41" s="3219">
        <v>0</v>
      </c>
    </row>
    <row r="42" spans="1:107" ht="16.350000000000001" customHeight="1" x14ac:dyDescent="0.25">
      <c r="A42" s="7300" t="s">
        <v>4909</v>
      </c>
      <c r="B42" s="2071" t="s">
        <v>20</v>
      </c>
      <c r="C42" s="251" t="s">
        <v>5369</v>
      </c>
      <c r="D42" s="619" t="s">
        <v>5370</v>
      </c>
      <c r="E42" s="158" t="s">
        <v>5371</v>
      </c>
      <c r="F42" s="110" t="s">
        <v>5372</v>
      </c>
      <c r="G42" s="144" t="s">
        <v>5373</v>
      </c>
      <c r="H42" s="110" t="s">
        <v>5374</v>
      </c>
      <c r="I42" s="144" t="s">
        <v>5375</v>
      </c>
      <c r="J42" s="110" t="s">
        <v>5376</v>
      </c>
      <c r="K42" s="122" t="s">
        <v>5377</v>
      </c>
      <c r="L42" s="110" t="s">
        <v>5378</v>
      </c>
      <c r="M42" s="122" t="s">
        <v>5379</v>
      </c>
      <c r="N42" s="110" t="s">
        <v>5380</v>
      </c>
      <c r="O42" s="122" t="s">
        <v>5381</v>
      </c>
      <c r="P42" s="157" t="s">
        <v>5382</v>
      </c>
      <c r="Q42" s="122" t="s">
        <v>5383</v>
      </c>
      <c r="R42" s="157" t="s">
        <v>5384</v>
      </c>
      <c r="S42" s="122" t="s">
        <v>5385</v>
      </c>
      <c r="T42" s="157" t="s">
        <v>5386</v>
      </c>
      <c r="U42" s="122" t="s">
        <v>5387</v>
      </c>
      <c r="V42" s="157" t="s">
        <v>5388</v>
      </c>
      <c r="W42" s="122" t="s">
        <v>5389</v>
      </c>
      <c r="X42" s="157" t="s">
        <v>5390</v>
      </c>
      <c r="Y42" s="122" t="s">
        <v>5391</v>
      </c>
      <c r="Z42" s="157" t="s">
        <v>5392</v>
      </c>
      <c r="AA42" s="122" t="s">
        <v>5393</v>
      </c>
      <c r="AB42" s="157" t="s">
        <v>5394</v>
      </c>
      <c r="AC42" s="122" t="s">
        <v>5395</v>
      </c>
      <c r="AD42" s="157" t="s">
        <v>5396</v>
      </c>
      <c r="AE42" s="122" t="s">
        <v>5397</v>
      </c>
      <c r="AF42" s="157" t="s">
        <v>5398</v>
      </c>
      <c r="AG42" s="122" t="s">
        <v>5399</v>
      </c>
      <c r="AH42" s="157" t="s">
        <v>5400</v>
      </c>
      <c r="AI42" s="122" t="s">
        <v>5401</v>
      </c>
      <c r="AJ42" s="157" t="s">
        <v>5402</v>
      </c>
      <c r="AK42" s="122" t="s">
        <v>5403</v>
      </c>
      <c r="AL42" s="157" t="s">
        <v>5404</v>
      </c>
      <c r="AM42" s="122" t="s">
        <v>5405</v>
      </c>
      <c r="AN42" s="123" t="s">
        <v>5406</v>
      </c>
      <c r="AO42" s="123" t="s">
        <v>5407</v>
      </c>
      <c r="AP42" s="1444"/>
      <c r="AQ42" s="806"/>
      <c r="AR42" s="806"/>
      <c r="AS42" s="806"/>
      <c r="AT42" s="806"/>
      <c r="AU42" s="806"/>
      <c r="AV42" s="806"/>
      <c r="AW42" s="806"/>
      <c r="AX42" s="806"/>
      <c r="AY42" s="806"/>
      <c r="AZ42" s="806"/>
      <c r="BA42" s="290"/>
      <c r="BB42" s="290"/>
      <c r="BC42" s="290"/>
      <c r="BD42" s="290"/>
      <c r="BE42" s="290"/>
      <c r="BF42" s="290"/>
      <c r="BG42" s="290"/>
      <c r="BH42" s="290"/>
      <c r="BI42" s="290"/>
      <c r="BJ42" s="290"/>
      <c r="DB42" s="3219">
        <v>0</v>
      </c>
      <c r="DC42" s="3219">
        <v>0</v>
      </c>
    </row>
    <row r="43" spans="1:107" ht="16.350000000000001" customHeight="1" x14ac:dyDescent="0.25">
      <c r="A43" s="7300" t="s">
        <v>4910</v>
      </c>
      <c r="B43" s="2071" t="s">
        <v>1016</v>
      </c>
      <c r="C43" s="251" t="s">
        <v>5369</v>
      </c>
      <c r="D43" s="619" t="s">
        <v>5370</v>
      </c>
      <c r="E43" s="158" t="s">
        <v>5371</v>
      </c>
      <c r="F43" s="110" t="s">
        <v>5372</v>
      </c>
      <c r="G43" s="144" t="s">
        <v>5373</v>
      </c>
      <c r="H43" s="110" t="s">
        <v>5374</v>
      </c>
      <c r="I43" s="144" t="s">
        <v>5375</v>
      </c>
      <c r="J43" s="110" t="s">
        <v>5376</v>
      </c>
      <c r="K43" s="122" t="s">
        <v>5377</v>
      </c>
      <c r="L43" s="110" t="s">
        <v>5378</v>
      </c>
      <c r="M43" s="122" t="s">
        <v>5379</v>
      </c>
      <c r="N43" s="110" t="s">
        <v>5380</v>
      </c>
      <c r="O43" s="122" t="s">
        <v>5381</v>
      </c>
      <c r="P43" s="157" t="s">
        <v>5382</v>
      </c>
      <c r="Q43" s="122" t="s">
        <v>5383</v>
      </c>
      <c r="R43" s="157" t="s">
        <v>5384</v>
      </c>
      <c r="S43" s="122" t="s">
        <v>5385</v>
      </c>
      <c r="T43" s="157" t="s">
        <v>5386</v>
      </c>
      <c r="U43" s="122" t="s">
        <v>5387</v>
      </c>
      <c r="V43" s="157" t="s">
        <v>5388</v>
      </c>
      <c r="W43" s="122" t="s">
        <v>5389</v>
      </c>
      <c r="X43" s="157" t="s">
        <v>5390</v>
      </c>
      <c r="Y43" s="122" t="s">
        <v>5391</v>
      </c>
      <c r="Z43" s="157" t="s">
        <v>5392</v>
      </c>
      <c r="AA43" s="122" t="s">
        <v>5393</v>
      </c>
      <c r="AB43" s="157" t="s">
        <v>5394</v>
      </c>
      <c r="AC43" s="122" t="s">
        <v>5395</v>
      </c>
      <c r="AD43" s="157" t="s">
        <v>5396</v>
      </c>
      <c r="AE43" s="122" t="s">
        <v>5397</v>
      </c>
      <c r="AF43" s="157" t="s">
        <v>5398</v>
      </c>
      <c r="AG43" s="122" t="s">
        <v>5399</v>
      </c>
      <c r="AH43" s="157" t="s">
        <v>5400</v>
      </c>
      <c r="AI43" s="122" t="s">
        <v>5401</v>
      </c>
      <c r="AJ43" s="157" t="s">
        <v>5402</v>
      </c>
      <c r="AK43" s="122" t="s">
        <v>5403</v>
      </c>
      <c r="AL43" s="157" t="s">
        <v>5404</v>
      </c>
      <c r="AM43" s="122" t="s">
        <v>5405</v>
      </c>
      <c r="AN43" s="123" t="s">
        <v>5406</v>
      </c>
      <c r="AO43" s="123" t="s">
        <v>5407</v>
      </c>
      <c r="AP43" s="1444"/>
      <c r="AQ43" s="806"/>
      <c r="AR43" s="806"/>
      <c r="AS43" s="806"/>
      <c r="AT43" s="806"/>
      <c r="AU43" s="806"/>
      <c r="AV43" s="806"/>
      <c r="AW43" s="806"/>
      <c r="AX43" s="806"/>
      <c r="AY43" s="806"/>
      <c r="AZ43" s="806"/>
      <c r="BA43" s="290"/>
      <c r="BB43" s="290"/>
      <c r="BC43" s="290"/>
      <c r="BD43" s="290"/>
      <c r="BE43" s="290"/>
      <c r="BF43" s="290"/>
      <c r="BG43" s="290"/>
      <c r="BH43" s="290"/>
      <c r="BI43" s="290"/>
      <c r="BJ43" s="290"/>
      <c r="DB43" s="3219">
        <v>0</v>
      </c>
      <c r="DC43" s="3219">
        <v>0</v>
      </c>
    </row>
    <row r="44" spans="1:107" ht="16.350000000000001" customHeight="1" x14ac:dyDescent="0.25">
      <c r="A44" s="7300" t="s">
        <v>4911</v>
      </c>
      <c r="B44" s="2071" t="s">
        <v>2794</v>
      </c>
      <c r="C44" s="251" t="s">
        <v>5369</v>
      </c>
      <c r="D44" s="619" t="s">
        <v>5370</v>
      </c>
      <c r="E44" s="158" t="s">
        <v>5371</v>
      </c>
      <c r="F44" s="110" t="s">
        <v>5372</v>
      </c>
      <c r="G44" s="144" t="s">
        <v>5373</v>
      </c>
      <c r="H44" s="110" t="s">
        <v>5374</v>
      </c>
      <c r="I44" s="144" t="s">
        <v>5375</v>
      </c>
      <c r="J44" s="110" t="s">
        <v>5376</v>
      </c>
      <c r="K44" s="122" t="s">
        <v>5377</v>
      </c>
      <c r="L44" s="110" t="s">
        <v>5378</v>
      </c>
      <c r="M44" s="122" t="s">
        <v>5379</v>
      </c>
      <c r="N44" s="110" t="s">
        <v>5380</v>
      </c>
      <c r="O44" s="122" t="s">
        <v>5381</v>
      </c>
      <c r="P44" s="157" t="s">
        <v>5382</v>
      </c>
      <c r="Q44" s="122" t="s">
        <v>5383</v>
      </c>
      <c r="R44" s="157" t="s">
        <v>5384</v>
      </c>
      <c r="S44" s="122" t="s">
        <v>5385</v>
      </c>
      <c r="T44" s="157" t="s">
        <v>5386</v>
      </c>
      <c r="U44" s="122" t="s">
        <v>5387</v>
      </c>
      <c r="V44" s="157" t="s">
        <v>5388</v>
      </c>
      <c r="W44" s="122" t="s">
        <v>5389</v>
      </c>
      <c r="X44" s="157" t="s">
        <v>5390</v>
      </c>
      <c r="Y44" s="122" t="s">
        <v>5391</v>
      </c>
      <c r="Z44" s="157" t="s">
        <v>5392</v>
      </c>
      <c r="AA44" s="122" t="s">
        <v>5393</v>
      </c>
      <c r="AB44" s="157" t="s">
        <v>5394</v>
      </c>
      <c r="AC44" s="122" t="s">
        <v>5395</v>
      </c>
      <c r="AD44" s="157" t="s">
        <v>5396</v>
      </c>
      <c r="AE44" s="122" t="s">
        <v>5397</v>
      </c>
      <c r="AF44" s="157" t="s">
        <v>5398</v>
      </c>
      <c r="AG44" s="122" t="s">
        <v>5399</v>
      </c>
      <c r="AH44" s="157" t="s">
        <v>5400</v>
      </c>
      <c r="AI44" s="122" t="s">
        <v>5401</v>
      </c>
      <c r="AJ44" s="157" t="s">
        <v>5402</v>
      </c>
      <c r="AK44" s="122" t="s">
        <v>5403</v>
      </c>
      <c r="AL44" s="157" t="s">
        <v>5404</v>
      </c>
      <c r="AM44" s="122" t="s">
        <v>5405</v>
      </c>
      <c r="AN44" s="123" t="s">
        <v>5406</v>
      </c>
      <c r="AO44" s="123" t="s">
        <v>5407</v>
      </c>
      <c r="AP44" s="1444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290"/>
      <c r="BB44" s="290"/>
      <c r="BC44" s="290"/>
      <c r="BD44" s="290"/>
      <c r="BE44" s="290"/>
      <c r="BF44" s="290"/>
      <c r="BG44" s="290"/>
      <c r="BH44" s="290"/>
      <c r="BI44" s="290"/>
      <c r="BJ44" s="290"/>
      <c r="DB44" s="3219">
        <v>0</v>
      </c>
      <c r="DC44" s="3219">
        <v>0</v>
      </c>
    </row>
    <row r="45" spans="1:107" ht="16.350000000000001" customHeight="1" x14ac:dyDescent="0.25">
      <c r="A45" s="7300" t="s">
        <v>4912</v>
      </c>
      <c r="B45" s="1328" t="s">
        <v>63</v>
      </c>
      <c r="C45" s="551" t="s">
        <v>5369</v>
      </c>
      <c r="D45" s="550" t="s">
        <v>5370</v>
      </c>
      <c r="E45" s="152" t="s">
        <v>5371</v>
      </c>
      <c r="F45" s="125" t="s">
        <v>5372</v>
      </c>
      <c r="G45" s="127" t="s">
        <v>5373</v>
      </c>
      <c r="H45" s="125" t="s">
        <v>5374</v>
      </c>
      <c r="I45" s="127" t="s">
        <v>5375</v>
      </c>
      <c r="J45" s="125" t="s">
        <v>5376</v>
      </c>
      <c r="K45" s="101" t="s">
        <v>5377</v>
      </c>
      <c r="L45" s="125" t="s">
        <v>5378</v>
      </c>
      <c r="M45" s="101" t="s">
        <v>5379</v>
      </c>
      <c r="N45" s="125" t="s">
        <v>5380</v>
      </c>
      <c r="O45" s="101" t="s">
        <v>5381</v>
      </c>
      <c r="P45" s="159" t="s">
        <v>5382</v>
      </c>
      <c r="Q45" s="101" t="s">
        <v>5383</v>
      </c>
      <c r="R45" s="159" t="s">
        <v>5384</v>
      </c>
      <c r="S45" s="101" t="s">
        <v>5385</v>
      </c>
      <c r="T45" s="159" t="s">
        <v>5386</v>
      </c>
      <c r="U45" s="101" t="s">
        <v>5387</v>
      </c>
      <c r="V45" s="159" t="s">
        <v>5388</v>
      </c>
      <c r="W45" s="101" t="s">
        <v>5389</v>
      </c>
      <c r="X45" s="159" t="s">
        <v>5390</v>
      </c>
      <c r="Y45" s="101" t="s">
        <v>5391</v>
      </c>
      <c r="Z45" s="159" t="s">
        <v>5392</v>
      </c>
      <c r="AA45" s="101" t="s">
        <v>5393</v>
      </c>
      <c r="AB45" s="159" t="s">
        <v>5394</v>
      </c>
      <c r="AC45" s="101" t="s">
        <v>5395</v>
      </c>
      <c r="AD45" s="159" t="s">
        <v>5396</v>
      </c>
      <c r="AE45" s="101" t="s">
        <v>5397</v>
      </c>
      <c r="AF45" s="159" t="s">
        <v>5398</v>
      </c>
      <c r="AG45" s="101" t="s">
        <v>5399</v>
      </c>
      <c r="AH45" s="159" t="s">
        <v>5400</v>
      </c>
      <c r="AI45" s="101" t="s">
        <v>5401</v>
      </c>
      <c r="AJ45" s="159" t="s">
        <v>5402</v>
      </c>
      <c r="AK45" s="101" t="s">
        <v>5403</v>
      </c>
      <c r="AL45" s="159" t="s">
        <v>5404</v>
      </c>
      <c r="AM45" s="101" t="s">
        <v>5405</v>
      </c>
      <c r="AN45" s="86" t="s">
        <v>5406</v>
      </c>
      <c r="AO45" s="86" t="s">
        <v>5407</v>
      </c>
      <c r="AP45" s="1444"/>
      <c r="AQ45" s="806"/>
      <c r="AR45" s="806"/>
      <c r="AS45" s="806"/>
      <c r="AT45" s="806"/>
      <c r="AU45" s="806"/>
      <c r="AV45" s="806"/>
      <c r="AW45" s="806"/>
      <c r="AX45" s="806"/>
      <c r="AY45" s="806"/>
      <c r="AZ45" s="806"/>
      <c r="BA45" s="290"/>
      <c r="BB45" s="290"/>
      <c r="BC45" s="290"/>
      <c r="BD45" s="290"/>
      <c r="BE45" s="290"/>
      <c r="BF45" s="290"/>
      <c r="BG45" s="290"/>
      <c r="BH45" s="290"/>
      <c r="BI45" s="290"/>
      <c r="BJ45" s="290"/>
      <c r="DB45" s="3219">
        <v>0</v>
      </c>
      <c r="DC45" s="3219">
        <v>0</v>
      </c>
    </row>
    <row r="46" spans="1:107" ht="16.350000000000001" customHeight="1" x14ac:dyDescent="0.25">
      <c r="B46" s="133" t="s">
        <v>3773</v>
      </c>
      <c r="C46" s="133"/>
      <c r="D46" s="133"/>
      <c r="E46" s="133"/>
      <c r="F46" s="133"/>
      <c r="G46" s="133"/>
      <c r="H46" s="133"/>
      <c r="I46" s="233"/>
      <c r="J46" s="233"/>
      <c r="K46" s="233"/>
      <c r="L46" s="233"/>
      <c r="M46" s="72"/>
      <c r="N46" s="233"/>
      <c r="O46" s="233"/>
      <c r="P46" s="140"/>
      <c r="Q46" s="140"/>
      <c r="R46" s="140"/>
      <c r="S46" s="140"/>
      <c r="T46" s="140"/>
      <c r="U46" s="140"/>
      <c r="V46" s="140"/>
      <c r="W46" s="140"/>
      <c r="X46" s="140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6813"/>
      <c r="AO46" s="290"/>
      <c r="AP46" s="1447"/>
      <c r="AQ46" s="806"/>
      <c r="AR46" s="806"/>
      <c r="AS46" s="806"/>
      <c r="AT46" s="806"/>
      <c r="AU46" s="806"/>
      <c r="AV46" s="806"/>
      <c r="AW46" s="806"/>
      <c r="AX46" s="806"/>
      <c r="AY46" s="806"/>
      <c r="AZ46" s="806"/>
      <c r="BA46" s="290"/>
      <c r="BB46" s="290"/>
      <c r="BC46" s="290"/>
      <c r="BD46" s="290"/>
      <c r="BE46" s="290"/>
      <c r="BF46" s="290"/>
      <c r="BG46" s="290"/>
      <c r="BH46" s="290"/>
      <c r="BI46" s="290"/>
      <c r="BJ46" s="290"/>
    </row>
    <row r="47" spans="1:107" ht="16.350000000000001" customHeight="1" x14ac:dyDescent="0.25">
      <c r="B47" s="9666" t="s">
        <v>0</v>
      </c>
      <c r="C47" s="9479" t="s">
        <v>942</v>
      </c>
      <c r="D47" s="9480"/>
      <c r="E47" s="9481"/>
      <c r="F47" s="8601" t="s">
        <v>84</v>
      </c>
      <c r="G47" s="8602"/>
      <c r="H47" s="8602"/>
      <c r="I47" s="8602"/>
      <c r="J47" s="8602"/>
      <c r="K47" s="8602"/>
      <c r="L47" s="8602"/>
      <c r="M47" s="8602"/>
      <c r="N47" s="8602"/>
      <c r="O47" s="8602"/>
      <c r="P47" s="8602"/>
      <c r="Q47" s="8602"/>
      <c r="R47" s="8602"/>
      <c r="S47" s="8602"/>
      <c r="T47" s="8602"/>
      <c r="U47" s="8602"/>
      <c r="V47" s="8602"/>
      <c r="W47" s="8602"/>
      <c r="X47" s="8602"/>
      <c r="Y47" s="8602"/>
      <c r="Z47" s="8602"/>
      <c r="AA47" s="8602"/>
      <c r="AB47" s="8602"/>
      <c r="AC47" s="8602"/>
      <c r="AD47" s="8602"/>
      <c r="AE47" s="8602"/>
      <c r="AF47" s="8602"/>
      <c r="AG47" s="8602"/>
      <c r="AH47" s="8602"/>
      <c r="AI47" s="8602"/>
      <c r="AJ47" s="8602"/>
      <c r="AK47" s="8602"/>
      <c r="AL47" s="8602"/>
      <c r="AM47" s="9671"/>
      <c r="AN47" s="9497" t="s">
        <v>360</v>
      </c>
      <c r="AO47" s="9497" t="s">
        <v>1017</v>
      </c>
      <c r="AP47" s="1447"/>
      <c r="AQ47" s="806"/>
      <c r="AR47" s="806"/>
      <c r="AS47" s="806"/>
      <c r="AT47" s="806"/>
      <c r="AU47" s="806"/>
      <c r="AV47" s="806"/>
      <c r="AW47" s="806"/>
      <c r="AX47" s="806"/>
      <c r="AY47" s="806"/>
      <c r="AZ47" s="806"/>
      <c r="BA47" s="290"/>
      <c r="BB47" s="290"/>
      <c r="BC47" s="290"/>
      <c r="BD47" s="290"/>
      <c r="BE47" s="290"/>
      <c r="BF47" s="290"/>
      <c r="BG47" s="290"/>
      <c r="BH47" s="290"/>
      <c r="BI47" s="290"/>
      <c r="BJ47" s="290"/>
    </row>
    <row r="48" spans="1:107" ht="16.350000000000001" customHeight="1" x14ac:dyDescent="0.25">
      <c r="B48" s="9667"/>
      <c r="C48" s="9669"/>
      <c r="D48" s="9670"/>
      <c r="E48" s="9617"/>
      <c r="F48" s="8601" t="s">
        <v>75</v>
      </c>
      <c r="G48" s="9671"/>
      <c r="H48" s="8601" t="s">
        <v>76</v>
      </c>
      <c r="I48" s="9671"/>
      <c r="J48" s="8601" t="s">
        <v>77</v>
      </c>
      <c r="K48" s="9671"/>
      <c r="L48" s="8601" t="s">
        <v>71</v>
      </c>
      <c r="M48" s="9671"/>
      <c r="N48" s="8601" t="s">
        <v>4</v>
      </c>
      <c r="O48" s="9671"/>
      <c r="P48" s="9657" t="s">
        <v>5</v>
      </c>
      <c r="Q48" s="9658"/>
      <c r="R48" s="9657" t="s">
        <v>6</v>
      </c>
      <c r="S48" s="9658"/>
      <c r="T48" s="9657" t="s">
        <v>7</v>
      </c>
      <c r="U48" s="9658"/>
      <c r="V48" s="9657" t="s">
        <v>8</v>
      </c>
      <c r="W48" s="9658"/>
      <c r="X48" s="9657" t="s">
        <v>9</v>
      </c>
      <c r="Y48" s="9658"/>
      <c r="Z48" s="9657" t="s">
        <v>10</v>
      </c>
      <c r="AA48" s="9658"/>
      <c r="AB48" s="9657" t="s">
        <v>11</v>
      </c>
      <c r="AC48" s="9658"/>
      <c r="AD48" s="9657" t="s">
        <v>12</v>
      </c>
      <c r="AE48" s="9658"/>
      <c r="AF48" s="9657" t="s">
        <v>13</v>
      </c>
      <c r="AG48" s="9658"/>
      <c r="AH48" s="9657" t="s">
        <v>14</v>
      </c>
      <c r="AI48" s="9658"/>
      <c r="AJ48" s="9657" t="s">
        <v>15</v>
      </c>
      <c r="AK48" s="9658"/>
      <c r="AL48" s="9657" t="s">
        <v>16</v>
      </c>
      <c r="AM48" s="9658"/>
      <c r="AN48" s="8705"/>
      <c r="AO48" s="8705"/>
      <c r="AP48" s="1447"/>
      <c r="AQ48" s="806"/>
      <c r="AR48" s="806"/>
      <c r="AS48" s="806"/>
      <c r="AT48" s="806"/>
      <c r="AU48" s="806"/>
      <c r="AV48" s="806"/>
      <c r="AW48" s="806"/>
      <c r="AX48" s="806"/>
      <c r="AY48" s="806"/>
      <c r="AZ48" s="806"/>
      <c r="BA48" s="290"/>
      <c r="BB48" s="290"/>
      <c r="BC48" s="290"/>
      <c r="BD48" s="290"/>
      <c r="BE48" s="290"/>
      <c r="BF48" s="290"/>
      <c r="BG48" s="290"/>
      <c r="BH48" s="290"/>
      <c r="BI48" s="290"/>
      <c r="BJ48" s="290"/>
    </row>
    <row r="49" spans="1:131" ht="16.350000000000001" customHeight="1" x14ac:dyDescent="0.25">
      <c r="B49" s="9668"/>
      <c r="C49" s="6816" t="s">
        <v>42</v>
      </c>
      <c r="D49" s="6817" t="s">
        <v>708</v>
      </c>
      <c r="E49" s="3259" t="s">
        <v>18</v>
      </c>
      <c r="F49" s="6814" t="s">
        <v>708</v>
      </c>
      <c r="G49" s="6815" t="s">
        <v>18</v>
      </c>
      <c r="H49" s="6814" t="s">
        <v>708</v>
      </c>
      <c r="I49" s="6815" t="s">
        <v>18</v>
      </c>
      <c r="J49" s="6814" t="s">
        <v>708</v>
      </c>
      <c r="K49" s="6815" t="s">
        <v>18</v>
      </c>
      <c r="L49" s="6814" t="s">
        <v>708</v>
      </c>
      <c r="M49" s="6815" t="s">
        <v>18</v>
      </c>
      <c r="N49" s="6814" t="s">
        <v>708</v>
      </c>
      <c r="O49" s="6815" t="s">
        <v>18</v>
      </c>
      <c r="P49" s="6814" t="s">
        <v>708</v>
      </c>
      <c r="Q49" s="6815" t="s">
        <v>18</v>
      </c>
      <c r="R49" s="6814" t="s">
        <v>708</v>
      </c>
      <c r="S49" s="6815" t="s">
        <v>18</v>
      </c>
      <c r="T49" s="6814" t="s">
        <v>708</v>
      </c>
      <c r="U49" s="6815" t="s">
        <v>18</v>
      </c>
      <c r="V49" s="6814" t="s">
        <v>708</v>
      </c>
      <c r="W49" s="6815" t="s">
        <v>18</v>
      </c>
      <c r="X49" s="6814" t="s">
        <v>708</v>
      </c>
      <c r="Y49" s="6815" t="s">
        <v>18</v>
      </c>
      <c r="Z49" s="6814" t="s">
        <v>708</v>
      </c>
      <c r="AA49" s="6815" t="s">
        <v>18</v>
      </c>
      <c r="AB49" s="6814" t="s">
        <v>708</v>
      </c>
      <c r="AC49" s="6815" t="s">
        <v>18</v>
      </c>
      <c r="AD49" s="6814" t="s">
        <v>708</v>
      </c>
      <c r="AE49" s="6815" t="s">
        <v>18</v>
      </c>
      <c r="AF49" s="6814" t="s">
        <v>708</v>
      </c>
      <c r="AG49" s="6815" t="s">
        <v>18</v>
      </c>
      <c r="AH49" s="6814" t="s">
        <v>708</v>
      </c>
      <c r="AI49" s="6815" t="s">
        <v>18</v>
      </c>
      <c r="AJ49" s="6814" t="s">
        <v>708</v>
      </c>
      <c r="AK49" s="6815" t="s">
        <v>18</v>
      </c>
      <c r="AL49" s="6814" t="s">
        <v>708</v>
      </c>
      <c r="AM49" s="6815" t="s">
        <v>18</v>
      </c>
      <c r="AN49" s="9065"/>
      <c r="AO49" s="9065"/>
      <c r="AP49" s="1447"/>
      <c r="AQ49" s="806"/>
      <c r="AR49" s="806"/>
      <c r="AS49" s="806"/>
      <c r="AT49" s="806"/>
      <c r="AU49" s="806"/>
      <c r="AV49" s="806"/>
      <c r="AW49" s="806"/>
      <c r="AX49" s="806"/>
      <c r="AY49" s="806"/>
      <c r="AZ49" s="806"/>
      <c r="BA49" s="290"/>
      <c r="BB49" s="290"/>
      <c r="BC49" s="290"/>
      <c r="BD49" s="290"/>
      <c r="BE49" s="290"/>
      <c r="BF49" s="290"/>
      <c r="BG49" s="290"/>
      <c r="BH49" s="290"/>
      <c r="BI49" s="290"/>
      <c r="BJ49" s="290"/>
    </row>
    <row r="50" spans="1:131" ht="16.350000000000001" customHeight="1" x14ac:dyDescent="0.25">
      <c r="A50" s="7300" t="s">
        <v>4913</v>
      </c>
      <c r="B50" s="6818" t="s">
        <v>19</v>
      </c>
      <c r="C50" s="6819" t="s">
        <v>5369</v>
      </c>
      <c r="D50" s="6820" t="s">
        <v>5370</v>
      </c>
      <c r="E50" s="6821" t="s">
        <v>5371</v>
      </c>
      <c r="F50" s="6782" t="s">
        <v>5372</v>
      </c>
      <c r="G50" s="5831" t="s">
        <v>5373</v>
      </c>
      <c r="H50" s="6782" t="s">
        <v>5374</v>
      </c>
      <c r="I50" s="5831" t="s">
        <v>5375</v>
      </c>
      <c r="J50" s="6782" t="s">
        <v>5376</v>
      </c>
      <c r="K50" s="6822" t="s">
        <v>5377</v>
      </c>
      <c r="L50" s="6782" t="s">
        <v>5378</v>
      </c>
      <c r="M50" s="6822" t="s">
        <v>5379</v>
      </c>
      <c r="N50" s="6782" t="s">
        <v>5380</v>
      </c>
      <c r="O50" s="6822" t="s">
        <v>5381</v>
      </c>
      <c r="P50" s="6784" t="s">
        <v>5382</v>
      </c>
      <c r="Q50" s="6822" t="s">
        <v>5383</v>
      </c>
      <c r="R50" s="6784" t="s">
        <v>5384</v>
      </c>
      <c r="S50" s="6822" t="s">
        <v>5385</v>
      </c>
      <c r="T50" s="6784" t="s">
        <v>5386</v>
      </c>
      <c r="U50" s="6822" t="s">
        <v>5387</v>
      </c>
      <c r="V50" s="6784" t="s">
        <v>5388</v>
      </c>
      <c r="W50" s="6822" t="s">
        <v>5389</v>
      </c>
      <c r="X50" s="6784" t="s">
        <v>5390</v>
      </c>
      <c r="Y50" s="6822" t="s">
        <v>5391</v>
      </c>
      <c r="Z50" s="6784" t="s">
        <v>5392</v>
      </c>
      <c r="AA50" s="6822" t="s">
        <v>5393</v>
      </c>
      <c r="AB50" s="6784" t="s">
        <v>5394</v>
      </c>
      <c r="AC50" s="6822" t="s">
        <v>5395</v>
      </c>
      <c r="AD50" s="6784" t="s">
        <v>5396</v>
      </c>
      <c r="AE50" s="6822" t="s">
        <v>5397</v>
      </c>
      <c r="AF50" s="6784" t="s">
        <v>5398</v>
      </c>
      <c r="AG50" s="6822" t="s">
        <v>5399</v>
      </c>
      <c r="AH50" s="6784" t="s">
        <v>5400</v>
      </c>
      <c r="AI50" s="6822" t="s">
        <v>5401</v>
      </c>
      <c r="AJ50" s="6784" t="s">
        <v>5402</v>
      </c>
      <c r="AK50" s="6822" t="s">
        <v>5403</v>
      </c>
      <c r="AL50" s="6784" t="s">
        <v>5404</v>
      </c>
      <c r="AM50" s="6822" t="s">
        <v>5405</v>
      </c>
      <c r="AN50" s="6823" t="s">
        <v>5406</v>
      </c>
      <c r="AO50" s="6823" t="s">
        <v>5407</v>
      </c>
      <c r="AP50" s="1447"/>
      <c r="AQ50" s="806"/>
      <c r="AR50" s="806"/>
      <c r="AS50" s="806"/>
      <c r="AT50" s="806"/>
      <c r="AU50" s="806"/>
      <c r="AV50" s="806"/>
      <c r="AW50" s="806"/>
      <c r="AX50" s="806"/>
      <c r="AY50" s="806"/>
      <c r="AZ50" s="806"/>
      <c r="BA50" s="290"/>
      <c r="BB50" s="290"/>
      <c r="BC50" s="290"/>
      <c r="BD50" s="290"/>
      <c r="BE50" s="290"/>
      <c r="BF50" s="290"/>
      <c r="BG50" s="290"/>
      <c r="BH50" s="290"/>
      <c r="BI50" s="290"/>
      <c r="BJ50" s="290"/>
      <c r="DB50" s="3219">
        <v>0</v>
      </c>
      <c r="DC50" s="3219">
        <v>0</v>
      </c>
    </row>
    <row r="51" spans="1:131" ht="16.350000000000001" customHeight="1" x14ac:dyDescent="0.25">
      <c r="A51" s="7300" t="s">
        <v>4914</v>
      </c>
      <c r="B51" s="3750" t="s">
        <v>23</v>
      </c>
      <c r="C51" s="4667" t="s">
        <v>5369</v>
      </c>
      <c r="D51" s="3062" t="s">
        <v>5370</v>
      </c>
      <c r="E51" s="2931" t="s">
        <v>5371</v>
      </c>
      <c r="F51" s="2822" t="s">
        <v>5372</v>
      </c>
      <c r="G51" s="2826" t="s">
        <v>5373</v>
      </c>
      <c r="H51" s="2822" t="s">
        <v>5374</v>
      </c>
      <c r="I51" s="2826" t="s">
        <v>5375</v>
      </c>
      <c r="J51" s="2822" t="s">
        <v>5376</v>
      </c>
      <c r="K51" s="2824" t="s">
        <v>5377</v>
      </c>
      <c r="L51" s="2822" t="s">
        <v>5378</v>
      </c>
      <c r="M51" s="2824" t="s">
        <v>5379</v>
      </c>
      <c r="N51" s="2822" t="s">
        <v>5380</v>
      </c>
      <c r="O51" s="2824" t="s">
        <v>5381</v>
      </c>
      <c r="P51" s="3448" t="s">
        <v>5382</v>
      </c>
      <c r="Q51" s="2824" t="s">
        <v>5383</v>
      </c>
      <c r="R51" s="3448" t="s">
        <v>5384</v>
      </c>
      <c r="S51" s="2824" t="s">
        <v>5385</v>
      </c>
      <c r="T51" s="3448" t="s">
        <v>5386</v>
      </c>
      <c r="U51" s="2824" t="s">
        <v>5387</v>
      </c>
      <c r="V51" s="3448" t="s">
        <v>5388</v>
      </c>
      <c r="W51" s="2824" t="s">
        <v>5389</v>
      </c>
      <c r="X51" s="3448" t="s">
        <v>5390</v>
      </c>
      <c r="Y51" s="2824" t="s">
        <v>5391</v>
      </c>
      <c r="Z51" s="3448" t="s">
        <v>5392</v>
      </c>
      <c r="AA51" s="2824" t="s">
        <v>5393</v>
      </c>
      <c r="AB51" s="3448" t="s">
        <v>5394</v>
      </c>
      <c r="AC51" s="2824" t="s">
        <v>5395</v>
      </c>
      <c r="AD51" s="3448" t="s">
        <v>5396</v>
      </c>
      <c r="AE51" s="2824" t="s">
        <v>5397</v>
      </c>
      <c r="AF51" s="3448" t="s">
        <v>5398</v>
      </c>
      <c r="AG51" s="2824" t="s">
        <v>5399</v>
      </c>
      <c r="AH51" s="3448" t="s">
        <v>5400</v>
      </c>
      <c r="AI51" s="2824" t="s">
        <v>5401</v>
      </c>
      <c r="AJ51" s="3448" t="s">
        <v>5402</v>
      </c>
      <c r="AK51" s="2824" t="s">
        <v>5403</v>
      </c>
      <c r="AL51" s="3448" t="s">
        <v>5404</v>
      </c>
      <c r="AM51" s="2824" t="s">
        <v>5405</v>
      </c>
      <c r="AN51" s="3478" t="s">
        <v>5406</v>
      </c>
      <c r="AO51" s="3478" t="s">
        <v>5407</v>
      </c>
      <c r="AP51" s="1447"/>
      <c r="AQ51" s="806"/>
      <c r="AR51" s="806"/>
      <c r="AS51" s="806"/>
      <c r="AT51" s="806"/>
      <c r="AU51" s="806"/>
      <c r="AV51" s="806"/>
      <c r="AW51" s="806"/>
      <c r="AX51" s="806"/>
      <c r="AY51" s="806"/>
      <c r="AZ51" s="806"/>
      <c r="BA51" s="290"/>
      <c r="BB51" s="290"/>
      <c r="BC51" s="290"/>
      <c r="BD51" s="290"/>
      <c r="BE51" s="290"/>
      <c r="BF51" s="290"/>
      <c r="BG51" s="290"/>
      <c r="BH51" s="290"/>
      <c r="BI51" s="290"/>
      <c r="BJ51" s="290"/>
      <c r="DB51" s="3219">
        <v>0</v>
      </c>
      <c r="DC51" s="3219">
        <v>0</v>
      </c>
    </row>
    <row r="52" spans="1:131" ht="16.350000000000001" customHeight="1" x14ac:dyDescent="0.25">
      <c r="A52" s="7300" t="s">
        <v>4915</v>
      </c>
      <c r="B52" s="3750" t="s">
        <v>20</v>
      </c>
      <c r="C52" s="4667" t="s">
        <v>5369</v>
      </c>
      <c r="D52" s="3062" t="s">
        <v>5370</v>
      </c>
      <c r="E52" s="2931" t="s">
        <v>5371</v>
      </c>
      <c r="F52" s="2822" t="s">
        <v>5372</v>
      </c>
      <c r="G52" s="2826" t="s">
        <v>5373</v>
      </c>
      <c r="H52" s="2822" t="s">
        <v>5374</v>
      </c>
      <c r="I52" s="2826" t="s">
        <v>5375</v>
      </c>
      <c r="J52" s="2822" t="s">
        <v>5376</v>
      </c>
      <c r="K52" s="2824" t="s">
        <v>5377</v>
      </c>
      <c r="L52" s="2822" t="s">
        <v>5378</v>
      </c>
      <c r="M52" s="2824" t="s">
        <v>5379</v>
      </c>
      <c r="N52" s="2822" t="s">
        <v>5380</v>
      </c>
      <c r="O52" s="2824" t="s">
        <v>5381</v>
      </c>
      <c r="P52" s="3448" t="s">
        <v>5382</v>
      </c>
      <c r="Q52" s="2824" t="s">
        <v>5383</v>
      </c>
      <c r="R52" s="3448" t="s">
        <v>5384</v>
      </c>
      <c r="S52" s="2824" t="s">
        <v>5385</v>
      </c>
      <c r="T52" s="3448" t="s">
        <v>5386</v>
      </c>
      <c r="U52" s="2824" t="s">
        <v>5387</v>
      </c>
      <c r="V52" s="3448" t="s">
        <v>5388</v>
      </c>
      <c r="W52" s="2824" t="s">
        <v>5389</v>
      </c>
      <c r="X52" s="3448" t="s">
        <v>5390</v>
      </c>
      <c r="Y52" s="2824" t="s">
        <v>5391</v>
      </c>
      <c r="Z52" s="3448" t="s">
        <v>5392</v>
      </c>
      <c r="AA52" s="2824" t="s">
        <v>5393</v>
      </c>
      <c r="AB52" s="3448" t="s">
        <v>5394</v>
      </c>
      <c r="AC52" s="2824" t="s">
        <v>5395</v>
      </c>
      <c r="AD52" s="3448" t="s">
        <v>5396</v>
      </c>
      <c r="AE52" s="2824" t="s">
        <v>5397</v>
      </c>
      <c r="AF52" s="3448" t="s">
        <v>5398</v>
      </c>
      <c r="AG52" s="2824" t="s">
        <v>5399</v>
      </c>
      <c r="AH52" s="3448" t="s">
        <v>5400</v>
      </c>
      <c r="AI52" s="2824" t="s">
        <v>5401</v>
      </c>
      <c r="AJ52" s="3448" t="s">
        <v>5402</v>
      </c>
      <c r="AK52" s="2824" t="s">
        <v>5403</v>
      </c>
      <c r="AL52" s="3448" t="s">
        <v>5404</v>
      </c>
      <c r="AM52" s="2824" t="s">
        <v>5405</v>
      </c>
      <c r="AN52" s="3478" t="s">
        <v>5406</v>
      </c>
      <c r="AO52" s="3478" t="s">
        <v>5407</v>
      </c>
      <c r="AP52" s="1447"/>
      <c r="AQ52" s="806"/>
      <c r="AR52" s="806"/>
      <c r="AS52" s="806"/>
      <c r="AT52" s="806"/>
      <c r="AU52" s="806"/>
      <c r="AV52" s="806"/>
      <c r="AW52" s="806"/>
      <c r="AX52" s="806"/>
      <c r="AY52" s="806"/>
      <c r="AZ52" s="806"/>
      <c r="BA52" s="290"/>
      <c r="BB52" s="290"/>
      <c r="BC52" s="290"/>
      <c r="BD52" s="290"/>
      <c r="BE52" s="290"/>
      <c r="BF52" s="290"/>
      <c r="BG52" s="290"/>
      <c r="BH52" s="290"/>
      <c r="BI52" s="290"/>
      <c r="BJ52" s="290"/>
      <c r="DB52" s="3219">
        <v>0</v>
      </c>
      <c r="DC52" s="3219">
        <v>0</v>
      </c>
    </row>
    <row r="53" spans="1:131" ht="16.350000000000001" customHeight="1" x14ac:dyDescent="0.25">
      <c r="A53" s="7300" t="s">
        <v>4916</v>
      </c>
      <c r="B53" s="3750" t="s">
        <v>1016</v>
      </c>
      <c r="C53" s="4667" t="s">
        <v>5369</v>
      </c>
      <c r="D53" s="3062" t="s">
        <v>5370</v>
      </c>
      <c r="E53" s="2931" t="s">
        <v>5371</v>
      </c>
      <c r="F53" s="2822" t="s">
        <v>5372</v>
      </c>
      <c r="G53" s="2826" t="s">
        <v>5373</v>
      </c>
      <c r="H53" s="2822" t="s">
        <v>5374</v>
      </c>
      <c r="I53" s="2826" t="s">
        <v>5375</v>
      </c>
      <c r="J53" s="2822" t="s">
        <v>5376</v>
      </c>
      <c r="K53" s="2824" t="s">
        <v>5377</v>
      </c>
      <c r="L53" s="2822" t="s">
        <v>5378</v>
      </c>
      <c r="M53" s="2824" t="s">
        <v>5379</v>
      </c>
      <c r="N53" s="2822" t="s">
        <v>5380</v>
      </c>
      <c r="O53" s="2824" t="s">
        <v>5381</v>
      </c>
      <c r="P53" s="3448" t="s">
        <v>5382</v>
      </c>
      <c r="Q53" s="2824" t="s">
        <v>5383</v>
      </c>
      <c r="R53" s="3448" t="s">
        <v>5384</v>
      </c>
      <c r="S53" s="2824" t="s">
        <v>5385</v>
      </c>
      <c r="T53" s="3448" t="s">
        <v>5386</v>
      </c>
      <c r="U53" s="2824" t="s">
        <v>5387</v>
      </c>
      <c r="V53" s="3448" t="s">
        <v>5388</v>
      </c>
      <c r="W53" s="2824" t="s">
        <v>5389</v>
      </c>
      <c r="X53" s="3448" t="s">
        <v>5390</v>
      </c>
      <c r="Y53" s="2824" t="s">
        <v>5391</v>
      </c>
      <c r="Z53" s="3448" t="s">
        <v>5392</v>
      </c>
      <c r="AA53" s="2824" t="s">
        <v>5393</v>
      </c>
      <c r="AB53" s="3448" t="s">
        <v>5394</v>
      </c>
      <c r="AC53" s="2824" t="s">
        <v>5395</v>
      </c>
      <c r="AD53" s="3448" t="s">
        <v>5396</v>
      </c>
      <c r="AE53" s="2824" t="s">
        <v>5397</v>
      </c>
      <c r="AF53" s="3448" t="s">
        <v>5398</v>
      </c>
      <c r="AG53" s="2824" t="s">
        <v>5399</v>
      </c>
      <c r="AH53" s="3448" t="s">
        <v>5400</v>
      </c>
      <c r="AI53" s="2824" t="s">
        <v>5401</v>
      </c>
      <c r="AJ53" s="3448" t="s">
        <v>5402</v>
      </c>
      <c r="AK53" s="2824" t="s">
        <v>5403</v>
      </c>
      <c r="AL53" s="3448" t="s">
        <v>5404</v>
      </c>
      <c r="AM53" s="2824" t="s">
        <v>5405</v>
      </c>
      <c r="AN53" s="3478" t="s">
        <v>5406</v>
      </c>
      <c r="AO53" s="3478" t="s">
        <v>5407</v>
      </c>
      <c r="AP53" s="1447"/>
      <c r="AQ53" s="806"/>
      <c r="AR53" s="806"/>
      <c r="AS53" s="806"/>
      <c r="AT53" s="806"/>
      <c r="AU53" s="806"/>
      <c r="AV53" s="806"/>
      <c r="AW53" s="806"/>
      <c r="AX53" s="806"/>
      <c r="AY53" s="806"/>
      <c r="AZ53" s="806"/>
      <c r="BA53" s="290"/>
      <c r="BB53" s="290"/>
      <c r="BC53" s="290"/>
      <c r="BD53" s="290"/>
      <c r="BE53" s="290"/>
      <c r="BF53" s="290"/>
      <c r="BG53" s="290"/>
      <c r="BH53" s="290"/>
      <c r="BI53" s="290"/>
      <c r="BJ53" s="290"/>
      <c r="DB53" s="3219">
        <v>0</v>
      </c>
      <c r="DC53" s="3219">
        <v>0</v>
      </c>
    </row>
    <row r="54" spans="1:131" ht="16.350000000000001" customHeight="1" x14ac:dyDescent="0.25">
      <c r="A54" s="7300" t="s">
        <v>4917</v>
      </c>
      <c r="B54" s="3750" t="s">
        <v>27</v>
      </c>
      <c r="C54" s="4667" t="s">
        <v>5369</v>
      </c>
      <c r="D54" s="3062" t="s">
        <v>5370</v>
      </c>
      <c r="E54" s="2931" t="s">
        <v>5371</v>
      </c>
      <c r="F54" s="2822" t="s">
        <v>5372</v>
      </c>
      <c r="G54" s="2826" t="s">
        <v>5373</v>
      </c>
      <c r="H54" s="2822" t="s">
        <v>5374</v>
      </c>
      <c r="I54" s="2826" t="s">
        <v>5375</v>
      </c>
      <c r="J54" s="2822" t="s">
        <v>5376</v>
      </c>
      <c r="K54" s="2824" t="s">
        <v>5377</v>
      </c>
      <c r="L54" s="2822" t="s">
        <v>5378</v>
      </c>
      <c r="M54" s="2824" t="s">
        <v>5379</v>
      </c>
      <c r="N54" s="2822" t="s">
        <v>5380</v>
      </c>
      <c r="O54" s="2824" t="s">
        <v>5381</v>
      </c>
      <c r="P54" s="3448" t="s">
        <v>5382</v>
      </c>
      <c r="Q54" s="2824" t="s">
        <v>5383</v>
      </c>
      <c r="R54" s="3448" t="s">
        <v>5384</v>
      </c>
      <c r="S54" s="2824" t="s">
        <v>5385</v>
      </c>
      <c r="T54" s="3448" t="s">
        <v>5386</v>
      </c>
      <c r="U54" s="2824" t="s">
        <v>5387</v>
      </c>
      <c r="V54" s="3448" t="s">
        <v>5388</v>
      </c>
      <c r="W54" s="2824" t="s">
        <v>5389</v>
      </c>
      <c r="X54" s="3448" t="s">
        <v>5390</v>
      </c>
      <c r="Y54" s="2824" t="s">
        <v>5391</v>
      </c>
      <c r="Z54" s="3448" t="s">
        <v>5392</v>
      </c>
      <c r="AA54" s="2824" t="s">
        <v>5393</v>
      </c>
      <c r="AB54" s="3448" t="s">
        <v>5394</v>
      </c>
      <c r="AC54" s="2824" t="s">
        <v>5395</v>
      </c>
      <c r="AD54" s="3448" t="s">
        <v>5396</v>
      </c>
      <c r="AE54" s="2824" t="s">
        <v>5397</v>
      </c>
      <c r="AF54" s="3448" t="s">
        <v>5398</v>
      </c>
      <c r="AG54" s="2824" t="s">
        <v>5399</v>
      </c>
      <c r="AH54" s="3448" t="s">
        <v>5400</v>
      </c>
      <c r="AI54" s="2824" t="s">
        <v>5401</v>
      </c>
      <c r="AJ54" s="3448" t="s">
        <v>5402</v>
      </c>
      <c r="AK54" s="2824" t="s">
        <v>5403</v>
      </c>
      <c r="AL54" s="3448" t="s">
        <v>5404</v>
      </c>
      <c r="AM54" s="2824" t="s">
        <v>5405</v>
      </c>
      <c r="AN54" s="3478" t="s">
        <v>5406</v>
      </c>
      <c r="AO54" s="3478" t="s">
        <v>5407</v>
      </c>
      <c r="AP54" s="1447"/>
      <c r="AQ54" s="806"/>
      <c r="AR54" s="806"/>
      <c r="AS54" s="806"/>
      <c r="AT54" s="806"/>
      <c r="AU54" s="806"/>
      <c r="AV54" s="806"/>
      <c r="AW54" s="806"/>
      <c r="AX54" s="806"/>
      <c r="AY54" s="806"/>
      <c r="AZ54" s="806"/>
      <c r="BA54" s="290"/>
      <c r="BB54" s="290"/>
      <c r="BC54" s="290"/>
      <c r="BD54" s="290"/>
      <c r="BE54" s="290"/>
      <c r="BF54" s="290"/>
      <c r="BG54" s="290"/>
      <c r="BH54" s="290"/>
      <c r="BI54" s="290"/>
      <c r="BJ54" s="290"/>
      <c r="DB54" s="3219">
        <v>0</v>
      </c>
      <c r="DC54" s="3219">
        <v>0</v>
      </c>
    </row>
    <row r="55" spans="1:131" ht="16.350000000000001" customHeight="1" x14ac:dyDescent="0.25">
      <c r="A55" s="7300" t="s">
        <v>4918</v>
      </c>
      <c r="B55" s="3245" t="s">
        <v>63</v>
      </c>
      <c r="C55" s="4676" t="s">
        <v>5369</v>
      </c>
      <c r="D55" s="4806" t="s">
        <v>5370</v>
      </c>
      <c r="E55" s="6824" t="s">
        <v>5371</v>
      </c>
      <c r="F55" s="3158" t="s">
        <v>5372</v>
      </c>
      <c r="G55" s="3159" t="s">
        <v>5373</v>
      </c>
      <c r="H55" s="3158" t="s">
        <v>5374</v>
      </c>
      <c r="I55" s="3159" t="s">
        <v>5375</v>
      </c>
      <c r="J55" s="3158" t="s">
        <v>5376</v>
      </c>
      <c r="K55" s="2821" t="s">
        <v>5377</v>
      </c>
      <c r="L55" s="3158" t="s">
        <v>5378</v>
      </c>
      <c r="M55" s="2821" t="s">
        <v>5379</v>
      </c>
      <c r="N55" s="3158" t="s">
        <v>5380</v>
      </c>
      <c r="O55" s="2821" t="s">
        <v>5381</v>
      </c>
      <c r="P55" s="3160" t="s">
        <v>5382</v>
      </c>
      <c r="Q55" s="2821" t="s">
        <v>5383</v>
      </c>
      <c r="R55" s="3160" t="s">
        <v>5384</v>
      </c>
      <c r="S55" s="2821" t="s">
        <v>5385</v>
      </c>
      <c r="T55" s="3160" t="s">
        <v>5386</v>
      </c>
      <c r="U55" s="2821" t="s">
        <v>5387</v>
      </c>
      <c r="V55" s="3160" t="s">
        <v>5388</v>
      </c>
      <c r="W55" s="2821" t="s">
        <v>5389</v>
      </c>
      <c r="X55" s="3160" t="s">
        <v>5390</v>
      </c>
      <c r="Y55" s="2821" t="s">
        <v>5391</v>
      </c>
      <c r="Z55" s="3160" t="s">
        <v>5392</v>
      </c>
      <c r="AA55" s="2821" t="s">
        <v>5393</v>
      </c>
      <c r="AB55" s="3160" t="s">
        <v>5394</v>
      </c>
      <c r="AC55" s="2821" t="s">
        <v>5395</v>
      </c>
      <c r="AD55" s="3160" t="s">
        <v>5396</v>
      </c>
      <c r="AE55" s="2821" t="s">
        <v>5397</v>
      </c>
      <c r="AF55" s="3160" t="s">
        <v>5398</v>
      </c>
      <c r="AG55" s="2821" t="s">
        <v>5399</v>
      </c>
      <c r="AH55" s="3160" t="s">
        <v>5400</v>
      </c>
      <c r="AI55" s="2821" t="s">
        <v>5401</v>
      </c>
      <c r="AJ55" s="3160" t="s">
        <v>5402</v>
      </c>
      <c r="AK55" s="2821" t="s">
        <v>5403</v>
      </c>
      <c r="AL55" s="3160" t="s">
        <v>5404</v>
      </c>
      <c r="AM55" s="2821" t="s">
        <v>5405</v>
      </c>
      <c r="AN55" s="3236" t="s">
        <v>5406</v>
      </c>
      <c r="AO55" s="3236" t="s">
        <v>5407</v>
      </c>
      <c r="AP55" s="1447"/>
      <c r="AQ55" s="806"/>
      <c r="AR55" s="806"/>
      <c r="AS55" s="806"/>
      <c r="AT55" s="806"/>
      <c r="AU55" s="806"/>
      <c r="AV55" s="806"/>
      <c r="AW55" s="806"/>
      <c r="AX55" s="806"/>
      <c r="AY55" s="806"/>
      <c r="AZ55" s="806"/>
      <c r="BA55" s="290"/>
      <c r="BB55" s="290"/>
      <c r="BC55" s="290"/>
      <c r="BD55" s="290"/>
      <c r="BE55" s="290"/>
      <c r="BF55" s="290"/>
      <c r="BG55" s="290"/>
      <c r="BH55" s="290"/>
      <c r="BI55" s="290"/>
      <c r="BJ55" s="290"/>
      <c r="DB55" s="3219">
        <v>0</v>
      </c>
      <c r="DC55" s="3219">
        <v>0</v>
      </c>
    </row>
    <row r="56" spans="1:131" s="199" customFormat="1" ht="32.1" customHeight="1" x14ac:dyDescent="0.25">
      <c r="B56" s="678" t="s">
        <v>3718</v>
      </c>
      <c r="C56" s="678"/>
      <c r="D56" s="678"/>
      <c r="E56" s="678"/>
      <c r="F56" s="678"/>
      <c r="G56" s="678"/>
      <c r="H56" s="678"/>
      <c r="I56" s="678"/>
      <c r="J56" s="678"/>
      <c r="K56" s="223"/>
      <c r="L56" s="223"/>
      <c r="M56" s="223"/>
      <c r="N56" s="223"/>
      <c r="O56" s="223"/>
      <c r="P56" s="223"/>
      <c r="Q56" s="223"/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  <c r="AI56" s="223"/>
      <c r="AJ56" s="223"/>
      <c r="AK56" s="223"/>
      <c r="AL56" s="223"/>
      <c r="AM56" s="223"/>
      <c r="AN56" s="223"/>
      <c r="AO56" s="223"/>
      <c r="AP56" s="140"/>
      <c r="AQ56" s="140"/>
      <c r="AR56" s="140"/>
      <c r="AS56" s="288"/>
      <c r="AT56" s="288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140"/>
      <c r="BV56" s="140"/>
      <c r="BW56" s="288"/>
      <c r="BX56" s="288"/>
      <c r="BY56" s="288"/>
      <c r="BZ56" s="288"/>
      <c r="CA56" s="288"/>
      <c r="CB56" s="687"/>
      <c r="CC56" s="687"/>
      <c r="CD56" s="687"/>
      <c r="CE56" s="687"/>
      <c r="CF56" s="687"/>
      <c r="CG56" s="687"/>
      <c r="CH56" s="687"/>
      <c r="CI56" s="687"/>
      <c r="CJ56" s="687"/>
      <c r="CK56" s="687"/>
      <c r="CL56" s="687"/>
      <c r="CM56" s="687"/>
      <c r="CN56" s="687"/>
      <c r="CO56" s="687"/>
      <c r="CP56" s="687"/>
      <c r="CQ56" s="687"/>
      <c r="CR56" s="687"/>
      <c r="CS56" s="687"/>
      <c r="CT56" s="687"/>
      <c r="CU56" s="687"/>
      <c r="CV56" s="687"/>
      <c r="CW56" s="687"/>
      <c r="CX56" s="687"/>
      <c r="CY56" s="687"/>
      <c r="CZ56" s="687"/>
      <c r="DA56" s="687"/>
      <c r="DB56" s="3219"/>
      <c r="DC56" s="3219"/>
      <c r="DD56" s="3219"/>
      <c r="DE56" s="3219"/>
      <c r="DF56" s="3219"/>
      <c r="DG56" s="3219"/>
      <c r="DH56" s="3219"/>
      <c r="DI56" s="3219"/>
      <c r="DJ56" s="3219"/>
      <c r="DK56" s="3219"/>
      <c r="DL56" s="3219"/>
      <c r="DM56" s="3219"/>
      <c r="DN56" s="3219"/>
      <c r="DO56" s="3219"/>
      <c r="DP56" s="3219"/>
      <c r="DQ56" s="3219"/>
      <c r="DR56" s="3219"/>
      <c r="DS56" s="3219"/>
      <c r="DT56" s="3219"/>
      <c r="DU56" s="3219"/>
      <c r="DV56" s="3219"/>
      <c r="DW56" s="3219"/>
      <c r="DX56" s="3219"/>
      <c r="DY56" s="3219"/>
      <c r="DZ56" s="3219"/>
      <c r="EA56" s="3219"/>
    </row>
    <row r="57" spans="1:131" ht="16.350000000000001" customHeight="1" x14ac:dyDescent="0.25">
      <c r="B57" s="8597" t="s">
        <v>1015</v>
      </c>
      <c r="C57" s="9660" t="s">
        <v>24</v>
      </c>
      <c r="D57" s="9661"/>
      <c r="E57" s="9662"/>
      <c r="F57" s="9672" t="s">
        <v>84</v>
      </c>
      <c r="G57" s="9673"/>
      <c r="H57" s="9673"/>
      <c r="I57" s="9673"/>
      <c r="J57" s="9673"/>
      <c r="K57" s="9673"/>
      <c r="L57" s="9673"/>
      <c r="M57" s="9673"/>
      <c r="N57" s="9673"/>
      <c r="O57" s="9673"/>
      <c r="P57" s="9673"/>
      <c r="Q57" s="9673"/>
      <c r="R57" s="9673"/>
      <c r="S57" s="9673"/>
      <c r="T57" s="9673"/>
      <c r="U57" s="9673"/>
      <c r="V57" s="9673"/>
      <c r="W57" s="9673"/>
      <c r="X57" s="9673"/>
      <c r="Y57" s="9673"/>
      <c r="Z57" s="9673"/>
      <c r="AA57" s="9673"/>
      <c r="AB57" s="9673"/>
      <c r="AC57" s="9673"/>
      <c r="AD57" s="9673"/>
      <c r="AE57" s="9673"/>
      <c r="AF57" s="9673"/>
      <c r="AG57" s="9673"/>
      <c r="AH57" s="9673"/>
      <c r="AI57" s="9673"/>
      <c r="AJ57" s="9673"/>
      <c r="AK57" s="9673"/>
      <c r="AL57" s="9673"/>
      <c r="AM57" s="9674"/>
      <c r="AN57" s="9618" t="s">
        <v>1014</v>
      </c>
      <c r="AO57" s="9619"/>
      <c r="AP57" s="605"/>
      <c r="AQ57" s="605"/>
      <c r="AR57" s="605"/>
      <c r="AS57" s="604"/>
      <c r="AT57" s="604"/>
      <c r="AU57" s="605"/>
      <c r="BY57" s="290"/>
      <c r="BZ57" s="290"/>
    </row>
    <row r="58" spans="1:131" ht="16.350000000000001" customHeight="1" x14ac:dyDescent="0.25">
      <c r="B58" s="8560"/>
      <c r="C58" s="9663"/>
      <c r="D58" s="9664"/>
      <c r="E58" s="9665"/>
      <c r="F58" s="8623" t="s">
        <v>399</v>
      </c>
      <c r="G58" s="9622"/>
      <c r="H58" s="8623" t="s">
        <v>54</v>
      </c>
      <c r="I58" s="9622"/>
      <c r="J58" s="8623" t="s">
        <v>79</v>
      </c>
      <c r="K58" s="9622"/>
      <c r="L58" s="8623" t="s">
        <v>80</v>
      </c>
      <c r="M58" s="9622"/>
      <c r="N58" s="8623" t="s">
        <v>81</v>
      </c>
      <c r="O58" s="9622"/>
      <c r="P58" s="8998" t="s">
        <v>82</v>
      </c>
      <c r="Q58" s="9623"/>
      <c r="R58" s="8998" t="s">
        <v>83</v>
      </c>
      <c r="S58" s="9623"/>
      <c r="T58" s="8998" t="s">
        <v>400</v>
      </c>
      <c r="U58" s="9623"/>
      <c r="V58" s="8998" t="s">
        <v>124</v>
      </c>
      <c r="W58" s="9623"/>
      <c r="X58" s="8998" t="s">
        <v>125</v>
      </c>
      <c r="Y58" s="9623"/>
      <c r="Z58" s="8998" t="s">
        <v>126</v>
      </c>
      <c r="AA58" s="9623"/>
      <c r="AB58" s="8998" t="s">
        <v>127</v>
      </c>
      <c r="AC58" s="9623"/>
      <c r="AD58" s="8998" t="s">
        <v>128</v>
      </c>
      <c r="AE58" s="9623"/>
      <c r="AF58" s="8998" t="s">
        <v>129</v>
      </c>
      <c r="AG58" s="9623"/>
      <c r="AH58" s="8998" t="s">
        <v>130</v>
      </c>
      <c r="AI58" s="9623"/>
      <c r="AJ58" s="8998" t="s">
        <v>131</v>
      </c>
      <c r="AK58" s="9623"/>
      <c r="AL58" s="8998" t="s">
        <v>1405</v>
      </c>
      <c r="AM58" s="9656"/>
      <c r="AN58" s="9620"/>
      <c r="AO58" s="9621"/>
      <c r="AP58" s="604"/>
      <c r="AQ58" s="604"/>
      <c r="AR58" s="604"/>
      <c r="AS58" s="604"/>
      <c r="AT58" s="604"/>
      <c r="AU58" s="604"/>
      <c r="AV58" s="290"/>
      <c r="AW58" s="290"/>
      <c r="AX58" s="290"/>
      <c r="AY58" s="290"/>
      <c r="AZ58" s="290"/>
      <c r="BA58" s="290"/>
      <c r="BB58" s="290"/>
      <c r="BC58" s="290"/>
      <c r="BD58" s="290"/>
      <c r="BY58" s="290"/>
      <c r="BZ58" s="290"/>
    </row>
    <row r="59" spans="1:131" ht="32.1" customHeight="1" x14ac:dyDescent="0.25">
      <c r="B59" s="8598"/>
      <c r="C59" s="2120" t="s">
        <v>42</v>
      </c>
      <c r="D59" s="2138" t="s">
        <v>17</v>
      </c>
      <c r="E59" s="2076" t="s">
        <v>18</v>
      </c>
      <c r="F59" s="2092" t="s">
        <v>17</v>
      </c>
      <c r="G59" s="2076" t="s">
        <v>18</v>
      </c>
      <c r="H59" s="2092" t="s">
        <v>17</v>
      </c>
      <c r="I59" s="2076" t="s">
        <v>18</v>
      </c>
      <c r="J59" s="2092" t="s">
        <v>17</v>
      </c>
      <c r="K59" s="2076" t="s">
        <v>18</v>
      </c>
      <c r="L59" s="2092" t="s">
        <v>17</v>
      </c>
      <c r="M59" s="2076" t="s">
        <v>18</v>
      </c>
      <c r="N59" s="2092" t="s">
        <v>17</v>
      </c>
      <c r="O59" s="2076" t="s">
        <v>18</v>
      </c>
      <c r="P59" s="2092" t="s">
        <v>17</v>
      </c>
      <c r="Q59" s="2076" t="s">
        <v>18</v>
      </c>
      <c r="R59" s="2092" t="s">
        <v>17</v>
      </c>
      <c r="S59" s="2076" t="s">
        <v>18</v>
      </c>
      <c r="T59" s="2092" t="s">
        <v>17</v>
      </c>
      <c r="U59" s="2076" t="s">
        <v>18</v>
      </c>
      <c r="V59" s="2092" t="s">
        <v>17</v>
      </c>
      <c r="W59" s="2075" t="s">
        <v>18</v>
      </c>
      <c r="X59" s="2092" t="s">
        <v>17</v>
      </c>
      <c r="Y59" s="2076" t="s">
        <v>18</v>
      </c>
      <c r="Z59" s="2092" t="s">
        <v>17</v>
      </c>
      <c r="AA59" s="2076" t="s">
        <v>18</v>
      </c>
      <c r="AB59" s="2092" t="s">
        <v>17</v>
      </c>
      <c r="AC59" s="2076" t="s">
        <v>18</v>
      </c>
      <c r="AD59" s="2092" t="s">
        <v>17</v>
      </c>
      <c r="AE59" s="2076" t="s">
        <v>18</v>
      </c>
      <c r="AF59" s="2092" t="s">
        <v>17</v>
      </c>
      <c r="AG59" s="2076" t="s">
        <v>18</v>
      </c>
      <c r="AH59" s="2092" t="s">
        <v>17</v>
      </c>
      <c r="AI59" s="2076" t="s">
        <v>18</v>
      </c>
      <c r="AJ59" s="2092" t="s">
        <v>17</v>
      </c>
      <c r="AK59" s="2076" t="s">
        <v>18</v>
      </c>
      <c r="AL59" s="2092" t="s">
        <v>17</v>
      </c>
      <c r="AM59" s="2076" t="s">
        <v>18</v>
      </c>
      <c r="AN59" s="2084" t="s">
        <v>1013</v>
      </c>
      <c r="AO59" s="2076" t="s">
        <v>1012</v>
      </c>
      <c r="AP59" s="604"/>
      <c r="AQ59" s="604"/>
      <c r="AR59" s="604"/>
      <c r="AS59" s="604"/>
      <c r="AT59" s="604"/>
      <c r="AU59" s="604"/>
      <c r="AV59" s="290"/>
      <c r="AW59" s="290"/>
      <c r="AX59" s="290"/>
      <c r="AY59" s="290"/>
      <c r="AZ59" s="290"/>
      <c r="BA59" s="290"/>
      <c r="BB59" s="290"/>
      <c r="BC59" s="290"/>
      <c r="BD59" s="290"/>
      <c r="BY59" s="290"/>
      <c r="BZ59" s="290"/>
    </row>
    <row r="60" spans="1:131" ht="16.350000000000001" customHeight="1" x14ac:dyDescent="0.25">
      <c r="A60" s="7300" t="s">
        <v>4919</v>
      </c>
      <c r="B60" s="686" t="s">
        <v>1011</v>
      </c>
      <c r="C60" s="603" t="s">
        <v>5369</v>
      </c>
      <c r="D60" s="613" t="s">
        <v>5370</v>
      </c>
      <c r="E60" s="553" t="s">
        <v>5371</v>
      </c>
      <c r="F60" s="547" t="s">
        <v>5372</v>
      </c>
      <c r="G60" s="545" t="s">
        <v>5373</v>
      </c>
      <c r="H60" s="547" t="s">
        <v>5374</v>
      </c>
      <c r="I60" s="561" t="s">
        <v>5375</v>
      </c>
      <c r="J60" s="547" t="s">
        <v>5376</v>
      </c>
      <c r="K60" s="561" t="s">
        <v>5377</v>
      </c>
      <c r="L60" s="547" t="s">
        <v>5378</v>
      </c>
      <c r="M60" s="561" t="s">
        <v>5379</v>
      </c>
      <c r="N60" s="547" t="s">
        <v>5380</v>
      </c>
      <c r="O60" s="561" t="s">
        <v>5381</v>
      </c>
      <c r="P60" s="547" t="s">
        <v>5382</v>
      </c>
      <c r="Q60" s="561" t="s">
        <v>5383</v>
      </c>
      <c r="R60" s="547" t="s">
        <v>5384</v>
      </c>
      <c r="S60" s="561" t="s">
        <v>5385</v>
      </c>
      <c r="T60" s="547" t="s">
        <v>5386</v>
      </c>
      <c r="U60" s="561" t="s">
        <v>5387</v>
      </c>
      <c r="V60" s="547" t="s">
        <v>5388</v>
      </c>
      <c r="W60" s="592" t="s">
        <v>5389</v>
      </c>
      <c r="X60" s="547" t="s">
        <v>5390</v>
      </c>
      <c r="Y60" s="561" t="s">
        <v>5391</v>
      </c>
      <c r="Z60" s="547" t="s">
        <v>5392</v>
      </c>
      <c r="AA60" s="561" t="s">
        <v>5393</v>
      </c>
      <c r="AB60" s="547" t="s">
        <v>5394</v>
      </c>
      <c r="AC60" s="561" t="s">
        <v>5395</v>
      </c>
      <c r="AD60" s="547" t="s">
        <v>5396</v>
      </c>
      <c r="AE60" s="561" t="s">
        <v>5397</v>
      </c>
      <c r="AF60" s="547" t="s">
        <v>5398</v>
      </c>
      <c r="AG60" s="561" t="s">
        <v>5399</v>
      </c>
      <c r="AH60" s="547" t="s">
        <v>5400</v>
      </c>
      <c r="AI60" s="561" t="s">
        <v>5401</v>
      </c>
      <c r="AJ60" s="547" t="s">
        <v>5402</v>
      </c>
      <c r="AK60" s="561" t="s">
        <v>5403</v>
      </c>
      <c r="AL60" s="587" t="s">
        <v>5404</v>
      </c>
      <c r="AM60" s="561" t="s">
        <v>5405</v>
      </c>
      <c r="AN60" s="587" t="s">
        <v>5406</v>
      </c>
      <c r="AO60" s="561" t="s">
        <v>5407</v>
      </c>
      <c r="AP60" s="1433" t="e">
        <f>CB60</f>
        <v>#VALUE!</v>
      </c>
      <c r="AQ60" s="806"/>
      <c r="AR60" s="806"/>
      <c r="AS60" s="806"/>
      <c r="AT60" s="806"/>
      <c r="AU60" s="806"/>
      <c r="AV60" s="806"/>
      <c r="AW60" s="806"/>
      <c r="AX60" s="806"/>
      <c r="AY60" s="806"/>
      <c r="AZ60" s="806"/>
      <c r="BA60" s="806"/>
      <c r="BB60" s="290"/>
      <c r="BC60" s="290"/>
      <c r="BD60" s="290"/>
      <c r="BY60" s="290"/>
      <c r="BZ60" s="290"/>
      <c r="CB60" s="1429" t="e">
        <f>IF(DB60=1,"* La suma de las Herramientas de Categorización debe ser igual al total. ","")</f>
        <v>#VALUE!</v>
      </c>
      <c r="DB60" s="3219" t="e">
        <f>IF(C60&lt;&gt;(AN60+AO60),1,0)</f>
        <v>#VALUE!</v>
      </c>
    </row>
    <row r="61" spans="1:131" ht="16.350000000000001" customHeight="1" x14ac:dyDescent="0.25">
      <c r="A61" s="7300" t="s">
        <v>4920</v>
      </c>
      <c r="B61" s="685" t="s">
        <v>1010</v>
      </c>
      <c r="C61" s="251" t="s">
        <v>5369</v>
      </c>
      <c r="D61" s="619" t="s">
        <v>5370</v>
      </c>
      <c r="E61" s="158" t="s">
        <v>5371</v>
      </c>
      <c r="F61" s="110" t="s">
        <v>5372</v>
      </c>
      <c r="G61" s="144" t="s">
        <v>5373</v>
      </c>
      <c r="H61" s="110" t="s">
        <v>5374</v>
      </c>
      <c r="I61" s="122" t="s">
        <v>5375</v>
      </c>
      <c r="J61" s="110" t="s">
        <v>5376</v>
      </c>
      <c r="K61" s="122" t="s">
        <v>5377</v>
      </c>
      <c r="L61" s="110" t="s">
        <v>5378</v>
      </c>
      <c r="M61" s="122" t="s">
        <v>5379</v>
      </c>
      <c r="N61" s="110" t="s">
        <v>5380</v>
      </c>
      <c r="O61" s="122" t="s">
        <v>5381</v>
      </c>
      <c r="P61" s="110" t="s">
        <v>5382</v>
      </c>
      <c r="Q61" s="122" t="s">
        <v>5383</v>
      </c>
      <c r="R61" s="110" t="s">
        <v>5384</v>
      </c>
      <c r="S61" s="122" t="s">
        <v>5385</v>
      </c>
      <c r="T61" s="110" t="s">
        <v>5386</v>
      </c>
      <c r="U61" s="122" t="s">
        <v>5387</v>
      </c>
      <c r="V61" s="110" t="s">
        <v>5388</v>
      </c>
      <c r="W61" s="168" t="s">
        <v>5389</v>
      </c>
      <c r="X61" s="110" t="s">
        <v>5390</v>
      </c>
      <c r="Y61" s="122" t="s">
        <v>5391</v>
      </c>
      <c r="Z61" s="110" t="s">
        <v>5392</v>
      </c>
      <c r="AA61" s="122" t="s">
        <v>5393</v>
      </c>
      <c r="AB61" s="110" t="s">
        <v>5394</v>
      </c>
      <c r="AC61" s="122" t="s">
        <v>5395</v>
      </c>
      <c r="AD61" s="110" t="s">
        <v>5396</v>
      </c>
      <c r="AE61" s="122" t="s">
        <v>5397</v>
      </c>
      <c r="AF61" s="110" t="s">
        <v>5398</v>
      </c>
      <c r="AG61" s="122" t="s">
        <v>5399</v>
      </c>
      <c r="AH61" s="110" t="s">
        <v>5400</v>
      </c>
      <c r="AI61" s="122" t="s">
        <v>5401</v>
      </c>
      <c r="AJ61" s="110" t="s">
        <v>5402</v>
      </c>
      <c r="AK61" s="122" t="s">
        <v>5403</v>
      </c>
      <c r="AL61" s="157" t="s">
        <v>5404</v>
      </c>
      <c r="AM61" s="122" t="s">
        <v>5405</v>
      </c>
      <c r="AN61" s="157" t="s">
        <v>5406</v>
      </c>
      <c r="AO61" s="122" t="s">
        <v>5407</v>
      </c>
      <c r="AP61" s="1433" t="e">
        <f>CB61</f>
        <v>#VALUE!</v>
      </c>
      <c r="AQ61" s="806"/>
      <c r="AR61" s="806"/>
      <c r="AS61" s="806"/>
      <c r="AT61" s="806"/>
      <c r="AU61" s="806"/>
      <c r="AV61" s="806"/>
      <c r="AW61" s="806"/>
      <c r="AX61" s="806"/>
      <c r="AY61" s="806"/>
      <c r="AZ61" s="806"/>
      <c r="BA61" s="806"/>
      <c r="BB61" s="290"/>
      <c r="BC61" s="290"/>
      <c r="BD61" s="290"/>
      <c r="BY61" s="290"/>
      <c r="BZ61" s="290"/>
      <c r="CB61" s="1429" t="e">
        <f>IF(DB61=1,"* La suma de las Herramientas de Categorización debe ser igual al total. ","")</f>
        <v>#VALUE!</v>
      </c>
      <c r="DB61" s="3219" t="e">
        <f>IF(C61&lt;&gt;(AN61+AO61),1,0)</f>
        <v>#VALUE!</v>
      </c>
    </row>
    <row r="62" spans="1:131" ht="16.350000000000001" customHeight="1" x14ac:dyDescent="0.25">
      <c r="A62" s="7300" t="s">
        <v>4921</v>
      </c>
      <c r="B62" s="685" t="s">
        <v>1009</v>
      </c>
      <c r="C62" s="251" t="s">
        <v>5369</v>
      </c>
      <c r="D62" s="619" t="s">
        <v>5370</v>
      </c>
      <c r="E62" s="158" t="s">
        <v>5371</v>
      </c>
      <c r="F62" s="110" t="s">
        <v>5372</v>
      </c>
      <c r="G62" s="144" t="s">
        <v>5373</v>
      </c>
      <c r="H62" s="110" t="s">
        <v>5374</v>
      </c>
      <c r="I62" s="122" t="s">
        <v>5375</v>
      </c>
      <c r="J62" s="110" t="s">
        <v>5376</v>
      </c>
      <c r="K62" s="122" t="s">
        <v>5377</v>
      </c>
      <c r="L62" s="110" t="s">
        <v>5378</v>
      </c>
      <c r="M62" s="122" t="s">
        <v>5379</v>
      </c>
      <c r="N62" s="110" t="s">
        <v>5380</v>
      </c>
      <c r="O62" s="122" t="s">
        <v>5381</v>
      </c>
      <c r="P62" s="110" t="s">
        <v>5382</v>
      </c>
      <c r="Q62" s="122" t="s">
        <v>5383</v>
      </c>
      <c r="R62" s="110" t="s">
        <v>5384</v>
      </c>
      <c r="S62" s="122" t="s">
        <v>5385</v>
      </c>
      <c r="T62" s="110" t="s">
        <v>5386</v>
      </c>
      <c r="U62" s="122" t="s">
        <v>5387</v>
      </c>
      <c r="V62" s="110" t="s">
        <v>5388</v>
      </c>
      <c r="W62" s="168" t="s">
        <v>5389</v>
      </c>
      <c r="X62" s="110" t="s">
        <v>5390</v>
      </c>
      <c r="Y62" s="122" t="s">
        <v>5391</v>
      </c>
      <c r="Z62" s="110" t="s">
        <v>5392</v>
      </c>
      <c r="AA62" s="122" t="s">
        <v>5393</v>
      </c>
      <c r="AB62" s="110" t="s">
        <v>5394</v>
      </c>
      <c r="AC62" s="122" t="s">
        <v>5395</v>
      </c>
      <c r="AD62" s="110" t="s">
        <v>5396</v>
      </c>
      <c r="AE62" s="122" t="s">
        <v>5397</v>
      </c>
      <c r="AF62" s="110" t="s">
        <v>5398</v>
      </c>
      <c r="AG62" s="122" t="s">
        <v>5399</v>
      </c>
      <c r="AH62" s="110" t="s">
        <v>5400</v>
      </c>
      <c r="AI62" s="122" t="s">
        <v>5401</v>
      </c>
      <c r="AJ62" s="110" t="s">
        <v>5402</v>
      </c>
      <c r="AK62" s="122" t="s">
        <v>5403</v>
      </c>
      <c r="AL62" s="157" t="s">
        <v>5404</v>
      </c>
      <c r="AM62" s="122" t="s">
        <v>5405</v>
      </c>
      <c r="AN62" s="157" t="s">
        <v>5406</v>
      </c>
      <c r="AO62" s="122" t="s">
        <v>5407</v>
      </c>
      <c r="AP62" s="1433" t="e">
        <f>CB62</f>
        <v>#VALUE!</v>
      </c>
      <c r="AQ62" s="806"/>
      <c r="AR62" s="806"/>
      <c r="AS62" s="806"/>
      <c r="AT62" s="806"/>
      <c r="AU62" s="806"/>
      <c r="AV62" s="806"/>
      <c r="AW62" s="806"/>
      <c r="AX62" s="806"/>
      <c r="AY62" s="806"/>
      <c r="AZ62" s="806"/>
      <c r="BA62" s="806"/>
      <c r="BB62" s="290"/>
      <c r="BC62" s="290"/>
      <c r="BD62" s="290"/>
      <c r="BY62" s="290"/>
      <c r="BZ62" s="290"/>
      <c r="CB62" s="1429" t="e">
        <f>IF(DB62=1,"* La suma de las Herramientas de Categorización debe ser igual al total. ","")</f>
        <v>#VALUE!</v>
      </c>
      <c r="DB62" s="3219" t="e">
        <f>IF(C62&lt;&gt;(AN62+AO62),1,0)</f>
        <v>#VALUE!</v>
      </c>
    </row>
    <row r="63" spans="1:131" ht="16.350000000000001" customHeight="1" x14ac:dyDescent="0.25">
      <c r="A63" s="7300" t="s">
        <v>4922</v>
      </c>
      <c r="B63" s="685" t="s">
        <v>1008</v>
      </c>
      <c r="C63" s="251" t="s">
        <v>5369</v>
      </c>
      <c r="D63" s="619" t="s">
        <v>5370</v>
      </c>
      <c r="E63" s="158" t="s">
        <v>5371</v>
      </c>
      <c r="F63" s="110" t="s">
        <v>5372</v>
      </c>
      <c r="G63" s="144" t="s">
        <v>5373</v>
      </c>
      <c r="H63" s="110" t="s">
        <v>5374</v>
      </c>
      <c r="I63" s="122" t="s">
        <v>5375</v>
      </c>
      <c r="J63" s="110" t="s">
        <v>5376</v>
      </c>
      <c r="K63" s="122" t="s">
        <v>5377</v>
      </c>
      <c r="L63" s="110" t="s">
        <v>5378</v>
      </c>
      <c r="M63" s="122" t="s">
        <v>5379</v>
      </c>
      <c r="N63" s="110" t="s">
        <v>5380</v>
      </c>
      <c r="O63" s="122" t="s">
        <v>5381</v>
      </c>
      <c r="P63" s="110" t="s">
        <v>5382</v>
      </c>
      <c r="Q63" s="122" t="s">
        <v>5383</v>
      </c>
      <c r="R63" s="110" t="s">
        <v>5384</v>
      </c>
      <c r="S63" s="122" t="s">
        <v>5385</v>
      </c>
      <c r="T63" s="110" t="s">
        <v>5386</v>
      </c>
      <c r="U63" s="122" t="s">
        <v>5387</v>
      </c>
      <c r="V63" s="110" t="s">
        <v>5388</v>
      </c>
      <c r="W63" s="168" t="s">
        <v>5389</v>
      </c>
      <c r="X63" s="110" t="s">
        <v>5390</v>
      </c>
      <c r="Y63" s="122" t="s">
        <v>5391</v>
      </c>
      <c r="Z63" s="110" t="s">
        <v>5392</v>
      </c>
      <c r="AA63" s="122" t="s">
        <v>5393</v>
      </c>
      <c r="AB63" s="110" t="s">
        <v>5394</v>
      </c>
      <c r="AC63" s="122" t="s">
        <v>5395</v>
      </c>
      <c r="AD63" s="110" t="s">
        <v>5396</v>
      </c>
      <c r="AE63" s="122" t="s">
        <v>5397</v>
      </c>
      <c r="AF63" s="110" t="s">
        <v>5398</v>
      </c>
      <c r="AG63" s="122" t="s">
        <v>5399</v>
      </c>
      <c r="AH63" s="110" t="s">
        <v>5400</v>
      </c>
      <c r="AI63" s="122" t="s">
        <v>5401</v>
      </c>
      <c r="AJ63" s="110" t="s">
        <v>5402</v>
      </c>
      <c r="AK63" s="122" t="s">
        <v>5403</v>
      </c>
      <c r="AL63" s="157" t="s">
        <v>5404</v>
      </c>
      <c r="AM63" s="122" t="s">
        <v>5405</v>
      </c>
      <c r="AN63" s="157" t="s">
        <v>5406</v>
      </c>
      <c r="AO63" s="122" t="s">
        <v>5407</v>
      </c>
      <c r="AP63" s="1433" t="e">
        <f>CB63</f>
        <v>#VALUE!</v>
      </c>
      <c r="AQ63" s="806"/>
      <c r="AR63" s="806"/>
      <c r="AS63" s="806"/>
      <c r="AT63" s="806"/>
      <c r="AU63" s="806"/>
      <c r="AV63" s="806"/>
      <c r="AW63" s="806"/>
      <c r="AX63" s="806"/>
      <c r="AY63" s="806"/>
      <c r="AZ63" s="806"/>
      <c r="BA63" s="806"/>
      <c r="BB63" s="290"/>
      <c r="BC63" s="290"/>
      <c r="BD63" s="290"/>
      <c r="BY63" s="290"/>
      <c r="BZ63" s="290"/>
      <c r="CB63" s="1429" t="e">
        <f>IF(DB63=1,"* La suma de las Herramientas de Categorización debe ser igual al total. ","")</f>
        <v>#VALUE!</v>
      </c>
      <c r="DB63" s="3219" t="e">
        <f>IF(C63&lt;&gt;(AN63+AO63),1,0)</f>
        <v>#VALUE!</v>
      </c>
    </row>
    <row r="64" spans="1:131" ht="16.350000000000001" customHeight="1" x14ac:dyDescent="0.25">
      <c r="A64" s="7300" t="s">
        <v>4923</v>
      </c>
      <c r="B64" s="684" t="s">
        <v>1007</v>
      </c>
      <c r="C64" s="643" t="s">
        <v>5369</v>
      </c>
      <c r="D64" s="683" t="s">
        <v>5370</v>
      </c>
      <c r="E64" s="160" t="s">
        <v>5371</v>
      </c>
      <c r="F64" s="137" t="s">
        <v>5372</v>
      </c>
      <c r="G64" s="164" t="s">
        <v>5373</v>
      </c>
      <c r="H64" s="137" t="s">
        <v>5374</v>
      </c>
      <c r="I64" s="138" t="s">
        <v>5375</v>
      </c>
      <c r="J64" s="137" t="s">
        <v>5376</v>
      </c>
      <c r="K64" s="138" t="s">
        <v>5377</v>
      </c>
      <c r="L64" s="137" t="s">
        <v>5378</v>
      </c>
      <c r="M64" s="138" t="s">
        <v>5379</v>
      </c>
      <c r="N64" s="137" t="s">
        <v>5380</v>
      </c>
      <c r="O64" s="138" t="s">
        <v>5381</v>
      </c>
      <c r="P64" s="137" t="s">
        <v>5382</v>
      </c>
      <c r="Q64" s="138" t="s">
        <v>5383</v>
      </c>
      <c r="R64" s="137" t="s">
        <v>5384</v>
      </c>
      <c r="S64" s="138" t="s">
        <v>5385</v>
      </c>
      <c r="T64" s="137" t="s">
        <v>5386</v>
      </c>
      <c r="U64" s="138" t="s">
        <v>5387</v>
      </c>
      <c r="V64" s="137" t="s">
        <v>5388</v>
      </c>
      <c r="W64" s="116" t="s">
        <v>5389</v>
      </c>
      <c r="X64" s="137" t="s">
        <v>5390</v>
      </c>
      <c r="Y64" s="138" t="s">
        <v>5391</v>
      </c>
      <c r="Z64" s="137" t="s">
        <v>5392</v>
      </c>
      <c r="AA64" s="138" t="s">
        <v>5393</v>
      </c>
      <c r="AB64" s="137" t="s">
        <v>5394</v>
      </c>
      <c r="AC64" s="138" t="s">
        <v>5395</v>
      </c>
      <c r="AD64" s="137" t="s">
        <v>5396</v>
      </c>
      <c r="AE64" s="138" t="s">
        <v>5397</v>
      </c>
      <c r="AF64" s="137" t="s">
        <v>5398</v>
      </c>
      <c r="AG64" s="138" t="s">
        <v>5399</v>
      </c>
      <c r="AH64" s="137" t="s">
        <v>5400</v>
      </c>
      <c r="AI64" s="138" t="s">
        <v>5401</v>
      </c>
      <c r="AJ64" s="137" t="s">
        <v>5402</v>
      </c>
      <c r="AK64" s="138" t="s">
        <v>5403</v>
      </c>
      <c r="AL64" s="161" t="s">
        <v>5404</v>
      </c>
      <c r="AM64" s="138" t="s">
        <v>5405</v>
      </c>
      <c r="AN64" s="161" t="s">
        <v>5406</v>
      </c>
      <c r="AO64" s="138" t="s">
        <v>5407</v>
      </c>
      <c r="AP64" s="1433" t="e">
        <f>CB64</f>
        <v>#VALUE!</v>
      </c>
      <c r="AQ64" s="806"/>
      <c r="AR64" s="806"/>
      <c r="AS64" s="806"/>
      <c r="AT64" s="806"/>
      <c r="AU64" s="806"/>
      <c r="AV64" s="806"/>
      <c r="AW64" s="806"/>
      <c r="AX64" s="806"/>
      <c r="AY64" s="806"/>
      <c r="AZ64" s="806"/>
      <c r="BA64" s="806"/>
      <c r="BB64" s="290"/>
      <c r="BC64" s="290"/>
      <c r="BD64" s="290"/>
      <c r="BY64" s="290"/>
      <c r="BZ64" s="290"/>
      <c r="CB64" s="1429" t="e">
        <f>IF(DB64=1,"* La suma de las Herramientas de Categorización debe ser igual al total. ","")</f>
        <v>#VALUE!</v>
      </c>
      <c r="DB64" s="3219" t="e">
        <f>IF(C64&lt;&gt;(AN64+AO64),1,0)</f>
        <v>#VALUE!</v>
      </c>
    </row>
    <row r="65" spans="1:106" ht="16.350000000000001" customHeight="1" x14ac:dyDescent="0.25">
      <c r="A65" s="7300" t="s">
        <v>4924</v>
      </c>
      <c r="B65" s="682" t="s">
        <v>1006</v>
      </c>
      <c r="C65" s="551" t="s">
        <v>5369</v>
      </c>
      <c r="D65" s="550" t="s">
        <v>5370</v>
      </c>
      <c r="E65" s="152" t="s">
        <v>5371</v>
      </c>
      <c r="F65" s="125" t="s">
        <v>5372</v>
      </c>
      <c r="G65" s="127" t="s">
        <v>5373</v>
      </c>
      <c r="H65" s="125" t="s">
        <v>5374</v>
      </c>
      <c r="I65" s="101" t="s">
        <v>5375</v>
      </c>
      <c r="J65" s="125" t="s">
        <v>5376</v>
      </c>
      <c r="K65" s="101" t="s">
        <v>5377</v>
      </c>
      <c r="L65" s="125" t="s">
        <v>5378</v>
      </c>
      <c r="M65" s="101" t="s">
        <v>5379</v>
      </c>
      <c r="N65" s="125" t="s">
        <v>5380</v>
      </c>
      <c r="O65" s="101" t="s">
        <v>5381</v>
      </c>
      <c r="P65" s="125" t="s">
        <v>5382</v>
      </c>
      <c r="Q65" s="101" t="s">
        <v>5383</v>
      </c>
      <c r="R65" s="125" t="s">
        <v>5384</v>
      </c>
      <c r="S65" s="101" t="s">
        <v>5385</v>
      </c>
      <c r="T65" s="125" t="s">
        <v>5386</v>
      </c>
      <c r="U65" s="101" t="s">
        <v>5387</v>
      </c>
      <c r="V65" s="125" t="s">
        <v>5388</v>
      </c>
      <c r="W65" s="175" t="s">
        <v>5389</v>
      </c>
      <c r="X65" s="125" t="s">
        <v>5390</v>
      </c>
      <c r="Y65" s="101" t="s">
        <v>5391</v>
      </c>
      <c r="Z65" s="125" t="s">
        <v>5392</v>
      </c>
      <c r="AA65" s="101" t="s">
        <v>5393</v>
      </c>
      <c r="AB65" s="125" t="s">
        <v>5394</v>
      </c>
      <c r="AC65" s="101" t="s">
        <v>5395</v>
      </c>
      <c r="AD65" s="125" t="s">
        <v>5396</v>
      </c>
      <c r="AE65" s="101" t="s">
        <v>5397</v>
      </c>
      <c r="AF65" s="125" t="s">
        <v>5398</v>
      </c>
      <c r="AG65" s="101" t="s">
        <v>5399</v>
      </c>
      <c r="AH65" s="125" t="s">
        <v>5400</v>
      </c>
      <c r="AI65" s="101" t="s">
        <v>5401</v>
      </c>
      <c r="AJ65" s="125" t="s">
        <v>5402</v>
      </c>
      <c r="AK65" s="101" t="s">
        <v>5403</v>
      </c>
      <c r="AL65" s="159" t="s">
        <v>5404</v>
      </c>
      <c r="AM65" s="101" t="s">
        <v>5405</v>
      </c>
      <c r="AN65" s="84" t="s">
        <v>5406</v>
      </c>
      <c r="AO65" s="84" t="s">
        <v>5407</v>
      </c>
      <c r="AP65" s="1433"/>
      <c r="AQ65" s="806"/>
      <c r="AR65" s="806"/>
      <c r="AS65" s="806"/>
      <c r="AT65" s="806"/>
      <c r="AU65" s="806"/>
      <c r="AV65" s="806"/>
      <c r="AW65" s="806"/>
      <c r="AX65" s="806"/>
      <c r="AY65" s="806"/>
      <c r="AZ65" s="806"/>
      <c r="BA65" s="806"/>
      <c r="BB65" s="290"/>
      <c r="BC65" s="290"/>
      <c r="BD65" s="290"/>
      <c r="BY65" s="290"/>
      <c r="BZ65" s="290"/>
      <c r="DB65" s="3219">
        <v>0</v>
      </c>
    </row>
    <row r="66" spans="1:106" ht="16.350000000000001" customHeight="1" x14ac:dyDescent="0.25">
      <c r="A66" s="7308"/>
      <c r="B66" s="2074" t="s">
        <v>24</v>
      </c>
      <c r="C66" s="673">
        <f t="shared" ref="C66:AM66" si="0">SUM(C60:C65)</f>
        <v>0</v>
      </c>
      <c r="D66" s="681">
        <f t="shared" si="0"/>
        <v>0</v>
      </c>
      <c r="E66" s="465">
        <f t="shared" si="0"/>
        <v>0</v>
      </c>
      <c r="F66" s="568">
        <f t="shared" si="0"/>
        <v>0</v>
      </c>
      <c r="G66" s="1339">
        <f t="shared" si="0"/>
        <v>0</v>
      </c>
      <c r="H66" s="568">
        <f t="shared" si="0"/>
        <v>0</v>
      </c>
      <c r="I66" s="679">
        <f t="shared" si="0"/>
        <v>0</v>
      </c>
      <c r="J66" s="568">
        <f t="shared" si="0"/>
        <v>0</v>
      </c>
      <c r="K66" s="679">
        <f t="shared" si="0"/>
        <v>0</v>
      </c>
      <c r="L66" s="568">
        <f t="shared" si="0"/>
        <v>0</v>
      </c>
      <c r="M66" s="679">
        <f t="shared" si="0"/>
        <v>0</v>
      </c>
      <c r="N66" s="568">
        <f t="shared" si="0"/>
        <v>0</v>
      </c>
      <c r="O66" s="679">
        <f t="shared" si="0"/>
        <v>0</v>
      </c>
      <c r="P66" s="568">
        <f t="shared" si="0"/>
        <v>0</v>
      </c>
      <c r="Q66" s="679">
        <f t="shared" si="0"/>
        <v>0</v>
      </c>
      <c r="R66" s="568">
        <f t="shared" si="0"/>
        <v>0</v>
      </c>
      <c r="S66" s="679">
        <f t="shared" si="0"/>
        <v>0</v>
      </c>
      <c r="T66" s="568">
        <f t="shared" si="0"/>
        <v>0</v>
      </c>
      <c r="U66" s="679">
        <f t="shared" si="0"/>
        <v>0</v>
      </c>
      <c r="V66" s="490">
        <f t="shared" si="0"/>
        <v>0</v>
      </c>
      <c r="W66" s="680">
        <f t="shared" si="0"/>
        <v>0</v>
      </c>
      <c r="X66" s="568">
        <f t="shared" si="0"/>
        <v>0</v>
      </c>
      <c r="Y66" s="679">
        <f t="shared" si="0"/>
        <v>0</v>
      </c>
      <c r="Z66" s="568">
        <f t="shared" si="0"/>
        <v>0</v>
      </c>
      <c r="AA66" s="679">
        <f t="shared" si="0"/>
        <v>0</v>
      </c>
      <c r="AB66" s="568">
        <f t="shared" si="0"/>
        <v>0</v>
      </c>
      <c r="AC66" s="679">
        <f t="shared" si="0"/>
        <v>0</v>
      </c>
      <c r="AD66" s="568">
        <f t="shared" si="0"/>
        <v>0</v>
      </c>
      <c r="AE66" s="679">
        <f t="shared" si="0"/>
        <v>0</v>
      </c>
      <c r="AF66" s="568">
        <f t="shared" si="0"/>
        <v>0</v>
      </c>
      <c r="AG66" s="679">
        <f t="shared" si="0"/>
        <v>0</v>
      </c>
      <c r="AH66" s="568">
        <f t="shared" si="0"/>
        <v>0</v>
      </c>
      <c r="AI66" s="679">
        <f t="shared" si="0"/>
        <v>0</v>
      </c>
      <c r="AJ66" s="568">
        <f t="shared" si="0"/>
        <v>0</v>
      </c>
      <c r="AK66" s="679">
        <f t="shared" si="0"/>
        <v>0</v>
      </c>
      <c r="AL66" s="479">
        <f t="shared" si="0"/>
        <v>0</v>
      </c>
      <c r="AM66" s="679">
        <f t="shared" si="0"/>
        <v>0</v>
      </c>
      <c r="AN66" s="479">
        <f>SUM(AN60:AN64)</f>
        <v>0</v>
      </c>
      <c r="AO66" s="679">
        <f>SUM(AO60:AO64)</f>
        <v>0</v>
      </c>
      <c r="AP66" s="604"/>
      <c r="AQ66" s="604"/>
      <c r="AR66" s="604"/>
      <c r="AS66" s="604"/>
      <c r="AT66" s="604"/>
      <c r="AU66" s="604"/>
      <c r="AV66" s="604"/>
      <c r="AW66" s="604"/>
      <c r="AX66" s="604"/>
      <c r="AY66" s="604"/>
      <c r="AZ66" s="604"/>
      <c r="BA66" s="604"/>
      <c r="BB66" s="604"/>
      <c r="BC66" s="604"/>
      <c r="BD66" s="604"/>
      <c r="BE66" s="605"/>
      <c r="BF66" s="605"/>
      <c r="BY66" s="290"/>
      <c r="BZ66" s="290"/>
    </row>
    <row r="67" spans="1:106" ht="32.1" customHeight="1" x14ac:dyDescent="0.25">
      <c r="B67" s="678" t="s">
        <v>1005</v>
      </c>
      <c r="C67" s="677"/>
      <c r="D67" s="677"/>
      <c r="E67" s="677"/>
      <c r="F67" s="677"/>
      <c r="G67" s="677"/>
      <c r="H67" s="677"/>
      <c r="I67" s="677"/>
      <c r="J67" s="72"/>
      <c r="K67" s="72"/>
      <c r="L67" s="72"/>
      <c r="M67" s="72"/>
      <c r="N67" s="72"/>
      <c r="O67" s="72"/>
      <c r="P67" s="72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P67" s="290"/>
      <c r="AQ67" s="290"/>
      <c r="AR67" s="290"/>
      <c r="AS67" s="290"/>
      <c r="AT67" s="290"/>
      <c r="AU67" s="290"/>
      <c r="AV67" s="290"/>
      <c r="AW67" s="290"/>
      <c r="AX67" s="290"/>
      <c r="AY67" s="290"/>
      <c r="AZ67" s="290"/>
      <c r="BA67" s="290"/>
      <c r="BB67" s="290"/>
      <c r="BC67" s="290"/>
      <c r="BD67" s="290"/>
      <c r="BY67" s="290"/>
      <c r="BZ67" s="290"/>
    </row>
    <row r="68" spans="1:106" ht="32.1" customHeight="1" x14ac:dyDescent="0.25">
      <c r="B68" s="1323" t="s">
        <v>1004</v>
      </c>
      <c r="C68" s="2116" t="s">
        <v>942</v>
      </c>
      <c r="D68" s="2116" t="s">
        <v>911</v>
      </c>
      <c r="E68" s="2116" t="s">
        <v>1003</v>
      </c>
      <c r="F68" s="2116" t="s">
        <v>70</v>
      </c>
      <c r="G68" s="150"/>
      <c r="H68" s="140"/>
      <c r="I68" s="140"/>
      <c r="J68" s="140"/>
      <c r="K68" s="140"/>
      <c r="L68" s="140"/>
      <c r="M68" s="140"/>
      <c r="N68" s="140"/>
      <c r="O68" s="223" t="s">
        <v>45</v>
      </c>
      <c r="P68" s="140"/>
      <c r="Q68" s="140"/>
      <c r="R68" s="140"/>
      <c r="S68" s="605"/>
      <c r="T68" s="605"/>
      <c r="U68" s="605"/>
      <c r="V68" s="605"/>
      <c r="W68" s="605"/>
      <c r="X68" s="605"/>
      <c r="Y68" s="140"/>
      <c r="Z68" s="140"/>
      <c r="AP68" s="290"/>
      <c r="AQ68" s="290"/>
      <c r="AR68" s="290"/>
      <c r="AS68" s="290"/>
      <c r="AT68" s="290"/>
      <c r="AU68" s="290"/>
      <c r="AV68" s="290"/>
      <c r="AW68" s="290"/>
      <c r="AX68" s="290"/>
      <c r="AY68" s="290"/>
      <c r="AZ68" s="290"/>
      <c r="BA68" s="290"/>
      <c r="BB68" s="290"/>
      <c r="BC68" s="290"/>
      <c r="BD68" s="290"/>
    </row>
    <row r="69" spans="1:106" ht="16.350000000000001" customHeight="1" x14ac:dyDescent="0.25">
      <c r="A69" s="7300" t="s">
        <v>4925</v>
      </c>
      <c r="B69" s="676" t="s">
        <v>110</v>
      </c>
      <c r="C69" s="593" t="s">
        <v>5369</v>
      </c>
      <c r="D69" s="546" t="s">
        <v>5370</v>
      </c>
      <c r="E69" s="546" t="s">
        <v>5371</v>
      </c>
      <c r="F69" s="546" t="s">
        <v>5372</v>
      </c>
      <c r="G69" s="105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605"/>
      <c r="T69" s="605"/>
      <c r="U69" s="605"/>
      <c r="V69" s="605"/>
      <c r="W69" s="605"/>
      <c r="X69" s="605"/>
      <c r="Y69" s="140"/>
      <c r="Z69" s="140"/>
      <c r="AP69" s="290"/>
      <c r="AQ69" s="290"/>
      <c r="AR69" s="290"/>
      <c r="AS69" s="290"/>
      <c r="AT69" s="290"/>
      <c r="AU69" s="290"/>
      <c r="AV69" s="290"/>
      <c r="AW69" s="290"/>
      <c r="AX69" s="290"/>
      <c r="AY69" s="290"/>
      <c r="AZ69" s="290"/>
      <c r="BA69" s="290"/>
      <c r="BB69" s="290"/>
      <c r="BC69" s="290"/>
      <c r="BD69" s="290"/>
    </row>
    <row r="70" spans="1:106" ht="16.350000000000001" customHeight="1" x14ac:dyDescent="0.25">
      <c r="A70" s="7300" t="s">
        <v>4926</v>
      </c>
      <c r="B70" s="2107" t="s">
        <v>1002</v>
      </c>
      <c r="C70" s="141" t="s">
        <v>5369</v>
      </c>
      <c r="D70" s="123" t="s">
        <v>5370</v>
      </c>
      <c r="E70" s="123" t="s">
        <v>5371</v>
      </c>
      <c r="F70" s="123" t="s">
        <v>5372</v>
      </c>
      <c r="G70" s="105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605"/>
      <c r="T70" s="605"/>
      <c r="U70" s="605"/>
      <c r="V70" s="605"/>
      <c r="W70" s="605"/>
      <c r="X70" s="605"/>
      <c r="Y70" s="140"/>
      <c r="Z70" s="140"/>
      <c r="AP70" s="290"/>
      <c r="AQ70" s="290"/>
      <c r="AR70" s="290"/>
      <c r="AS70" s="290"/>
      <c r="AT70" s="290"/>
      <c r="AU70" s="290"/>
      <c r="AV70" s="290"/>
      <c r="AW70" s="290"/>
      <c r="AX70" s="290"/>
      <c r="AY70" s="290"/>
      <c r="AZ70" s="290"/>
      <c r="BA70" s="290"/>
      <c r="BB70" s="290"/>
      <c r="BC70" s="290"/>
      <c r="BD70" s="290"/>
    </row>
    <row r="71" spans="1:106" ht="16.350000000000001" customHeight="1" x14ac:dyDescent="0.25">
      <c r="A71" s="7300" t="s">
        <v>4927</v>
      </c>
      <c r="B71" s="2107" t="s">
        <v>275</v>
      </c>
      <c r="C71" s="141" t="s">
        <v>5369</v>
      </c>
      <c r="D71" s="123" t="s">
        <v>5370</v>
      </c>
      <c r="E71" s="123" t="s">
        <v>5371</v>
      </c>
      <c r="F71" s="123" t="s">
        <v>5372</v>
      </c>
      <c r="G71" s="105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605"/>
      <c r="T71" s="605"/>
      <c r="U71" s="605"/>
      <c r="V71" s="605"/>
      <c r="W71" s="605"/>
      <c r="X71" s="605"/>
      <c r="Y71" s="140"/>
      <c r="Z71" s="140"/>
      <c r="AP71" s="290"/>
      <c r="AQ71" s="290"/>
      <c r="AR71" s="290"/>
      <c r="AS71" s="290"/>
      <c r="AT71" s="290"/>
      <c r="AU71" s="290"/>
      <c r="AV71" s="290"/>
      <c r="AW71" s="290"/>
      <c r="AX71" s="290"/>
      <c r="AY71" s="290"/>
      <c r="AZ71" s="290"/>
      <c r="BA71" s="290"/>
      <c r="BB71" s="290"/>
      <c r="BC71" s="290"/>
      <c r="BD71" s="290"/>
    </row>
    <row r="72" spans="1:106" ht="16.350000000000001" customHeight="1" x14ac:dyDescent="0.25">
      <c r="A72" s="7300" t="s">
        <v>4928</v>
      </c>
      <c r="B72" s="2107" t="s">
        <v>1001</v>
      </c>
      <c r="C72" s="141" t="s">
        <v>5369</v>
      </c>
      <c r="D72" s="123" t="s">
        <v>5370</v>
      </c>
      <c r="E72" s="123" t="s">
        <v>5371</v>
      </c>
      <c r="F72" s="123" t="s">
        <v>5372</v>
      </c>
      <c r="G72" s="105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605"/>
      <c r="T72" s="605"/>
      <c r="U72" s="605"/>
      <c r="V72" s="605"/>
      <c r="W72" s="605"/>
      <c r="X72" s="605"/>
      <c r="Y72" s="140"/>
      <c r="Z72" s="140"/>
      <c r="AP72" s="290"/>
      <c r="AQ72" s="290"/>
      <c r="AR72" s="290"/>
      <c r="AS72" s="290"/>
      <c r="AT72" s="290"/>
      <c r="AU72" s="290"/>
      <c r="AV72" s="290"/>
      <c r="AW72" s="290"/>
      <c r="AX72" s="290"/>
      <c r="AY72" s="290"/>
      <c r="AZ72" s="290"/>
      <c r="BA72" s="290"/>
      <c r="BB72" s="290"/>
      <c r="BC72" s="290"/>
      <c r="BD72" s="290"/>
    </row>
    <row r="73" spans="1:106" ht="16.350000000000001" customHeight="1" x14ac:dyDescent="0.25">
      <c r="A73" s="7300" t="s">
        <v>4929</v>
      </c>
      <c r="B73" s="2107" t="s">
        <v>38</v>
      </c>
      <c r="C73" s="141" t="s">
        <v>5369</v>
      </c>
      <c r="D73" s="123" t="s">
        <v>5370</v>
      </c>
      <c r="E73" s="123" t="s">
        <v>5371</v>
      </c>
      <c r="F73" s="123" t="s">
        <v>5372</v>
      </c>
      <c r="G73" s="105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605"/>
      <c r="T73" s="605"/>
      <c r="U73" s="605"/>
      <c r="V73" s="605"/>
      <c r="W73" s="605"/>
      <c r="X73" s="605"/>
      <c r="Y73" s="140"/>
      <c r="Z73" s="140"/>
      <c r="AP73" s="290"/>
      <c r="AQ73" s="290"/>
      <c r="AR73" s="290"/>
      <c r="AS73" s="290"/>
      <c r="AT73" s="290"/>
      <c r="AU73" s="290"/>
      <c r="AV73" s="290"/>
      <c r="AW73" s="290"/>
      <c r="AX73" s="290"/>
      <c r="AY73" s="290"/>
      <c r="AZ73" s="290"/>
      <c r="BA73" s="290"/>
      <c r="BB73" s="290"/>
      <c r="BC73" s="290"/>
      <c r="BD73" s="290"/>
    </row>
    <row r="74" spans="1:106" ht="16.350000000000001" customHeight="1" x14ac:dyDescent="0.25">
      <c r="A74" s="7300" t="s">
        <v>4930</v>
      </c>
      <c r="B74" s="2107" t="s">
        <v>37</v>
      </c>
      <c r="C74" s="141" t="s">
        <v>5369</v>
      </c>
      <c r="D74" s="123" t="s">
        <v>5370</v>
      </c>
      <c r="E74" s="123" t="s">
        <v>5371</v>
      </c>
      <c r="F74" s="123" t="s">
        <v>5372</v>
      </c>
      <c r="G74" s="105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605"/>
      <c r="T74" s="605"/>
      <c r="U74" s="605"/>
      <c r="V74" s="605"/>
      <c r="W74" s="605"/>
      <c r="X74" s="605"/>
      <c r="Y74" s="140"/>
      <c r="Z74" s="140"/>
      <c r="AP74" s="290"/>
      <c r="AQ74" s="290"/>
      <c r="AR74" s="290"/>
      <c r="AS74" s="290"/>
      <c r="AT74" s="290"/>
      <c r="AU74" s="290"/>
      <c r="AV74" s="290"/>
      <c r="AW74" s="290"/>
      <c r="AX74" s="290"/>
      <c r="AY74" s="290"/>
      <c r="AZ74" s="290"/>
      <c r="BA74" s="290"/>
      <c r="BB74" s="290"/>
      <c r="BC74" s="290"/>
      <c r="BD74" s="290"/>
    </row>
    <row r="75" spans="1:106" ht="16.350000000000001" customHeight="1" x14ac:dyDescent="0.25">
      <c r="A75" s="7300" t="s">
        <v>4931</v>
      </c>
      <c r="B75" s="2107" t="s">
        <v>111</v>
      </c>
      <c r="C75" s="141" t="s">
        <v>5369</v>
      </c>
      <c r="D75" s="123" t="s">
        <v>5370</v>
      </c>
      <c r="E75" s="123" t="s">
        <v>5371</v>
      </c>
      <c r="F75" s="123" t="s">
        <v>5372</v>
      </c>
      <c r="G75" s="105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605"/>
      <c r="T75" s="605"/>
      <c r="U75" s="605"/>
      <c r="V75" s="605"/>
      <c r="W75" s="605"/>
      <c r="X75" s="605"/>
      <c r="Y75" s="140"/>
      <c r="Z75" s="140"/>
      <c r="AP75" s="290"/>
      <c r="AQ75" s="290"/>
      <c r="AR75" s="290"/>
      <c r="AS75" s="290"/>
      <c r="AT75" s="290"/>
      <c r="AU75" s="290"/>
      <c r="AV75" s="290"/>
      <c r="AW75" s="290"/>
      <c r="AX75" s="290"/>
      <c r="AY75" s="290"/>
      <c r="AZ75" s="290"/>
      <c r="BA75" s="290"/>
      <c r="BB75" s="290"/>
      <c r="BC75" s="290"/>
      <c r="BD75" s="290"/>
    </row>
    <row r="76" spans="1:106" ht="16.350000000000001" customHeight="1" x14ac:dyDescent="0.25">
      <c r="A76" s="7300" t="s">
        <v>4932</v>
      </c>
      <c r="B76" s="2107" t="s">
        <v>1000</v>
      </c>
      <c r="C76" s="141" t="s">
        <v>5369</v>
      </c>
      <c r="D76" s="123" t="s">
        <v>5370</v>
      </c>
      <c r="E76" s="123" t="s">
        <v>5371</v>
      </c>
      <c r="F76" s="123" t="s">
        <v>5372</v>
      </c>
      <c r="G76" s="105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605"/>
      <c r="T76" s="605"/>
      <c r="U76" s="605"/>
      <c r="V76" s="605"/>
      <c r="W76" s="605"/>
      <c r="X76" s="605"/>
      <c r="Y76" s="140"/>
      <c r="Z76" s="140"/>
      <c r="AP76" s="290"/>
      <c r="AQ76" s="290"/>
      <c r="AR76" s="290"/>
      <c r="AS76" s="290"/>
      <c r="AT76" s="290"/>
      <c r="AU76" s="290"/>
      <c r="AV76" s="290"/>
      <c r="AW76" s="290"/>
      <c r="AX76" s="290"/>
      <c r="AY76" s="290"/>
      <c r="AZ76" s="290"/>
      <c r="BA76" s="290"/>
      <c r="BB76" s="290"/>
      <c r="BC76" s="290"/>
      <c r="BD76" s="290"/>
    </row>
    <row r="77" spans="1:106" ht="16.350000000000001" customHeight="1" x14ac:dyDescent="0.25">
      <c r="A77" s="7300" t="s">
        <v>4933</v>
      </c>
      <c r="B77" s="2107" t="s">
        <v>36</v>
      </c>
      <c r="C77" s="141" t="s">
        <v>5369</v>
      </c>
      <c r="D77" s="123" t="s">
        <v>5370</v>
      </c>
      <c r="E77" s="123" t="s">
        <v>5371</v>
      </c>
      <c r="F77" s="123" t="s">
        <v>5372</v>
      </c>
      <c r="G77" s="105"/>
      <c r="H77" s="674"/>
      <c r="I77" s="674"/>
      <c r="J77" s="140"/>
      <c r="K77" s="140"/>
      <c r="L77" s="140"/>
      <c r="M77" s="140"/>
      <c r="N77" s="140"/>
      <c r="O77" s="140"/>
      <c r="P77" s="140"/>
      <c r="Q77" s="140"/>
      <c r="R77" s="140"/>
      <c r="S77" s="605"/>
      <c r="T77" s="605"/>
      <c r="U77" s="605"/>
      <c r="V77" s="605"/>
      <c r="W77" s="605"/>
      <c r="X77" s="605"/>
      <c r="Y77" s="140"/>
      <c r="Z77" s="140"/>
    </row>
    <row r="78" spans="1:106" ht="16.350000000000001" customHeight="1" x14ac:dyDescent="0.25">
      <c r="A78" s="7300" t="s">
        <v>4934</v>
      </c>
      <c r="B78" s="2107" t="s">
        <v>999</v>
      </c>
      <c r="C78" s="141" t="s">
        <v>5369</v>
      </c>
      <c r="D78" s="123" t="s">
        <v>5370</v>
      </c>
      <c r="E78" s="123" t="s">
        <v>5371</v>
      </c>
      <c r="F78" s="123" t="s">
        <v>5372</v>
      </c>
      <c r="G78" s="105"/>
      <c r="H78" s="674"/>
      <c r="I78" s="674"/>
      <c r="J78" s="140"/>
      <c r="K78" s="140"/>
      <c r="L78" s="140"/>
      <c r="M78" s="140"/>
      <c r="N78" s="140"/>
      <c r="O78" s="140"/>
      <c r="P78" s="140"/>
      <c r="Q78" s="140"/>
      <c r="R78" s="140"/>
      <c r="S78" s="605"/>
      <c r="T78" s="605"/>
      <c r="U78" s="605"/>
      <c r="V78" s="605"/>
      <c r="W78" s="605"/>
      <c r="X78" s="605"/>
      <c r="Y78" s="140"/>
      <c r="Z78" s="140"/>
    </row>
    <row r="79" spans="1:106" ht="16.350000000000001" customHeight="1" x14ac:dyDescent="0.25">
      <c r="A79" s="7300" t="s">
        <v>4935</v>
      </c>
      <c r="B79" s="2107" t="s">
        <v>998</v>
      </c>
      <c r="C79" s="141" t="s">
        <v>5369</v>
      </c>
      <c r="D79" s="123" t="s">
        <v>5370</v>
      </c>
      <c r="E79" s="123" t="s">
        <v>5371</v>
      </c>
      <c r="F79" s="123" t="s">
        <v>5372</v>
      </c>
      <c r="G79" s="105"/>
      <c r="H79" s="674"/>
      <c r="I79" s="674"/>
      <c r="J79" s="140"/>
      <c r="K79" s="140"/>
      <c r="L79" s="140"/>
      <c r="M79" s="140"/>
      <c r="N79" s="140"/>
      <c r="O79" s="140"/>
      <c r="P79" s="140"/>
      <c r="Q79" s="140"/>
      <c r="R79" s="140"/>
      <c r="S79" s="605"/>
      <c r="T79" s="605"/>
      <c r="U79" s="605"/>
      <c r="V79" s="605"/>
      <c r="W79" s="605"/>
      <c r="X79" s="605"/>
      <c r="Y79" s="140"/>
      <c r="Z79" s="140"/>
    </row>
    <row r="80" spans="1:106" ht="16.350000000000001" customHeight="1" x14ac:dyDescent="0.25">
      <c r="A80" s="7300" t="s">
        <v>4936</v>
      </c>
      <c r="B80" s="675" t="s">
        <v>997</v>
      </c>
      <c r="C80" s="141" t="s">
        <v>5369</v>
      </c>
      <c r="D80" s="123" t="s">
        <v>5370</v>
      </c>
      <c r="E80" s="123" t="s">
        <v>5371</v>
      </c>
      <c r="F80" s="123" t="s">
        <v>5372</v>
      </c>
      <c r="G80" s="105"/>
      <c r="H80" s="674"/>
      <c r="I80" s="674"/>
      <c r="J80" s="140"/>
      <c r="K80" s="140"/>
      <c r="L80" s="140"/>
      <c r="M80" s="140"/>
      <c r="N80" s="140"/>
      <c r="O80" s="140"/>
      <c r="P80" s="140"/>
      <c r="Q80" s="140"/>
      <c r="R80" s="140"/>
      <c r="S80" s="605"/>
      <c r="T80" s="605"/>
      <c r="U80" s="605"/>
      <c r="V80" s="605"/>
      <c r="W80" s="605"/>
      <c r="X80" s="605"/>
      <c r="Y80" s="140"/>
      <c r="Z80" s="140"/>
    </row>
    <row r="81" spans="1:109" ht="16.350000000000001" customHeight="1" x14ac:dyDescent="0.25">
      <c r="A81" s="7300" t="s">
        <v>4937</v>
      </c>
      <c r="B81" s="2107" t="s">
        <v>996</v>
      </c>
      <c r="C81" s="141" t="s">
        <v>5369</v>
      </c>
      <c r="D81" s="123" t="s">
        <v>5370</v>
      </c>
      <c r="E81" s="123" t="s">
        <v>5371</v>
      </c>
      <c r="F81" s="123" t="s">
        <v>5372</v>
      </c>
      <c r="G81" s="105"/>
      <c r="H81" s="674"/>
      <c r="I81" s="674"/>
      <c r="J81" s="140"/>
      <c r="K81" s="140"/>
      <c r="L81" s="140"/>
      <c r="M81" s="140"/>
      <c r="N81" s="140"/>
      <c r="O81" s="140"/>
      <c r="P81" s="140"/>
      <c r="Q81" s="140"/>
      <c r="R81" s="140"/>
      <c r="S81" s="605"/>
      <c r="T81" s="605"/>
      <c r="U81" s="605"/>
      <c r="V81" s="605"/>
      <c r="W81" s="605"/>
      <c r="X81" s="605"/>
      <c r="Y81" s="140"/>
      <c r="Z81" s="140"/>
    </row>
    <row r="82" spans="1:109" ht="16.350000000000001" customHeight="1" x14ac:dyDescent="0.25">
      <c r="A82" s="7300" t="s">
        <v>4938</v>
      </c>
      <c r="B82" s="2107" t="s">
        <v>281</v>
      </c>
      <c r="C82" s="141" t="s">
        <v>5369</v>
      </c>
      <c r="D82" s="123" t="s">
        <v>5370</v>
      </c>
      <c r="E82" s="123" t="s">
        <v>5371</v>
      </c>
      <c r="F82" s="123" t="s">
        <v>5372</v>
      </c>
      <c r="G82" s="105"/>
      <c r="H82" s="674"/>
      <c r="I82" s="674"/>
      <c r="J82" s="140"/>
      <c r="K82" s="140"/>
      <c r="L82" s="140"/>
      <c r="M82" s="140"/>
      <c r="N82" s="140"/>
      <c r="O82" s="140"/>
      <c r="P82" s="140"/>
      <c r="Q82" s="140"/>
      <c r="R82" s="140"/>
      <c r="S82" s="605"/>
      <c r="T82" s="605"/>
      <c r="U82" s="605"/>
      <c r="V82" s="605"/>
      <c r="W82" s="605"/>
      <c r="X82" s="605"/>
      <c r="Y82" s="140"/>
      <c r="Z82" s="140"/>
    </row>
    <row r="83" spans="1:109" ht="16.350000000000001" customHeight="1" x14ac:dyDescent="0.25">
      <c r="A83" s="7300" t="s">
        <v>4939</v>
      </c>
      <c r="B83" s="2107" t="s">
        <v>995</v>
      </c>
      <c r="C83" s="141" t="s">
        <v>5369</v>
      </c>
      <c r="D83" s="123" t="s">
        <v>5370</v>
      </c>
      <c r="E83" s="123" t="s">
        <v>5371</v>
      </c>
      <c r="F83" s="123" t="s">
        <v>5372</v>
      </c>
      <c r="G83" s="105"/>
      <c r="H83" s="674"/>
      <c r="I83" s="674"/>
      <c r="J83" s="140"/>
      <c r="K83" s="140"/>
      <c r="L83" s="140"/>
      <c r="M83" s="140"/>
      <c r="N83" s="140"/>
      <c r="O83" s="140"/>
      <c r="P83" s="140"/>
      <c r="Q83" s="140"/>
      <c r="R83" s="140"/>
      <c r="S83" s="605"/>
      <c r="T83" s="605"/>
      <c r="U83" s="605"/>
      <c r="V83" s="605"/>
      <c r="W83" s="605"/>
      <c r="X83" s="605"/>
      <c r="Y83" s="140"/>
      <c r="Z83" s="140"/>
    </row>
    <row r="84" spans="1:109" ht="16.350000000000001" customHeight="1" x14ac:dyDescent="0.25">
      <c r="A84" s="7300" t="s">
        <v>4940</v>
      </c>
      <c r="B84" s="2107" t="s">
        <v>278</v>
      </c>
      <c r="C84" s="141" t="s">
        <v>5369</v>
      </c>
      <c r="D84" s="123" t="s">
        <v>5370</v>
      </c>
      <c r="E84" s="123" t="s">
        <v>5371</v>
      </c>
      <c r="F84" s="123" t="s">
        <v>5372</v>
      </c>
      <c r="G84" s="105"/>
      <c r="H84" s="674"/>
      <c r="I84" s="674"/>
      <c r="J84" s="140"/>
      <c r="K84" s="140"/>
      <c r="L84" s="140"/>
      <c r="M84" s="140"/>
      <c r="N84" s="140"/>
      <c r="O84" s="140"/>
      <c r="P84" s="140"/>
      <c r="Q84" s="140"/>
      <c r="R84" s="140"/>
      <c r="S84" s="605"/>
      <c r="T84" s="605"/>
      <c r="U84" s="605"/>
      <c r="V84" s="605"/>
      <c r="W84" s="605"/>
      <c r="X84" s="605"/>
      <c r="Y84" s="140"/>
      <c r="Z84" s="140"/>
    </row>
    <row r="85" spans="1:109" ht="16.350000000000001" customHeight="1" x14ac:dyDescent="0.25">
      <c r="A85" s="7300" t="s">
        <v>4941</v>
      </c>
      <c r="B85" s="2107" t="s">
        <v>994</v>
      </c>
      <c r="C85" s="141" t="s">
        <v>5369</v>
      </c>
      <c r="D85" s="123" t="s">
        <v>5370</v>
      </c>
      <c r="E85" s="123" t="s">
        <v>5371</v>
      </c>
      <c r="F85" s="123" t="s">
        <v>5372</v>
      </c>
      <c r="G85" s="105"/>
      <c r="H85" s="674"/>
      <c r="I85" s="674"/>
      <c r="J85" s="140"/>
      <c r="K85" s="140"/>
      <c r="L85" s="140"/>
      <c r="M85" s="140"/>
      <c r="N85" s="140"/>
      <c r="O85" s="140"/>
      <c r="P85" s="140"/>
      <c r="Q85" s="140"/>
      <c r="R85" s="140"/>
      <c r="S85" s="605"/>
      <c r="T85" s="605"/>
      <c r="U85" s="605"/>
      <c r="V85" s="605"/>
      <c r="W85" s="605"/>
      <c r="X85" s="605"/>
      <c r="Y85" s="140"/>
      <c r="Z85" s="140"/>
    </row>
    <row r="86" spans="1:109" ht="16.350000000000001" customHeight="1" x14ac:dyDescent="0.25">
      <c r="A86" s="7300" t="s">
        <v>4942</v>
      </c>
      <c r="B86" s="2107" t="s">
        <v>282</v>
      </c>
      <c r="C86" s="141" t="s">
        <v>5369</v>
      </c>
      <c r="D86" s="123" t="s">
        <v>5370</v>
      </c>
      <c r="E86" s="123" t="s">
        <v>5371</v>
      </c>
      <c r="F86" s="123" t="s">
        <v>5372</v>
      </c>
      <c r="G86" s="105"/>
      <c r="H86" s="674"/>
      <c r="I86" s="674"/>
      <c r="J86" s="140"/>
      <c r="K86" s="140"/>
      <c r="L86" s="140"/>
      <c r="M86" s="140"/>
      <c r="N86" s="140"/>
      <c r="O86" s="140"/>
      <c r="P86" s="140"/>
      <c r="Q86" s="140"/>
      <c r="R86" s="140"/>
      <c r="S86" s="605"/>
      <c r="T86" s="605"/>
      <c r="U86" s="605"/>
      <c r="V86" s="605"/>
      <c r="W86" s="605"/>
      <c r="X86" s="605"/>
      <c r="Y86" s="140"/>
      <c r="Z86" s="140"/>
    </row>
    <row r="87" spans="1:109" ht="16.350000000000001" customHeight="1" x14ac:dyDescent="0.25">
      <c r="A87" s="7300" t="s">
        <v>4943</v>
      </c>
      <c r="B87" s="2107" t="s">
        <v>279</v>
      </c>
      <c r="C87" s="141" t="s">
        <v>5369</v>
      </c>
      <c r="D87" s="123" t="s">
        <v>5370</v>
      </c>
      <c r="E87" s="123" t="s">
        <v>5371</v>
      </c>
      <c r="F87" s="123" t="s">
        <v>5372</v>
      </c>
      <c r="G87" s="105"/>
      <c r="H87" s="674"/>
      <c r="I87" s="674"/>
      <c r="J87" s="140"/>
      <c r="K87" s="140"/>
      <c r="L87" s="140"/>
      <c r="M87" s="140"/>
      <c r="N87" s="140"/>
      <c r="O87" s="140"/>
      <c r="P87" s="140"/>
      <c r="Q87" s="140"/>
      <c r="R87" s="140"/>
      <c r="S87" s="605"/>
      <c r="T87" s="605"/>
      <c r="U87" s="605"/>
      <c r="V87" s="605"/>
      <c r="W87" s="605"/>
      <c r="X87" s="605"/>
      <c r="Y87" s="140"/>
      <c r="Z87" s="140"/>
    </row>
    <row r="88" spans="1:109" ht="16.350000000000001" customHeight="1" x14ac:dyDescent="0.25">
      <c r="A88" s="7300" t="s">
        <v>4944</v>
      </c>
      <c r="B88" s="2107" t="s">
        <v>3596</v>
      </c>
      <c r="C88" s="141" t="s">
        <v>5369</v>
      </c>
      <c r="D88" s="123" t="s">
        <v>5370</v>
      </c>
      <c r="E88" s="123" t="s">
        <v>5371</v>
      </c>
      <c r="F88" s="123" t="s">
        <v>5372</v>
      </c>
      <c r="G88" s="105"/>
      <c r="H88" s="674"/>
      <c r="I88" s="674"/>
      <c r="J88" s="140"/>
      <c r="K88" s="140"/>
      <c r="L88" s="140"/>
      <c r="M88" s="140"/>
      <c r="N88" s="140"/>
      <c r="O88" s="140"/>
      <c r="P88" s="140"/>
      <c r="Q88" s="140"/>
      <c r="R88" s="140"/>
      <c r="S88" s="605"/>
      <c r="T88" s="605"/>
      <c r="U88" s="605"/>
      <c r="V88" s="605"/>
      <c r="W88" s="605"/>
      <c r="X88" s="605"/>
      <c r="Y88" s="140"/>
      <c r="Z88" s="140"/>
    </row>
    <row r="89" spans="1:109" ht="16.350000000000001" customHeight="1" x14ac:dyDescent="0.25">
      <c r="A89" s="7267"/>
      <c r="B89" s="2074" t="s">
        <v>24</v>
      </c>
      <c r="C89" s="588">
        <f>SUM(C69:C87)</f>
        <v>0</v>
      </c>
      <c r="D89" s="588">
        <f>SUM(D69:D87)</f>
        <v>0</v>
      </c>
      <c r="E89" s="588">
        <f>SUM(E69:E87)</f>
        <v>0</v>
      </c>
      <c r="F89" s="588">
        <f>SUM(F69:F87)</f>
        <v>0</v>
      </c>
      <c r="G89" s="105"/>
      <c r="H89" s="674"/>
      <c r="I89" s="674"/>
      <c r="J89" s="140"/>
      <c r="K89" s="140"/>
      <c r="L89" s="140"/>
      <c r="M89" s="140"/>
      <c r="N89" s="140"/>
      <c r="O89" s="140"/>
      <c r="P89" s="140"/>
      <c r="Q89" s="140"/>
      <c r="R89" s="140"/>
      <c r="S89" s="605"/>
      <c r="T89" s="605"/>
      <c r="U89" s="605"/>
      <c r="V89" s="605"/>
      <c r="W89" s="605"/>
      <c r="X89" s="605"/>
      <c r="Y89" s="140"/>
      <c r="Z89" s="140"/>
    </row>
    <row r="90" spans="1:109" ht="32.1" customHeight="1" x14ac:dyDescent="0.25">
      <c r="B90" s="72" t="s">
        <v>3597</v>
      </c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BY90" s="290"/>
      <c r="BZ90" s="290"/>
    </row>
    <row r="91" spans="1:109" ht="16.350000000000001" customHeight="1" x14ac:dyDescent="0.25">
      <c r="B91" s="8612" t="s">
        <v>979</v>
      </c>
      <c r="C91" s="8613"/>
      <c r="D91" s="8612" t="s">
        <v>942</v>
      </c>
      <c r="E91" s="8597"/>
      <c r="F91" s="8613"/>
      <c r="G91" s="8771" t="s">
        <v>84</v>
      </c>
      <c r="H91" s="9592"/>
      <c r="I91" s="9592"/>
      <c r="J91" s="9592"/>
      <c r="K91" s="9592"/>
      <c r="L91" s="9592"/>
      <c r="M91" s="9592"/>
      <c r="N91" s="9592"/>
      <c r="O91" s="9592"/>
      <c r="P91" s="9592"/>
      <c r="Q91" s="9592"/>
      <c r="R91" s="9592"/>
      <c r="S91" s="9592"/>
      <c r="T91" s="9592"/>
      <c r="U91" s="9592"/>
      <c r="V91" s="9592"/>
      <c r="W91" s="9592"/>
      <c r="X91" s="9592"/>
      <c r="Y91" s="9592"/>
      <c r="Z91" s="9592"/>
      <c r="AA91" s="9592"/>
      <c r="AB91" s="9592"/>
      <c r="AC91" s="9592"/>
      <c r="AD91" s="9592"/>
      <c r="AE91" s="9592"/>
      <c r="AF91" s="9592"/>
      <c r="AG91" s="9592"/>
      <c r="AH91" s="9592"/>
      <c r="AI91" s="9592"/>
      <c r="AJ91" s="9592"/>
      <c r="AK91" s="9592"/>
      <c r="AL91" s="9592"/>
      <c r="AM91" s="9592"/>
      <c r="AN91" s="8772"/>
      <c r="AO91" s="8583" t="s">
        <v>360</v>
      </c>
      <c r="AP91" s="8583" t="s">
        <v>993</v>
      </c>
      <c r="AQ91" s="290"/>
      <c r="AR91" s="290"/>
      <c r="AS91" s="290"/>
      <c r="AT91" s="290"/>
      <c r="AU91" s="290"/>
      <c r="AV91" s="290"/>
      <c r="AW91" s="290"/>
      <c r="AX91" s="290"/>
      <c r="AY91" s="290"/>
      <c r="AZ91" s="290"/>
      <c r="BA91" s="290"/>
      <c r="BB91" s="290"/>
      <c r="BC91" s="290"/>
    </row>
    <row r="92" spans="1:109" ht="16.350000000000001" customHeight="1" x14ac:dyDescent="0.25">
      <c r="B92" s="8621"/>
      <c r="C92" s="8622"/>
      <c r="D92" s="8614"/>
      <c r="E92" s="8598"/>
      <c r="F92" s="8615"/>
      <c r="G92" s="9600" t="s">
        <v>399</v>
      </c>
      <c r="H92" s="9601"/>
      <c r="I92" s="9600" t="s">
        <v>54</v>
      </c>
      <c r="J92" s="9601"/>
      <c r="K92" s="9600" t="s">
        <v>79</v>
      </c>
      <c r="L92" s="9601"/>
      <c r="M92" s="9600" t="s">
        <v>80</v>
      </c>
      <c r="N92" s="9601"/>
      <c r="O92" s="9600" t="s">
        <v>81</v>
      </c>
      <c r="P92" s="9601"/>
      <c r="Q92" s="9590" t="s">
        <v>82</v>
      </c>
      <c r="R92" s="9593"/>
      <c r="S92" s="9590" t="s">
        <v>83</v>
      </c>
      <c r="T92" s="9593"/>
      <c r="U92" s="9590" t="s">
        <v>400</v>
      </c>
      <c r="V92" s="9593"/>
      <c r="W92" s="9590" t="s">
        <v>124</v>
      </c>
      <c r="X92" s="9593"/>
      <c r="Y92" s="9590" t="s">
        <v>125</v>
      </c>
      <c r="Z92" s="9593"/>
      <c r="AA92" s="9590" t="s">
        <v>126</v>
      </c>
      <c r="AB92" s="9593"/>
      <c r="AC92" s="9590" t="s">
        <v>127</v>
      </c>
      <c r="AD92" s="9593"/>
      <c r="AE92" s="9590" t="s">
        <v>128</v>
      </c>
      <c r="AF92" s="9593"/>
      <c r="AG92" s="9590" t="s">
        <v>129</v>
      </c>
      <c r="AH92" s="9593"/>
      <c r="AI92" s="9590" t="s">
        <v>130</v>
      </c>
      <c r="AJ92" s="9593"/>
      <c r="AK92" s="9590" t="s">
        <v>131</v>
      </c>
      <c r="AL92" s="9593"/>
      <c r="AM92" s="8998" t="s">
        <v>1405</v>
      </c>
      <c r="AN92" s="8999"/>
      <c r="AO92" s="8581"/>
      <c r="AP92" s="8555"/>
      <c r="AQ92" s="290"/>
      <c r="AR92" s="290"/>
      <c r="AS92" s="290"/>
      <c r="AT92" s="290"/>
      <c r="AU92" s="290"/>
      <c r="AV92" s="290"/>
      <c r="AW92" s="290"/>
      <c r="AX92" s="290"/>
      <c r="AY92" s="290"/>
      <c r="AZ92" s="290"/>
      <c r="BA92" s="290"/>
      <c r="BB92" s="290"/>
      <c r="BC92" s="290"/>
    </row>
    <row r="93" spans="1:109" ht="16.350000000000001" customHeight="1" x14ac:dyDescent="0.25">
      <c r="B93" s="8614"/>
      <c r="C93" s="8598"/>
      <c r="D93" s="2092" t="s">
        <v>42</v>
      </c>
      <c r="E93" s="1911" t="s">
        <v>708</v>
      </c>
      <c r="F93" s="2128" t="s">
        <v>18</v>
      </c>
      <c r="G93" s="2074" t="s">
        <v>708</v>
      </c>
      <c r="H93" s="2076" t="s">
        <v>18</v>
      </c>
      <c r="I93" s="2075" t="s">
        <v>708</v>
      </c>
      <c r="J93" s="2075" t="s">
        <v>18</v>
      </c>
      <c r="K93" s="2074" t="s">
        <v>708</v>
      </c>
      <c r="L93" s="2076" t="s">
        <v>18</v>
      </c>
      <c r="M93" s="2075" t="s">
        <v>708</v>
      </c>
      <c r="N93" s="2075" t="s">
        <v>18</v>
      </c>
      <c r="O93" s="2074" t="s">
        <v>708</v>
      </c>
      <c r="P93" s="2076" t="s">
        <v>18</v>
      </c>
      <c r="Q93" s="2075" t="s">
        <v>708</v>
      </c>
      <c r="R93" s="2075" t="s">
        <v>18</v>
      </c>
      <c r="S93" s="2074" t="s">
        <v>708</v>
      </c>
      <c r="T93" s="2076" t="s">
        <v>18</v>
      </c>
      <c r="U93" s="2075" t="s">
        <v>708</v>
      </c>
      <c r="V93" s="2075" t="s">
        <v>18</v>
      </c>
      <c r="W93" s="2074" t="s">
        <v>708</v>
      </c>
      <c r="X93" s="2076" t="s">
        <v>18</v>
      </c>
      <c r="Y93" s="2075" t="s">
        <v>708</v>
      </c>
      <c r="Z93" s="2076" t="s">
        <v>18</v>
      </c>
      <c r="AA93" s="2074" t="s">
        <v>708</v>
      </c>
      <c r="AB93" s="2075" t="s">
        <v>18</v>
      </c>
      <c r="AC93" s="2074" t="s">
        <v>708</v>
      </c>
      <c r="AD93" s="2076" t="s">
        <v>18</v>
      </c>
      <c r="AE93" s="2075" t="s">
        <v>708</v>
      </c>
      <c r="AF93" s="2075" t="s">
        <v>18</v>
      </c>
      <c r="AG93" s="2074" t="s">
        <v>708</v>
      </c>
      <c r="AH93" s="2076" t="s">
        <v>18</v>
      </c>
      <c r="AI93" s="2075" t="s">
        <v>708</v>
      </c>
      <c r="AJ93" s="2075" t="s">
        <v>18</v>
      </c>
      <c r="AK93" s="2074" t="s">
        <v>708</v>
      </c>
      <c r="AL93" s="2076" t="s">
        <v>18</v>
      </c>
      <c r="AM93" s="2075" t="s">
        <v>708</v>
      </c>
      <c r="AN93" s="2076" t="s">
        <v>18</v>
      </c>
      <c r="AO93" s="8584"/>
      <c r="AP93" s="8584"/>
      <c r="AQ93" s="290"/>
      <c r="AR93" s="290"/>
      <c r="AS93" s="290"/>
      <c r="AT93" s="290"/>
      <c r="AU93" s="290"/>
      <c r="AV93" s="290"/>
      <c r="AW93" s="290"/>
      <c r="AX93" s="290"/>
      <c r="AY93" s="290"/>
      <c r="AZ93" s="290"/>
      <c r="BA93" s="290"/>
      <c r="BB93" s="290"/>
      <c r="BC93" s="290"/>
    </row>
    <row r="94" spans="1:109" ht="16.350000000000001" customHeight="1" x14ac:dyDescent="0.25">
      <c r="A94" s="7267"/>
      <c r="B94" s="8771" t="s">
        <v>992</v>
      </c>
      <c r="C94" s="8772"/>
      <c r="D94" s="603">
        <f>SUM(D95:D101)</f>
        <v>0</v>
      </c>
      <c r="E94" s="1912">
        <f>SUM(E95:E101)</f>
        <v>0</v>
      </c>
      <c r="F94" s="1906">
        <f>SUM(F95:F101)</f>
        <v>0</v>
      </c>
      <c r="G94" s="673">
        <f t="shared" ref="G94:AO94" si="1">SUM(G95:G101)</f>
        <v>0</v>
      </c>
      <c r="H94" s="672">
        <f t="shared" si="1"/>
        <v>0</v>
      </c>
      <c r="I94" s="673">
        <f t="shared" si="1"/>
        <v>0</v>
      </c>
      <c r="J94" s="672">
        <f t="shared" si="1"/>
        <v>0</v>
      </c>
      <c r="K94" s="673">
        <f t="shared" si="1"/>
        <v>0</v>
      </c>
      <c r="L94" s="672">
        <f t="shared" si="1"/>
        <v>0</v>
      </c>
      <c r="M94" s="673">
        <f t="shared" si="1"/>
        <v>0</v>
      </c>
      <c r="N94" s="672">
        <f t="shared" si="1"/>
        <v>0</v>
      </c>
      <c r="O94" s="673">
        <f t="shared" si="1"/>
        <v>0</v>
      </c>
      <c r="P94" s="672">
        <f t="shared" si="1"/>
        <v>0</v>
      </c>
      <c r="Q94" s="673">
        <f t="shared" si="1"/>
        <v>0</v>
      </c>
      <c r="R94" s="672">
        <f t="shared" si="1"/>
        <v>0</v>
      </c>
      <c r="S94" s="673">
        <f t="shared" si="1"/>
        <v>0</v>
      </c>
      <c r="T94" s="672">
        <f t="shared" si="1"/>
        <v>0</v>
      </c>
      <c r="U94" s="673">
        <f t="shared" si="1"/>
        <v>0</v>
      </c>
      <c r="V94" s="672">
        <f t="shared" si="1"/>
        <v>0</v>
      </c>
      <c r="W94" s="673">
        <f t="shared" si="1"/>
        <v>0</v>
      </c>
      <c r="X94" s="672">
        <f t="shared" si="1"/>
        <v>0</v>
      </c>
      <c r="Y94" s="673">
        <f t="shared" si="1"/>
        <v>0</v>
      </c>
      <c r="Z94" s="672">
        <f t="shared" si="1"/>
        <v>0</v>
      </c>
      <c r="AA94" s="673">
        <f t="shared" si="1"/>
        <v>0</v>
      </c>
      <c r="AB94" s="672">
        <f t="shared" si="1"/>
        <v>0</v>
      </c>
      <c r="AC94" s="673">
        <f t="shared" si="1"/>
        <v>0</v>
      </c>
      <c r="AD94" s="672">
        <f t="shared" si="1"/>
        <v>0</v>
      </c>
      <c r="AE94" s="673">
        <f t="shared" si="1"/>
        <v>0</v>
      </c>
      <c r="AF94" s="672">
        <f t="shared" si="1"/>
        <v>0</v>
      </c>
      <c r="AG94" s="673">
        <f t="shared" si="1"/>
        <v>0</v>
      </c>
      <c r="AH94" s="672">
        <f t="shared" si="1"/>
        <v>0</v>
      </c>
      <c r="AI94" s="673">
        <f t="shared" si="1"/>
        <v>0</v>
      </c>
      <c r="AJ94" s="672">
        <f t="shared" si="1"/>
        <v>0</v>
      </c>
      <c r="AK94" s="673">
        <f t="shared" si="1"/>
        <v>0</v>
      </c>
      <c r="AL94" s="672">
        <f t="shared" si="1"/>
        <v>0</v>
      </c>
      <c r="AM94" s="673">
        <f t="shared" si="1"/>
        <v>0</v>
      </c>
      <c r="AN94" s="672">
        <f t="shared" si="1"/>
        <v>0</v>
      </c>
      <c r="AO94" s="671">
        <f t="shared" si="1"/>
        <v>0</v>
      </c>
      <c r="AP94" s="671">
        <f>SUM(AP95:AP97)</f>
        <v>0</v>
      </c>
      <c r="AQ94" s="290"/>
      <c r="AR94" s="290"/>
      <c r="AS94" s="290"/>
      <c r="AT94" s="290"/>
      <c r="AU94" s="290"/>
      <c r="AV94" s="290"/>
      <c r="AW94" s="290"/>
      <c r="AX94" s="290"/>
      <c r="AY94" s="290"/>
      <c r="AZ94" s="290"/>
      <c r="BA94" s="290"/>
      <c r="BB94" s="290"/>
      <c r="BC94" s="290"/>
    </row>
    <row r="95" spans="1:109" ht="16.350000000000001" customHeight="1" x14ac:dyDescent="0.25">
      <c r="A95" s="7289" t="s">
        <v>4945</v>
      </c>
      <c r="B95" s="8583" t="s">
        <v>991</v>
      </c>
      <c r="C95" s="2095" t="s">
        <v>990</v>
      </c>
      <c r="D95" s="603" t="s">
        <v>5369</v>
      </c>
      <c r="E95" s="1912" t="s">
        <v>5370</v>
      </c>
      <c r="F95" s="1906" t="s">
        <v>5371</v>
      </c>
      <c r="G95" s="602" t="s">
        <v>5372</v>
      </c>
      <c r="H95" s="600" t="s">
        <v>5373</v>
      </c>
      <c r="I95" s="612" t="s">
        <v>5374</v>
      </c>
      <c r="J95" s="601" t="s">
        <v>5375</v>
      </c>
      <c r="K95" s="612" t="s">
        <v>5376</v>
      </c>
      <c r="L95" s="601" t="s">
        <v>5377</v>
      </c>
      <c r="M95" s="602" t="s">
        <v>5378</v>
      </c>
      <c r="N95" s="600" t="s">
        <v>5379</v>
      </c>
      <c r="O95" s="612" t="s">
        <v>5380</v>
      </c>
      <c r="P95" s="601" t="s">
        <v>5381</v>
      </c>
      <c r="Q95" s="612" t="s">
        <v>5382</v>
      </c>
      <c r="R95" s="601" t="s">
        <v>5383</v>
      </c>
      <c r="S95" s="612" t="s">
        <v>5384</v>
      </c>
      <c r="T95" s="601" t="s">
        <v>5385</v>
      </c>
      <c r="U95" s="612" t="s">
        <v>5386</v>
      </c>
      <c r="V95" s="601" t="s">
        <v>5387</v>
      </c>
      <c r="W95" s="612" t="s">
        <v>5388</v>
      </c>
      <c r="X95" s="601" t="s">
        <v>5389</v>
      </c>
      <c r="Y95" s="612" t="s">
        <v>5390</v>
      </c>
      <c r="Z95" s="601" t="s">
        <v>5391</v>
      </c>
      <c r="AA95" s="612" t="s">
        <v>5392</v>
      </c>
      <c r="AB95" s="601" t="s">
        <v>5393</v>
      </c>
      <c r="AC95" s="612" t="s">
        <v>5394</v>
      </c>
      <c r="AD95" s="601" t="s">
        <v>5395</v>
      </c>
      <c r="AE95" s="612" t="s">
        <v>5396</v>
      </c>
      <c r="AF95" s="601" t="s">
        <v>5397</v>
      </c>
      <c r="AG95" s="612" t="s">
        <v>5398</v>
      </c>
      <c r="AH95" s="601" t="s">
        <v>5399</v>
      </c>
      <c r="AI95" s="612" t="s">
        <v>5400</v>
      </c>
      <c r="AJ95" s="601" t="s">
        <v>5401</v>
      </c>
      <c r="AK95" s="612" t="s">
        <v>5402</v>
      </c>
      <c r="AL95" s="601" t="s">
        <v>5403</v>
      </c>
      <c r="AM95" s="612" t="s">
        <v>5404</v>
      </c>
      <c r="AN95" s="601" t="s">
        <v>5405</v>
      </c>
      <c r="AO95" s="599" t="s">
        <v>5406</v>
      </c>
      <c r="AP95" s="599" t="s">
        <v>5407</v>
      </c>
      <c r="AQ95" s="1444"/>
      <c r="AR95" s="806"/>
      <c r="AS95" s="806"/>
      <c r="AT95" s="806"/>
      <c r="AU95" s="806"/>
      <c r="AV95" s="806"/>
      <c r="AW95" s="806"/>
      <c r="AX95" s="806"/>
      <c r="AY95" s="806"/>
      <c r="AZ95" s="806"/>
      <c r="BA95" s="806"/>
      <c r="BB95" s="290"/>
      <c r="BC95" s="290"/>
      <c r="DC95" s="3219">
        <v>0</v>
      </c>
      <c r="DE95" s="3219">
        <v>0</v>
      </c>
    </row>
    <row r="96" spans="1:109" ht="16.350000000000001" customHeight="1" x14ac:dyDescent="0.25">
      <c r="A96" s="7289" t="s">
        <v>4946</v>
      </c>
      <c r="B96" s="8555"/>
      <c r="C96" s="1498" t="s">
        <v>989</v>
      </c>
      <c r="D96" s="643" t="s">
        <v>5369</v>
      </c>
      <c r="E96" s="911" t="s">
        <v>5370</v>
      </c>
      <c r="F96" s="1907" t="s">
        <v>5371</v>
      </c>
      <c r="G96" s="640" t="s">
        <v>5372</v>
      </c>
      <c r="H96" s="642" t="s">
        <v>5373</v>
      </c>
      <c r="I96" s="641" t="s">
        <v>5374</v>
      </c>
      <c r="J96" s="637" t="s">
        <v>5375</v>
      </c>
      <c r="K96" s="640" t="s">
        <v>5376</v>
      </c>
      <c r="L96" s="636" t="s">
        <v>5377</v>
      </c>
      <c r="M96" s="641" t="s">
        <v>5378</v>
      </c>
      <c r="N96" s="639" t="s">
        <v>5379</v>
      </c>
      <c r="O96" s="640" t="s">
        <v>5380</v>
      </c>
      <c r="P96" s="636" t="s">
        <v>5381</v>
      </c>
      <c r="Q96" s="637" t="s">
        <v>5382</v>
      </c>
      <c r="R96" s="639" t="s">
        <v>5383</v>
      </c>
      <c r="S96" s="638" t="s">
        <v>5384</v>
      </c>
      <c r="T96" s="636" t="s">
        <v>5385</v>
      </c>
      <c r="U96" s="637" t="s">
        <v>5386</v>
      </c>
      <c r="V96" s="639" t="s">
        <v>5387</v>
      </c>
      <c r="W96" s="638" t="s">
        <v>5388</v>
      </c>
      <c r="X96" s="636" t="s">
        <v>5389</v>
      </c>
      <c r="Y96" s="637" t="s">
        <v>5390</v>
      </c>
      <c r="Z96" s="636" t="s">
        <v>5391</v>
      </c>
      <c r="AA96" s="638" t="s">
        <v>5392</v>
      </c>
      <c r="AB96" s="639" t="s">
        <v>5393</v>
      </c>
      <c r="AC96" s="638" t="s">
        <v>5394</v>
      </c>
      <c r="AD96" s="636" t="s">
        <v>5395</v>
      </c>
      <c r="AE96" s="637" t="s">
        <v>5396</v>
      </c>
      <c r="AF96" s="639" t="s">
        <v>5397</v>
      </c>
      <c r="AG96" s="638" t="s">
        <v>5398</v>
      </c>
      <c r="AH96" s="636" t="s">
        <v>5399</v>
      </c>
      <c r="AI96" s="637" t="s">
        <v>5400</v>
      </c>
      <c r="AJ96" s="639" t="s">
        <v>5401</v>
      </c>
      <c r="AK96" s="638" t="s">
        <v>5402</v>
      </c>
      <c r="AL96" s="636" t="s">
        <v>5403</v>
      </c>
      <c r="AM96" s="637" t="s">
        <v>5404</v>
      </c>
      <c r="AN96" s="636" t="s">
        <v>5405</v>
      </c>
      <c r="AO96" s="625" t="s">
        <v>5406</v>
      </c>
      <c r="AP96" s="625" t="s">
        <v>5407</v>
      </c>
      <c r="AQ96" s="1444"/>
      <c r="AR96" s="806"/>
      <c r="AS96" s="806"/>
      <c r="AT96" s="806"/>
      <c r="AU96" s="806"/>
      <c r="AV96" s="806"/>
      <c r="AW96" s="806"/>
      <c r="AX96" s="806"/>
      <c r="AY96" s="806"/>
      <c r="AZ96" s="806"/>
      <c r="BA96" s="806"/>
      <c r="BB96" s="290"/>
      <c r="BC96" s="290"/>
      <c r="DC96" s="3219">
        <v>0</v>
      </c>
      <c r="DE96" s="3219">
        <v>0</v>
      </c>
    </row>
    <row r="97" spans="1:109" ht="16.350000000000001" customHeight="1" thickBot="1" x14ac:dyDescent="0.3">
      <c r="A97" s="7289" t="s">
        <v>4947</v>
      </c>
      <c r="B97" s="9649"/>
      <c r="C97" s="1499" t="s">
        <v>988</v>
      </c>
      <c r="D97" s="669" t="s">
        <v>5369</v>
      </c>
      <c r="E97" s="1913" t="s">
        <v>5370</v>
      </c>
      <c r="F97" s="1908" t="s">
        <v>5371</v>
      </c>
      <c r="G97" s="666" t="s">
        <v>5372</v>
      </c>
      <c r="H97" s="668" t="s">
        <v>5373</v>
      </c>
      <c r="I97" s="667" t="s">
        <v>5374</v>
      </c>
      <c r="J97" s="663" t="s">
        <v>5375</v>
      </c>
      <c r="K97" s="666" t="s">
        <v>5376</v>
      </c>
      <c r="L97" s="662" t="s">
        <v>5377</v>
      </c>
      <c r="M97" s="667" t="s">
        <v>5378</v>
      </c>
      <c r="N97" s="665" t="s">
        <v>5379</v>
      </c>
      <c r="O97" s="666" t="s">
        <v>5380</v>
      </c>
      <c r="P97" s="662" t="s">
        <v>5381</v>
      </c>
      <c r="Q97" s="663" t="s">
        <v>5382</v>
      </c>
      <c r="R97" s="665" t="s">
        <v>5383</v>
      </c>
      <c r="S97" s="664" t="s">
        <v>5384</v>
      </c>
      <c r="T97" s="662" t="s">
        <v>5385</v>
      </c>
      <c r="U97" s="663" t="s">
        <v>5386</v>
      </c>
      <c r="V97" s="665" t="s">
        <v>5387</v>
      </c>
      <c r="W97" s="664" t="s">
        <v>5388</v>
      </c>
      <c r="X97" s="662" t="s">
        <v>5389</v>
      </c>
      <c r="Y97" s="663" t="s">
        <v>5390</v>
      </c>
      <c r="Z97" s="662" t="s">
        <v>5391</v>
      </c>
      <c r="AA97" s="664" t="s">
        <v>5392</v>
      </c>
      <c r="AB97" s="665" t="s">
        <v>5393</v>
      </c>
      <c r="AC97" s="664" t="s">
        <v>5394</v>
      </c>
      <c r="AD97" s="662" t="s">
        <v>5395</v>
      </c>
      <c r="AE97" s="663" t="s">
        <v>5396</v>
      </c>
      <c r="AF97" s="665" t="s">
        <v>5397</v>
      </c>
      <c r="AG97" s="664" t="s">
        <v>5398</v>
      </c>
      <c r="AH97" s="662" t="s">
        <v>5399</v>
      </c>
      <c r="AI97" s="663" t="s">
        <v>5400</v>
      </c>
      <c r="AJ97" s="665" t="s">
        <v>5401</v>
      </c>
      <c r="AK97" s="664" t="s">
        <v>5402</v>
      </c>
      <c r="AL97" s="662" t="s">
        <v>5403</v>
      </c>
      <c r="AM97" s="663" t="s">
        <v>5404</v>
      </c>
      <c r="AN97" s="662" t="s">
        <v>5405</v>
      </c>
      <c r="AO97" s="661" t="s">
        <v>5406</v>
      </c>
      <c r="AP97" s="661" t="s">
        <v>5407</v>
      </c>
      <c r="AQ97" s="1444"/>
      <c r="AR97" s="806"/>
      <c r="AS97" s="806"/>
      <c r="AT97" s="806"/>
      <c r="AU97" s="806"/>
      <c r="AV97" s="806"/>
      <c r="AW97" s="806"/>
      <c r="AX97" s="806"/>
      <c r="AY97" s="806"/>
      <c r="AZ97" s="806"/>
      <c r="BA97" s="806"/>
      <c r="BB97" s="290"/>
      <c r="BC97" s="290"/>
      <c r="DC97" s="3219">
        <v>0</v>
      </c>
      <c r="DE97" s="3219">
        <v>0</v>
      </c>
    </row>
    <row r="98" spans="1:109" ht="16.350000000000001" customHeight="1" thickTop="1" x14ac:dyDescent="0.25">
      <c r="A98" s="7289" t="s">
        <v>4948</v>
      </c>
      <c r="B98" s="9684" t="s">
        <v>2057</v>
      </c>
      <c r="C98" s="9685"/>
      <c r="D98" s="250" t="s">
        <v>5369</v>
      </c>
      <c r="E98" s="1815" t="s">
        <v>5370</v>
      </c>
      <c r="F98" s="905" t="s">
        <v>5371</v>
      </c>
      <c r="G98" s="649" t="s">
        <v>5372</v>
      </c>
      <c r="H98" s="654" t="s">
        <v>5373</v>
      </c>
      <c r="I98" s="659" t="s">
        <v>5374</v>
      </c>
      <c r="J98" s="655" t="s">
        <v>5375</v>
      </c>
      <c r="K98" s="658" t="s">
        <v>5376</v>
      </c>
      <c r="L98" s="654" t="s">
        <v>5377</v>
      </c>
      <c r="M98" s="659" t="s">
        <v>5378</v>
      </c>
      <c r="N98" s="657" t="s">
        <v>5379</v>
      </c>
      <c r="O98" s="658" t="s">
        <v>5380</v>
      </c>
      <c r="P98" s="654" t="s">
        <v>5381</v>
      </c>
      <c r="Q98" s="655" t="s">
        <v>5382</v>
      </c>
      <c r="R98" s="657" t="s">
        <v>5383</v>
      </c>
      <c r="S98" s="656" t="s">
        <v>5384</v>
      </c>
      <c r="T98" s="654" t="s">
        <v>5385</v>
      </c>
      <c r="U98" s="655" t="s">
        <v>5386</v>
      </c>
      <c r="V98" s="657" t="s">
        <v>5387</v>
      </c>
      <c r="W98" s="656" t="s">
        <v>5388</v>
      </c>
      <c r="X98" s="654" t="s">
        <v>5389</v>
      </c>
      <c r="Y98" s="655" t="s">
        <v>5390</v>
      </c>
      <c r="Z98" s="654" t="s">
        <v>5391</v>
      </c>
      <c r="AA98" s="656" t="s">
        <v>5392</v>
      </c>
      <c r="AB98" s="657" t="s">
        <v>5393</v>
      </c>
      <c r="AC98" s="656" t="s">
        <v>5394</v>
      </c>
      <c r="AD98" s="654" t="s">
        <v>5395</v>
      </c>
      <c r="AE98" s="655" t="s">
        <v>5396</v>
      </c>
      <c r="AF98" s="657" t="s">
        <v>5397</v>
      </c>
      <c r="AG98" s="656" t="s">
        <v>5398</v>
      </c>
      <c r="AH98" s="654" t="s">
        <v>5399</v>
      </c>
      <c r="AI98" s="655" t="s">
        <v>5400</v>
      </c>
      <c r="AJ98" s="657" t="s">
        <v>5401</v>
      </c>
      <c r="AK98" s="656" t="s">
        <v>5402</v>
      </c>
      <c r="AL98" s="654" t="s">
        <v>5403</v>
      </c>
      <c r="AM98" s="655" t="s">
        <v>5404</v>
      </c>
      <c r="AN98" s="654" t="s">
        <v>5405</v>
      </c>
      <c r="AO98" s="653" t="s">
        <v>5406</v>
      </c>
      <c r="AP98" s="1573" t="s">
        <v>5407</v>
      </c>
      <c r="AQ98" s="1444"/>
      <c r="AR98" s="806"/>
      <c r="AS98" s="806"/>
      <c r="AT98" s="806"/>
      <c r="AU98" s="806"/>
      <c r="AV98" s="806"/>
      <c r="AW98" s="806"/>
      <c r="AX98" s="806"/>
      <c r="AY98" s="806"/>
      <c r="AZ98" s="806"/>
      <c r="BA98" s="806"/>
      <c r="BB98" s="290"/>
      <c r="BC98" s="290"/>
      <c r="DC98" s="3219">
        <v>0</v>
      </c>
    </row>
    <row r="99" spans="1:109" ht="16.350000000000001" customHeight="1" x14ac:dyDescent="0.25">
      <c r="A99" s="7300" t="s">
        <v>4949</v>
      </c>
      <c r="B99" s="8838" t="s">
        <v>987</v>
      </c>
      <c r="C99" s="9530"/>
      <c r="D99" s="552" t="s">
        <v>5369</v>
      </c>
      <c r="E99" s="1815" t="s">
        <v>5370</v>
      </c>
      <c r="F99" s="1909" t="s">
        <v>5371</v>
      </c>
      <c r="G99" s="652" t="s">
        <v>5372</v>
      </c>
      <c r="H99" s="651" t="s">
        <v>5373</v>
      </c>
      <c r="I99" s="650" t="s">
        <v>5374</v>
      </c>
      <c r="J99" s="646" t="s">
        <v>5375</v>
      </c>
      <c r="K99" s="649" t="s">
        <v>5376</v>
      </c>
      <c r="L99" s="645" t="s">
        <v>5377</v>
      </c>
      <c r="M99" s="650" t="s">
        <v>5378</v>
      </c>
      <c r="N99" s="648" t="s">
        <v>5379</v>
      </c>
      <c r="O99" s="649" t="s">
        <v>5380</v>
      </c>
      <c r="P99" s="645" t="s">
        <v>5381</v>
      </c>
      <c r="Q99" s="646" t="s">
        <v>5382</v>
      </c>
      <c r="R99" s="648" t="s">
        <v>5383</v>
      </c>
      <c r="S99" s="647" t="s">
        <v>5384</v>
      </c>
      <c r="T99" s="645" t="s">
        <v>5385</v>
      </c>
      <c r="U99" s="646" t="s">
        <v>5386</v>
      </c>
      <c r="V99" s="648" t="s">
        <v>5387</v>
      </c>
      <c r="W99" s="647" t="s">
        <v>5388</v>
      </c>
      <c r="X99" s="645" t="s">
        <v>5389</v>
      </c>
      <c r="Y99" s="646" t="s">
        <v>5390</v>
      </c>
      <c r="Z99" s="645" t="s">
        <v>5391</v>
      </c>
      <c r="AA99" s="647" t="s">
        <v>5392</v>
      </c>
      <c r="AB99" s="648" t="s">
        <v>5393</v>
      </c>
      <c r="AC99" s="647" t="s">
        <v>5394</v>
      </c>
      <c r="AD99" s="645" t="s">
        <v>5395</v>
      </c>
      <c r="AE99" s="646" t="s">
        <v>5396</v>
      </c>
      <c r="AF99" s="648" t="s">
        <v>5397</v>
      </c>
      <c r="AG99" s="647" t="s">
        <v>5398</v>
      </c>
      <c r="AH99" s="645" t="s">
        <v>5399</v>
      </c>
      <c r="AI99" s="646" t="s">
        <v>5400</v>
      </c>
      <c r="AJ99" s="648" t="s">
        <v>5401</v>
      </c>
      <c r="AK99" s="647" t="s">
        <v>5402</v>
      </c>
      <c r="AL99" s="645" t="s">
        <v>5403</v>
      </c>
      <c r="AM99" s="646" t="s">
        <v>5404</v>
      </c>
      <c r="AN99" s="645" t="s">
        <v>5405</v>
      </c>
      <c r="AO99" s="644" t="s">
        <v>5406</v>
      </c>
      <c r="AP99" s="1574" t="s">
        <v>5407</v>
      </c>
      <c r="AQ99" s="1444"/>
      <c r="AR99" s="806"/>
      <c r="AS99" s="806"/>
      <c r="AT99" s="806"/>
      <c r="AU99" s="806"/>
      <c r="AV99" s="806"/>
      <c r="AW99" s="806"/>
      <c r="AX99" s="806"/>
      <c r="AY99" s="806"/>
      <c r="AZ99" s="806"/>
      <c r="BA99" s="806"/>
      <c r="BB99" s="290"/>
      <c r="BC99" s="290"/>
      <c r="DC99" s="3219">
        <v>0</v>
      </c>
    </row>
    <row r="100" spans="1:109" ht="16.350000000000001" customHeight="1" x14ac:dyDescent="0.25">
      <c r="A100" s="7300" t="s">
        <v>4950</v>
      </c>
      <c r="B100" s="8838" t="s">
        <v>986</v>
      </c>
      <c r="C100" s="9530"/>
      <c r="D100" s="643" t="s">
        <v>5369</v>
      </c>
      <c r="E100" s="911" t="s">
        <v>5370</v>
      </c>
      <c r="F100" s="1910" t="s">
        <v>5371</v>
      </c>
      <c r="G100" s="640" t="s">
        <v>5372</v>
      </c>
      <c r="H100" s="642" t="s">
        <v>5373</v>
      </c>
      <c r="I100" s="641" t="s">
        <v>5374</v>
      </c>
      <c r="J100" s="637" t="s">
        <v>5375</v>
      </c>
      <c r="K100" s="640" t="s">
        <v>5376</v>
      </c>
      <c r="L100" s="636" t="s">
        <v>5377</v>
      </c>
      <c r="M100" s="641" t="s">
        <v>5378</v>
      </c>
      <c r="N100" s="639" t="s">
        <v>5379</v>
      </c>
      <c r="O100" s="640" t="s">
        <v>5380</v>
      </c>
      <c r="P100" s="636" t="s">
        <v>5381</v>
      </c>
      <c r="Q100" s="637" t="s">
        <v>5382</v>
      </c>
      <c r="R100" s="639" t="s">
        <v>5383</v>
      </c>
      <c r="S100" s="638" t="s">
        <v>5384</v>
      </c>
      <c r="T100" s="636" t="s">
        <v>5385</v>
      </c>
      <c r="U100" s="637" t="s">
        <v>5386</v>
      </c>
      <c r="V100" s="639" t="s">
        <v>5387</v>
      </c>
      <c r="W100" s="638" t="s">
        <v>5388</v>
      </c>
      <c r="X100" s="636" t="s">
        <v>5389</v>
      </c>
      <c r="Y100" s="637" t="s">
        <v>5390</v>
      </c>
      <c r="Z100" s="636" t="s">
        <v>5391</v>
      </c>
      <c r="AA100" s="638" t="s">
        <v>5392</v>
      </c>
      <c r="AB100" s="639" t="s">
        <v>5393</v>
      </c>
      <c r="AC100" s="638" t="s">
        <v>5394</v>
      </c>
      <c r="AD100" s="636" t="s">
        <v>5395</v>
      </c>
      <c r="AE100" s="637" t="s">
        <v>5396</v>
      </c>
      <c r="AF100" s="639" t="s">
        <v>5397</v>
      </c>
      <c r="AG100" s="638" t="s">
        <v>5398</v>
      </c>
      <c r="AH100" s="636" t="s">
        <v>5399</v>
      </c>
      <c r="AI100" s="637" t="s">
        <v>5400</v>
      </c>
      <c r="AJ100" s="639" t="s">
        <v>5401</v>
      </c>
      <c r="AK100" s="638" t="s">
        <v>5402</v>
      </c>
      <c r="AL100" s="636" t="s">
        <v>5403</v>
      </c>
      <c r="AM100" s="637" t="s">
        <v>5404</v>
      </c>
      <c r="AN100" s="636" t="s">
        <v>5405</v>
      </c>
      <c r="AO100" s="625" t="s">
        <v>5406</v>
      </c>
      <c r="AP100" s="1575" t="s">
        <v>5407</v>
      </c>
      <c r="AQ100" s="1444"/>
      <c r="AR100" s="806"/>
      <c r="AS100" s="806"/>
      <c r="AT100" s="806"/>
      <c r="AU100" s="806"/>
      <c r="AV100" s="806"/>
      <c r="AW100" s="806"/>
      <c r="AX100" s="806"/>
      <c r="AY100" s="806"/>
      <c r="AZ100" s="806"/>
      <c r="BA100" s="806"/>
      <c r="BB100" s="290"/>
      <c r="BC100" s="290"/>
      <c r="DC100" s="3219">
        <v>0</v>
      </c>
    </row>
    <row r="101" spans="1:109" ht="16.350000000000001" customHeight="1" x14ac:dyDescent="0.25">
      <c r="A101" s="7300" t="s">
        <v>4951</v>
      </c>
      <c r="B101" s="9647" t="s">
        <v>985</v>
      </c>
      <c r="C101" s="9648"/>
      <c r="D101" s="551" t="s">
        <v>5369</v>
      </c>
      <c r="E101" s="1821" t="s">
        <v>5370</v>
      </c>
      <c r="F101" s="1623" t="s">
        <v>5371</v>
      </c>
      <c r="G101" s="632" t="s">
        <v>5372</v>
      </c>
      <c r="H101" s="634" t="s">
        <v>5373</v>
      </c>
      <c r="I101" s="633" t="s">
        <v>5374</v>
      </c>
      <c r="J101" s="629" t="s">
        <v>5375</v>
      </c>
      <c r="K101" s="632" t="s">
        <v>5376</v>
      </c>
      <c r="L101" s="628" t="s">
        <v>5377</v>
      </c>
      <c r="M101" s="633" t="s">
        <v>5378</v>
      </c>
      <c r="N101" s="631" t="s">
        <v>5379</v>
      </c>
      <c r="O101" s="632" t="s">
        <v>5380</v>
      </c>
      <c r="P101" s="628" t="s">
        <v>5381</v>
      </c>
      <c r="Q101" s="629" t="s">
        <v>5382</v>
      </c>
      <c r="R101" s="631" t="s">
        <v>5383</v>
      </c>
      <c r="S101" s="630" t="s">
        <v>5384</v>
      </c>
      <c r="T101" s="628" t="s">
        <v>5385</v>
      </c>
      <c r="U101" s="629" t="s">
        <v>5386</v>
      </c>
      <c r="V101" s="631" t="s">
        <v>5387</v>
      </c>
      <c r="W101" s="630" t="s">
        <v>5388</v>
      </c>
      <c r="X101" s="628" t="s">
        <v>5389</v>
      </c>
      <c r="Y101" s="629" t="s">
        <v>5390</v>
      </c>
      <c r="Z101" s="628" t="s">
        <v>5391</v>
      </c>
      <c r="AA101" s="630" t="s">
        <v>5392</v>
      </c>
      <c r="AB101" s="631" t="s">
        <v>5393</v>
      </c>
      <c r="AC101" s="630" t="s">
        <v>5394</v>
      </c>
      <c r="AD101" s="628" t="s">
        <v>5395</v>
      </c>
      <c r="AE101" s="629" t="s">
        <v>5396</v>
      </c>
      <c r="AF101" s="631" t="s">
        <v>5397</v>
      </c>
      <c r="AG101" s="630" t="s">
        <v>5398</v>
      </c>
      <c r="AH101" s="628" t="s">
        <v>5399</v>
      </c>
      <c r="AI101" s="629" t="s">
        <v>5400</v>
      </c>
      <c r="AJ101" s="631" t="s">
        <v>5401</v>
      </c>
      <c r="AK101" s="630" t="s">
        <v>5402</v>
      </c>
      <c r="AL101" s="628" t="s">
        <v>5403</v>
      </c>
      <c r="AM101" s="629" t="s">
        <v>5404</v>
      </c>
      <c r="AN101" s="628" t="s">
        <v>5405</v>
      </c>
      <c r="AO101" s="627" t="s">
        <v>5406</v>
      </c>
      <c r="AP101" s="1576" t="s">
        <v>5407</v>
      </c>
      <c r="AQ101" s="1444"/>
      <c r="AR101" s="806"/>
      <c r="AS101" s="806"/>
      <c r="AT101" s="806"/>
      <c r="AU101" s="806"/>
      <c r="AV101" s="806"/>
      <c r="AW101" s="806"/>
      <c r="AX101" s="806"/>
      <c r="AY101" s="806"/>
      <c r="AZ101" s="806"/>
      <c r="BA101" s="806"/>
      <c r="BB101" s="290"/>
      <c r="BC101" s="290"/>
      <c r="DC101" s="3219">
        <v>0</v>
      </c>
    </row>
    <row r="102" spans="1:109" ht="32.1" customHeight="1" x14ac:dyDescent="0.25">
      <c r="B102" s="72" t="s">
        <v>3598</v>
      </c>
      <c r="C102" s="140"/>
      <c r="D102" s="140"/>
      <c r="E102" s="140"/>
      <c r="AP102" s="290"/>
      <c r="AQ102" s="290"/>
      <c r="AR102" s="290"/>
      <c r="AS102" s="290"/>
      <c r="AT102" s="290"/>
      <c r="AU102" s="290"/>
      <c r="AV102" s="290"/>
      <c r="AW102" s="290"/>
      <c r="AX102" s="290"/>
      <c r="AY102" s="290"/>
      <c r="AZ102" s="290"/>
      <c r="BA102" s="290"/>
      <c r="BB102" s="290"/>
      <c r="BC102" s="290"/>
      <c r="BY102" s="290"/>
      <c r="BZ102" s="290"/>
    </row>
    <row r="103" spans="1:109" ht="16.350000000000001" customHeight="1" x14ac:dyDescent="0.25">
      <c r="B103" s="8771" t="s">
        <v>984</v>
      </c>
      <c r="C103" s="9592"/>
      <c r="D103" s="8772"/>
      <c r="E103" s="2116" t="s">
        <v>24</v>
      </c>
      <c r="AP103" s="290"/>
      <c r="AQ103" s="290"/>
      <c r="AR103" s="290"/>
      <c r="AS103" s="290"/>
      <c r="AT103" s="290"/>
      <c r="AU103" s="290"/>
      <c r="AV103" s="290"/>
      <c r="AW103" s="290"/>
      <c r="AX103" s="290"/>
      <c r="AY103" s="290"/>
      <c r="AZ103" s="290"/>
      <c r="BA103" s="290"/>
      <c r="BB103" s="290"/>
      <c r="BC103" s="290"/>
    </row>
    <row r="104" spans="1:109" ht="25.35" customHeight="1" x14ac:dyDescent="0.25">
      <c r="A104" s="7300" t="s">
        <v>4952</v>
      </c>
      <c r="B104" s="8612" t="s">
        <v>983</v>
      </c>
      <c r="C104" s="8613"/>
      <c r="D104" s="2119" t="s">
        <v>982</v>
      </c>
      <c r="E104" s="626" t="s">
        <v>5369</v>
      </c>
      <c r="F104" s="105"/>
    </row>
    <row r="105" spans="1:109" ht="25.35" customHeight="1" x14ac:dyDescent="0.25">
      <c r="A105" s="7300" t="s">
        <v>4953</v>
      </c>
      <c r="B105" s="8621"/>
      <c r="C105" s="8622"/>
      <c r="D105" s="2096" t="s">
        <v>981</v>
      </c>
      <c r="E105" s="625" t="s">
        <v>5369</v>
      </c>
      <c r="F105" s="105"/>
    </row>
    <row r="106" spans="1:109" ht="25.35" customHeight="1" x14ac:dyDescent="0.25">
      <c r="A106" s="7300" t="s">
        <v>4954</v>
      </c>
      <c r="B106" s="8614"/>
      <c r="C106" s="8615"/>
      <c r="D106" s="2097" t="s">
        <v>980</v>
      </c>
      <c r="E106" s="624" t="s">
        <v>5369</v>
      </c>
      <c r="F106" s="105"/>
    </row>
    <row r="107" spans="1:109" ht="32.1" customHeight="1" x14ac:dyDescent="0.3">
      <c r="B107" s="133" t="s">
        <v>3996</v>
      </c>
      <c r="C107" s="153"/>
      <c r="D107" s="623"/>
      <c r="E107" s="623"/>
      <c r="F107" s="622"/>
      <c r="G107" s="1500"/>
      <c r="H107" s="1500"/>
      <c r="I107" s="199"/>
      <c r="J107" s="1500"/>
      <c r="K107" s="153"/>
      <c r="L107" s="483"/>
      <c r="M107" s="621"/>
      <c r="N107" s="483"/>
      <c r="O107" s="483"/>
      <c r="P107" s="481"/>
      <c r="Q107" s="153"/>
      <c r="R107" s="483"/>
      <c r="S107" s="481"/>
      <c r="T107" s="153"/>
      <c r="U107" s="483"/>
      <c r="V107" s="153"/>
      <c r="W107" s="153"/>
      <c r="X107" s="481"/>
      <c r="Y107" s="481"/>
      <c r="Z107" s="481"/>
      <c r="AA107" s="482"/>
      <c r="AB107" s="153"/>
      <c r="AC107" s="481"/>
      <c r="AD107" s="481"/>
      <c r="AE107" s="481"/>
      <c r="AF107" s="481"/>
      <c r="AG107" s="482"/>
      <c r="AH107" s="153"/>
      <c r="AI107" s="481"/>
      <c r="AJ107" s="481"/>
      <c r="AK107" s="481"/>
      <c r="AL107" s="153"/>
      <c r="AM107" s="483"/>
      <c r="AN107" s="481"/>
      <c r="AO107" s="483"/>
      <c r="AP107" s="154"/>
      <c r="AQ107" s="153"/>
      <c r="BY107" s="290"/>
      <c r="BZ107" s="290"/>
    </row>
    <row r="108" spans="1:109" ht="16.350000000000001" customHeight="1" x14ac:dyDescent="0.25">
      <c r="B108" s="9587" t="s">
        <v>979</v>
      </c>
      <c r="C108" s="8867"/>
      <c r="D108" s="8612" t="s">
        <v>942</v>
      </c>
      <c r="E108" s="8597"/>
      <c r="F108" s="8613"/>
      <c r="G108" s="8771" t="s">
        <v>84</v>
      </c>
      <c r="H108" s="9592"/>
      <c r="I108" s="9592"/>
      <c r="J108" s="9592"/>
      <c r="K108" s="9592"/>
      <c r="L108" s="9592"/>
      <c r="M108" s="9592"/>
      <c r="N108" s="9592"/>
      <c r="O108" s="9592"/>
      <c r="P108" s="9592"/>
      <c r="Q108" s="9592"/>
      <c r="R108" s="9592"/>
      <c r="S108" s="9592"/>
      <c r="T108" s="9592"/>
      <c r="U108" s="9592"/>
      <c r="V108" s="9592"/>
      <c r="W108" s="9592"/>
      <c r="X108" s="9592"/>
      <c r="Y108" s="9592"/>
      <c r="Z108" s="9592"/>
      <c r="AA108" s="9592"/>
      <c r="AB108" s="9592"/>
      <c r="AC108" s="9592"/>
      <c r="AD108" s="9592"/>
      <c r="AE108" s="9592"/>
      <c r="AF108" s="9592"/>
      <c r="AG108" s="9592"/>
      <c r="AH108" s="9592"/>
      <c r="AI108" s="9592"/>
      <c r="AJ108" s="9592"/>
      <c r="AK108" s="9592"/>
      <c r="AL108" s="9592"/>
      <c r="AM108" s="9592"/>
      <c r="AN108" s="8772"/>
      <c r="AO108" s="8583" t="s">
        <v>360</v>
      </c>
      <c r="AP108" s="1501"/>
    </row>
    <row r="109" spans="1:109" ht="16.350000000000001" customHeight="1" x14ac:dyDescent="0.25">
      <c r="B109" s="8887"/>
      <c r="C109" s="8868"/>
      <c r="D109" s="8614"/>
      <c r="E109" s="8598"/>
      <c r="F109" s="8615"/>
      <c r="G109" s="9600" t="s">
        <v>399</v>
      </c>
      <c r="H109" s="9601"/>
      <c r="I109" s="9600" t="s">
        <v>54</v>
      </c>
      <c r="J109" s="9601"/>
      <c r="K109" s="9600" t="s">
        <v>79</v>
      </c>
      <c r="L109" s="9601"/>
      <c r="M109" s="9600" t="s">
        <v>80</v>
      </c>
      <c r="N109" s="9601"/>
      <c r="O109" s="9600" t="s">
        <v>81</v>
      </c>
      <c r="P109" s="9601"/>
      <c r="Q109" s="9590" t="s">
        <v>82</v>
      </c>
      <c r="R109" s="9593"/>
      <c r="S109" s="9590" t="s">
        <v>83</v>
      </c>
      <c r="T109" s="9593"/>
      <c r="U109" s="9590" t="s">
        <v>400</v>
      </c>
      <c r="V109" s="9593"/>
      <c r="W109" s="9590" t="s">
        <v>124</v>
      </c>
      <c r="X109" s="9593"/>
      <c r="Y109" s="9590" t="s">
        <v>125</v>
      </c>
      <c r="Z109" s="9593"/>
      <c r="AA109" s="9590" t="s">
        <v>126</v>
      </c>
      <c r="AB109" s="9593"/>
      <c r="AC109" s="9590" t="s">
        <v>127</v>
      </c>
      <c r="AD109" s="9593"/>
      <c r="AE109" s="9590" t="s">
        <v>128</v>
      </c>
      <c r="AF109" s="9593"/>
      <c r="AG109" s="9590" t="s">
        <v>129</v>
      </c>
      <c r="AH109" s="9593"/>
      <c r="AI109" s="9590" t="s">
        <v>130</v>
      </c>
      <c r="AJ109" s="9593"/>
      <c r="AK109" s="9590" t="s">
        <v>131</v>
      </c>
      <c r="AL109" s="9593"/>
      <c r="AM109" s="9590" t="s">
        <v>1405</v>
      </c>
      <c r="AN109" s="9591"/>
      <c r="AO109" s="8555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</row>
    <row r="110" spans="1:109" ht="16.350000000000001" customHeight="1" x14ac:dyDescent="0.25">
      <c r="B110" s="9588"/>
      <c r="C110" s="9589"/>
      <c r="D110" s="2089" t="s">
        <v>42</v>
      </c>
      <c r="E110" s="2090" t="s">
        <v>708</v>
      </c>
      <c r="F110" s="2076" t="s">
        <v>18</v>
      </c>
      <c r="G110" s="2074" t="s">
        <v>708</v>
      </c>
      <c r="H110" s="2076" t="s">
        <v>18</v>
      </c>
      <c r="I110" s="2074" t="s">
        <v>708</v>
      </c>
      <c r="J110" s="2076" t="s">
        <v>18</v>
      </c>
      <c r="K110" s="2074" t="s">
        <v>708</v>
      </c>
      <c r="L110" s="2076" t="s">
        <v>18</v>
      </c>
      <c r="M110" s="2074" t="s">
        <v>708</v>
      </c>
      <c r="N110" s="2076" t="s">
        <v>18</v>
      </c>
      <c r="O110" s="2074" t="s">
        <v>708</v>
      </c>
      <c r="P110" s="2076" t="s">
        <v>18</v>
      </c>
      <c r="Q110" s="2074" t="s">
        <v>708</v>
      </c>
      <c r="R110" s="2076" t="s">
        <v>18</v>
      </c>
      <c r="S110" s="2074" t="s">
        <v>708</v>
      </c>
      <c r="T110" s="2076" t="s">
        <v>18</v>
      </c>
      <c r="U110" s="2074" t="s">
        <v>708</v>
      </c>
      <c r="V110" s="2076" t="s">
        <v>18</v>
      </c>
      <c r="W110" s="2074" t="s">
        <v>708</v>
      </c>
      <c r="X110" s="2076" t="s">
        <v>18</v>
      </c>
      <c r="Y110" s="2074" t="s">
        <v>708</v>
      </c>
      <c r="Z110" s="2076" t="s">
        <v>18</v>
      </c>
      <c r="AA110" s="2074" t="s">
        <v>708</v>
      </c>
      <c r="AB110" s="2076" t="s">
        <v>18</v>
      </c>
      <c r="AC110" s="2074" t="s">
        <v>708</v>
      </c>
      <c r="AD110" s="2076" t="s">
        <v>18</v>
      </c>
      <c r="AE110" s="2075" t="s">
        <v>708</v>
      </c>
      <c r="AF110" s="2075" t="s">
        <v>18</v>
      </c>
      <c r="AG110" s="2074" t="s">
        <v>708</v>
      </c>
      <c r="AH110" s="2076" t="s">
        <v>18</v>
      </c>
      <c r="AI110" s="2075" t="s">
        <v>708</v>
      </c>
      <c r="AJ110" s="2075" t="s">
        <v>18</v>
      </c>
      <c r="AK110" s="2074" t="s">
        <v>708</v>
      </c>
      <c r="AL110" s="2076" t="s">
        <v>18</v>
      </c>
      <c r="AM110" s="2075" t="s">
        <v>708</v>
      </c>
      <c r="AN110" s="2076" t="s">
        <v>18</v>
      </c>
      <c r="AO110" s="8584"/>
      <c r="AP110" s="1466"/>
      <c r="AQ110" s="290"/>
      <c r="AR110" s="290"/>
      <c r="AS110" s="290"/>
      <c r="AT110" s="290"/>
      <c r="AU110" s="290"/>
      <c r="AV110" s="290"/>
      <c r="AW110" s="290"/>
      <c r="AX110" s="290"/>
      <c r="AY110" s="290"/>
      <c r="AZ110" s="290"/>
      <c r="BA110" s="290"/>
      <c r="BB110" s="290"/>
    </row>
    <row r="111" spans="1:109" ht="16.350000000000001" customHeight="1" x14ac:dyDescent="0.25">
      <c r="A111" s="7300" t="s">
        <v>4955</v>
      </c>
      <c r="B111" s="9675" t="s">
        <v>978</v>
      </c>
      <c r="C111" s="9676"/>
      <c r="D111" s="250" t="s">
        <v>5369</v>
      </c>
      <c r="E111" s="269" t="s">
        <v>5370</v>
      </c>
      <c r="F111" s="151" t="s">
        <v>5371</v>
      </c>
      <c r="G111" s="191" t="s">
        <v>5372</v>
      </c>
      <c r="H111" s="193" t="s">
        <v>5373</v>
      </c>
      <c r="I111" s="191" t="s">
        <v>5374</v>
      </c>
      <c r="J111" s="193" t="s">
        <v>5375</v>
      </c>
      <c r="K111" s="191" t="s">
        <v>5376</v>
      </c>
      <c r="L111" s="193" t="s">
        <v>5377</v>
      </c>
      <c r="M111" s="191" t="s">
        <v>5378</v>
      </c>
      <c r="N111" s="193" t="s">
        <v>5379</v>
      </c>
      <c r="O111" s="191" t="s">
        <v>5380</v>
      </c>
      <c r="P111" s="193" t="s">
        <v>5381</v>
      </c>
      <c r="Q111" s="191" t="s">
        <v>5382</v>
      </c>
      <c r="R111" s="193" t="s">
        <v>5383</v>
      </c>
      <c r="S111" s="191" t="s">
        <v>5384</v>
      </c>
      <c r="T111" s="193" t="s">
        <v>5385</v>
      </c>
      <c r="U111" s="191" t="s">
        <v>5386</v>
      </c>
      <c r="V111" s="193" t="s">
        <v>5387</v>
      </c>
      <c r="W111" s="191" t="s">
        <v>5388</v>
      </c>
      <c r="X111" s="193" t="s">
        <v>5389</v>
      </c>
      <c r="Y111" s="191" t="s">
        <v>5390</v>
      </c>
      <c r="Z111" s="193" t="s">
        <v>5391</v>
      </c>
      <c r="AA111" s="191" t="s">
        <v>5392</v>
      </c>
      <c r="AB111" s="193" t="s">
        <v>5393</v>
      </c>
      <c r="AC111" s="191" t="s">
        <v>5394</v>
      </c>
      <c r="AD111" s="193" t="s">
        <v>5395</v>
      </c>
      <c r="AE111" s="229" t="s">
        <v>5396</v>
      </c>
      <c r="AF111" s="620" t="s">
        <v>5397</v>
      </c>
      <c r="AG111" s="191" t="s">
        <v>5398</v>
      </c>
      <c r="AH111" s="193" t="s">
        <v>5399</v>
      </c>
      <c r="AI111" s="229" t="s">
        <v>5400</v>
      </c>
      <c r="AJ111" s="620" t="s">
        <v>5401</v>
      </c>
      <c r="AK111" s="191" t="s">
        <v>5402</v>
      </c>
      <c r="AL111" s="193" t="s">
        <v>5403</v>
      </c>
      <c r="AM111" s="229" t="s">
        <v>5404</v>
      </c>
      <c r="AN111" s="193" t="s">
        <v>5405</v>
      </c>
      <c r="AO111" s="192" t="s">
        <v>5406</v>
      </c>
      <c r="AP111" s="1444"/>
      <c r="AQ111" s="806"/>
      <c r="AR111" s="806"/>
      <c r="AS111" s="806"/>
      <c r="AT111" s="806"/>
      <c r="AU111" s="806"/>
      <c r="AV111" s="806"/>
      <c r="AW111" s="806"/>
      <c r="AX111" s="806"/>
      <c r="AY111" s="806"/>
      <c r="AZ111" s="806"/>
      <c r="BA111" s="806"/>
      <c r="BB111" s="290"/>
      <c r="DC111" s="3219">
        <v>0</v>
      </c>
    </row>
    <row r="112" spans="1:109" ht="16.350000000000001" customHeight="1" x14ac:dyDescent="0.25">
      <c r="A112" s="7300" t="s">
        <v>4956</v>
      </c>
      <c r="B112" s="9604" t="s">
        <v>977</v>
      </c>
      <c r="C112" s="9605"/>
      <c r="D112" s="251" t="s">
        <v>5369</v>
      </c>
      <c r="E112" s="619" t="s">
        <v>5370</v>
      </c>
      <c r="F112" s="158" t="s">
        <v>5371</v>
      </c>
      <c r="G112" s="230" t="s">
        <v>5372</v>
      </c>
      <c r="H112" s="231" t="s">
        <v>5373</v>
      </c>
      <c r="I112" s="230" t="s">
        <v>5374</v>
      </c>
      <c r="J112" s="231" t="s">
        <v>5375</v>
      </c>
      <c r="K112" s="230" t="s">
        <v>5376</v>
      </c>
      <c r="L112" s="231" t="s">
        <v>5377</v>
      </c>
      <c r="M112" s="230" t="s">
        <v>5378</v>
      </c>
      <c r="N112" s="231" t="s">
        <v>5379</v>
      </c>
      <c r="O112" s="230" t="s">
        <v>5380</v>
      </c>
      <c r="P112" s="231" t="s">
        <v>5381</v>
      </c>
      <c r="Q112" s="230" t="s">
        <v>5382</v>
      </c>
      <c r="R112" s="231" t="s">
        <v>5383</v>
      </c>
      <c r="S112" s="230" t="s">
        <v>5384</v>
      </c>
      <c r="T112" s="231" t="s">
        <v>5385</v>
      </c>
      <c r="U112" s="230" t="s">
        <v>5386</v>
      </c>
      <c r="V112" s="231" t="s">
        <v>5387</v>
      </c>
      <c r="W112" s="230" t="s">
        <v>5388</v>
      </c>
      <c r="X112" s="231" t="s">
        <v>5389</v>
      </c>
      <c r="Y112" s="230" t="s">
        <v>5390</v>
      </c>
      <c r="Z112" s="231" t="s">
        <v>5391</v>
      </c>
      <c r="AA112" s="230" t="s">
        <v>5392</v>
      </c>
      <c r="AB112" s="231" t="s">
        <v>5393</v>
      </c>
      <c r="AC112" s="230" t="s">
        <v>5394</v>
      </c>
      <c r="AD112" s="231" t="s">
        <v>5395</v>
      </c>
      <c r="AE112" s="232" t="s">
        <v>5396</v>
      </c>
      <c r="AF112" s="598" t="s">
        <v>5397</v>
      </c>
      <c r="AG112" s="230" t="s">
        <v>5398</v>
      </c>
      <c r="AH112" s="231" t="s">
        <v>5399</v>
      </c>
      <c r="AI112" s="232" t="s">
        <v>5400</v>
      </c>
      <c r="AJ112" s="598" t="s">
        <v>5401</v>
      </c>
      <c r="AK112" s="230" t="s">
        <v>5402</v>
      </c>
      <c r="AL112" s="231" t="s">
        <v>5403</v>
      </c>
      <c r="AM112" s="232" t="s">
        <v>5404</v>
      </c>
      <c r="AN112" s="231" t="s">
        <v>5405</v>
      </c>
      <c r="AO112" s="222" t="s">
        <v>5406</v>
      </c>
      <c r="AP112" s="1444"/>
      <c r="AQ112" s="806"/>
      <c r="AR112" s="806"/>
      <c r="AS112" s="806"/>
      <c r="AT112" s="806"/>
      <c r="AU112" s="806"/>
      <c r="AV112" s="806"/>
      <c r="AW112" s="806"/>
      <c r="AX112" s="806"/>
      <c r="AY112" s="806"/>
      <c r="AZ112" s="806"/>
      <c r="BA112" s="806"/>
      <c r="BB112" s="290"/>
      <c r="DC112" s="3219">
        <v>0</v>
      </c>
    </row>
    <row r="113" spans="1:133" ht="16.350000000000001" customHeight="1" x14ac:dyDescent="0.25">
      <c r="A113" s="7300" t="s">
        <v>4957</v>
      </c>
      <c r="B113" s="9602" t="s">
        <v>976</v>
      </c>
      <c r="C113" s="9603"/>
      <c r="D113" s="551" t="s">
        <v>5369</v>
      </c>
      <c r="E113" s="550" t="s">
        <v>5370</v>
      </c>
      <c r="F113" s="152" t="s">
        <v>5371</v>
      </c>
      <c r="G113" s="617" t="s">
        <v>5372</v>
      </c>
      <c r="H113" s="615" t="s">
        <v>5373</v>
      </c>
      <c r="I113" s="617" t="s">
        <v>5374</v>
      </c>
      <c r="J113" s="615" t="s">
        <v>5375</v>
      </c>
      <c r="K113" s="617" t="s">
        <v>5376</v>
      </c>
      <c r="L113" s="615" t="s">
        <v>5377</v>
      </c>
      <c r="M113" s="617" t="s">
        <v>5378</v>
      </c>
      <c r="N113" s="615" t="s">
        <v>5379</v>
      </c>
      <c r="O113" s="617" t="s">
        <v>5380</v>
      </c>
      <c r="P113" s="615" t="s">
        <v>5381</v>
      </c>
      <c r="Q113" s="617" t="s">
        <v>5382</v>
      </c>
      <c r="R113" s="615" t="s">
        <v>5383</v>
      </c>
      <c r="S113" s="617" t="s">
        <v>5384</v>
      </c>
      <c r="T113" s="615" t="s">
        <v>5385</v>
      </c>
      <c r="U113" s="617" t="s">
        <v>5386</v>
      </c>
      <c r="V113" s="615" t="s">
        <v>5387</v>
      </c>
      <c r="W113" s="617" t="s">
        <v>5388</v>
      </c>
      <c r="X113" s="615" t="s">
        <v>5389</v>
      </c>
      <c r="Y113" s="617" t="s">
        <v>5390</v>
      </c>
      <c r="Z113" s="615" t="s">
        <v>5391</v>
      </c>
      <c r="AA113" s="617" t="s">
        <v>5392</v>
      </c>
      <c r="AB113" s="615" t="s">
        <v>5393</v>
      </c>
      <c r="AC113" s="617" t="s">
        <v>5394</v>
      </c>
      <c r="AD113" s="615" t="s">
        <v>5395</v>
      </c>
      <c r="AE113" s="616" t="s">
        <v>5396</v>
      </c>
      <c r="AF113" s="618" t="s">
        <v>5397</v>
      </c>
      <c r="AG113" s="617" t="s">
        <v>5398</v>
      </c>
      <c r="AH113" s="615" t="s">
        <v>5399</v>
      </c>
      <c r="AI113" s="616" t="s">
        <v>5400</v>
      </c>
      <c r="AJ113" s="618" t="s">
        <v>5401</v>
      </c>
      <c r="AK113" s="617" t="s">
        <v>5402</v>
      </c>
      <c r="AL113" s="615" t="s">
        <v>5403</v>
      </c>
      <c r="AM113" s="616" t="s">
        <v>5404</v>
      </c>
      <c r="AN113" s="615" t="s">
        <v>5405</v>
      </c>
      <c r="AO113" s="614" t="s">
        <v>5406</v>
      </c>
      <c r="AP113" s="1444"/>
      <c r="AQ113" s="806"/>
      <c r="AR113" s="806"/>
      <c r="AS113" s="806"/>
      <c r="AT113" s="806"/>
      <c r="AU113" s="806"/>
      <c r="AV113" s="806"/>
      <c r="AW113" s="806"/>
      <c r="AX113" s="806"/>
      <c r="AY113" s="806"/>
      <c r="AZ113" s="806"/>
      <c r="BA113" s="806"/>
      <c r="BB113" s="290"/>
      <c r="DC113" s="3219">
        <v>0</v>
      </c>
    </row>
    <row r="114" spans="1:133" ht="21" customHeight="1" x14ac:dyDescent="0.25">
      <c r="B114" s="72" t="s">
        <v>3774</v>
      </c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290"/>
      <c r="Z114" s="290"/>
    </row>
    <row r="115" spans="1:133" ht="21" customHeight="1" x14ac:dyDescent="0.25">
      <c r="B115" s="9677" t="s">
        <v>31</v>
      </c>
      <c r="C115" s="9678"/>
      <c r="D115" s="9677" t="s">
        <v>24</v>
      </c>
      <c r="E115" s="8874"/>
      <c r="F115" s="9678"/>
      <c r="G115" s="9681" t="s">
        <v>3686</v>
      </c>
      <c r="H115" s="9682"/>
      <c r="I115" s="9683" t="s">
        <v>3687</v>
      </c>
      <c r="J115" s="9682"/>
      <c r="K115" s="9681" t="s">
        <v>3694</v>
      </c>
      <c r="L115" s="9682"/>
      <c r="M115" s="9681" t="s">
        <v>4</v>
      </c>
      <c r="N115" s="9682"/>
      <c r="O115" s="9681" t="s">
        <v>3688</v>
      </c>
      <c r="P115" s="9682"/>
      <c r="Q115" s="9681" t="s">
        <v>3689</v>
      </c>
      <c r="R115" s="9682"/>
      <c r="S115" s="9624" t="s">
        <v>3690</v>
      </c>
      <c r="T115" s="9625"/>
      <c r="U115" s="9624" t="s">
        <v>3691</v>
      </c>
      <c r="V115" s="9625"/>
      <c r="W115" s="9624" t="s">
        <v>3692</v>
      </c>
      <c r="X115" s="9659"/>
      <c r="Y115" s="9624" t="s">
        <v>3693</v>
      </c>
      <c r="Z115" s="9625"/>
      <c r="AA115" s="290"/>
      <c r="AB115" s="290"/>
      <c r="BW115" s="165"/>
      <c r="BX115" s="165"/>
      <c r="BY115" s="290"/>
      <c r="BZ115" s="290"/>
      <c r="CB115" s="1438"/>
      <c r="CC115" s="1438"/>
      <c r="DB115" s="1429"/>
      <c r="DC115" s="1429"/>
      <c r="EB115" s="3222"/>
      <c r="EC115" s="3222"/>
    </row>
    <row r="116" spans="1:133" ht="21" customHeight="1" x14ac:dyDescent="0.25">
      <c r="B116" s="9679"/>
      <c r="C116" s="9680"/>
      <c r="D116" s="3670" t="s">
        <v>42</v>
      </c>
      <c r="E116" s="3671" t="s">
        <v>17</v>
      </c>
      <c r="F116" s="3672" t="s">
        <v>18</v>
      </c>
      <c r="G116" s="3673" t="s">
        <v>708</v>
      </c>
      <c r="H116" s="3674" t="s">
        <v>18</v>
      </c>
      <c r="I116" s="3673" t="s">
        <v>708</v>
      </c>
      <c r="J116" s="3674" t="s">
        <v>18</v>
      </c>
      <c r="K116" s="3673" t="s">
        <v>708</v>
      </c>
      <c r="L116" s="3674" t="s">
        <v>18</v>
      </c>
      <c r="M116" s="3673" t="s">
        <v>708</v>
      </c>
      <c r="N116" s="3674" t="s">
        <v>18</v>
      </c>
      <c r="O116" s="3673" t="s">
        <v>708</v>
      </c>
      <c r="P116" s="3674" t="s">
        <v>18</v>
      </c>
      <c r="Q116" s="3673" t="s">
        <v>708</v>
      </c>
      <c r="R116" s="3674" t="s">
        <v>18</v>
      </c>
      <c r="S116" s="3673" t="s">
        <v>708</v>
      </c>
      <c r="T116" s="3674" t="s">
        <v>18</v>
      </c>
      <c r="U116" s="3673" t="s">
        <v>708</v>
      </c>
      <c r="V116" s="3674" t="s">
        <v>18</v>
      </c>
      <c r="W116" s="3673" t="s">
        <v>708</v>
      </c>
      <c r="X116" s="3675" t="s">
        <v>18</v>
      </c>
      <c r="Y116" s="3673" t="s">
        <v>708</v>
      </c>
      <c r="Z116" s="3674" t="s">
        <v>18</v>
      </c>
      <c r="AA116" s="290"/>
      <c r="AB116" s="290"/>
      <c r="BW116" s="165"/>
      <c r="BX116" s="165"/>
      <c r="BY116" s="290"/>
      <c r="BZ116" s="290"/>
      <c r="CB116" s="1438"/>
      <c r="CC116" s="1438"/>
      <c r="DB116" s="1429"/>
      <c r="DC116" s="1429"/>
      <c r="EB116" s="3222"/>
      <c r="EC116" s="3222"/>
    </row>
    <row r="117" spans="1:133" ht="21" customHeight="1" x14ac:dyDescent="0.25">
      <c r="A117" s="7300" t="s">
        <v>4958</v>
      </c>
      <c r="B117" s="9686" t="s">
        <v>971</v>
      </c>
      <c r="C117" s="9687"/>
      <c r="D117" s="3686" t="s">
        <v>5369</v>
      </c>
      <c r="E117" s="3676" t="s">
        <v>5370</v>
      </c>
      <c r="F117" s="3688" t="s">
        <v>5371</v>
      </c>
      <c r="G117" s="3677" t="s">
        <v>5372</v>
      </c>
      <c r="H117" s="3678" t="s">
        <v>5373</v>
      </c>
      <c r="I117" s="3679" t="s">
        <v>5374</v>
      </c>
      <c r="J117" s="3680" t="s">
        <v>5375</v>
      </c>
      <c r="K117" s="3679" t="s">
        <v>5376</v>
      </c>
      <c r="L117" s="3680" t="s">
        <v>5377</v>
      </c>
      <c r="M117" s="3677" t="s">
        <v>5378</v>
      </c>
      <c r="N117" s="3678" t="s">
        <v>5379</v>
      </c>
      <c r="O117" s="3679" t="s">
        <v>5380</v>
      </c>
      <c r="P117" s="3680" t="s">
        <v>5381</v>
      </c>
      <c r="Q117" s="3677" t="s">
        <v>5382</v>
      </c>
      <c r="R117" s="3678" t="s">
        <v>5383</v>
      </c>
      <c r="S117" s="3679" t="s">
        <v>5384</v>
      </c>
      <c r="T117" s="3680" t="s">
        <v>5385</v>
      </c>
      <c r="U117" s="3677" t="s">
        <v>5386</v>
      </c>
      <c r="V117" s="3678" t="s">
        <v>5387</v>
      </c>
      <c r="W117" s="3679" t="s">
        <v>5388</v>
      </c>
      <c r="X117" s="3680" t="s">
        <v>5389</v>
      </c>
      <c r="Y117" s="3679" t="s">
        <v>5390</v>
      </c>
      <c r="Z117" s="3685" t="s">
        <v>5391</v>
      </c>
      <c r="AA117" s="1438"/>
      <c r="AB117" s="290"/>
      <c r="BW117" s="165"/>
      <c r="BX117" s="165"/>
      <c r="BY117" s="290"/>
      <c r="BZ117" s="290"/>
      <c r="CB117" s="1438"/>
      <c r="CC117" s="1438"/>
      <c r="DB117" s="1429"/>
      <c r="DC117" s="1429"/>
      <c r="EB117" s="3222"/>
      <c r="EC117" s="3222"/>
    </row>
    <row r="118" spans="1:133" ht="21" customHeight="1" x14ac:dyDescent="0.25">
      <c r="A118" s="7300" t="s">
        <v>4959</v>
      </c>
      <c r="B118" s="9688" t="s">
        <v>970</v>
      </c>
      <c r="C118" s="9689"/>
      <c r="D118" s="3687" t="s">
        <v>5369</v>
      </c>
      <c r="E118" s="3560" t="s">
        <v>5370</v>
      </c>
      <c r="F118" s="3484" t="s">
        <v>5371</v>
      </c>
      <c r="G118" s="3681" t="s">
        <v>5372</v>
      </c>
      <c r="H118" s="3682" t="s">
        <v>5373</v>
      </c>
      <c r="I118" s="3683" t="s">
        <v>5374</v>
      </c>
      <c r="J118" s="3684" t="s">
        <v>5375</v>
      </c>
      <c r="K118" s="3683" t="s">
        <v>5376</v>
      </c>
      <c r="L118" s="3684" t="s">
        <v>5377</v>
      </c>
      <c r="M118" s="3681" t="s">
        <v>5378</v>
      </c>
      <c r="N118" s="3682" t="s">
        <v>5379</v>
      </c>
      <c r="O118" s="3683" t="s">
        <v>5380</v>
      </c>
      <c r="P118" s="3684" t="s">
        <v>5381</v>
      </c>
      <c r="Q118" s="3681" t="s">
        <v>5382</v>
      </c>
      <c r="R118" s="3682" t="s">
        <v>5383</v>
      </c>
      <c r="S118" s="3683" t="s">
        <v>5384</v>
      </c>
      <c r="T118" s="3684" t="s">
        <v>5385</v>
      </c>
      <c r="U118" s="3681" t="s">
        <v>5386</v>
      </c>
      <c r="V118" s="3682" t="s">
        <v>5387</v>
      </c>
      <c r="W118" s="3683" t="s">
        <v>5388</v>
      </c>
      <c r="X118" s="3684" t="s">
        <v>5389</v>
      </c>
      <c r="Y118" s="3683" t="s">
        <v>5390</v>
      </c>
      <c r="Z118" s="2933" t="s">
        <v>5391</v>
      </c>
      <c r="AA118" s="1438"/>
      <c r="AB118" s="290"/>
      <c r="BW118" s="165"/>
      <c r="BX118" s="165"/>
      <c r="BY118" s="290"/>
      <c r="BZ118" s="290"/>
      <c r="CB118" s="1438"/>
      <c r="CC118" s="1438"/>
      <c r="DB118" s="1429"/>
      <c r="DC118" s="1429"/>
      <c r="EB118" s="3222"/>
      <c r="EC118" s="3222"/>
    </row>
    <row r="119" spans="1:133" ht="32.1" customHeight="1" x14ac:dyDescent="0.25">
      <c r="B119" s="7425" t="s">
        <v>3804</v>
      </c>
      <c r="C119" s="2670"/>
      <c r="D119" s="2670"/>
      <c r="E119" s="2670"/>
      <c r="F119" s="2670"/>
      <c r="G119" s="2670"/>
      <c r="H119" s="2670"/>
      <c r="I119" s="2670"/>
      <c r="J119" s="2670"/>
      <c r="K119" s="2670"/>
      <c r="L119" s="2670"/>
      <c r="M119" s="2670"/>
      <c r="N119" s="2670"/>
      <c r="O119" s="2670"/>
      <c r="P119" s="2670"/>
      <c r="Q119" s="2670"/>
      <c r="R119" s="290"/>
      <c r="S119" s="290"/>
      <c r="AM119" s="290"/>
      <c r="AN119" s="290"/>
      <c r="AO119" s="290"/>
      <c r="AP119" s="290"/>
      <c r="AQ119" s="290"/>
      <c r="AR119" s="290"/>
      <c r="AS119" s="1438"/>
      <c r="AT119" s="1438"/>
      <c r="AU119" s="1438"/>
      <c r="AV119" s="1438"/>
      <c r="AW119" s="1438"/>
      <c r="AX119" s="1438"/>
      <c r="AY119" s="1438"/>
      <c r="AZ119" s="1438"/>
      <c r="BA119" s="1438"/>
      <c r="BB119" s="1438"/>
      <c r="BC119" s="1438"/>
      <c r="BD119" s="1438"/>
      <c r="BE119" s="1438"/>
      <c r="BF119" s="1438"/>
      <c r="BG119" s="1438"/>
      <c r="BH119" s="1438"/>
      <c r="BI119" s="1438"/>
      <c r="BJ119" s="1438"/>
      <c r="BK119" s="1438"/>
      <c r="BL119" s="1438"/>
      <c r="BM119" s="1438"/>
      <c r="BN119" s="1438"/>
      <c r="BO119" s="1438"/>
      <c r="BP119" s="1438"/>
      <c r="BQ119" s="1438"/>
      <c r="BR119" s="1438"/>
      <c r="BY119" s="290"/>
      <c r="BZ119" s="290"/>
    </row>
    <row r="120" spans="1:133" ht="16.350000000000001" customHeight="1" x14ac:dyDescent="0.25">
      <c r="B120" s="9690" t="s">
        <v>31</v>
      </c>
      <c r="C120" s="9692" t="s">
        <v>975</v>
      </c>
      <c r="D120" s="9693"/>
      <c r="E120" s="9693"/>
      <c r="F120" s="9694"/>
      <c r="G120" s="9699" t="s">
        <v>44</v>
      </c>
      <c r="H120" s="9700"/>
      <c r="I120" s="9701" t="s">
        <v>974</v>
      </c>
      <c r="J120" s="9702"/>
      <c r="K120" s="9702"/>
      <c r="L120" s="9703"/>
      <c r="M120" s="9704" t="s">
        <v>973</v>
      </c>
      <c r="N120" s="9706" t="s">
        <v>2860</v>
      </c>
      <c r="O120" s="9704" t="s">
        <v>112</v>
      </c>
      <c r="P120" s="9626" t="s">
        <v>362</v>
      </c>
      <c r="Q120" s="9626" t="s">
        <v>361</v>
      </c>
      <c r="AD120" s="1430"/>
      <c r="AE120" s="1430"/>
      <c r="AF120" s="1430"/>
      <c r="AJ120" s="1430"/>
      <c r="AK120" s="1430"/>
      <c r="AL120" s="1430"/>
      <c r="AM120" s="1438"/>
      <c r="AN120" s="1438"/>
      <c r="AO120" s="1438"/>
      <c r="AP120" s="1438"/>
      <c r="AQ120" s="1438"/>
      <c r="AR120" s="1438"/>
      <c r="AS120" s="1438"/>
      <c r="AT120" s="1438"/>
      <c r="AU120" s="1438"/>
      <c r="AV120" s="1438"/>
      <c r="AW120" s="1438"/>
      <c r="AX120" s="1438"/>
      <c r="AY120" s="1438"/>
      <c r="AZ120" s="1438"/>
      <c r="BA120" s="1438"/>
      <c r="BB120" s="1438"/>
      <c r="BC120" s="1438"/>
      <c r="BD120" s="1438"/>
      <c r="BE120" s="1438"/>
      <c r="BF120" s="1438"/>
      <c r="BG120" s="1438"/>
      <c r="BH120" s="1438"/>
      <c r="BI120" s="1438"/>
      <c r="BJ120" s="1438"/>
      <c r="BK120" s="1438"/>
      <c r="BL120" s="1438"/>
      <c r="BM120" s="290"/>
      <c r="BN120" s="290"/>
      <c r="BO120" s="290"/>
      <c r="BP120" s="290"/>
      <c r="BQ120" s="290"/>
      <c r="BR120" s="290"/>
      <c r="BY120" s="290"/>
      <c r="BZ120" s="290"/>
    </row>
    <row r="121" spans="1:133" ht="21" customHeight="1" x14ac:dyDescent="0.25">
      <c r="B121" s="9691"/>
      <c r="C121" s="7490" t="s">
        <v>919</v>
      </c>
      <c r="D121" s="7491" t="s">
        <v>918</v>
      </c>
      <c r="E121" s="7492" t="s">
        <v>917</v>
      </c>
      <c r="F121" s="7493" t="s">
        <v>916</v>
      </c>
      <c r="G121" s="7494" t="s">
        <v>104</v>
      </c>
      <c r="H121" s="7495" t="s">
        <v>69</v>
      </c>
      <c r="I121" s="7496" t="s">
        <v>2699</v>
      </c>
      <c r="J121" s="7492" t="s">
        <v>2698</v>
      </c>
      <c r="K121" s="7497" t="s">
        <v>2697</v>
      </c>
      <c r="L121" s="7498" t="s">
        <v>972</v>
      </c>
      <c r="M121" s="9705"/>
      <c r="N121" s="9707"/>
      <c r="O121" s="9705"/>
      <c r="P121" s="9627"/>
      <c r="Q121" s="9627"/>
      <c r="AD121" s="1430"/>
      <c r="AE121" s="1430"/>
      <c r="AF121" s="1430"/>
      <c r="AJ121" s="1430"/>
      <c r="AK121" s="1430"/>
      <c r="AL121" s="1430"/>
      <c r="AM121" s="1438"/>
      <c r="AN121" s="1438"/>
      <c r="AO121" s="1438"/>
      <c r="AP121" s="1438"/>
      <c r="AQ121" s="1438"/>
      <c r="AR121" s="1438"/>
      <c r="AS121" s="1438"/>
      <c r="AT121" s="1438"/>
      <c r="AU121" s="1438"/>
      <c r="AV121" s="1438"/>
      <c r="AW121" s="1438"/>
      <c r="AX121" s="1438"/>
      <c r="AY121" s="1438"/>
      <c r="AZ121" s="1438"/>
      <c r="BA121" s="1438"/>
      <c r="BB121" s="1438"/>
      <c r="BC121" s="1438"/>
      <c r="BD121" s="1438"/>
      <c r="BE121" s="1438"/>
      <c r="BF121" s="1438"/>
      <c r="BG121" s="1438"/>
      <c r="BH121" s="1438"/>
      <c r="BI121" s="1438"/>
      <c r="BJ121" s="1438"/>
      <c r="BK121" s="1438"/>
      <c r="BL121" s="1438"/>
      <c r="BM121" s="290"/>
      <c r="BN121" s="290"/>
      <c r="BO121" s="290"/>
      <c r="BP121" s="290"/>
      <c r="BQ121" s="290"/>
      <c r="BR121" s="290"/>
      <c r="BY121" s="290"/>
      <c r="BZ121" s="290"/>
    </row>
    <row r="122" spans="1:133" ht="26.25" customHeight="1" x14ac:dyDescent="0.25">
      <c r="A122" s="7259" t="s">
        <v>4960</v>
      </c>
      <c r="B122" s="7499" t="s">
        <v>971</v>
      </c>
      <c r="C122" s="7500" t="s">
        <v>5369</v>
      </c>
      <c r="D122" s="7501" t="s">
        <v>5370</v>
      </c>
      <c r="E122" s="7502" t="s">
        <v>5371</v>
      </c>
      <c r="F122" s="7503" t="s">
        <v>5372</v>
      </c>
      <c r="G122" s="7504" t="s">
        <v>5373</v>
      </c>
      <c r="H122" s="7505" t="s">
        <v>5374</v>
      </c>
      <c r="I122" s="7506" t="s">
        <v>5375</v>
      </c>
      <c r="J122" s="7500" t="s">
        <v>5376</v>
      </c>
      <c r="K122" s="7500" t="s">
        <v>5377</v>
      </c>
      <c r="L122" s="7507" t="s">
        <v>5378</v>
      </c>
      <c r="M122" s="7501" t="s">
        <v>5379</v>
      </c>
      <c r="N122" s="7500" t="s">
        <v>5380</v>
      </c>
      <c r="O122" s="7501" t="s">
        <v>5381</v>
      </c>
      <c r="P122" s="7508" t="s">
        <v>5382</v>
      </c>
      <c r="Q122" s="7508" t="s">
        <v>5383</v>
      </c>
      <c r="R122" s="1430"/>
      <c r="AD122" s="1430"/>
      <c r="AE122" s="1430"/>
      <c r="AF122" s="1430"/>
      <c r="AJ122" s="1430"/>
      <c r="AK122" s="1430"/>
      <c r="AL122" s="1430"/>
      <c r="AM122" s="1438"/>
      <c r="AN122" s="1438"/>
      <c r="AO122" s="1438"/>
      <c r="AP122" s="1438"/>
      <c r="AQ122" s="1438"/>
      <c r="AR122" s="1438"/>
      <c r="AS122" s="1438"/>
      <c r="AT122" s="1438"/>
      <c r="AU122" s="1438"/>
      <c r="AV122" s="1438"/>
      <c r="AW122" s="1438"/>
      <c r="AX122" s="1438"/>
      <c r="AY122" s="1438"/>
      <c r="AZ122" s="1438"/>
      <c r="BA122" s="1438"/>
      <c r="BB122" s="1438"/>
      <c r="BC122" s="1438"/>
      <c r="BD122" s="1438"/>
      <c r="BE122" s="1438"/>
      <c r="BF122" s="1438"/>
      <c r="BG122" s="1438"/>
      <c r="BH122" s="1438"/>
      <c r="BI122" s="1438"/>
      <c r="BJ122" s="1438"/>
      <c r="BK122" s="1438"/>
      <c r="BL122" s="1438"/>
      <c r="BM122" s="290"/>
      <c r="BN122" s="290"/>
      <c r="BO122" s="290"/>
      <c r="BP122" s="290"/>
      <c r="BQ122" s="290"/>
      <c r="BR122" s="290"/>
      <c r="BY122" s="290"/>
      <c r="BZ122" s="290"/>
      <c r="DB122" s="3219">
        <v>0</v>
      </c>
      <c r="DC122" s="3219">
        <v>0</v>
      </c>
      <c r="DD122" s="3219">
        <v>0</v>
      </c>
      <c r="DE122" s="3219">
        <v>0</v>
      </c>
      <c r="DF122" s="3219">
        <v>0</v>
      </c>
      <c r="DG122" s="3219">
        <v>0</v>
      </c>
      <c r="DH122" s="3219">
        <v>0</v>
      </c>
    </row>
    <row r="123" spans="1:133" ht="18" customHeight="1" x14ac:dyDescent="0.25">
      <c r="A123" s="7259" t="s">
        <v>4961</v>
      </c>
      <c r="B123" s="7509" t="s">
        <v>970</v>
      </c>
      <c r="C123" s="7510" t="s">
        <v>5369</v>
      </c>
      <c r="D123" s="7511" t="s">
        <v>5370</v>
      </c>
      <c r="E123" s="7512" t="s">
        <v>5371</v>
      </c>
      <c r="F123" s="7513" t="s">
        <v>5372</v>
      </c>
      <c r="G123" s="7514" t="s">
        <v>5373</v>
      </c>
      <c r="H123" s="7515" t="s">
        <v>5374</v>
      </c>
      <c r="I123" s="7516" t="s">
        <v>5375</v>
      </c>
      <c r="J123" s="7512" t="s">
        <v>5376</v>
      </c>
      <c r="K123" s="7512" t="s">
        <v>5377</v>
      </c>
      <c r="L123" s="7517" t="s">
        <v>5378</v>
      </c>
      <c r="M123" s="7513" t="s">
        <v>5379</v>
      </c>
      <c r="N123" s="7512" t="s">
        <v>5380</v>
      </c>
      <c r="O123" s="7513" t="s">
        <v>5381</v>
      </c>
      <c r="P123" s="7518" t="s">
        <v>5382</v>
      </c>
      <c r="Q123" s="7518" t="s">
        <v>5383</v>
      </c>
      <c r="R123" s="1430"/>
      <c r="AD123" s="1430"/>
      <c r="AE123" s="1430"/>
      <c r="AF123" s="1430"/>
      <c r="AJ123" s="1430"/>
      <c r="AK123" s="1430"/>
      <c r="AL123" s="1430"/>
      <c r="AM123" s="1438"/>
      <c r="AN123" s="1438"/>
      <c r="AO123" s="1438"/>
      <c r="AP123" s="1438"/>
      <c r="AQ123" s="1438"/>
      <c r="AR123" s="1438"/>
      <c r="AS123" s="1438"/>
      <c r="AT123" s="1438"/>
      <c r="AU123" s="1438"/>
      <c r="AV123" s="1438"/>
      <c r="AW123" s="1438"/>
      <c r="AX123" s="1438"/>
      <c r="AY123" s="1438"/>
      <c r="AZ123" s="1438"/>
      <c r="BA123" s="1438"/>
      <c r="BB123" s="1438"/>
      <c r="BC123" s="1438"/>
      <c r="BD123" s="1438"/>
      <c r="BE123" s="1438"/>
      <c r="BF123" s="1438"/>
      <c r="BG123" s="1438"/>
      <c r="BH123" s="1438"/>
      <c r="BI123" s="1438"/>
      <c r="BJ123" s="1438"/>
      <c r="BK123" s="1438"/>
      <c r="BL123" s="1438"/>
      <c r="BM123" s="290"/>
      <c r="BN123" s="290"/>
      <c r="BO123" s="290"/>
      <c r="BP123" s="290"/>
      <c r="BQ123" s="290"/>
      <c r="BR123" s="290"/>
      <c r="BY123" s="290"/>
      <c r="BZ123" s="290"/>
      <c r="DB123" s="3219">
        <v>0</v>
      </c>
      <c r="DC123" s="3219">
        <v>0</v>
      </c>
      <c r="DD123" s="3219">
        <v>0</v>
      </c>
      <c r="DE123" s="3219">
        <v>0</v>
      </c>
      <c r="DF123" s="3219">
        <v>0</v>
      </c>
      <c r="DG123" s="3219">
        <v>0</v>
      </c>
      <c r="DH123" s="3219">
        <v>0</v>
      </c>
    </row>
    <row r="124" spans="1:133" ht="32.1" customHeight="1" x14ac:dyDescent="0.25">
      <c r="B124" s="72" t="s">
        <v>3775</v>
      </c>
      <c r="C124" s="233"/>
      <c r="D124" s="233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140"/>
      <c r="W124" s="140"/>
      <c r="X124" s="140"/>
      <c r="AK124" s="290"/>
      <c r="AL124" s="290"/>
      <c r="AM124" s="290"/>
      <c r="AN124" s="290"/>
      <c r="AO124" s="290"/>
      <c r="AP124" s="290"/>
      <c r="AQ124" s="290"/>
      <c r="AR124" s="290"/>
      <c r="AS124" s="290"/>
      <c r="AT124" s="290"/>
      <c r="AU124" s="290"/>
      <c r="AV124" s="290"/>
      <c r="AW124" s="290"/>
      <c r="AX124" s="290"/>
      <c r="AY124" s="290"/>
      <c r="BY124" s="290"/>
      <c r="BZ124" s="290"/>
    </row>
    <row r="125" spans="1:133" ht="16.350000000000001" customHeight="1" x14ac:dyDescent="0.25">
      <c r="B125" s="9587" t="s">
        <v>31</v>
      </c>
      <c r="C125" s="8867"/>
      <c r="D125" s="8616" t="s">
        <v>24</v>
      </c>
      <c r="E125" s="9606" t="s">
        <v>84</v>
      </c>
      <c r="F125" s="9607"/>
      <c r="G125" s="9607"/>
      <c r="H125" s="9607"/>
      <c r="I125" s="9607"/>
      <c r="J125" s="9608"/>
      <c r="K125" s="9609" t="s">
        <v>360</v>
      </c>
      <c r="L125" s="140"/>
      <c r="M125" s="605"/>
      <c r="N125" s="605"/>
      <c r="O125" s="605"/>
      <c r="P125" s="605"/>
      <c r="Q125" s="605"/>
      <c r="R125" s="605"/>
      <c r="AE125" s="290"/>
      <c r="AF125" s="290"/>
      <c r="AG125" s="290"/>
      <c r="AH125" s="290"/>
      <c r="AI125" s="290"/>
      <c r="AJ125" s="290"/>
      <c r="AK125" s="290"/>
      <c r="AL125" s="290"/>
      <c r="AM125" s="290"/>
      <c r="AN125" s="290"/>
      <c r="AO125" s="290"/>
      <c r="AP125" s="290"/>
      <c r="AQ125" s="290"/>
      <c r="AR125" s="290"/>
      <c r="AS125" s="290"/>
    </row>
    <row r="126" spans="1:133" ht="16.350000000000001" customHeight="1" x14ac:dyDescent="0.25">
      <c r="B126" s="9588"/>
      <c r="C126" s="9589"/>
      <c r="D126" s="8617"/>
      <c r="E126" s="1947" t="s">
        <v>79</v>
      </c>
      <c r="F126" s="1969" t="s">
        <v>80</v>
      </c>
      <c r="G126" s="1969" t="s">
        <v>81</v>
      </c>
      <c r="H126" s="1969" t="s">
        <v>3488</v>
      </c>
      <c r="I126" s="1969" t="s">
        <v>3489</v>
      </c>
      <c r="J126" s="1995" t="s">
        <v>3490</v>
      </c>
      <c r="K126" s="8895"/>
      <c r="L126" s="140"/>
      <c r="M126" s="605"/>
      <c r="N126" s="605"/>
      <c r="O126" s="605"/>
      <c r="P126" s="605"/>
      <c r="Q126" s="605"/>
      <c r="R126" s="605"/>
    </row>
    <row r="127" spans="1:133" ht="28.5" customHeight="1" x14ac:dyDescent="0.25">
      <c r="A127" s="7300" t="s">
        <v>4962</v>
      </c>
      <c r="B127" s="8583" t="s">
        <v>969</v>
      </c>
      <c r="C127" s="611" t="s">
        <v>968</v>
      </c>
      <c r="D127" s="581" t="s">
        <v>5369</v>
      </c>
      <c r="E127" s="1948" t="s">
        <v>5370</v>
      </c>
      <c r="F127" s="1799" t="s">
        <v>5371</v>
      </c>
      <c r="G127" s="1799" t="s">
        <v>5372</v>
      </c>
      <c r="H127" s="1799" t="s">
        <v>5373</v>
      </c>
      <c r="I127" s="1799" t="s">
        <v>5374</v>
      </c>
      <c r="J127" s="1832" t="s">
        <v>5375</v>
      </c>
      <c r="K127" s="545" t="s">
        <v>5376</v>
      </c>
      <c r="L127" s="1444"/>
      <c r="M127" s="806"/>
      <c r="N127" s="806"/>
      <c r="O127" s="806"/>
      <c r="P127" s="806"/>
      <c r="Q127" s="806"/>
      <c r="R127" s="806"/>
      <c r="S127" s="806"/>
      <c r="T127" s="806"/>
      <c r="U127" s="806"/>
      <c r="V127" s="806"/>
      <c r="W127" s="806"/>
      <c r="X127" s="290"/>
      <c r="Y127" s="290"/>
      <c r="Z127" s="290"/>
    </row>
    <row r="128" spans="1:133" ht="21" customHeight="1" x14ac:dyDescent="0.25">
      <c r="A128" s="7300" t="s">
        <v>4963</v>
      </c>
      <c r="B128" s="8584"/>
      <c r="C128" s="610" t="s">
        <v>967</v>
      </c>
      <c r="D128" s="81" t="s">
        <v>5369</v>
      </c>
      <c r="E128" s="1951" t="s">
        <v>5370</v>
      </c>
      <c r="F128" s="1950" t="s">
        <v>5371</v>
      </c>
      <c r="G128" s="1950" t="s">
        <v>5372</v>
      </c>
      <c r="H128" s="1950" t="s">
        <v>5373</v>
      </c>
      <c r="I128" s="1950" t="s">
        <v>5374</v>
      </c>
      <c r="J128" s="1958" t="s">
        <v>5375</v>
      </c>
      <c r="K128" s="127" t="s">
        <v>5376</v>
      </c>
      <c r="L128" s="1444"/>
      <c r="M128" s="806"/>
      <c r="N128" s="806"/>
      <c r="O128" s="806"/>
      <c r="P128" s="806"/>
      <c r="Q128" s="806"/>
      <c r="R128" s="806"/>
      <c r="S128" s="806"/>
      <c r="T128" s="806"/>
      <c r="U128" s="806"/>
      <c r="V128" s="806"/>
      <c r="W128" s="806"/>
      <c r="X128" s="290"/>
      <c r="Y128" s="290"/>
      <c r="Z128" s="290"/>
    </row>
    <row r="129" spans="1:78" ht="21" customHeight="1" x14ac:dyDescent="0.25">
      <c r="B129" s="72" t="s">
        <v>3776</v>
      </c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140"/>
      <c r="Q129" s="140"/>
      <c r="R129" s="288"/>
      <c r="S129" s="288"/>
      <c r="T129" s="288"/>
      <c r="U129" s="288"/>
      <c r="V129" s="288"/>
      <c r="W129" s="288"/>
      <c r="X129" s="288"/>
      <c r="Y129" s="290"/>
      <c r="Z129" s="290"/>
      <c r="AA129" s="290"/>
      <c r="AB129" s="290"/>
      <c r="AC129" s="290"/>
      <c r="AD129" s="290"/>
      <c r="AE129" s="290"/>
      <c r="AF129" s="290"/>
    </row>
    <row r="130" spans="1:78" ht="16.350000000000001" customHeight="1" x14ac:dyDescent="0.25">
      <c r="B130" s="8583" t="s">
        <v>888</v>
      </c>
      <c r="C130" s="8583" t="s">
        <v>966</v>
      </c>
      <c r="D130" s="140"/>
      <c r="E130" s="108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</row>
    <row r="131" spans="1:78" ht="16.350000000000001" customHeight="1" x14ac:dyDescent="0.25">
      <c r="B131" s="8584"/>
      <c r="C131" s="8584"/>
      <c r="D131" s="140"/>
      <c r="E131" s="108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</row>
    <row r="132" spans="1:78" ht="16.350000000000001" customHeight="1" x14ac:dyDescent="0.25">
      <c r="A132" s="7300">
        <v>24100200</v>
      </c>
      <c r="B132" s="609" t="s">
        <v>965</v>
      </c>
      <c r="C132" s="546" t="s">
        <v>5369</v>
      </c>
      <c r="D132" s="105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</row>
    <row r="133" spans="1:78" ht="16.350000000000001" customHeight="1" x14ac:dyDescent="0.25">
      <c r="A133" s="7300" t="s">
        <v>4964</v>
      </c>
      <c r="B133" s="608" t="s">
        <v>964</v>
      </c>
      <c r="C133" s="91" t="s">
        <v>5369</v>
      </c>
      <c r="D133" s="105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</row>
    <row r="134" spans="1:78" ht="16.350000000000001" customHeight="1" x14ac:dyDescent="0.25">
      <c r="A134" s="7300" t="s">
        <v>4965</v>
      </c>
      <c r="B134" s="608" t="s">
        <v>883</v>
      </c>
      <c r="C134" s="91" t="s">
        <v>5369</v>
      </c>
      <c r="D134" s="105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</row>
    <row r="135" spans="1:78" ht="16.350000000000001" customHeight="1" x14ac:dyDescent="0.25">
      <c r="A135" s="7300" t="s">
        <v>4966</v>
      </c>
      <c r="B135" s="608" t="s">
        <v>881</v>
      </c>
      <c r="C135" s="91" t="s">
        <v>5369</v>
      </c>
      <c r="D135" s="105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</row>
    <row r="136" spans="1:78" ht="16.350000000000001" customHeight="1" x14ac:dyDescent="0.25">
      <c r="A136" s="7300">
        <v>24100300</v>
      </c>
      <c r="B136" s="608" t="s">
        <v>963</v>
      </c>
      <c r="C136" s="91" t="s">
        <v>5369</v>
      </c>
      <c r="D136" s="105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</row>
    <row r="137" spans="1:78" ht="16.350000000000001" customHeight="1" x14ac:dyDescent="0.25">
      <c r="A137" s="7300" t="s">
        <v>4967</v>
      </c>
      <c r="B137" s="203" t="s">
        <v>962</v>
      </c>
      <c r="C137" s="123" t="s">
        <v>5369</v>
      </c>
      <c r="D137" s="105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</row>
    <row r="138" spans="1:78" ht="16.350000000000001" customHeight="1" x14ac:dyDescent="0.25">
      <c r="A138" s="7300">
        <v>24100400</v>
      </c>
      <c r="B138" s="203" t="s">
        <v>961</v>
      </c>
      <c r="C138" s="123" t="s">
        <v>5369</v>
      </c>
      <c r="D138" s="105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</row>
    <row r="139" spans="1:78" ht="16.350000000000001" customHeight="1" x14ac:dyDescent="0.25">
      <c r="A139" s="7300">
        <v>24100500</v>
      </c>
      <c r="B139" s="203" t="s">
        <v>960</v>
      </c>
      <c r="C139" s="91" t="s">
        <v>5369</v>
      </c>
      <c r="D139" s="105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</row>
    <row r="140" spans="1:78" ht="16.350000000000001" customHeight="1" x14ac:dyDescent="0.25">
      <c r="A140" s="7300">
        <v>24100600</v>
      </c>
      <c r="B140" s="203" t="s">
        <v>959</v>
      </c>
      <c r="C140" s="123" t="s">
        <v>5369</v>
      </c>
      <c r="D140" s="105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BY140" s="290"/>
      <c r="BZ140" s="290"/>
    </row>
    <row r="141" spans="1:78" ht="16.350000000000001" customHeight="1" x14ac:dyDescent="0.25">
      <c r="A141" s="7300" t="s">
        <v>4968</v>
      </c>
      <c r="B141" s="607" t="s">
        <v>958</v>
      </c>
      <c r="C141" s="97" t="s">
        <v>5369</v>
      </c>
      <c r="D141" s="105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</row>
    <row r="142" spans="1:78" ht="16.350000000000001" customHeight="1" x14ac:dyDescent="0.25">
      <c r="A142" s="7300" t="s">
        <v>4969</v>
      </c>
      <c r="B142" s="606" t="s">
        <v>957</v>
      </c>
      <c r="C142" s="97" t="s">
        <v>5369</v>
      </c>
      <c r="D142" s="105"/>
      <c r="E142" s="140"/>
      <c r="F142" s="140"/>
      <c r="G142" s="140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140"/>
    </row>
    <row r="143" spans="1:78" ht="16.350000000000001" customHeight="1" x14ac:dyDescent="0.25">
      <c r="A143" s="7300" t="s">
        <v>4970</v>
      </c>
      <c r="B143" s="606" t="s">
        <v>956</v>
      </c>
      <c r="C143" s="97" t="s">
        <v>5369</v>
      </c>
      <c r="D143" s="105"/>
      <c r="E143" s="140"/>
      <c r="F143" s="140"/>
      <c r="G143" s="140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140"/>
    </row>
    <row r="144" spans="1:78" ht="26.25" customHeight="1" x14ac:dyDescent="0.25">
      <c r="A144" s="7308"/>
      <c r="B144" s="2127" t="s">
        <v>24</v>
      </c>
      <c r="C144" s="588">
        <f>SUM(C132:C143)</f>
        <v>0</v>
      </c>
      <c r="D144" s="140"/>
      <c r="E144" s="140"/>
      <c r="F144" s="140"/>
      <c r="G144" s="140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8"/>
      <c r="U144" s="288"/>
      <c r="V144" s="288"/>
      <c r="W144" s="288"/>
      <c r="X144" s="140"/>
      <c r="BX144" s="1438"/>
    </row>
    <row r="145" spans="1:107" ht="18.600000000000001" customHeight="1" x14ac:dyDescent="0.25">
      <c r="B145" s="133" t="s">
        <v>3777</v>
      </c>
      <c r="C145" s="150"/>
      <c r="D145" s="150"/>
      <c r="E145" s="140"/>
      <c r="G145" s="2391"/>
    </row>
    <row r="146" spans="1:107" ht="24" customHeight="1" x14ac:dyDescent="0.25">
      <c r="B146" s="9708" t="s">
        <v>939</v>
      </c>
      <c r="C146" s="9709"/>
      <c r="D146" s="2116" t="s">
        <v>2619</v>
      </c>
      <c r="E146" s="2116" t="s">
        <v>2620</v>
      </c>
      <c r="BW146" s="1438"/>
      <c r="BX146" s="1438"/>
    </row>
    <row r="147" spans="1:107" ht="21.75" customHeight="1" x14ac:dyDescent="0.25">
      <c r="A147" s="7300" t="s">
        <v>4971</v>
      </c>
      <c r="B147" s="2116" t="s">
        <v>955</v>
      </c>
      <c r="C147" s="2074" t="s">
        <v>954</v>
      </c>
      <c r="D147" s="566" t="s">
        <v>5369</v>
      </c>
      <c r="E147" s="566" t="s">
        <v>5370</v>
      </c>
      <c r="F147" s="165" t="str">
        <f>CB147</f>
        <v>* El número de llamadas válidas NO DEBE ser mayor al total de llamadas.</v>
      </c>
      <c r="BW147" s="1438"/>
      <c r="BX147" s="1438"/>
      <c r="CB147" s="1429" t="str">
        <f>IF(D147&lt;E147,"* El número de llamadas válidas NO DEBE ser mayor al total de llamadas.","")</f>
        <v>* El número de llamadas válidas NO DEBE ser mayor al total de llamadas.</v>
      </c>
      <c r="DB147" s="1432">
        <f>IF(D147&lt;E147,1,0)</f>
        <v>1</v>
      </c>
    </row>
    <row r="148" spans="1:107" ht="22.5" customHeight="1" x14ac:dyDescent="0.3">
      <c r="B148" s="72" t="s">
        <v>3778</v>
      </c>
      <c r="C148" s="72"/>
      <c r="D148" s="72"/>
      <c r="E148" s="72"/>
      <c r="F148" s="72"/>
      <c r="G148" s="72"/>
      <c r="H148" s="292"/>
      <c r="I148" s="292"/>
      <c r="J148" s="292"/>
      <c r="K148" s="292"/>
      <c r="L148" s="292"/>
      <c r="M148" s="3699"/>
      <c r="N148" s="2591"/>
    </row>
    <row r="149" spans="1:107" ht="24" customHeight="1" x14ac:dyDescent="0.25">
      <c r="B149" s="9710" t="s">
        <v>939</v>
      </c>
      <c r="C149" s="9711"/>
      <c r="D149" s="8633" t="s">
        <v>953</v>
      </c>
      <c r="E149" s="8634"/>
      <c r="F149" s="8635"/>
      <c r="G149" s="8583" t="s">
        <v>360</v>
      </c>
      <c r="H149" s="9592" t="s">
        <v>952</v>
      </c>
      <c r="I149" s="9592"/>
      <c r="J149" s="8772"/>
      <c r="K149" s="8771" t="s">
        <v>951</v>
      </c>
      <c r="L149" s="9592"/>
      <c r="M149" s="8772"/>
      <c r="BX149" s="1438"/>
    </row>
    <row r="150" spans="1:107" ht="22.2" customHeight="1" x14ac:dyDescent="0.25">
      <c r="B150" s="9712"/>
      <c r="C150" s="9713"/>
      <c r="D150" s="3265" t="s">
        <v>24</v>
      </c>
      <c r="E150" s="2120" t="s">
        <v>950</v>
      </c>
      <c r="F150" s="2079" t="s">
        <v>949</v>
      </c>
      <c r="G150" s="8584"/>
      <c r="H150" s="2120" t="s">
        <v>948</v>
      </c>
      <c r="I150" s="2122" t="s">
        <v>947</v>
      </c>
      <c r="J150" s="2079" t="s">
        <v>946</v>
      </c>
      <c r="K150" s="2120" t="s">
        <v>948</v>
      </c>
      <c r="L150" s="2122" t="s">
        <v>947</v>
      </c>
      <c r="M150" s="2079" t="s">
        <v>946</v>
      </c>
      <c r="BX150" s="1438"/>
    </row>
    <row r="151" spans="1:107" ht="18" customHeight="1" x14ac:dyDescent="0.25">
      <c r="A151" s="7300" t="s">
        <v>4972</v>
      </c>
      <c r="B151" s="8583" t="s">
        <v>945</v>
      </c>
      <c r="C151" s="3278" t="s">
        <v>944</v>
      </c>
      <c r="D151" s="581" t="s">
        <v>5369</v>
      </c>
      <c r="E151" s="547" t="s">
        <v>5370</v>
      </c>
      <c r="F151" s="545" t="s">
        <v>5371</v>
      </c>
      <c r="G151" s="546" t="s">
        <v>5372</v>
      </c>
      <c r="H151" s="547" t="s">
        <v>5373</v>
      </c>
      <c r="I151" s="548" t="s">
        <v>5374</v>
      </c>
      <c r="J151" s="545" t="s">
        <v>5375</v>
      </c>
      <c r="K151" s="547" t="s">
        <v>5376</v>
      </c>
      <c r="L151" s="548" t="s">
        <v>5377</v>
      </c>
      <c r="M151" s="545" t="s">
        <v>5378</v>
      </c>
      <c r="BX151" s="1438"/>
    </row>
    <row r="152" spans="1:107" ht="21.75" customHeight="1" x14ac:dyDescent="0.25">
      <c r="A152" s="7300" t="s">
        <v>4973</v>
      </c>
      <c r="B152" s="8584"/>
      <c r="C152" s="3700" t="s">
        <v>943</v>
      </c>
      <c r="D152" s="476" t="s">
        <v>5369</v>
      </c>
      <c r="E152" s="302" t="s">
        <v>5370</v>
      </c>
      <c r="F152" s="337" t="s">
        <v>5371</v>
      </c>
      <c r="G152" s="468" t="s">
        <v>5372</v>
      </c>
      <c r="H152" s="302" t="s">
        <v>5373</v>
      </c>
      <c r="I152" s="305" t="s">
        <v>5374</v>
      </c>
      <c r="J152" s="337" t="s">
        <v>5375</v>
      </c>
      <c r="K152" s="302" t="s">
        <v>5376</v>
      </c>
      <c r="L152" s="305" t="s">
        <v>5377</v>
      </c>
      <c r="M152" s="337" t="s">
        <v>5378</v>
      </c>
      <c r="BX152" s="1438"/>
    </row>
    <row r="153" spans="1:107" ht="26.4" customHeight="1" x14ac:dyDescent="0.25">
      <c r="B153" s="133" t="s">
        <v>3779</v>
      </c>
      <c r="C153" s="140"/>
      <c r="D153" s="71"/>
      <c r="E153" s="71"/>
      <c r="F153" s="214"/>
      <c r="G153" s="140"/>
      <c r="H153" s="140"/>
    </row>
    <row r="154" spans="1:107" ht="28.2" customHeight="1" x14ac:dyDescent="0.25">
      <c r="B154" s="8633" t="s">
        <v>47</v>
      </c>
      <c r="C154" s="8635"/>
      <c r="D154" s="2116" t="s">
        <v>44</v>
      </c>
      <c r="E154" s="2597" t="s">
        <v>360</v>
      </c>
      <c r="F154" s="3701" t="s">
        <v>2610</v>
      </c>
      <c r="G154" s="3292" t="s">
        <v>135</v>
      </c>
      <c r="H154" s="288"/>
    </row>
    <row r="155" spans="1:107" ht="20.25" customHeight="1" x14ac:dyDescent="0.25">
      <c r="A155" s="7300" t="s">
        <v>4974</v>
      </c>
      <c r="B155" s="8583" t="s">
        <v>936</v>
      </c>
      <c r="C155" s="3702" t="s">
        <v>940</v>
      </c>
      <c r="D155" s="202" t="s">
        <v>5369</v>
      </c>
      <c r="E155" s="527" t="s">
        <v>5370</v>
      </c>
      <c r="F155" s="3703" t="s">
        <v>5371</v>
      </c>
      <c r="G155" s="1850" t="s">
        <v>5372</v>
      </c>
      <c r="H155" s="1444"/>
      <c r="DC155" s="3219">
        <v>0</v>
      </c>
    </row>
    <row r="156" spans="1:107" ht="22.5" customHeight="1" x14ac:dyDescent="0.25">
      <c r="A156" s="7300" t="s">
        <v>4975</v>
      </c>
      <c r="B156" s="8584"/>
      <c r="C156" s="1328" t="s">
        <v>750</v>
      </c>
      <c r="D156" s="86" t="s">
        <v>5369</v>
      </c>
      <c r="E156" s="125" t="s">
        <v>5370</v>
      </c>
      <c r="F156" s="120" t="s">
        <v>5371</v>
      </c>
      <c r="G156" s="2882" t="s">
        <v>5372</v>
      </c>
      <c r="H156" s="1444"/>
    </row>
    <row r="157" spans="1:107" ht="21" customHeight="1" x14ac:dyDescent="0.25">
      <c r="A157" s="7300" t="s">
        <v>4976</v>
      </c>
      <c r="B157" s="3264" t="s">
        <v>941</v>
      </c>
      <c r="C157" s="474" t="s">
        <v>940</v>
      </c>
      <c r="D157" s="566" t="s">
        <v>5369</v>
      </c>
      <c r="E157" s="565" t="s">
        <v>5370</v>
      </c>
      <c r="F157" s="472" t="s">
        <v>5371</v>
      </c>
      <c r="G157" s="3802" t="s">
        <v>5372</v>
      </c>
      <c r="H157" s="1444"/>
    </row>
    <row r="158" spans="1:107" ht="21" customHeight="1" x14ac:dyDescent="0.25">
      <c r="A158" s="7300" t="s">
        <v>4977</v>
      </c>
      <c r="B158" s="8583" t="s">
        <v>935</v>
      </c>
      <c r="C158" s="3702" t="s">
        <v>113</v>
      </c>
      <c r="D158" s="202" t="s">
        <v>5369</v>
      </c>
      <c r="E158" s="177" t="s">
        <v>5370</v>
      </c>
      <c r="F158" s="178" t="s">
        <v>5371</v>
      </c>
      <c r="G158" s="3803" t="s">
        <v>5372</v>
      </c>
      <c r="H158" s="1444"/>
    </row>
    <row r="159" spans="1:107" ht="17.399999999999999" customHeight="1" x14ac:dyDescent="0.25">
      <c r="A159" s="7300" t="s">
        <v>4978</v>
      </c>
      <c r="B159" s="8555"/>
      <c r="C159" s="2071" t="s">
        <v>931</v>
      </c>
      <c r="D159" s="123" t="s">
        <v>5369</v>
      </c>
      <c r="E159" s="110" t="s">
        <v>5370</v>
      </c>
      <c r="F159" s="136" t="s">
        <v>5371</v>
      </c>
      <c r="G159" s="144" t="s">
        <v>5372</v>
      </c>
      <c r="H159" s="1444"/>
    </row>
    <row r="160" spans="1:107" ht="19.95" customHeight="1" x14ac:dyDescent="0.25">
      <c r="A160" s="7300" t="s">
        <v>4979</v>
      </c>
      <c r="B160" s="8584"/>
      <c r="C160" s="1328" t="s">
        <v>932</v>
      </c>
      <c r="D160" s="86" t="s">
        <v>5369</v>
      </c>
      <c r="E160" s="125" t="s">
        <v>5370</v>
      </c>
      <c r="F160" s="102" t="s">
        <v>5371</v>
      </c>
      <c r="G160" s="127" t="s">
        <v>5372</v>
      </c>
      <c r="H160" s="1444"/>
    </row>
    <row r="161" spans="1:107" ht="25.95" customHeight="1" x14ac:dyDescent="0.25">
      <c r="B161" s="3704" t="s">
        <v>3780</v>
      </c>
      <c r="C161" s="72"/>
      <c r="D161" s="72"/>
      <c r="E161" s="72"/>
      <c r="F161" s="72"/>
      <c r="G161" s="72"/>
      <c r="H161" s="72"/>
      <c r="I161" s="72"/>
      <c r="J161" s="2386"/>
    </row>
    <row r="162" spans="1:107" x14ac:dyDescent="0.25">
      <c r="B162" s="9710" t="s">
        <v>939</v>
      </c>
      <c r="C162" s="9711"/>
      <c r="D162" s="8633" t="s">
        <v>938</v>
      </c>
      <c r="E162" s="8634"/>
      <c r="F162" s="9714"/>
      <c r="G162" s="9715" t="s">
        <v>360</v>
      </c>
      <c r="H162" s="9717" t="s">
        <v>2610</v>
      </c>
      <c r="I162" s="9719" t="s">
        <v>135</v>
      </c>
      <c r="BX162" s="1438"/>
    </row>
    <row r="163" spans="1:107" x14ac:dyDescent="0.25">
      <c r="B163" s="9712"/>
      <c r="C163" s="9713"/>
      <c r="D163" s="3265" t="s">
        <v>937</v>
      </c>
      <c r="E163" s="2092" t="s">
        <v>936</v>
      </c>
      <c r="F163" s="2136" t="s">
        <v>935</v>
      </c>
      <c r="G163" s="9716"/>
      <c r="H163" s="9718"/>
      <c r="I163" s="9720"/>
      <c r="BX163" s="1438"/>
    </row>
    <row r="164" spans="1:107" ht="15.6" customHeight="1" x14ac:dyDescent="0.25">
      <c r="A164" s="7300" t="s">
        <v>4980</v>
      </c>
      <c r="B164" s="9721" t="s">
        <v>934</v>
      </c>
      <c r="C164" s="3705" t="s">
        <v>932</v>
      </c>
      <c r="D164" s="581" t="s">
        <v>5369</v>
      </c>
      <c r="E164" s="547" t="s">
        <v>5370</v>
      </c>
      <c r="F164" s="563" t="s">
        <v>5371</v>
      </c>
      <c r="G164" s="548" t="s">
        <v>5372</v>
      </c>
      <c r="H164" s="562" t="s">
        <v>5373</v>
      </c>
      <c r="I164" s="545" t="s">
        <v>5374</v>
      </c>
      <c r="J164" s="1430"/>
      <c r="BX164" s="1438"/>
      <c r="DC164" s="3219">
        <v>0</v>
      </c>
    </row>
    <row r="165" spans="1:107" ht="15.6" customHeight="1" x14ac:dyDescent="0.25">
      <c r="A165" s="7300" t="s">
        <v>4981</v>
      </c>
      <c r="B165" s="8819"/>
      <c r="C165" s="2107" t="s">
        <v>113</v>
      </c>
      <c r="D165" s="109" t="s">
        <v>5369</v>
      </c>
      <c r="E165" s="110" t="s">
        <v>5370</v>
      </c>
      <c r="F165" s="197" t="s">
        <v>5371</v>
      </c>
      <c r="G165" s="136" t="s">
        <v>5372</v>
      </c>
      <c r="H165" s="111" t="s">
        <v>5373</v>
      </c>
      <c r="I165" s="144" t="s">
        <v>5374</v>
      </c>
      <c r="J165" s="1430"/>
      <c r="BX165" s="1438"/>
      <c r="DC165" s="3219">
        <v>0</v>
      </c>
    </row>
    <row r="166" spans="1:107" ht="15.6" customHeight="1" x14ac:dyDescent="0.25">
      <c r="A166" s="7300" t="s">
        <v>4982</v>
      </c>
      <c r="B166" s="8820"/>
      <c r="C166" s="3706" t="s">
        <v>931</v>
      </c>
      <c r="D166" s="81" t="s">
        <v>5369</v>
      </c>
      <c r="E166" s="125" t="s">
        <v>5370</v>
      </c>
      <c r="F166" s="198" t="s">
        <v>5371</v>
      </c>
      <c r="G166" s="102" t="s">
        <v>5372</v>
      </c>
      <c r="H166" s="83" t="s">
        <v>5373</v>
      </c>
      <c r="I166" s="127" t="s">
        <v>5374</v>
      </c>
      <c r="J166" s="1430"/>
      <c r="BX166" s="1438"/>
    </row>
    <row r="167" spans="1:107" ht="18.600000000000001" customHeight="1" x14ac:dyDescent="0.25">
      <c r="A167" s="7300" t="s">
        <v>4983</v>
      </c>
      <c r="B167" s="8583" t="s">
        <v>933</v>
      </c>
      <c r="C167" s="3705" t="s">
        <v>932</v>
      </c>
      <c r="D167" s="581" t="s">
        <v>5369</v>
      </c>
      <c r="E167" s="547" t="s">
        <v>5370</v>
      </c>
      <c r="F167" s="563" t="s">
        <v>5371</v>
      </c>
      <c r="G167" s="548" t="s">
        <v>5372</v>
      </c>
      <c r="H167" s="562" t="s">
        <v>5373</v>
      </c>
      <c r="I167" s="545" t="s">
        <v>5374</v>
      </c>
      <c r="J167" s="1430"/>
      <c r="BX167" s="1438"/>
    </row>
    <row r="168" spans="1:107" ht="20.399999999999999" customHeight="1" x14ac:dyDescent="0.25">
      <c r="A168" s="7300" t="s">
        <v>4984</v>
      </c>
      <c r="B168" s="8555"/>
      <c r="C168" s="2107" t="s">
        <v>113</v>
      </c>
      <c r="D168" s="109" t="s">
        <v>5369</v>
      </c>
      <c r="E168" s="110" t="s">
        <v>5370</v>
      </c>
      <c r="F168" s="197" t="s">
        <v>5371</v>
      </c>
      <c r="G168" s="136" t="s">
        <v>5372</v>
      </c>
      <c r="H168" s="111" t="s">
        <v>5373</v>
      </c>
      <c r="I168" s="144" t="s">
        <v>5374</v>
      </c>
      <c r="J168" s="1430"/>
      <c r="BX168" s="1438"/>
    </row>
    <row r="169" spans="1:107" ht="21" customHeight="1" x14ac:dyDescent="0.25">
      <c r="A169" s="7300" t="s">
        <v>4985</v>
      </c>
      <c r="B169" s="8584"/>
      <c r="C169" s="3706" t="s">
        <v>931</v>
      </c>
      <c r="D169" s="81" t="s">
        <v>5369</v>
      </c>
      <c r="E169" s="125" t="s">
        <v>5370</v>
      </c>
      <c r="F169" s="198" t="s">
        <v>5371</v>
      </c>
      <c r="G169" s="102" t="s">
        <v>5372</v>
      </c>
      <c r="H169" s="83" t="s">
        <v>5373</v>
      </c>
      <c r="I169" s="127" t="s">
        <v>5374</v>
      </c>
      <c r="J169" s="1430"/>
      <c r="BX169" s="1438"/>
    </row>
    <row r="170" spans="1:107" ht="27" customHeight="1" x14ac:dyDescent="0.25">
      <c r="B170" s="365" t="s">
        <v>3781</v>
      </c>
      <c r="C170" s="365"/>
      <c r="D170" s="365"/>
      <c r="E170" s="365"/>
      <c r="F170" s="140"/>
      <c r="H170" s="140"/>
      <c r="I170" s="140"/>
      <c r="J170" s="140"/>
      <c r="K170" s="288"/>
      <c r="L170" s="288"/>
      <c r="M170" s="288"/>
      <c r="N170" s="288"/>
      <c r="O170" s="288"/>
      <c r="P170" s="290"/>
      <c r="Q170" s="288"/>
      <c r="R170" s="288"/>
      <c r="S170" s="288"/>
      <c r="T170" s="288"/>
      <c r="U170" s="288"/>
      <c r="V170" s="288"/>
      <c r="W170" s="288"/>
      <c r="X170" s="288"/>
      <c r="Y170" s="290"/>
      <c r="Z170" s="290"/>
      <c r="AA170" s="290"/>
      <c r="AB170" s="290"/>
      <c r="AN170" s="2385"/>
    </row>
    <row r="171" spans="1:107" x14ac:dyDescent="0.25">
      <c r="B171" s="9722" t="s">
        <v>930</v>
      </c>
      <c r="C171" s="9725" t="s">
        <v>929</v>
      </c>
      <c r="D171" s="9726"/>
      <c r="E171" s="9727"/>
      <c r="F171" s="9731" t="s">
        <v>84</v>
      </c>
      <c r="G171" s="9732"/>
      <c r="H171" s="9732"/>
      <c r="I171" s="9732"/>
      <c r="J171" s="9732"/>
      <c r="K171" s="9732"/>
      <c r="L171" s="9732"/>
      <c r="M171" s="9732"/>
      <c r="N171" s="9732"/>
      <c r="O171" s="9732"/>
      <c r="P171" s="9732"/>
      <c r="Q171" s="9732"/>
      <c r="R171" s="9732"/>
      <c r="S171" s="9732"/>
      <c r="T171" s="9732"/>
      <c r="U171" s="9732"/>
      <c r="V171" s="9732"/>
      <c r="W171" s="9732"/>
      <c r="X171" s="9732"/>
      <c r="Y171" s="9732"/>
      <c r="Z171" s="9732"/>
      <c r="AA171" s="9732"/>
      <c r="AB171" s="9732"/>
      <c r="AC171" s="9732"/>
      <c r="AD171" s="9732"/>
      <c r="AE171" s="9732"/>
      <c r="AF171" s="9732"/>
      <c r="AG171" s="9732"/>
      <c r="AH171" s="9732"/>
      <c r="AI171" s="9732"/>
      <c r="AJ171" s="9732"/>
      <c r="AK171" s="9732"/>
      <c r="AL171" s="9732"/>
      <c r="AM171" s="9733"/>
      <c r="BX171" s="1438"/>
    </row>
    <row r="172" spans="1:107" x14ac:dyDescent="0.25">
      <c r="B172" s="9723"/>
      <c r="C172" s="9728"/>
      <c r="D172" s="9729"/>
      <c r="E172" s="9730"/>
      <c r="F172" s="9600" t="s">
        <v>399</v>
      </c>
      <c r="G172" s="9601"/>
      <c r="H172" s="9600" t="s">
        <v>54</v>
      </c>
      <c r="I172" s="9601"/>
      <c r="J172" s="9600" t="s">
        <v>79</v>
      </c>
      <c r="K172" s="9601"/>
      <c r="L172" s="9600" t="s">
        <v>80</v>
      </c>
      <c r="M172" s="9601"/>
      <c r="N172" s="9600" t="s">
        <v>81</v>
      </c>
      <c r="O172" s="9601"/>
      <c r="P172" s="9590" t="s">
        <v>82</v>
      </c>
      <c r="Q172" s="9593"/>
      <c r="R172" s="9590" t="s">
        <v>83</v>
      </c>
      <c r="S172" s="9593"/>
      <c r="T172" s="9590" t="s">
        <v>400</v>
      </c>
      <c r="U172" s="9593"/>
      <c r="V172" s="9590" t="s">
        <v>124</v>
      </c>
      <c r="W172" s="9593"/>
      <c r="X172" s="9590" t="s">
        <v>125</v>
      </c>
      <c r="Y172" s="9593"/>
      <c r="Z172" s="9590" t="s">
        <v>126</v>
      </c>
      <c r="AA172" s="9593"/>
      <c r="AB172" s="9590" t="s">
        <v>127</v>
      </c>
      <c r="AC172" s="9593"/>
      <c r="AD172" s="9590" t="s">
        <v>128</v>
      </c>
      <c r="AE172" s="9593"/>
      <c r="AF172" s="9590" t="s">
        <v>129</v>
      </c>
      <c r="AG172" s="9593"/>
      <c r="AH172" s="9590" t="s">
        <v>130</v>
      </c>
      <c r="AI172" s="9593"/>
      <c r="AJ172" s="9590" t="s">
        <v>131</v>
      </c>
      <c r="AK172" s="9593"/>
      <c r="AL172" s="8998" t="s">
        <v>1405</v>
      </c>
      <c r="AM172" s="9628"/>
      <c r="BX172" s="1438"/>
    </row>
    <row r="173" spans="1:107" x14ac:dyDescent="0.25">
      <c r="B173" s="9724"/>
      <c r="C173" s="3707" t="s">
        <v>42</v>
      </c>
      <c r="D173" s="3708" t="s">
        <v>17</v>
      </c>
      <c r="E173" s="3709" t="s">
        <v>18</v>
      </c>
      <c r="F173" s="2092" t="s">
        <v>708</v>
      </c>
      <c r="G173" s="2076" t="s">
        <v>18</v>
      </c>
      <c r="H173" s="2092" t="s">
        <v>708</v>
      </c>
      <c r="I173" s="2076" t="s">
        <v>18</v>
      </c>
      <c r="J173" s="2092" t="s">
        <v>708</v>
      </c>
      <c r="K173" s="2076" t="s">
        <v>18</v>
      </c>
      <c r="L173" s="2092" t="s">
        <v>708</v>
      </c>
      <c r="M173" s="2075" t="s">
        <v>18</v>
      </c>
      <c r="N173" s="2092" t="s">
        <v>708</v>
      </c>
      <c r="O173" s="2076" t="s">
        <v>18</v>
      </c>
      <c r="P173" s="2092" t="s">
        <v>708</v>
      </c>
      <c r="Q173" s="2075" t="s">
        <v>18</v>
      </c>
      <c r="R173" s="2092" t="s">
        <v>708</v>
      </c>
      <c r="S173" s="2076" t="s">
        <v>18</v>
      </c>
      <c r="T173" s="2092" t="s">
        <v>708</v>
      </c>
      <c r="U173" s="2075" t="s">
        <v>18</v>
      </c>
      <c r="V173" s="2092" t="s">
        <v>708</v>
      </c>
      <c r="W173" s="2076" t="s">
        <v>18</v>
      </c>
      <c r="X173" s="2092" t="s">
        <v>708</v>
      </c>
      <c r="Y173" s="2075" t="s">
        <v>18</v>
      </c>
      <c r="Z173" s="2092" t="s">
        <v>708</v>
      </c>
      <c r="AA173" s="2076" t="s">
        <v>18</v>
      </c>
      <c r="AB173" s="2092" t="s">
        <v>708</v>
      </c>
      <c r="AC173" s="2076" t="s">
        <v>18</v>
      </c>
      <c r="AD173" s="2092" t="s">
        <v>708</v>
      </c>
      <c r="AE173" s="2076" t="s">
        <v>18</v>
      </c>
      <c r="AF173" s="2092" t="s">
        <v>708</v>
      </c>
      <c r="AG173" s="2076" t="s">
        <v>18</v>
      </c>
      <c r="AH173" s="2092" t="s">
        <v>708</v>
      </c>
      <c r="AI173" s="2076" t="s">
        <v>18</v>
      </c>
      <c r="AJ173" s="2092" t="s">
        <v>708</v>
      </c>
      <c r="AK173" s="2076" t="s">
        <v>18</v>
      </c>
      <c r="AL173" s="2092" t="s">
        <v>708</v>
      </c>
      <c r="AM173" s="2076" t="s">
        <v>18</v>
      </c>
      <c r="BX173" s="1438"/>
    </row>
    <row r="174" spans="1:107" x14ac:dyDescent="0.25">
      <c r="A174" s="7300" t="s">
        <v>4986</v>
      </c>
      <c r="B174" s="3710" t="s">
        <v>928</v>
      </c>
      <c r="C174" s="3711" t="s">
        <v>5369</v>
      </c>
      <c r="D174" s="3712" t="s">
        <v>5370</v>
      </c>
      <c r="E174" s="3713" t="s">
        <v>5371</v>
      </c>
      <c r="F174" s="3714" t="s">
        <v>5372</v>
      </c>
      <c r="G174" s="3715" t="s">
        <v>5373</v>
      </c>
      <c r="H174" s="3716" t="s">
        <v>5374</v>
      </c>
      <c r="I174" s="3717" t="s">
        <v>5375</v>
      </c>
      <c r="J174" s="3714" t="s">
        <v>5376</v>
      </c>
      <c r="K174" s="3715" t="s">
        <v>5377</v>
      </c>
      <c r="L174" s="3716" t="s">
        <v>5378</v>
      </c>
      <c r="M174" s="3717" t="s">
        <v>5379</v>
      </c>
      <c r="N174" s="3716" t="s">
        <v>5380</v>
      </c>
      <c r="O174" s="3717" t="s">
        <v>5381</v>
      </c>
      <c r="P174" s="3718" t="s">
        <v>5382</v>
      </c>
      <c r="Q174" s="3719" t="s">
        <v>5383</v>
      </c>
      <c r="R174" s="3720" t="s">
        <v>5384</v>
      </c>
      <c r="S174" s="3721" t="s">
        <v>5385</v>
      </c>
      <c r="T174" s="3718" t="s">
        <v>5386</v>
      </c>
      <c r="U174" s="3719" t="s">
        <v>5387</v>
      </c>
      <c r="V174" s="3720" t="s">
        <v>5388</v>
      </c>
      <c r="W174" s="3721" t="s">
        <v>5389</v>
      </c>
      <c r="X174" s="3718" t="s">
        <v>5390</v>
      </c>
      <c r="Y174" s="3719" t="s">
        <v>5391</v>
      </c>
      <c r="Z174" s="3720" t="s">
        <v>5392</v>
      </c>
      <c r="AA174" s="3721" t="s">
        <v>5393</v>
      </c>
      <c r="AB174" s="3720" t="s">
        <v>5394</v>
      </c>
      <c r="AC174" s="3721" t="s">
        <v>5395</v>
      </c>
      <c r="AD174" s="3720" t="s">
        <v>5396</v>
      </c>
      <c r="AE174" s="3721" t="s">
        <v>5397</v>
      </c>
      <c r="AF174" s="3720" t="s">
        <v>5398</v>
      </c>
      <c r="AG174" s="3721" t="s">
        <v>5399</v>
      </c>
      <c r="AH174" s="3720" t="s">
        <v>5400</v>
      </c>
      <c r="AI174" s="3721" t="s">
        <v>5401</v>
      </c>
      <c r="AJ174" s="3720" t="s">
        <v>5402</v>
      </c>
      <c r="AK174" s="3721" t="s">
        <v>5403</v>
      </c>
      <c r="AL174" s="3720" t="s">
        <v>5404</v>
      </c>
      <c r="AM174" s="3721" t="s">
        <v>5405</v>
      </c>
      <c r="BX174" s="1438"/>
    </row>
    <row r="175" spans="1:107" x14ac:dyDescent="0.25">
      <c r="A175" s="7300" t="s">
        <v>4987</v>
      </c>
      <c r="B175" s="2982" t="s">
        <v>927</v>
      </c>
      <c r="C175" s="2910" t="s">
        <v>5369</v>
      </c>
      <c r="D175" s="3722" t="s">
        <v>5370</v>
      </c>
      <c r="E175" s="184" t="s">
        <v>5371</v>
      </c>
      <c r="F175" s="3723" t="s">
        <v>5372</v>
      </c>
      <c r="G175" s="3724" t="s">
        <v>5373</v>
      </c>
      <c r="H175" s="3723" t="s">
        <v>5374</v>
      </c>
      <c r="I175" s="3724" t="s">
        <v>5375</v>
      </c>
      <c r="J175" s="3723" t="s">
        <v>5376</v>
      </c>
      <c r="K175" s="3724" t="s">
        <v>5377</v>
      </c>
      <c r="L175" s="3725" t="s">
        <v>5378</v>
      </c>
      <c r="M175" s="3726" t="s">
        <v>5379</v>
      </c>
      <c r="N175" s="3723" t="s">
        <v>5380</v>
      </c>
      <c r="O175" s="3724" t="s">
        <v>5381</v>
      </c>
      <c r="P175" s="3725" t="s">
        <v>5382</v>
      </c>
      <c r="Q175" s="3726" t="s">
        <v>5383</v>
      </c>
      <c r="R175" s="3723" t="s">
        <v>5384</v>
      </c>
      <c r="S175" s="3724" t="s">
        <v>5385</v>
      </c>
      <c r="T175" s="3725" t="s">
        <v>5386</v>
      </c>
      <c r="U175" s="3726" t="s">
        <v>5387</v>
      </c>
      <c r="V175" s="3723" t="s">
        <v>5388</v>
      </c>
      <c r="W175" s="3724" t="s">
        <v>5389</v>
      </c>
      <c r="X175" s="3725" t="s">
        <v>5390</v>
      </c>
      <c r="Y175" s="3726" t="s">
        <v>5391</v>
      </c>
      <c r="Z175" s="3723" t="s">
        <v>5392</v>
      </c>
      <c r="AA175" s="3724" t="s">
        <v>5393</v>
      </c>
      <c r="AB175" s="3723" t="s">
        <v>5394</v>
      </c>
      <c r="AC175" s="3724" t="s">
        <v>5395</v>
      </c>
      <c r="AD175" s="3723" t="s">
        <v>5396</v>
      </c>
      <c r="AE175" s="3724" t="s">
        <v>5397</v>
      </c>
      <c r="AF175" s="3723" t="s">
        <v>5398</v>
      </c>
      <c r="AG175" s="3724" t="s">
        <v>5399</v>
      </c>
      <c r="AH175" s="3723" t="s">
        <v>5400</v>
      </c>
      <c r="AI175" s="3724" t="s">
        <v>5401</v>
      </c>
      <c r="AJ175" s="3723" t="s">
        <v>5402</v>
      </c>
      <c r="AK175" s="3724" t="s">
        <v>5403</v>
      </c>
      <c r="AL175" s="3723" t="s">
        <v>5404</v>
      </c>
      <c r="AM175" s="3724" t="s">
        <v>5405</v>
      </c>
      <c r="BX175" s="1438"/>
    </row>
    <row r="176" spans="1:107" x14ac:dyDescent="0.25">
      <c r="A176" s="7300" t="s">
        <v>4988</v>
      </c>
      <c r="B176" s="3727" t="s">
        <v>926</v>
      </c>
      <c r="C176" s="2910" t="s">
        <v>5369</v>
      </c>
      <c r="D176" s="3722" t="s">
        <v>5370</v>
      </c>
      <c r="E176" s="184" t="s">
        <v>5371</v>
      </c>
      <c r="F176" s="3723" t="s">
        <v>5372</v>
      </c>
      <c r="G176" s="3724" t="s">
        <v>5373</v>
      </c>
      <c r="H176" s="3723" t="s">
        <v>5374</v>
      </c>
      <c r="I176" s="3724" t="s">
        <v>5375</v>
      </c>
      <c r="J176" s="3723" t="s">
        <v>5376</v>
      </c>
      <c r="K176" s="3724" t="s">
        <v>5377</v>
      </c>
      <c r="L176" s="3725" t="s">
        <v>5378</v>
      </c>
      <c r="M176" s="3726" t="s">
        <v>5379</v>
      </c>
      <c r="N176" s="3723" t="s">
        <v>5380</v>
      </c>
      <c r="O176" s="3724" t="s">
        <v>5381</v>
      </c>
      <c r="P176" s="3725" t="s">
        <v>5382</v>
      </c>
      <c r="Q176" s="3726" t="s">
        <v>5383</v>
      </c>
      <c r="R176" s="3723" t="s">
        <v>5384</v>
      </c>
      <c r="S176" s="3724" t="s">
        <v>5385</v>
      </c>
      <c r="T176" s="3725" t="s">
        <v>5386</v>
      </c>
      <c r="U176" s="3726" t="s">
        <v>5387</v>
      </c>
      <c r="V176" s="3723" t="s">
        <v>5388</v>
      </c>
      <c r="W176" s="3724" t="s">
        <v>5389</v>
      </c>
      <c r="X176" s="3725" t="s">
        <v>5390</v>
      </c>
      <c r="Y176" s="3726" t="s">
        <v>5391</v>
      </c>
      <c r="Z176" s="3723" t="s">
        <v>5392</v>
      </c>
      <c r="AA176" s="3724" t="s">
        <v>5393</v>
      </c>
      <c r="AB176" s="3723" t="s">
        <v>5394</v>
      </c>
      <c r="AC176" s="3724" t="s">
        <v>5395</v>
      </c>
      <c r="AD176" s="3723" t="s">
        <v>5396</v>
      </c>
      <c r="AE176" s="3724" t="s">
        <v>5397</v>
      </c>
      <c r="AF176" s="3723" t="s">
        <v>5398</v>
      </c>
      <c r="AG176" s="3724" t="s">
        <v>5399</v>
      </c>
      <c r="AH176" s="3723" t="s">
        <v>5400</v>
      </c>
      <c r="AI176" s="3724" t="s">
        <v>5401</v>
      </c>
      <c r="AJ176" s="3723" t="s">
        <v>5402</v>
      </c>
      <c r="AK176" s="3724" t="s">
        <v>5403</v>
      </c>
      <c r="AL176" s="3723" t="s">
        <v>5404</v>
      </c>
      <c r="AM176" s="3724" t="s">
        <v>5405</v>
      </c>
      <c r="BX176" s="1438"/>
    </row>
    <row r="177" spans="1:113" x14ac:dyDescent="0.25">
      <c r="A177" s="7300" t="s">
        <v>4989</v>
      </c>
      <c r="B177" s="3728" t="s">
        <v>70</v>
      </c>
      <c r="C177" s="3729" t="s">
        <v>5369</v>
      </c>
      <c r="D177" s="3730" t="s">
        <v>5370</v>
      </c>
      <c r="E177" s="402" t="s">
        <v>5371</v>
      </c>
      <c r="F177" s="3731" t="s">
        <v>5372</v>
      </c>
      <c r="G177" s="3732" t="s">
        <v>5373</v>
      </c>
      <c r="H177" s="3731" t="s">
        <v>5374</v>
      </c>
      <c r="I177" s="3732" t="s">
        <v>5375</v>
      </c>
      <c r="J177" s="3731" t="s">
        <v>5376</v>
      </c>
      <c r="K177" s="3732" t="s">
        <v>5377</v>
      </c>
      <c r="L177" s="3733" t="s">
        <v>5378</v>
      </c>
      <c r="M177" s="3734" t="s">
        <v>5379</v>
      </c>
      <c r="N177" s="3731" t="s">
        <v>5380</v>
      </c>
      <c r="O177" s="3732" t="s">
        <v>5381</v>
      </c>
      <c r="P177" s="3733" t="s">
        <v>5382</v>
      </c>
      <c r="Q177" s="3734" t="s">
        <v>5383</v>
      </c>
      <c r="R177" s="3731" t="s">
        <v>5384</v>
      </c>
      <c r="S177" s="3732" t="s">
        <v>5385</v>
      </c>
      <c r="T177" s="3733" t="s">
        <v>5386</v>
      </c>
      <c r="U177" s="3734" t="s">
        <v>5387</v>
      </c>
      <c r="V177" s="3731" t="s">
        <v>5388</v>
      </c>
      <c r="W177" s="3732" t="s">
        <v>5389</v>
      </c>
      <c r="X177" s="3733" t="s">
        <v>5390</v>
      </c>
      <c r="Y177" s="3734" t="s">
        <v>5391</v>
      </c>
      <c r="Z177" s="3731" t="s">
        <v>5392</v>
      </c>
      <c r="AA177" s="3732" t="s">
        <v>5393</v>
      </c>
      <c r="AB177" s="3731" t="s">
        <v>5394</v>
      </c>
      <c r="AC177" s="3732" t="s">
        <v>5395</v>
      </c>
      <c r="AD177" s="3731" t="s">
        <v>5396</v>
      </c>
      <c r="AE177" s="3732" t="s">
        <v>5397</v>
      </c>
      <c r="AF177" s="3731" t="s">
        <v>5398</v>
      </c>
      <c r="AG177" s="3732" t="s">
        <v>5399</v>
      </c>
      <c r="AH177" s="3731" t="s">
        <v>5400</v>
      </c>
      <c r="AI177" s="3732" t="s">
        <v>5401</v>
      </c>
      <c r="AJ177" s="3731" t="s">
        <v>5402</v>
      </c>
      <c r="AK177" s="3732" t="s">
        <v>5403</v>
      </c>
      <c r="AL177" s="3731" t="s">
        <v>5404</v>
      </c>
      <c r="AM177" s="3732" t="s">
        <v>5405</v>
      </c>
      <c r="BX177" s="1438"/>
    </row>
    <row r="178" spans="1:113" ht="26.25" customHeight="1" x14ac:dyDescent="0.25">
      <c r="B178" s="6828" t="s">
        <v>3782</v>
      </c>
      <c r="C178" s="6827"/>
      <c r="D178" s="140"/>
      <c r="E178" s="140"/>
      <c r="F178" s="140"/>
      <c r="G178" s="140"/>
      <c r="H178" s="288"/>
      <c r="I178" s="288"/>
      <c r="J178" s="288"/>
      <c r="K178" s="288"/>
      <c r="L178" s="288"/>
      <c r="M178" s="288"/>
      <c r="N178" s="288"/>
      <c r="O178" s="288"/>
      <c r="P178" s="288"/>
      <c r="Q178" s="288"/>
      <c r="R178" s="288"/>
      <c r="S178" s="288"/>
      <c r="T178" s="288"/>
      <c r="U178" s="288"/>
      <c r="V178" s="288"/>
      <c r="W178" s="288"/>
      <c r="X178" s="140"/>
      <c r="BX178" s="1438"/>
    </row>
    <row r="179" spans="1:113" ht="32.1" customHeight="1" x14ac:dyDescent="0.25">
      <c r="B179" s="9587" t="s">
        <v>31</v>
      </c>
      <c r="C179" s="8867"/>
      <c r="D179" s="9587" t="s">
        <v>24</v>
      </c>
      <c r="E179" s="9629"/>
      <c r="F179" s="8867"/>
      <c r="G179" s="9594" t="s">
        <v>925</v>
      </c>
      <c r="H179" s="9595"/>
      <c r="I179" s="9595"/>
      <c r="J179" s="9595"/>
      <c r="K179" s="9595"/>
      <c r="L179" s="9595"/>
      <c r="M179" s="9595"/>
      <c r="N179" s="9595"/>
      <c r="O179" s="9595"/>
      <c r="P179" s="9595"/>
      <c r="Q179" s="9595"/>
      <c r="R179" s="9595"/>
      <c r="S179" s="9595"/>
      <c r="T179" s="9595"/>
      <c r="U179" s="9595"/>
      <c r="V179" s="9596"/>
      <c r="W179" s="8606" t="s">
        <v>78</v>
      </c>
      <c r="X179" s="9610" t="s">
        <v>924</v>
      </c>
      <c r="Y179" s="9610" t="s">
        <v>923</v>
      </c>
      <c r="Z179" s="9610" t="s">
        <v>922</v>
      </c>
      <c r="AA179" s="9610" t="s">
        <v>921</v>
      </c>
      <c r="AB179" s="9637" t="s">
        <v>1769</v>
      </c>
      <c r="AC179" s="9611" t="s">
        <v>920</v>
      </c>
      <c r="AD179" s="9611"/>
      <c r="AE179" s="9611"/>
      <c r="AF179" s="9611"/>
      <c r="AG179" s="9640" t="s">
        <v>44</v>
      </c>
      <c r="AH179" s="9641"/>
      <c r="AI179" s="9638" t="s">
        <v>973</v>
      </c>
      <c r="AJ179" s="8875" t="s">
        <v>2668</v>
      </c>
      <c r="AK179" s="8875" t="s">
        <v>362</v>
      </c>
      <c r="AL179" s="8875" t="s">
        <v>361</v>
      </c>
      <c r="AM179" s="290"/>
      <c r="AN179" s="290"/>
      <c r="AO179" s="290"/>
      <c r="AP179" s="290"/>
      <c r="AQ179" s="290"/>
      <c r="AR179" s="290"/>
      <c r="AS179" s="290"/>
      <c r="AT179" s="290"/>
      <c r="AU179" s="290"/>
      <c r="AV179" s="290"/>
      <c r="BY179" s="290"/>
      <c r="BZ179" s="290"/>
    </row>
    <row r="180" spans="1:113" ht="16.350000000000001" customHeight="1" x14ac:dyDescent="0.25">
      <c r="B180" s="8887"/>
      <c r="C180" s="8868"/>
      <c r="D180" s="8887"/>
      <c r="E180" s="9696"/>
      <c r="F180" s="8868"/>
      <c r="G180" s="8923" t="s">
        <v>399</v>
      </c>
      <c r="H180" s="8923"/>
      <c r="I180" s="8923" t="s">
        <v>54</v>
      </c>
      <c r="J180" s="8923"/>
      <c r="K180" s="8923" t="s">
        <v>79</v>
      </c>
      <c r="L180" s="8923"/>
      <c r="M180" s="8923" t="s">
        <v>3491</v>
      </c>
      <c r="N180" s="8923"/>
      <c r="O180" s="8923" t="s">
        <v>3492</v>
      </c>
      <c r="P180" s="8923"/>
      <c r="Q180" s="9695" t="s">
        <v>3493</v>
      </c>
      <c r="R180" s="9695"/>
      <c r="S180" s="9695" t="s">
        <v>52</v>
      </c>
      <c r="T180" s="9695"/>
      <c r="U180" s="9697" t="s">
        <v>3494</v>
      </c>
      <c r="V180" s="9698"/>
      <c r="W180" s="8581"/>
      <c r="X180" s="9610"/>
      <c r="Y180" s="9610"/>
      <c r="Z180" s="9610"/>
      <c r="AA180" s="9610"/>
      <c r="AB180" s="9637"/>
      <c r="AC180" s="9610" t="s">
        <v>919</v>
      </c>
      <c r="AD180" s="9610" t="s">
        <v>918</v>
      </c>
      <c r="AE180" s="9610" t="s">
        <v>917</v>
      </c>
      <c r="AF180" s="9637" t="s">
        <v>916</v>
      </c>
      <c r="AG180" s="9612" t="s">
        <v>104</v>
      </c>
      <c r="AH180" s="9613" t="s">
        <v>69</v>
      </c>
      <c r="AI180" s="8581"/>
      <c r="AJ180" s="8555"/>
      <c r="AK180" s="8555"/>
      <c r="AL180" s="8555"/>
      <c r="AM180" s="290"/>
      <c r="AN180" s="290"/>
      <c r="AO180" s="290"/>
      <c r="AP180" s="290"/>
      <c r="AQ180" s="290"/>
      <c r="AR180" s="290"/>
      <c r="AS180" s="290"/>
      <c r="AT180" s="290"/>
      <c r="AU180" s="290"/>
      <c r="AV180" s="290"/>
      <c r="BY180" s="290"/>
    </row>
    <row r="181" spans="1:113" ht="16.350000000000001" customHeight="1" x14ac:dyDescent="0.25">
      <c r="B181" s="9588"/>
      <c r="C181" s="9589"/>
      <c r="D181" s="2089" t="s">
        <v>42</v>
      </c>
      <c r="E181" s="2090" t="s">
        <v>708</v>
      </c>
      <c r="F181" s="2082" t="s">
        <v>18</v>
      </c>
      <c r="G181" s="2999" t="s">
        <v>708</v>
      </c>
      <c r="H181" s="2997" t="s">
        <v>18</v>
      </c>
      <c r="I181" s="2999" t="s">
        <v>708</v>
      </c>
      <c r="J181" s="2997" t="s">
        <v>18</v>
      </c>
      <c r="K181" s="2999" t="s">
        <v>708</v>
      </c>
      <c r="L181" s="2997" t="s">
        <v>18</v>
      </c>
      <c r="M181" s="2999" t="s">
        <v>708</v>
      </c>
      <c r="N181" s="2997" t="s">
        <v>18</v>
      </c>
      <c r="O181" s="2999" t="s">
        <v>708</v>
      </c>
      <c r="P181" s="2997" t="s">
        <v>18</v>
      </c>
      <c r="Q181" s="2999" t="s">
        <v>708</v>
      </c>
      <c r="R181" s="2997" t="s">
        <v>18</v>
      </c>
      <c r="S181" s="2999" t="s">
        <v>708</v>
      </c>
      <c r="T181" s="2997" t="s">
        <v>18</v>
      </c>
      <c r="U181" s="2993" t="s">
        <v>708</v>
      </c>
      <c r="V181" s="3025" t="s">
        <v>18</v>
      </c>
      <c r="W181" s="8702"/>
      <c r="X181" s="9610"/>
      <c r="Y181" s="9610"/>
      <c r="Z181" s="9610"/>
      <c r="AA181" s="9610"/>
      <c r="AB181" s="9637"/>
      <c r="AC181" s="9610"/>
      <c r="AD181" s="9610"/>
      <c r="AE181" s="9610"/>
      <c r="AF181" s="9637"/>
      <c r="AG181" s="9612"/>
      <c r="AH181" s="9613"/>
      <c r="AI181" s="9639"/>
      <c r="AJ181" s="8876"/>
      <c r="AK181" s="8876"/>
      <c r="AL181" s="8876"/>
      <c r="AM181" s="290"/>
      <c r="AN181" s="290"/>
      <c r="AO181" s="290"/>
      <c r="AP181" s="290"/>
      <c r="AQ181" s="290"/>
      <c r="AR181" s="290"/>
      <c r="AS181" s="290"/>
      <c r="AT181" s="290"/>
      <c r="AU181" s="290"/>
      <c r="AV181" s="290"/>
      <c r="BY181" s="290"/>
    </row>
    <row r="182" spans="1:113" ht="20.25" customHeight="1" x14ac:dyDescent="0.25">
      <c r="A182" s="7300" t="s">
        <v>4990</v>
      </c>
      <c r="B182" s="9586" t="s">
        <v>915</v>
      </c>
      <c r="C182" s="1327" t="s">
        <v>914</v>
      </c>
      <c r="D182" s="603" t="s">
        <v>5369</v>
      </c>
      <c r="E182" s="580" t="s">
        <v>5370</v>
      </c>
      <c r="F182" s="6826" t="s">
        <v>5371</v>
      </c>
      <c r="G182" s="3026" t="s">
        <v>5372</v>
      </c>
      <c r="H182" s="3027" t="s">
        <v>5373</v>
      </c>
      <c r="I182" s="3026" t="s">
        <v>5374</v>
      </c>
      <c r="J182" s="3027" t="s">
        <v>5375</v>
      </c>
      <c r="K182" s="3026" t="s">
        <v>5376</v>
      </c>
      <c r="L182" s="3027" t="s">
        <v>5377</v>
      </c>
      <c r="M182" s="3026" t="s">
        <v>5378</v>
      </c>
      <c r="N182" s="3027" t="s">
        <v>5379</v>
      </c>
      <c r="O182" s="3026" t="s">
        <v>5380</v>
      </c>
      <c r="P182" s="3027" t="s">
        <v>5381</v>
      </c>
      <c r="Q182" s="3026" t="s">
        <v>5382</v>
      </c>
      <c r="R182" s="3027" t="s">
        <v>5383</v>
      </c>
      <c r="S182" s="3026" t="s">
        <v>5384</v>
      </c>
      <c r="T182" s="3027" t="s">
        <v>5385</v>
      </c>
      <c r="U182" s="3026" t="s">
        <v>5386</v>
      </c>
      <c r="V182" s="3028" t="s">
        <v>5387</v>
      </c>
      <c r="W182" s="3024" t="s">
        <v>5388</v>
      </c>
      <c r="X182" s="2718" t="s">
        <v>5389</v>
      </c>
      <c r="Y182" s="2718" t="s">
        <v>5390</v>
      </c>
      <c r="Z182" s="2718" t="s">
        <v>5391</v>
      </c>
      <c r="AA182" s="2718" t="s">
        <v>5392</v>
      </c>
      <c r="AB182" s="2720" t="s">
        <v>5393</v>
      </c>
      <c r="AC182" s="2718" t="s">
        <v>5394</v>
      </c>
      <c r="AD182" s="2718" t="s">
        <v>5395</v>
      </c>
      <c r="AE182" s="2718" t="s">
        <v>5396</v>
      </c>
      <c r="AF182" s="2717" t="s">
        <v>5397</v>
      </c>
      <c r="AG182" s="2934" t="s">
        <v>5398</v>
      </c>
      <c r="AH182" s="2941" t="s">
        <v>5399</v>
      </c>
      <c r="AI182" s="2932" t="s">
        <v>5400</v>
      </c>
      <c r="AJ182" s="2718" t="s">
        <v>5401</v>
      </c>
      <c r="AK182" s="2718" t="s">
        <v>5402</v>
      </c>
      <c r="AL182" s="2718" t="s">
        <v>5403</v>
      </c>
      <c r="AM182" s="1471"/>
      <c r="AN182" s="806"/>
      <c r="AO182" s="806"/>
      <c r="AP182" s="806"/>
      <c r="AQ182" s="806"/>
      <c r="AR182" s="806"/>
      <c r="AS182" s="806"/>
      <c r="AT182" s="290"/>
      <c r="AU182" s="290"/>
      <c r="BY182" s="290"/>
      <c r="DC182" s="3219">
        <v>0</v>
      </c>
      <c r="DE182" s="3219">
        <v>0</v>
      </c>
      <c r="DG182" s="3219">
        <v>0</v>
      </c>
      <c r="DI182" s="3219">
        <v>0</v>
      </c>
    </row>
    <row r="183" spans="1:113" ht="20.25" customHeight="1" x14ac:dyDescent="0.25">
      <c r="A183" s="7300" t="s">
        <v>4991</v>
      </c>
      <c r="B183" s="9586"/>
      <c r="C183" s="1328" t="s">
        <v>913</v>
      </c>
      <c r="D183" s="904" t="s">
        <v>5369</v>
      </c>
      <c r="E183" s="277" t="s">
        <v>5370</v>
      </c>
      <c r="F183" s="2835" t="s">
        <v>5371</v>
      </c>
      <c r="G183" s="2953" t="s">
        <v>5372</v>
      </c>
      <c r="H183" s="2955" t="s">
        <v>5373</v>
      </c>
      <c r="I183" s="2953" t="s">
        <v>5374</v>
      </c>
      <c r="J183" s="2955" t="s">
        <v>5375</v>
      </c>
      <c r="K183" s="2953" t="s">
        <v>5376</v>
      </c>
      <c r="L183" s="2955" t="s">
        <v>5377</v>
      </c>
      <c r="M183" s="2953" t="s">
        <v>5378</v>
      </c>
      <c r="N183" s="2955" t="s">
        <v>5379</v>
      </c>
      <c r="O183" s="2953" t="s">
        <v>5380</v>
      </c>
      <c r="P183" s="2955" t="s">
        <v>5381</v>
      </c>
      <c r="Q183" s="2953" t="s">
        <v>5382</v>
      </c>
      <c r="R183" s="2955" t="s">
        <v>5383</v>
      </c>
      <c r="S183" s="2953" t="s">
        <v>5384</v>
      </c>
      <c r="T183" s="2955" t="s">
        <v>5385</v>
      </c>
      <c r="U183" s="2953" t="s">
        <v>5386</v>
      </c>
      <c r="V183" s="3029" t="s">
        <v>5387</v>
      </c>
      <c r="W183" s="2737" t="s">
        <v>5388</v>
      </c>
      <c r="X183" s="2719" t="s">
        <v>5389</v>
      </c>
      <c r="Y183" s="2719" t="s">
        <v>5390</v>
      </c>
      <c r="Z183" s="2719" t="s">
        <v>5391</v>
      </c>
      <c r="AA183" s="2719" t="s">
        <v>5392</v>
      </c>
      <c r="AB183" s="2721" t="s">
        <v>5393</v>
      </c>
      <c r="AC183" s="2719" t="s">
        <v>5394</v>
      </c>
      <c r="AD183" s="2719" t="s">
        <v>5395</v>
      </c>
      <c r="AE183" s="2719" t="s">
        <v>5396</v>
      </c>
      <c r="AF183" s="2487" t="s">
        <v>5397</v>
      </c>
      <c r="AG183" s="2942" t="s">
        <v>5398</v>
      </c>
      <c r="AH183" s="2943" t="s">
        <v>5399</v>
      </c>
      <c r="AI183" s="2487" t="s">
        <v>5400</v>
      </c>
      <c r="AJ183" s="2719" t="s">
        <v>5401</v>
      </c>
      <c r="AK183" s="2719" t="s">
        <v>5402</v>
      </c>
      <c r="AL183" s="2719" t="s">
        <v>5403</v>
      </c>
      <c r="AM183" s="3209"/>
      <c r="AN183" s="806"/>
      <c r="AO183" s="806"/>
      <c r="AP183" s="806"/>
      <c r="AQ183" s="806"/>
      <c r="AR183" s="806"/>
      <c r="AS183" s="806"/>
      <c r="AT183" s="290"/>
      <c r="AU183" s="290"/>
      <c r="BY183" s="290"/>
      <c r="DC183" s="3219">
        <v>0</v>
      </c>
      <c r="DE183" s="3219">
        <v>0</v>
      </c>
      <c r="DG183" s="3219">
        <v>0</v>
      </c>
      <c r="DI183" s="3219">
        <v>0</v>
      </c>
    </row>
    <row r="184" spans="1:113" ht="32.1" customHeight="1" x14ac:dyDescent="0.25">
      <c r="B184" s="72" t="s">
        <v>3783</v>
      </c>
      <c r="C184" s="72"/>
      <c r="AI184" s="290"/>
      <c r="AJ184" s="290"/>
      <c r="AK184" s="290"/>
      <c r="AL184" s="290"/>
      <c r="AM184" s="290"/>
      <c r="AN184" s="290"/>
      <c r="AO184" s="290"/>
      <c r="AP184" s="290"/>
      <c r="AQ184" s="290"/>
      <c r="AR184" s="290"/>
      <c r="AS184" s="290"/>
      <c r="AT184" s="290"/>
      <c r="AU184" s="290"/>
      <c r="AV184" s="290"/>
      <c r="BY184" s="290"/>
      <c r="BZ184" s="290"/>
    </row>
    <row r="185" spans="1:113" ht="16.350000000000001" customHeight="1" x14ac:dyDescent="0.25">
      <c r="B185" s="8616" t="s">
        <v>912</v>
      </c>
      <c r="C185" s="8616" t="s">
        <v>24</v>
      </c>
      <c r="D185" s="8583" t="s">
        <v>911</v>
      </c>
      <c r="E185" s="8613" t="s">
        <v>910</v>
      </c>
      <c r="AJ185" s="290"/>
      <c r="AK185" s="290"/>
      <c r="AL185" s="290"/>
      <c r="AM185" s="290"/>
      <c r="AN185" s="290"/>
      <c r="AO185" s="290"/>
      <c r="AP185" s="290"/>
      <c r="AQ185" s="290"/>
      <c r="AR185" s="290"/>
      <c r="AS185" s="290"/>
      <c r="AT185" s="290"/>
      <c r="AU185" s="290"/>
      <c r="AV185" s="290"/>
      <c r="AW185" s="290"/>
    </row>
    <row r="186" spans="1:113" ht="16.350000000000001" customHeight="1" x14ac:dyDescent="0.25">
      <c r="B186" s="8617"/>
      <c r="C186" s="8617"/>
      <c r="D186" s="8584"/>
      <c r="E186" s="8615"/>
      <c r="AJ186" s="290"/>
      <c r="AK186" s="290"/>
      <c r="AL186" s="290"/>
      <c r="AM186" s="290"/>
      <c r="AN186" s="290"/>
      <c r="AO186" s="290"/>
      <c r="AP186" s="290"/>
      <c r="AQ186" s="290"/>
      <c r="AR186" s="290"/>
      <c r="AS186" s="290"/>
      <c r="AT186" s="290"/>
      <c r="AU186" s="290"/>
      <c r="AV186" s="290"/>
      <c r="AW186" s="290"/>
    </row>
    <row r="187" spans="1:113" ht="16.350000000000001" customHeight="1" x14ac:dyDescent="0.25">
      <c r="A187" s="7300" t="s">
        <v>4992</v>
      </c>
      <c r="B187" s="1327" t="s">
        <v>909</v>
      </c>
      <c r="C187" s="1502" t="s">
        <v>5369</v>
      </c>
      <c r="D187" s="599" t="s">
        <v>5370</v>
      </c>
      <c r="E187" s="1503" t="s">
        <v>5371</v>
      </c>
      <c r="AJ187" s="290"/>
      <c r="AK187" s="290"/>
      <c r="AL187" s="290"/>
      <c r="AM187" s="290"/>
      <c r="AN187" s="290"/>
      <c r="AO187" s="290"/>
      <c r="AP187" s="290"/>
      <c r="AQ187" s="290"/>
      <c r="AR187" s="290"/>
      <c r="AS187" s="290"/>
      <c r="AT187" s="290"/>
      <c r="AU187" s="290"/>
      <c r="AV187" s="290"/>
      <c r="AW187" s="290"/>
    </row>
    <row r="188" spans="1:113" ht="16.350000000000001" customHeight="1" x14ac:dyDescent="0.25">
      <c r="A188" s="7300" t="s">
        <v>4993</v>
      </c>
      <c r="B188" s="1328" t="s">
        <v>908</v>
      </c>
      <c r="C188" s="469" t="s">
        <v>5369</v>
      </c>
      <c r="D188" s="1234" t="s">
        <v>5370</v>
      </c>
      <c r="E188" s="1577" t="s">
        <v>5371</v>
      </c>
      <c r="AJ188" s="290"/>
      <c r="AK188" s="290"/>
      <c r="AL188" s="290"/>
      <c r="AM188" s="290"/>
      <c r="AN188" s="290"/>
      <c r="AO188" s="290"/>
      <c r="AP188" s="290"/>
      <c r="AQ188" s="290"/>
      <c r="AR188" s="290"/>
      <c r="AS188" s="290"/>
      <c r="AT188" s="290"/>
      <c r="AU188" s="290"/>
      <c r="AV188" s="290"/>
      <c r="AW188" s="290"/>
    </row>
    <row r="189" spans="1:113" ht="32.1" customHeight="1" x14ac:dyDescent="0.25">
      <c r="B189" s="3437" t="s">
        <v>3784</v>
      </c>
      <c r="C189" s="597"/>
      <c r="D189" s="596"/>
      <c r="E189" s="365"/>
      <c r="G189" s="2808"/>
      <c r="H189" s="2809"/>
      <c r="I189" s="153"/>
      <c r="J189" s="2809"/>
      <c r="K189" s="2810"/>
      <c r="L189" s="2810"/>
      <c r="M189" s="2809"/>
      <c r="N189" s="153"/>
      <c r="O189" s="2809"/>
      <c r="P189" s="2809"/>
      <c r="Q189" s="153"/>
      <c r="R189" s="2809"/>
      <c r="S189" s="2809"/>
      <c r="T189" s="153"/>
      <c r="U189" s="2809"/>
      <c r="V189" s="2809"/>
      <c r="W189" s="2810"/>
      <c r="AI189" s="290"/>
      <c r="AJ189" s="290"/>
      <c r="AK189" s="290"/>
      <c r="AL189" s="290"/>
      <c r="AM189" s="290"/>
      <c r="AN189" s="290"/>
      <c r="AO189" s="290"/>
      <c r="AP189" s="290"/>
      <c r="AQ189" s="290"/>
      <c r="AR189" s="290"/>
      <c r="AS189" s="290"/>
      <c r="AT189" s="290"/>
      <c r="AU189" s="290"/>
      <c r="AV189" s="290"/>
      <c r="BY189" s="290"/>
      <c r="BZ189" s="290"/>
    </row>
    <row r="190" spans="1:113" ht="16.350000000000001" customHeight="1" x14ac:dyDescent="0.25">
      <c r="B190" s="8616" t="s">
        <v>31</v>
      </c>
      <c r="C190" s="9587" t="s">
        <v>24</v>
      </c>
      <c r="D190" s="9629"/>
      <c r="E190" s="8867"/>
      <c r="F190" s="9597" t="s">
        <v>84</v>
      </c>
      <c r="G190" s="9598"/>
      <c r="H190" s="9598"/>
      <c r="I190" s="9598"/>
      <c r="J190" s="9598"/>
      <c r="K190" s="9598"/>
      <c r="L190" s="9598"/>
      <c r="M190" s="9598"/>
      <c r="N190" s="9598"/>
      <c r="O190" s="9598"/>
      <c r="P190" s="9598"/>
      <c r="Q190" s="9598"/>
      <c r="R190" s="9598"/>
      <c r="S190" s="9598"/>
      <c r="T190" s="9598"/>
      <c r="U190" s="9598"/>
      <c r="V190" s="9598"/>
      <c r="W190" s="9598"/>
      <c r="X190" s="9598"/>
      <c r="Y190" s="9598"/>
      <c r="Z190" s="9598"/>
      <c r="AA190" s="9598"/>
      <c r="AB190" s="9598"/>
      <c r="AC190" s="9598"/>
      <c r="AD190" s="9598"/>
      <c r="AE190" s="9598"/>
      <c r="AF190" s="9598"/>
      <c r="AG190" s="9598"/>
      <c r="AH190" s="9598"/>
      <c r="AI190" s="9598"/>
      <c r="AJ190" s="9598"/>
      <c r="AK190" s="9598"/>
      <c r="AL190" s="9598"/>
      <c r="AM190" s="9599"/>
      <c r="AN190" s="9614" t="s">
        <v>3747</v>
      </c>
      <c r="AO190" s="9615"/>
      <c r="BY190" s="290"/>
      <c r="BZ190" s="290"/>
    </row>
    <row r="191" spans="1:113" ht="16.350000000000001" customHeight="1" x14ac:dyDescent="0.25">
      <c r="B191" s="8619"/>
      <c r="C191" s="9588"/>
      <c r="D191" s="9630"/>
      <c r="E191" s="9589"/>
      <c r="F191" s="9600" t="s">
        <v>399</v>
      </c>
      <c r="G191" s="9601"/>
      <c r="H191" s="9600" t="s">
        <v>54</v>
      </c>
      <c r="I191" s="9601"/>
      <c r="J191" s="9600" t="s">
        <v>79</v>
      </c>
      <c r="K191" s="9601"/>
      <c r="L191" s="9600" t="s">
        <v>80</v>
      </c>
      <c r="M191" s="9601"/>
      <c r="N191" s="9600" t="s">
        <v>81</v>
      </c>
      <c r="O191" s="9601"/>
      <c r="P191" s="9590" t="s">
        <v>82</v>
      </c>
      <c r="Q191" s="9593"/>
      <c r="R191" s="9590" t="s">
        <v>83</v>
      </c>
      <c r="S191" s="9593"/>
      <c r="T191" s="9590" t="s">
        <v>400</v>
      </c>
      <c r="U191" s="9593"/>
      <c r="V191" s="9590" t="s">
        <v>124</v>
      </c>
      <c r="W191" s="9593"/>
      <c r="X191" s="9590" t="s">
        <v>125</v>
      </c>
      <c r="Y191" s="9593"/>
      <c r="Z191" s="9590" t="s">
        <v>126</v>
      </c>
      <c r="AA191" s="9593"/>
      <c r="AB191" s="9590" t="s">
        <v>127</v>
      </c>
      <c r="AC191" s="9593"/>
      <c r="AD191" s="9590" t="s">
        <v>128</v>
      </c>
      <c r="AE191" s="9593"/>
      <c r="AF191" s="9590" t="s">
        <v>129</v>
      </c>
      <c r="AG191" s="9593"/>
      <c r="AH191" s="9590" t="s">
        <v>130</v>
      </c>
      <c r="AI191" s="9593"/>
      <c r="AJ191" s="9590" t="s">
        <v>131</v>
      </c>
      <c r="AK191" s="9593"/>
      <c r="AL191" s="9590" t="s">
        <v>1405</v>
      </c>
      <c r="AM191" s="9591"/>
      <c r="AN191" s="9616"/>
      <c r="AO191" s="9617"/>
      <c r="BY191" s="290"/>
      <c r="BZ191" s="290"/>
    </row>
    <row r="192" spans="1:113" ht="16.350000000000001" customHeight="1" x14ac:dyDescent="0.25">
      <c r="B192" s="8617"/>
      <c r="C192" s="586" t="s">
        <v>42</v>
      </c>
      <c r="D192" s="595" t="s">
        <v>17</v>
      </c>
      <c r="E192" s="2093" t="s">
        <v>18</v>
      </c>
      <c r="F192" s="2919" t="s">
        <v>708</v>
      </c>
      <c r="G192" s="2936" t="s">
        <v>18</v>
      </c>
      <c r="H192" s="2919" t="s">
        <v>708</v>
      </c>
      <c r="I192" s="2936" t="s">
        <v>18</v>
      </c>
      <c r="J192" s="2919" t="s">
        <v>708</v>
      </c>
      <c r="K192" s="2936" t="s">
        <v>18</v>
      </c>
      <c r="L192" s="2919" t="s">
        <v>708</v>
      </c>
      <c r="M192" s="2936" t="s">
        <v>18</v>
      </c>
      <c r="N192" s="2919" t="s">
        <v>708</v>
      </c>
      <c r="O192" s="2936" t="s">
        <v>18</v>
      </c>
      <c r="P192" s="2919" t="s">
        <v>708</v>
      </c>
      <c r="Q192" s="2920" t="s">
        <v>18</v>
      </c>
      <c r="R192" s="2919" t="s">
        <v>708</v>
      </c>
      <c r="S192" s="2920" t="s">
        <v>18</v>
      </c>
      <c r="T192" s="2919" t="s">
        <v>708</v>
      </c>
      <c r="U192" s="2920" t="s">
        <v>18</v>
      </c>
      <c r="V192" s="2919" t="s">
        <v>708</v>
      </c>
      <c r="W192" s="2936" t="s">
        <v>18</v>
      </c>
      <c r="X192" s="2919" t="s">
        <v>708</v>
      </c>
      <c r="Y192" s="2936" t="s">
        <v>18</v>
      </c>
      <c r="Z192" s="2918" t="s">
        <v>708</v>
      </c>
      <c r="AA192" s="2936" t="s">
        <v>18</v>
      </c>
      <c r="AB192" s="2918" t="s">
        <v>708</v>
      </c>
      <c r="AC192" s="2936" t="s">
        <v>18</v>
      </c>
      <c r="AD192" s="2918" t="s">
        <v>708</v>
      </c>
      <c r="AE192" s="2936" t="s">
        <v>18</v>
      </c>
      <c r="AF192" s="2918" t="s">
        <v>708</v>
      </c>
      <c r="AG192" s="2936" t="s">
        <v>18</v>
      </c>
      <c r="AH192" s="2918" t="s">
        <v>708</v>
      </c>
      <c r="AI192" s="2936" t="s">
        <v>18</v>
      </c>
      <c r="AJ192" s="2918" t="s">
        <v>708</v>
      </c>
      <c r="AK192" s="2936" t="s">
        <v>18</v>
      </c>
      <c r="AL192" s="2918" t="s">
        <v>708</v>
      </c>
      <c r="AM192" s="2937" t="s">
        <v>18</v>
      </c>
      <c r="AN192" s="6778" t="s">
        <v>358</v>
      </c>
      <c r="AO192" s="4539" t="s">
        <v>359</v>
      </c>
      <c r="BY192" s="290"/>
      <c r="BZ192" s="290"/>
    </row>
    <row r="193" spans="1:107" ht="24" customHeight="1" x14ac:dyDescent="0.25">
      <c r="A193" s="7289" t="s">
        <v>4994</v>
      </c>
      <c r="B193" s="2118" t="s">
        <v>907</v>
      </c>
      <c r="C193" s="579" t="s">
        <v>5369</v>
      </c>
      <c r="D193" s="578" t="s">
        <v>5370</v>
      </c>
      <c r="E193" s="465" t="s">
        <v>5371</v>
      </c>
      <c r="F193" s="2938" t="s">
        <v>5372</v>
      </c>
      <c r="G193" s="2939" t="s">
        <v>5373</v>
      </c>
      <c r="H193" s="2938" t="s">
        <v>5374</v>
      </c>
      <c r="I193" s="2939" t="s">
        <v>5375</v>
      </c>
      <c r="J193" s="2938" t="s">
        <v>5376</v>
      </c>
      <c r="K193" s="2939" t="s">
        <v>5377</v>
      </c>
      <c r="L193" s="2938" t="s">
        <v>5378</v>
      </c>
      <c r="M193" s="2939" t="s">
        <v>5379</v>
      </c>
      <c r="N193" s="2938" t="s">
        <v>5380</v>
      </c>
      <c r="O193" s="2939" t="s">
        <v>5381</v>
      </c>
      <c r="P193" s="2938" t="s">
        <v>5382</v>
      </c>
      <c r="Q193" s="2935" t="s">
        <v>5383</v>
      </c>
      <c r="R193" s="2938" t="s">
        <v>5384</v>
      </c>
      <c r="S193" s="2935" t="s">
        <v>5385</v>
      </c>
      <c r="T193" s="2938" t="s">
        <v>5386</v>
      </c>
      <c r="U193" s="2935" t="s">
        <v>5387</v>
      </c>
      <c r="V193" s="2938" t="s">
        <v>5388</v>
      </c>
      <c r="W193" s="2939" t="s">
        <v>5389</v>
      </c>
      <c r="X193" s="2938" t="s">
        <v>5390</v>
      </c>
      <c r="Y193" s="2939" t="s">
        <v>5391</v>
      </c>
      <c r="Z193" s="2938" t="s">
        <v>5392</v>
      </c>
      <c r="AA193" s="2935" t="s">
        <v>5393</v>
      </c>
      <c r="AB193" s="2938" t="s">
        <v>5394</v>
      </c>
      <c r="AC193" s="2935" t="s">
        <v>5395</v>
      </c>
      <c r="AD193" s="2938" t="s">
        <v>5396</v>
      </c>
      <c r="AE193" s="2935" t="s">
        <v>5397</v>
      </c>
      <c r="AF193" s="2938" t="s">
        <v>5398</v>
      </c>
      <c r="AG193" s="2935" t="s">
        <v>5399</v>
      </c>
      <c r="AH193" s="2938" t="s">
        <v>5400</v>
      </c>
      <c r="AI193" s="2935" t="s">
        <v>5401</v>
      </c>
      <c r="AJ193" s="2938" t="s">
        <v>5402</v>
      </c>
      <c r="AK193" s="2935" t="s">
        <v>5403</v>
      </c>
      <c r="AL193" s="2938" t="s">
        <v>5404</v>
      </c>
      <c r="AM193" s="2940" t="s">
        <v>5405</v>
      </c>
      <c r="AN193" s="2935" t="s">
        <v>5406</v>
      </c>
      <c r="AO193" s="2935" t="s">
        <v>5407</v>
      </c>
      <c r="AP193" s="165" t="e">
        <f>CB193&amp;CC193</f>
        <v>#VALUE!</v>
      </c>
      <c r="BY193" s="290"/>
      <c r="BZ193" s="290"/>
      <c r="CB193" s="1429" t="e">
        <f>IF(DB193=1,"* La Suma de las columnas Trans no debe ser mayor al total. ","")</f>
        <v>#VALUE!</v>
      </c>
      <c r="CC193" s="1429" t="str">
        <f>IF(DC193=1,"* No olvide digitar las columnas Trans (Digite CERO si no tiene). ","")</f>
        <v/>
      </c>
      <c r="DB193" s="3219" t="e">
        <f>IF(AN193+AO193&gt;C193,1,0)</f>
        <v>#VALUE!</v>
      </c>
      <c r="DC193" s="3219">
        <f>IF(AND(C193&lt;&gt;0,OR(AN193="",AO193="")),1,0)</f>
        <v>0</v>
      </c>
    </row>
    <row r="194" spans="1:107" ht="21" customHeight="1" x14ac:dyDescent="0.25">
      <c r="B194" s="72" t="s">
        <v>3785</v>
      </c>
      <c r="C194" s="72"/>
      <c r="BY194" s="290"/>
      <c r="BZ194" s="290"/>
    </row>
    <row r="195" spans="1:107" ht="16.350000000000001" customHeight="1" x14ac:dyDescent="0.25">
      <c r="A195" s="7279"/>
      <c r="B195" s="8867" t="s">
        <v>906</v>
      </c>
      <c r="C195" s="8612" t="s">
        <v>24</v>
      </c>
      <c r="D195" s="8597"/>
      <c r="E195" s="8613"/>
      <c r="F195" s="9631" t="s">
        <v>84</v>
      </c>
      <c r="G195" s="9632"/>
      <c r="H195" s="9632"/>
      <c r="I195" s="9632"/>
      <c r="J195" s="9632"/>
      <c r="K195" s="9632"/>
      <c r="L195" s="9632"/>
      <c r="M195" s="9633"/>
      <c r="N195" s="8597" t="s">
        <v>905</v>
      </c>
      <c r="O195" s="9635"/>
      <c r="P195" s="8613" t="s">
        <v>904</v>
      </c>
      <c r="BY195" s="290"/>
      <c r="BZ195" s="290"/>
    </row>
    <row r="196" spans="1:107" ht="16.350000000000001" customHeight="1" x14ac:dyDescent="0.25">
      <c r="A196" s="7279"/>
      <c r="B196" s="8868"/>
      <c r="C196" s="8614"/>
      <c r="D196" s="8598"/>
      <c r="E196" s="8615"/>
      <c r="F196" s="8771" t="s">
        <v>399</v>
      </c>
      <c r="G196" s="8772"/>
      <c r="H196" s="9600" t="s">
        <v>54</v>
      </c>
      <c r="I196" s="9601"/>
      <c r="J196" s="9600" t="s">
        <v>79</v>
      </c>
      <c r="K196" s="9601"/>
      <c r="L196" s="8771" t="s">
        <v>903</v>
      </c>
      <c r="M196" s="9634"/>
      <c r="N196" s="8598"/>
      <c r="O196" s="9636"/>
      <c r="P196" s="8622"/>
    </row>
    <row r="197" spans="1:107" ht="16.350000000000001" customHeight="1" x14ac:dyDescent="0.25">
      <c r="A197" s="7279"/>
      <c r="B197" s="8868"/>
      <c r="C197" s="2082" t="s">
        <v>42</v>
      </c>
      <c r="D197" s="2118" t="s">
        <v>17</v>
      </c>
      <c r="E197" s="2082" t="s">
        <v>18</v>
      </c>
      <c r="F197" s="2092" t="s">
        <v>708</v>
      </c>
      <c r="G197" s="2123" t="s">
        <v>18</v>
      </c>
      <c r="H197" s="2092" t="s">
        <v>708</v>
      </c>
      <c r="I197" s="2123" t="s">
        <v>18</v>
      </c>
      <c r="J197" s="2121" t="s">
        <v>708</v>
      </c>
      <c r="K197" s="2140" t="s">
        <v>18</v>
      </c>
      <c r="L197" s="2092" t="s">
        <v>708</v>
      </c>
      <c r="M197" s="2117" t="s">
        <v>18</v>
      </c>
      <c r="N197" s="582" t="s">
        <v>902</v>
      </c>
      <c r="O197" s="2137" t="s">
        <v>901</v>
      </c>
      <c r="P197" s="8615"/>
    </row>
    <row r="198" spans="1:107" ht="16.350000000000001" customHeight="1" x14ac:dyDescent="0.25">
      <c r="A198" s="7309"/>
      <c r="B198" s="9589"/>
      <c r="C198" s="488">
        <f t="shared" ref="C198" si="2">+D198+E198</f>
        <v>0</v>
      </c>
      <c r="D198" s="1504">
        <f>+F198+H198+J198+L198</f>
        <v>0</v>
      </c>
      <c r="E198" s="570">
        <f>+G198+I198+K198+M198</f>
        <v>0</v>
      </c>
      <c r="F198" s="1505">
        <f t="shared" ref="F198:P198" si="3">SUM(F199:F203)</f>
        <v>0</v>
      </c>
      <c r="G198" s="486">
        <f t="shared" si="3"/>
        <v>0</v>
      </c>
      <c r="H198" s="1505">
        <f t="shared" si="3"/>
        <v>0</v>
      </c>
      <c r="I198" s="486">
        <f t="shared" si="3"/>
        <v>0</v>
      </c>
      <c r="J198" s="1505">
        <f t="shared" si="3"/>
        <v>0</v>
      </c>
      <c r="K198" s="1506">
        <f t="shared" si="3"/>
        <v>0</v>
      </c>
      <c r="L198" s="579">
        <f t="shared" si="3"/>
        <v>0</v>
      </c>
      <c r="M198" s="1507">
        <f t="shared" si="3"/>
        <v>0</v>
      </c>
      <c r="N198" s="487">
        <f t="shared" si="3"/>
        <v>0</v>
      </c>
      <c r="O198" s="486">
        <f t="shared" si="3"/>
        <v>0</v>
      </c>
      <c r="P198" s="1508">
        <f t="shared" si="3"/>
        <v>0</v>
      </c>
      <c r="Q198" s="290"/>
      <c r="R198" s="290"/>
      <c r="S198" s="290"/>
      <c r="T198" s="290"/>
      <c r="U198" s="290"/>
      <c r="V198" s="290"/>
      <c r="W198" s="290"/>
      <c r="X198" s="290"/>
      <c r="Y198" s="290"/>
      <c r="Z198" s="290"/>
      <c r="AA198" s="290"/>
      <c r="AB198" s="290"/>
      <c r="AC198" s="290"/>
      <c r="AD198" s="290"/>
      <c r="AE198" s="290"/>
      <c r="AF198" s="290"/>
    </row>
    <row r="199" spans="1:107" ht="15" customHeight="1" x14ac:dyDescent="0.25">
      <c r="A199" s="7289" t="s">
        <v>4995</v>
      </c>
      <c r="B199" s="1327" t="s">
        <v>900</v>
      </c>
      <c r="C199" s="1502" t="s">
        <v>5369</v>
      </c>
      <c r="D199" s="1502" t="s">
        <v>5370</v>
      </c>
      <c r="E199" s="1509" t="s">
        <v>5371</v>
      </c>
      <c r="F199" s="191" t="s">
        <v>5372</v>
      </c>
      <c r="G199" s="192" t="s">
        <v>5373</v>
      </c>
      <c r="H199" s="191" t="s">
        <v>5374</v>
      </c>
      <c r="I199" s="192" t="s">
        <v>5375</v>
      </c>
      <c r="J199" s="191" t="s">
        <v>5376</v>
      </c>
      <c r="K199" s="193" t="s">
        <v>5377</v>
      </c>
      <c r="L199" s="191" t="s">
        <v>5378</v>
      </c>
      <c r="M199" s="287" t="s">
        <v>5379</v>
      </c>
      <c r="N199" s="229" t="s">
        <v>5380</v>
      </c>
      <c r="O199" s="192" t="s">
        <v>5381</v>
      </c>
      <c r="P199" s="443" t="s">
        <v>5382</v>
      </c>
      <c r="Q199" s="1444"/>
      <c r="R199" s="806"/>
      <c r="S199" s="806"/>
      <c r="T199" s="806"/>
      <c r="U199" s="806"/>
      <c r="V199" s="806"/>
      <c r="W199" s="806"/>
      <c r="X199" s="806"/>
      <c r="Y199" s="806"/>
      <c r="Z199" s="806"/>
      <c r="AA199" s="806"/>
      <c r="AB199" s="806"/>
      <c r="AC199" s="290"/>
      <c r="AD199" s="290"/>
      <c r="AE199" s="290"/>
      <c r="AF199" s="290"/>
      <c r="DB199" s="3219">
        <v>0</v>
      </c>
      <c r="DC199" s="3219">
        <v>0</v>
      </c>
    </row>
    <row r="200" spans="1:107" ht="15" customHeight="1" x14ac:dyDescent="0.25">
      <c r="A200" s="7300" t="s">
        <v>4996</v>
      </c>
      <c r="B200" s="2071" t="s">
        <v>899</v>
      </c>
      <c r="C200" s="258" t="s">
        <v>5369</v>
      </c>
      <c r="D200" s="258" t="s">
        <v>5370</v>
      </c>
      <c r="E200" s="1510" t="s">
        <v>5371</v>
      </c>
      <c r="F200" s="230" t="s">
        <v>5372</v>
      </c>
      <c r="G200" s="222" t="s">
        <v>5373</v>
      </c>
      <c r="H200" s="230" t="s">
        <v>5374</v>
      </c>
      <c r="I200" s="222" t="s">
        <v>5375</v>
      </c>
      <c r="J200" s="230" t="s">
        <v>5376</v>
      </c>
      <c r="K200" s="231" t="s">
        <v>5377</v>
      </c>
      <c r="L200" s="230" t="s">
        <v>5378</v>
      </c>
      <c r="M200" s="311" t="s">
        <v>5379</v>
      </c>
      <c r="N200" s="232" t="s">
        <v>5380</v>
      </c>
      <c r="O200" s="222" t="s">
        <v>5381</v>
      </c>
      <c r="P200" s="1511" t="s">
        <v>5382</v>
      </c>
      <c r="Q200" s="1444"/>
      <c r="R200" s="806"/>
      <c r="S200" s="806"/>
      <c r="T200" s="806"/>
      <c r="U200" s="806"/>
      <c r="V200" s="806"/>
      <c r="W200" s="806"/>
      <c r="X200" s="806"/>
      <c r="Y200" s="806"/>
      <c r="Z200" s="806"/>
      <c r="AA200" s="806"/>
      <c r="AB200" s="806"/>
      <c r="AC200" s="290"/>
      <c r="AD200" s="290"/>
      <c r="AE200" s="290"/>
      <c r="AF200" s="290"/>
      <c r="DB200" s="3219">
        <v>0</v>
      </c>
      <c r="DC200" s="3219">
        <v>0</v>
      </c>
    </row>
    <row r="201" spans="1:107" ht="15" customHeight="1" x14ac:dyDescent="0.25">
      <c r="A201" s="7300" t="s">
        <v>4997</v>
      </c>
      <c r="B201" s="2071" t="s">
        <v>898</v>
      </c>
      <c r="C201" s="258" t="s">
        <v>5369</v>
      </c>
      <c r="D201" s="258" t="s">
        <v>5370</v>
      </c>
      <c r="E201" s="1510" t="s">
        <v>5371</v>
      </c>
      <c r="F201" s="230" t="s">
        <v>5372</v>
      </c>
      <c r="G201" s="222" t="s">
        <v>5373</v>
      </c>
      <c r="H201" s="230" t="s">
        <v>5374</v>
      </c>
      <c r="I201" s="222" t="s">
        <v>5375</v>
      </c>
      <c r="J201" s="230" t="s">
        <v>5376</v>
      </c>
      <c r="K201" s="231" t="s">
        <v>5377</v>
      </c>
      <c r="L201" s="230" t="s">
        <v>5378</v>
      </c>
      <c r="M201" s="311" t="s">
        <v>5379</v>
      </c>
      <c r="N201" s="232" t="s">
        <v>5380</v>
      </c>
      <c r="O201" s="222" t="s">
        <v>5381</v>
      </c>
      <c r="P201" s="1511" t="s">
        <v>5382</v>
      </c>
      <c r="Q201" s="1444"/>
      <c r="R201" s="806"/>
      <c r="S201" s="806"/>
      <c r="T201" s="806"/>
      <c r="U201" s="806"/>
      <c r="V201" s="806"/>
      <c r="W201" s="806"/>
      <c r="X201" s="806"/>
      <c r="Y201" s="806"/>
      <c r="Z201" s="806"/>
      <c r="AA201" s="806"/>
      <c r="AB201" s="806"/>
      <c r="AC201" s="290"/>
      <c r="AD201" s="290"/>
      <c r="AE201" s="290"/>
      <c r="AF201" s="290"/>
      <c r="DB201" s="3219">
        <v>0</v>
      </c>
      <c r="DC201" s="3219">
        <v>0</v>
      </c>
    </row>
    <row r="202" spans="1:107" ht="15" customHeight="1" x14ac:dyDescent="0.25">
      <c r="A202" s="7300" t="s">
        <v>4998</v>
      </c>
      <c r="B202" s="2071" t="s">
        <v>897</v>
      </c>
      <c r="C202" s="258" t="s">
        <v>5369</v>
      </c>
      <c r="D202" s="258" t="s">
        <v>5370</v>
      </c>
      <c r="E202" s="1510" t="s">
        <v>5371</v>
      </c>
      <c r="F202" s="1512" t="s">
        <v>5372</v>
      </c>
      <c r="G202" s="194" t="s">
        <v>5373</v>
      </c>
      <c r="H202" s="1512" t="s">
        <v>5374</v>
      </c>
      <c r="I202" s="194" t="s">
        <v>5375</v>
      </c>
      <c r="J202" s="1512" t="s">
        <v>5376</v>
      </c>
      <c r="K202" s="1473" t="s">
        <v>5377</v>
      </c>
      <c r="L202" s="1512" t="s">
        <v>5378</v>
      </c>
      <c r="M202" s="1513" t="s">
        <v>5379</v>
      </c>
      <c r="N202" s="1472" t="s">
        <v>5380</v>
      </c>
      <c r="O202" s="194" t="s">
        <v>5381</v>
      </c>
      <c r="P202" s="444" t="s">
        <v>5382</v>
      </c>
      <c r="Q202" s="1444"/>
      <c r="R202" s="806"/>
      <c r="S202" s="806"/>
      <c r="T202" s="806"/>
      <c r="U202" s="806"/>
      <c r="V202" s="806"/>
      <c r="W202" s="806"/>
      <c r="X202" s="806"/>
      <c r="Y202" s="806"/>
      <c r="Z202" s="806"/>
      <c r="AA202" s="806"/>
      <c r="AB202" s="806"/>
      <c r="AC202" s="290"/>
      <c r="AD202" s="290"/>
      <c r="AE202" s="290"/>
      <c r="AF202" s="290"/>
      <c r="DB202" s="3219">
        <v>0</v>
      </c>
      <c r="DC202" s="3219">
        <v>0</v>
      </c>
    </row>
    <row r="203" spans="1:107" ht="15" customHeight="1" x14ac:dyDescent="0.25">
      <c r="A203" s="7300" t="s">
        <v>4999</v>
      </c>
      <c r="B203" s="2168" t="s">
        <v>896</v>
      </c>
      <c r="C203" s="1408" t="s">
        <v>5369</v>
      </c>
      <c r="D203" s="1408" t="s">
        <v>5370</v>
      </c>
      <c r="E203" s="1514" t="s">
        <v>5371</v>
      </c>
      <c r="F203" s="617" t="s">
        <v>5372</v>
      </c>
      <c r="G203" s="615" t="s">
        <v>5373</v>
      </c>
      <c r="H203" s="617" t="s">
        <v>5374</v>
      </c>
      <c r="I203" s="615" t="s">
        <v>5375</v>
      </c>
      <c r="J203" s="617" t="s">
        <v>5376</v>
      </c>
      <c r="K203" s="615" t="s">
        <v>5377</v>
      </c>
      <c r="L203" s="617" t="s">
        <v>5378</v>
      </c>
      <c r="M203" s="1063" t="s">
        <v>5379</v>
      </c>
      <c r="N203" s="616" t="s">
        <v>5380</v>
      </c>
      <c r="O203" s="615" t="s">
        <v>5381</v>
      </c>
      <c r="P203" s="1062" t="s">
        <v>5382</v>
      </c>
      <c r="Q203" s="1444"/>
      <c r="R203" s="806"/>
      <c r="S203" s="806"/>
      <c r="T203" s="806"/>
      <c r="U203" s="806"/>
      <c r="V203" s="806"/>
      <c r="W203" s="806"/>
      <c r="X203" s="806"/>
      <c r="Y203" s="806"/>
      <c r="Z203" s="806"/>
      <c r="AA203" s="806"/>
      <c r="AB203" s="806"/>
      <c r="AC203" s="290"/>
      <c r="AD203" s="290"/>
      <c r="AE203" s="290"/>
      <c r="AF203" s="290"/>
      <c r="DB203" s="3219">
        <v>0</v>
      </c>
      <c r="DC203" s="3219">
        <v>0</v>
      </c>
    </row>
    <row r="207" spans="1:107" x14ac:dyDescent="0.25">
      <c r="A207" s="165" t="s">
        <v>4068</v>
      </c>
    </row>
    <row r="208" spans="1:107" x14ac:dyDescent="0.25">
      <c r="A208" s="7310" t="s">
        <v>4899</v>
      </c>
    </row>
    <row r="209" spans="1:14" x14ac:dyDescent="0.25">
      <c r="A209" s="7310" t="s">
        <v>4900</v>
      </c>
    </row>
    <row r="210" spans="1:14" x14ac:dyDescent="0.25">
      <c r="A210" s="7310" t="s">
        <v>4944</v>
      </c>
    </row>
    <row r="211" spans="1:14" x14ac:dyDescent="0.25">
      <c r="A211" s="7310" t="s">
        <v>4960</v>
      </c>
    </row>
    <row r="212" spans="1:14" x14ac:dyDescent="0.25">
      <c r="A212" s="7310" t="s">
        <v>4961</v>
      </c>
    </row>
    <row r="220" spans="1:14" hidden="1" x14ac:dyDescent="0.25">
      <c r="B220" s="1418">
        <f>SUM(C12:C15,C20:C25,C40:C45,C66,C89,D94:D101,E104:E106,D111:D113,D127:D128,C144,D147:E147,D151:D152,D155:D160,D164:D169,C174:C177,D182:D183,C187:C188,C193,C198)</f>
        <v>0</v>
      </c>
      <c r="C220" s="1418" t="e">
        <f>SUM(DB10:EA203)</f>
        <v>#VALUE!</v>
      </c>
      <c r="D220" s="1418"/>
      <c r="E220" s="1418"/>
      <c r="F220" s="1418"/>
      <c r="G220" s="1418"/>
      <c r="H220" s="1418"/>
      <c r="I220" s="1418"/>
      <c r="J220" s="1418"/>
      <c r="K220" s="1418"/>
      <c r="L220" s="1418"/>
      <c r="M220" s="1418"/>
      <c r="N220" s="1418"/>
    </row>
  </sheetData>
  <mergeCells count="325">
    <mergeCell ref="B162:C163"/>
    <mergeCell ref="D162:F162"/>
    <mergeCell ref="G162:G163"/>
    <mergeCell ref="H162:H163"/>
    <mergeCell ref="I162:I163"/>
    <mergeCell ref="B164:B166"/>
    <mergeCell ref="B167:B169"/>
    <mergeCell ref="B171:B173"/>
    <mergeCell ref="C171:E172"/>
    <mergeCell ref="F171:AM171"/>
    <mergeCell ref="F172:G172"/>
    <mergeCell ref="H172:I172"/>
    <mergeCell ref="J172:K172"/>
    <mergeCell ref="L172:M172"/>
    <mergeCell ref="N172:O172"/>
    <mergeCell ref="P172:Q172"/>
    <mergeCell ref="R172:S172"/>
    <mergeCell ref="T172:U172"/>
    <mergeCell ref="V172:W172"/>
    <mergeCell ref="X172:Y172"/>
    <mergeCell ref="Z172:AA172"/>
    <mergeCell ref="AB172:AC172"/>
    <mergeCell ref="AD172:AE172"/>
    <mergeCell ref="B149:C150"/>
    <mergeCell ref="D149:F149"/>
    <mergeCell ref="G149:G150"/>
    <mergeCell ref="H149:J149"/>
    <mergeCell ref="K149:M149"/>
    <mergeCell ref="B155:B156"/>
    <mergeCell ref="B151:B152"/>
    <mergeCell ref="B154:C154"/>
    <mergeCell ref="B158:B160"/>
    <mergeCell ref="G120:H120"/>
    <mergeCell ref="I120:L120"/>
    <mergeCell ref="M120:M121"/>
    <mergeCell ref="N120:N121"/>
    <mergeCell ref="O120:O121"/>
    <mergeCell ref="B130:B131"/>
    <mergeCell ref="C130:C131"/>
    <mergeCell ref="B146:C146"/>
    <mergeCell ref="B127:B128"/>
    <mergeCell ref="AN47:AN49"/>
    <mergeCell ref="AO47:AO49"/>
    <mergeCell ref="F48:G48"/>
    <mergeCell ref="H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8:AA48"/>
    <mergeCell ref="AB48:AC48"/>
    <mergeCell ref="AD48:AE48"/>
    <mergeCell ref="AF48:AG48"/>
    <mergeCell ref="AH48:AI48"/>
    <mergeCell ref="AJ48:AK48"/>
    <mergeCell ref="AL48:AM48"/>
    <mergeCell ref="E185:E186"/>
    <mergeCell ref="C185:C186"/>
    <mergeCell ref="W179:W181"/>
    <mergeCell ref="S180:T180"/>
    <mergeCell ref="M180:N180"/>
    <mergeCell ref="D179:F180"/>
    <mergeCell ref="Q180:R180"/>
    <mergeCell ref="U180:V180"/>
    <mergeCell ref="K180:L180"/>
    <mergeCell ref="B111:C111"/>
    <mergeCell ref="B108:C110"/>
    <mergeCell ref="Y109:Z109"/>
    <mergeCell ref="I109:J109"/>
    <mergeCell ref="K109:L109"/>
    <mergeCell ref="O109:P109"/>
    <mergeCell ref="B125:C126"/>
    <mergeCell ref="AJ58:AK58"/>
    <mergeCell ref="B115:C116"/>
    <mergeCell ref="D115:F115"/>
    <mergeCell ref="G115:H115"/>
    <mergeCell ref="I115:J115"/>
    <mergeCell ref="K115:L115"/>
    <mergeCell ref="M115:N115"/>
    <mergeCell ref="O115:P115"/>
    <mergeCell ref="Q115:R115"/>
    <mergeCell ref="S115:T115"/>
    <mergeCell ref="U115:V115"/>
    <mergeCell ref="B100:C100"/>
    <mergeCell ref="B98:C98"/>
    <mergeCell ref="B117:C117"/>
    <mergeCell ref="B118:C118"/>
    <mergeCell ref="B120:B121"/>
    <mergeCell ref="C120:F120"/>
    <mergeCell ref="C37:E38"/>
    <mergeCell ref="B27:B29"/>
    <mergeCell ref="C27:E28"/>
    <mergeCell ref="F27:AM27"/>
    <mergeCell ref="B47:B49"/>
    <mergeCell ref="B57:B59"/>
    <mergeCell ref="F57:AM57"/>
    <mergeCell ref="N58:O58"/>
    <mergeCell ref="F28:G28"/>
    <mergeCell ref="H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8:AA28"/>
    <mergeCell ref="AB28:AC28"/>
    <mergeCell ref="AD28:AE28"/>
    <mergeCell ref="AF28:AG28"/>
    <mergeCell ref="C47:E48"/>
    <mergeCell ref="F47:AM47"/>
    <mergeCell ref="W92:X92"/>
    <mergeCell ref="W115:X115"/>
    <mergeCell ref="N38:O38"/>
    <mergeCell ref="J18:K18"/>
    <mergeCell ref="F18:G18"/>
    <mergeCell ref="H18:I18"/>
    <mergeCell ref="R18:S18"/>
    <mergeCell ref="F37:AM37"/>
    <mergeCell ref="AC92:AD92"/>
    <mergeCell ref="AE92:AF92"/>
    <mergeCell ref="AL58:AM58"/>
    <mergeCell ref="AF58:AG58"/>
    <mergeCell ref="D108:F109"/>
    <mergeCell ref="B103:D103"/>
    <mergeCell ref="L58:M58"/>
    <mergeCell ref="C57:E58"/>
    <mergeCell ref="X58:Y58"/>
    <mergeCell ref="H58:I58"/>
    <mergeCell ref="Z58:AA58"/>
    <mergeCell ref="AB58:AC58"/>
    <mergeCell ref="P58:Q58"/>
    <mergeCell ref="D91:F92"/>
    <mergeCell ref="P38:Q38"/>
    <mergeCell ref="B37:B39"/>
    <mergeCell ref="J58:K58"/>
    <mergeCell ref="R10:S10"/>
    <mergeCell ref="T10:U10"/>
    <mergeCell ref="AJ10:AK10"/>
    <mergeCell ref="J10:K10"/>
    <mergeCell ref="L10:M10"/>
    <mergeCell ref="N10:O10"/>
    <mergeCell ref="P10:Q10"/>
    <mergeCell ref="Z10:AA10"/>
    <mergeCell ref="V58:W58"/>
    <mergeCell ref="AB10:AC10"/>
    <mergeCell ref="AF18:AG18"/>
    <mergeCell ref="AH18:AI18"/>
    <mergeCell ref="X18:Y18"/>
    <mergeCell ref="Y92:Z92"/>
    <mergeCell ref="AA92:AB92"/>
    <mergeCell ref="G91:AN91"/>
    <mergeCell ref="AG92:AH92"/>
    <mergeCell ref="V10:W10"/>
    <mergeCell ref="AL38:AM38"/>
    <mergeCell ref="AB38:AC38"/>
    <mergeCell ref="AJ38:AK38"/>
    <mergeCell ref="AK92:AL92"/>
    <mergeCell ref="V18:W18"/>
    <mergeCell ref="T18:U18"/>
    <mergeCell ref="AD10:AE10"/>
    <mergeCell ref="Z38:AA38"/>
    <mergeCell ref="F17:AM17"/>
    <mergeCell ref="AH28:AI28"/>
    <mergeCell ref="AJ28:AK28"/>
    <mergeCell ref="AL28:AM28"/>
    <mergeCell ref="AJ18:AK18"/>
    <mergeCell ref="S92:T92"/>
    <mergeCell ref="U92:V92"/>
    <mergeCell ref="F58:G58"/>
    <mergeCell ref="L18:M18"/>
    <mergeCell ref="N18:O18"/>
    <mergeCell ref="F38:G38"/>
    <mergeCell ref="AT9:AT11"/>
    <mergeCell ref="AP17:AP19"/>
    <mergeCell ref="AO37:AO39"/>
    <mergeCell ref="AP10:AP11"/>
    <mergeCell ref="AQ10:AQ11"/>
    <mergeCell ref="AR10:AR11"/>
    <mergeCell ref="AS9:AS11"/>
    <mergeCell ref="AN17:AN19"/>
    <mergeCell ref="AO9:AR9"/>
    <mergeCell ref="AO10:AO11"/>
    <mergeCell ref="AN9:AN11"/>
    <mergeCell ref="AN37:AN39"/>
    <mergeCell ref="AO17:AO19"/>
    <mergeCell ref="AQ17:AQ19"/>
    <mergeCell ref="AN27:AN29"/>
    <mergeCell ref="AO27:AO29"/>
    <mergeCell ref="AP91:AP93"/>
    <mergeCell ref="AC109:AD109"/>
    <mergeCell ref="B104:C106"/>
    <mergeCell ref="AO108:AO110"/>
    <mergeCell ref="AO91:AO93"/>
    <mergeCell ref="AE109:AF109"/>
    <mergeCell ref="G109:H109"/>
    <mergeCell ref="AA109:AB109"/>
    <mergeCell ref="AG109:AH109"/>
    <mergeCell ref="W109:X109"/>
    <mergeCell ref="M109:N109"/>
    <mergeCell ref="AK109:AL109"/>
    <mergeCell ref="AI109:AJ109"/>
    <mergeCell ref="AM109:AN109"/>
    <mergeCell ref="S109:T109"/>
    <mergeCell ref="U109:V109"/>
    <mergeCell ref="G92:H92"/>
    <mergeCell ref="B99:C99"/>
    <mergeCell ref="AI92:AJ92"/>
    <mergeCell ref="B94:C94"/>
    <mergeCell ref="B91:C93"/>
    <mergeCell ref="B101:C101"/>
    <mergeCell ref="B95:B97"/>
    <mergeCell ref="Q92:R92"/>
    <mergeCell ref="B6:P6"/>
    <mergeCell ref="B9:B11"/>
    <mergeCell ref="C9:E10"/>
    <mergeCell ref="F9:AM9"/>
    <mergeCell ref="AF10:AG10"/>
    <mergeCell ref="AH10:AI10"/>
    <mergeCell ref="X10:Y10"/>
    <mergeCell ref="AF38:AG38"/>
    <mergeCell ref="AH38:AI38"/>
    <mergeCell ref="X38:Y38"/>
    <mergeCell ref="AL10:AM10"/>
    <mergeCell ref="P18:Q18"/>
    <mergeCell ref="Z18:AA18"/>
    <mergeCell ref="AL18:AM18"/>
    <mergeCell ref="AB18:AC18"/>
    <mergeCell ref="F10:G10"/>
    <mergeCell ref="H10:I10"/>
    <mergeCell ref="B17:B19"/>
    <mergeCell ref="C17:E18"/>
    <mergeCell ref="AD18:AE18"/>
    <mergeCell ref="R38:S38"/>
    <mergeCell ref="T38:U38"/>
    <mergeCell ref="V38:W38"/>
    <mergeCell ref="AD38:AE38"/>
    <mergeCell ref="P195:P197"/>
    <mergeCell ref="AD191:AE191"/>
    <mergeCell ref="T191:U191"/>
    <mergeCell ref="L196:M196"/>
    <mergeCell ref="N195:O196"/>
    <mergeCell ref="AK179:AK181"/>
    <mergeCell ref="AL179:AL181"/>
    <mergeCell ref="F191:G191"/>
    <mergeCell ref="P191:Q191"/>
    <mergeCell ref="AF191:AG191"/>
    <mergeCell ref="AF180:AF181"/>
    <mergeCell ref="AB179:AB181"/>
    <mergeCell ref="AE180:AE181"/>
    <mergeCell ref="AD180:AD181"/>
    <mergeCell ref="X179:X181"/>
    <mergeCell ref="AC180:AC181"/>
    <mergeCell ref="G180:H180"/>
    <mergeCell ref="O180:P180"/>
    <mergeCell ref="R191:S191"/>
    <mergeCell ref="AB191:AC191"/>
    <mergeCell ref="AA179:AA181"/>
    <mergeCell ref="AI179:AI181"/>
    <mergeCell ref="AJ179:AJ181"/>
    <mergeCell ref="AG179:AH179"/>
    <mergeCell ref="B195:B198"/>
    <mergeCell ref="C190:E191"/>
    <mergeCell ref="H191:I191"/>
    <mergeCell ref="J191:K191"/>
    <mergeCell ref="F195:M195"/>
    <mergeCell ref="F196:G196"/>
    <mergeCell ref="H196:I196"/>
    <mergeCell ref="J196:K196"/>
    <mergeCell ref="C195:E196"/>
    <mergeCell ref="B190:B192"/>
    <mergeCell ref="AG180:AG181"/>
    <mergeCell ref="AH180:AH181"/>
    <mergeCell ref="AN190:AO191"/>
    <mergeCell ref="AM92:AN92"/>
    <mergeCell ref="AN57:AO58"/>
    <mergeCell ref="H38:I38"/>
    <mergeCell ref="N191:O191"/>
    <mergeCell ref="AD58:AE58"/>
    <mergeCell ref="AH58:AI58"/>
    <mergeCell ref="I92:J92"/>
    <mergeCell ref="K92:L92"/>
    <mergeCell ref="M92:N92"/>
    <mergeCell ref="O92:P92"/>
    <mergeCell ref="R58:S58"/>
    <mergeCell ref="Y115:Z115"/>
    <mergeCell ref="P120:P121"/>
    <mergeCell ref="Q120:Q121"/>
    <mergeCell ref="AF172:AG172"/>
    <mergeCell ref="AH172:AI172"/>
    <mergeCell ref="AJ172:AK172"/>
    <mergeCell ref="AL172:AM172"/>
    <mergeCell ref="J38:K38"/>
    <mergeCell ref="L38:M38"/>
    <mergeCell ref="T58:U58"/>
    <mergeCell ref="B185:B186"/>
    <mergeCell ref="B182:B183"/>
    <mergeCell ref="D185:D186"/>
    <mergeCell ref="B179:C181"/>
    <mergeCell ref="AL191:AM191"/>
    <mergeCell ref="G108:AN108"/>
    <mergeCell ref="Q109:R109"/>
    <mergeCell ref="G179:V179"/>
    <mergeCell ref="V191:W191"/>
    <mergeCell ref="X191:Y191"/>
    <mergeCell ref="F190:AM190"/>
    <mergeCell ref="L191:M191"/>
    <mergeCell ref="B113:C113"/>
    <mergeCell ref="B112:C112"/>
    <mergeCell ref="E125:J125"/>
    <mergeCell ref="K125:K126"/>
    <mergeCell ref="D125:D126"/>
    <mergeCell ref="Z179:Z181"/>
    <mergeCell ref="I180:J180"/>
    <mergeCell ref="Y179:Y181"/>
    <mergeCell ref="AC179:AF179"/>
    <mergeCell ref="AH191:AI191"/>
    <mergeCell ref="Z191:AA191"/>
    <mergeCell ref="AJ191:AK191"/>
  </mergeCells>
  <conditionalFormatting sqref="A208:A212">
    <cfRule type="duplicateValues" dxfId="12" priority="1"/>
  </conditionalFormatting>
  <dataValidations count="2">
    <dataValidation type="whole" operator="greaterThanOrEqual" allowBlank="1" showInputMessage="1" showErrorMessage="1" errorTitle="Error" error="Favor Ingrese sólo Números." sqref="AN60:AO65 AN95:AP101 D69:F88 AN12:AT15 E104:E106 AP20:AQ35 G182:AH183 D187:E188 AN20:AO25 F193:AA193 F199:P203 G117:Z118 AN40:AO45 AN50:AO55 AN111:AO113 F174:AL177 C122:Q123 E127:K128 C132:C143 D147:E147 E151:M152 D155:G160 E164:I169 G111:AL113 F50:AL55 F40:AL45 F20:AL25 F12:AL15 G95:AL101 F60:AL65 F30:AL35 AN30:AO35" xr:uid="{00000000-0002-0000-0800-000000000000}">
      <formula1>0</formula1>
    </dataValidation>
    <dataValidation operator="greaterThanOrEqual" allowBlank="1" showInputMessage="1" showErrorMessage="1" errorTitle="Error" error="Favor Ingrese sólo Números." sqref="AM1:AM1048576" xr:uid="{8A340AC2-25E2-44A7-ACC8-8DF3D3195BD0}"/>
  </dataValidations>
  <pageMargins left="0.7" right="0.7" top="0.75" bottom="0.75" header="0.3" footer="0.3"/>
  <pageSetup paperSize="9" orientation="portrait" r:id="rId1"/>
  <ignoredErrors>
    <ignoredError sqref="I115" twoDigitTextYear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55EDA-7B91-4077-A8D6-12C5C186802F}">
  <sheetPr codeName="Hoja10"/>
  <dimension ref="A1:DI412"/>
  <sheetViews>
    <sheetView showGridLines="0" zoomScaleNormal="100" workbookViewId="0"/>
  </sheetViews>
  <sheetFormatPr baseColWidth="10" defaultColWidth="11.44140625" defaultRowHeight="13.8" x14ac:dyDescent="0.25"/>
  <cols>
    <col min="1" max="1" width="15.33203125" style="165" customWidth="1"/>
    <col min="2" max="2" width="38.5546875" style="165" customWidth="1"/>
    <col min="3" max="3" width="27.33203125" style="165" customWidth="1"/>
    <col min="4" max="4" width="51.44140625" style="165" customWidth="1"/>
    <col min="5" max="5" width="14.109375" style="165" customWidth="1"/>
    <col min="6" max="7" width="13.33203125" style="165" customWidth="1"/>
    <col min="8" max="8" width="14.44140625" style="165" customWidth="1"/>
    <col min="9" max="10" width="13.33203125" style="165" customWidth="1"/>
    <col min="11" max="41" width="11.44140625" style="165"/>
    <col min="42" max="42" width="12.44140625" style="165" customWidth="1"/>
    <col min="43" max="43" width="12.109375" style="165" customWidth="1"/>
    <col min="44" max="44" width="13.6640625" style="165" customWidth="1"/>
    <col min="45" max="45" width="13.33203125" style="165" customWidth="1"/>
    <col min="46" max="46" width="14.33203125" style="165" customWidth="1"/>
    <col min="47" max="47" width="11.88671875" style="165" customWidth="1"/>
    <col min="48" max="48" width="12" style="165" customWidth="1"/>
    <col min="49" max="49" width="16.109375" style="165" customWidth="1"/>
    <col min="50" max="50" width="14.6640625" style="165" customWidth="1"/>
    <col min="51" max="51" width="13.109375" style="165" customWidth="1"/>
    <col min="52" max="52" width="11.44140625" style="199"/>
    <col min="53" max="73" width="11.44140625" style="165"/>
    <col min="74" max="74" width="10.109375" style="165" customWidth="1"/>
    <col min="75" max="76" width="11.44140625" style="165"/>
    <col min="77" max="79" width="11.44140625" style="1438"/>
    <col min="80" max="99" width="11.44140625" style="1429" customWidth="1"/>
    <col min="100" max="131" width="11.44140625" style="165" customWidth="1"/>
    <col min="132" max="16384" width="11.44140625" style="165"/>
  </cols>
  <sheetData>
    <row r="1" spans="1:113" ht="16.350000000000001" customHeight="1" x14ac:dyDescent="0.25">
      <c r="B1" s="233" t="s">
        <v>207</v>
      </c>
      <c r="BV1" s="1430"/>
      <c r="BW1" s="1430"/>
      <c r="BX1" s="1430"/>
    </row>
    <row r="2" spans="1:113" ht="16.350000000000001" customHeight="1" x14ac:dyDescent="0.25">
      <c r="B2" s="150" t="str">
        <f>CONCATENATE("COMUNA: ",NOMBRE!B2," - ","( ",NOMBRE!C2,NOMBRE!D2,NOMBRE!E2,NOMBRE!F2,NOMBRE!G2," )")</f>
        <v>COMUNA:  - (  )</v>
      </c>
      <c r="BV2" s="1430"/>
      <c r="BW2" s="1430"/>
      <c r="BX2" s="1430"/>
    </row>
    <row r="3" spans="1:113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  <c r="BV3" s="1430"/>
      <c r="BW3" s="1430"/>
      <c r="BX3" s="1430"/>
    </row>
    <row r="4" spans="1:113" ht="16.350000000000001" customHeight="1" x14ac:dyDescent="0.25">
      <c r="B4" s="150" t="str">
        <f>CONCATENATE("MES: ",NOMBRE!B6," - ","( ",NOMBRE!C6,NOMBRE!D6," )")</f>
        <v>MES:  - (  )</v>
      </c>
      <c r="BV4" s="1430"/>
      <c r="BW4" s="1430"/>
      <c r="BX4" s="1430"/>
    </row>
    <row r="5" spans="1:113" ht="16.350000000000001" customHeight="1" x14ac:dyDescent="0.25">
      <c r="B5" s="150" t="str">
        <f>CONCATENATE("AÑO: ",NOMBRE!B7)</f>
        <v>AÑO: 2023</v>
      </c>
      <c r="BV5" s="1430"/>
      <c r="BW5" s="1430"/>
      <c r="BX5" s="1430"/>
    </row>
    <row r="6" spans="1:113" s="199" customFormat="1" ht="15" customHeight="1" x14ac:dyDescent="0.3">
      <c r="B6" s="9734" t="s">
        <v>2052</v>
      </c>
      <c r="C6" s="9734"/>
      <c r="D6" s="9734"/>
      <c r="E6" s="9734"/>
      <c r="F6" s="9734"/>
      <c r="G6" s="9734"/>
      <c r="H6" s="9734"/>
      <c r="I6" s="9734"/>
      <c r="J6" s="9734"/>
      <c r="K6" s="9734"/>
      <c r="L6" s="9734"/>
      <c r="M6" s="9734"/>
      <c r="N6" s="9734"/>
      <c r="O6" s="9734"/>
      <c r="P6" s="9734"/>
      <c r="Q6" s="9734"/>
      <c r="R6" s="4520"/>
      <c r="S6" s="4520"/>
      <c r="T6" s="4520"/>
      <c r="U6" s="4520"/>
      <c r="V6" s="4520"/>
      <c r="W6" s="4520"/>
      <c r="X6" s="4520"/>
      <c r="Y6" s="4520"/>
      <c r="Z6" s="4520"/>
      <c r="AA6" s="4520"/>
      <c r="AB6" s="4520"/>
      <c r="AC6" s="4520"/>
      <c r="AD6" s="4520"/>
      <c r="AE6" s="4520"/>
      <c r="AF6" s="4520"/>
      <c r="AG6" s="4520"/>
      <c r="AH6" s="4520"/>
      <c r="AI6" s="4520"/>
      <c r="AJ6" s="4520"/>
      <c r="AK6" s="4520"/>
      <c r="AL6" s="4520"/>
      <c r="AM6" s="4520"/>
      <c r="AN6" s="4520"/>
      <c r="AO6" s="4520"/>
      <c r="AP6" s="4520"/>
      <c r="AQ6" s="4520"/>
      <c r="AR6" s="4520"/>
      <c r="AS6" s="4520"/>
      <c r="AT6" s="4520"/>
      <c r="AU6" s="4520"/>
      <c r="AV6" s="4520"/>
      <c r="AW6" s="4520"/>
      <c r="AX6" s="9735"/>
      <c r="AY6" s="9735"/>
      <c r="AZ6" s="9735"/>
      <c r="BA6" s="9735"/>
      <c r="BB6" s="9735"/>
      <c r="BC6" s="9735"/>
      <c r="BD6" s="9735"/>
      <c r="BE6" s="9735"/>
      <c r="BF6" s="9735"/>
      <c r="BG6" s="9735"/>
      <c r="BH6" s="9735"/>
      <c r="BI6" s="9735"/>
      <c r="BJ6" s="9735"/>
      <c r="BK6" s="9735"/>
      <c r="BL6" s="9735"/>
      <c r="BM6" s="9735"/>
      <c r="BN6" s="9736"/>
      <c r="BO6" s="9736"/>
      <c r="BP6" s="9736"/>
      <c r="BQ6" s="9736"/>
      <c r="BR6" s="9736"/>
      <c r="BS6" s="9736"/>
      <c r="BT6" s="9736"/>
      <c r="BU6" s="9736"/>
      <c r="BV6" s="9736"/>
      <c r="BW6" s="9736"/>
      <c r="BX6" s="9736"/>
      <c r="BY6" s="9736"/>
      <c r="BZ6" s="9736"/>
      <c r="CA6" s="9736"/>
      <c r="CB6" s="9736"/>
      <c r="CC6" s="9736"/>
      <c r="CD6" s="9736"/>
      <c r="CE6" s="9736"/>
      <c r="CF6" s="9736"/>
      <c r="CG6" s="9736"/>
      <c r="CH6" s="9736"/>
      <c r="CI6" s="9736"/>
      <c r="CJ6" s="9736"/>
      <c r="CK6" s="9736"/>
      <c r="CL6" s="9736"/>
      <c r="CM6" s="9736"/>
      <c r="CN6" s="9736"/>
      <c r="CO6" s="9736"/>
      <c r="CP6" s="9736"/>
      <c r="CQ6" s="9736"/>
      <c r="CR6" s="9736"/>
      <c r="CS6" s="9736"/>
      <c r="CT6" s="9736"/>
      <c r="CU6" s="9736"/>
    </row>
    <row r="7" spans="1:113" x14ac:dyDescent="0.25">
      <c r="B7" s="745"/>
      <c r="C7" s="745"/>
      <c r="D7" s="745"/>
      <c r="E7" s="745"/>
      <c r="F7" s="745"/>
      <c r="G7" s="745"/>
      <c r="H7" s="745"/>
      <c r="I7" s="745"/>
      <c r="J7" s="745"/>
      <c r="K7" s="745"/>
      <c r="L7" s="745"/>
      <c r="M7" s="745"/>
      <c r="N7" s="745"/>
      <c r="O7" s="745"/>
      <c r="P7" s="745"/>
      <c r="Q7" s="745"/>
      <c r="AI7" s="290"/>
      <c r="AJ7" s="290"/>
      <c r="AK7" s="290"/>
      <c r="AL7" s="290"/>
      <c r="AM7" s="290"/>
      <c r="AN7" s="290"/>
      <c r="AO7" s="290"/>
      <c r="AP7" s="290"/>
      <c r="AQ7" s="290"/>
      <c r="AR7" s="290"/>
      <c r="AS7" s="290"/>
      <c r="AT7" s="290"/>
      <c r="AU7" s="290"/>
      <c r="AV7" s="290"/>
      <c r="AW7" s="290"/>
      <c r="AX7" s="290"/>
      <c r="BV7" s="1430"/>
      <c r="BW7" s="1430"/>
      <c r="BX7" s="1430"/>
    </row>
    <row r="8" spans="1:113" ht="32.1" customHeight="1" x14ac:dyDescent="0.25">
      <c r="B8" s="2113" t="s">
        <v>2520</v>
      </c>
      <c r="C8" s="1321"/>
      <c r="D8" s="1321"/>
      <c r="E8" s="1322"/>
      <c r="F8" s="1322"/>
      <c r="G8" s="743"/>
      <c r="H8" s="199"/>
      <c r="I8" s="743"/>
      <c r="J8" s="743"/>
      <c r="K8" s="743"/>
      <c r="L8" s="743"/>
      <c r="M8" s="743"/>
      <c r="N8" s="743"/>
      <c r="O8" s="743"/>
      <c r="P8" s="743"/>
      <c r="Q8" s="199"/>
      <c r="AI8" s="290"/>
      <c r="AJ8" s="290"/>
      <c r="AK8" s="290"/>
      <c r="AL8" s="290"/>
      <c r="AM8" s="290"/>
      <c r="AN8" s="290"/>
      <c r="AO8" s="290"/>
      <c r="AP8" s="290"/>
      <c r="AQ8" s="290"/>
      <c r="AR8" s="290"/>
      <c r="AS8" s="290"/>
      <c r="AT8" s="290"/>
      <c r="AU8" s="290"/>
      <c r="AV8" s="290"/>
      <c r="AW8" s="290"/>
      <c r="AX8" s="290"/>
      <c r="BV8" s="1430"/>
      <c r="BW8" s="1430"/>
      <c r="BX8" s="1430"/>
    </row>
    <row r="9" spans="1:113" ht="30.75" customHeight="1" x14ac:dyDescent="0.25">
      <c r="A9" s="7279"/>
      <c r="B9" s="9046" t="s">
        <v>1197</v>
      </c>
      <c r="C9" s="9046"/>
      <c r="D9" s="9678"/>
      <c r="E9" s="9533" t="s">
        <v>24</v>
      </c>
      <c r="F9" s="9533"/>
      <c r="G9" s="9575"/>
      <c r="H9" s="9740" t="s">
        <v>1063</v>
      </c>
      <c r="I9" s="9741"/>
      <c r="J9" s="9741"/>
      <c r="K9" s="9741"/>
      <c r="L9" s="9741"/>
      <c r="M9" s="9741"/>
      <c r="N9" s="9741"/>
      <c r="O9" s="9741"/>
      <c r="P9" s="9741"/>
      <c r="Q9" s="9741"/>
      <c r="R9" s="9741"/>
      <c r="S9" s="9741"/>
      <c r="T9" s="9741"/>
      <c r="U9" s="9741"/>
      <c r="V9" s="9741"/>
      <c r="W9" s="9741"/>
      <c r="X9" s="9741"/>
      <c r="Y9" s="9741"/>
      <c r="Z9" s="9741"/>
      <c r="AA9" s="9741"/>
      <c r="AB9" s="9741"/>
      <c r="AC9" s="9741"/>
      <c r="AD9" s="9741"/>
      <c r="AE9" s="9741"/>
      <c r="AF9" s="9741"/>
      <c r="AG9" s="9741"/>
      <c r="AH9" s="9741"/>
      <c r="AI9" s="9741"/>
      <c r="AJ9" s="9741"/>
      <c r="AK9" s="9741"/>
      <c r="AL9" s="9741"/>
      <c r="AM9" s="9741"/>
      <c r="AN9" s="9741"/>
      <c r="AO9" s="9741"/>
      <c r="AP9" s="9741"/>
      <c r="AQ9" s="9742"/>
      <c r="AR9" s="9575" t="s">
        <v>2539</v>
      </c>
      <c r="AS9" s="8627" t="s">
        <v>112</v>
      </c>
      <c r="AT9" s="8627" t="s">
        <v>2533</v>
      </c>
      <c r="AU9" s="8627" t="s">
        <v>2553</v>
      </c>
      <c r="AV9" s="8627" t="s">
        <v>361</v>
      </c>
      <c r="AW9" s="9744" t="s">
        <v>3661</v>
      </c>
      <c r="AX9" s="8627" t="s">
        <v>3003</v>
      </c>
      <c r="AY9" s="8627" t="s">
        <v>2903</v>
      </c>
      <c r="BA9" s="290"/>
      <c r="BB9" s="290"/>
      <c r="BC9" s="290"/>
      <c r="BD9" s="290"/>
      <c r="BE9" s="290"/>
      <c r="BF9" s="290"/>
      <c r="BG9" s="290"/>
      <c r="BH9" s="290"/>
      <c r="BI9" s="290"/>
      <c r="BJ9" s="290"/>
      <c r="BY9" s="165"/>
      <c r="BZ9" s="165"/>
      <c r="DB9" s="1432"/>
      <c r="DC9" s="1432"/>
      <c r="DD9" s="1432"/>
      <c r="DE9" s="1432"/>
      <c r="DF9" s="1432"/>
      <c r="DG9" s="1432"/>
      <c r="DH9" s="1432"/>
    </row>
    <row r="10" spans="1:113" ht="27.75" customHeight="1" x14ac:dyDescent="0.25">
      <c r="A10" s="7279"/>
      <c r="B10" s="9696"/>
      <c r="C10" s="9696"/>
      <c r="D10" s="9737"/>
      <c r="E10" s="9670"/>
      <c r="F10" s="9670"/>
      <c r="G10" s="8953"/>
      <c r="H10" s="9745" t="s">
        <v>3662</v>
      </c>
      <c r="I10" s="9746"/>
      <c r="J10" s="9747" t="s">
        <v>1079</v>
      </c>
      <c r="K10" s="9748"/>
      <c r="L10" s="9749" t="s">
        <v>1078</v>
      </c>
      <c r="M10" s="9748"/>
      <c r="N10" s="9747" t="s">
        <v>3663</v>
      </c>
      <c r="O10" s="9748"/>
      <c r="P10" s="9747" t="s">
        <v>1077</v>
      </c>
      <c r="Q10" s="9748"/>
      <c r="R10" s="9747" t="s">
        <v>1076</v>
      </c>
      <c r="S10" s="9748"/>
      <c r="T10" s="9747" t="s">
        <v>1047</v>
      </c>
      <c r="U10" s="9748"/>
      <c r="V10" s="9747" t="s">
        <v>1046</v>
      </c>
      <c r="W10" s="9748"/>
      <c r="X10" s="9747" t="s">
        <v>3664</v>
      </c>
      <c r="Y10" s="9748"/>
      <c r="Z10" s="9747" t="s">
        <v>48</v>
      </c>
      <c r="AA10" s="9750"/>
      <c r="AB10" s="9747" t="s">
        <v>49</v>
      </c>
      <c r="AC10" s="9750"/>
      <c r="AD10" s="9747" t="s">
        <v>3731</v>
      </c>
      <c r="AE10" s="9750"/>
      <c r="AF10" s="9747" t="s">
        <v>3732</v>
      </c>
      <c r="AG10" s="9750"/>
      <c r="AH10" s="9747" t="s">
        <v>3733</v>
      </c>
      <c r="AI10" s="9750"/>
      <c r="AJ10" s="9747" t="s">
        <v>3734</v>
      </c>
      <c r="AK10" s="9750"/>
      <c r="AL10" s="9747" t="s">
        <v>2132</v>
      </c>
      <c r="AM10" s="9750"/>
      <c r="AN10" s="9747" t="s">
        <v>2133</v>
      </c>
      <c r="AO10" s="9750"/>
      <c r="AP10" s="9747" t="s">
        <v>2131</v>
      </c>
      <c r="AQ10" s="9751"/>
      <c r="AR10" s="8581"/>
      <c r="AS10" s="8705"/>
      <c r="AT10" s="8705"/>
      <c r="AU10" s="8705"/>
      <c r="AV10" s="8705"/>
      <c r="AW10" s="9516"/>
      <c r="AX10" s="8705"/>
      <c r="AY10" s="8705"/>
      <c r="BA10" s="290"/>
      <c r="BB10" s="290"/>
      <c r="BC10" s="290"/>
      <c r="BD10" s="290"/>
      <c r="BE10" s="290"/>
      <c r="BF10" s="290"/>
      <c r="BG10" s="290"/>
      <c r="BH10" s="290"/>
      <c r="BI10" s="290"/>
      <c r="BJ10" s="290"/>
      <c r="BY10" s="165"/>
      <c r="BZ10" s="165"/>
      <c r="DB10" s="1432"/>
      <c r="DC10" s="1432"/>
      <c r="DD10" s="1432"/>
      <c r="DE10" s="1432"/>
      <c r="DF10" s="1432"/>
      <c r="DG10" s="1432"/>
      <c r="DH10" s="1432"/>
    </row>
    <row r="11" spans="1:113" ht="32.25" customHeight="1" x14ac:dyDescent="0.25">
      <c r="A11" s="7279"/>
      <c r="B11" s="9738"/>
      <c r="C11" s="9738"/>
      <c r="D11" s="9739"/>
      <c r="E11" s="4544" t="s">
        <v>42</v>
      </c>
      <c r="F11" s="3671" t="s">
        <v>17</v>
      </c>
      <c r="G11" s="4545" t="s">
        <v>18</v>
      </c>
      <c r="H11" s="3673" t="s">
        <v>17</v>
      </c>
      <c r="I11" s="4545" t="s">
        <v>18</v>
      </c>
      <c r="J11" s="3673" t="s">
        <v>17</v>
      </c>
      <c r="K11" s="4545" t="s">
        <v>18</v>
      </c>
      <c r="L11" s="3673" t="s">
        <v>17</v>
      </c>
      <c r="M11" s="4545" t="s">
        <v>18</v>
      </c>
      <c r="N11" s="3673" t="s">
        <v>17</v>
      </c>
      <c r="O11" s="4545" t="s">
        <v>18</v>
      </c>
      <c r="P11" s="3673" t="s">
        <v>17</v>
      </c>
      <c r="Q11" s="4545" t="s">
        <v>18</v>
      </c>
      <c r="R11" s="3673" t="s">
        <v>17</v>
      </c>
      <c r="S11" s="4545" t="s">
        <v>18</v>
      </c>
      <c r="T11" s="3673" t="s">
        <v>17</v>
      </c>
      <c r="U11" s="4545" t="s">
        <v>18</v>
      </c>
      <c r="V11" s="3673" t="s">
        <v>17</v>
      </c>
      <c r="W11" s="4545" t="s">
        <v>18</v>
      </c>
      <c r="X11" s="3673" t="s">
        <v>17</v>
      </c>
      <c r="Y11" s="4545" t="s">
        <v>18</v>
      </c>
      <c r="Z11" s="3673" t="s">
        <v>17</v>
      </c>
      <c r="AA11" s="4545" t="s">
        <v>18</v>
      </c>
      <c r="AB11" s="3673" t="s">
        <v>17</v>
      </c>
      <c r="AC11" s="4545" t="s">
        <v>18</v>
      </c>
      <c r="AD11" s="3673" t="s">
        <v>17</v>
      </c>
      <c r="AE11" s="4545" t="s">
        <v>18</v>
      </c>
      <c r="AF11" s="3673" t="s">
        <v>17</v>
      </c>
      <c r="AG11" s="4545" t="s">
        <v>18</v>
      </c>
      <c r="AH11" s="3673" t="s">
        <v>17</v>
      </c>
      <c r="AI11" s="4545" t="s">
        <v>18</v>
      </c>
      <c r="AJ11" s="3673" t="s">
        <v>17</v>
      </c>
      <c r="AK11" s="4545" t="s">
        <v>18</v>
      </c>
      <c r="AL11" s="3673" t="s">
        <v>17</v>
      </c>
      <c r="AM11" s="4545" t="s">
        <v>18</v>
      </c>
      <c r="AN11" s="3673" t="s">
        <v>17</v>
      </c>
      <c r="AO11" s="4545" t="s">
        <v>18</v>
      </c>
      <c r="AP11" s="3673" t="s">
        <v>17</v>
      </c>
      <c r="AQ11" s="4546" t="s">
        <v>18</v>
      </c>
      <c r="AR11" s="8953"/>
      <c r="AS11" s="9743"/>
      <c r="AT11" s="9743"/>
      <c r="AU11" s="9743"/>
      <c r="AV11" s="9743"/>
      <c r="AW11" s="9543"/>
      <c r="AX11" s="9743"/>
      <c r="AY11" s="9743"/>
      <c r="BA11" s="290"/>
      <c r="BB11" s="290"/>
      <c r="BC11" s="290"/>
      <c r="BD11" s="290"/>
      <c r="BE11" s="290"/>
      <c r="BF11" s="290"/>
      <c r="BG11" s="290"/>
      <c r="BH11" s="290"/>
      <c r="BI11" s="290"/>
      <c r="BJ11" s="290"/>
      <c r="BY11" s="165"/>
      <c r="BZ11" s="165"/>
      <c r="DB11" s="1432"/>
      <c r="DC11" s="1432"/>
      <c r="DD11" s="1432"/>
      <c r="DE11" s="1432"/>
      <c r="DF11" s="1432"/>
      <c r="DG11" s="1432"/>
      <c r="DH11" s="1432"/>
    </row>
    <row r="12" spans="1:113" ht="16.350000000000001" customHeight="1" x14ac:dyDescent="0.25">
      <c r="A12" s="7665" t="s">
        <v>5099</v>
      </c>
      <c r="B12" s="9753" t="s">
        <v>1196</v>
      </c>
      <c r="C12" s="9754"/>
      <c r="D12" s="9755"/>
      <c r="E12" s="4547" t="s">
        <v>5369</v>
      </c>
      <c r="F12" s="4548" t="s">
        <v>5370</v>
      </c>
      <c r="G12" s="4549" t="s">
        <v>5371</v>
      </c>
      <c r="H12" s="3757" t="s">
        <v>5372</v>
      </c>
      <c r="I12" s="2814" t="s">
        <v>5373</v>
      </c>
      <c r="J12" s="4550" t="s">
        <v>5374</v>
      </c>
      <c r="K12" s="2814" t="s">
        <v>5375</v>
      </c>
      <c r="L12" s="4550" t="s">
        <v>5376</v>
      </c>
      <c r="M12" s="2814" t="s">
        <v>5377</v>
      </c>
      <c r="N12" s="3757" t="s">
        <v>5378</v>
      </c>
      <c r="O12" s="2814" t="s">
        <v>5379</v>
      </c>
      <c r="P12" s="3757" t="s">
        <v>5380</v>
      </c>
      <c r="Q12" s="2814" t="s">
        <v>5381</v>
      </c>
      <c r="R12" s="3757" t="s">
        <v>5382</v>
      </c>
      <c r="S12" s="4551" t="s">
        <v>5383</v>
      </c>
      <c r="T12" s="3757" t="s">
        <v>5384</v>
      </c>
      <c r="U12" s="4551" t="s">
        <v>5385</v>
      </c>
      <c r="V12" s="3757" t="s">
        <v>5386</v>
      </c>
      <c r="W12" s="4551" t="s">
        <v>5387</v>
      </c>
      <c r="X12" s="3757" t="s">
        <v>5388</v>
      </c>
      <c r="Y12" s="4551" t="s">
        <v>5389</v>
      </c>
      <c r="Z12" s="3757" t="s">
        <v>5390</v>
      </c>
      <c r="AA12" s="4551" t="s">
        <v>5391</v>
      </c>
      <c r="AB12" s="3757" t="s">
        <v>5392</v>
      </c>
      <c r="AC12" s="4551" t="s">
        <v>5393</v>
      </c>
      <c r="AD12" s="3757" t="s">
        <v>5394</v>
      </c>
      <c r="AE12" s="4551" t="s">
        <v>5395</v>
      </c>
      <c r="AF12" s="3757" t="s">
        <v>5396</v>
      </c>
      <c r="AG12" s="4551" t="s">
        <v>5397</v>
      </c>
      <c r="AH12" s="3757" t="s">
        <v>5398</v>
      </c>
      <c r="AI12" s="4551" t="s">
        <v>5399</v>
      </c>
      <c r="AJ12" s="3757" t="s">
        <v>5400</v>
      </c>
      <c r="AK12" s="4551" t="s">
        <v>5401</v>
      </c>
      <c r="AL12" s="3757" t="s">
        <v>5402</v>
      </c>
      <c r="AM12" s="4551" t="s">
        <v>5403</v>
      </c>
      <c r="AN12" s="3757" t="s">
        <v>5404</v>
      </c>
      <c r="AO12" s="4551" t="s">
        <v>5405</v>
      </c>
      <c r="AP12" s="3757" t="s">
        <v>5406</v>
      </c>
      <c r="AQ12" s="4552" t="s">
        <v>5407</v>
      </c>
      <c r="AR12" s="2814" t="s">
        <v>5408</v>
      </c>
      <c r="AS12" s="2814" t="s">
        <v>5409</v>
      </c>
      <c r="AT12" s="3758" t="s">
        <v>5410</v>
      </c>
      <c r="AU12" s="3758" t="s">
        <v>5411</v>
      </c>
      <c r="AV12" s="3758" t="s">
        <v>5412</v>
      </c>
      <c r="AW12" s="3758" t="s">
        <v>5413</v>
      </c>
      <c r="AX12" s="3758" t="s">
        <v>5414</v>
      </c>
      <c r="AY12" s="3758" t="s">
        <v>5415</v>
      </c>
      <c r="AZ12" s="1496" t="e">
        <f>$CB12&amp;$CC12&amp;$CD12&amp;$CE12&amp;$CF12&amp;$CG12&amp;$CH12&amp;$CI12&amp;$CJ12&amp;$CK12&amp;$CL12&amp;$CM12&amp;$CN12&amp;$CO12&amp;$CP12&amp;$CQ12&amp;$CR12&amp;$CS12</f>
        <v>#VALUE!</v>
      </c>
      <c r="BA12" s="806"/>
      <c r="BB12" s="806"/>
      <c r="BC12" s="806"/>
      <c r="BD12" s="806"/>
      <c r="BE12" s="806"/>
      <c r="BF12" s="806"/>
      <c r="BG12" s="290"/>
      <c r="BH12" s="290"/>
      <c r="BI12" s="290"/>
      <c r="BJ12" s="290"/>
      <c r="BY12" s="165"/>
      <c r="BZ12" s="165"/>
      <c r="CB12" s="1435" t="e">
        <f>IF(DB12=1,"* Las consultas de 60 años NO DEBEN ser mayor que el total de Consultas entre 60-64 Años. ","")</f>
        <v>#VALUE!</v>
      </c>
      <c r="CC12" s="1435" t="str">
        <f>IF(DC12=1,"* Las actividades de usuarios en situación de discapacidad NO DEBEN superar el total. ","")</f>
        <v xml:space="preserve">* Las actividades de usuarios en situación de discapacidad NO DEBEN superar el total. </v>
      </c>
      <c r="CD12" s="1435" t="e">
        <f>IF(DD12=1,"* Las consultas de 12 años NO DEBEN ser mayor que el total de Consultas entre 10-14 Años. ","")</f>
        <v>#VALUE!</v>
      </c>
      <c r="CE12" s="1435" t="str">
        <f>IF(DE12=1,"* Las consultas de Pacientes en control PSCV NO DEBEN ser mayor que el total de Consultas. ","")</f>
        <v xml:space="preserve">* Las consultas de Pacientes en control PSCV NO DEBEN ser mayor que el total de Consultas. </v>
      </c>
      <c r="CF12" s="1435" t="str">
        <f>IF(AND(AS12="",E12&lt;&gt;0),"* Recuerde que las Embarazadas deben ser incluídas en el ingreso por rango Etario (Digite CEROS si no tiene). ",IF(G12&lt;AS12,"* Las Embarazadas NO DEBEN ser mayor al total de mujeres. ",""))</f>
        <v xml:space="preserve">* Las Embarazadas NO DEBEN ser mayor al total de mujeres. </v>
      </c>
      <c r="CG12" s="1435" t="str">
        <f>IF(AND(AX12="",E12&lt;&gt;0),"* No olvide digitar la población SENAME (Digite CEROS si no tiene). ",IF(E12&lt;AX12,"* La Población SENAME NO DEBE ser mayor al Total. ",""))</f>
        <v xml:space="preserve">* La Población SENAME NO DEBE ser mayor al Total. </v>
      </c>
      <c r="CH12" s="1435" t="str">
        <f>IF(AND(AY12="",F12&lt;&gt;0),"* No olvide digitar la población Mejor Niñez (Digite CEROS si no tiene). ",IF(F12&lt;AY12,"* La Población Mejor Niñez NO DEBE ser mayor al Total. ",""))</f>
        <v xml:space="preserve">* La Población Mejor Niñez NO DEBE ser mayor al Total. </v>
      </c>
      <c r="CI12" s="1435" t="str">
        <f>IF(AND(AV12="",E12&lt;&gt;0),"* No olvide digitar la población Migrante (Digite CEROS si no tiene). ",IF(E12&lt;AV12,"* La Población Migrante NO DEBE ser mayor al Total. ",""))</f>
        <v xml:space="preserve">* La Población Migrante NO DEBE ser mayor al Total. </v>
      </c>
      <c r="DB12" s="1436" t="e">
        <f>IF(AT12&gt;(AL12+AM12),1,0)</f>
        <v>#VALUE!</v>
      </c>
      <c r="DC12" s="1436">
        <f>IF(E12&lt;AU12,1,0)</f>
        <v>1</v>
      </c>
      <c r="DD12" s="1436" t="e">
        <f>IF((Z12+AA12)&lt;AR12,1,0)</f>
        <v>#VALUE!</v>
      </c>
      <c r="DE12" s="1436">
        <f>IF(E12&lt;AW12,1,0)</f>
        <v>1</v>
      </c>
      <c r="DF12" s="1436">
        <f>IF(AND(AS12="",E12&lt;&gt;0),1,IF(G12&lt;AS12,1,0))</f>
        <v>1</v>
      </c>
      <c r="DG12" s="1436">
        <f t="shared" ref="DG12:DG15" si="0">IF(AND(AX12="",E12&lt;&gt;0),1,IF(E12&lt;AX12,1,0))</f>
        <v>1</v>
      </c>
      <c r="DH12" s="1436">
        <f>IF(AND(AV12="",E12&lt;&gt;0),1,IF(E12&lt;AV12,1,0))</f>
        <v>1</v>
      </c>
      <c r="DI12" s="1436">
        <f>IF(AND(AY12="",G12&lt;&gt;0),1,IF(G12&lt;AY12,1,0))</f>
        <v>1</v>
      </c>
    </row>
    <row r="13" spans="1:113" ht="16.350000000000001" customHeight="1" x14ac:dyDescent="0.25">
      <c r="A13" s="7665" t="s">
        <v>5100</v>
      </c>
      <c r="B13" s="9756" t="s">
        <v>1195</v>
      </c>
      <c r="C13" s="9757"/>
      <c r="D13" s="9758"/>
      <c r="E13" s="2923" t="s">
        <v>5369</v>
      </c>
      <c r="F13" s="4553" t="s">
        <v>5370</v>
      </c>
      <c r="G13" s="1841" t="s">
        <v>5371</v>
      </c>
      <c r="H13" s="2822" t="s">
        <v>5372</v>
      </c>
      <c r="I13" s="2826" t="s">
        <v>5373</v>
      </c>
      <c r="J13" s="2822" t="s">
        <v>5374</v>
      </c>
      <c r="K13" s="2826" t="s">
        <v>5375</v>
      </c>
      <c r="L13" s="2822" t="s">
        <v>5376</v>
      </c>
      <c r="M13" s="2826" t="s">
        <v>5377</v>
      </c>
      <c r="N13" s="2822" t="s">
        <v>5378</v>
      </c>
      <c r="O13" s="2826" t="s">
        <v>5379</v>
      </c>
      <c r="P13" s="2822" t="s">
        <v>5380</v>
      </c>
      <c r="Q13" s="2826" t="s">
        <v>5381</v>
      </c>
      <c r="R13" s="2822" t="s">
        <v>5382</v>
      </c>
      <c r="S13" s="1844" t="s">
        <v>5383</v>
      </c>
      <c r="T13" s="2822" t="s">
        <v>5384</v>
      </c>
      <c r="U13" s="1844" t="s">
        <v>5385</v>
      </c>
      <c r="V13" s="2822" t="s">
        <v>5386</v>
      </c>
      <c r="W13" s="1844" t="s">
        <v>5387</v>
      </c>
      <c r="X13" s="2822" t="s">
        <v>5388</v>
      </c>
      <c r="Y13" s="1844" t="s">
        <v>5389</v>
      </c>
      <c r="Z13" s="2822" t="s">
        <v>5390</v>
      </c>
      <c r="AA13" s="1844" t="s">
        <v>5391</v>
      </c>
      <c r="AB13" s="2822" t="s">
        <v>5392</v>
      </c>
      <c r="AC13" s="1844" t="s">
        <v>5393</v>
      </c>
      <c r="AD13" s="2822" t="s">
        <v>5394</v>
      </c>
      <c r="AE13" s="1844" t="s">
        <v>5395</v>
      </c>
      <c r="AF13" s="2822" t="s">
        <v>5396</v>
      </c>
      <c r="AG13" s="1844" t="s">
        <v>5397</v>
      </c>
      <c r="AH13" s="2822" t="s">
        <v>5398</v>
      </c>
      <c r="AI13" s="1844" t="s">
        <v>5399</v>
      </c>
      <c r="AJ13" s="2822" t="s">
        <v>5400</v>
      </c>
      <c r="AK13" s="1844" t="s">
        <v>5401</v>
      </c>
      <c r="AL13" s="2822" t="s">
        <v>5402</v>
      </c>
      <c r="AM13" s="1844" t="s">
        <v>5403</v>
      </c>
      <c r="AN13" s="2822" t="s">
        <v>5404</v>
      </c>
      <c r="AO13" s="1844" t="s">
        <v>5405</v>
      </c>
      <c r="AP13" s="2822" t="s">
        <v>5406</v>
      </c>
      <c r="AQ13" s="2957" t="s">
        <v>5407</v>
      </c>
      <c r="AR13" s="2826" t="s">
        <v>5408</v>
      </c>
      <c r="AS13" s="2826" t="s">
        <v>5409</v>
      </c>
      <c r="AT13" s="3478" t="s">
        <v>5410</v>
      </c>
      <c r="AU13" s="3478" t="s">
        <v>5411</v>
      </c>
      <c r="AV13" s="3478" t="s">
        <v>5412</v>
      </c>
      <c r="AW13" s="3478" t="s">
        <v>5413</v>
      </c>
      <c r="AX13" s="3478" t="s">
        <v>5414</v>
      </c>
      <c r="AY13" s="3478" t="s">
        <v>5415</v>
      </c>
      <c r="AZ13" s="1496" t="e">
        <f t="shared" ref="AZ13:AZ15" si="1">$CB13&amp;$CC13&amp;$CD13&amp;$CE13&amp;$CF13&amp;$CG13&amp;$CH13&amp;$CI13&amp;$CJ13&amp;$CK13&amp;$CL13&amp;$CM13&amp;$CN13&amp;$CO13&amp;$CP13&amp;$CQ13&amp;$CR13&amp;$CS13</f>
        <v>#VALUE!</v>
      </c>
      <c r="BA13" s="806"/>
      <c r="BB13" s="806"/>
      <c r="BC13" s="806"/>
      <c r="BD13" s="806"/>
      <c r="BE13" s="806"/>
      <c r="BF13" s="806"/>
      <c r="BG13" s="290"/>
      <c r="BH13" s="290"/>
      <c r="BI13" s="290"/>
      <c r="BJ13" s="290"/>
      <c r="BY13" s="165"/>
      <c r="BZ13" s="165"/>
      <c r="CB13" s="1435" t="e">
        <f>IF(DB13=1,"* Las consultas de 60 años NO DEBEN ser mayor que el total de Consultas entre 60-64 Años. ","")</f>
        <v>#VALUE!</v>
      </c>
      <c r="CC13" s="1435" t="str">
        <f>IF(DC13=1,"* Las actividades de usuarios en situación de discapacidad NO DEBEN superar el total. ","")</f>
        <v xml:space="preserve">* Las actividades de usuarios en situación de discapacidad NO DEBEN superar el total. </v>
      </c>
      <c r="CD13" s="1435" t="e">
        <f>IF(DD13=1,"* Las consultas de 12 años NO DEBEN ser mayor que el total de Consultas entre 10-14 Años. ","")</f>
        <v>#VALUE!</v>
      </c>
      <c r="CE13" s="1435" t="str">
        <f>IF(DE13=1,"* Las consultas de Pacientes en control PSCV NO DEBEN ser mayor que el total de Consultas. ","")</f>
        <v xml:space="preserve">* Las consultas de Pacientes en control PSCV NO DEBEN ser mayor que el total de Consultas. </v>
      </c>
      <c r="CF13" s="1435" t="str">
        <f>IF(AND(AS13="",E13&lt;&gt;0),"* Recuerde que las Embarazadas deben ser incluídas en el ingreso por rango Etario (Digite CEROS si no tiene). ",IF(G13&lt;AS13,"* Las Embarazadas NO DEBEN ser mayor al total de mujeres. ",""))</f>
        <v xml:space="preserve">* Las Embarazadas NO DEBEN ser mayor al total de mujeres. </v>
      </c>
      <c r="CG13" s="1435" t="str">
        <f t="shared" ref="CG13:CG15" si="2">IF(AND(AX13="",E13&lt;&gt;0),"* No olvide digitar la población SENAME (Digite CEROS si no tiene). ",IF(E13&lt;AX13,"* La Población SENAME NO DEBE ser mayor al Total. ",""))</f>
        <v xml:space="preserve">* La Población SENAME NO DEBE ser mayor al Total. </v>
      </c>
      <c r="CH13" s="1435" t="str">
        <f t="shared" ref="CH13:CH15" si="3">IF(AND(AY13="",F13&lt;&gt;0),"* No olvide digitar la población Mejor Niñez (Digite CEROS si no tiene). ",IF(F13&lt;AY13,"* La Población Mejor Niñez NO DEBE ser mayor al Total. ",""))</f>
        <v xml:space="preserve">* La Población Mejor Niñez NO DEBE ser mayor al Total. </v>
      </c>
      <c r="CI13" s="1435" t="str">
        <f t="shared" ref="CI13:CI15" si="4">IF(AND(AV13="",E13&lt;&gt;0),"* No olvide digitar la población Migrante (Digite CEROS si no tiene). ",IF(E13&lt;AV13,"* La Población Migrante NO DEBE ser mayor al Total. ",""))</f>
        <v xml:space="preserve">* La Población Migrante NO DEBE ser mayor al Total. </v>
      </c>
      <c r="DB13" s="1436" t="e">
        <f>IF(AT13&gt;(AL13+AM13),1,0)</f>
        <v>#VALUE!</v>
      </c>
      <c r="DC13" s="1436">
        <f>IF(E13&lt;AU13,1,0)</f>
        <v>1</v>
      </c>
      <c r="DD13" s="1436" t="e">
        <f>IF((Z13+AA13)&lt;AR13,1,0)</f>
        <v>#VALUE!</v>
      </c>
      <c r="DE13" s="1436">
        <f>IF(E13&lt;AW13,1,0)</f>
        <v>1</v>
      </c>
      <c r="DF13" s="1436">
        <f>IF(AND(AS13="",E13&lt;&gt;0),1,IF(G13&lt;AS13,1,0))</f>
        <v>1</v>
      </c>
      <c r="DG13" s="1436">
        <f t="shared" si="0"/>
        <v>1</v>
      </c>
      <c r="DH13" s="1436">
        <f>IF(AND(AV13="",E13&lt;&gt;0),1,IF(E13&lt;AV13,1,0))</f>
        <v>1</v>
      </c>
      <c r="DI13" s="1436">
        <f t="shared" ref="DI13:DI15" si="5">IF(AND(AY13="",G13&lt;&gt;0),1,IF(G13&lt;AY13,1,0))</f>
        <v>1</v>
      </c>
    </row>
    <row r="14" spans="1:113" ht="16.350000000000001" customHeight="1" x14ac:dyDescent="0.25">
      <c r="A14" s="7665" t="s">
        <v>5101</v>
      </c>
      <c r="B14" s="9756" t="s">
        <v>1194</v>
      </c>
      <c r="C14" s="9757"/>
      <c r="D14" s="9758"/>
      <c r="E14" s="2923" t="s">
        <v>5369</v>
      </c>
      <c r="F14" s="4553" t="s">
        <v>5370</v>
      </c>
      <c r="G14" s="1841" t="s">
        <v>5371</v>
      </c>
      <c r="H14" s="2822" t="s">
        <v>5372</v>
      </c>
      <c r="I14" s="2826" t="s">
        <v>5373</v>
      </c>
      <c r="J14" s="2822" t="s">
        <v>5374</v>
      </c>
      <c r="K14" s="2826" t="s">
        <v>5375</v>
      </c>
      <c r="L14" s="2822" t="s">
        <v>5376</v>
      </c>
      <c r="M14" s="2826" t="s">
        <v>5377</v>
      </c>
      <c r="N14" s="2822" t="s">
        <v>5378</v>
      </c>
      <c r="O14" s="1844" t="s">
        <v>5379</v>
      </c>
      <c r="P14" s="2822" t="s">
        <v>5380</v>
      </c>
      <c r="Q14" s="1844" t="s">
        <v>5381</v>
      </c>
      <c r="R14" s="2822" t="s">
        <v>5382</v>
      </c>
      <c r="S14" s="1844" t="s">
        <v>5383</v>
      </c>
      <c r="T14" s="2822" t="s">
        <v>5384</v>
      </c>
      <c r="U14" s="1844" t="s">
        <v>5385</v>
      </c>
      <c r="V14" s="2822" t="s">
        <v>5386</v>
      </c>
      <c r="W14" s="1844" t="s">
        <v>5387</v>
      </c>
      <c r="X14" s="2822" t="s">
        <v>5388</v>
      </c>
      <c r="Y14" s="1844" t="s">
        <v>5389</v>
      </c>
      <c r="Z14" s="2822" t="s">
        <v>5390</v>
      </c>
      <c r="AA14" s="1844" t="s">
        <v>5391</v>
      </c>
      <c r="AB14" s="2822" t="s">
        <v>5392</v>
      </c>
      <c r="AC14" s="1844" t="s">
        <v>5393</v>
      </c>
      <c r="AD14" s="2822" t="s">
        <v>5394</v>
      </c>
      <c r="AE14" s="1844" t="s">
        <v>5395</v>
      </c>
      <c r="AF14" s="2822" t="s">
        <v>5396</v>
      </c>
      <c r="AG14" s="1844" t="s">
        <v>5397</v>
      </c>
      <c r="AH14" s="2822" t="s">
        <v>5398</v>
      </c>
      <c r="AI14" s="1844" t="s">
        <v>5399</v>
      </c>
      <c r="AJ14" s="2822" t="s">
        <v>5400</v>
      </c>
      <c r="AK14" s="1844" t="s">
        <v>5401</v>
      </c>
      <c r="AL14" s="2822" t="s">
        <v>5402</v>
      </c>
      <c r="AM14" s="1844" t="s">
        <v>5403</v>
      </c>
      <c r="AN14" s="2822" t="s">
        <v>5404</v>
      </c>
      <c r="AO14" s="1844" t="s">
        <v>5405</v>
      </c>
      <c r="AP14" s="2822" t="s">
        <v>5406</v>
      </c>
      <c r="AQ14" s="2957" t="s">
        <v>5407</v>
      </c>
      <c r="AR14" s="2826" t="s">
        <v>5408</v>
      </c>
      <c r="AS14" s="2826" t="s">
        <v>5409</v>
      </c>
      <c r="AT14" s="3478" t="s">
        <v>5410</v>
      </c>
      <c r="AU14" s="3478" t="s">
        <v>5411</v>
      </c>
      <c r="AV14" s="3478" t="s">
        <v>5412</v>
      </c>
      <c r="AW14" s="3478" t="s">
        <v>5413</v>
      </c>
      <c r="AX14" s="3478" t="s">
        <v>5414</v>
      </c>
      <c r="AY14" s="3478" t="s">
        <v>5415</v>
      </c>
      <c r="AZ14" s="1496" t="e">
        <f t="shared" si="1"/>
        <v>#VALUE!</v>
      </c>
      <c r="BA14" s="806"/>
      <c r="BB14" s="806"/>
      <c r="BC14" s="806"/>
      <c r="BD14" s="806"/>
      <c r="BE14" s="806"/>
      <c r="BF14" s="806"/>
      <c r="BG14" s="290"/>
      <c r="BH14" s="290"/>
      <c r="BI14" s="290"/>
      <c r="BJ14" s="290"/>
      <c r="BY14" s="165"/>
      <c r="BZ14" s="165"/>
      <c r="CB14" s="1435" t="e">
        <f>IF(DB14=1,"* Las consultas de 60 años NO DEBEN ser mayor que el total de Consultas entre 60-64 Años. ","")</f>
        <v>#VALUE!</v>
      </c>
      <c r="CC14" s="1435" t="str">
        <f>IF(DC14=1,"* Las actividades de usuarios en situación de discapacidad NO DEBEN superar el total. ","")</f>
        <v xml:space="preserve">* Las actividades de usuarios en situación de discapacidad NO DEBEN superar el total. </v>
      </c>
      <c r="CD14" s="1435" t="e">
        <f>IF(DD14=1,"* Las consultas de 12 años NO DEBEN ser mayor que el total de Consultas entre 10-14 Años. ","")</f>
        <v>#VALUE!</v>
      </c>
      <c r="CE14" s="1435" t="str">
        <f>IF(DE14=1,"* Las consultas de Pacientes en control PSCV NO DEBEN ser mayor que el total de Consultas. ","")</f>
        <v xml:space="preserve">* Las consultas de Pacientes en control PSCV NO DEBEN ser mayor que el total de Consultas. </v>
      </c>
      <c r="CF14" s="1435" t="str">
        <f>IF(AND(AS14="",E14&lt;&gt;0),"* Recuerde que las Embarazadas deben ser incluídas en el ingreso por rango Etario (Digite CEROS si no tiene). ",IF(G14&lt;AS14,"* Las Embarazadas NO DEBEN ser mayor al total de mujeres. ",""))</f>
        <v xml:space="preserve">* Las Embarazadas NO DEBEN ser mayor al total de mujeres. </v>
      </c>
      <c r="CG14" s="1435" t="str">
        <f t="shared" si="2"/>
        <v xml:space="preserve">* La Población SENAME NO DEBE ser mayor al Total. </v>
      </c>
      <c r="CH14" s="1435" t="str">
        <f t="shared" si="3"/>
        <v xml:space="preserve">* La Población Mejor Niñez NO DEBE ser mayor al Total. </v>
      </c>
      <c r="CI14" s="1435" t="str">
        <f t="shared" si="4"/>
        <v xml:space="preserve">* La Población Migrante NO DEBE ser mayor al Total. </v>
      </c>
      <c r="DB14" s="1436" t="e">
        <f>IF(AT14&gt;(AL14+AM14),1,0)</f>
        <v>#VALUE!</v>
      </c>
      <c r="DC14" s="1436">
        <f>IF(E14&lt;AU14,1,0)</f>
        <v>1</v>
      </c>
      <c r="DD14" s="1436" t="e">
        <f>IF((Z14+AA14)&lt;AR14,1,0)</f>
        <v>#VALUE!</v>
      </c>
      <c r="DE14" s="1436">
        <f>IF(E14&lt;AW14,1,0)</f>
        <v>1</v>
      </c>
      <c r="DF14" s="1436">
        <f>IF(AND(AS14="",E14&lt;&gt;0),1,IF(G14&lt;AS14,1,0))</f>
        <v>1</v>
      </c>
      <c r="DG14" s="1436">
        <f t="shared" si="0"/>
        <v>1</v>
      </c>
      <c r="DH14" s="1436">
        <f>IF(AND(AV14="",E14&lt;&gt;0),1,IF(E14&lt;AV14,1,0))</f>
        <v>1</v>
      </c>
      <c r="DI14" s="1436">
        <f t="shared" si="5"/>
        <v>1</v>
      </c>
    </row>
    <row r="15" spans="1:113" ht="16.350000000000001" customHeight="1" x14ac:dyDescent="0.25">
      <c r="A15" s="7665" t="s">
        <v>5102</v>
      </c>
      <c r="B15" s="9759" t="s">
        <v>1193</v>
      </c>
      <c r="C15" s="9760"/>
      <c r="D15" s="9761"/>
      <c r="E15" s="2745" t="s">
        <v>5369</v>
      </c>
      <c r="F15" s="4554" t="s">
        <v>5370</v>
      </c>
      <c r="G15" s="2835" t="s">
        <v>5371</v>
      </c>
      <c r="H15" s="3158" t="s">
        <v>5372</v>
      </c>
      <c r="I15" s="3159" t="s">
        <v>5373</v>
      </c>
      <c r="J15" s="3158" t="s">
        <v>5374</v>
      </c>
      <c r="K15" s="3159" t="s">
        <v>5375</v>
      </c>
      <c r="L15" s="3158" t="s">
        <v>5376</v>
      </c>
      <c r="M15" s="3159" t="s">
        <v>5377</v>
      </c>
      <c r="N15" s="3158" t="s">
        <v>5378</v>
      </c>
      <c r="O15" s="2821" t="s">
        <v>5379</v>
      </c>
      <c r="P15" s="3158" t="s">
        <v>5380</v>
      </c>
      <c r="Q15" s="2821" t="s">
        <v>5381</v>
      </c>
      <c r="R15" s="3158" t="s">
        <v>5382</v>
      </c>
      <c r="S15" s="2821" t="s">
        <v>5383</v>
      </c>
      <c r="T15" s="3158" t="s">
        <v>5384</v>
      </c>
      <c r="U15" s="2821" t="s">
        <v>5385</v>
      </c>
      <c r="V15" s="3158" t="s">
        <v>5386</v>
      </c>
      <c r="W15" s="2821" t="s">
        <v>5387</v>
      </c>
      <c r="X15" s="3158" t="s">
        <v>5388</v>
      </c>
      <c r="Y15" s="2821" t="s">
        <v>5389</v>
      </c>
      <c r="Z15" s="3158" t="s">
        <v>5390</v>
      </c>
      <c r="AA15" s="2821" t="s">
        <v>5391</v>
      </c>
      <c r="AB15" s="3158" t="s">
        <v>5392</v>
      </c>
      <c r="AC15" s="2821" t="s">
        <v>5393</v>
      </c>
      <c r="AD15" s="3158" t="s">
        <v>5394</v>
      </c>
      <c r="AE15" s="2821" t="s">
        <v>5395</v>
      </c>
      <c r="AF15" s="3158" t="s">
        <v>5396</v>
      </c>
      <c r="AG15" s="2821" t="s">
        <v>5397</v>
      </c>
      <c r="AH15" s="3158" t="s">
        <v>5398</v>
      </c>
      <c r="AI15" s="2821" t="s">
        <v>5399</v>
      </c>
      <c r="AJ15" s="3158" t="s">
        <v>5400</v>
      </c>
      <c r="AK15" s="2821" t="s">
        <v>5401</v>
      </c>
      <c r="AL15" s="3158" t="s">
        <v>5402</v>
      </c>
      <c r="AM15" s="2821" t="s">
        <v>5403</v>
      </c>
      <c r="AN15" s="3158" t="s">
        <v>5404</v>
      </c>
      <c r="AO15" s="2821" t="s">
        <v>5405</v>
      </c>
      <c r="AP15" s="3158" t="s">
        <v>5406</v>
      </c>
      <c r="AQ15" s="2830" t="s">
        <v>5407</v>
      </c>
      <c r="AR15" s="3159" t="s">
        <v>5408</v>
      </c>
      <c r="AS15" s="3159" t="s">
        <v>5409</v>
      </c>
      <c r="AT15" s="3236" t="s">
        <v>5410</v>
      </c>
      <c r="AU15" s="3236" t="s">
        <v>5411</v>
      </c>
      <c r="AV15" s="3236" t="s">
        <v>5412</v>
      </c>
      <c r="AW15" s="3236" t="s">
        <v>5413</v>
      </c>
      <c r="AX15" s="3236" t="s">
        <v>5414</v>
      </c>
      <c r="AY15" s="3236" t="s">
        <v>5415</v>
      </c>
      <c r="AZ15" s="1496" t="e">
        <f t="shared" si="1"/>
        <v>#VALUE!</v>
      </c>
      <c r="BA15" s="806"/>
      <c r="BB15" s="806"/>
      <c r="BC15" s="806"/>
      <c r="BD15" s="806"/>
      <c r="BE15" s="806"/>
      <c r="BF15" s="806"/>
      <c r="BG15" s="290"/>
      <c r="BH15" s="290"/>
      <c r="BI15" s="290"/>
      <c r="BJ15" s="290"/>
      <c r="BK15" s="290"/>
      <c r="BL15" s="290"/>
      <c r="BY15" s="165"/>
      <c r="BZ15" s="165"/>
      <c r="CB15" s="1435" t="e">
        <f>IF(DB15=1,"* Las consultas de 60 años NO DEBEN ser mayor que el total de Consultas entre 60-64 Años. ","")</f>
        <v>#VALUE!</v>
      </c>
      <c r="CC15" s="1435" t="str">
        <f>IF(DC15=1,"* Las actividades de usuarios en situación de discapacidad NO DEBEN superar el total. ","")</f>
        <v xml:space="preserve">* Las actividades de usuarios en situación de discapacidad NO DEBEN superar el total. </v>
      </c>
      <c r="CD15" s="1435" t="e">
        <f>IF(DD15=1,"* Las consultas de 12 años NO DEBEN ser mayor que el total de Consultas entre 10-14 Años. ","")</f>
        <v>#VALUE!</v>
      </c>
      <c r="CE15" s="1435" t="str">
        <f>IF(DE15=1,"* Las consultas de Pacientes en control PSCV NO DEBEN ser mayor que el total de Consultas. ","")</f>
        <v xml:space="preserve">* Las consultas de Pacientes en control PSCV NO DEBEN ser mayor que el total de Consultas. </v>
      </c>
      <c r="CF15" s="1435" t="str">
        <f>IF(AND(AS15="",E15&lt;&gt;0),"* Recuerde que las Embarazadas deben ser incluídas en el ingreso por rango Etario (Digite CEROS si no tiene). ",IF(G15&lt;AS15,"* Las Embarazadas NO DEBEN ser mayor al total de mujeres. ",""))</f>
        <v xml:space="preserve">* Las Embarazadas NO DEBEN ser mayor al total de mujeres. </v>
      </c>
      <c r="CG15" s="1435" t="str">
        <f t="shared" si="2"/>
        <v xml:space="preserve">* La Población SENAME NO DEBE ser mayor al Total. </v>
      </c>
      <c r="CH15" s="1435" t="str">
        <f t="shared" si="3"/>
        <v xml:space="preserve">* La Población Mejor Niñez NO DEBE ser mayor al Total. </v>
      </c>
      <c r="CI15" s="1435" t="str">
        <f t="shared" si="4"/>
        <v xml:space="preserve">* La Población Migrante NO DEBE ser mayor al Total. </v>
      </c>
      <c r="DB15" s="1436" t="e">
        <f>IF(AT15&gt;(AL15+AM15),1,0)</f>
        <v>#VALUE!</v>
      </c>
      <c r="DC15" s="1436">
        <f>IF(E15&lt;AU15,1,0)</f>
        <v>1</v>
      </c>
      <c r="DD15" s="1436" t="e">
        <f>IF((Z15+AA15)&lt;AR15,1,0)</f>
        <v>#VALUE!</v>
      </c>
      <c r="DE15" s="1436">
        <f>IF(E15&lt;AW15,1,0)</f>
        <v>1</v>
      </c>
      <c r="DF15" s="1436">
        <f>IF(AND(AS15="",E15&lt;&gt;0),1,IF(G15&lt;AS15,1,0))</f>
        <v>1</v>
      </c>
      <c r="DG15" s="1436">
        <f t="shared" si="0"/>
        <v>1</v>
      </c>
      <c r="DH15" s="1436">
        <f>IF(AND(AV15="",E15&lt;&gt;0),1,IF(E15&lt;AV15,1,0))</f>
        <v>1</v>
      </c>
      <c r="DI15" s="1436">
        <f t="shared" si="5"/>
        <v>1</v>
      </c>
    </row>
    <row r="16" spans="1:113" ht="32.1" customHeight="1" x14ac:dyDescent="0.25">
      <c r="B16" s="133" t="s">
        <v>2134</v>
      </c>
      <c r="C16" s="744"/>
      <c r="D16" s="744"/>
      <c r="E16" s="743"/>
      <c r="F16" s="743"/>
      <c r="G16" s="743"/>
      <c r="H16" s="4555"/>
      <c r="I16" s="4555"/>
      <c r="J16" s="743"/>
      <c r="K16" s="743"/>
      <c r="L16" s="743"/>
      <c r="M16" s="743"/>
      <c r="N16" s="743"/>
      <c r="O16" s="743"/>
      <c r="P16" s="743"/>
      <c r="Q16" s="235"/>
      <c r="R16" s="743"/>
      <c r="S16" s="743"/>
      <c r="T16" s="743"/>
      <c r="U16" s="743"/>
      <c r="V16" s="743"/>
      <c r="W16" s="743"/>
      <c r="X16" s="743"/>
      <c r="Y16" s="743"/>
      <c r="Z16" s="743"/>
      <c r="AA16" s="743"/>
      <c r="AB16" s="743"/>
      <c r="AC16" s="743"/>
      <c r="AD16" s="743"/>
      <c r="AE16" s="743"/>
      <c r="AF16" s="743"/>
      <c r="AG16" s="743"/>
      <c r="AH16" s="743"/>
      <c r="AI16" s="290"/>
      <c r="AJ16" s="290"/>
      <c r="AK16" s="290"/>
      <c r="AL16" s="290"/>
      <c r="AM16" s="290"/>
      <c r="AN16" s="290"/>
      <c r="AO16" s="290"/>
      <c r="AP16" s="290"/>
      <c r="AQ16" s="290"/>
      <c r="AR16" s="290"/>
      <c r="AS16" s="290"/>
      <c r="AT16" s="290"/>
      <c r="AU16" s="290"/>
      <c r="AV16" s="290"/>
      <c r="AW16" s="290"/>
      <c r="AX16" s="290"/>
      <c r="AY16" s="290"/>
      <c r="BV16" s="1430"/>
      <c r="BW16" s="1430"/>
      <c r="BX16" s="1430"/>
      <c r="DB16" s="1432"/>
      <c r="DC16" s="1432"/>
      <c r="DD16" s="1432"/>
      <c r="DE16" s="1432"/>
      <c r="DF16" s="1432"/>
      <c r="DG16" s="1432"/>
      <c r="DH16" s="1432"/>
    </row>
    <row r="17" spans="1:113" ht="33" customHeight="1" x14ac:dyDescent="0.25">
      <c r="B17" s="9762" t="s">
        <v>1049</v>
      </c>
      <c r="C17" s="9046"/>
      <c r="D17" s="9678"/>
      <c r="E17" s="9747" t="s">
        <v>39</v>
      </c>
      <c r="F17" s="9749"/>
      <c r="G17" s="9748"/>
      <c r="H17" s="9777" t="s">
        <v>3662</v>
      </c>
      <c r="I17" s="9778"/>
      <c r="J17" s="9748" t="s">
        <v>1079</v>
      </c>
      <c r="K17" s="9752"/>
      <c r="L17" s="9747" t="s">
        <v>1078</v>
      </c>
      <c r="M17" s="9748"/>
      <c r="N17" s="9748" t="s">
        <v>3663</v>
      </c>
      <c r="O17" s="9752"/>
      <c r="P17" s="9747" t="s">
        <v>1077</v>
      </c>
      <c r="Q17" s="9748"/>
      <c r="R17" s="9747" t="s">
        <v>1076</v>
      </c>
      <c r="S17" s="9748"/>
      <c r="T17" s="9747" t="s">
        <v>1047</v>
      </c>
      <c r="U17" s="9748"/>
      <c r="V17" s="9747" t="s">
        <v>1046</v>
      </c>
      <c r="W17" s="9748"/>
      <c r="X17" s="9749" t="s">
        <v>3664</v>
      </c>
      <c r="Y17" s="9749"/>
      <c r="Z17" s="9747" t="s">
        <v>48</v>
      </c>
      <c r="AA17" s="9750"/>
      <c r="AB17" s="9749" t="s">
        <v>49</v>
      </c>
      <c r="AC17" s="9776"/>
      <c r="AD17" s="9749" t="s">
        <v>3731</v>
      </c>
      <c r="AE17" s="9776"/>
      <c r="AF17" s="9749" t="s">
        <v>3732</v>
      </c>
      <c r="AG17" s="9776"/>
      <c r="AH17" s="9749" t="s">
        <v>3733</v>
      </c>
      <c r="AI17" s="9776"/>
      <c r="AJ17" s="9749" t="s">
        <v>3734</v>
      </c>
      <c r="AK17" s="9776"/>
      <c r="AL17" s="9749" t="s">
        <v>2132</v>
      </c>
      <c r="AM17" s="9776"/>
      <c r="AN17" s="9749" t="s">
        <v>2133</v>
      </c>
      <c r="AO17" s="9750"/>
      <c r="AP17" s="9749" t="s">
        <v>2131</v>
      </c>
      <c r="AQ17" s="9751"/>
      <c r="AR17" s="9575" t="s">
        <v>2539</v>
      </c>
      <c r="AS17" s="9575" t="s">
        <v>112</v>
      </c>
      <c r="AT17" s="8627" t="s">
        <v>2533</v>
      </c>
      <c r="AU17" s="8627" t="s">
        <v>1738</v>
      </c>
      <c r="AV17" s="9575" t="s">
        <v>2553</v>
      </c>
      <c r="AW17" s="9764" t="s">
        <v>361</v>
      </c>
      <c r="AX17" s="9764" t="s">
        <v>3003</v>
      </c>
      <c r="AY17" s="9764" t="s">
        <v>2903</v>
      </c>
      <c r="BA17" s="290"/>
      <c r="BB17" s="290"/>
      <c r="BC17" s="290"/>
      <c r="BD17" s="290"/>
      <c r="BE17" s="290"/>
      <c r="BF17" s="290"/>
      <c r="BG17" s="290"/>
      <c r="BH17" s="290"/>
      <c r="BI17" s="290"/>
      <c r="BJ17" s="290"/>
      <c r="BK17" s="290"/>
      <c r="BL17" s="290"/>
      <c r="BM17" s="290"/>
      <c r="BN17" s="290"/>
      <c r="BO17" s="290"/>
      <c r="BP17" s="290"/>
      <c r="BQ17" s="290"/>
      <c r="BR17" s="290"/>
      <c r="BS17" s="290"/>
      <c r="BT17" s="1438"/>
      <c r="BU17" s="1438"/>
      <c r="BV17" s="1438"/>
      <c r="BW17" s="1438"/>
      <c r="BX17" s="1438"/>
      <c r="DB17" s="1432"/>
      <c r="DC17" s="1432"/>
      <c r="DD17" s="1432"/>
      <c r="DE17" s="1432"/>
      <c r="DF17" s="1432"/>
      <c r="DG17" s="1432"/>
      <c r="DH17" s="1432"/>
    </row>
    <row r="18" spans="1:113" ht="44.25" customHeight="1" x14ac:dyDescent="0.25">
      <c r="B18" s="9763"/>
      <c r="C18" s="9738"/>
      <c r="D18" s="9739"/>
      <c r="E18" s="3673" t="s">
        <v>42</v>
      </c>
      <c r="F18" s="4556" t="s">
        <v>17</v>
      </c>
      <c r="G18" s="3259" t="s">
        <v>18</v>
      </c>
      <c r="H18" s="3673" t="s">
        <v>17</v>
      </c>
      <c r="I18" s="4545" t="s">
        <v>18</v>
      </c>
      <c r="J18" s="3327" t="s">
        <v>17</v>
      </c>
      <c r="K18" s="3259" t="s">
        <v>18</v>
      </c>
      <c r="L18" s="3327" t="s">
        <v>17</v>
      </c>
      <c r="M18" s="3292" t="s">
        <v>18</v>
      </c>
      <c r="N18" s="3327" t="s">
        <v>17</v>
      </c>
      <c r="O18" s="3259" t="s">
        <v>18</v>
      </c>
      <c r="P18" s="3327" t="s">
        <v>17</v>
      </c>
      <c r="Q18" s="3259" t="s">
        <v>18</v>
      </c>
      <c r="R18" s="3327" t="s">
        <v>17</v>
      </c>
      <c r="S18" s="3259" t="s">
        <v>18</v>
      </c>
      <c r="T18" s="3327" t="s">
        <v>17</v>
      </c>
      <c r="U18" s="3259" t="s">
        <v>18</v>
      </c>
      <c r="V18" s="3673" t="s">
        <v>17</v>
      </c>
      <c r="W18" s="4545" t="s">
        <v>18</v>
      </c>
      <c r="X18" s="4557" t="s">
        <v>17</v>
      </c>
      <c r="Y18" s="4558" t="s">
        <v>18</v>
      </c>
      <c r="Z18" s="3673" t="s">
        <v>17</v>
      </c>
      <c r="AA18" s="4545" t="s">
        <v>18</v>
      </c>
      <c r="AB18" s="4557" t="s">
        <v>17</v>
      </c>
      <c r="AC18" s="4558" t="s">
        <v>18</v>
      </c>
      <c r="AD18" s="3673" t="s">
        <v>17</v>
      </c>
      <c r="AE18" s="4545" t="s">
        <v>18</v>
      </c>
      <c r="AF18" s="4557" t="s">
        <v>17</v>
      </c>
      <c r="AG18" s="4558" t="s">
        <v>18</v>
      </c>
      <c r="AH18" s="3673" t="s">
        <v>17</v>
      </c>
      <c r="AI18" s="4545" t="s">
        <v>18</v>
      </c>
      <c r="AJ18" s="4557" t="s">
        <v>17</v>
      </c>
      <c r="AK18" s="4558" t="s">
        <v>18</v>
      </c>
      <c r="AL18" s="3673" t="s">
        <v>17</v>
      </c>
      <c r="AM18" s="4545" t="s">
        <v>18</v>
      </c>
      <c r="AN18" s="4557" t="s">
        <v>17</v>
      </c>
      <c r="AO18" s="4545" t="s">
        <v>18</v>
      </c>
      <c r="AP18" s="4557" t="s">
        <v>17</v>
      </c>
      <c r="AQ18" s="4546" t="s">
        <v>18</v>
      </c>
      <c r="AR18" s="8581"/>
      <c r="AS18" s="9775"/>
      <c r="AT18" s="9743"/>
      <c r="AU18" s="9743"/>
      <c r="AV18" s="8953"/>
      <c r="AW18" s="9765"/>
      <c r="AX18" s="9765"/>
      <c r="AY18" s="9765"/>
      <c r="BA18" s="290"/>
      <c r="BB18" s="290"/>
      <c r="BC18" s="290"/>
      <c r="BD18" s="290"/>
      <c r="BE18" s="290"/>
      <c r="BF18" s="290"/>
      <c r="BG18" s="290"/>
      <c r="BH18" s="290"/>
      <c r="BI18" s="290"/>
      <c r="BJ18" s="290"/>
      <c r="BK18" s="290"/>
      <c r="BL18" s="290"/>
      <c r="BM18" s="290"/>
      <c r="BN18" s="290"/>
      <c r="BO18" s="290"/>
      <c r="BP18" s="290"/>
      <c r="BQ18" s="290"/>
      <c r="BR18" s="290"/>
      <c r="BS18" s="290"/>
      <c r="BT18" s="1438"/>
      <c r="BU18" s="1438"/>
      <c r="BV18" s="1438"/>
      <c r="BW18" s="1438"/>
      <c r="BX18" s="1438"/>
      <c r="DB18" s="1432"/>
      <c r="DC18" s="1432"/>
      <c r="DD18" s="1432"/>
      <c r="DE18" s="1432"/>
      <c r="DF18" s="1432"/>
      <c r="DG18" s="1432"/>
      <c r="DH18" s="1432"/>
    </row>
    <row r="19" spans="1:113" ht="16.350000000000001" customHeight="1" x14ac:dyDescent="0.25">
      <c r="A19" s="7520" t="s">
        <v>5103</v>
      </c>
      <c r="B19" s="9766" t="s">
        <v>1042</v>
      </c>
      <c r="C19" s="9767"/>
      <c r="D19" s="9768"/>
      <c r="E19" s="4559" t="s">
        <v>5369</v>
      </c>
      <c r="F19" s="4548" t="s">
        <v>5370</v>
      </c>
      <c r="G19" s="4549" t="s">
        <v>5371</v>
      </c>
      <c r="H19" s="4550" t="s">
        <v>5372</v>
      </c>
      <c r="I19" s="4560" t="s">
        <v>5373</v>
      </c>
      <c r="J19" s="4550" t="s">
        <v>5374</v>
      </c>
      <c r="K19" s="3755" t="s">
        <v>5375</v>
      </c>
      <c r="L19" s="4550" t="s">
        <v>5376</v>
      </c>
      <c r="M19" s="4560" t="s">
        <v>5377</v>
      </c>
      <c r="N19" s="4550" t="s">
        <v>5378</v>
      </c>
      <c r="O19" s="3755" t="s">
        <v>5379</v>
      </c>
      <c r="P19" s="4550" t="s">
        <v>5380</v>
      </c>
      <c r="Q19" s="4560" t="s">
        <v>5381</v>
      </c>
      <c r="R19" s="4550" t="s">
        <v>5382</v>
      </c>
      <c r="S19" s="4560" t="s">
        <v>5383</v>
      </c>
      <c r="T19" s="4550" t="s">
        <v>5384</v>
      </c>
      <c r="U19" s="4560" t="s">
        <v>5385</v>
      </c>
      <c r="V19" s="4550" t="s">
        <v>5386</v>
      </c>
      <c r="W19" s="4560" t="s">
        <v>5387</v>
      </c>
      <c r="X19" s="4500" t="s">
        <v>5388</v>
      </c>
      <c r="Y19" s="4561" t="s">
        <v>5389</v>
      </c>
      <c r="Z19" s="4550" t="s">
        <v>5390</v>
      </c>
      <c r="AA19" s="4560" t="s">
        <v>5391</v>
      </c>
      <c r="AB19" s="4500" t="s">
        <v>5392</v>
      </c>
      <c r="AC19" s="4561" t="s">
        <v>5393</v>
      </c>
      <c r="AD19" s="4550" t="s">
        <v>5394</v>
      </c>
      <c r="AE19" s="4560" t="s">
        <v>5395</v>
      </c>
      <c r="AF19" s="4500" t="s">
        <v>5396</v>
      </c>
      <c r="AG19" s="4561" t="s">
        <v>5397</v>
      </c>
      <c r="AH19" s="4550" t="s">
        <v>5398</v>
      </c>
      <c r="AI19" s="4560" t="s">
        <v>5399</v>
      </c>
      <c r="AJ19" s="4500" t="s">
        <v>5400</v>
      </c>
      <c r="AK19" s="4561" t="s">
        <v>5401</v>
      </c>
      <c r="AL19" s="4550" t="s">
        <v>5402</v>
      </c>
      <c r="AM19" s="4560" t="s">
        <v>5403</v>
      </c>
      <c r="AN19" s="4500" t="s">
        <v>5404</v>
      </c>
      <c r="AO19" s="4560" t="s">
        <v>5405</v>
      </c>
      <c r="AP19" s="4500" t="s">
        <v>5406</v>
      </c>
      <c r="AQ19" s="4562" t="s">
        <v>5407</v>
      </c>
      <c r="AR19" s="4563" t="s">
        <v>5408</v>
      </c>
      <c r="AS19" s="3755" t="s">
        <v>5409</v>
      </c>
      <c r="AT19" s="4564" t="s">
        <v>5410</v>
      </c>
      <c r="AU19" s="4564" t="s">
        <v>5411</v>
      </c>
      <c r="AV19" s="4564" t="s">
        <v>5412</v>
      </c>
      <c r="AW19" s="4564" t="s">
        <v>5413</v>
      </c>
      <c r="AX19" s="4564" t="s">
        <v>5414</v>
      </c>
      <c r="AY19" s="4564" t="s">
        <v>5415</v>
      </c>
      <c r="AZ19" s="1496" t="e">
        <f t="shared" ref="AZ19:AZ35" si="6">$CB19&amp;$CC19&amp;$CD19&amp;$CE19&amp;$CF19&amp;$CG19&amp;$CH19&amp;$CI19&amp;$CJ19&amp;$CK19&amp;$CL19&amp;$CM19&amp;$CN19&amp;$CO19&amp;$CP19&amp;$CQ19&amp;$CR19&amp;$CS19</f>
        <v>#VALUE!</v>
      </c>
      <c r="BA19" s="290"/>
      <c r="BB19" s="290"/>
      <c r="BC19" s="290"/>
      <c r="BD19" s="290"/>
      <c r="BE19" s="290"/>
      <c r="BF19" s="290"/>
      <c r="BG19" s="290"/>
      <c r="BH19" s="290"/>
      <c r="BI19" s="290"/>
      <c r="BJ19" s="290"/>
      <c r="BK19" s="290"/>
      <c r="BL19" s="290"/>
      <c r="BM19" s="290"/>
      <c r="BN19" s="290"/>
      <c r="BO19" s="290"/>
      <c r="BP19" s="290"/>
      <c r="BQ19" s="290"/>
      <c r="BR19" s="290"/>
      <c r="BS19" s="290"/>
      <c r="BT19" s="1438"/>
      <c r="BU19" s="1438"/>
      <c r="BV19" s="1438"/>
      <c r="BW19" s="1438"/>
      <c r="BX19" s="1438"/>
      <c r="CB19" s="1435" t="e">
        <f>IF(DB19=1,"* Las consultas de 60 años NO DEBEN ser mayor que el total de Consultas entre 60-64 Años. ","")</f>
        <v>#VALUE!</v>
      </c>
      <c r="CC19" s="1435" t="str">
        <f>IF(DC19=1,"* Las actividades de usuarios en situación de discapacidad NO DEBEN superar el total. ","")</f>
        <v xml:space="preserve">* Las actividades de usuarios en situación de discapacidad NO DEBEN superar el total. </v>
      </c>
      <c r="CD19" s="1435" t="e">
        <f>IF(DD19=1,"* Las consultas de 12 años NO DEBEN ser mayor que el total de Consultas entre 10-14 Años. ","")</f>
        <v>#VALUE!</v>
      </c>
      <c r="CE19" s="1435" t="str">
        <f>IF(DE19=1,"* Las consultas de Pacientes en control PSCV NO DEBEN ser mayor que el total de Consultas. ","")</f>
        <v xml:space="preserve">* Las consultas de Pacientes en control PSCV NO DEBEN ser mayor que el total de Consultas. </v>
      </c>
      <c r="CF19" s="1435" t="str">
        <f>IF(AND(AS19="",E19&lt;&gt;0),"* Recuerde que las Embarazadas deben ser incluídas en el ingreso por rango Etario (Digite CEROS si no tiene). ",IF(G19&lt;AS19,"* Las Embarazadas NO DEBEN ser mayor al total de mujeres. ",""))</f>
        <v xml:space="preserve">* Las Embarazadas NO DEBEN ser mayor al total de mujeres. </v>
      </c>
      <c r="CG19" s="1435" t="str">
        <f>IF(AND(AX19="",E19&lt;&gt;0),"* No olvide digitar la población SENAME (Digite CEROS si no tiene). ",IF(E19&lt;AX19,"* La Población SENAME NO DEBE ser mayor al Total. ",""))</f>
        <v xml:space="preserve">* La Población SENAME NO DEBE ser mayor al Total. </v>
      </c>
      <c r="CH19" s="1435" t="str">
        <f>IF(AND(AY19="",F19&lt;&gt;0),"* No olvide digitar la población Mejor Niñez (Digite CEROS si no tiene). ",IF(F19&lt;AY19,"* La Población Mejor Niñez NO DEBE ser mayor al Total. ",""))</f>
        <v xml:space="preserve">* La Población Mejor Niñez NO DEBE ser mayor al Total. </v>
      </c>
      <c r="CI19" s="1435" t="str">
        <f>IF(AND(AV19="",E19&lt;&gt;0),"* No olvide digitar la población Migrante (Digite CEROS si no tiene). ",IF(E19&lt;AV19,"* La Población Migrante NO DEBE ser mayor al Total. ",""))</f>
        <v xml:space="preserve">* La Población Migrante NO DEBE ser mayor al Total. </v>
      </c>
      <c r="DB19" s="1436" t="e">
        <f t="shared" ref="DB19:DB35" si="7">IF(AT19&gt;(AL19+AM19),1,0)</f>
        <v>#VALUE!</v>
      </c>
      <c r="DC19" s="1436">
        <f t="shared" ref="DC19:DC35" si="8">IF(E19&lt;AU19,1,0)</f>
        <v>1</v>
      </c>
      <c r="DD19" s="1436" t="e">
        <f t="shared" ref="DD19:DD35" si="9">IF((Z19+AA19)&lt;AR19,1,0)</f>
        <v>#VALUE!</v>
      </c>
      <c r="DE19" s="1436">
        <f t="shared" ref="DE19:DE35" si="10">IF(E19&lt;AW19,1,0)</f>
        <v>1</v>
      </c>
      <c r="DF19" s="1436">
        <f t="shared" ref="DF19:DF35" si="11">IF(AND(AS19="",E19&lt;&gt;0),1,IF(G19&lt;AS19,1,0))</f>
        <v>1</v>
      </c>
      <c r="DG19" s="1436">
        <f>IF(AND(AX19="",E19&lt;&gt;0),1,IF(E19&lt;AX19,1,0))</f>
        <v>1</v>
      </c>
      <c r="DH19" s="1436">
        <f t="shared" ref="DH19:DH35" si="12">IF(AND(AV19="",E19&lt;&gt;0),1,IF(E19&lt;AV19,1,0))</f>
        <v>1</v>
      </c>
      <c r="DI19" s="1436">
        <f t="shared" ref="DI19:DI35" si="13">IF(AND(AY19="",G19&lt;&gt;0),1,IF(G19&lt;AY19,1,0))</f>
        <v>1</v>
      </c>
    </row>
    <row r="20" spans="1:113" ht="16.350000000000001" customHeight="1" x14ac:dyDescent="0.25">
      <c r="A20" s="7520" t="s">
        <v>5104</v>
      </c>
      <c r="B20" s="9769" t="s">
        <v>1192</v>
      </c>
      <c r="C20" s="9770"/>
      <c r="D20" s="9771"/>
      <c r="E20" s="4565" t="s">
        <v>5369</v>
      </c>
      <c r="F20" s="4553" t="s">
        <v>5370</v>
      </c>
      <c r="G20" s="1841" t="s">
        <v>5371</v>
      </c>
      <c r="H20" s="2846" t="s">
        <v>5372</v>
      </c>
      <c r="I20" s="1850" t="s">
        <v>5373</v>
      </c>
      <c r="J20" s="2846" t="s">
        <v>5374</v>
      </c>
      <c r="K20" s="2843" t="s">
        <v>5375</v>
      </c>
      <c r="L20" s="2846" t="s">
        <v>5376</v>
      </c>
      <c r="M20" s="1850" t="s">
        <v>5377</v>
      </c>
      <c r="N20" s="2846" t="s">
        <v>5378</v>
      </c>
      <c r="O20" s="2843" t="s">
        <v>5379</v>
      </c>
      <c r="P20" s="2846" t="s">
        <v>5380</v>
      </c>
      <c r="Q20" s="1850" t="s">
        <v>5381</v>
      </c>
      <c r="R20" s="2846" t="s">
        <v>5382</v>
      </c>
      <c r="S20" s="1850" t="s">
        <v>5383</v>
      </c>
      <c r="T20" s="2846" t="s">
        <v>5384</v>
      </c>
      <c r="U20" s="1850" t="s">
        <v>5385</v>
      </c>
      <c r="V20" s="2822" t="s">
        <v>5386</v>
      </c>
      <c r="W20" s="1844" t="s">
        <v>5387</v>
      </c>
      <c r="X20" s="2852" t="s">
        <v>5388</v>
      </c>
      <c r="Y20" s="1859" t="s">
        <v>5389</v>
      </c>
      <c r="Z20" s="2822" t="s">
        <v>5390</v>
      </c>
      <c r="AA20" s="1844" t="s">
        <v>5391</v>
      </c>
      <c r="AB20" s="2852" t="s">
        <v>5392</v>
      </c>
      <c r="AC20" s="1859" t="s">
        <v>5393</v>
      </c>
      <c r="AD20" s="2822" t="s">
        <v>5394</v>
      </c>
      <c r="AE20" s="1844" t="s">
        <v>5395</v>
      </c>
      <c r="AF20" s="2852" t="s">
        <v>5396</v>
      </c>
      <c r="AG20" s="1859" t="s">
        <v>5397</v>
      </c>
      <c r="AH20" s="2822" t="s">
        <v>5398</v>
      </c>
      <c r="AI20" s="1844" t="s">
        <v>5399</v>
      </c>
      <c r="AJ20" s="2852" t="s">
        <v>5400</v>
      </c>
      <c r="AK20" s="1859" t="s">
        <v>5401</v>
      </c>
      <c r="AL20" s="2822" t="s">
        <v>5402</v>
      </c>
      <c r="AM20" s="1844" t="s">
        <v>5403</v>
      </c>
      <c r="AN20" s="2852" t="s">
        <v>5404</v>
      </c>
      <c r="AO20" s="1844" t="s">
        <v>5405</v>
      </c>
      <c r="AP20" s="2852" t="s">
        <v>5406</v>
      </c>
      <c r="AQ20" s="2957" t="s">
        <v>5407</v>
      </c>
      <c r="AR20" s="4566" t="s">
        <v>5408</v>
      </c>
      <c r="AS20" s="2826" t="s">
        <v>5409</v>
      </c>
      <c r="AT20" s="4567" t="s">
        <v>5410</v>
      </c>
      <c r="AU20" s="4567" t="s">
        <v>5411</v>
      </c>
      <c r="AV20" s="4567" t="s">
        <v>5412</v>
      </c>
      <c r="AW20" s="4567" t="s">
        <v>5413</v>
      </c>
      <c r="AX20" s="4567" t="s">
        <v>5414</v>
      </c>
      <c r="AY20" s="4567" t="s">
        <v>5415</v>
      </c>
      <c r="AZ20" s="1496" t="e">
        <f t="shared" si="6"/>
        <v>#VALUE!</v>
      </c>
      <c r="BA20" s="290"/>
      <c r="BB20" s="290"/>
      <c r="BC20" s="290"/>
      <c r="BD20" s="290"/>
      <c r="BE20" s="290"/>
      <c r="BF20" s="290"/>
      <c r="BG20" s="290"/>
      <c r="BH20" s="290"/>
      <c r="BI20" s="290"/>
      <c r="BJ20" s="290"/>
      <c r="BK20" s="290"/>
      <c r="BL20" s="290"/>
      <c r="BM20" s="290"/>
      <c r="BN20" s="290"/>
      <c r="BO20" s="290"/>
      <c r="BP20" s="290"/>
      <c r="BQ20" s="290"/>
      <c r="BR20" s="290"/>
      <c r="BS20" s="290"/>
      <c r="BT20" s="1438"/>
      <c r="BU20" s="1438"/>
      <c r="BV20" s="1438"/>
      <c r="BW20" s="1438"/>
      <c r="BX20" s="1438"/>
      <c r="CB20" s="1435" t="e">
        <f t="shared" ref="CB20:CB35" si="14">IF(DB20=1,"* Las consultas de 60 años NO DEBEN ser mayor que el total de Consultas entre 60-64 Años. ","")</f>
        <v>#VALUE!</v>
      </c>
      <c r="CC20" s="1435" t="str">
        <f t="shared" ref="CC20:CC35" si="15">IF(DC20=1,"* Las actividades de usuarios en situación de discapacidad NO DEBEN superar el total. ","")</f>
        <v xml:space="preserve">* Las actividades de usuarios en situación de discapacidad NO DEBEN superar el total. </v>
      </c>
      <c r="CD20" s="1435" t="e">
        <f t="shared" ref="CD20:CD35" si="16">IF(DD20=1,"* Las consultas de 12 años NO DEBEN ser mayor que el total de Consultas entre 10-14 Años. ","")</f>
        <v>#VALUE!</v>
      </c>
      <c r="CE20" s="1435" t="str">
        <f t="shared" ref="CE20:CE35" si="17">IF(DE20=1,"* Las consultas de Pacientes en control PSCV NO DEBEN ser mayor que el total de Consultas. ","")</f>
        <v xml:space="preserve">* Las consultas de Pacientes en control PSCV NO DEBEN ser mayor que el total de Consultas. </v>
      </c>
      <c r="CF20" s="1435" t="str">
        <f t="shared" ref="CF20:CF35" si="18">IF(AND(AS20="",E20&lt;&gt;0),"* Recuerde que las Embarazadas deben ser incluídas en el ingreso por rango Etario (Digite CEROS si no tiene). ",IF(G20&lt;AS20,"* Las Embarazadas NO DEBEN ser mayor al total de mujeres. ",""))</f>
        <v xml:space="preserve">* Las Embarazadas NO DEBEN ser mayor al total de mujeres. </v>
      </c>
      <c r="CG20" s="1435" t="str">
        <f t="shared" ref="CG20:CG35" si="19">IF(AND(AX20="",E20&lt;&gt;0),"* No olvide digitar la población SENAME (Digite CEROS si no tiene). ",IF(E20&lt;AX20,"* La Población SENAME NO DEBE ser mayor al Total. ",""))</f>
        <v xml:space="preserve">* La Población SENAME NO DEBE ser mayor al Total. </v>
      </c>
      <c r="CH20" s="1435" t="str">
        <f t="shared" ref="CH20:CH35" si="20">IF(AND(AY20="",F20&lt;&gt;0),"* No olvide digitar la población Mejor Niñez (Digite CEROS si no tiene). ",IF(F20&lt;AY20,"* La Población Mejor Niñez NO DEBE ser mayor al Total. ",""))</f>
        <v xml:space="preserve">* La Población Mejor Niñez NO DEBE ser mayor al Total. </v>
      </c>
      <c r="CI20" s="1435" t="str">
        <f t="shared" ref="CI20:CI35" si="21">IF(AND(AV20="",E20&lt;&gt;0),"* No olvide digitar la población Migrante (Digite CEROS si no tiene). ",IF(E20&lt;AV20,"* La Población Migrante NO DEBE ser mayor al Total. ",""))</f>
        <v xml:space="preserve">* La Población Migrante NO DEBE ser mayor al Total. </v>
      </c>
      <c r="DB20" s="1436" t="e">
        <f t="shared" si="7"/>
        <v>#VALUE!</v>
      </c>
      <c r="DC20" s="1436">
        <f t="shared" si="8"/>
        <v>1</v>
      </c>
      <c r="DD20" s="1436" t="e">
        <f t="shared" si="9"/>
        <v>#VALUE!</v>
      </c>
      <c r="DE20" s="1436">
        <f t="shared" si="10"/>
        <v>1</v>
      </c>
      <c r="DF20" s="1436">
        <f t="shared" si="11"/>
        <v>1</v>
      </c>
      <c r="DG20" s="1436">
        <f t="shared" ref="DG20:DG35" si="22">IF(AND(AX20="",E20&lt;&gt;0),1,IF(E20&lt;AX20,1,0))</f>
        <v>1</v>
      </c>
      <c r="DH20" s="1436">
        <f t="shared" si="12"/>
        <v>1</v>
      </c>
      <c r="DI20" s="1436">
        <f t="shared" si="13"/>
        <v>1</v>
      </c>
    </row>
    <row r="21" spans="1:113" ht="16.350000000000001" customHeight="1" x14ac:dyDescent="0.25">
      <c r="A21" s="7520" t="s">
        <v>5105</v>
      </c>
      <c r="B21" s="9772" t="s">
        <v>1191</v>
      </c>
      <c r="C21" s="9773"/>
      <c r="D21" s="9774"/>
      <c r="E21" s="4565" t="s">
        <v>5369</v>
      </c>
      <c r="F21" s="4553" t="s">
        <v>5370</v>
      </c>
      <c r="G21" s="1841" t="s">
        <v>5371</v>
      </c>
      <c r="H21" s="2822" t="s">
        <v>5372</v>
      </c>
      <c r="I21" s="1844" t="s">
        <v>5373</v>
      </c>
      <c r="J21" s="2822" t="s">
        <v>5374</v>
      </c>
      <c r="K21" s="2826" t="s">
        <v>5375</v>
      </c>
      <c r="L21" s="2822" t="s">
        <v>5376</v>
      </c>
      <c r="M21" s="1844" t="s">
        <v>5377</v>
      </c>
      <c r="N21" s="2822" t="s">
        <v>5378</v>
      </c>
      <c r="O21" s="2826" t="s">
        <v>5379</v>
      </c>
      <c r="P21" s="2822" t="s">
        <v>5380</v>
      </c>
      <c r="Q21" s="1844" t="s">
        <v>5381</v>
      </c>
      <c r="R21" s="2822" t="s">
        <v>5382</v>
      </c>
      <c r="S21" s="1844" t="s">
        <v>5383</v>
      </c>
      <c r="T21" s="2822" t="s">
        <v>5384</v>
      </c>
      <c r="U21" s="1844" t="s">
        <v>5385</v>
      </c>
      <c r="V21" s="2822" t="s">
        <v>5386</v>
      </c>
      <c r="W21" s="1844" t="s">
        <v>5387</v>
      </c>
      <c r="X21" s="2852" t="s">
        <v>5388</v>
      </c>
      <c r="Y21" s="1859" t="s">
        <v>5389</v>
      </c>
      <c r="Z21" s="2822" t="s">
        <v>5390</v>
      </c>
      <c r="AA21" s="1844" t="s">
        <v>5391</v>
      </c>
      <c r="AB21" s="2852" t="s">
        <v>5392</v>
      </c>
      <c r="AC21" s="1859" t="s">
        <v>5393</v>
      </c>
      <c r="AD21" s="2822" t="s">
        <v>5394</v>
      </c>
      <c r="AE21" s="1844" t="s">
        <v>5395</v>
      </c>
      <c r="AF21" s="2852" t="s">
        <v>5396</v>
      </c>
      <c r="AG21" s="1859" t="s">
        <v>5397</v>
      </c>
      <c r="AH21" s="2822" t="s">
        <v>5398</v>
      </c>
      <c r="AI21" s="1844" t="s">
        <v>5399</v>
      </c>
      <c r="AJ21" s="2852" t="s">
        <v>5400</v>
      </c>
      <c r="AK21" s="1859" t="s">
        <v>5401</v>
      </c>
      <c r="AL21" s="2822" t="s">
        <v>5402</v>
      </c>
      <c r="AM21" s="1844" t="s">
        <v>5403</v>
      </c>
      <c r="AN21" s="2852" t="s">
        <v>5404</v>
      </c>
      <c r="AO21" s="1844" t="s">
        <v>5405</v>
      </c>
      <c r="AP21" s="2852" t="s">
        <v>5406</v>
      </c>
      <c r="AQ21" s="2957" t="s">
        <v>5407</v>
      </c>
      <c r="AR21" s="4566" t="s">
        <v>5408</v>
      </c>
      <c r="AS21" s="2826" t="s">
        <v>5409</v>
      </c>
      <c r="AT21" s="4567" t="s">
        <v>5410</v>
      </c>
      <c r="AU21" s="4567" t="s">
        <v>5411</v>
      </c>
      <c r="AV21" s="4567" t="s">
        <v>5412</v>
      </c>
      <c r="AW21" s="4567" t="s">
        <v>5413</v>
      </c>
      <c r="AX21" s="4567" t="s">
        <v>5414</v>
      </c>
      <c r="AY21" s="4567" t="s">
        <v>5415</v>
      </c>
      <c r="AZ21" s="1496" t="e">
        <f t="shared" si="6"/>
        <v>#VALUE!</v>
      </c>
      <c r="BA21" s="1380"/>
      <c r="BB21" s="1380"/>
      <c r="BC21" s="1380"/>
      <c r="BD21" s="1380"/>
      <c r="BE21" s="1380"/>
      <c r="BF21" s="1380"/>
      <c r="BG21" s="1380"/>
      <c r="BH21" s="1380"/>
      <c r="BI21" s="1380"/>
      <c r="BJ21" s="1380"/>
      <c r="BK21" s="1380"/>
      <c r="BL21" s="1380"/>
      <c r="BM21" s="1380"/>
      <c r="BN21" s="1380"/>
      <c r="BO21" s="1380"/>
      <c r="BP21" s="1380"/>
      <c r="BQ21" s="1380"/>
      <c r="BR21" s="1380"/>
      <c r="BS21" s="1380"/>
      <c r="BT21" s="1438"/>
      <c r="BU21" s="1438"/>
      <c r="BV21" s="1438"/>
      <c r="BW21" s="3542"/>
      <c r="BX21" s="3542"/>
      <c r="BY21" s="3542"/>
      <c r="CB21" s="1435" t="e">
        <f t="shared" si="14"/>
        <v>#VALUE!</v>
      </c>
      <c r="CC21" s="1435" t="str">
        <f t="shared" si="15"/>
        <v xml:space="preserve">* Las actividades de usuarios en situación de discapacidad NO DEBEN superar el total. </v>
      </c>
      <c r="CD21" s="1435" t="e">
        <f t="shared" si="16"/>
        <v>#VALUE!</v>
      </c>
      <c r="CE21" s="1435" t="str">
        <f t="shared" si="17"/>
        <v xml:space="preserve">* Las consultas de Pacientes en control PSCV NO DEBEN ser mayor que el total de Consultas. </v>
      </c>
      <c r="CF21" s="1435" t="str">
        <f t="shared" si="18"/>
        <v xml:space="preserve">* Las Embarazadas NO DEBEN ser mayor al total de mujeres. </v>
      </c>
      <c r="CG21" s="1435" t="str">
        <f t="shared" si="19"/>
        <v xml:space="preserve">* La Población SENAME NO DEBE ser mayor al Total. </v>
      </c>
      <c r="CH21" s="1435" t="str">
        <f t="shared" si="20"/>
        <v xml:space="preserve">* La Población Mejor Niñez NO DEBE ser mayor al Total. </v>
      </c>
      <c r="CI21" s="1435" t="str">
        <f t="shared" si="21"/>
        <v xml:space="preserve">* La Población Migrante NO DEBE ser mayor al Total. </v>
      </c>
      <c r="CP21" s="1341"/>
      <c r="CQ21" s="1341"/>
      <c r="CR21" s="1341"/>
      <c r="DB21" s="1436" t="e">
        <f t="shared" si="7"/>
        <v>#VALUE!</v>
      </c>
      <c r="DC21" s="1436">
        <f t="shared" si="8"/>
        <v>1</v>
      </c>
      <c r="DD21" s="1436" t="e">
        <f t="shared" si="9"/>
        <v>#VALUE!</v>
      </c>
      <c r="DE21" s="1436">
        <f t="shared" si="10"/>
        <v>1</v>
      </c>
      <c r="DF21" s="1436">
        <f t="shared" si="11"/>
        <v>1</v>
      </c>
      <c r="DG21" s="1436">
        <f t="shared" si="22"/>
        <v>1</v>
      </c>
      <c r="DH21" s="1436">
        <f t="shared" si="12"/>
        <v>1</v>
      </c>
      <c r="DI21" s="1436">
        <f t="shared" si="13"/>
        <v>1</v>
      </c>
    </row>
    <row r="22" spans="1:113" ht="16.350000000000001" customHeight="1" x14ac:dyDescent="0.25">
      <c r="A22" s="7520" t="s">
        <v>5106</v>
      </c>
      <c r="B22" s="9772" t="s">
        <v>1045</v>
      </c>
      <c r="C22" s="9773"/>
      <c r="D22" s="9774"/>
      <c r="E22" s="4565" t="s">
        <v>5369</v>
      </c>
      <c r="F22" s="4553" t="s">
        <v>5370</v>
      </c>
      <c r="G22" s="1841" t="s">
        <v>5371</v>
      </c>
      <c r="H22" s="2822" t="s">
        <v>5372</v>
      </c>
      <c r="I22" s="1844" t="s">
        <v>5373</v>
      </c>
      <c r="J22" s="2822" t="s">
        <v>5374</v>
      </c>
      <c r="K22" s="2826" t="s">
        <v>5375</v>
      </c>
      <c r="L22" s="2822" t="s">
        <v>5376</v>
      </c>
      <c r="M22" s="1844" t="s">
        <v>5377</v>
      </c>
      <c r="N22" s="2822" t="s">
        <v>5378</v>
      </c>
      <c r="O22" s="2826" t="s">
        <v>5379</v>
      </c>
      <c r="P22" s="2822" t="s">
        <v>5380</v>
      </c>
      <c r="Q22" s="1844" t="s">
        <v>5381</v>
      </c>
      <c r="R22" s="2822" t="s">
        <v>5382</v>
      </c>
      <c r="S22" s="1844" t="s">
        <v>5383</v>
      </c>
      <c r="T22" s="2822" t="s">
        <v>5384</v>
      </c>
      <c r="U22" s="1844" t="s">
        <v>5385</v>
      </c>
      <c r="V22" s="2822" t="s">
        <v>5386</v>
      </c>
      <c r="W22" s="1844" t="s">
        <v>5387</v>
      </c>
      <c r="X22" s="2852" t="s">
        <v>5388</v>
      </c>
      <c r="Y22" s="1859" t="s">
        <v>5389</v>
      </c>
      <c r="Z22" s="2822" t="s">
        <v>5390</v>
      </c>
      <c r="AA22" s="1844" t="s">
        <v>5391</v>
      </c>
      <c r="AB22" s="2852" t="s">
        <v>5392</v>
      </c>
      <c r="AC22" s="1859" t="s">
        <v>5393</v>
      </c>
      <c r="AD22" s="2822" t="s">
        <v>5394</v>
      </c>
      <c r="AE22" s="1844" t="s">
        <v>5395</v>
      </c>
      <c r="AF22" s="2852" t="s">
        <v>5396</v>
      </c>
      <c r="AG22" s="1859" t="s">
        <v>5397</v>
      </c>
      <c r="AH22" s="2822" t="s">
        <v>5398</v>
      </c>
      <c r="AI22" s="1844" t="s">
        <v>5399</v>
      </c>
      <c r="AJ22" s="2852" t="s">
        <v>5400</v>
      </c>
      <c r="AK22" s="1859" t="s">
        <v>5401</v>
      </c>
      <c r="AL22" s="2822" t="s">
        <v>5402</v>
      </c>
      <c r="AM22" s="1844" t="s">
        <v>5403</v>
      </c>
      <c r="AN22" s="2852" t="s">
        <v>5404</v>
      </c>
      <c r="AO22" s="1844" t="s">
        <v>5405</v>
      </c>
      <c r="AP22" s="2852" t="s">
        <v>5406</v>
      </c>
      <c r="AQ22" s="2957" t="s">
        <v>5407</v>
      </c>
      <c r="AR22" s="4566" t="s">
        <v>5408</v>
      </c>
      <c r="AS22" s="2826" t="s">
        <v>5409</v>
      </c>
      <c r="AT22" s="4567" t="s">
        <v>5410</v>
      </c>
      <c r="AU22" s="4567" t="s">
        <v>5411</v>
      </c>
      <c r="AV22" s="4567" t="s">
        <v>5412</v>
      </c>
      <c r="AW22" s="4567" t="s">
        <v>5413</v>
      </c>
      <c r="AX22" s="4567" t="s">
        <v>5414</v>
      </c>
      <c r="AY22" s="4567" t="s">
        <v>5415</v>
      </c>
      <c r="AZ22" s="1496" t="e">
        <f t="shared" si="6"/>
        <v>#VALUE!</v>
      </c>
      <c r="BA22" s="290"/>
      <c r="BB22" s="290"/>
      <c r="BC22" s="290"/>
      <c r="BD22" s="290"/>
      <c r="BE22" s="290"/>
      <c r="BF22" s="290"/>
      <c r="BG22" s="290"/>
      <c r="BH22" s="290"/>
      <c r="BI22" s="290"/>
      <c r="BJ22" s="290"/>
      <c r="BK22" s="290"/>
      <c r="BL22" s="290"/>
      <c r="BM22" s="290"/>
      <c r="BN22" s="290"/>
      <c r="BO22" s="290"/>
      <c r="BP22" s="290"/>
      <c r="BQ22" s="290"/>
      <c r="BR22" s="290"/>
      <c r="BS22" s="290"/>
      <c r="BT22" s="1438"/>
      <c r="BU22" s="1438"/>
      <c r="BV22" s="1438"/>
      <c r="BW22" s="1438"/>
      <c r="BX22" s="1438"/>
      <c r="CB22" s="1435" t="e">
        <f t="shared" si="14"/>
        <v>#VALUE!</v>
      </c>
      <c r="CC22" s="1435" t="str">
        <f t="shared" si="15"/>
        <v xml:space="preserve">* Las actividades de usuarios en situación de discapacidad NO DEBEN superar el total. </v>
      </c>
      <c r="CD22" s="1435" t="e">
        <f t="shared" si="16"/>
        <v>#VALUE!</v>
      </c>
      <c r="CE22" s="1435" t="str">
        <f t="shared" si="17"/>
        <v xml:space="preserve">* Las consultas de Pacientes en control PSCV NO DEBEN ser mayor que el total de Consultas. </v>
      </c>
      <c r="CF22" s="1435" t="str">
        <f t="shared" si="18"/>
        <v xml:space="preserve">* Las Embarazadas NO DEBEN ser mayor al total de mujeres. </v>
      </c>
      <c r="CG22" s="1435" t="str">
        <f t="shared" si="19"/>
        <v xml:space="preserve">* La Población SENAME NO DEBE ser mayor al Total. </v>
      </c>
      <c r="CH22" s="1435" t="str">
        <f t="shared" si="20"/>
        <v xml:space="preserve">* La Población Mejor Niñez NO DEBE ser mayor al Total. </v>
      </c>
      <c r="CI22" s="1435" t="str">
        <f t="shared" si="21"/>
        <v xml:space="preserve">* La Población Migrante NO DEBE ser mayor al Total. </v>
      </c>
      <c r="DB22" s="1436" t="e">
        <f t="shared" si="7"/>
        <v>#VALUE!</v>
      </c>
      <c r="DC22" s="1436">
        <f t="shared" si="8"/>
        <v>1</v>
      </c>
      <c r="DD22" s="1436" t="e">
        <f t="shared" si="9"/>
        <v>#VALUE!</v>
      </c>
      <c r="DE22" s="1436">
        <f t="shared" si="10"/>
        <v>1</v>
      </c>
      <c r="DF22" s="1436">
        <f t="shared" si="11"/>
        <v>1</v>
      </c>
      <c r="DG22" s="1436">
        <f t="shared" si="22"/>
        <v>1</v>
      </c>
      <c r="DH22" s="1436">
        <f t="shared" si="12"/>
        <v>1</v>
      </c>
      <c r="DI22" s="1436">
        <f t="shared" si="13"/>
        <v>1</v>
      </c>
    </row>
    <row r="23" spans="1:113" ht="16.350000000000001" customHeight="1" x14ac:dyDescent="0.25">
      <c r="A23" s="7520" t="s">
        <v>5107</v>
      </c>
      <c r="B23" s="9772" t="s">
        <v>1190</v>
      </c>
      <c r="C23" s="9773"/>
      <c r="D23" s="9774"/>
      <c r="E23" s="4565" t="s">
        <v>5369</v>
      </c>
      <c r="F23" s="4553" t="s">
        <v>5370</v>
      </c>
      <c r="G23" s="1841" t="s">
        <v>5371</v>
      </c>
      <c r="H23" s="2822" t="s">
        <v>5372</v>
      </c>
      <c r="I23" s="1844" t="s">
        <v>5373</v>
      </c>
      <c r="J23" s="2822" t="s">
        <v>5374</v>
      </c>
      <c r="K23" s="2826" t="s">
        <v>5375</v>
      </c>
      <c r="L23" s="2822" t="s">
        <v>5376</v>
      </c>
      <c r="M23" s="1844" t="s">
        <v>5377</v>
      </c>
      <c r="N23" s="2822" t="s">
        <v>5378</v>
      </c>
      <c r="O23" s="2826" t="s">
        <v>5379</v>
      </c>
      <c r="P23" s="2822" t="s">
        <v>5380</v>
      </c>
      <c r="Q23" s="1844" t="s">
        <v>5381</v>
      </c>
      <c r="R23" s="2822" t="s">
        <v>5382</v>
      </c>
      <c r="S23" s="1844" t="s">
        <v>5383</v>
      </c>
      <c r="T23" s="2822" t="s">
        <v>5384</v>
      </c>
      <c r="U23" s="1844" t="s">
        <v>5385</v>
      </c>
      <c r="V23" s="2822" t="s">
        <v>5386</v>
      </c>
      <c r="W23" s="1844" t="s">
        <v>5387</v>
      </c>
      <c r="X23" s="2852" t="s">
        <v>5388</v>
      </c>
      <c r="Y23" s="1859" t="s">
        <v>5389</v>
      </c>
      <c r="Z23" s="2822" t="s">
        <v>5390</v>
      </c>
      <c r="AA23" s="1844" t="s">
        <v>5391</v>
      </c>
      <c r="AB23" s="2852" t="s">
        <v>5392</v>
      </c>
      <c r="AC23" s="1859" t="s">
        <v>5393</v>
      </c>
      <c r="AD23" s="2822" t="s">
        <v>5394</v>
      </c>
      <c r="AE23" s="1844" t="s">
        <v>5395</v>
      </c>
      <c r="AF23" s="2852" t="s">
        <v>5396</v>
      </c>
      <c r="AG23" s="1859" t="s">
        <v>5397</v>
      </c>
      <c r="AH23" s="2822" t="s">
        <v>5398</v>
      </c>
      <c r="AI23" s="1844" t="s">
        <v>5399</v>
      </c>
      <c r="AJ23" s="2852" t="s">
        <v>5400</v>
      </c>
      <c r="AK23" s="1859" t="s">
        <v>5401</v>
      </c>
      <c r="AL23" s="2822" t="s">
        <v>5402</v>
      </c>
      <c r="AM23" s="1844" t="s">
        <v>5403</v>
      </c>
      <c r="AN23" s="2852" t="s">
        <v>5404</v>
      </c>
      <c r="AO23" s="1844" t="s">
        <v>5405</v>
      </c>
      <c r="AP23" s="2852" t="s">
        <v>5406</v>
      </c>
      <c r="AQ23" s="2957" t="s">
        <v>5407</v>
      </c>
      <c r="AR23" s="4566" t="s">
        <v>5408</v>
      </c>
      <c r="AS23" s="2826" t="s">
        <v>5409</v>
      </c>
      <c r="AT23" s="4567" t="s">
        <v>5410</v>
      </c>
      <c r="AU23" s="4567" t="s">
        <v>5411</v>
      </c>
      <c r="AV23" s="4567" t="s">
        <v>5412</v>
      </c>
      <c r="AW23" s="4567" t="s">
        <v>5413</v>
      </c>
      <c r="AX23" s="4567" t="s">
        <v>5414</v>
      </c>
      <c r="AY23" s="4567" t="s">
        <v>5415</v>
      </c>
      <c r="AZ23" s="1496" t="e">
        <f t="shared" si="6"/>
        <v>#VALUE!</v>
      </c>
      <c r="BA23" s="290"/>
      <c r="BB23" s="290"/>
      <c r="BC23" s="290"/>
      <c r="BD23" s="290"/>
      <c r="BE23" s="290"/>
      <c r="BF23" s="290"/>
      <c r="BG23" s="290"/>
      <c r="BH23" s="290"/>
      <c r="BI23" s="290"/>
      <c r="BJ23" s="290"/>
      <c r="BK23" s="290"/>
      <c r="BL23" s="290"/>
      <c r="BM23" s="290"/>
      <c r="BN23" s="290"/>
      <c r="BO23" s="290"/>
      <c r="BP23" s="290"/>
      <c r="BQ23" s="290"/>
      <c r="BR23" s="290"/>
      <c r="BS23" s="290"/>
      <c r="BT23" s="1438"/>
      <c r="BU23" s="1438"/>
      <c r="BV23" s="1438"/>
      <c r="BW23" s="1438"/>
      <c r="BX23" s="1438"/>
      <c r="CB23" s="1435" t="e">
        <f t="shared" si="14"/>
        <v>#VALUE!</v>
      </c>
      <c r="CC23" s="1435" t="str">
        <f t="shared" si="15"/>
        <v xml:space="preserve">* Las actividades de usuarios en situación de discapacidad NO DEBEN superar el total. </v>
      </c>
      <c r="CD23" s="1435" t="e">
        <f t="shared" si="16"/>
        <v>#VALUE!</v>
      </c>
      <c r="CE23" s="1435" t="str">
        <f t="shared" si="17"/>
        <v xml:space="preserve">* Las consultas de Pacientes en control PSCV NO DEBEN ser mayor que el total de Consultas. </v>
      </c>
      <c r="CF23" s="1435" t="str">
        <f t="shared" si="18"/>
        <v xml:space="preserve">* Las Embarazadas NO DEBEN ser mayor al total de mujeres. </v>
      </c>
      <c r="CG23" s="1435" t="str">
        <f t="shared" si="19"/>
        <v xml:space="preserve">* La Población SENAME NO DEBE ser mayor al Total. </v>
      </c>
      <c r="CH23" s="1435" t="str">
        <f t="shared" si="20"/>
        <v xml:space="preserve">* La Población Mejor Niñez NO DEBE ser mayor al Total. </v>
      </c>
      <c r="CI23" s="1435" t="str">
        <f t="shared" si="21"/>
        <v xml:space="preserve">* La Población Migrante NO DEBE ser mayor al Total. </v>
      </c>
      <c r="DB23" s="1436" t="e">
        <f t="shared" si="7"/>
        <v>#VALUE!</v>
      </c>
      <c r="DC23" s="1436">
        <f t="shared" si="8"/>
        <v>1</v>
      </c>
      <c r="DD23" s="1436" t="e">
        <f t="shared" si="9"/>
        <v>#VALUE!</v>
      </c>
      <c r="DE23" s="1436">
        <f t="shared" si="10"/>
        <v>1</v>
      </c>
      <c r="DF23" s="1436">
        <f t="shared" si="11"/>
        <v>1</v>
      </c>
      <c r="DG23" s="1436">
        <f t="shared" si="22"/>
        <v>1</v>
      </c>
      <c r="DH23" s="1436">
        <f t="shared" si="12"/>
        <v>1</v>
      </c>
      <c r="DI23" s="1436">
        <f t="shared" si="13"/>
        <v>1</v>
      </c>
    </row>
    <row r="24" spans="1:113" ht="16.350000000000001" customHeight="1" x14ac:dyDescent="0.25">
      <c r="A24" s="7520" t="s">
        <v>5108</v>
      </c>
      <c r="B24" s="9772" t="s">
        <v>1189</v>
      </c>
      <c r="C24" s="9773"/>
      <c r="D24" s="9774"/>
      <c r="E24" s="4565" t="s">
        <v>5369</v>
      </c>
      <c r="F24" s="4553" t="s">
        <v>5370</v>
      </c>
      <c r="G24" s="1841" t="s">
        <v>5371</v>
      </c>
      <c r="H24" s="2822" t="s">
        <v>5372</v>
      </c>
      <c r="I24" s="1844" t="s">
        <v>5373</v>
      </c>
      <c r="J24" s="2822" t="s">
        <v>5374</v>
      </c>
      <c r="K24" s="2826" t="s">
        <v>5375</v>
      </c>
      <c r="L24" s="2822" t="s">
        <v>5376</v>
      </c>
      <c r="M24" s="1844" t="s">
        <v>5377</v>
      </c>
      <c r="N24" s="2822" t="s">
        <v>5378</v>
      </c>
      <c r="O24" s="2826" t="s">
        <v>5379</v>
      </c>
      <c r="P24" s="2822" t="s">
        <v>5380</v>
      </c>
      <c r="Q24" s="1844" t="s">
        <v>5381</v>
      </c>
      <c r="R24" s="2822" t="s">
        <v>5382</v>
      </c>
      <c r="S24" s="1844" t="s">
        <v>5383</v>
      </c>
      <c r="T24" s="2822" t="s">
        <v>5384</v>
      </c>
      <c r="U24" s="1844" t="s">
        <v>5385</v>
      </c>
      <c r="V24" s="2822" t="s">
        <v>5386</v>
      </c>
      <c r="W24" s="1844" t="s">
        <v>5387</v>
      </c>
      <c r="X24" s="2852" t="s">
        <v>5388</v>
      </c>
      <c r="Y24" s="1859" t="s">
        <v>5389</v>
      </c>
      <c r="Z24" s="2822" t="s">
        <v>5390</v>
      </c>
      <c r="AA24" s="1844" t="s">
        <v>5391</v>
      </c>
      <c r="AB24" s="2852" t="s">
        <v>5392</v>
      </c>
      <c r="AC24" s="1859" t="s">
        <v>5393</v>
      </c>
      <c r="AD24" s="2822" t="s">
        <v>5394</v>
      </c>
      <c r="AE24" s="1844" t="s">
        <v>5395</v>
      </c>
      <c r="AF24" s="2852" t="s">
        <v>5396</v>
      </c>
      <c r="AG24" s="1859" t="s">
        <v>5397</v>
      </c>
      <c r="AH24" s="2822" t="s">
        <v>5398</v>
      </c>
      <c r="AI24" s="1844" t="s">
        <v>5399</v>
      </c>
      <c r="AJ24" s="2852" t="s">
        <v>5400</v>
      </c>
      <c r="AK24" s="1859" t="s">
        <v>5401</v>
      </c>
      <c r="AL24" s="2822" t="s">
        <v>5402</v>
      </c>
      <c r="AM24" s="1844" t="s">
        <v>5403</v>
      </c>
      <c r="AN24" s="2852" t="s">
        <v>5404</v>
      </c>
      <c r="AO24" s="1844" t="s">
        <v>5405</v>
      </c>
      <c r="AP24" s="2852" t="s">
        <v>5406</v>
      </c>
      <c r="AQ24" s="2957" t="s">
        <v>5407</v>
      </c>
      <c r="AR24" s="4566" t="s">
        <v>5408</v>
      </c>
      <c r="AS24" s="2826" t="s">
        <v>5409</v>
      </c>
      <c r="AT24" s="4567" t="s">
        <v>5410</v>
      </c>
      <c r="AU24" s="4567" t="s">
        <v>5411</v>
      </c>
      <c r="AV24" s="4567" t="s">
        <v>5412</v>
      </c>
      <c r="AW24" s="4567" t="s">
        <v>5413</v>
      </c>
      <c r="AX24" s="4567" t="s">
        <v>5414</v>
      </c>
      <c r="AY24" s="4567" t="s">
        <v>5415</v>
      </c>
      <c r="AZ24" s="1496" t="e">
        <f t="shared" si="6"/>
        <v>#VALUE!</v>
      </c>
      <c r="BA24" s="290"/>
      <c r="BB24" s="290"/>
      <c r="BC24" s="290"/>
      <c r="BD24" s="290"/>
      <c r="BE24" s="290"/>
      <c r="BF24" s="290"/>
      <c r="BG24" s="290"/>
      <c r="BH24" s="290"/>
      <c r="BI24" s="290"/>
      <c r="BJ24" s="290"/>
      <c r="BK24" s="290"/>
      <c r="BL24" s="290"/>
      <c r="BM24" s="290"/>
      <c r="BN24" s="290"/>
      <c r="BO24" s="290"/>
      <c r="BP24" s="290"/>
      <c r="BQ24" s="290"/>
      <c r="BR24" s="290"/>
      <c r="BS24" s="290"/>
      <c r="BT24" s="1438"/>
      <c r="BU24" s="1438"/>
      <c r="BV24" s="1438"/>
      <c r="BW24" s="1438"/>
      <c r="BX24" s="1438"/>
      <c r="CB24" s="1435" t="e">
        <f t="shared" si="14"/>
        <v>#VALUE!</v>
      </c>
      <c r="CC24" s="1435" t="str">
        <f t="shared" si="15"/>
        <v xml:space="preserve">* Las actividades de usuarios en situación de discapacidad NO DEBEN superar el total. </v>
      </c>
      <c r="CD24" s="1435" t="e">
        <f t="shared" si="16"/>
        <v>#VALUE!</v>
      </c>
      <c r="CE24" s="1435" t="str">
        <f t="shared" si="17"/>
        <v xml:space="preserve">* Las consultas de Pacientes en control PSCV NO DEBEN ser mayor que el total de Consultas. </v>
      </c>
      <c r="CF24" s="1435" t="str">
        <f t="shared" si="18"/>
        <v xml:space="preserve">* Las Embarazadas NO DEBEN ser mayor al total de mujeres. </v>
      </c>
      <c r="CG24" s="1435" t="str">
        <f t="shared" si="19"/>
        <v xml:space="preserve">* La Población SENAME NO DEBE ser mayor al Total. </v>
      </c>
      <c r="CH24" s="1435" t="str">
        <f t="shared" si="20"/>
        <v xml:space="preserve">* La Población Mejor Niñez NO DEBE ser mayor al Total. </v>
      </c>
      <c r="CI24" s="1435" t="str">
        <f t="shared" si="21"/>
        <v xml:space="preserve">* La Población Migrante NO DEBE ser mayor al Total. </v>
      </c>
      <c r="DB24" s="1436" t="e">
        <f t="shared" si="7"/>
        <v>#VALUE!</v>
      </c>
      <c r="DC24" s="1436">
        <f t="shared" si="8"/>
        <v>1</v>
      </c>
      <c r="DD24" s="1436" t="e">
        <f t="shared" si="9"/>
        <v>#VALUE!</v>
      </c>
      <c r="DE24" s="1436">
        <f t="shared" si="10"/>
        <v>1</v>
      </c>
      <c r="DF24" s="1436">
        <f t="shared" si="11"/>
        <v>1</v>
      </c>
      <c r="DG24" s="1436">
        <f t="shared" si="22"/>
        <v>1</v>
      </c>
      <c r="DH24" s="1436">
        <f t="shared" si="12"/>
        <v>1</v>
      </c>
      <c r="DI24" s="1436">
        <f t="shared" si="13"/>
        <v>1</v>
      </c>
    </row>
    <row r="25" spans="1:113" ht="16.350000000000001" customHeight="1" x14ac:dyDescent="0.25">
      <c r="A25" s="7520" t="s">
        <v>5109</v>
      </c>
      <c r="B25" s="9772" t="s">
        <v>2136</v>
      </c>
      <c r="C25" s="9773"/>
      <c r="D25" s="9774"/>
      <c r="E25" s="4565" t="s">
        <v>5369</v>
      </c>
      <c r="F25" s="4553" t="s">
        <v>5370</v>
      </c>
      <c r="G25" s="1841" t="s">
        <v>5371</v>
      </c>
      <c r="H25" s="2822" t="s">
        <v>5372</v>
      </c>
      <c r="I25" s="1844" t="s">
        <v>5373</v>
      </c>
      <c r="J25" s="2822" t="s">
        <v>5374</v>
      </c>
      <c r="K25" s="2826" t="s">
        <v>5375</v>
      </c>
      <c r="L25" s="2822" t="s">
        <v>5376</v>
      </c>
      <c r="M25" s="1844" t="s">
        <v>5377</v>
      </c>
      <c r="N25" s="2822" t="s">
        <v>5378</v>
      </c>
      <c r="O25" s="2826" t="s">
        <v>5379</v>
      </c>
      <c r="P25" s="2822" t="s">
        <v>5380</v>
      </c>
      <c r="Q25" s="1844" t="s">
        <v>5381</v>
      </c>
      <c r="R25" s="2822" t="s">
        <v>5382</v>
      </c>
      <c r="S25" s="1844" t="s">
        <v>5383</v>
      </c>
      <c r="T25" s="2822" t="s">
        <v>5384</v>
      </c>
      <c r="U25" s="1844" t="s">
        <v>5385</v>
      </c>
      <c r="V25" s="2822" t="s">
        <v>5386</v>
      </c>
      <c r="W25" s="1844" t="s">
        <v>5387</v>
      </c>
      <c r="X25" s="2852" t="s">
        <v>5388</v>
      </c>
      <c r="Y25" s="1859" t="s">
        <v>5389</v>
      </c>
      <c r="Z25" s="2822" t="s">
        <v>5390</v>
      </c>
      <c r="AA25" s="1844" t="s">
        <v>5391</v>
      </c>
      <c r="AB25" s="2852" t="s">
        <v>5392</v>
      </c>
      <c r="AC25" s="1859" t="s">
        <v>5393</v>
      </c>
      <c r="AD25" s="2822" t="s">
        <v>5394</v>
      </c>
      <c r="AE25" s="1844" t="s">
        <v>5395</v>
      </c>
      <c r="AF25" s="2852" t="s">
        <v>5396</v>
      </c>
      <c r="AG25" s="1859" t="s">
        <v>5397</v>
      </c>
      <c r="AH25" s="2822" t="s">
        <v>5398</v>
      </c>
      <c r="AI25" s="1844" t="s">
        <v>5399</v>
      </c>
      <c r="AJ25" s="2852" t="s">
        <v>5400</v>
      </c>
      <c r="AK25" s="1859" t="s">
        <v>5401</v>
      </c>
      <c r="AL25" s="2822" t="s">
        <v>5402</v>
      </c>
      <c r="AM25" s="1844" t="s">
        <v>5403</v>
      </c>
      <c r="AN25" s="2852" t="s">
        <v>5404</v>
      </c>
      <c r="AO25" s="1844" t="s">
        <v>5405</v>
      </c>
      <c r="AP25" s="2852" t="s">
        <v>5406</v>
      </c>
      <c r="AQ25" s="2957" t="s">
        <v>5407</v>
      </c>
      <c r="AR25" s="4566" t="s">
        <v>5408</v>
      </c>
      <c r="AS25" s="2826" t="s">
        <v>5409</v>
      </c>
      <c r="AT25" s="4567" t="s">
        <v>5410</v>
      </c>
      <c r="AU25" s="4567" t="s">
        <v>5411</v>
      </c>
      <c r="AV25" s="4567" t="s">
        <v>5412</v>
      </c>
      <c r="AW25" s="4567" t="s">
        <v>5413</v>
      </c>
      <c r="AX25" s="4567" t="s">
        <v>5414</v>
      </c>
      <c r="AY25" s="4567" t="s">
        <v>5415</v>
      </c>
      <c r="AZ25" s="1496" t="e">
        <f t="shared" si="6"/>
        <v>#VALUE!</v>
      </c>
      <c r="BT25" s="1430"/>
      <c r="BU25" s="1430"/>
      <c r="BV25" s="1430"/>
      <c r="BW25" s="1438"/>
      <c r="BX25" s="1438"/>
      <c r="CB25" s="1435" t="e">
        <f t="shared" si="14"/>
        <v>#VALUE!</v>
      </c>
      <c r="CC25" s="1435" t="str">
        <f t="shared" si="15"/>
        <v xml:space="preserve">* Las actividades de usuarios en situación de discapacidad NO DEBEN superar el total. </v>
      </c>
      <c r="CD25" s="1435" t="e">
        <f t="shared" si="16"/>
        <v>#VALUE!</v>
      </c>
      <c r="CE25" s="1435" t="str">
        <f t="shared" si="17"/>
        <v xml:space="preserve">* Las consultas de Pacientes en control PSCV NO DEBEN ser mayor que el total de Consultas. </v>
      </c>
      <c r="CF25" s="1435" t="str">
        <f t="shared" si="18"/>
        <v xml:space="preserve">* Las Embarazadas NO DEBEN ser mayor al total de mujeres. </v>
      </c>
      <c r="CG25" s="1435" t="str">
        <f t="shared" si="19"/>
        <v xml:space="preserve">* La Población SENAME NO DEBE ser mayor al Total. </v>
      </c>
      <c r="CH25" s="1435" t="str">
        <f t="shared" si="20"/>
        <v xml:space="preserve">* La Población Mejor Niñez NO DEBE ser mayor al Total. </v>
      </c>
      <c r="CI25" s="1435" t="str">
        <f t="shared" si="21"/>
        <v xml:space="preserve">* La Población Migrante NO DEBE ser mayor al Total. </v>
      </c>
      <c r="DB25" s="1436" t="e">
        <f t="shared" si="7"/>
        <v>#VALUE!</v>
      </c>
      <c r="DC25" s="1436">
        <f t="shared" si="8"/>
        <v>1</v>
      </c>
      <c r="DD25" s="1436" t="e">
        <f t="shared" si="9"/>
        <v>#VALUE!</v>
      </c>
      <c r="DE25" s="1436">
        <f t="shared" si="10"/>
        <v>1</v>
      </c>
      <c r="DF25" s="1436">
        <f t="shared" si="11"/>
        <v>1</v>
      </c>
      <c r="DG25" s="1436">
        <f t="shared" si="22"/>
        <v>1</v>
      </c>
      <c r="DH25" s="1436">
        <f t="shared" si="12"/>
        <v>1</v>
      </c>
      <c r="DI25" s="1436">
        <f t="shared" si="13"/>
        <v>1</v>
      </c>
    </row>
    <row r="26" spans="1:113" ht="16.350000000000001" customHeight="1" x14ac:dyDescent="0.25">
      <c r="A26" s="7520" t="s">
        <v>5110</v>
      </c>
      <c r="B26" s="9772" t="s">
        <v>1188</v>
      </c>
      <c r="C26" s="9773"/>
      <c r="D26" s="9774"/>
      <c r="E26" s="4568" t="s">
        <v>5369</v>
      </c>
      <c r="F26" s="4553" t="s">
        <v>5370</v>
      </c>
      <c r="G26" s="1841" t="s">
        <v>5371</v>
      </c>
      <c r="H26" s="2822" t="s">
        <v>5372</v>
      </c>
      <c r="I26" s="1844" t="s">
        <v>5373</v>
      </c>
      <c r="J26" s="2822" t="s">
        <v>5374</v>
      </c>
      <c r="K26" s="2826" t="s">
        <v>5375</v>
      </c>
      <c r="L26" s="2822" t="s">
        <v>5376</v>
      </c>
      <c r="M26" s="1844" t="s">
        <v>5377</v>
      </c>
      <c r="N26" s="2822" t="s">
        <v>5378</v>
      </c>
      <c r="O26" s="2826" t="s">
        <v>5379</v>
      </c>
      <c r="P26" s="2822" t="s">
        <v>5380</v>
      </c>
      <c r="Q26" s="1844" t="s">
        <v>5381</v>
      </c>
      <c r="R26" s="2822" t="s">
        <v>5382</v>
      </c>
      <c r="S26" s="1844" t="s">
        <v>5383</v>
      </c>
      <c r="T26" s="2822" t="s">
        <v>5384</v>
      </c>
      <c r="U26" s="1844" t="s">
        <v>5385</v>
      </c>
      <c r="V26" s="2822" t="s">
        <v>5386</v>
      </c>
      <c r="W26" s="1844" t="s">
        <v>5387</v>
      </c>
      <c r="X26" s="2852" t="s">
        <v>5388</v>
      </c>
      <c r="Y26" s="1859" t="s">
        <v>5389</v>
      </c>
      <c r="Z26" s="2822" t="s">
        <v>5390</v>
      </c>
      <c r="AA26" s="1844" t="s">
        <v>5391</v>
      </c>
      <c r="AB26" s="2852" t="s">
        <v>5392</v>
      </c>
      <c r="AC26" s="1859" t="s">
        <v>5393</v>
      </c>
      <c r="AD26" s="2822" t="s">
        <v>5394</v>
      </c>
      <c r="AE26" s="1844" t="s">
        <v>5395</v>
      </c>
      <c r="AF26" s="2852" t="s">
        <v>5396</v>
      </c>
      <c r="AG26" s="1859" t="s">
        <v>5397</v>
      </c>
      <c r="AH26" s="2822" t="s">
        <v>5398</v>
      </c>
      <c r="AI26" s="1844" t="s">
        <v>5399</v>
      </c>
      <c r="AJ26" s="2852" t="s">
        <v>5400</v>
      </c>
      <c r="AK26" s="1859" t="s">
        <v>5401</v>
      </c>
      <c r="AL26" s="2822" t="s">
        <v>5402</v>
      </c>
      <c r="AM26" s="1844" t="s">
        <v>5403</v>
      </c>
      <c r="AN26" s="2852" t="s">
        <v>5404</v>
      </c>
      <c r="AO26" s="1844" t="s">
        <v>5405</v>
      </c>
      <c r="AP26" s="2852" t="s">
        <v>5406</v>
      </c>
      <c r="AQ26" s="2957" t="s">
        <v>5407</v>
      </c>
      <c r="AR26" s="4566" t="s">
        <v>5408</v>
      </c>
      <c r="AS26" s="2826" t="s">
        <v>5409</v>
      </c>
      <c r="AT26" s="4566" t="s">
        <v>5410</v>
      </c>
      <c r="AU26" s="4566" t="s">
        <v>5411</v>
      </c>
      <c r="AV26" s="4566" t="s">
        <v>5412</v>
      </c>
      <c r="AW26" s="4566" t="s">
        <v>5413</v>
      </c>
      <c r="AX26" s="4566" t="s">
        <v>5414</v>
      </c>
      <c r="AY26" s="4566" t="s">
        <v>5415</v>
      </c>
      <c r="AZ26" s="1496" t="e">
        <f t="shared" si="6"/>
        <v>#VALUE!</v>
      </c>
      <c r="BT26" s="1430"/>
      <c r="BU26" s="1430"/>
      <c r="BV26" s="1430"/>
      <c r="BW26" s="1438"/>
      <c r="BX26" s="1438"/>
      <c r="CB26" s="1435" t="e">
        <f t="shared" si="14"/>
        <v>#VALUE!</v>
      </c>
      <c r="CC26" s="1435" t="str">
        <f t="shared" si="15"/>
        <v xml:space="preserve">* Las actividades de usuarios en situación de discapacidad NO DEBEN superar el total. </v>
      </c>
      <c r="CD26" s="1435" t="e">
        <f t="shared" si="16"/>
        <v>#VALUE!</v>
      </c>
      <c r="CE26" s="1435" t="str">
        <f t="shared" si="17"/>
        <v xml:space="preserve">* Las consultas de Pacientes en control PSCV NO DEBEN ser mayor que el total de Consultas. </v>
      </c>
      <c r="CF26" s="1435" t="str">
        <f t="shared" si="18"/>
        <v xml:space="preserve">* Las Embarazadas NO DEBEN ser mayor al total de mujeres. </v>
      </c>
      <c r="CG26" s="1435" t="str">
        <f t="shared" si="19"/>
        <v xml:space="preserve">* La Población SENAME NO DEBE ser mayor al Total. </v>
      </c>
      <c r="CH26" s="1435" t="str">
        <f t="shared" si="20"/>
        <v xml:space="preserve">* La Población Mejor Niñez NO DEBE ser mayor al Total. </v>
      </c>
      <c r="CI26" s="1435" t="str">
        <f t="shared" si="21"/>
        <v xml:space="preserve">* La Población Migrante NO DEBE ser mayor al Total. </v>
      </c>
      <c r="DB26" s="1436" t="e">
        <f t="shared" si="7"/>
        <v>#VALUE!</v>
      </c>
      <c r="DC26" s="1436">
        <f t="shared" si="8"/>
        <v>1</v>
      </c>
      <c r="DD26" s="1436" t="e">
        <f t="shared" si="9"/>
        <v>#VALUE!</v>
      </c>
      <c r="DE26" s="1436">
        <f t="shared" si="10"/>
        <v>1</v>
      </c>
      <c r="DF26" s="1436">
        <f t="shared" si="11"/>
        <v>1</v>
      </c>
      <c r="DG26" s="1436">
        <f t="shared" si="22"/>
        <v>1</v>
      </c>
      <c r="DH26" s="1436">
        <f t="shared" si="12"/>
        <v>1</v>
      </c>
      <c r="DI26" s="1436">
        <f t="shared" si="13"/>
        <v>1</v>
      </c>
    </row>
    <row r="27" spans="1:113" ht="16.350000000000001" customHeight="1" x14ac:dyDescent="0.25">
      <c r="A27" s="7520" t="s">
        <v>5111</v>
      </c>
      <c r="B27" s="9772" t="s">
        <v>2346</v>
      </c>
      <c r="C27" s="9773"/>
      <c r="D27" s="9774"/>
      <c r="E27" s="4568" t="s">
        <v>5369</v>
      </c>
      <c r="F27" s="4553" t="s">
        <v>5370</v>
      </c>
      <c r="G27" s="1841" t="s">
        <v>5371</v>
      </c>
      <c r="H27" s="2822" t="s">
        <v>5372</v>
      </c>
      <c r="I27" s="1844" t="s">
        <v>5373</v>
      </c>
      <c r="J27" s="2822" t="s">
        <v>5374</v>
      </c>
      <c r="K27" s="2826" t="s">
        <v>5375</v>
      </c>
      <c r="L27" s="2822" t="s">
        <v>5376</v>
      </c>
      <c r="M27" s="1844" t="s">
        <v>5377</v>
      </c>
      <c r="N27" s="2822" t="s">
        <v>5378</v>
      </c>
      <c r="O27" s="2826" t="s">
        <v>5379</v>
      </c>
      <c r="P27" s="2822" t="s">
        <v>5380</v>
      </c>
      <c r="Q27" s="1844" t="s">
        <v>5381</v>
      </c>
      <c r="R27" s="2822" t="s">
        <v>5382</v>
      </c>
      <c r="S27" s="1844" t="s">
        <v>5383</v>
      </c>
      <c r="T27" s="2822" t="s">
        <v>5384</v>
      </c>
      <c r="U27" s="1844" t="s">
        <v>5385</v>
      </c>
      <c r="V27" s="2822" t="s">
        <v>5386</v>
      </c>
      <c r="W27" s="1844" t="s">
        <v>5387</v>
      </c>
      <c r="X27" s="2852" t="s">
        <v>5388</v>
      </c>
      <c r="Y27" s="1859" t="s">
        <v>5389</v>
      </c>
      <c r="Z27" s="2822" t="s">
        <v>5390</v>
      </c>
      <c r="AA27" s="1844" t="s">
        <v>5391</v>
      </c>
      <c r="AB27" s="2852" t="s">
        <v>5392</v>
      </c>
      <c r="AC27" s="1859" t="s">
        <v>5393</v>
      </c>
      <c r="AD27" s="2822" t="s">
        <v>5394</v>
      </c>
      <c r="AE27" s="1844" t="s">
        <v>5395</v>
      </c>
      <c r="AF27" s="2852" t="s">
        <v>5396</v>
      </c>
      <c r="AG27" s="1859" t="s">
        <v>5397</v>
      </c>
      <c r="AH27" s="2822" t="s">
        <v>5398</v>
      </c>
      <c r="AI27" s="1844" t="s">
        <v>5399</v>
      </c>
      <c r="AJ27" s="2852" t="s">
        <v>5400</v>
      </c>
      <c r="AK27" s="1859" t="s">
        <v>5401</v>
      </c>
      <c r="AL27" s="2822" t="s">
        <v>5402</v>
      </c>
      <c r="AM27" s="1844" t="s">
        <v>5403</v>
      </c>
      <c r="AN27" s="2852" t="s">
        <v>5404</v>
      </c>
      <c r="AO27" s="1844" t="s">
        <v>5405</v>
      </c>
      <c r="AP27" s="2852" t="s">
        <v>5406</v>
      </c>
      <c r="AQ27" s="2957" t="s">
        <v>5407</v>
      </c>
      <c r="AR27" s="4566" t="s">
        <v>5408</v>
      </c>
      <c r="AS27" s="2826" t="s">
        <v>5409</v>
      </c>
      <c r="AT27" s="4567" t="s">
        <v>5410</v>
      </c>
      <c r="AU27" s="4567" t="s">
        <v>5411</v>
      </c>
      <c r="AV27" s="4567" t="s">
        <v>5412</v>
      </c>
      <c r="AW27" s="4567" t="s">
        <v>5413</v>
      </c>
      <c r="AX27" s="4567" t="s">
        <v>5414</v>
      </c>
      <c r="AY27" s="4567" t="s">
        <v>5415</v>
      </c>
      <c r="AZ27" s="1496" t="e">
        <f t="shared" si="6"/>
        <v>#VALUE!</v>
      </c>
      <c r="BT27" s="1430"/>
      <c r="BU27" s="1430"/>
      <c r="BV27" s="1430"/>
      <c r="BW27" s="1438"/>
      <c r="BX27" s="1438"/>
      <c r="CB27" s="1435" t="e">
        <f t="shared" si="14"/>
        <v>#VALUE!</v>
      </c>
      <c r="CC27" s="1435" t="str">
        <f t="shared" si="15"/>
        <v xml:space="preserve">* Las actividades de usuarios en situación de discapacidad NO DEBEN superar el total. </v>
      </c>
      <c r="CD27" s="1435" t="e">
        <f t="shared" si="16"/>
        <v>#VALUE!</v>
      </c>
      <c r="CE27" s="1435" t="str">
        <f t="shared" si="17"/>
        <v xml:space="preserve">* Las consultas de Pacientes en control PSCV NO DEBEN ser mayor que el total de Consultas. </v>
      </c>
      <c r="CF27" s="1435" t="str">
        <f t="shared" si="18"/>
        <v xml:space="preserve">* Las Embarazadas NO DEBEN ser mayor al total de mujeres. </v>
      </c>
      <c r="CG27" s="1435" t="str">
        <f t="shared" si="19"/>
        <v xml:space="preserve">* La Población SENAME NO DEBE ser mayor al Total. </v>
      </c>
      <c r="CH27" s="1435" t="str">
        <f t="shared" si="20"/>
        <v xml:space="preserve">* La Población Mejor Niñez NO DEBE ser mayor al Total. </v>
      </c>
      <c r="CI27" s="1435" t="str">
        <f t="shared" si="21"/>
        <v xml:space="preserve">* La Población Migrante NO DEBE ser mayor al Total. </v>
      </c>
      <c r="DB27" s="1436" t="e">
        <f t="shared" si="7"/>
        <v>#VALUE!</v>
      </c>
      <c r="DC27" s="1436">
        <f t="shared" si="8"/>
        <v>1</v>
      </c>
      <c r="DD27" s="1436" t="e">
        <f t="shared" si="9"/>
        <v>#VALUE!</v>
      </c>
      <c r="DE27" s="1436">
        <f t="shared" si="10"/>
        <v>1</v>
      </c>
      <c r="DF27" s="1436">
        <f t="shared" si="11"/>
        <v>1</v>
      </c>
      <c r="DG27" s="1436">
        <f t="shared" si="22"/>
        <v>1</v>
      </c>
      <c r="DH27" s="1436">
        <f t="shared" si="12"/>
        <v>1</v>
      </c>
      <c r="DI27" s="1436">
        <f t="shared" si="13"/>
        <v>1</v>
      </c>
    </row>
    <row r="28" spans="1:113" s="199" customFormat="1" ht="16.350000000000001" customHeight="1" x14ac:dyDescent="0.25">
      <c r="A28" s="7520" t="s">
        <v>5112</v>
      </c>
      <c r="B28" s="9772" t="s">
        <v>2137</v>
      </c>
      <c r="C28" s="9773"/>
      <c r="D28" s="9774"/>
      <c r="E28" s="4565" t="s">
        <v>5369</v>
      </c>
      <c r="F28" s="4553" t="s">
        <v>5370</v>
      </c>
      <c r="G28" s="1841" t="s">
        <v>5371</v>
      </c>
      <c r="H28" s="2822" t="s">
        <v>5372</v>
      </c>
      <c r="I28" s="1844" t="s">
        <v>5373</v>
      </c>
      <c r="J28" s="2822" t="s">
        <v>5374</v>
      </c>
      <c r="K28" s="2826" t="s">
        <v>5375</v>
      </c>
      <c r="L28" s="2822" t="s">
        <v>5376</v>
      </c>
      <c r="M28" s="1844" t="s">
        <v>5377</v>
      </c>
      <c r="N28" s="2822" t="s">
        <v>5378</v>
      </c>
      <c r="O28" s="2826" t="s">
        <v>5379</v>
      </c>
      <c r="P28" s="2822" t="s">
        <v>5380</v>
      </c>
      <c r="Q28" s="1844" t="s">
        <v>5381</v>
      </c>
      <c r="R28" s="2822" t="s">
        <v>5382</v>
      </c>
      <c r="S28" s="1844" t="s">
        <v>5383</v>
      </c>
      <c r="T28" s="2822" t="s">
        <v>5384</v>
      </c>
      <c r="U28" s="1844" t="s">
        <v>5385</v>
      </c>
      <c r="V28" s="2822" t="s">
        <v>5386</v>
      </c>
      <c r="W28" s="1844" t="s">
        <v>5387</v>
      </c>
      <c r="X28" s="2852" t="s">
        <v>5388</v>
      </c>
      <c r="Y28" s="1859" t="s">
        <v>5389</v>
      </c>
      <c r="Z28" s="2822" t="s">
        <v>5390</v>
      </c>
      <c r="AA28" s="1844" t="s">
        <v>5391</v>
      </c>
      <c r="AB28" s="2852" t="s">
        <v>5392</v>
      </c>
      <c r="AC28" s="1859" t="s">
        <v>5393</v>
      </c>
      <c r="AD28" s="2822" t="s">
        <v>5394</v>
      </c>
      <c r="AE28" s="1844" t="s">
        <v>5395</v>
      </c>
      <c r="AF28" s="2852" t="s">
        <v>5396</v>
      </c>
      <c r="AG28" s="1859" t="s">
        <v>5397</v>
      </c>
      <c r="AH28" s="2822" t="s">
        <v>5398</v>
      </c>
      <c r="AI28" s="1844" t="s">
        <v>5399</v>
      </c>
      <c r="AJ28" s="2852" t="s">
        <v>5400</v>
      </c>
      <c r="AK28" s="1859" t="s">
        <v>5401</v>
      </c>
      <c r="AL28" s="2822" t="s">
        <v>5402</v>
      </c>
      <c r="AM28" s="1844" t="s">
        <v>5403</v>
      </c>
      <c r="AN28" s="2852" t="s">
        <v>5404</v>
      </c>
      <c r="AO28" s="1844" t="s">
        <v>5405</v>
      </c>
      <c r="AP28" s="2852" t="s">
        <v>5406</v>
      </c>
      <c r="AQ28" s="2957" t="s">
        <v>5407</v>
      </c>
      <c r="AR28" s="4566" t="s">
        <v>5408</v>
      </c>
      <c r="AS28" s="2826" t="s">
        <v>5409</v>
      </c>
      <c r="AT28" s="4566" t="s">
        <v>5410</v>
      </c>
      <c r="AU28" s="4566" t="s">
        <v>5411</v>
      </c>
      <c r="AV28" s="4566" t="s">
        <v>5412</v>
      </c>
      <c r="AW28" s="4566" t="s">
        <v>5413</v>
      </c>
      <c r="AX28" s="4566" t="s">
        <v>5414</v>
      </c>
      <c r="AY28" s="4566" t="s">
        <v>5415</v>
      </c>
      <c r="AZ28" s="1496" t="e">
        <f t="shared" si="6"/>
        <v>#VALUE!</v>
      </c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3543"/>
      <c r="CB28" s="1435" t="e">
        <f t="shared" si="14"/>
        <v>#VALUE!</v>
      </c>
      <c r="CC28" s="1435" t="str">
        <f t="shared" si="15"/>
        <v xml:space="preserve">* Las actividades de usuarios en situación de discapacidad NO DEBEN superar el total. </v>
      </c>
      <c r="CD28" s="1435" t="e">
        <f t="shared" si="16"/>
        <v>#VALUE!</v>
      </c>
      <c r="CE28" s="1435" t="str">
        <f t="shared" si="17"/>
        <v xml:space="preserve">* Las consultas de Pacientes en control PSCV NO DEBEN ser mayor que el total de Consultas. </v>
      </c>
      <c r="CF28" s="1435" t="str">
        <f t="shared" si="18"/>
        <v xml:space="preserve">* Las Embarazadas NO DEBEN ser mayor al total de mujeres. </v>
      </c>
      <c r="CG28" s="1435" t="str">
        <f t="shared" si="19"/>
        <v xml:space="preserve">* La Población SENAME NO DEBE ser mayor al Total. </v>
      </c>
      <c r="CH28" s="1435" t="str">
        <f t="shared" si="20"/>
        <v xml:space="preserve">* La Población Mejor Niñez NO DEBE ser mayor al Total. </v>
      </c>
      <c r="CI28" s="1435" t="str">
        <f t="shared" si="21"/>
        <v xml:space="preserve">* La Población Migrante NO DEBE ser mayor al Total. </v>
      </c>
      <c r="CP28" s="1429"/>
      <c r="CQ28" s="1429"/>
      <c r="CR28" s="1429"/>
      <c r="CS28" s="1429"/>
      <c r="CT28" s="1429"/>
      <c r="CU28" s="1429"/>
      <c r="DB28" s="1436" t="e">
        <f t="shared" si="7"/>
        <v>#VALUE!</v>
      </c>
      <c r="DC28" s="1436">
        <f t="shared" si="8"/>
        <v>1</v>
      </c>
      <c r="DD28" s="1436" t="e">
        <f t="shared" si="9"/>
        <v>#VALUE!</v>
      </c>
      <c r="DE28" s="1436">
        <f t="shared" si="10"/>
        <v>1</v>
      </c>
      <c r="DF28" s="1436">
        <f t="shared" si="11"/>
        <v>1</v>
      </c>
      <c r="DG28" s="1436">
        <f t="shared" si="22"/>
        <v>1</v>
      </c>
      <c r="DH28" s="1436">
        <f t="shared" si="12"/>
        <v>1</v>
      </c>
      <c r="DI28" s="1436">
        <f t="shared" si="13"/>
        <v>1</v>
      </c>
    </row>
    <row r="29" spans="1:113" ht="16.350000000000001" customHeight="1" x14ac:dyDescent="0.25">
      <c r="A29" s="7520" t="s">
        <v>5113</v>
      </c>
      <c r="B29" s="9772" t="s">
        <v>1187</v>
      </c>
      <c r="C29" s="9773"/>
      <c r="D29" s="9774"/>
      <c r="E29" s="4565" t="s">
        <v>5369</v>
      </c>
      <c r="F29" s="4553" t="s">
        <v>5370</v>
      </c>
      <c r="G29" s="1841" t="s">
        <v>5371</v>
      </c>
      <c r="H29" s="2822" t="s">
        <v>5372</v>
      </c>
      <c r="I29" s="1844" t="s">
        <v>5373</v>
      </c>
      <c r="J29" s="2822" t="s">
        <v>5374</v>
      </c>
      <c r="K29" s="2826" t="s">
        <v>5375</v>
      </c>
      <c r="L29" s="2822" t="s">
        <v>5376</v>
      </c>
      <c r="M29" s="1844" t="s">
        <v>5377</v>
      </c>
      <c r="N29" s="2822" t="s">
        <v>5378</v>
      </c>
      <c r="O29" s="2826" t="s">
        <v>5379</v>
      </c>
      <c r="P29" s="2822" t="s">
        <v>5380</v>
      </c>
      <c r="Q29" s="1844" t="s">
        <v>5381</v>
      </c>
      <c r="R29" s="2822" t="s">
        <v>5382</v>
      </c>
      <c r="S29" s="1844" t="s">
        <v>5383</v>
      </c>
      <c r="T29" s="2822" t="s">
        <v>5384</v>
      </c>
      <c r="U29" s="1844" t="s">
        <v>5385</v>
      </c>
      <c r="V29" s="2822" t="s">
        <v>5386</v>
      </c>
      <c r="W29" s="1844" t="s">
        <v>5387</v>
      </c>
      <c r="X29" s="2852" t="s">
        <v>5388</v>
      </c>
      <c r="Y29" s="1859" t="s">
        <v>5389</v>
      </c>
      <c r="Z29" s="2822" t="s">
        <v>5390</v>
      </c>
      <c r="AA29" s="1844" t="s">
        <v>5391</v>
      </c>
      <c r="AB29" s="2852" t="s">
        <v>5392</v>
      </c>
      <c r="AC29" s="1859" t="s">
        <v>5393</v>
      </c>
      <c r="AD29" s="2822" t="s">
        <v>5394</v>
      </c>
      <c r="AE29" s="1844" t="s">
        <v>5395</v>
      </c>
      <c r="AF29" s="2852" t="s">
        <v>5396</v>
      </c>
      <c r="AG29" s="1859" t="s">
        <v>5397</v>
      </c>
      <c r="AH29" s="2822" t="s">
        <v>5398</v>
      </c>
      <c r="AI29" s="1844" t="s">
        <v>5399</v>
      </c>
      <c r="AJ29" s="2852" t="s">
        <v>5400</v>
      </c>
      <c r="AK29" s="1859" t="s">
        <v>5401</v>
      </c>
      <c r="AL29" s="2822" t="s">
        <v>5402</v>
      </c>
      <c r="AM29" s="1844" t="s">
        <v>5403</v>
      </c>
      <c r="AN29" s="2852" t="s">
        <v>5404</v>
      </c>
      <c r="AO29" s="1844" t="s">
        <v>5405</v>
      </c>
      <c r="AP29" s="2852" t="s">
        <v>5406</v>
      </c>
      <c r="AQ29" s="2957" t="s">
        <v>5407</v>
      </c>
      <c r="AR29" s="4566" t="s">
        <v>5408</v>
      </c>
      <c r="AS29" s="2826" t="s">
        <v>5409</v>
      </c>
      <c r="AT29" s="4566" t="s">
        <v>5410</v>
      </c>
      <c r="AU29" s="4566" t="s">
        <v>5411</v>
      </c>
      <c r="AV29" s="4566" t="s">
        <v>5412</v>
      </c>
      <c r="AW29" s="4566" t="s">
        <v>5413</v>
      </c>
      <c r="AX29" s="4566" t="s">
        <v>5414</v>
      </c>
      <c r="AY29" s="4566" t="s">
        <v>5415</v>
      </c>
      <c r="AZ29" s="1496" t="e">
        <f t="shared" si="6"/>
        <v>#VALUE!</v>
      </c>
      <c r="BT29" s="1430"/>
      <c r="BU29" s="1430"/>
      <c r="BV29" s="1430"/>
      <c r="BW29" s="1438"/>
      <c r="BX29" s="1438"/>
      <c r="CB29" s="1435" t="e">
        <f t="shared" si="14"/>
        <v>#VALUE!</v>
      </c>
      <c r="CC29" s="1435" t="str">
        <f t="shared" si="15"/>
        <v xml:space="preserve">* Las actividades de usuarios en situación de discapacidad NO DEBEN superar el total. </v>
      </c>
      <c r="CD29" s="1435" t="e">
        <f t="shared" si="16"/>
        <v>#VALUE!</v>
      </c>
      <c r="CE29" s="1435" t="str">
        <f t="shared" si="17"/>
        <v xml:space="preserve">* Las consultas de Pacientes en control PSCV NO DEBEN ser mayor que el total de Consultas. </v>
      </c>
      <c r="CF29" s="1435" t="str">
        <f t="shared" si="18"/>
        <v xml:space="preserve">* Las Embarazadas NO DEBEN ser mayor al total de mujeres. </v>
      </c>
      <c r="CG29" s="1435" t="str">
        <f t="shared" si="19"/>
        <v xml:space="preserve">* La Población SENAME NO DEBE ser mayor al Total. </v>
      </c>
      <c r="CH29" s="1435" t="str">
        <f t="shared" si="20"/>
        <v xml:space="preserve">* La Población Mejor Niñez NO DEBE ser mayor al Total. </v>
      </c>
      <c r="CI29" s="1435" t="str">
        <f t="shared" si="21"/>
        <v xml:space="preserve">* La Población Migrante NO DEBE ser mayor al Total. </v>
      </c>
      <c r="DB29" s="1436" t="e">
        <f t="shared" si="7"/>
        <v>#VALUE!</v>
      </c>
      <c r="DC29" s="1436">
        <f t="shared" si="8"/>
        <v>1</v>
      </c>
      <c r="DD29" s="1436" t="e">
        <f t="shared" si="9"/>
        <v>#VALUE!</v>
      </c>
      <c r="DE29" s="1436">
        <f t="shared" si="10"/>
        <v>1</v>
      </c>
      <c r="DF29" s="1436">
        <f t="shared" si="11"/>
        <v>1</v>
      </c>
      <c r="DG29" s="1436">
        <f t="shared" si="22"/>
        <v>1</v>
      </c>
      <c r="DH29" s="1436">
        <f t="shared" si="12"/>
        <v>1</v>
      </c>
      <c r="DI29" s="1436">
        <f t="shared" si="13"/>
        <v>1</v>
      </c>
    </row>
    <row r="30" spans="1:113" ht="16.350000000000001" customHeight="1" x14ac:dyDescent="0.25">
      <c r="A30" s="7520" t="s">
        <v>5114</v>
      </c>
      <c r="B30" s="9772" t="s">
        <v>1186</v>
      </c>
      <c r="C30" s="9773"/>
      <c r="D30" s="9774"/>
      <c r="E30" s="4565" t="s">
        <v>5369</v>
      </c>
      <c r="F30" s="4553" t="s">
        <v>5370</v>
      </c>
      <c r="G30" s="1841" t="s">
        <v>5371</v>
      </c>
      <c r="H30" s="2822" t="s">
        <v>5372</v>
      </c>
      <c r="I30" s="1844" t="s">
        <v>5373</v>
      </c>
      <c r="J30" s="2822" t="s">
        <v>5374</v>
      </c>
      <c r="K30" s="2826" t="s">
        <v>5375</v>
      </c>
      <c r="L30" s="2822" t="s">
        <v>5376</v>
      </c>
      <c r="M30" s="1844" t="s">
        <v>5377</v>
      </c>
      <c r="N30" s="2822" t="s">
        <v>5378</v>
      </c>
      <c r="O30" s="2826" t="s">
        <v>5379</v>
      </c>
      <c r="P30" s="2822" t="s">
        <v>5380</v>
      </c>
      <c r="Q30" s="1844" t="s">
        <v>5381</v>
      </c>
      <c r="R30" s="2822" t="s">
        <v>5382</v>
      </c>
      <c r="S30" s="1844" t="s">
        <v>5383</v>
      </c>
      <c r="T30" s="2822" t="s">
        <v>5384</v>
      </c>
      <c r="U30" s="1844" t="s">
        <v>5385</v>
      </c>
      <c r="V30" s="2822" t="s">
        <v>5386</v>
      </c>
      <c r="W30" s="1844" t="s">
        <v>5387</v>
      </c>
      <c r="X30" s="2852" t="s">
        <v>5388</v>
      </c>
      <c r="Y30" s="1859" t="s">
        <v>5389</v>
      </c>
      <c r="Z30" s="2822" t="s">
        <v>5390</v>
      </c>
      <c r="AA30" s="1844" t="s">
        <v>5391</v>
      </c>
      <c r="AB30" s="2852" t="s">
        <v>5392</v>
      </c>
      <c r="AC30" s="1859" t="s">
        <v>5393</v>
      </c>
      <c r="AD30" s="2822" t="s">
        <v>5394</v>
      </c>
      <c r="AE30" s="1844" t="s">
        <v>5395</v>
      </c>
      <c r="AF30" s="2852" t="s">
        <v>5396</v>
      </c>
      <c r="AG30" s="1859" t="s">
        <v>5397</v>
      </c>
      <c r="AH30" s="2822" t="s">
        <v>5398</v>
      </c>
      <c r="AI30" s="1844" t="s">
        <v>5399</v>
      </c>
      <c r="AJ30" s="2852" t="s">
        <v>5400</v>
      </c>
      <c r="AK30" s="1859" t="s">
        <v>5401</v>
      </c>
      <c r="AL30" s="2822" t="s">
        <v>5402</v>
      </c>
      <c r="AM30" s="1844" t="s">
        <v>5403</v>
      </c>
      <c r="AN30" s="2852" t="s">
        <v>5404</v>
      </c>
      <c r="AO30" s="1844" t="s">
        <v>5405</v>
      </c>
      <c r="AP30" s="2852" t="s">
        <v>5406</v>
      </c>
      <c r="AQ30" s="2957" t="s">
        <v>5407</v>
      </c>
      <c r="AR30" s="4566" t="s">
        <v>5408</v>
      </c>
      <c r="AS30" s="2826" t="s">
        <v>5409</v>
      </c>
      <c r="AT30" s="4566" t="s">
        <v>5410</v>
      </c>
      <c r="AU30" s="4566" t="s">
        <v>5411</v>
      </c>
      <c r="AV30" s="4566" t="s">
        <v>5412</v>
      </c>
      <c r="AW30" s="4566" t="s">
        <v>5413</v>
      </c>
      <c r="AX30" s="4566" t="s">
        <v>5414</v>
      </c>
      <c r="AY30" s="4566" t="s">
        <v>5415</v>
      </c>
      <c r="AZ30" s="1496" t="e">
        <f t="shared" si="6"/>
        <v>#VALUE!</v>
      </c>
      <c r="BT30" s="1430"/>
      <c r="BU30" s="1430"/>
      <c r="BV30" s="1430"/>
      <c r="BW30" s="1438"/>
      <c r="BX30" s="1438"/>
      <c r="CB30" s="1435" t="e">
        <f t="shared" si="14"/>
        <v>#VALUE!</v>
      </c>
      <c r="CC30" s="1435" t="str">
        <f t="shared" si="15"/>
        <v xml:space="preserve">* Las actividades de usuarios en situación de discapacidad NO DEBEN superar el total. </v>
      </c>
      <c r="CD30" s="1435" t="e">
        <f t="shared" si="16"/>
        <v>#VALUE!</v>
      </c>
      <c r="CE30" s="1435" t="str">
        <f t="shared" si="17"/>
        <v xml:space="preserve">* Las consultas de Pacientes en control PSCV NO DEBEN ser mayor que el total de Consultas. </v>
      </c>
      <c r="CF30" s="1435" t="str">
        <f t="shared" si="18"/>
        <v xml:space="preserve">* Las Embarazadas NO DEBEN ser mayor al total de mujeres. </v>
      </c>
      <c r="CG30" s="1435" t="str">
        <f t="shared" si="19"/>
        <v xml:space="preserve">* La Población SENAME NO DEBE ser mayor al Total. </v>
      </c>
      <c r="CH30" s="1435" t="str">
        <f t="shared" si="20"/>
        <v xml:space="preserve">* La Población Mejor Niñez NO DEBE ser mayor al Total. </v>
      </c>
      <c r="CI30" s="1435" t="str">
        <f t="shared" si="21"/>
        <v xml:space="preserve">* La Población Migrante NO DEBE ser mayor al Total. </v>
      </c>
      <c r="DB30" s="1436" t="e">
        <f t="shared" si="7"/>
        <v>#VALUE!</v>
      </c>
      <c r="DC30" s="1436">
        <f t="shared" si="8"/>
        <v>1</v>
      </c>
      <c r="DD30" s="1436" t="e">
        <f t="shared" si="9"/>
        <v>#VALUE!</v>
      </c>
      <c r="DE30" s="1436">
        <f t="shared" si="10"/>
        <v>1</v>
      </c>
      <c r="DF30" s="1436">
        <f t="shared" si="11"/>
        <v>1</v>
      </c>
      <c r="DG30" s="1436">
        <f t="shared" si="22"/>
        <v>1</v>
      </c>
      <c r="DH30" s="1436">
        <f t="shared" si="12"/>
        <v>1</v>
      </c>
      <c r="DI30" s="1436">
        <f t="shared" si="13"/>
        <v>1</v>
      </c>
    </row>
    <row r="31" spans="1:113" ht="16.350000000000001" customHeight="1" x14ac:dyDescent="0.25">
      <c r="A31" s="7520" t="s">
        <v>5115</v>
      </c>
      <c r="B31" s="9772" t="s">
        <v>2347</v>
      </c>
      <c r="C31" s="9773"/>
      <c r="D31" s="9774"/>
      <c r="E31" s="4565" t="s">
        <v>5369</v>
      </c>
      <c r="F31" s="4553" t="s">
        <v>5370</v>
      </c>
      <c r="G31" s="1841" t="s">
        <v>5371</v>
      </c>
      <c r="H31" s="2822" t="s">
        <v>5372</v>
      </c>
      <c r="I31" s="1844" t="s">
        <v>5373</v>
      </c>
      <c r="J31" s="2822" t="s">
        <v>5374</v>
      </c>
      <c r="K31" s="2826" t="s">
        <v>5375</v>
      </c>
      <c r="L31" s="2822" t="s">
        <v>5376</v>
      </c>
      <c r="M31" s="1844" t="s">
        <v>5377</v>
      </c>
      <c r="N31" s="2822" t="s">
        <v>5378</v>
      </c>
      <c r="O31" s="2826" t="s">
        <v>5379</v>
      </c>
      <c r="P31" s="2822" t="s">
        <v>5380</v>
      </c>
      <c r="Q31" s="1844" t="s">
        <v>5381</v>
      </c>
      <c r="R31" s="2822" t="s">
        <v>5382</v>
      </c>
      <c r="S31" s="1844" t="s">
        <v>5383</v>
      </c>
      <c r="T31" s="2822" t="s">
        <v>5384</v>
      </c>
      <c r="U31" s="1844" t="s">
        <v>5385</v>
      </c>
      <c r="V31" s="2822" t="s">
        <v>5386</v>
      </c>
      <c r="W31" s="1844" t="s">
        <v>5387</v>
      </c>
      <c r="X31" s="2852" t="s">
        <v>5388</v>
      </c>
      <c r="Y31" s="1859" t="s">
        <v>5389</v>
      </c>
      <c r="Z31" s="2822" t="s">
        <v>5390</v>
      </c>
      <c r="AA31" s="1844" t="s">
        <v>5391</v>
      </c>
      <c r="AB31" s="2852" t="s">
        <v>5392</v>
      </c>
      <c r="AC31" s="1859" t="s">
        <v>5393</v>
      </c>
      <c r="AD31" s="2822" t="s">
        <v>5394</v>
      </c>
      <c r="AE31" s="1844" t="s">
        <v>5395</v>
      </c>
      <c r="AF31" s="2852" t="s">
        <v>5396</v>
      </c>
      <c r="AG31" s="1859" t="s">
        <v>5397</v>
      </c>
      <c r="AH31" s="2822" t="s">
        <v>5398</v>
      </c>
      <c r="AI31" s="1844" t="s">
        <v>5399</v>
      </c>
      <c r="AJ31" s="2852" t="s">
        <v>5400</v>
      </c>
      <c r="AK31" s="1859" t="s">
        <v>5401</v>
      </c>
      <c r="AL31" s="2822" t="s">
        <v>5402</v>
      </c>
      <c r="AM31" s="1844" t="s">
        <v>5403</v>
      </c>
      <c r="AN31" s="2852" t="s">
        <v>5404</v>
      </c>
      <c r="AO31" s="1844" t="s">
        <v>5405</v>
      </c>
      <c r="AP31" s="2852" t="s">
        <v>5406</v>
      </c>
      <c r="AQ31" s="2957" t="s">
        <v>5407</v>
      </c>
      <c r="AR31" s="4566" t="s">
        <v>5408</v>
      </c>
      <c r="AS31" s="2826" t="s">
        <v>5409</v>
      </c>
      <c r="AT31" s="4566" t="s">
        <v>5410</v>
      </c>
      <c r="AU31" s="4566" t="s">
        <v>5411</v>
      </c>
      <c r="AV31" s="4566" t="s">
        <v>5412</v>
      </c>
      <c r="AW31" s="4566" t="s">
        <v>5413</v>
      </c>
      <c r="AX31" s="4566" t="s">
        <v>5414</v>
      </c>
      <c r="AY31" s="4566" t="s">
        <v>5415</v>
      </c>
      <c r="AZ31" s="1496" t="e">
        <f t="shared" si="6"/>
        <v>#VALUE!</v>
      </c>
      <c r="BT31" s="1430"/>
      <c r="BU31" s="1430"/>
      <c r="BV31" s="1430"/>
      <c r="BW31" s="1438"/>
      <c r="BX31" s="1438"/>
      <c r="CB31" s="1435" t="e">
        <f t="shared" si="14"/>
        <v>#VALUE!</v>
      </c>
      <c r="CC31" s="1435" t="str">
        <f t="shared" si="15"/>
        <v xml:space="preserve">* Las actividades de usuarios en situación de discapacidad NO DEBEN superar el total. </v>
      </c>
      <c r="CD31" s="1435" t="e">
        <f t="shared" si="16"/>
        <v>#VALUE!</v>
      </c>
      <c r="CE31" s="1435" t="str">
        <f t="shared" si="17"/>
        <v xml:space="preserve">* Las consultas de Pacientes en control PSCV NO DEBEN ser mayor que el total de Consultas. </v>
      </c>
      <c r="CF31" s="1435" t="str">
        <f t="shared" si="18"/>
        <v xml:space="preserve">* Las Embarazadas NO DEBEN ser mayor al total de mujeres. </v>
      </c>
      <c r="CG31" s="1435" t="str">
        <f t="shared" si="19"/>
        <v xml:space="preserve">* La Población SENAME NO DEBE ser mayor al Total. </v>
      </c>
      <c r="CH31" s="1435" t="str">
        <f t="shared" si="20"/>
        <v xml:space="preserve">* La Población Mejor Niñez NO DEBE ser mayor al Total. </v>
      </c>
      <c r="CI31" s="1435" t="str">
        <f t="shared" si="21"/>
        <v xml:space="preserve">* La Población Migrante NO DEBE ser mayor al Total. </v>
      </c>
      <c r="DB31" s="1436" t="e">
        <f t="shared" si="7"/>
        <v>#VALUE!</v>
      </c>
      <c r="DC31" s="1436">
        <f t="shared" si="8"/>
        <v>1</v>
      </c>
      <c r="DD31" s="1436" t="e">
        <f t="shared" si="9"/>
        <v>#VALUE!</v>
      </c>
      <c r="DE31" s="1436">
        <f t="shared" si="10"/>
        <v>1</v>
      </c>
      <c r="DF31" s="1436">
        <f t="shared" si="11"/>
        <v>1</v>
      </c>
      <c r="DG31" s="1436">
        <f t="shared" si="22"/>
        <v>1</v>
      </c>
      <c r="DH31" s="1436">
        <f t="shared" si="12"/>
        <v>1</v>
      </c>
      <c r="DI31" s="1436">
        <f t="shared" si="13"/>
        <v>1</v>
      </c>
    </row>
    <row r="32" spans="1:113" ht="16.350000000000001" customHeight="1" x14ac:dyDescent="0.25">
      <c r="A32" s="7520" t="s">
        <v>5116</v>
      </c>
      <c r="B32" s="9772" t="s">
        <v>1185</v>
      </c>
      <c r="C32" s="9773"/>
      <c r="D32" s="9774"/>
      <c r="E32" s="4565" t="s">
        <v>5369</v>
      </c>
      <c r="F32" s="4553" t="s">
        <v>5370</v>
      </c>
      <c r="G32" s="1841" t="s">
        <v>5371</v>
      </c>
      <c r="H32" s="2846" t="s">
        <v>5372</v>
      </c>
      <c r="I32" s="1850" t="s">
        <v>5373</v>
      </c>
      <c r="J32" s="2846" t="s">
        <v>5374</v>
      </c>
      <c r="K32" s="2843" t="s">
        <v>5375</v>
      </c>
      <c r="L32" s="2846" t="s">
        <v>5376</v>
      </c>
      <c r="M32" s="1850" t="s">
        <v>5377</v>
      </c>
      <c r="N32" s="2846" t="s">
        <v>5378</v>
      </c>
      <c r="O32" s="2843" t="s">
        <v>5379</v>
      </c>
      <c r="P32" s="2846" t="s">
        <v>5380</v>
      </c>
      <c r="Q32" s="1850" t="s">
        <v>5381</v>
      </c>
      <c r="R32" s="2846" t="s">
        <v>5382</v>
      </c>
      <c r="S32" s="1850" t="s">
        <v>5383</v>
      </c>
      <c r="T32" s="2846" t="s">
        <v>5384</v>
      </c>
      <c r="U32" s="1850" t="s">
        <v>5385</v>
      </c>
      <c r="V32" s="2822" t="s">
        <v>5386</v>
      </c>
      <c r="W32" s="1844" t="s">
        <v>5387</v>
      </c>
      <c r="X32" s="2852" t="s">
        <v>5388</v>
      </c>
      <c r="Y32" s="1859" t="s">
        <v>5389</v>
      </c>
      <c r="Z32" s="2822" t="s">
        <v>5390</v>
      </c>
      <c r="AA32" s="1844" t="s">
        <v>5391</v>
      </c>
      <c r="AB32" s="2852" t="s">
        <v>5392</v>
      </c>
      <c r="AC32" s="1859" t="s">
        <v>5393</v>
      </c>
      <c r="AD32" s="2822" t="s">
        <v>5394</v>
      </c>
      <c r="AE32" s="1844" t="s">
        <v>5395</v>
      </c>
      <c r="AF32" s="2852" t="s">
        <v>5396</v>
      </c>
      <c r="AG32" s="1859" t="s">
        <v>5397</v>
      </c>
      <c r="AH32" s="2822" t="s">
        <v>5398</v>
      </c>
      <c r="AI32" s="1844" t="s">
        <v>5399</v>
      </c>
      <c r="AJ32" s="2852" t="s">
        <v>5400</v>
      </c>
      <c r="AK32" s="1859" t="s">
        <v>5401</v>
      </c>
      <c r="AL32" s="2822" t="s">
        <v>5402</v>
      </c>
      <c r="AM32" s="1844" t="s">
        <v>5403</v>
      </c>
      <c r="AN32" s="2852" t="s">
        <v>5404</v>
      </c>
      <c r="AO32" s="1844" t="s">
        <v>5405</v>
      </c>
      <c r="AP32" s="2852" t="s">
        <v>5406</v>
      </c>
      <c r="AQ32" s="2957" t="s">
        <v>5407</v>
      </c>
      <c r="AR32" s="4566" t="s">
        <v>5408</v>
      </c>
      <c r="AS32" s="2826" t="s">
        <v>5409</v>
      </c>
      <c r="AT32" s="4566" t="s">
        <v>5410</v>
      </c>
      <c r="AU32" s="4566" t="s">
        <v>5411</v>
      </c>
      <c r="AV32" s="4566" t="s">
        <v>5412</v>
      </c>
      <c r="AW32" s="4566" t="s">
        <v>5413</v>
      </c>
      <c r="AX32" s="4566" t="s">
        <v>5414</v>
      </c>
      <c r="AY32" s="4566" t="s">
        <v>5415</v>
      </c>
      <c r="AZ32" s="1496" t="e">
        <f t="shared" si="6"/>
        <v>#VALUE!</v>
      </c>
      <c r="BT32" s="1430"/>
      <c r="BU32" s="1430"/>
      <c r="BV32" s="1430"/>
      <c r="BW32" s="1438"/>
      <c r="BX32" s="1438"/>
      <c r="CB32" s="1435" t="e">
        <f t="shared" si="14"/>
        <v>#VALUE!</v>
      </c>
      <c r="CC32" s="1435" t="str">
        <f t="shared" si="15"/>
        <v xml:space="preserve">* Las actividades de usuarios en situación de discapacidad NO DEBEN superar el total. </v>
      </c>
      <c r="CD32" s="1435" t="e">
        <f t="shared" si="16"/>
        <v>#VALUE!</v>
      </c>
      <c r="CE32" s="1435" t="str">
        <f t="shared" si="17"/>
        <v xml:space="preserve">* Las consultas de Pacientes en control PSCV NO DEBEN ser mayor que el total de Consultas. </v>
      </c>
      <c r="CF32" s="1435" t="str">
        <f t="shared" si="18"/>
        <v xml:space="preserve">* Las Embarazadas NO DEBEN ser mayor al total de mujeres. </v>
      </c>
      <c r="CG32" s="1435" t="str">
        <f t="shared" si="19"/>
        <v xml:space="preserve">* La Población SENAME NO DEBE ser mayor al Total. </v>
      </c>
      <c r="CH32" s="1435" t="str">
        <f t="shared" si="20"/>
        <v xml:space="preserve">* La Población Mejor Niñez NO DEBE ser mayor al Total. </v>
      </c>
      <c r="CI32" s="1435" t="str">
        <f t="shared" si="21"/>
        <v xml:space="preserve">* La Población Migrante NO DEBE ser mayor al Total. </v>
      </c>
      <c r="DB32" s="1436" t="e">
        <f t="shared" si="7"/>
        <v>#VALUE!</v>
      </c>
      <c r="DC32" s="1436">
        <f t="shared" si="8"/>
        <v>1</v>
      </c>
      <c r="DD32" s="1436" t="e">
        <f t="shared" si="9"/>
        <v>#VALUE!</v>
      </c>
      <c r="DE32" s="1436">
        <f t="shared" si="10"/>
        <v>1</v>
      </c>
      <c r="DF32" s="1436">
        <f t="shared" si="11"/>
        <v>1</v>
      </c>
      <c r="DG32" s="1436">
        <f t="shared" si="22"/>
        <v>1</v>
      </c>
      <c r="DH32" s="1436">
        <f t="shared" si="12"/>
        <v>1</v>
      </c>
      <c r="DI32" s="1436">
        <f t="shared" si="13"/>
        <v>1</v>
      </c>
    </row>
    <row r="33" spans="1:113" ht="16.350000000000001" customHeight="1" x14ac:dyDescent="0.25">
      <c r="A33" s="7520" t="s">
        <v>5117</v>
      </c>
      <c r="B33" s="9772" t="s">
        <v>2138</v>
      </c>
      <c r="C33" s="9773"/>
      <c r="D33" s="9774"/>
      <c r="E33" s="4565" t="s">
        <v>5369</v>
      </c>
      <c r="F33" s="4553" t="s">
        <v>5370</v>
      </c>
      <c r="G33" s="1841" t="s">
        <v>5371</v>
      </c>
      <c r="H33" s="2822" t="s">
        <v>5372</v>
      </c>
      <c r="I33" s="1844" t="s">
        <v>5373</v>
      </c>
      <c r="J33" s="2822" t="s">
        <v>5374</v>
      </c>
      <c r="K33" s="2826" t="s">
        <v>5375</v>
      </c>
      <c r="L33" s="2822" t="s">
        <v>5376</v>
      </c>
      <c r="M33" s="1844" t="s">
        <v>5377</v>
      </c>
      <c r="N33" s="2822" t="s">
        <v>5378</v>
      </c>
      <c r="O33" s="2826" t="s">
        <v>5379</v>
      </c>
      <c r="P33" s="2822" t="s">
        <v>5380</v>
      </c>
      <c r="Q33" s="1844" t="s">
        <v>5381</v>
      </c>
      <c r="R33" s="2822" t="s">
        <v>5382</v>
      </c>
      <c r="S33" s="1844" t="s">
        <v>5383</v>
      </c>
      <c r="T33" s="2822" t="s">
        <v>5384</v>
      </c>
      <c r="U33" s="1844" t="s">
        <v>5385</v>
      </c>
      <c r="V33" s="2822" t="s">
        <v>5386</v>
      </c>
      <c r="W33" s="1844" t="s">
        <v>5387</v>
      </c>
      <c r="X33" s="2852" t="s">
        <v>5388</v>
      </c>
      <c r="Y33" s="1859" t="s">
        <v>5389</v>
      </c>
      <c r="Z33" s="2822" t="s">
        <v>5390</v>
      </c>
      <c r="AA33" s="1844" t="s">
        <v>5391</v>
      </c>
      <c r="AB33" s="2852" t="s">
        <v>5392</v>
      </c>
      <c r="AC33" s="1859" t="s">
        <v>5393</v>
      </c>
      <c r="AD33" s="2822" t="s">
        <v>5394</v>
      </c>
      <c r="AE33" s="1844" t="s">
        <v>5395</v>
      </c>
      <c r="AF33" s="2852" t="s">
        <v>5396</v>
      </c>
      <c r="AG33" s="1859" t="s">
        <v>5397</v>
      </c>
      <c r="AH33" s="2822" t="s">
        <v>5398</v>
      </c>
      <c r="AI33" s="1844" t="s">
        <v>5399</v>
      </c>
      <c r="AJ33" s="2852" t="s">
        <v>5400</v>
      </c>
      <c r="AK33" s="1859" t="s">
        <v>5401</v>
      </c>
      <c r="AL33" s="2822" t="s">
        <v>5402</v>
      </c>
      <c r="AM33" s="1844" t="s">
        <v>5403</v>
      </c>
      <c r="AN33" s="2852" t="s">
        <v>5404</v>
      </c>
      <c r="AO33" s="1844" t="s">
        <v>5405</v>
      </c>
      <c r="AP33" s="2852" t="s">
        <v>5406</v>
      </c>
      <c r="AQ33" s="2957" t="s">
        <v>5407</v>
      </c>
      <c r="AR33" s="4566" t="s">
        <v>5408</v>
      </c>
      <c r="AS33" s="2826" t="s">
        <v>5409</v>
      </c>
      <c r="AT33" s="4566" t="s">
        <v>5410</v>
      </c>
      <c r="AU33" s="4566" t="s">
        <v>5411</v>
      </c>
      <c r="AV33" s="4566" t="s">
        <v>5412</v>
      </c>
      <c r="AW33" s="4566" t="s">
        <v>5413</v>
      </c>
      <c r="AX33" s="4566" t="s">
        <v>5414</v>
      </c>
      <c r="AY33" s="4566" t="s">
        <v>5415</v>
      </c>
      <c r="AZ33" s="1496" t="e">
        <f t="shared" si="6"/>
        <v>#VALUE!</v>
      </c>
      <c r="BT33" s="1430"/>
      <c r="BU33" s="1430"/>
      <c r="BV33" s="1430"/>
      <c r="BW33" s="1438"/>
      <c r="BX33" s="1438"/>
      <c r="CB33" s="1435" t="e">
        <f t="shared" si="14"/>
        <v>#VALUE!</v>
      </c>
      <c r="CC33" s="1435" t="str">
        <f t="shared" si="15"/>
        <v xml:space="preserve">* Las actividades de usuarios en situación de discapacidad NO DEBEN superar el total. </v>
      </c>
      <c r="CD33" s="1435" t="e">
        <f t="shared" si="16"/>
        <v>#VALUE!</v>
      </c>
      <c r="CE33" s="1435" t="str">
        <f t="shared" si="17"/>
        <v xml:space="preserve">* Las consultas de Pacientes en control PSCV NO DEBEN ser mayor que el total de Consultas. </v>
      </c>
      <c r="CF33" s="1435" t="str">
        <f t="shared" si="18"/>
        <v xml:space="preserve">* Las Embarazadas NO DEBEN ser mayor al total de mujeres. </v>
      </c>
      <c r="CG33" s="1435" t="str">
        <f t="shared" si="19"/>
        <v xml:space="preserve">* La Población SENAME NO DEBE ser mayor al Total. </v>
      </c>
      <c r="CH33" s="1435" t="str">
        <f t="shared" si="20"/>
        <v xml:space="preserve">* La Población Mejor Niñez NO DEBE ser mayor al Total. </v>
      </c>
      <c r="CI33" s="1435" t="str">
        <f t="shared" si="21"/>
        <v xml:space="preserve">* La Población Migrante NO DEBE ser mayor al Total. </v>
      </c>
      <c r="DB33" s="1436" t="e">
        <f t="shared" si="7"/>
        <v>#VALUE!</v>
      </c>
      <c r="DC33" s="1436">
        <f t="shared" si="8"/>
        <v>1</v>
      </c>
      <c r="DD33" s="1436" t="e">
        <f t="shared" si="9"/>
        <v>#VALUE!</v>
      </c>
      <c r="DE33" s="1436">
        <f t="shared" si="10"/>
        <v>1</v>
      </c>
      <c r="DF33" s="1436">
        <f t="shared" si="11"/>
        <v>1</v>
      </c>
      <c r="DG33" s="1436">
        <f t="shared" si="22"/>
        <v>1</v>
      </c>
      <c r="DH33" s="1436">
        <f t="shared" si="12"/>
        <v>1</v>
      </c>
      <c r="DI33" s="1436">
        <f t="shared" si="13"/>
        <v>1</v>
      </c>
    </row>
    <row r="34" spans="1:113" ht="16.350000000000001" customHeight="1" x14ac:dyDescent="0.25">
      <c r="A34" s="7520" t="s">
        <v>5118</v>
      </c>
      <c r="B34" s="9772" t="s">
        <v>1184</v>
      </c>
      <c r="C34" s="9773"/>
      <c r="D34" s="9774"/>
      <c r="E34" s="4565" t="s">
        <v>5369</v>
      </c>
      <c r="F34" s="4553" t="s">
        <v>5370</v>
      </c>
      <c r="G34" s="1841" t="s">
        <v>5371</v>
      </c>
      <c r="H34" s="2822" t="s">
        <v>5372</v>
      </c>
      <c r="I34" s="1844" t="s">
        <v>5373</v>
      </c>
      <c r="J34" s="2822" t="s">
        <v>5374</v>
      </c>
      <c r="K34" s="2826" t="s">
        <v>5375</v>
      </c>
      <c r="L34" s="2822" t="s">
        <v>5376</v>
      </c>
      <c r="M34" s="1844" t="s">
        <v>5377</v>
      </c>
      <c r="N34" s="2822" t="s">
        <v>5378</v>
      </c>
      <c r="O34" s="2826" t="s">
        <v>5379</v>
      </c>
      <c r="P34" s="2822" t="s">
        <v>5380</v>
      </c>
      <c r="Q34" s="1844" t="s">
        <v>5381</v>
      </c>
      <c r="R34" s="2822" t="s">
        <v>5382</v>
      </c>
      <c r="S34" s="1844" t="s">
        <v>5383</v>
      </c>
      <c r="T34" s="2822" t="s">
        <v>5384</v>
      </c>
      <c r="U34" s="1844" t="s">
        <v>5385</v>
      </c>
      <c r="V34" s="2822" t="s">
        <v>5386</v>
      </c>
      <c r="W34" s="1844" t="s">
        <v>5387</v>
      </c>
      <c r="X34" s="2852" t="s">
        <v>5388</v>
      </c>
      <c r="Y34" s="1859" t="s">
        <v>5389</v>
      </c>
      <c r="Z34" s="2822" t="s">
        <v>5390</v>
      </c>
      <c r="AA34" s="1844" t="s">
        <v>5391</v>
      </c>
      <c r="AB34" s="2852" t="s">
        <v>5392</v>
      </c>
      <c r="AC34" s="1859" t="s">
        <v>5393</v>
      </c>
      <c r="AD34" s="2822" t="s">
        <v>5394</v>
      </c>
      <c r="AE34" s="1844" t="s">
        <v>5395</v>
      </c>
      <c r="AF34" s="2852" t="s">
        <v>5396</v>
      </c>
      <c r="AG34" s="1859" t="s">
        <v>5397</v>
      </c>
      <c r="AH34" s="2822" t="s">
        <v>5398</v>
      </c>
      <c r="AI34" s="1844" t="s">
        <v>5399</v>
      </c>
      <c r="AJ34" s="2852" t="s">
        <v>5400</v>
      </c>
      <c r="AK34" s="1859" t="s">
        <v>5401</v>
      </c>
      <c r="AL34" s="2822" t="s">
        <v>5402</v>
      </c>
      <c r="AM34" s="1844" t="s">
        <v>5403</v>
      </c>
      <c r="AN34" s="2852" t="s">
        <v>5404</v>
      </c>
      <c r="AO34" s="1844" t="s">
        <v>5405</v>
      </c>
      <c r="AP34" s="2852" t="s">
        <v>5406</v>
      </c>
      <c r="AQ34" s="2957" t="s">
        <v>5407</v>
      </c>
      <c r="AR34" s="4566" t="s">
        <v>5408</v>
      </c>
      <c r="AS34" s="2826" t="s">
        <v>5409</v>
      </c>
      <c r="AT34" s="4566" t="s">
        <v>5410</v>
      </c>
      <c r="AU34" s="4566" t="s">
        <v>5411</v>
      </c>
      <c r="AV34" s="4566" t="s">
        <v>5412</v>
      </c>
      <c r="AW34" s="4566" t="s">
        <v>5413</v>
      </c>
      <c r="AX34" s="4566" t="s">
        <v>5414</v>
      </c>
      <c r="AY34" s="4566" t="s">
        <v>5415</v>
      </c>
      <c r="AZ34" s="1496" t="e">
        <f t="shared" si="6"/>
        <v>#VALUE!</v>
      </c>
      <c r="BT34" s="1430"/>
      <c r="BU34" s="1430"/>
      <c r="BV34" s="1430"/>
      <c r="BW34" s="1438"/>
      <c r="BX34" s="1438"/>
      <c r="CB34" s="1435" t="e">
        <f t="shared" si="14"/>
        <v>#VALUE!</v>
      </c>
      <c r="CC34" s="1435" t="str">
        <f t="shared" si="15"/>
        <v xml:space="preserve">* Las actividades de usuarios en situación de discapacidad NO DEBEN superar el total. </v>
      </c>
      <c r="CD34" s="1435" t="e">
        <f t="shared" si="16"/>
        <v>#VALUE!</v>
      </c>
      <c r="CE34" s="1435" t="str">
        <f t="shared" si="17"/>
        <v xml:space="preserve">* Las consultas de Pacientes en control PSCV NO DEBEN ser mayor que el total de Consultas. </v>
      </c>
      <c r="CF34" s="1435" t="str">
        <f t="shared" si="18"/>
        <v xml:space="preserve">* Las Embarazadas NO DEBEN ser mayor al total de mujeres. </v>
      </c>
      <c r="CG34" s="1435" t="str">
        <f t="shared" si="19"/>
        <v xml:space="preserve">* La Población SENAME NO DEBE ser mayor al Total. </v>
      </c>
      <c r="CH34" s="1435" t="str">
        <f t="shared" si="20"/>
        <v xml:space="preserve">* La Población Mejor Niñez NO DEBE ser mayor al Total. </v>
      </c>
      <c r="CI34" s="1435" t="str">
        <f t="shared" si="21"/>
        <v xml:space="preserve">* La Población Migrante NO DEBE ser mayor al Total. </v>
      </c>
      <c r="DB34" s="1436" t="e">
        <f t="shared" si="7"/>
        <v>#VALUE!</v>
      </c>
      <c r="DC34" s="1436">
        <f t="shared" si="8"/>
        <v>1</v>
      </c>
      <c r="DD34" s="1436" t="e">
        <f t="shared" si="9"/>
        <v>#VALUE!</v>
      </c>
      <c r="DE34" s="1436">
        <f t="shared" si="10"/>
        <v>1</v>
      </c>
      <c r="DF34" s="1436">
        <f t="shared" si="11"/>
        <v>1</v>
      </c>
      <c r="DG34" s="1436">
        <f t="shared" si="22"/>
        <v>1</v>
      </c>
      <c r="DH34" s="1436">
        <f t="shared" si="12"/>
        <v>1</v>
      </c>
      <c r="DI34" s="1436">
        <f t="shared" si="13"/>
        <v>1</v>
      </c>
    </row>
    <row r="35" spans="1:113" ht="16.350000000000001" customHeight="1" x14ac:dyDescent="0.25">
      <c r="A35" s="7520" t="s">
        <v>5119</v>
      </c>
      <c r="B35" s="9779" t="s">
        <v>1183</v>
      </c>
      <c r="C35" s="9780"/>
      <c r="D35" s="9781"/>
      <c r="E35" s="3162" t="s">
        <v>5369</v>
      </c>
      <c r="F35" s="4554" t="s">
        <v>5370</v>
      </c>
      <c r="G35" s="2835" t="s">
        <v>5371</v>
      </c>
      <c r="H35" s="3158" t="s">
        <v>5372</v>
      </c>
      <c r="I35" s="2821" t="s">
        <v>5373</v>
      </c>
      <c r="J35" s="3158" t="s">
        <v>5374</v>
      </c>
      <c r="K35" s="3159" t="s">
        <v>5375</v>
      </c>
      <c r="L35" s="3158" t="s">
        <v>5376</v>
      </c>
      <c r="M35" s="2821" t="s">
        <v>5377</v>
      </c>
      <c r="N35" s="3158" t="s">
        <v>5378</v>
      </c>
      <c r="O35" s="3159" t="s">
        <v>5379</v>
      </c>
      <c r="P35" s="3158" t="s">
        <v>5380</v>
      </c>
      <c r="Q35" s="2821" t="s">
        <v>5381</v>
      </c>
      <c r="R35" s="3158" t="s">
        <v>5382</v>
      </c>
      <c r="S35" s="2821" t="s">
        <v>5383</v>
      </c>
      <c r="T35" s="3158" t="s">
        <v>5384</v>
      </c>
      <c r="U35" s="2821" t="s">
        <v>5385</v>
      </c>
      <c r="V35" s="3158" t="s">
        <v>5386</v>
      </c>
      <c r="W35" s="2821" t="s">
        <v>5387</v>
      </c>
      <c r="X35" s="2477" t="s">
        <v>5388</v>
      </c>
      <c r="Y35" s="2665" t="s">
        <v>5389</v>
      </c>
      <c r="Z35" s="3158" t="s">
        <v>5390</v>
      </c>
      <c r="AA35" s="2821" t="s">
        <v>5391</v>
      </c>
      <c r="AB35" s="2477" t="s">
        <v>5392</v>
      </c>
      <c r="AC35" s="2665" t="s">
        <v>5393</v>
      </c>
      <c r="AD35" s="3158" t="s">
        <v>5394</v>
      </c>
      <c r="AE35" s="2821" t="s">
        <v>5395</v>
      </c>
      <c r="AF35" s="2477" t="s">
        <v>5396</v>
      </c>
      <c r="AG35" s="2665" t="s">
        <v>5397</v>
      </c>
      <c r="AH35" s="3158" t="s">
        <v>5398</v>
      </c>
      <c r="AI35" s="2821" t="s">
        <v>5399</v>
      </c>
      <c r="AJ35" s="2477" t="s">
        <v>5400</v>
      </c>
      <c r="AK35" s="2665" t="s">
        <v>5401</v>
      </c>
      <c r="AL35" s="3158" t="s">
        <v>5402</v>
      </c>
      <c r="AM35" s="2821" t="s">
        <v>5403</v>
      </c>
      <c r="AN35" s="2477" t="s">
        <v>5404</v>
      </c>
      <c r="AO35" s="2821" t="s">
        <v>5405</v>
      </c>
      <c r="AP35" s="2477" t="s">
        <v>5406</v>
      </c>
      <c r="AQ35" s="2830" t="s">
        <v>5407</v>
      </c>
      <c r="AR35" s="1150" t="s">
        <v>5408</v>
      </c>
      <c r="AS35" s="1150" t="s">
        <v>5409</v>
      </c>
      <c r="AT35" s="1150" t="s">
        <v>5410</v>
      </c>
      <c r="AU35" s="1150" t="s">
        <v>5411</v>
      </c>
      <c r="AV35" s="1150" t="s">
        <v>5412</v>
      </c>
      <c r="AW35" s="1150" t="s">
        <v>5413</v>
      </c>
      <c r="AX35" s="1150" t="s">
        <v>5414</v>
      </c>
      <c r="AY35" s="1150" t="s">
        <v>5415</v>
      </c>
      <c r="AZ35" s="1496" t="e">
        <f t="shared" si="6"/>
        <v>#VALUE!</v>
      </c>
      <c r="BT35" s="1430"/>
      <c r="BU35" s="1430"/>
      <c r="BV35" s="1430"/>
      <c r="BW35" s="1438"/>
      <c r="BX35" s="1438"/>
      <c r="CB35" s="1435" t="e">
        <f t="shared" si="14"/>
        <v>#VALUE!</v>
      </c>
      <c r="CC35" s="1435" t="str">
        <f t="shared" si="15"/>
        <v xml:space="preserve">* Las actividades de usuarios en situación de discapacidad NO DEBEN superar el total. </v>
      </c>
      <c r="CD35" s="1435" t="e">
        <f t="shared" si="16"/>
        <v>#VALUE!</v>
      </c>
      <c r="CE35" s="1435" t="str">
        <f t="shared" si="17"/>
        <v xml:space="preserve">* Las consultas de Pacientes en control PSCV NO DEBEN ser mayor que el total de Consultas. </v>
      </c>
      <c r="CF35" s="1435" t="str">
        <f t="shared" si="18"/>
        <v xml:space="preserve">* Las Embarazadas NO DEBEN ser mayor al total de mujeres. </v>
      </c>
      <c r="CG35" s="1435" t="str">
        <f t="shared" si="19"/>
        <v xml:space="preserve">* La Población SENAME NO DEBE ser mayor al Total. </v>
      </c>
      <c r="CH35" s="1435" t="str">
        <f t="shared" si="20"/>
        <v xml:space="preserve">* La Población Mejor Niñez NO DEBE ser mayor al Total. </v>
      </c>
      <c r="CI35" s="1435" t="str">
        <f t="shared" si="21"/>
        <v xml:space="preserve">* La Población Migrante NO DEBE ser mayor al Total. </v>
      </c>
      <c r="DB35" s="1436" t="e">
        <f t="shared" si="7"/>
        <v>#VALUE!</v>
      </c>
      <c r="DC35" s="1436">
        <f t="shared" si="8"/>
        <v>1</v>
      </c>
      <c r="DD35" s="1436" t="e">
        <f t="shared" si="9"/>
        <v>#VALUE!</v>
      </c>
      <c r="DE35" s="1436">
        <f t="shared" si="10"/>
        <v>1</v>
      </c>
      <c r="DF35" s="1436">
        <f t="shared" si="11"/>
        <v>1</v>
      </c>
      <c r="DG35" s="1436">
        <f t="shared" si="22"/>
        <v>1</v>
      </c>
      <c r="DH35" s="1436">
        <f t="shared" si="12"/>
        <v>1</v>
      </c>
      <c r="DI35" s="1436">
        <f t="shared" si="13"/>
        <v>1</v>
      </c>
    </row>
    <row r="36" spans="1:113" ht="16.350000000000001" customHeight="1" x14ac:dyDescent="0.25">
      <c r="B36" s="9752" t="s">
        <v>1214</v>
      </c>
      <c r="C36" s="9752"/>
      <c r="D36" s="9752"/>
      <c r="E36" s="4503">
        <f t="shared" ref="E36:AW36" si="23">SUM(E19:E35)</f>
        <v>0</v>
      </c>
      <c r="F36" s="4513">
        <f t="shared" si="23"/>
        <v>0</v>
      </c>
      <c r="G36" s="4569">
        <f t="shared" si="23"/>
        <v>0</v>
      </c>
      <c r="H36" s="4503">
        <f t="shared" si="23"/>
        <v>0</v>
      </c>
      <c r="I36" s="4569">
        <f t="shared" si="23"/>
        <v>0</v>
      </c>
      <c r="J36" s="4503">
        <f t="shared" si="23"/>
        <v>0</v>
      </c>
      <c r="K36" s="4569">
        <f t="shared" si="23"/>
        <v>0</v>
      </c>
      <c r="L36" s="4503">
        <f t="shared" si="23"/>
        <v>0</v>
      </c>
      <c r="M36" s="4569">
        <f t="shared" si="23"/>
        <v>0</v>
      </c>
      <c r="N36" s="4503">
        <f t="shared" si="23"/>
        <v>0</v>
      </c>
      <c r="O36" s="4569">
        <f t="shared" si="23"/>
        <v>0</v>
      </c>
      <c r="P36" s="4503">
        <f t="shared" si="23"/>
        <v>0</v>
      </c>
      <c r="Q36" s="4569">
        <f t="shared" si="23"/>
        <v>0</v>
      </c>
      <c r="R36" s="4503">
        <f t="shared" si="23"/>
        <v>0</v>
      </c>
      <c r="S36" s="4569">
        <f t="shared" si="23"/>
        <v>0</v>
      </c>
      <c r="T36" s="4503">
        <f t="shared" si="23"/>
        <v>0</v>
      </c>
      <c r="U36" s="4569">
        <f t="shared" si="23"/>
        <v>0</v>
      </c>
      <c r="V36" s="4503">
        <f t="shared" si="23"/>
        <v>0</v>
      </c>
      <c r="W36" s="4569">
        <f t="shared" si="23"/>
        <v>0</v>
      </c>
      <c r="X36" s="4570">
        <f t="shared" si="23"/>
        <v>0</v>
      </c>
      <c r="Y36" s="4571">
        <f t="shared" si="23"/>
        <v>0</v>
      </c>
      <c r="Z36" s="4503">
        <f t="shared" si="23"/>
        <v>0</v>
      </c>
      <c r="AA36" s="4569">
        <f t="shared" si="23"/>
        <v>0</v>
      </c>
      <c r="AB36" s="4570">
        <f t="shared" si="23"/>
        <v>0</v>
      </c>
      <c r="AC36" s="4571">
        <f t="shared" si="23"/>
        <v>0</v>
      </c>
      <c r="AD36" s="4503">
        <f t="shared" si="23"/>
        <v>0</v>
      </c>
      <c r="AE36" s="4569">
        <f t="shared" si="23"/>
        <v>0</v>
      </c>
      <c r="AF36" s="4503">
        <f t="shared" si="23"/>
        <v>0</v>
      </c>
      <c r="AG36" s="4571">
        <f t="shared" si="23"/>
        <v>0</v>
      </c>
      <c r="AH36" s="4503">
        <f t="shared" si="23"/>
        <v>0</v>
      </c>
      <c r="AI36" s="4569">
        <f t="shared" si="23"/>
        <v>0</v>
      </c>
      <c r="AJ36" s="4503">
        <f t="shared" si="23"/>
        <v>0</v>
      </c>
      <c r="AK36" s="4571">
        <f t="shared" si="23"/>
        <v>0</v>
      </c>
      <c r="AL36" s="4503">
        <f t="shared" si="23"/>
        <v>0</v>
      </c>
      <c r="AM36" s="4569">
        <f t="shared" si="23"/>
        <v>0</v>
      </c>
      <c r="AN36" s="4503">
        <f t="shared" si="23"/>
        <v>0</v>
      </c>
      <c r="AO36" s="4569">
        <f t="shared" si="23"/>
        <v>0</v>
      </c>
      <c r="AP36" s="4503">
        <f t="shared" si="23"/>
        <v>0</v>
      </c>
      <c r="AQ36" s="4572">
        <f t="shared" si="23"/>
        <v>0</v>
      </c>
      <c r="AR36" s="4569">
        <f t="shared" si="23"/>
        <v>0</v>
      </c>
      <c r="AS36" s="4569">
        <f t="shared" si="23"/>
        <v>0</v>
      </c>
      <c r="AT36" s="4573">
        <f t="shared" si="23"/>
        <v>0</v>
      </c>
      <c r="AU36" s="4573">
        <f t="shared" si="23"/>
        <v>0</v>
      </c>
      <c r="AV36" s="4573">
        <f t="shared" si="23"/>
        <v>0</v>
      </c>
      <c r="AW36" s="4573">
        <f t="shared" si="23"/>
        <v>0</v>
      </c>
      <c r="AX36" s="4573">
        <f>SUM(AX19:AX35)</f>
        <v>0</v>
      </c>
      <c r="AY36" s="4573">
        <f>SUM(AY19:AY35)</f>
        <v>0</v>
      </c>
      <c r="BT36" s="1430"/>
      <c r="BU36" s="1430"/>
      <c r="BV36" s="1430"/>
      <c r="BW36" s="1438"/>
      <c r="BX36" s="1438"/>
      <c r="CB36" s="1435"/>
      <c r="CC36" s="1435"/>
      <c r="CD36" s="1435"/>
      <c r="CE36" s="1435"/>
      <c r="CF36" s="1435"/>
      <c r="CG36" s="1435"/>
      <c r="CH36" s="1435"/>
      <c r="DB36" s="1436"/>
      <c r="DC36" s="1436"/>
      <c r="DD36" s="1436"/>
      <c r="DE36" s="1436"/>
      <c r="DF36" s="1436"/>
      <c r="DG36" s="1436"/>
      <c r="DH36" s="1436"/>
    </row>
    <row r="37" spans="1:113" ht="30" customHeight="1" x14ac:dyDescent="0.25">
      <c r="B37" s="133" t="s">
        <v>2521</v>
      </c>
      <c r="C37" s="689"/>
      <c r="D37" s="689"/>
      <c r="E37" s="214"/>
      <c r="AS37" s="806"/>
      <c r="AT37" s="806"/>
      <c r="AU37" s="806"/>
      <c r="AV37" s="290"/>
      <c r="AW37" s="290"/>
      <c r="AX37" s="290"/>
      <c r="AY37" s="290"/>
      <c r="BU37" s="1430"/>
      <c r="BV37" s="1430"/>
      <c r="BW37" s="1430"/>
      <c r="BX37" s="1438"/>
      <c r="DB37" s="1432"/>
      <c r="DC37" s="1432"/>
      <c r="DD37" s="1432"/>
      <c r="DE37" s="1432"/>
      <c r="DF37" s="1432"/>
      <c r="DG37" s="1432"/>
      <c r="DH37" s="1432"/>
    </row>
    <row r="38" spans="1:113" ht="31.5" customHeight="1" x14ac:dyDescent="0.25">
      <c r="A38" s="7279"/>
      <c r="B38" s="9480" t="s">
        <v>1182</v>
      </c>
      <c r="C38" s="9533"/>
      <c r="D38" s="9533"/>
      <c r="E38" s="9783" t="s">
        <v>807</v>
      </c>
      <c r="F38" s="9533"/>
      <c r="G38" s="9575"/>
      <c r="H38" s="9747" t="s">
        <v>1048</v>
      </c>
      <c r="I38" s="9749"/>
      <c r="J38" s="9749"/>
      <c r="K38" s="9749"/>
      <c r="L38" s="9749"/>
      <c r="M38" s="9749"/>
      <c r="N38" s="9749"/>
      <c r="O38" s="9749"/>
      <c r="P38" s="9749"/>
      <c r="Q38" s="9749"/>
      <c r="R38" s="9749"/>
      <c r="S38" s="9749"/>
      <c r="T38" s="9749"/>
      <c r="U38" s="9749"/>
      <c r="V38" s="9749"/>
      <c r="W38" s="9749"/>
      <c r="X38" s="9749"/>
      <c r="Y38" s="9749"/>
      <c r="Z38" s="9749"/>
      <c r="AA38" s="9749"/>
      <c r="AB38" s="9749"/>
      <c r="AC38" s="9749"/>
      <c r="AD38" s="9749"/>
      <c r="AE38" s="9749"/>
      <c r="AF38" s="9749"/>
      <c r="AG38" s="9749"/>
      <c r="AH38" s="9749"/>
      <c r="AI38" s="9749"/>
      <c r="AJ38" s="9749"/>
      <c r="AK38" s="9749"/>
      <c r="AL38" s="9749"/>
      <c r="AM38" s="9749"/>
      <c r="AN38" s="9749"/>
      <c r="AO38" s="9749"/>
      <c r="AP38" s="9749"/>
      <c r="AQ38" s="9786"/>
      <c r="AR38" s="9575" t="s">
        <v>2539</v>
      </c>
      <c r="AS38" s="9575" t="s">
        <v>112</v>
      </c>
      <c r="AT38" s="9575" t="s">
        <v>2533</v>
      </c>
      <c r="AU38" s="9575" t="s">
        <v>2553</v>
      </c>
      <c r="AV38" s="8627" t="s">
        <v>3660</v>
      </c>
      <c r="AW38" s="8627" t="s">
        <v>2903</v>
      </c>
      <c r="AX38" s="8627" t="s">
        <v>361</v>
      </c>
      <c r="AY38" s="9744" t="s">
        <v>3669</v>
      </c>
      <c r="BK38" s="1430"/>
      <c r="BL38" s="1430"/>
      <c r="BM38" s="1430"/>
      <c r="BN38" s="1438"/>
      <c r="BO38" s="1438"/>
      <c r="BP38" s="1438"/>
      <c r="BQ38" s="1438"/>
      <c r="BY38" s="165"/>
      <c r="DB38" s="1432"/>
      <c r="DC38" s="1432"/>
      <c r="DD38" s="1432"/>
      <c r="DE38" s="1432"/>
      <c r="DF38" s="1432"/>
      <c r="DG38" s="1432"/>
      <c r="DH38" s="1432"/>
    </row>
    <row r="39" spans="1:113" ht="32.1" customHeight="1" x14ac:dyDescent="0.25">
      <c r="A39" s="7279"/>
      <c r="B39" s="8560"/>
      <c r="C39" s="8560"/>
      <c r="D39" s="9782"/>
      <c r="E39" s="9784"/>
      <c r="F39" s="9785"/>
      <c r="G39" s="8953"/>
      <c r="H39" s="9745" t="s">
        <v>3662</v>
      </c>
      <c r="I39" s="9746"/>
      <c r="J39" s="9747" t="s">
        <v>1079</v>
      </c>
      <c r="K39" s="9748"/>
      <c r="L39" s="9749" t="s">
        <v>1078</v>
      </c>
      <c r="M39" s="9748"/>
      <c r="N39" s="9747" t="s">
        <v>3663</v>
      </c>
      <c r="O39" s="9748"/>
      <c r="P39" s="9747" t="s">
        <v>1077</v>
      </c>
      <c r="Q39" s="9748"/>
      <c r="R39" s="9747" t="s">
        <v>1076</v>
      </c>
      <c r="S39" s="9748"/>
      <c r="T39" s="9747" t="s">
        <v>1047</v>
      </c>
      <c r="U39" s="9748"/>
      <c r="V39" s="9747" t="s">
        <v>1046</v>
      </c>
      <c r="W39" s="9748"/>
      <c r="X39" s="9747" t="s">
        <v>3664</v>
      </c>
      <c r="Y39" s="9748"/>
      <c r="Z39" s="9747" t="s">
        <v>48</v>
      </c>
      <c r="AA39" s="9750"/>
      <c r="AB39" s="9747" t="s">
        <v>49</v>
      </c>
      <c r="AC39" s="9750"/>
      <c r="AD39" s="9747" t="s">
        <v>3731</v>
      </c>
      <c r="AE39" s="9750"/>
      <c r="AF39" s="9747" t="s">
        <v>3732</v>
      </c>
      <c r="AG39" s="9750"/>
      <c r="AH39" s="9747" t="s">
        <v>3733</v>
      </c>
      <c r="AI39" s="9750"/>
      <c r="AJ39" s="9747" t="s">
        <v>3734</v>
      </c>
      <c r="AK39" s="9750"/>
      <c r="AL39" s="9747" t="s">
        <v>2132</v>
      </c>
      <c r="AM39" s="9750"/>
      <c r="AN39" s="9747" t="s">
        <v>2133</v>
      </c>
      <c r="AO39" s="9750"/>
      <c r="AP39" s="9747" t="s">
        <v>2131</v>
      </c>
      <c r="AQ39" s="9751"/>
      <c r="AR39" s="8581"/>
      <c r="AS39" s="8581"/>
      <c r="AT39" s="8581"/>
      <c r="AU39" s="8581"/>
      <c r="AV39" s="8705"/>
      <c r="AW39" s="8705"/>
      <c r="AX39" s="8705"/>
      <c r="AY39" s="9516"/>
      <c r="BL39" s="1430"/>
      <c r="BM39" s="1430"/>
      <c r="BN39" s="1430"/>
      <c r="BO39" s="1438"/>
      <c r="BP39" s="1438"/>
      <c r="BQ39" s="1438"/>
      <c r="BY39" s="165"/>
      <c r="DB39" s="1432"/>
      <c r="DC39" s="1432"/>
      <c r="DD39" s="1432"/>
      <c r="DE39" s="1432"/>
      <c r="DF39" s="1432"/>
      <c r="DG39" s="1432"/>
      <c r="DH39" s="1432"/>
    </row>
    <row r="40" spans="1:113" ht="26.25" customHeight="1" x14ac:dyDescent="0.25">
      <c r="A40" s="7279"/>
      <c r="B40" s="9782"/>
      <c r="C40" s="9782"/>
      <c r="D40" s="8581"/>
      <c r="E40" s="3670" t="s">
        <v>42</v>
      </c>
      <c r="F40" s="3671" t="s">
        <v>17</v>
      </c>
      <c r="G40" s="4574" t="s">
        <v>18</v>
      </c>
      <c r="H40" s="3670" t="s">
        <v>17</v>
      </c>
      <c r="I40" s="4574" t="s">
        <v>18</v>
      </c>
      <c r="J40" s="3670" t="s">
        <v>17</v>
      </c>
      <c r="K40" s="4574" t="s">
        <v>18</v>
      </c>
      <c r="L40" s="4544" t="s">
        <v>17</v>
      </c>
      <c r="M40" s="4574" t="s">
        <v>18</v>
      </c>
      <c r="N40" s="3671" t="s">
        <v>17</v>
      </c>
      <c r="O40" s="4574" t="s">
        <v>18</v>
      </c>
      <c r="P40" s="3671" t="s">
        <v>17</v>
      </c>
      <c r="Q40" s="4574" t="s">
        <v>18</v>
      </c>
      <c r="R40" s="3671" t="s">
        <v>17</v>
      </c>
      <c r="S40" s="4574" t="s">
        <v>18</v>
      </c>
      <c r="T40" s="3671" t="s">
        <v>17</v>
      </c>
      <c r="U40" s="4574" t="s">
        <v>18</v>
      </c>
      <c r="V40" s="4575" t="s">
        <v>17</v>
      </c>
      <c r="W40" s="4545" t="s">
        <v>18</v>
      </c>
      <c r="X40" s="4575" t="s">
        <v>17</v>
      </c>
      <c r="Y40" s="4545" t="s">
        <v>18</v>
      </c>
      <c r="Z40" s="4575" t="s">
        <v>17</v>
      </c>
      <c r="AA40" s="4545" t="s">
        <v>18</v>
      </c>
      <c r="AB40" s="4575" t="s">
        <v>17</v>
      </c>
      <c r="AC40" s="4545" t="s">
        <v>18</v>
      </c>
      <c r="AD40" s="4575" t="s">
        <v>17</v>
      </c>
      <c r="AE40" s="4545" t="s">
        <v>18</v>
      </c>
      <c r="AF40" s="4575" t="s">
        <v>17</v>
      </c>
      <c r="AG40" s="4545" t="s">
        <v>18</v>
      </c>
      <c r="AH40" s="4575" t="s">
        <v>17</v>
      </c>
      <c r="AI40" s="4545" t="s">
        <v>18</v>
      </c>
      <c r="AJ40" s="4575" t="s">
        <v>17</v>
      </c>
      <c r="AK40" s="4545" t="s">
        <v>18</v>
      </c>
      <c r="AL40" s="4575" t="s">
        <v>17</v>
      </c>
      <c r="AM40" s="4545" t="s">
        <v>18</v>
      </c>
      <c r="AN40" s="4575" t="s">
        <v>17</v>
      </c>
      <c r="AO40" s="4545" t="s">
        <v>18</v>
      </c>
      <c r="AP40" s="4575" t="s">
        <v>17</v>
      </c>
      <c r="AQ40" s="4546" t="s">
        <v>18</v>
      </c>
      <c r="AR40" s="8953"/>
      <c r="AS40" s="8953"/>
      <c r="AT40" s="8953"/>
      <c r="AU40" s="8953"/>
      <c r="AV40" s="9743"/>
      <c r="AW40" s="9743"/>
      <c r="AX40" s="9743"/>
      <c r="AY40" s="9543"/>
      <c r="BL40" s="1430"/>
      <c r="BM40" s="1430"/>
      <c r="BN40" s="1430"/>
      <c r="BO40" s="1438"/>
      <c r="BP40" s="1438"/>
      <c r="BQ40" s="1438"/>
      <c r="BY40" s="165"/>
      <c r="DB40" s="1432"/>
      <c r="DC40" s="1432"/>
      <c r="DD40" s="1432"/>
      <c r="DE40" s="1432"/>
      <c r="DF40" s="1432"/>
      <c r="DG40" s="1432"/>
      <c r="DH40" s="1432"/>
    </row>
    <row r="41" spans="1:113" ht="27" customHeight="1" x14ac:dyDescent="0.25">
      <c r="A41" s="7520" t="s">
        <v>5120</v>
      </c>
      <c r="B41" s="9796" t="s">
        <v>1181</v>
      </c>
      <c r="C41" s="9797"/>
      <c r="D41" s="9798"/>
      <c r="E41" s="4576" t="s">
        <v>5369</v>
      </c>
      <c r="F41" s="4577" t="s">
        <v>5370</v>
      </c>
      <c r="G41" s="4578" t="s">
        <v>5371</v>
      </c>
      <c r="H41" s="2846" t="s">
        <v>5372</v>
      </c>
      <c r="I41" s="2843" t="s">
        <v>5373</v>
      </c>
      <c r="J41" s="2846" t="s">
        <v>5374</v>
      </c>
      <c r="K41" s="2843" t="s">
        <v>5375</v>
      </c>
      <c r="L41" s="2846" t="s">
        <v>5376</v>
      </c>
      <c r="M41" s="2843" t="s">
        <v>5377</v>
      </c>
      <c r="N41" s="2846" t="s">
        <v>5378</v>
      </c>
      <c r="O41" s="2843" t="s">
        <v>5379</v>
      </c>
      <c r="P41" s="2846" t="s">
        <v>5380</v>
      </c>
      <c r="Q41" s="2843" t="s">
        <v>5381</v>
      </c>
      <c r="R41" s="2846" t="s">
        <v>5382</v>
      </c>
      <c r="S41" s="2843" t="s">
        <v>5383</v>
      </c>
      <c r="T41" s="4579" t="s">
        <v>5384</v>
      </c>
      <c r="U41" s="4580" t="s">
        <v>5385</v>
      </c>
      <c r="V41" s="2846" t="s">
        <v>5386</v>
      </c>
      <c r="W41" s="2843" t="s">
        <v>5387</v>
      </c>
      <c r="X41" s="2846" t="s">
        <v>5388</v>
      </c>
      <c r="Y41" s="2843" t="s">
        <v>5389</v>
      </c>
      <c r="Z41" s="4579" t="s">
        <v>5390</v>
      </c>
      <c r="AA41" s="4580" t="s">
        <v>5391</v>
      </c>
      <c r="AB41" s="4581" t="s">
        <v>5392</v>
      </c>
      <c r="AC41" s="4580" t="s">
        <v>5393</v>
      </c>
      <c r="AD41" s="4582" t="s">
        <v>5394</v>
      </c>
      <c r="AE41" s="4580" t="s">
        <v>5395</v>
      </c>
      <c r="AF41" s="4581" t="s">
        <v>5396</v>
      </c>
      <c r="AG41" s="4580" t="s">
        <v>5397</v>
      </c>
      <c r="AH41" s="4579" t="s">
        <v>5398</v>
      </c>
      <c r="AI41" s="4580" t="s">
        <v>5399</v>
      </c>
      <c r="AJ41" s="4579" t="s">
        <v>5400</v>
      </c>
      <c r="AK41" s="4580" t="s">
        <v>5401</v>
      </c>
      <c r="AL41" s="4581" t="s">
        <v>5402</v>
      </c>
      <c r="AM41" s="4580" t="s">
        <v>5403</v>
      </c>
      <c r="AN41" s="4582" t="s">
        <v>5404</v>
      </c>
      <c r="AO41" s="4580" t="s">
        <v>5405</v>
      </c>
      <c r="AP41" s="4583" t="s">
        <v>5406</v>
      </c>
      <c r="AQ41" s="4584" t="s">
        <v>5407</v>
      </c>
      <c r="AR41" s="6772" t="s">
        <v>5408</v>
      </c>
      <c r="AS41" s="6773" t="s">
        <v>5409</v>
      </c>
      <c r="AT41" s="4585" t="s">
        <v>5410</v>
      </c>
      <c r="AU41" s="4585" t="s">
        <v>5411</v>
      </c>
      <c r="AV41" s="4585" t="s">
        <v>5412</v>
      </c>
      <c r="AW41" s="4585" t="s">
        <v>5413</v>
      </c>
      <c r="AX41" s="4585" t="s">
        <v>5414</v>
      </c>
      <c r="AY41" s="4585" t="s">
        <v>5415</v>
      </c>
      <c r="AZ41" s="1496" t="e">
        <f t="shared" ref="AZ41:AZ63" si="24">$CB41&amp;$CC41&amp;$CD41&amp;$CE41&amp;$CF41&amp;$CG41&amp;$CH41&amp;$CI41&amp;$CJ41&amp;$CK41&amp;$CL41&amp;$CM41&amp;$CN41&amp;$CO41&amp;$CP41&amp;$CQ41&amp;$CR41&amp;$CS41</f>
        <v>#VALUE!</v>
      </c>
      <c r="BL41" s="1430"/>
      <c r="BM41" s="1430"/>
      <c r="BN41" s="1430"/>
      <c r="BO41" s="1438"/>
      <c r="BP41" s="1438"/>
      <c r="BQ41" s="1438"/>
      <c r="BY41" s="165"/>
      <c r="CB41" s="1435" t="e">
        <f>IF(DB41=1,"* Las consultas de 60 años NO DEBEN ser mayor que el total de Consultas entre 60-64 Años. ","")</f>
        <v>#VALUE!</v>
      </c>
      <c r="CC41" s="1435" t="str">
        <f>IF(DC41=1,"* Las actividades de usuarios en situación de discapacidad NO DEBEN superar el total. ","")</f>
        <v xml:space="preserve">* Las actividades de usuarios en situación de discapacidad NO DEBEN superar el total. </v>
      </c>
      <c r="CD41" s="1435" t="e">
        <f>IF(DD41=1,"* Las consultas de 12 años NO DEBEN ser mayor que el total de Consultas entre 10-14 Años. ","")</f>
        <v>#VALUE!</v>
      </c>
      <c r="CE41" s="1435" t="str">
        <f>IF(DE41=1,"* Las consultas de Pacientes en control PSCV NO DEBEN ser mayor que el total de Consultas. ","")</f>
        <v xml:space="preserve">* Las consultas de Pacientes en control PSCV NO DEBEN ser mayor que el total de Consultas. </v>
      </c>
      <c r="CF41" s="1435" t="str">
        <f>IF(AND(AS41="",E41&lt;&gt;0),"* Recuerde que las Embarazadas deben ser incluídas en el ingreso por rango Etario (Digite CEROS si no tiene). ",IF(G41&lt;AS41,"* Las Embarazadas NO DEBEN ser mayor al total de mujeres. ",""))</f>
        <v xml:space="preserve">* Las Embarazadas NO DEBEN ser mayor al total de mujeres. </v>
      </c>
      <c r="CG41" s="1435" t="str">
        <f>IF(AND(AV41="",E41&lt;&gt;0),"* No olvide digitar la población SENAME (Digite CEROS si no tiene). ",IF(E41&lt;AV41,"* La Población SENAME NO DEBE ser mayor al Total. ",""))</f>
        <v xml:space="preserve">* La Población SENAME NO DEBE ser mayor al Total. </v>
      </c>
      <c r="CH41" s="1435" t="str">
        <f>IF(AND(AW41="",F41&lt;&gt;0),"* No olvide digitar la población Mejor Niñez (Digite CEROS si no tiene). ",IF(F41&lt;AW41,"* La Población Mejor Niñez NO DEBE ser mayor al Total. ",""))</f>
        <v xml:space="preserve">* La Población Mejor Niñez NO DEBE ser mayor al Total. </v>
      </c>
      <c r="CI41" s="1435" t="str">
        <f>IF(AND(AX41="",E41&lt;&gt;0),"* No olvide digitar la población Migrante (Digite CEROS si no tiene). ",IF(E41&lt;AX41,"* La Población Migrante NO DEBE ser mayor al Total. ",""))</f>
        <v xml:space="preserve">* La Población Migrante NO DEBE ser mayor al Total. </v>
      </c>
      <c r="DB41" s="1436" t="e">
        <f>IF(AT41&gt;(AL41+AM41),1,0)</f>
        <v>#VALUE!</v>
      </c>
      <c r="DC41" s="1436">
        <f>IF(E41&lt;AU41,1,0)</f>
        <v>1</v>
      </c>
      <c r="DD41" s="1436" t="e">
        <f>IF((Z41+AA41)&lt;AR41,1,0)</f>
        <v>#VALUE!</v>
      </c>
      <c r="DE41" s="1436">
        <f>IF(E41&lt;AY41,1,0)</f>
        <v>1</v>
      </c>
      <c r="DF41" s="1436">
        <f>IF(AND(AS41="",E41&lt;&gt;0),1,IF(G41&lt;AS41,1,0))</f>
        <v>1</v>
      </c>
      <c r="DG41" s="1436">
        <f>IF(AND(AV41="",E41&lt;&gt;0),1,IF(E41&lt;AV41,1,0))</f>
        <v>1</v>
      </c>
      <c r="DH41" s="1436">
        <f>IF(AND(AX41="",E41&lt;&gt;0),1,IF(E41&lt;AX41,1,0))</f>
        <v>1</v>
      </c>
      <c r="DI41" s="1436">
        <f>IF(AND(AW41="",G41&lt;&gt;0),1,IF(G41&lt;AW41,1,0))</f>
        <v>1</v>
      </c>
    </row>
    <row r="42" spans="1:113" ht="24" customHeight="1" x14ac:dyDescent="0.25">
      <c r="A42" s="7520" t="s">
        <v>5121</v>
      </c>
      <c r="B42" s="9772" t="s">
        <v>1180</v>
      </c>
      <c r="C42" s="9773"/>
      <c r="D42" s="9774"/>
      <c r="E42" s="3544" t="s">
        <v>5369</v>
      </c>
      <c r="F42" s="3545" t="s">
        <v>5370</v>
      </c>
      <c r="G42" s="4519" t="s">
        <v>5371</v>
      </c>
      <c r="H42" s="3164" t="s">
        <v>5372</v>
      </c>
      <c r="I42" s="3546" t="s">
        <v>5373</v>
      </c>
      <c r="J42" s="3164" t="s">
        <v>5374</v>
      </c>
      <c r="K42" s="737" t="s">
        <v>5375</v>
      </c>
      <c r="L42" s="3164" t="s">
        <v>5376</v>
      </c>
      <c r="M42" s="3546" t="s">
        <v>5377</v>
      </c>
      <c r="N42" s="3164" t="s">
        <v>5378</v>
      </c>
      <c r="O42" s="3546" t="s">
        <v>5379</v>
      </c>
      <c r="P42" s="3164" t="s">
        <v>5380</v>
      </c>
      <c r="Q42" s="3546" t="s">
        <v>5381</v>
      </c>
      <c r="R42" s="3164" t="s">
        <v>5382</v>
      </c>
      <c r="S42" s="3165" t="s">
        <v>5383</v>
      </c>
      <c r="T42" s="3164" t="s">
        <v>5384</v>
      </c>
      <c r="U42" s="3165" t="s">
        <v>5385</v>
      </c>
      <c r="V42" s="3164" t="s">
        <v>5386</v>
      </c>
      <c r="W42" s="3546" t="s">
        <v>5387</v>
      </c>
      <c r="X42" s="3164" t="s">
        <v>5388</v>
      </c>
      <c r="Y42" s="3165" t="s">
        <v>5389</v>
      </c>
      <c r="Z42" s="3164" t="s">
        <v>5390</v>
      </c>
      <c r="AA42" s="3165" t="s">
        <v>5391</v>
      </c>
      <c r="AB42" s="3164" t="s">
        <v>5392</v>
      </c>
      <c r="AC42" s="3546" t="s">
        <v>5393</v>
      </c>
      <c r="AD42" s="2846" t="s">
        <v>5394</v>
      </c>
      <c r="AE42" s="1850" t="s">
        <v>5395</v>
      </c>
      <c r="AF42" s="2847" t="s">
        <v>5396</v>
      </c>
      <c r="AG42" s="1850" t="s">
        <v>5397</v>
      </c>
      <c r="AH42" s="2846" t="s">
        <v>5398</v>
      </c>
      <c r="AI42" s="2843" t="s">
        <v>5399</v>
      </c>
      <c r="AJ42" s="2846" t="s">
        <v>5400</v>
      </c>
      <c r="AK42" s="2843" t="s">
        <v>5401</v>
      </c>
      <c r="AL42" s="2847" t="s">
        <v>5402</v>
      </c>
      <c r="AM42" s="2844" t="s">
        <v>5403</v>
      </c>
      <c r="AN42" s="2846" t="s">
        <v>5404</v>
      </c>
      <c r="AO42" s="1850" t="s">
        <v>5405</v>
      </c>
      <c r="AP42" s="2847" t="s">
        <v>5406</v>
      </c>
      <c r="AQ42" s="4586" t="s">
        <v>5407</v>
      </c>
      <c r="AR42" s="6774" t="s">
        <v>5408</v>
      </c>
      <c r="AS42" s="6775" t="s">
        <v>5409</v>
      </c>
      <c r="AT42" s="2843" t="s">
        <v>5410</v>
      </c>
      <c r="AU42" s="3546" t="s">
        <v>5411</v>
      </c>
      <c r="AV42" s="3546" t="s">
        <v>5412</v>
      </c>
      <c r="AW42" s="3546" t="s">
        <v>5413</v>
      </c>
      <c r="AX42" s="3546" t="s">
        <v>5414</v>
      </c>
      <c r="AY42" s="3546" t="s">
        <v>5415</v>
      </c>
      <c r="AZ42" s="1496" t="e">
        <f t="shared" si="24"/>
        <v>#VALUE!</v>
      </c>
      <c r="BL42" s="1430"/>
      <c r="BM42" s="1430"/>
      <c r="BN42" s="1430"/>
      <c r="BO42" s="1438"/>
      <c r="BP42" s="1438"/>
      <c r="BQ42" s="1438"/>
      <c r="BY42" s="165"/>
      <c r="CB42" s="1435"/>
      <c r="CC42" s="1435" t="str">
        <f>IF(DC42=1,"* Las actividades de usuarios en situación de discapacidad NO DEBEN superar el total. ","")</f>
        <v xml:space="preserve">* Las actividades de usuarios en situación de discapacidad NO DEBEN superar el total. </v>
      </c>
      <c r="CD42" s="1435" t="e">
        <f>IF(DD42=1,"* Las consultas de 12 años NO DEBEN ser mayor que el total de Consultas entre 10-14 Años. ","")</f>
        <v>#VALUE!</v>
      </c>
      <c r="CE42" s="1435" t="str">
        <f>IF(DE42=1,"* Las consultas de Pacientes en control PSCV NO DEBEN ser mayor que el total de Consultas. ","")</f>
        <v xml:space="preserve">* Las consultas de Pacientes en control PSCV NO DEBEN ser mayor que el total de Consultas. </v>
      </c>
      <c r="CF42" s="1435" t="str">
        <f t="shared" ref="CF42:CF43" si="25">IF(AND(AS42="",E42&lt;&gt;0),"* Recuerde que las Embarazadas deben ser incluídas en el ingreso por rango Etario (Digite CEROS si no tiene). ",IF(G42&lt;AS42,"* Las Embarazadas NO DEBEN ser mayor al total de mujeres. ",""))</f>
        <v xml:space="preserve">* Las Embarazadas NO DEBEN ser mayor al total de mujeres. </v>
      </c>
      <c r="CG42" s="1435" t="str">
        <f>IF(AND(AV42="",E42&lt;&gt;0),"* No olvide digitar la población SENAME (Digite CEROS si no tiene). ",IF(E42&lt;AV42,"* La Población SENAME NO DEBE ser mayor al Total. ",""))</f>
        <v xml:space="preserve">* La Población SENAME NO DEBE ser mayor al Total. </v>
      </c>
      <c r="CH42" s="1435" t="str">
        <f t="shared" ref="CH42:CH45" si="26">IF(AND(AW42="",F42&lt;&gt;0),"* No olvide digitar la población Mejor Niñez (Digite CEROS si no tiene). ",IF(F42&lt;AW42,"* La Población Mejor Niñez NO DEBE ser mayor al Total. ",""))</f>
        <v xml:space="preserve">* La Población Mejor Niñez NO DEBE ser mayor al Total. </v>
      </c>
      <c r="CI42" s="1435" t="str">
        <f t="shared" ref="CI42:CI63" si="27">IF(AND(AX42="",E42&lt;&gt;0),"* No olvide digitar la población Migrante (Digite CEROS si no tiene). ",IF(E42&lt;AX42,"* La Población Migrante NO DEBE ser mayor al Total. ",""))</f>
        <v xml:space="preserve">* La Población Migrante NO DEBE ser mayor al Total. </v>
      </c>
      <c r="DB42" s="1436"/>
      <c r="DC42" s="1436">
        <f>IF(E42&lt;AU42,1,0)</f>
        <v>1</v>
      </c>
      <c r="DD42" s="1436" t="e">
        <f>IF((Z42+AA42)&lt;AR42,1,0)</f>
        <v>#VALUE!</v>
      </c>
      <c r="DE42" s="1436">
        <f>IF(E42&lt;AY42,1,0)</f>
        <v>1</v>
      </c>
      <c r="DF42" s="1436">
        <f t="shared" ref="DF42:DF43" si="28">IF(AND(AS42="",E42&lt;&gt;0),1,IF(G42&lt;AS42,1,0))</f>
        <v>1</v>
      </c>
      <c r="DG42" s="1436">
        <f>IF(AND(AV42="",E42&lt;&gt;0),1,IF(E42&lt;AV42,1,0))</f>
        <v>1</v>
      </c>
      <c r="DH42" s="1436">
        <f>IF(AND(AX42="",E42&lt;&gt;0),1,IF(E42&lt;AX42,1,0))</f>
        <v>1</v>
      </c>
      <c r="DI42" s="1436">
        <f t="shared" ref="DI42:DI63" si="29">IF(AND(AW42="",G42&lt;&gt;0),1,IF(G42&lt;AW42,1,0))</f>
        <v>1</v>
      </c>
    </row>
    <row r="43" spans="1:113" ht="16.350000000000001" customHeight="1" x14ac:dyDescent="0.25">
      <c r="A43" s="7520" t="s">
        <v>5122</v>
      </c>
      <c r="B43" s="9772" t="s">
        <v>1179</v>
      </c>
      <c r="C43" s="9773"/>
      <c r="D43" s="9774"/>
      <c r="E43" s="3544" t="s">
        <v>5369</v>
      </c>
      <c r="F43" s="3545" t="s">
        <v>5370</v>
      </c>
      <c r="G43" s="4519" t="s">
        <v>5371</v>
      </c>
      <c r="H43" s="3164" t="s">
        <v>5372</v>
      </c>
      <c r="I43" s="3546" t="s">
        <v>5373</v>
      </c>
      <c r="J43" s="3164" t="s">
        <v>5374</v>
      </c>
      <c r="K43" s="737" t="s">
        <v>5375</v>
      </c>
      <c r="L43" s="3164" t="s">
        <v>5376</v>
      </c>
      <c r="M43" s="3546" t="s">
        <v>5377</v>
      </c>
      <c r="N43" s="3164" t="s">
        <v>5378</v>
      </c>
      <c r="O43" s="3546" t="s">
        <v>5379</v>
      </c>
      <c r="P43" s="3164" t="s">
        <v>5380</v>
      </c>
      <c r="Q43" s="3546" t="s">
        <v>5381</v>
      </c>
      <c r="R43" s="3164" t="s">
        <v>5382</v>
      </c>
      <c r="S43" s="3165" t="s">
        <v>5383</v>
      </c>
      <c r="T43" s="3164" t="s">
        <v>5384</v>
      </c>
      <c r="U43" s="3165" t="s">
        <v>5385</v>
      </c>
      <c r="V43" s="3164" t="s">
        <v>5386</v>
      </c>
      <c r="W43" s="3546" t="s">
        <v>5387</v>
      </c>
      <c r="X43" s="3164" t="s">
        <v>5388</v>
      </c>
      <c r="Y43" s="3165" t="s">
        <v>5389</v>
      </c>
      <c r="Z43" s="3164" t="s">
        <v>5390</v>
      </c>
      <c r="AA43" s="3165" t="s">
        <v>5391</v>
      </c>
      <c r="AB43" s="3164" t="s">
        <v>5392</v>
      </c>
      <c r="AC43" s="3546" t="s">
        <v>5393</v>
      </c>
      <c r="AD43" s="2846" t="s">
        <v>5394</v>
      </c>
      <c r="AE43" s="1850" t="s">
        <v>5395</v>
      </c>
      <c r="AF43" s="2847" t="s">
        <v>5396</v>
      </c>
      <c r="AG43" s="1850" t="s">
        <v>5397</v>
      </c>
      <c r="AH43" s="2846" t="s">
        <v>5398</v>
      </c>
      <c r="AI43" s="2843" t="s">
        <v>5399</v>
      </c>
      <c r="AJ43" s="2846" t="s">
        <v>5400</v>
      </c>
      <c r="AK43" s="2843" t="s">
        <v>5401</v>
      </c>
      <c r="AL43" s="2847" t="s">
        <v>5402</v>
      </c>
      <c r="AM43" s="2844" t="s">
        <v>5403</v>
      </c>
      <c r="AN43" s="2846" t="s">
        <v>5404</v>
      </c>
      <c r="AO43" s="1850" t="s">
        <v>5405</v>
      </c>
      <c r="AP43" s="2847" t="s">
        <v>5406</v>
      </c>
      <c r="AQ43" s="4586" t="s">
        <v>5407</v>
      </c>
      <c r="AR43" s="4587" t="s">
        <v>5408</v>
      </c>
      <c r="AS43" s="6775" t="s">
        <v>5409</v>
      </c>
      <c r="AT43" s="2843" t="s">
        <v>5410</v>
      </c>
      <c r="AU43" s="3546" t="s">
        <v>5411</v>
      </c>
      <c r="AV43" s="3546" t="s">
        <v>5412</v>
      </c>
      <c r="AW43" s="3546" t="s">
        <v>5413</v>
      </c>
      <c r="AX43" s="3546" t="s">
        <v>5414</v>
      </c>
      <c r="AY43" s="3546" t="s">
        <v>5415</v>
      </c>
      <c r="AZ43" s="1496" t="str">
        <f t="shared" si="24"/>
        <v xml:space="preserve">* Las actividades de usuarios en situación de discapacidad NO DEBEN superar el total. * Las consultas de Pacientes en control PSCV NO DEBEN ser mayor que el total de Consultas. * Las Embarazadas NO DEBEN ser mayor al total de mujeres. * La Población SENAME NO DEBE ser mayor al Total. * La Población Mejor Niñez NO DEBE ser mayor al Total. * La Población Migrante NO DEBE ser mayor al Total. </v>
      </c>
      <c r="BL43" s="1430"/>
      <c r="BM43" s="1430"/>
      <c r="BN43" s="1430"/>
      <c r="BO43" s="1438"/>
      <c r="BP43" s="1438"/>
      <c r="BQ43" s="1438"/>
      <c r="BY43" s="165"/>
      <c r="CB43" s="1435"/>
      <c r="CC43" s="1435" t="str">
        <f>IF(DC43=1,"* Las actividades de usuarios en situación de discapacidad NO DEBEN superar el total. ","")</f>
        <v xml:space="preserve">* Las actividades de usuarios en situación de discapacidad NO DEBEN superar el total. </v>
      </c>
      <c r="CD43" s="1435"/>
      <c r="CE43" s="1435" t="str">
        <f>IF(DE43=1,"* Las consultas de Pacientes en control PSCV NO DEBEN ser mayor que el total de Consultas. ","")</f>
        <v xml:space="preserve">* Las consultas de Pacientes en control PSCV NO DEBEN ser mayor que el total de Consultas. </v>
      </c>
      <c r="CF43" s="1435" t="str">
        <f t="shared" si="25"/>
        <v xml:space="preserve">* Las Embarazadas NO DEBEN ser mayor al total de mujeres. </v>
      </c>
      <c r="CG43" s="1435" t="str">
        <f>IF(AND(AV43="",E43&lt;&gt;0),"* No olvide digitar la población SENAME (Digite CEROS si no tiene). ",IF(E43&lt;AV43,"* La Población SENAME NO DEBE ser mayor al Total. ",""))</f>
        <v xml:space="preserve">* La Población SENAME NO DEBE ser mayor al Total. </v>
      </c>
      <c r="CH43" s="1435" t="str">
        <f t="shared" si="26"/>
        <v xml:space="preserve">* La Población Mejor Niñez NO DEBE ser mayor al Total. </v>
      </c>
      <c r="CI43" s="1435" t="str">
        <f t="shared" si="27"/>
        <v xml:space="preserve">* La Población Migrante NO DEBE ser mayor al Total. </v>
      </c>
      <c r="DB43" s="1436"/>
      <c r="DC43" s="1436">
        <f>IF(E43&lt;AU43,1,0)</f>
        <v>1</v>
      </c>
      <c r="DD43" s="1436"/>
      <c r="DE43" s="1436">
        <f>IF(E43&lt;AY43,1,0)</f>
        <v>1</v>
      </c>
      <c r="DF43" s="1436">
        <f t="shared" si="28"/>
        <v>1</v>
      </c>
      <c r="DG43" s="1436">
        <f>IF(AND(AV43="",E43&lt;&gt;0),1,IF(E43&lt;AV43,1,0))</f>
        <v>1</v>
      </c>
      <c r="DH43" s="1436">
        <f>IF(AND(AX43="",E43&lt;&gt;0),1,IF(E43&lt;AX43,1,0))</f>
        <v>1</v>
      </c>
      <c r="DI43" s="1436">
        <f t="shared" si="29"/>
        <v>1</v>
      </c>
    </row>
    <row r="44" spans="1:113" ht="16.350000000000001" customHeight="1" x14ac:dyDescent="0.25">
      <c r="A44" s="7520" t="s">
        <v>5123</v>
      </c>
      <c r="B44" s="9772" t="s">
        <v>1178</v>
      </c>
      <c r="C44" s="9773"/>
      <c r="D44" s="9774"/>
      <c r="E44" s="4588" t="s">
        <v>5369</v>
      </c>
      <c r="F44" s="4589" t="s">
        <v>5370</v>
      </c>
      <c r="G44" s="4590" t="s">
        <v>5371</v>
      </c>
      <c r="H44" s="2846" t="s">
        <v>5372</v>
      </c>
      <c r="I44" s="2843" t="s">
        <v>5373</v>
      </c>
      <c r="J44" s="2846" t="s">
        <v>5374</v>
      </c>
      <c r="K44" s="2843" t="s">
        <v>5375</v>
      </c>
      <c r="L44" s="2846" t="s">
        <v>5376</v>
      </c>
      <c r="M44" s="2843" t="s">
        <v>5377</v>
      </c>
      <c r="N44" s="2846" t="s">
        <v>5378</v>
      </c>
      <c r="O44" s="2843" t="s">
        <v>5379</v>
      </c>
      <c r="P44" s="2846" t="s">
        <v>5380</v>
      </c>
      <c r="Q44" s="2843" t="s">
        <v>5381</v>
      </c>
      <c r="R44" s="2846" t="s">
        <v>5382</v>
      </c>
      <c r="S44" s="2843" t="s">
        <v>5383</v>
      </c>
      <c r="T44" s="3164" t="s">
        <v>5384</v>
      </c>
      <c r="U44" s="3165" t="s">
        <v>5385</v>
      </c>
      <c r="V44" s="3164" t="s">
        <v>5386</v>
      </c>
      <c r="W44" s="3165" t="s">
        <v>5387</v>
      </c>
      <c r="X44" s="3164" t="s">
        <v>5388</v>
      </c>
      <c r="Y44" s="3165" t="s">
        <v>5389</v>
      </c>
      <c r="Z44" s="4591" t="s">
        <v>5390</v>
      </c>
      <c r="AA44" s="3547" t="s">
        <v>5391</v>
      </c>
      <c r="AB44" s="4592" t="s">
        <v>5392</v>
      </c>
      <c r="AC44" s="3548" t="s">
        <v>5393</v>
      </c>
      <c r="AD44" s="4591" t="s">
        <v>5394</v>
      </c>
      <c r="AE44" s="3547" t="s">
        <v>5395</v>
      </c>
      <c r="AF44" s="4592" t="s">
        <v>5396</v>
      </c>
      <c r="AG44" s="3547" t="s">
        <v>5397</v>
      </c>
      <c r="AH44" s="4591" t="s">
        <v>5398</v>
      </c>
      <c r="AI44" s="3547" t="s">
        <v>5399</v>
      </c>
      <c r="AJ44" s="4591" t="s">
        <v>5400</v>
      </c>
      <c r="AK44" s="3547" t="s">
        <v>5401</v>
      </c>
      <c r="AL44" s="4592" t="s">
        <v>5402</v>
      </c>
      <c r="AM44" s="3548" t="s">
        <v>5403</v>
      </c>
      <c r="AN44" s="4591" t="s">
        <v>5404</v>
      </c>
      <c r="AO44" s="3547" t="s">
        <v>5405</v>
      </c>
      <c r="AP44" s="4592" t="s">
        <v>5406</v>
      </c>
      <c r="AQ44" s="4593" t="s">
        <v>5407</v>
      </c>
      <c r="AR44" s="4594" t="s">
        <v>5408</v>
      </c>
      <c r="AS44" s="4595" t="s">
        <v>5409</v>
      </c>
      <c r="AT44" s="4595" t="s">
        <v>5410</v>
      </c>
      <c r="AU44" s="4595" t="s">
        <v>5411</v>
      </c>
      <c r="AV44" s="4595" t="s">
        <v>5412</v>
      </c>
      <c r="AW44" s="4595" t="s">
        <v>5413</v>
      </c>
      <c r="AX44" s="4595" t="s">
        <v>5414</v>
      </c>
      <c r="AY44" s="4595" t="s">
        <v>5415</v>
      </c>
      <c r="AZ44" s="1496" t="e">
        <f t="shared" si="24"/>
        <v>#VALUE!</v>
      </c>
      <c r="BL44" s="1430"/>
      <c r="BM44" s="1430"/>
      <c r="BN44" s="1430"/>
      <c r="BO44" s="1438"/>
      <c r="BP44" s="1438"/>
      <c r="BQ44" s="1438"/>
      <c r="BY44" s="165"/>
      <c r="CB44" s="1435" t="e">
        <f>IF(DB44=1,"* Las consultas de 60 años NO DEBEN ser mayor que el total de Consultas entre 60-64 Años. ","")</f>
        <v>#VALUE!</v>
      </c>
      <c r="CC44" s="1435" t="str">
        <f>IF(DC44=1,"* Las actividades de usuarios en situación de discapacidad NO DEBEN superar el total. ","")</f>
        <v xml:space="preserve">* Las actividades de usuarios en situación de discapacidad NO DEBEN superar el total. </v>
      </c>
      <c r="CD44" s="1435" t="e">
        <f>IF(DD44=1,"* Las consultas de 12 años NO DEBEN ser mayor que el total de Consultas entre 10-14 Años. ","")</f>
        <v>#VALUE!</v>
      </c>
      <c r="CE44" s="1435" t="str">
        <f>IF(DE44=1,"* Las consultas de Pacientes en control PSCV NO DEBEN ser mayor que el total de Consultas. ","")</f>
        <v xml:space="preserve">* Las consultas de Pacientes en control PSCV NO DEBEN ser mayor que el total de Consultas. </v>
      </c>
      <c r="CF44" s="1435" t="str">
        <f>IF(AND(AS44="",E44&lt;&gt;0),"* Recuerde que las Embarazadas deben ser incluídas en el ingreso por rango Etario (Digite CEROS si no tiene). ",IF(G44&lt;AS44,"* Las Embarazadas NO DEBEN ser mayor al total de mujeres. ",""))</f>
        <v xml:space="preserve">* Las Embarazadas NO DEBEN ser mayor al total de mujeres. </v>
      </c>
      <c r="CG44" s="1435" t="str">
        <f>IF(AND(AV44="",E44&lt;&gt;0),"* No olvide digitar la población SENAME (Digite CEROS si no tiene). ",IF(E44&lt;AV44,"* La Población SENAME NO DEBE ser mayor al Total. ",""))</f>
        <v xml:space="preserve">* La Población SENAME NO DEBE ser mayor al Total. </v>
      </c>
      <c r="CH44" s="1435" t="str">
        <f t="shared" si="26"/>
        <v xml:space="preserve">* La Población Mejor Niñez NO DEBE ser mayor al Total. </v>
      </c>
      <c r="CI44" s="1435" t="str">
        <f t="shared" si="27"/>
        <v xml:space="preserve">* La Población Migrante NO DEBE ser mayor al Total. </v>
      </c>
      <c r="DB44" s="1436" t="e">
        <f>IF(AT44&gt;(AL44+AM44),1,0)</f>
        <v>#VALUE!</v>
      </c>
      <c r="DC44" s="1436">
        <f>IF(E44&lt;AU44,1,0)</f>
        <v>1</v>
      </c>
      <c r="DD44" s="1436" t="e">
        <f>IF((Z44+AA44)&lt;AR44,1,0)</f>
        <v>#VALUE!</v>
      </c>
      <c r="DE44" s="1436">
        <f>IF(E44&lt;AY44,1,0)</f>
        <v>1</v>
      </c>
      <c r="DF44" s="1436">
        <f>IF(AND(AS44="",E44&lt;&gt;0),1,IF(G44&lt;AS44,1,0))</f>
        <v>1</v>
      </c>
      <c r="DG44" s="1436">
        <f>IF(AND(AV44="",E44&lt;&gt;0),1,IF(E44&lt;AV44,1,0))</f>
        <v>1</v>
      </c>
      <c r="DH44" s="1436">
        <f>IF(AND(AX44="",E44&lt;&gt;0),1,IF(E44&lt;AX44,1,0))</f>
        <v>1</v>
      </c>
      <c r="DI44" s="1436">
        <f t="shared" si="29"/>
        <v>1</v>
      </c>
    </row>
    <row r="45" spans="1:113" ht="16.350000000000001" customHeight="1" x14ac:dyDescent="0.25">
      <c r="A45" s="7520" t="s">
        <v>5124</v>
      </c>
      <c r="B45" s="9772" t="s">
        <v>1177</v>
      </c>
      <c r="C45" s="9773"/>
      <c r="D45" s="9774"/>
      <c r="E45" s="4596" t="s">
        <v>5369</v>
      </c>
      <c r="F45" s="4597" t="s">
        <v>5370</v>
      </c>
      <c r="G45" s="4598" t="s">
        <v>5371</v>
      </c>
      <c r="H45" s="4599" t="s">
        <v>5372</v>
      </c>
      <c r="I45" s="4600" t="s">
        <v>5373</v>
      </c>
      <c r="J45" s="4599" t="s">
        <v>5374</v>
      </c>
      <c r="K45" s="4600" t="s">
        <v>5375</v>
      </c>
      <c r="L45" s="4599" t="s">
        <v>5376</v>
      </c>
      <c r="M45" s="4600" t="s">
        <v>5377</v>
      </c>
      <c r="N45" s="4599" t="s">
        <v>5378</v>
      </c>
      <c r="O45" s="4600" t="s">
        <v>5379</v>
      </c>
      <c r="P45" s="4599" t="s">
        <v>5380</v>
      </c>
      <c r="Q45" s="4600" t="s">
        <v>5381</v>
      </c>
      <c r="R45" s="4599" t="s">
        <v>5382</v>
      </c>
      <c r="S45" s="4600" t="s">
        <v>5383</v>
      </c>
      <c r="T45" s="3164" t="s">
        <v>5384</v>
      </c>
      <c r="U45" s="3165" t="s">
        <v>5385</v>
      </c>
      <c r="V45" s="3164" t="s">
        <v>5386</v>
      </c>
      <c r="W45" s="3165" t="s">
        <v>5387</v>
      </c>
      <c r="X45" s="3164" t="s">
        <v>5388</v>
      </c>
      <c r="Y45" s="3165" t="s">
        <v>5389</v>
      </c>
      <c r="Z45" s="4601" t="s">
        <v>5390</v>
      </c>
      <c r="AA45" s="3166" t="s">
        <v>5391</v>
      </c>
      <c r="AB45" s="3167" t="s">
        <v>5392</v>
      </c>
      <c r="AC45" s="3549" t="s">
        <v>5393</v>
      </c>
      <c r="AD45" s="4601" t="s">
        <v>5394</v>
      </c>
      <c r="AE45" s="3166" t="s">
        <v>5395</v>
      </c>
      <c r="AF45" s="3168" t="s">
        <v>5396</v>
      </c>
      <c r="AG45" s="3166" t="s">
        <v>5397</v>
      </c>
      <c r="AH45" s="4601" t="s">
        <v>5398</v>
      </c>
      <c r="AI45" s="3166" t="s">
        <v>5399</v>
      </c>
      <c r="AJ45" s="4601" t="s">
        <v>5400</v>
      </c>
      <c r="AK45" s="3166" t="s">
        <v>5401</v>
      </c>
      <c r="AL45" s="3167" t="s">
        <v>5402</v>
      </c>
      <c r="AM45" s="3549" t="s">
        <v>5403</v>
      </c>
      <c r="AN45" s="4601" t="s">
        <v>5404</v>
      </c>
      <c r="AO45" s="3166" t="s">
        <v>5405</v>
      </c>
      <c r="AP45" s="3168" t="s">
        <v>5406</v>
      </c>
      <c r="AQ45" s="4602" t="s">
        <v>5407</v>
      </c>
      <c r="AR45" s="3550" t="s">
        <v>5408</v>
      </c>
      <c r="AS45" s="4603" t="s">
        <v>5409</v>
      </c>
      <c r="AT45" s="3202" t="s">
        <v>5410</v>
      </c>
      <c r="AU45" s="4603" t="s">
        <v>5411</v>
      </c>
      <c r="AV45" s="4603" t="s">
        <v>5412</v>
      </c>
      <c r="AW45" s="4603" t="s">
        <v>5413</v>
      </c>
      <c r="AX45" s="4603" t="s">
        <v>5414</v>
      </c>
      <c r="AY45" s="4603" t="s">
        <v>5415</v>
      </c>
      <c r="AZ45" s="1496" t="e">
        <f t="shared" si="24"/>
        <v>#VALUE!</v>
      </c>
      <c r="BL45" s="1430"/>
      <c r="BM45" s="1430"/>
      <c r="BN45" s="1430"/>
      <c r="BO45" s="1438"/>
      <c r="BP45" s="1438"/>
      <c r="BQ45" s="1438"/>
      <c r="BY45" s="165"/>
      <c r="CB45" s="1435"/>
      <c r="CC45" s="1435" t="str">
        <f>IF(DC45=1,"* Las actividades de usuarios en situación de discapacidad NO DEBEN superar el total. ","")</f>
        <v xml:space="preserve">* Las actividades de usuarios en situación de discapacidad NO DEBEN superar el total. </v>
      </c>
      <c r="CD45" s="1435" t="e">
        <f>IF(DD45=1,"* Las consultas de 12 años NO DEBEN ser mayor que el total de Consultas entre 10-14 Años. ","")</f>
        <v>#VALUE!</v>
      </c>
      <c r="CE45" s="1435" t="str">
        <f>IF(DE45=1,"* Las consultas de Pacientes en control PSCV NO DEBEN ser mayor que el total de Consultas. ","")</f>
        <v xml:space="preserve">* Las consultas de Pacientes en control PSCV NO DEBEN ser mayor que el total de Consultas. </v>
      </c>
      <c r="CF45" s="1435" t="str">
        <f>IF(AND(AS45="",E45&lt;&gt;0),"* Recuerde que las Embarazadas deben ser incluídas en el ingreso por rango Etario (Digite CEROS si no tiene). ",IF(G45&lt;AS45,"* Las Embarazadas NO DEBEN ser mayor al total de mujeres. ",""))</f>
        <v xml:space="preserve">* Las Embarazadas NO DEBEN ser mayor al total de mujeres. </v>
      </c>
      <c r="CG45" s="1435" t="str">
        <f>IF(AND(AV45="",E45&lt;&gt;0),"* No olvide digitar la población SENAME (Digite CEROS si no tiene). ",IF(E45&lt;AV45,"* La Población SENAME NO DEBE ser mayor al Total. ",""))</f>
        <v xml:space="preserve">* La Población SENAME NO DEBE ser mayor al Total. </v>
      </c>
      <c r="CH45" s="1435" t="str">
        <f t="shared" si="26"/>
        <v xml:space="preserve">* La Población Mejor Niñez NO DEBE ser mayor al Total. </v>
      </c>
      <c r="CI45" s="1435" t="str">
        <f t="shared" si="27"/>
        <v xml:space="preserve">* La Población Migrante NO DEBE ser mayor al Total. </v>
      </c>
      <c r="DB45" s="1436"/>
      <c r="DC45" s="1436">
        <f>IF(E45&lt;AU45,1,0)</f>
        <v>1</v>
      </c>
      <c r="DD45" s="1436" t="e">
        <f>IF((Z45+AA45)&lt;AR45,1,0)</f>
        <v>#VALUE!</v>
      </c>
      <c r="DE45" s="1436">
        <f>IF(E45&lt;AY45,1,0)</f>
        <v>1</v>
      </c>
      <c r="DF45" s="1436">
        <f>IF(AND(AS45="",E45&lt;&gt;0),1,IF(G45&lt;AS45,1,0))</f>
        <v>1</v>
      </c>
      <c r="DG45" s="1436">
        <f>IF(AND(AV45="",E45&lt;&gt;0),1,IF(E45&lt;AV45,1,0))</f>
        <v>1</v>
      </c>
      <c r="DH45" s="1436">
        <f>IF(AND(AX45="",E45&lt;&gt;0),1,IF(E45&lt;AX45,1,0))</f>
        <v>1</v>
      </c>
      <c r="DI45" s="1436">
        <f t="shared" si="29"/>
        <v>1</v>
      </c>
    </row>
    <row r="46" spans="1:113" ht="16.350000000000001" customHeight="1" x14ac:dyDescent="0.25">
      <c r="A46" s="7267"/>
      <c r="B46" s="9747" t="s">
        <v>1176</v>
      </c>
      <c r="C46" s="9749"/>
      <c r="D46" s="9748"/>
      <c r="E46" s="3673">
        <v>0</v>
      </c>
      <c r="F46" s="4556">
        <v>0</v>
      </c>
      <c r="G46" s="4545">
        <v>0</v>
      </c>
      <c r="H46" s="4604">
        <v>0</v>
      </c>
      <c r="I46" s="4605">
        <v>0</v>
      </c>
      <c r="J46" s="4604">
        <v>0</v>
      </c>
      <c r="K46" s="4605">
        <v>0</v>
      </c>
      <c r="L46" s="4604">
        <v>0</v>
      </c>
      <c r="M46" s="4605">
        <v>0</v>
      </c>
      <c r="N46" s="4604">
        <v>0</v>
      </c>
      <c r="O46" s="4605">
        <v>0</v>
      </c>
      <c r="P46" s="4604">
        <v>0</v>
      </c>
      <c r="Q46" s="4605">
        <v>0</v>
      </c>
      <c r="R46" s="4604">
        <v>0</v>
      </c>
      <c r="S46" s="4605">
        <v>0</v>
      </c>
      <c r="T46" s="4890">
        <v>0</v>
      </c>
      <c r="U46" s="4889">
        <v>0</v>
      </c>
      <c r="V46" s="4890">
        <v>0</v>
      </c>
      <c r="W46" s="4889">
        <v>0</v>
      </c>
      <c r="X46" s="4557">
        <v>0</v>
      </c>
      <c r="Y46" s="4557">
        <v>0</v>
      </c>
      <c r="Z46" s="3673">
        <v>0</v>
      </c>
      <c r="AA46" s="4557">
        <v>0</v>
      </c>
      <c r="AB46" s="3673">
        <v>0</v>
      </c>
      <c r="AC46" s="4557">
        <v>0</v>
      </c>
      <c r="AD46" s="3673">
        <v>0</v>
      </c>
      <c r="AE46" s="4545">
        <v>0</v>
      </c>
      <c r="AF46" s="4557">
        <v>0</v>
      </c>
      <c r="AG46" s="4557">
        <v>0</v>
      </c>
      <c r="AH46" s="3673">
        <v>0</v>
      </c>
      <c r="AI46" s="4557">
        <v>0</v>
      </c>
      <c r="AJ46" s="3673">
        <v>0</v>
      </c>
      <c r="AK46" s="4557">
        <v>0</v>
      </c>
      <c r="AL46" s="3673">
        <v>0</v>
      </c>
      <c r="AM46" s="4557">
        <v>0</v>
      </c>
      <c r="AN46" s="3673">
        <v>0</v>
      </c>
      <c r="AO46" s="4545">
        <v>0</v>
      </c>
      <c r="AP46" s="4557">
        <v>0</v>
      </c>
      <c r="AQ46" s="4606">
        <v>0</v>
      </c>
      <c r="AR46" s="4557">
        <v>0</v>
      </c>
      <c r="AS46" s="4607">
        <v>0</v>
      </c>
      <c r="AT46" s="4545">
        <v>0</v>
      </c>
      <c r="AU46" s="4545">
        <v>0</v>
      </c>
      <c r="AV46" s="4545">
        <v>0</v>
      </c>
      <c r="AW46" s="4545">
        <v>0</v>
      </c>
      <c r="AX46" s="4545">
        <v>0</v>
      </c>
      <c r="AY46" s="4545">
        <v>0</v>
      </c>
      <c r="AZ46" s="1496"/>
      <c r="BL46" s="1430"/>
      <c r="BM46" s="1430"/>
      <c r="BN46" s="1430"/>
      <c r="BO46" s="1438"/>
      <c r="BP46" s="1438"/>
      <c r="BQ46" s="1438"/>
      <c r="BY46" s="165"/>
      <c r="CB46" s="1435"/>
      <c r="CC46" s="1435"/>
      <c r="CD46" s="1435"/>
      <c r="CE46" s="1435"/>
      <c r="CF46" s="1435"/>
      <c r="CG46" s="1435"/>
      <c r="CH46" s="1435"/>
      <c r="DB46" s="1436"/>
      <c r="DC46" s="1436"/>
      <c r="DD46" s="1436"/>
      <c r="DE46" s="1436"/>
      <c r="DF46" s="1436"/>
      <c r="DG46" s="1436"/>
      <c r="DH46" s="1436"/>
      <c r="DI46" s="1436"/>
    </row>
    <row r="47" spans="1:113" ht="16.350000000000001" customHeight="1" x14ac:dyDescent="0.25">
      <c r="A47" s="7520" t="s">
        <v>5125</v>
      </c>
      <c r="B47" s="9787" t="s">
        <v>153</v>
      </c>
      <c r="C47" s="9788"/>
      <c r="D47" s="9789"/>
      <c r="E47" s="3673" t="s">
        <v>5369</v>
      </c>
      <c r="F47" s="4556" t="s">
        <v>5370</v>
      </c>
      <c r="G47" s="4545" t="s">
        <v>5371</v>
      </c>
      <c r="H47" s="4608" t="s">
        <v>5372</v>
      </c>
      <c r="I47" s="4609" t="s">
        <v>5373</v>
      </c>
      <c r="J47" s="4608" t="s">
        <v>5374</v>
      </c>
      <c r="K47" s="4610" t="s">
        <v>5375</v>
      </c>
      <c r="L47" s="4608" t="s">
        <v>5376</v>
      </c>
      <c r="M47" s="4609" t="s">
        <v>5377</v>
      </c>
      <c r="N47" s="4608" t="s">
        <v>5378</v>
      </c>
      <c r="O47" s="4609" t="s">
        <v>5379</v>
      </c>
      <c r="P47" s="4608" t="s">
        <v>5380</v>
      </c>
      <c r="Q47" s="4609" t="s">
        <v>5381</v>
      </c>
      <c r="R47" s="4608" t="s">
        <v>5382</v>
      </c>
      <c r="S47" s="4611" t="s">
        <v>5383</v>
      </c>
      <c r="T47" s="4608" t="s">
        <v>5384</v>
      </c>
      <c r="U47" s="4611" t="s">
        <v>5385</v>
      </c>
      <c r="V47" s="4608" t="s">
        <v>5386</v>
      </c>
      <c r="W47" s="4611" t="s">
        <v>5387</v>
      </c>
      <c r="X47" s="4608" t="s">
        <v>5388</v>
      </c>
      <c r="Y47" s="4611" t="s">
        <v>5389</v>
      </c>
      <c r="Z47" s="4608" t="s">
        <v>5390</v>
      </c>
      <c r="AA47" s="4611" t="s">
        <v>5391</v>
      </c>
      <c r="AB47" s="4608" t="s">
        <v>5392</v>
      </c>
      <c r="AC47" s="4611" t="s">
        <v>5393</v>
      </c>
      <c r="AD47" s="4612" t="s">
        <v>5394</v>
      </c>
      <c r="AE47" s="4611" t="s">
        <v>5395</v>
      </c>
      <c r="AF47" s="4613" t="s">
        <v>5396</v>
      </c>
      <c r="AG47" s="4611" t="s">
        <v>5397</v>
      </c>
      <c r="AH47" s="4608" t="s">
        <v>5398</v>
      </c>
      <c r="AI47" s="4611" t="s">
        <v>5399</v>
      </c>
      <c r="AJ47" s="4608" t="s">
        <v>5400</v>
      </c>
      <c r="AK47" s="4611" t="s">
        <v>5401</v>
      </c>
      <c r="AL47" s="4608" t="s">
        <v>5402</v>
      </c>
      <c r="AM47" s="4611" t="s">
        <v>5403</v>
      </c>
      <c r="AN47" s="4612" t="s">
        <v>5404</v>
      </c>
      <c r="AO47" s="4611" t="s">
        <v>5405</v>
      </c>
      <c r="AP47" s="4610" t="s">
        <v>5406</v>
      </c>
      <c r="AQ47" s="4614" t="s">
        <v>5407</v>
      </c>
      <c r="AR47" s="4615" t="s">
        <v>5408</v>
      </c>
      <c r="AS47" s="4609" t="s">
        <v>5409</v>
      </c>
      <c r="AT47" s="4609" t="s">
        <v>5410</v>
      </c>
      <c r="AU47" s="4609" t="s">
        <v>5411</v>
      </c>
      <c r="AV47" s="4609" t="s">
        <v>5412</v>
      </c>
      <c r="AW47" s="4609" t="s">
        <v>5413</v>
      </c>
      <c r="AX47" s="4609" t="s">
        <v>5414</v>
      </c>
      <c r="AY47" s="4609" t="s">
        <v>5415</v>
      </c>
      <c r="AZ47" s="1496" t="e">
        <f t="shared" si="24"/>
        <v>#VALUE!</v>
      </c>
      <c r="BL47" s="1430"/>
      <c r="BM47" s="1430"/>
      <c r="BN47" s="1430"/>
      <c r="BO47" s="1438"/>
      <c r="BP47" s="1438"/>
      <c r="BQ47" s="1438"/>
      <c r="BY47" s="165"/>
      <c r="CB47" s="1435" t="e">
        <f t="shared" ref="CB47:CB53" si="30">IF(DB47=1,"* Las consultas de 60 años NO DEBEN ser mayor que el total de Consultas entre 60-64 Años. ","")</f>
        <v>#VALUE!</v>
      </c>
      <c r="CC47" s="1435" t="str">
        <f t="shared" ref="CC47:CC53" si="31">IF(DC47=1,"* Las actividades de usuarios en situación de discapacidad NO DEBEN superar el total. ","")</f>
        <v xml:space="preserve">* Las actividades de usuarios en situación de discapacidad NO DEBEN superar el total. </v>
      </c>
      <c r="CD47" s="1435" t="e">
        <f t="shared" ref="CD47:CD53" si="32">IF(DD47=1,"* Las consultas de 12 años NO DEBEN ser mayor que el total de Consultas entre 10-14 Años. ","")</f>
        <v>#VALUE!</v>
      </c>
      <c r="CE47" s="1435" t="str">
        <f t="shared" ref="CE47:CE53" si="33">IF(DE47=1,"* Las consultas de Pacientes en control PSCV NO DEBEN ser mayor que el total de Consultas. ","")</f>
        <v xml:space="preserve">* Las consultas de Pacientes en control PSCV NO DEBEN ser mayor que el total de Consultas. </v>
      </c>
      <c r="CF47" s="1435" t="str">
        <f t="shared" ref="CF47:CF53" si="34">IF(AND(AS47="",E47&lt;&gt;0),"* Recuerde que las Embarazadas deben ser incluídas en el ingreso por rango Etario (Digite CEROS si no tiene). ",IF(G47&lt;AS47,"* Las Embarazadas NO DEBEN ser mayor al total de mujeres. ",""))</f>
        <v xml:space="preserve">* Las Embarazadas NO DEBEN ser mayor al total de mujeres. </v>
      </c>
      <c r="CG47" s="1435" t="str">
        <f t="shared" ref="CG47:CG53" si="35">IF(AND(AV47="",E47&lt;&gt;0),"* No olvide digitar la población SENAME (Digite CEROS si no tiene). ",IF(E47&lt;AV47,"* La Población SENAME NO DEBE ser mayor al Total. ",""))</f>
        <v xml:space="preserve">* La Población SENAME NO DEBE ser mayor al Total. </v>
      </c>
      <c r="CH47" s="1435" t="str">
        <f t="shared" ref="CH47:CH63" si="36">IF(AND(AW47="",F47&lt;&gt;0),"* No olvide digitar la población Mejor Niñez (Digite CEROS si no tiene). ",IF(F47&lt;AW47,"* La Población Mejor Niñez NO DEBE ser mayor al Total. ",""))</f>
        <v xml:space="preserve">* La Población Mejor Niñez NO DEBE ser mayor al Total. </v>
      </c>
      <c r="CI47" s="1435" t="str">
        <f t="shared" si="27"/>
        <v xml:space="preserve">* La Población Migrante NO DEBE ser mayor al Total. </v>
      </c>
      <c r="DB47" s="1436" t="e">
        <f t="shared" ref="DB47:DB53" si="37">IF(AT47&gt;(AL47+AM47),1,0)</f>
        <v>#VALUE!</v>
      </c>
      <c r="DC47" s="1436">
        <f t="shared" ref="DC47:DC53" si="38">IF(E47&lt;AU47,1,0)</f>
        <v>1</v>
      </c>
      <c r="DD47" s="1436" t="e">
        <f t="shared" ref="DD47:DD53" si="39">IF((Z47+AA47)&lt;AR47,1,0)</f>
        <v>#VALUE!</v>
      </c>
      <c r="DE47" s="1436">
        <f t="shared" ref="DE47:DE53" si="40">IF(E47&lt;AY47,1,0)</f>
        <v>1</v>
      </c>
      <c r="DF47" s="1436">
        <f t="shared" ref="DF47:DF53" si="41">IF(AND(AS47="",E47&lt;&gt;0),1,IF(G47&lt;AS47,1,0))</f>
        <v>1</v>
      </c>
      <c r="DG47" s="1436">
        <f t="shared" ref="DG47:DG53" si="42">IF(AND(AV47="",E47&lt;&gt;0),1,IF(E47&lt;AV47,1,0))</f>
        <v>1</v>
      </c>
      <c r="DH47" s="1436">
        <f t="shared" ref="DH47:DH53" si="43">IF(AND(AX47="",E47&lt;&gt;0),1,IF(E47&lt;AX47,1,0))</f>
        <v>1</v>
      </c>
      <c r="DI47" s="1436">
        <f t="shared" si="29"/>
        <v>1</v>
      </c>
    </row>
    <row r="48" spans="1:113" ht="16.350000000000001" customHeight="1" x14ac:dyDescent="0.25">
      <c r="A48" s="7520" t="s">
        <v>5126</v>
      </c>
      <c r="B48" s="9790" t="s">
        <v>1175</v>
      </c>
      <c r="C48" s="9791"/>
      <c r="D48" s="4616">
        <v>0</v>
      </c>
      <c r="E48" s="3551" t="s">
        <v>5369</v>
      </c>
      <c r="F48" s="3552" t="s">
        <v>5370</v>
      </c>
      <c r="G48" s="4519" t="s">
        <v>5371</v>
      </c>
      <c r="H48" s="3164" t="s">
        <v>5372</v>
      </c>
      <c r="I48" s="3546" t="s">
        <v>5373</v>
      </c>
      <c r="J48" s="3164" t="s">
        <v>5374</v>
      </c>
      <c r="K48" s="737" t="s">
        <v>5375</v>
      </c>
      <c r="L48" s="3164" t="s">
        <v>5376</v>
      </c>
      <c r="M48" s="3546" t="s">
        <v>5377</v>
      </c>
      <c r="N48" s="3164" t="s">
        <v>5378</v>
      </c>
      <c r="O48" s="3546" t="s">
        <v>5379</v>
      </c>
      <c r="P48" s="3164" t="s">
        <v>5380</v>
      </c>
      <c r="Q48" s="3546" t="s">
        <v>5381</v>
      </c>
      <c r="R48" s="3164" t="s">
        <v>5382</v>
      </c>
      <c r="S48" s="3165" t="s">
        <v>5383</v>
      </c>
      <c r="T48" s="3164" t="s">
        <v>5384</v>
      </c>
      <c r="U48" s="3165" t="s">
        <v>5385</v>
      </c>
      <c r="V48" s="3164" t="s">
        <v>5386</v>
      </c>
      <c r="W48" s="3165" t="s">
        <v>5387</v>
      </c>
      <c r="X48" s="3164" t="s">
        <v>5388</v>
      </c>
      <c r="Y48" s="3165" t="s">
        <v>5389</v>
      </c>
      <c r="Z48" s="3164" t="s">
        <v>5390</v>
      </c>
      <c r="AA48" s="3165" t="s">
        <v>5391</v>
      </c>
      <c r="AB48" s="3164" t="s">
        <v>5392</v>
      </c>
      <c r="AC48" s="3165" t="s">
        <v>5393</v>
      </c>
      <c r="AD48" s="3169" t="s">
        <v>5394</v>
      </c>
      <c r="AE48" s="3165" t="s">
        <v>5395</v>
      </c>
      <c r="AF48" s="4617" t="s">
        <v>5396</v>
      </c>
      <c r="AG48" s="3165" t="s">
        <v>5397</v>
      </c>
      <c r="AH48" s="3164" t="s">
        <v>5398</v>
      </c>
      <c r="AI48" s="3165" t="s">
        <v>5399</v>
      </c>
      <c r="AJ48" s="3164" t="s">
        <v>5400</v>
      </c>
      <c r="AK48" s="3165" t="s">
        <v>5401</v>
      </c>
      <c r="AL48" s="3164" t="s">
        <v>5402</v>
      </c>
      <c r="AM48" s="3165" t="s">
        <v>5403</v>
      </c>
      <c r="AN48" s="3169" t="s">
        <v>5404</v>
      </c>
      <c r="AO48" s="3165" t="s">
        <v>5405</v>
      </c>
      <c r="AP48" s="737" t="s">
        <v>5406</v>
      </c>
      <c r="AQ48" s="3170" t="s">
        <v>5407</v>
      </c>
      <c r="AR48" s="3553" t="s">
        <v>5408</v>
      </c>
      <c r="AS48" s="3546" t="s">
        <v>5409</v>
      </c>
      <c r="AT48" s="3546" t="s">
        <v>5410</v>
      </c>
      <c r="AU48" s="3546" t="s">
        <v>5411</v>
      </c>
      <c r="AV48" s="3546" t="s">
        <v>5412</v>
      </c>
      <c r="AW48" s="3546" t="s">
        <v>5413</v>
      </c>
      <c r="AX48" s="3546" t="s">
        <v>5414</v>
      </c>
      <c r="AY48" s="3546" t="s">
        <v>5415</v>
      </c>
      <c r="AZ48" s="1496" t="e">
        <f t="shared" si="24"/>
        <v>#VALUE!</v>
      </c>
      <c r="BL48" s="1430"/>
      <c r="BM48" s="1430"/>
      <c r="BN48" s="1430"/>
      <c r="BO48" s="1438"/>
      <c r="BP48" s="1438"/>
      <c r="BQ48" s="1438"/>
      <c r="BY48" s="165"/>
      <c r="CB48" s="1435" t="e">
        <f t="shared" si="30"/>
        <v>#VALUE!</v>
      </c>
      <c r="CC48" s="1435" t="str">
        <f t="shared" si="31"/>
        <v xml:space="preserve">* Las actividades de usuarios en situación de discapacidad NO DEBEN superar el total. </v>
      </c>
      <c r="CD48" s="1435" t="e">
        <f t="shared" si="32"/>
        <v>#VALUE!</v>
      </c>
      <c r="CE48" s="1435" t="str">
        <f t="shared" si="33"/>
        <v xml:space="preserve">* Las consultas de Pacientes en control PSCV NO DEBEN ser mayor que el total de Consultas. </v>
      </c>
      <c r="CF48" s="1435" t="str">
        <f t="shared" si="34"/>
        <v xml:space="preserve">* Las Embarazadas NO DEBEN ser mayor al total de mujeres. </v>
      </c>
      <c r="CG48" s="1435" t="str">
        <f t="shared" si="35"/>
        <v xml:space="preserve">* La Población SENAME NO DEBE ser mayor al Total. </v>
      </c>
      <c r="CH48" s="1435" t="str">
        <f t="shared" si="36"/>
        <v xml:space="preserve">* La Población Mejor Niñez NO DEBE ser mayor al Total. </v>
      </c>
      <c r="CI48" s="1435" t="str">
        <f t="shared" si="27"/>
        <v xml:space="preserve">* La Población Migrante NO DEBE ser mayor al Total. </v>
      </c>
      <c r="DB48" s="1436" t="e">
        <f t="shared" si="37"/>
        <v>#VALUE!</v>
      </c>
      <c r="DC48" s="1436">
        <f t="shared" si="38"/>
        <v>1</v>
      </c>
      <c r="DD48" s="1436" t="e">
        <f t="shared" si="39"/>
        <v>#VALUE!</v>
      </c>
      <c r="DE48" s="1436">
        <f t="shared" si="40"/>
        <v>1</v>
      </c>
      <c r="DF48" s="1436">
        <f t="shared" si="41"/>
        <v>1</v>
      </c>
      <c r="DG48" s="1436">
        <f t="shared" si="42"/>
        <v>1</v>
      </c>
      <c r="DH48" s="1436">
        <f t="shared" si="43"/>
        <v>1</v>
      </c>
      <c r="DI48" s="1436">
        <f t="shared" si="29"/>
        <v>1</v>
      </c>
    </row>
    <row r="49" spans="1:113" ht="16.350000000000001" customHeight="1" x14ac:dyDescent="0.25">
      <c r="A49" s="7520" t="s">
        <v>5127</v>
      </c>
      <c r="B49" s="9792"/>
      <c r="C49" s="9793"/>
      <c r="D49" s="4618" t="s">
        <v>1174</v>
      </c>
      <c r="E49" s="4588" t="s">
        <v>5369</v>
      </c>
      <c r="F49" s="3552" t="s">
        <v>5370</v>
      </c>
      <c r="G49" s="4519" t="s">
        <v>5371</v>
      </c>
      <c r="H49" s="4591" t="s">
        <v>5372</v>
      </c>
      <c r="I49" s="4595" t="s">
        <v>5373</v>
      </c>
      <c r="J49" s="4591" t="s">
        <v>5374</v>
      </c>
      <c r="K49" s="4619" t="s">
        <v>5375</v>
      </c>
      <c r="L49" s="4591" t="s">
        <v>5376</v>
      </c>
      <c r="M49" s="4595" t="s">
        <v>5377</v>
      </c>
      <c r="N49" s="4591" t="s">
        <v>5378</v>
      </c>
      <c r="O49" s="4595" t="s">
        <v>5379</v>
      </c>
      <c r="P49" s="4591" t="s">
        <v>5380</v>
      </c>
      <c r="Q49" s="4595" t="s">
        <v>5381</v>
      </c>
      <c r="R49" s="4591" t="s">
        <v>5382</v>
      </c>
      <c r="S49" s="3547" t="s">
        <v>5383</v>
      </c>
      <c r="T49" s="4591" t="s">
        <v>5384</v>
      </c>
      <c r="U49" s="3547" t="s">
        <v>5385</v>
      </c>
      <c r="V49" s="4591" t="s">
        <v>5386</v>
      </c>
      <c r="W49" s="3547" t="s">
        <v>5387</v>
      </c>
      <c r="X49" s="4591" t="s">
        <v>5388</v>
      </c>
      <c r="Y49" s="3547" t="s">
        <v>5389</v>
      </c>
      <c r="Z49" s="4591" t="s">
        <v>5390</v>
      </c>
      <c r="AA49" s="3547" t="s">
        <v>5391</v>
      </c>
      <c r="AB49" s="4591" t="s">
        <v>5392</v>
      </c>
      <c r="AC49" s="3547" t="s">
        <v>5393</v>
      </c>
      <c r="AD49" s="4620" t="s">
        <v>5394</v>
      </c>
      <c r="AE49" s="3547" t="s">
        <v>5395</v>
      </c>
      <c r="AF49" s="4592" t="s">
        <v>5396</v>
      </c>
      <c r="AG49" s="3547" t="s">
        <v>5397</v>
      </c>
      <c r="AH49" s="4591" t="s">
        <v>5398</v>
      </c>
      <c r="AI49" s="3547" t="s">
        <v>5399</v>
      </c>
      <c r="AJ49" s="4591" t="s">
        <v>5400</v>
      </c>
      <c r="AK49" s="3547" t="s">
        <v>5401</v>
      </c>
      <c r="AL49" s="4591" t="s">
        <v>5402</v>
      </c>
      <c r="AM49" s="3547" t="s">
        <v>5403</v>
      </c>
      <c r="AN49" s="4620" t="s">
        <v>5404</v>
      </c>
      <c r="AO49" s="3547" t="s">
        <v>5405</v>
      </c>
      <c r="AP49" s="4619" t="s">
        <v>5406</v>
      </c>
      <c r="AQ49" s="4593" t="s">
        <v>5407</v>
      </c>
      <c r="AR49" s="4594" t="s">
        <v>5408</v>
      </c>
      <c r="AS49" s="4595" t="s">
        <v>5409</v>
      </c>
      <c r="AT49" s="4595" t="s">
        <v>5410</v>
      </c>
      <c r="AU49" s="4595" t="s">
        <v>5411</v>
      </c>
      <c r="AV49" s="4595" t="s">
        <v>5412</v>
      </c>
      <c r="AW49" s="4595" t="s">
        <v>5413</v>
      </c>
      <c r="AX49" s="4595" t="s">
        <v>5414</v>
      </c>
      <c r="AY49" s="4595" t="s">
        <v>5415</v>
      </c>
      <c r="AZ49" s="1496" t="e">
        <f t="shared" si="24"/>
        <v>#VALUE!</v>
      </c>
      <c r="BL49" s="1430"/>
      <c r="BM49" s="1430"/>
      <c r="BN49" s="1430"/>
      <c r="BO49" s="1438"/>
      <c r="BP49" s="1438"/>
      <c r="BQ49" s="1438"/>
      <c r="BY49" s="165"/>
      <c r="CB49" s="1435" t="e">
        <f t="shared" si="30"/>
        <v>#VALUE!</v>
      </c>
      <c r="CC49" s="1435" t="str">
        <f t="shared" si="31"/>
        <v xml:space="preserve">* Las actividades de usuarios en situación de discapacidad NO DEBEN superar el total. </v>
      </c>
      <c r="CD49" s="1435" t="e">
        <f t="shared" si="32"/>
        <v>#VALUE!</v>
      </c>
      <c r="CE49" s="1435" t="str">
        <f t="shared" si="33"/>
        <v xml:space="preserve">* Las consultas de Pacientes en control PSCV NO DEBEN ser mayor que el total de Consultas. </v>
      </c>
      <c r="CF49" s="1435" t="str">
        <f t="shared" si="34"/>
        <v xml:space="preserve">* Las Embarazadas NO DEBEN ser mayor al total de mujeres. </v>
      </c>
      <c r="CG49" s="1435" t="str">
        <f t="shared" si="35"/>
        <v xml:space="preserve">* La Población SENAME NO DEBE ser mayor al Total. </v>
      </c>
      <c r="CH49" s="1435" t="str">
        <f t="shared" si="36"/>
        <v xml:space="preserve">* La Población Mejor Niñez NO DEBE ser mayor al Total. </v>
      </c>
      <c r="CI49" s="1435" t="str">
        <f t="shared" si="27"/>
        <v xml:space="preserve">* La Población Migrante NO DEBE ser mayor al Total. </v>
      </c>
      <c r="DB49" s="1436" t="e">
        <f t="shared" si="37"/>
        <v>#VALUE!</v>
      </c>
      <c r="DC49" s="1436">
        <f t="shared" si="38"/>
        <v>1</v>
      </c>
      <c r="DD49" s="1436" t="e">
        <f t="shared" si="39"/>
        <v>#VALUE!</v>
      </c>
      <c r="DE49" s="1436">
        <f t="shared" si="40"/>
        <v>1</v>
      </c>
      <c r="DF49" s="1436">
        <f t="shared" si="41"/>
        <v>1</v>
      </c>
      <c r="DG49" s="1436">
        <f t="shared" si="42"/>
        <v>1</v>
      </c>
      <c r="DH49" s="1436">
        <f t="shared" si="43"/>
        <v>1</v>
      </c>
      <c r="DI49" s="1436">
        <f t="shared" si="29"/>
        <v>1</v>
      </c>
    </row>
    <row r="50" spans="1:113" ht="16.350000000000001" customHeight="1" x14ac:dyDescent="0.25">
      <c r="A50" s="7520" t="s">
        <v>5128</v>
      </c>
      <c r="B50" s="9792"/>
      <c r="C50" s="9793"/>
      <c r="D50" s="4618" t="s">
        <v>721</v>
      </c>
      <c r="E50" s="4588" t="s">
        <v>5369</v>
      </c>
      <c r="F50" s="3552" t="s">
        <v>5370</v>
      </c>
      <c r="G50" s="4519" t="s">
        <v>5371</v>
      </c>
      <c r="H50" s="4591" t="s">
        <v>5372</v>
      </c>
      <c r="I50" s="4595" t="s">
        <v>5373</v>
      </c>
      <c r="J50" s="4591" t="s">
        <v>5374</v>
      </c>
      <c r="K50" s="4619" t="s">
        <v>5375</v>
      </c>
      <c r="L50" s="4591" t="s">
        <v>5376</v>
      </c>
      <c r="M50" s="4595" t="s">
        <v>5377</v>
      </c>
      <c r="N50" s="4591" t="s">
        <v>5378</v>
      </c>
      <c r="O50" s="4595" t="s">
        <v>5379</v>
      </c>
      <c r="P50" s="4591" t="s">
        <v>5380</v>
      </c>
      <c r="Q50" s="4595" t="s">
        <v>5381</v>
      </c>
      <c r="R50" s="4591" t="s">
        <v>5382</v>
      </c>
      <c r="S50" s="3547" t="s">
        <v>5383</v>
      </c>
      <c r="T50" s="4591" t="s">
        <v>5384</v>
      </c>
      <c r="U50" s="3547" t="s">
        <v>5385</v>
      </c>
      <c r="V50" s="4591" t="s">
        <v>5386</v>
      </c>
      <c r="W50" s="3547" t="s">
        <v>5387</v>
      </c>
      <c r="X50" s="4591" t="s">
        <v>5388</v>
      </c>
      <c r="Y50" s="3547" t="s">
        <v>5389</v>
      </c>
      <c r="Z50" s="4591" t="s">
        <v>5390</v>
      </c>
      <c r="AA50" s="3547" t="s">
        <v>5391</v>
      </c>
      <c r="AB50" s="4591" t="s">
        <v>5392</v>
      </c>
      <c r="AC50" s="3547" t="s">
        <v>5393</v>
      </c>
      <c r="AD50" s="4620" t="s">
        <v>5394</v>
      </c>
      <c r="AE50" s="3547" t="s">
        <v>5395</v>
      </c>
      <c r="AF50" s="4592" t="s">
        <v>5396</v>
      </c>
      <c r="AG50" s="3547" t="s">
        <v>5397</v>
      </c>
      <c r="AH50" s="4591" t="s">
        <v>5398</v>
      </c>
      <c r="AI50" s="3547" t="s">
        <v>5399</v>
      </c>
      <c r="AJ50" s="4591" t="s">
        <v>5400</v>
      </c>
      <c r="AK50" s="3547" t="s">
        <v>5401</v>
      </c>
      <c r="AL50" s="4591" t="s">
        <v>5402</v>
      </c>
      <c r="AM50" s="3547" t="s">
        <v>5403</v>
      </c>
      <c r="AN50" s="4620" t="s">
        <v>5404</v>
      </c>
      <c r="AO50" s="3547" t="s">
        <v>5405</v>
      </c>
      <c r="AP50" s="4619" t="s">
        <v>5406</v>
      </c>
      <c r="AQ50" s="4593" t="s">
        <v>5407</v>
      </c>
      <c r="AR50" s="4594" t="s">
        <v>5408</v>
      </c>
      <c r="AS50" s="4595" t="s">
        <v>5409</v>
      </c>
      <c r="AT50" s="4595" t="s">
        <v>5410</v>
      </c>
      <c r="AU50" s="4595" t="s">
        <v>5411</v>
      </c>
      <c r="AV50" s="4595" t="s">
        <v>5412</v>
      </c>
      <c r="AW50" s="4595" t="s">
        <v>5413</v>
      </c>
      <c r="AX50" s="4595" t="s">
        <v>5414</v>
      </c>
      <c r="AY50" s="4595" t="s">
        <v>5415</v>
      </c>
      <c r="AZ50" s="1496" t="e">
        <f t="shared" si="24"/>
        <v>#VALUE!</v>
      </c>
      <c r="BL50" s="1430"/>
      <c r="BM50" s="1430"/>
      <c r="BN50" s="1430"/>
      <c r="BO50" s="1438"/>
      <c r="BP50" s="1438"/>
      <c r="BQ50" s="1438"/>
      <c r="BY50" s="165"/>
      <c r="CB50" s="1435" t="e">
        <f t="shared" si="30"/>
        <v>#VALUE!</v>
      </c>
      <c r="CC50" s="1435" t="str">
        <f t="shared" si="31"/>
        <v xml:space="preserve">* Las actividades de usuarios en situación de discapacidad NO DEBEN superar el total. </v>
      </c>
      <c r="CD50" s="1435" t="e">
        <f t="shared" si="32"/>
        <v>#VALUE!</v>
      </c>
      <c r="CE50" s="1435" t="str">
        <f t="shared" si="33"/>
        <v xml:space="preserve">* Las consultas de Pacientes en control PSCV NO DEBEN ser mayor que el total de Consultas. </v>
      </c>
      <c r="CF50" s="1435" t="str">
        <f t="shared" si="34"/>
        <v xml:space="preserve">* Las Embarazadas NO DEBEN ser mayor al total de mujeres. </v>
      </c>
      <c r="CG50" s="1435" t="str">
        <f t="shared" si="35"/>
        <v xml:space="preserve">* La Población SENAME NO DEBE ser mayor al Total. </v>
      </c>
      <c r="CH50" s="1435" t="str">
        <f t="shared" si="36"/>
        <v xml:space="preserve">* La Población Mejor Niñez NO DEBE ser mayor al Total. </v>
      </c>
      <c r="CI50" s="1435" t="str">
        <f t="shared" si="27"/>
        <v xml:space="preserve">* La Población Migrante NO DEBE ser mayor al Total. </v>
      </c>
      <c r="DB50" s="1436" t="e">
        <f t="shared" si="37"/>
        <v>#VALUE!</v>
      </c>
      <c r="DC50" s="1436">
        <f t="shared" si="38"/>
        <v>1</v>
      </c>
      <c r="DD50" s="1436" t="e">
        <f t="shared" si="39"/>
        <v>#VALUE!</v>
      </c>
      <c r="DE50" s="1436">
        <f t="shared" si="40"/>
        <v>1</v>
      </c>
      <c r="DF50" s="1436">
        <f t="shared" si="41"/>
        <v>1</v>
      </c>
      <c r="DG50" s="1436">
        <f t="shared" si="42"/>
        <v>1</v>
      </c>
      <c r="DH50" s="1436">
        <f t="shared" si="43"/>
        <v>1</v>
      </c>
      <c r="DI50" s="1436">
        <f t="shared" si="29"/>
        <v>1</v>
      </c>
    </row>
    <row r="51" spans="1:113" ht="16.350000000000001" customHeight="1" x14ac:dyDescent="0.25">
      <c r="A51" s="7520" t="s">
        <v>5129</v>
      </c>
      <c r="B51" s="9792"/>
      <c r="C51" s="9793"/>
      <c r="D51" s="4618" t="s">
        <v>1173</v>
      </c>
      <c r="E51" s="4588" t="s">
        <v>5369</v>
      </c>
      <c r="F51" s="3552" t="s">
        <v>5370</v>
      </c>
      <c r="G51" s="4519" t="s">
        <v>5371</v>
      </c>
      <c r="H51" s="4591" t="s">
        <v>5372</v>
      </c>
      <c r="I51" s="4595" t="s">
        <v>5373</v>
      </c>
      <c r="J51" s="4591" t="s">
        <v>5374</v>
      </c>
      <c r="K51" s="4619" t="s">
        <v>5375</v>
      </c>
      <c r="L51" s="4591" t="s">
        <v>5376</v>
      </c>
      <c r="M51" s="4595" t="s">
        <v>5377</v>
      </c>
      <c r="N51" s="4591" t="s">
        <v>5378</v>
      </c>
      <c r="O51" s="4595" t="s">
        <v>5379</v>
      </c>
      <c r="P51" s="4591" t="s">
        <v>5380</v>
      </c>
      <c r="Q51" s="4595" t="s">
        <v>5381</v>
      </c>
      <c r="R51" s="4591" t="s">
        <v>5382</v>
      </c>
      <c r="S51" s="3547" t="s">
        <v>5383</v>
      </c>
      <c r="T51" s="4591" t="s">
        <v>5384</v>
      </c>
      <c r="U51" s="3547" t="s">
        <v>5385</v>
      </c>
      <c r="V51" s="4591" t="s">
        <v>5386</v>
      </c>
      <c r="W51" s="3547" t="s">
        <v>5387</v>
      </c>
      <c r="X51" s="4591" t="s">
        <v>5388</v>
      </c>
      <c r="Y51" s="3547" t="s">
        <v>5389</v>
      </c>
      <c r="Z51" s="4591" t="s">
        <v>5390</v>
      </c>
      <c r="AA51" s="3547" t="s">
        <v>5391</v>
      </c>
      <c r="AB51" s="4591" t="s">
        <v>5392</v>
      </c>
      <c r="AC51" s="3547" t="s">
        <v>5393</v>
      </c>
      <c r="AD51" s="4620" t="s">
        <v>5394</v>
      </c>
      <c r="AE51" s="3547" t="s">
        <v>5395</v>
      </c>
      <c r="AF51" s="4592" t="s">
        <v>5396</v>
      </c>
      <c r="AG51" s="3547" t="s">
        <v>5397</v>
      </c>
      <c r="AH51" s="4591" t="s">
        <v>5398</v>
      </c>
      <c r="AI51" s="3547" t="s">
        <v>5399</v>
      </c>
      <c r="AJ51" s="4591" t="s">
        <v>5400</v>
      </c>
      <c r="AK51" s="3547" t="s">
        <v>5401</v>
      </c>
      <c r="AL51" s="4591" t="s">
        <v>5402</v>
      </c>
      <c r="AM51" s="3547" t="s">
        <v>5403</v>
      </c>
      <c r="AN51" s="4620" t="s">
        <v>5404</v>
      </c>
      <c r="AO51" s="3547" t="s">
        <v>5405</v>
      </c>
      <c r="AP51" s="4619" t="s">
        <v>5406</v>
      </c>
      <c r="AQ51" s="4593" t="s">
        <v>5407</v>
      </c>
      <c r="AR51" s="4594" t="s">
        <v>5408</v>
      </c>
      <c r="AS51" s="4595" t="s">
        <v>5409</v>
      </c>
      <c r="AT51" s="4595" t="s">
        <v>5410</v>
      </c>
      <c r="AU51" s="4595" t="s">
        <v>5411</v>
      </c>
      <c r="AV51" s="4595" t="s">
        <v>5412</v>
      </c>
      <c r="AW51" s="4595" t="s">
        <v>5413</v>
      </c>
      <c r="AX51" s="4595" t="s">
        <v>5414</v>
      </c>
      <c r="AY51" s="4595" t="s">
        <v>5415</v>
      </c>
      <c r="AZ51" s="1496" t="e">
        <f t="shared" si="24"/>
        <v>#VALUE!</v>
      </c>
      <c r="BL51" s="1430"/>
      <c r="BM51" s="1430"/>
      <c r="BN51" s="1430"/>
      <c r="BO51" s="1438"/>
      <c r="BP51" s="1438"/>
      <c r="BQ51" s="1438"/>
      <c r="BY51" s="165"/>
      <c r="CB51" s="1435" t="e">
        <f t="shared" si="30"/>
        <v>#VALUE!</v>
      </c>
      <c r="CC51" s="1435" t="str">
        <f t="shared" si="31"/>
        <v xml:space="preserve">* Las actividades de usuarios en situación de discapacidad NO DEBEN superar el total. </v>
      </c>
      <c r="CD51" s="1435" t="e">
        <f t="shared" si="32"/>
        <v>#VALUE!</v>
      </c>
      <c r="CE51" s="1435" t="str">
        <f t="shared" si="33"/>
        <v xml:space="preserve">* Las consultas de Pacientes en control PSCV NO DEBEN ser mayor que el total de Consultas. </v>
      </c>
      <c r="CF51" s="1435" t="str">
        <f t="shared" si="34"/>
        <v xml:space="preserve">* Las Embarazadas NO DEBEN ser mayor al total de mujeres. </v>
      </c>
      <c r="CG51" s="1435" t="str">
        <f t="shared" si="35"/>
        <v xml:space="preserve">* La Población SENAME NO DEBE ser mayor al Total. </v>
      </c>
      <c r="CH51" s="1435" t="str">
        <f t="shared" si="36"/>
        <v xml:space="preserve">* La Población Mejor Niñez NO DEBE ser mayor al Total. </v>
      </c>
      <c r="CI51" s="1435" t="str">
        <f t="shared" si="27"/>
        <v xml:space="preserve">* La Población Migrante NO DEBE ser mayor al Total. </v>
      </c>
      <c r="DB51" s="1436" t="e">
        <f t="shared" si="37"/>
        <v>#VALUE!</v>
      </c>
      <c r="DC51" s="1436">
        <f t="shared" si="38"/>
        <v>1</v>
      </c>
      <c r="DD51" s="1436" t="e">
        <f t="shared" si="39"/>
        <v>#VALUE!</v>
      </c>
      <c r="DE51" s="1436">
        <f t="shared" si="40"/>
        <v>1</v>
      </c>
      <c r="DF51" s="1436">
        <f t="shared" si="41"/>
        <v>1</v>
      </c>
      <c r="DG51" s="1436">
        <f t="shared" si="42"/>
        <v>1</v>
      </c>
      <c r="DH51" s="1436">
        <f t="shared" si="43"/>
        <v>1</v>
      </c>
      <c r="DI51" s="1436">
        <f t="shared" si="29"/>
        <v>1</v>
      </c>
    </row>
    <row r="52" spans="1:113" ht="16.350000000000001" customHeight="1" x14ac:dyDescent="0.25">
      <c r="A52" s="7520" t="s">
        <v>5130</v>
      </c>
      <c r="B52" s="9792"/>
      <c r="C52" s="9793"/>
      <c r="D52" s="4621" t="s">
        <v>1172</v>
      </c>
      <c r="E52" s="4596" t="s">
        <v>5369</v>
      </c>
      <c r="F52" s="3552" t="s">
        <v>5370</v>
      </c>
      <c r="G52" s="4519" t="s">
        <v>5371</v>
      </c>
      <c r="H52" s="4622" t="s">
        <v>5372</v>
      </c>
      <c r="I52" s="4623" t="s">
        <v>5373</v>
      </c>
      <c r="J52" s="4622" t="s">
        <v>5374</v>
      </c>
      <c r="K52" s="736" t="s">
        <v>5375</v>
      </c>
      <c r="L52" s="4622" t="s">
        <v>5376</v>
      </c>
      <c r="M52" s="4623" t="s">
        <v>5377</v>
      </c>
      <c r="N52" s="4622" t="s">
        <v>5378</v>
      </c>
      <c r="O52" s="4623" t="s">
        <v>5379</v>
      </c>
      <c r="P52" s="4622" t="s">
        <v>5380</v>
      </c>
      <c r="Q52" s="4623" t="s">
        <v>5381</v>
      </c>
      <c r="R52" s="4622" t="s">
        <v>5382</v>
      </c>
      <c r="S52" s="3171" t="s">
        <v>5383</v>
      </c>
      <c r="T52" s="4622" t="s">
        <v>5384</v>
      </c>
      <c r="U52" s="3171" t="s">
        <v>5385</v>
      </c>
      <c r="V52" s="4622" t="s">
        <v>5386</v>
      </c>
      <c r="W52" s="3171" t="s">
        <v>5387</v>
      </c>
      <c r="X52" s="4622" t="s">
        <v>5388</v>
      </c>
      <c r="Y52" s="3171" t="s">
        <v>5389</v>
      </c>
      <c r="Z52" s="4622" t="s">
        <v>5390</v>
      </c>
      <c r="AA52" s="3171" t="s">
        <v>5391</v>
      </c>
      <c r="AB52" s="4622" t="s">
        <v>5392</v>
      </c>
      <c r="AC52" s="3171" t="s">
        <v>5393</v>
      </c>
      <c r="AD52" s="3172" t="s">
        <v>5394</v>
      </c>
      <c r="AE52" s="3171" t="s">
        <v>5395</v>
      </c>
      <c r="AF52" s="3167" t="s">
        <v>5396</v>
      </c>
      <c r="AG52" s="3171" t="s">
        <v>5397</v>
      </c>
      <c r="AH52" s="4622" t="s">
        <v>5398</v>
      </c>
      <c r="AI52" s="3171" t="s">
        <v>5399</v>
      </c>
      <c r="AJ52" s="4622" t="s">
        <v>5400</v>
      </c>
      <c r="AK52" s="3171" t="s">
        <v>5401</v>
      </c>
      <c r="AL52" s="4622" t="s">
        <v>5402</v>
      </c>
      <c r="AM52" s="3171" t="s">
        <v>5403</v>
      </c>
      <c r="AN52" s="3172" t="s">
        <v>5404</v>
      </c>
      <c r="AO52" s="3171" t="s">
        <v>5405</v>
      </c>
      <c r="AP52" s="736" t="s">
        <v>5406</v>
      </c>
      <c r="AQ52" s="3554" t="s">
        <v>5407</v>
      </c>
      <c r="AR52" s="3555" t="s">
        <v>5408</v>
      </c>
      <c r="AS52" s="4623" t="s">
        <v>5409</v>
      </c>
      <c r="AT52" s="4623" t="s">
        <v>5410</v>
      </c>
      <c r="AU52" s="4623" t="s">
        <v>5411</v>
      </c>
      <c r="AV52" s="4623" t="s">
        <v>5412</v>
      </c>
      <c r="AW52" s="4623" t="s">
        <v>5413</v>
      </c>
      <c r="AX52" s="4623" t="s">
        <v>5414</v>
      </c>
      <c r="AY52" s="4623" t="s">
        <v>5415</v>
      </c>
      <c r="AZ52" s="1496" t="e">
        <f t="shared" si="24"/>
        <v>#VALUE!</v>
      </c>
      <c r="BL52" s="1430"/>
      <c r="BM52" s="1430"/>
      <c r="BN52" s="1430"/>
      <c r="BO52" s="1438"/>
      <c r="BP52" s="1438"/>
      <c r="BQ52" s="1438"/>
      <c r="BY52" s="165"/>
      <c r="CB52" s="1435" t="e">
        <f t="shared" si="30"/>
        <v>#VALUE!</v>
      </c>
      <c r="CC52" s="1435" t="str">
        <f t="shared" si="31"/>
        <v xml:space="preserve">* Las actividades de usuarios en situación de discapacidad NO DEBEN superar el total. </v>
      </c>
      <c r="CD52" s="1435" t="e">
        <f t="shared" si="32"/>
        <v>#VALUE!</v>
      </c>
      <c r="CE52" s="1435" t="str">
        <f t="shared" si="33"/>
        <v xml:space="preserve">* Las consultas de Pacientes en control PSCV NO DEBEN ser mayor que el total de Consultas. </v>
      </c>
      <c r="CF52" s="1435" t="str">
        <f t="shared" si="34"/>
        <v xml:space="preserve">* Las Embarazadas NO DEBEN ser mayor al total de mujeres. </v>
      </c>
      <c r="CG52" s="1435" t="str">
        <f t="shared" si="35"/>
        <v xml:space="preserve">* La Población SENAME NO DEBE ser mayor al Total. </v>
      </c>
      <c r="CH52" s="1435" t="str">
        <f t="shared" si="36"/>
        <v xml:space="preserve">* La Población Mejor Niñez NO DEBE ser mayor al Total. </v>
      </c>
      <c r="CI52" s="1435" t="str">
        <f t="shared" si="27"/>
        <v xml:space="preserve">* La Población Migrante NO DEBE ser mayor al Total. </v>
      </c>
      <c r="DB52" s="1436" t="e">
        <f t="shared" si="37"/>
        <v>#VALUE!</v>
      </c>
      <c r="DC52" s="1436">
        <f t="shared" si="38"/>
        <v>1</v>
      </c>
      <c r="DD52" s="1436" t="e">
        <f t="shared" si="39"/>
        <v>#VALUE!</v>
      </c>
      <c r="DE52" s="1436">
        <f t="shared" si="40"/>
        <v>1</v>
      </c>
      <c r="DF52" s="1436">
        <f t="shared" si="41"/>
        <v>1</v>
      </c>
      <c r="DG52" s="1436">
        <f t="shared" si="42"/>
        <v>1</v>
      </c>
      <c r="DH52" s="1436">
        <f t="shared" si="43"/>
        <v>1</v>
      </c>
      <c r="DI52" s="1436">
        <f t="shared" si="29"/>
        <v>1</v>
      </c>
    </row>
    <row r="53" spans="1:113" ht="16.350000000000001" customHeight="1" x14ac:dyDescent="0.25">
      <c r="A53" s="7520" t="s">
        <v>5131</v>
      </c>
      <c r="B53" s="9792"/>
      <c r="C53" s="9793"/>
      <c r="D53" s="4621" t="s">
        <v>1171</v>
      </c>
      <c r="E53" s="4624" t="s">
        <v>5369</v>
      </c>
      <c r="F53" s="4625" t="s">
        <v>5370</v>
      </c>
      <c r="G53" s="4626" t="s">
        <v>5371</v>
      </c>
      <c r="H53" s="4601" t="s">
        <v>5372</v>
      </c>
      <c r="I53" s="4603" t="s">
        <v>5373</v>
      </c>
      <c r="J53" s="4601" t="s">
        <v>5374</v>
      </c>
      <c r="K53" s="4627" t="s">
        <v>5375</v>
      </c>
      <c r="L53" s="4601" t="s">
        <v>5376</v>
      </c>
      <c r="M53" s="4603" t="s">
        <v>5377</v>
      </c>
      <c r="N53" s="4601" t="s">
        <v>5378</v>
      </c>
      <c r="O53" s="4603" t="s">
        <v>5379</v>
      </c>
      <c r="P53" s="4601" t="s">
        <v>5380</v>
      </c>
      <c r="Q53" s="4603" t="s">
        <v>5381</v>
      </c>
      <c r="R53" s="4601" t="s">
        <v>5382</v>
      </c>
      <c r="S53" s="3166" t="s">
        <v>5383</v>
      </c>
      <c r="T53" s="4601" t="s">
        <v>5384</v>
      </c>
      <c r="U53" s="3166" t="s">
        <v>5385</v>
      </c>
      <c r="V53" s="4601" t="s">
        <v>5386</v>
      </c>
      <c r="W53" s="3166" t="s">
        <v>5387</v>
      </c>
      <c r="X53" s="4601" t="s">
        <v>5388</v>
      </c>
      <c r="Y53" s="3166" t="s">
        <v>5389</v>
      </c>
      <c r="Z53" s="4601" t="s">
        <v>5390</v>
      </c>
      <c r="AA53" s="3166" t="s">
        <v>5391</v>
      </c>
      <c r="AB53" s="4601" t="s">
        <v>5392</v>
      </c>
      <c r="AC53" s="3166" t="s">
        <v>5393</v>
      </c>
      <c r="AD53" s="4628" t="s">
        <v>5394</v>
      </c>
      <c r="AE53" s="3166" t="s">
        <v>5395</v>
      </c>
      <c r="AF53" s="3168" t="s">
        <v>5396</v>
      </c>
      <c r="AG53" s="3166" t="s">
        <v>5397</v>
      </c>
      <c r="AH53" s="4601" t="s">
        <v>5398</v>
      </c>
      <c r="AI53" s="3166" t="s">
        <v>5399</v>
      </c>
      <c r="AJ53" s="4601" t="s">
        <v>5400</v>
      </c>
      <c r="AK53" s="3166" t="s">
        <v>5401</v>
      </c>
      <c r="AL53" s="4601" t="s">
        <v>5402</v>
      </c>
      <c r="AM53" s="3166" t="s">
        <v>5403</v>
      </c>
      <c r="AN53" s="4628" t="s">
        <v>5404</v>
      </c>
      <c r="AO53" s="3166" t="s">
        <v>5405</v>
      </c>
      <c r="AP53" s="4627" t="s">
        <v>5406</v>
      </c>
      <c r="AQ53" s="4602" t="s">
        <v>5407</v>
      </c>
      <c r="AR53" s="4603" t="s">
        <v>5408</v>
      </c>
      <c r="AS53" s="4603" t="s">
        <v>5409</v>
      </c>
      <c r="AT53" s="4603" t="s">
        <v>5410</v>
      </c>
      <c r="AU53" s="4603" t="s">
        <v>5411</v>
      </c>
      <c r="AV53" s="4603" t="s">
        <v>5412</v>
      </c>
      <c r="AW53" s="4603" t="s">
        <v>5413</v>
      </c>
      <c r="AX53" s="4603" t="s">
        <v>5414</v>
      </c>
      <c r="AY53" s="4603" t="s">
        <v>5415</v>
      </c>
      <c r="AZ53" s="1496" t="e">
        <f t="shared" si="24"/>
        <v>#VALUE!</v>
      </c>
      <c r="BL53" s="1430"/>
      <c r="BM53" s="1430"/>
      <c r="BN53" s="1430"/>
      <c r="BO53" s="1438"/>
      <c r="BP53" s="1438"/>
      <c r="BQ53" s="1438"/>
      <c r="BY53" s="165"/>
      <c r="CB53" s="1435" t="e">
        <f t="shared" si="30"/>
        <v>#VALUE!</v>
      </c>
      <c r="CC53" s="1435" t="str">
        <f t="shared" si="31"/>
        <v xml:space="preserve">* Las actividades de usuarios en situación de discapacidad NO DEBEN superar el total. </v>
      </c>
      <c r="CD53" s="1435" t="e">
        <f t="shared" si="32"/>
        <v>#VALUE!</v>
      </c>
      <c r="CE53" s="1435" t="str">
        <f t="shared" si="33"/>
        <v xml:space="preserve">* Las consultas de Pacientes en control PSCV NO DEBEN ser mayor que el total de Consultas. </v>
      </c>
      <c r="CF53" s="1435" t="str">
        <f t="shared" si="34"/>
        <v xml:space="preserve">* Las Embarazadas NO DEBEN ser mayor al total de mujeres. </v>
      </c>
      <c r="CG53" s="1435" t="str">
        <f t="shared" si="35"/>
        <v xml:space="preserve">* La Población SENAME NO DEBE ser mayor al Total. </v>
      </c>
      <c r="CH53" s="1435" t="str">
        <f t="shared" si="36"/>
        <v xml:space="preserve">* La Población Mejor Niñez NO DEBE ser mayor al Total. </v>
      </c>
      <c r="CI53" s="1435" t="str">
        <f t="shared" si="27"/>
        <v xml:space="preserve">* La Población Migrante NO DEBE ser mayor al Total. </v>
      </c>
      <c r="DB53" s="1436" t="e">
        <f t="shared" si="37"/>
        <v>#VALUE!</v>
      </c>
      <c r="DC53" s="1436">
        <f t="shared" si="38"/>
        <v>1</v>
      </c>
      <c r="DD53" s="1436" t="e">
        <f t="shared" si="39"/>
        <v>#VALUE!</v>
      </c>
      <c r="DE53" s="1436">
        <f t="shared" si="40"/>
        <v>1</v>
      </c>
      <c r="DF53" s="1436">
        <f t="shared" si="41"/>
        <v>1</v>
      </c>
      <c r="DG53" s="1436">
        <f t="shared" si="42"/>
        <v>1</v>
      </c>
      <c r="DH53" s="1436">
        <f t="shared" si="43"/>
        <v>1</v>
      </c>
      <c r="DI53" s="1436">
        <f t="shared" si="29"/>
        <v>1</v>
      </c>
    </row>
    <row r="54" spans="1:113" ht="16.350000000000001" customHeight="1" x14ac:dyDescent="0.25">
      <c r="A54" s="7267"/>
      <c r="B54" s="9752" t="s">
        <v>24</v>
      </c>
      <c r="C54" s="9752"/>
      <c r="D54" s="9752"/>
      <c r="E54" s="3673">
        <v>0</v>
      </c>
      <c r="F54" s="4557">
        <v>0</v>
      </c>
      <c r="G54" s="4545">
        <v>0</v>
      </c>
      <c r="H54" s="3673">
        <v>0</v>
      </c>
      <c r="I54" s="3673">
        <v>0</v>
      </c>
      <c r="J54" s="3673">
        <v>0</v>
      </c>
      <c r="K54" s="3673">
        <v>0</v>
      </c>
      <c r="L54" s="3673">
        <v>0</v>
      </c>
      <c r="M54" s="3673">
        <v>0</v>
      </c>
      <c r="N54" s="3673">
        <v>0</v>
      </c>
      <c r="O54" s="3673">
        <v>0</v>
      </c>
      <c r="P54" s="3673">
        <v>0</v>
      </c>
      <c r="Q54" s="3673">
        <v>0</v>
      </c>
      <c r="R54" s="3673">
        <v>0</v>
      </c>
      <c r="S54" s="3673">
        <v>0</v>
      </c>
      <c r="T54" s="3673">
        <v>0</v>
      </c>
      <c r="U54" s="3673">
        <v>0</v>
      </c>
      <c r="V54" s="3673">
        <v>0</v>
      </c>
      <c r="W54" s="3673">
        <v>0</v>
      </c>
      <c r="X54" s="3673">
        <v>0</v>
      </c>
      <c r="Y54" s="3673">
        <v>0</v>
      </c>
      <c r="Z54" s="3673">
        <v>0</v>
      </c>
      <c r="AA54" s="3673">
        <v>0</v>
      </c>
      <c r="AB54" s="3673">
        <v>0</v>
      </c>
      <c r="AC54" s="3673">
        <v>0</v>
      </c>
      <c r="AD54" s="3673">
        <v>0</v>
      </c>
      <c r="AE54" s="3673">
        <v>0</v>
      </c>
      <c r="AF54" s="3673">
        <v>0</v>
      </c>
      <c r="AG54" s="3673">
        <v>0</v>
      </c>
      <c r="AH54" s="3673">
        <v>0</v>
      </c>
      <c r="AI54" s="3673">
        <v>0</v>
      </c>
      <c r="AJ54" s="3673">
        <v>0</v>
      </c>
      <c r="AK54" s="3673">
        <v>0</v>
      </c>
      <c r="AL54" s="3673">
        <v>0</v>
      </c>
      <c r="AM54" s="3673">
        <v>0</v>
      </c>
      <c r="AN54" s="3673">
        <v>0</v>
      </c>
      <c r="AO54" s="3673">
        <v>0</v>
      </c>
      <c r="AP54" s="3673">
        <v>0</v>
      </c>
      <c r="AQ54" s="3673">
        <v>0</v>
      </c>
      <c r="AR54" s="3673">
        <v>0</v>
      </c>
      <c r="AS54" s="3673">
        <v>0</v>
      </c>
      <c r="AT54" s="3673">
        <v>0</v>
      </c>
      <c r="AU54" s="3673">
        <v>0</v>
      </c>
      <c r="AV54" s="3673">
        <v>0</v>
      </c>
      <c r="AW54" s="4545">
        <v>0</v>
      </c>
      <c r="AX54" s="3673">
        <v>0</v>
      </c>
      <c r="AY54" s="3673">
        <v>0</v>
      </c>
      <c r="AZ54" s="1496"/>
      <c r="BL54" s="1430"/>
      <c r="BM54" s="1430"/>
      <c r="BN54" s="1430"/>
      <c r="BO54" s="1438"/>
      <c r="BP54" s="1438"/>
      <c r="BQ54" s="1438"/>
      <c r="BY54" s="165"/>
      <c r="CB54" s="1435"/>
      <c r="CC54" s="1435"/>
      <c r="CD54" s="1435"/>
      <c r="CE54" s="1435"/>
      <c r="CF54" s="1435"/>
      <c r="CG54" s="1435"/>
      <c r="CH54" s="1435"/>
      <c r="DB54" s="1436"/>
      <c r="DC54" s="1436"/>
      <c r="DD54" s="1436"/>
      <c r="DE54" s="1436"/>
      <c r="DF54" s="1436"/>
      <c r="DG54" s="1436"/>
      <c r="DH54" s="1436"/>
      <c r="DI54" s="1436"/>
    </row>
    <row r="55" spans="1:113" ht="16.350000000000001" customHeight="1" x14ac:dyDescent="0.25">
      <c r="A55" s="7520" t="s">
        <v>5132</v>
      </c>
      <c r="B55" s="9792" t="s">
        <v>2124</v>
      </c>
      <c r="C55" s="9793"/>
      <c r="D55" s="4629">
        <v>0</v>
      </c>
      <c r="E55" s="4576" t="s">
        <v>5369</v>
      </c>
      <c r="F55" s="4630" t="s">
        <v>5370</v>
      </c>
      <c r="G55" s="4631" t="s">
        <v>5371</v>
      </c>
      <c r="H55" s="4579" t="s">
        <v>5372</v>
      </c>
      <c r="I55" s="4580" t="s">
        <v>5373</v>
      </c>
      <c r="J55" s="4579" t="s">
        <v>5374</v>
      </c>
      <c r="K55" s="4580" t="s">
        <v>5375</v>
      </c>
      <c r="L55" s="4579" t="s">
        <v>5376</v>
      </c>
      <c r="M55" s="4580" t="s">
        <v>5377</v>
      </c>
      <c r="N55" s="4579" t="s">
        <v>5378</v>
      </c>
      <c r="O55" s="4580" t="s">
        <v>5379</v>
      </c>
      <c r="P55" s="4579" t="s">
        <v>5380</v>
      </c>
      <c r="Q55" s="4580" t="s">
        <v>5381</v>
      </c>
      <c r="R55" s="4579" t="s">
        <v>5382</v>
      </c>
      <c r="S55" s="4580" t="s">
        <v>5383</v>
      </c>
      <c r="T55" s="4579" t="s">
        <v>5384</v>
      </c>
      <c r="U55" s="4580" t="s">
        <v>5385</v>
      </c>
      <c r="V55" s="4579" t="s">
        <v>5386</v>
      </c>
      <c r="W55" s="4580" t="s">
        <v>5387</v>
      </c>
      <c r="X55" s="4579" t="s">
        <v>5388</v>
      </c>
      <c r="Y55" s="4580" t="s">
        <v>5389</v>
      </c>
      <c r="Z55" s="4579" t="s">
        <v>5390</v>
      </c>
      <c r="AA55" s="4580" t="s">
        <v>5391</v>
      </c>
      <c r="AB55" s="4579" t="s">
        <v>5392</v>
      </c>
      <c r="AC55" s="4580" t="s">
        <v>5393</v>
      </c>
      <c r="AD55" s="4579" t="s">
        <v>5394</v>
      </c>
      <c r="AE55" s="4580" t="s">
        <v>5395</v>
      </c>
      <c r="AF55" s="4579" t="s">
        <v>5396</v>
      </c>
      <c r="AG55" s="4580" t="s">
        <v>5397</v>
      </c>
      <c r="AH55" s="4579" t="s">
        <v>5398</v>
      </c>
      <c r="AI55" s="4580" t="s">
        <v>5399</v>
      </c>
      <c r="AJ55" s="4579" t="s">
        <v>5400</v>
      </c>
      <c r="AK55" s="4580" t="s">
        <v>5401</v>
      </c>
      <c r="AL55" s="4579" t="s">
        <v>5402</v>
      </c>
      <c r="AM55" s="4580" t="s">
        <v>5403</v>
      </c>
      <c r="AN55" s="4579" t="s">
        <v>5404</v>
      </c>
      <c r="AO55" s="4580" t="s">
        <v>5405</v>
      </c>
      <c r="AP55" s="4579" t="s">
        <v>5406</v>
      </c>
      <c r="AQ55" s="4584" t="s">
        <v>5407</v>
      </c>
      <c r="AR55" s="4585" t="s">
        <v>5408</v>
      </c>
      <c r="AS55" s="4585" t="s">
        <v>5409</v>
      </c>
      <c r="AT55" s="4632" t="s">
        <v>5410</v>
      </c>
      <c r="AU55" s="4632" t="s">
        <v>5411</v>
      </c>
      <c r="AV55" s="4632" t="s">
        <v>5412</v>
      </c>
      <c r="AW55" s="4632" t="s">
        <v>5413</v>
      </c>
      <c r="AX55" s="4632" t="s">
        <v>5414</v>
      </c>
      <c r="AY55" s="4632" t="s">
        <v>5415</v>
      </c>
      <c r="AZ55" s="1496" t="e">
        <f t="shared" si="24"/>
        <v>#VALUE!</v>
      </c>
      <c r="BL55" s="1430"/>
      <c r="BM55" s="1430"/>
      <c r="BN55" s="1430"/>
      <c r="BO55" s="1438"/>
      <c r="BP55" s="1438"/>
      <c r="BQ55" s="1438"/>
      <c r="BY55" s="165"/>
      <c r="CB55" s="1435" t="e">
        <f>IF(DB55=1,"* Las consultas de 60 años NO DEBEN ser mayor que el total de Consultas entre 60-64 Años. ","")</f>
        <v>#VALUE!</v>
      </c>
      <c r="CC55" s="1435" t="str">
        <f>IF(DC55=1,"* Las actividades de usuarios en situación de discapacidad NO DEBEN superar el total. ","")</f>
        <v xml:space="preserve">* Las actividades de usuarios en situación de discapacidad NO DEBEN superar el total. </v>
      </c>
      <c r="CD55" s="1435" t="e">
        <f>IF(DD55=1,"* Las consultas de 12 años NO DEBEN ser mayor que el total de Consultas entre 10-14 Años. ","")</f>
        <v>#VALUE!</v>
      </c>
      <c r="CE55" s="1435" t="str">
        <f>IF(DE55=1,"* Las consultas de Pacientes en control PSCV NO DEBEN ser mayor que el total de Consultas. ","")</f>
        <v xml:space="preserve">* Las consultas de Pacientes en control PSCV NO DEBEN ser mayor que el total de Consultas. </v>
      </c>
      <c r="CF55" s="1435" t="str">
        <f>IF(AND(AS55="",E55&lt;&gt;0),"* Recuerde que las Embarazadas deben ser incluídas en el ingreso por rango Etario (Digite CEROS si no tiene). ",IF(G55&lt;AS55,"* Las Embarazadas NO DEBEN ser mayor al total de mujeres. ",""))</f>
        <v xml:space="preserve">* Las Embarazadas NO DEBEN ser mayor al total de mujeres. </v>
      </c>
      <c r="CG55" s="1435" t="str">
        <f>IF(AND(AV55="",E55&lt;&gt;0),"* No olvide digitar la población SENAME (Digite CEROS si no tiene). ",IF(E55&lt;AV55,"* La Población SENAME NO DEBE ser mayor al Total. ",""))</f>
        <v xml:space="preserve">* La Población SENAME NO DEBE ser mayor al Total. </v>
      </c>
      <c r="CH55" s="1435" t="str">
        <f t="shared" si="36"/>
        <v xml:space="preserve">* La Población Mejor Niñez NO DEBE ser mayor al Total. </v>
      </c>
      <c r="CI55" s="1435" t="str">
        <f t="shared" si="27"/>
        <v xml:space="preserve">* La Población Migrante NO DEBE ser mayor al Total. </v>
      </c>
      <c r="DB55" s="1436" t="e">
        <f>IF(AT55&gt;(AL55+AM55),1,0)</f>
        <v>#VALUE!</v>
      </c>
      <c r="DC55" s="1436">
        <f>IF(E55&lt;AU55,1,0)</f>
        <v>1</v>
      </c>
      <c r="DD55" s="1436" t="e">
        <f>IF((Z55+AA55)&lt;AR55,1,0)</f>
        <v>#VALUE!</v>
      </c>
      <c r="DE55" s="1436">
        <f>IF(E55&lt;AY55,1,0)</f>
        <v>1</v>
      </c>
      <c r="DF55" s="1436">
        <f>IF(AND(AS55="",E55&lt;&gt;0),1,IF(G55&lt;AS55,1,0))</f>
        <v>1</v>
      </c>
      <c r="DG55" s="1436">
        <f>IF(AND(AV55="",E55&lt;&gt;0),1,IF(E55&lt;AV55,1,0))</f>
        <v>1</v>
      </c>
      <c r="DH55" s="1436">
        <f>IF(AND(AX55="",E55&lt;&gt;0),1,IF(E55&lt;AX55,1,0))</f>
        <v>1</v>
      </c>
      <c r="DI55" s="1436">
        <f t="shared" si="29"/>
        <v>1</v>
      </c>
    </row>
    <row r="56" spans="1:113" ht="16.350000000000001" customHeight="1" x14ac:dyDescent="0.25">
      <c r="A56" s="7520" t="s">
        <v>5133</v>
      </c>
      <c r="B56" s="9792"/>
      <c r="C56" s="9793"/>
      <c r="D56" s="4618" t="s">
        <v>2125</v>
      </c>
      <c r="E56" s="4588" t="s">
        <v>5369</v>
      </c>
      <c r="F56" s="4633" t="s">
        <v>5370</v>
      </c>
      <c r="G56" s="1852" t="s">
        <v>5371</v>
      </c>
      <c r="H56" s="4591" t="s">
        <v>5372</v>
      </c>
      <c r="I56" s="3547" t="s">
        <v>5373</v>
      </c>
      <c r="J56" s="4591" t="s">
        <v>5374</v>
      </c>
      <c r="K56" s="3547" t="s">
        <v>5375</v>
      </c>
      <c r="L56" s="4591" t="s">
        <v>5376</v>
      </c>
      <c r="M56" s="3547" t="s">
        <v>5377</v>
      </c>
      <c r="N56" s="4591" t="s">
        <v>5378</v>
      </c>
      <c r="O56" s="3547" t="s">
        <v>5379</v>
      </c>
      <c r="P56" s="4591" t="s">
        <v>5380</v>
      </c>
      <c r="Q56" s="3547" t="s">
        <v>5381</v>
      </c>
      <c r="R56" s="4591" t="s">
        <v>5382</v>
      </c>
      <c r="S56" s="3547" t="s">
        <v>5383</v>
      </c>
      <c r="T56" s="4591" t="s">
        <v>5384</v>
      </c>
      <c r="U56" s="3547" t="s">
        <v>5385</v>
      </c>
      <c r="V56" s="4591" t="s">
        <v>5386</v>
      </c>
      <c r="W56" s="3547" t="s">
        <v>5387</v>
      </c>
      <c r="X56" s="4591" t="s">
        <v>5388</v>
      </c>
      <c r="Y56" s="3547" t="s">
        <v>5389</v>
      </c>
      <c r="Z56" s="4591" t="s">
        <v>5390</v>
      </c>
      <c r="AA56" s="3547" t="s">
        <v>5391</v>
      </c>
      <c r="AB56" s="4591" t="s">
        <v>5392</v>
      </c>
      <c r="AC56" s="3547" t="s">
        <v>5393</v>
      </c>
      <c r="AD56" s="4591" t="s">
        <v>5394</v>
      </c>
      <c r="AE56" s="3547" t="s">
        <v>5395</v>
      </c>
      <c r="AF56" s="4591" t="s">
        <v>5396</v>
      </c>
      <c r="AG56" s="3547" t="s">
        <v>5397</v>
      </c>
      <c r="AH56" s="4591" t="s">
        <v>5398</v>
      </c>
      <c r="AI56" s="3547" t="s">
        <v>5399</v>
      </c>
      <c r="AJ56" s="4591" t="s">
        <v>5400</v>
      </c>
      <c r="AK56" s="3547" t="s">
        <v>5401</v>
      </c>
      <c r="AL56" s="4591" t="s">
        <v>5402</v>
      </c>
      <c r="AM56" s="3547" t="s">
        <v>5403</v>
      </c>
      <c r="AN56" s="4591" t="s">
        <v>5404</v>
      </c>
      <c r="AO56" s="3547" t="s">
        <v>5405</v>
      </c>
      <c r="AP56" s="4591" t="s">
        <v>5406</v>
      </c>
      <c r="AQ56" s="4593" t="s">
        <v>5407</v>
      </c>
      <c r="AR56" s="4595" t="s">
        <v>5408</v>
      </c>
      <c r="AS56" s="4595" t="s">
        <v>5409</v>
      </c>
      <c r="AT56" s="4634" t="s">
        <v>5410</v>
      </c>
      <c r="AU56" s="4634" t="s">
        <v>5411</v>
      </c>
      <c r="AV56" s="4634" t="s">
        <v>5412</v>
      </c>
      <c r="AW56" s="4634" t="s">
        <v>5413</v>
      </c>
      <c r="AX56" s="4634" t="s">
        <v>5414</v>
      </c>
      <c r="AY56" s="4634" t="s">
        <v>5415</v>
      </c>
      <c r="AZ56" s="1496" t="e">
        <f t="shared" si="24"/>
        <v>#VALUE!</v>
      </c>
      <c r="BL56" s="1430"/>
      <c r="BM56" s="1430"/>
      <c r="BN56" s="1430"/>
      <c r="BO56" s="1438"/>
      <c r="BP56" s="1438"/>
      <c r="BQ56" s="1438"/>
      <c r="BY56" s="165"/>
      <c r="CB56" s="1435" t="e">
        <f>IF(DB56=1,"* Las consultas de 60 años NO DEBEN ser mayor que el total de Consultas entre 60-64 Años. ","")</f>
        <v>#VALUE!</v>
      </c>
      <c r="CC56" s="1435" t="str">
        <f>IF(DC56=1,"* Las actividades de usuarios en situación de discapacidad NO DEBEN superar el total. ","")</f>
        <v xml:space="preserve">* Las actividades de usuarios en situación de discapacidad NO DEBEN superar el total. </v>
      </c>
      <c r="CD56" s="1435" t="e">
        <f>IF(DD56=1,"* Las consultas de 12 años NO DEBEN ser mayor que el total de Consultas entre 10-14 Años. ","")</f>
        <v>#VALUE!</v>
      </c>
      <c r="CE56" s="1435" t="str">
        <f>IF(DE56=1,"* Las consultas de Pacientes en control PSCV NO DEBEN ser mayor que el total de Consultas. ","")</f>
        <v xml:space="preserve">* Las consultas de Pacientes en control PSCV NO DEBEN ser mayor que el total de Consultas. </v>
      </c>
      <c r="CF56" s="1435" t="str">
        <f>IF(AND(AS56="",E56&lt;&gt;0),"* Recuerde que las Embarazadas deben ser incluídas en el ingreso por rango Etario (Digite CEROS si no tiene). ",IF(G56&lt;AS56,"* Las Embarazadas NO DEBEN ser mayor al total de mujeres. ",""))</f>
        <v xml:space="preserve">* Las Embarazadas NO DEBEN ser mayor al total de mujeres. </v>
      </c>
      <c r="CG56" s="1435" t="str">
        <f>IF(AND(AV56="",E56&lt;&gt;0),"* No olvide digitar la población SENAME (Digite CEROS si no tiene). ",IF(E56&lt;AV56,"* La Población SENAME NO DEBE ser mayor al Total. ",""))</f>
        <v xml:space="preserve">* La Población SENAME NO DEBE ser mayor al Total. </v>
      </c>
      <c r="CH56" s="1435" t="str">
        <f t="shared" si="36"/>
        <v xml:space="preserve">* La Población Mejor Niñez NO DEBE ser mayor al Total. </v>
      </c>
      <c r="CI56" s="1435" t="str">
        <f t="shared" si="27"/>
        <v xml:space="preserve">* La Población Migrante NO DEBE ser mayor al Total. </v>
      </c>
      <c r="DB56" s="1436" t="e">
        <f>IF(AT56&gt;(AL56+AM56),1,0)</f>
        <v>#VALUE!</v>
      </c>
      <c r="DC56" s="1436">
        <f>IF(E56&lt;AU56,1,0)</f>
        <v>1</v>
      </c>
      <c r="DD56" s="1436" t="e">
        <f>IF((Z56+AA56)&lt;AR56,1,0)</f>
        <v>#VALUE!</v>
      </c>
      <c r="DE56" s="1436">
        <f>IF(E56&lt;AY56,1,0)</f>
        <v>1</v>
      </c>
      <c r="DF56" s="1436">
        <f>IF(AND(AS56="",E56&lt;&gt;0),1,IF(G56&lt;AS56,1,0))</f>
        <v>1</v>
      </c>
      <c r="DG56" s="1436">
        <f>IF(AND(AV56="",E56&lt;&gt;0),1,IF(E56&lt;AV56,1,0))</f>
        <v>1</v>
      </c>
      <c r="DH56" s="1436">
        <f>IF(AND(AX56="",E56&lt;&gt;0),1,IF(E56&lt;AX56,1,0))</f>
        <v>1</v>
      </c>
      <c r="DI56" s="1436">
        <f t="shared" si="29"/>
        <v>1</v>
      </c>
    </row>
    <row r="57" spans="1:113" ht="16.350000000000001" customHeight="1" x14ac:dyDescent="0.25">
      <c r="A57" s="7520" t="s">
        <v>5134</v>
      </c>
      <c r="B57" s="9792"/>
      <c r="C57" s="9793"/>
      <c r="D57" s="4618" t="s">
        <v>2126</v>
      </c>
      <c r="E57" s="4588" t="s">
        <v>5369</v>
      </c>
      <c r="F57" s="4633" t="s">
        <v>5370</v>
      </c>
      <c r="G57" s="1852" t="s">
        <v>5371</v>
      </c>
      <c r="H57" s="4591" t="s">
        <v>5372</v>
      </c>
      <c r="I57" s="3547" t="s">
        <v>5373</v>
      </c>
      <c r="J57" s="4591" t="s">
        <v>5374</v>
      </c>
      <c r="K57" s="3547" t="s">
        <v>5375</v>
      </c>
      <c r="L57" s="4591" t="s">
        <v>5376</v>
      </c>
      <c r="M57" s="3547" t="s">
        <v>5377</v>
      </c>
      <c r="N57" s="4591" t="s">
        <v>5378</v>
      </c>
      <c r="O57" s="3547" t="s">
        <v>5379</v>
      </c>
      <c r="P57" s="4591" t="s">
        <v>5380</v>
      </c>
      <c r="Q57" s="3547" t="s">
        <v>5381</v>
      </c>
      <c r="R57" s="4591" t="s">
        <v>5382</v>
      </c>
      <c r="S57" s="3547" t="s">
        <v>5383</v>
      </c>
      <c r="T57" s="4591" t="s">
        <v>5384</v>
      </c>
      <c r="U57" s="3547" t="s">
        <v>5385</v>
      </c>
      <c r="V57" s="4591" t="s">
        <v>5386</v>
      </c>
      <c r="W57" s="3547" t="s">
        <v>5387</v>
      </c>
      <c r="X57" s="4591" t="s">
        <v>5388</v>
      </c>
      <c r="Y57" s="3547" t="s">
        <v>5389</v>
      </c>
      <c r="Z57" s="4591" t="s">
        <v>5390</v>
      </c>
      <c r="AA57" s="3547" t="s">
        <v>5391</v>
      </c>
      <c r="AB57" s="4591" t="s">
        <v>5392</v>
      </c>
      <c r="AC57" s="3547" t="s">
        <v>5393</v>
      </c>
      <c r="AD57" s="4591" t="s">
        <v>5394</v>
      </c>
      <c r="AE57" s="3547" t="s">
        <v>5395</v>
      </c>
      <c r="AF57" s="4591" t="s">
        <v>5396</v>
      </c>
      <c r="AG57" s="3547" t="s">
        <v>5397</v>
      </c>
      <c r="AH57" s="4591" t="s">
        <v>5398</v>
      </c>
      <c r="AI57" s="3547" t="s">
        <v>5399</v>
      </c>
      <c r="AJ57" s="4591" t="s">
        <v>5400</v>
      </c>
      <c r="AK57" s="3547" t="s">
        <v>5401</v>
      </c>
      <c r="AL57" s="4591" t="s">
        <v>5402</v>
      </c>
      <c r="AM57" s="3547" t="s">
        <v>5403</v>
      </c>
      <c r="AN57" s="4591" t="s">
        <v>5404</v>
      </c>
      <c r="AO57" s="3547" t="s">
        <v>5405</v>
      </c>
      <c r="AP57" s="4591" t="s">
        <v>5406</v>
      </c>
      <c r="AQ57" s="4593" t="s">
        <v>5407</v>
      </c>
      <c r="AR57" s="4595" t="s">
        <v>5408</v>
      </c>
      <c r="AS57" s="4595" t="s">
        <v>5409</v>
      </c>
      <c r="AT57" s="4634" t="s">
        <v>5410</v>
      </c>
      <c r="AU57" s="4634" t="s">
        <v>5411</v>
      </c>
      <c r="AV57" s="4634" t="s">
        <v>5412</v>
      </c>
      <c r="AW57" s="4634" t="s">
        <v>5413</v>
      </c>
      <c r="AX57" s="4634" t="s">
        <v>5414</v>
      </c>
      <c r="AY57" s="4634" t="s">
        <v>5415</v>
      </c>
      <c r="AZ57" s="1496" t="e">
        <f t="shared" si="24"/>
        <v>#VALUE!</v>
      </c>
      <c r="BL57" s="1430"/>
      <c r="BM57" s="1430"/>
      <c r="BN57" s="1430"/>
      <c r="BO57" s="1438"/>
      <c r="BP57" s="1438"/>
      <c r="BQ57" s="1438"/>
      <c r="BY57" s="165"/>
      <c r="CB57" s="1435" t="e">
        <f>IF(DB57=1,"* Las consultas de 60 años NO DEBEN ser mayor que el total de Consultas entre 60-64 Años. ","")</f>
        <v>#VALUE!</v>
      </c>
      <c r="CC57" s="1435" t="str">
        <f>IF(DC57=1,"* Las actividades de usuarios en situación de discapacidad NO DEBEN superar el total. ","")</f>
        <v xml:space="preserve">* Las actividades de usuarios en situación de discapacidad NO DEBEN superar el total. </v>
      </c>
      <c r="CD57" s="1435" t="e">
        <f>IF(DD57=1,"* Las consultas de 12 años NO DEBEN ser mayor que el total de Consultas entre 10-14 Años. ","")</f>
        <v>#VALUE!</v>
      </c>
      <c r="CE57" s="1435" t="str">
        <f>IF(DE57=1,"* Las consultas de Pacientes en control PSCV NO DEBEN ser mayor que el total de Consultas. ","")</f>
        <v xml:space="preserve">* Las consultas de Pacientes en control PSCV NO DEBEN ser mayor que el total de Consultas. </v>
      </c>
      <c r="CF57" s="1435" t="str">
        <f>IF(AND(AS57="",E57&lt;&gt;0),"* Recuerde que las Embarazadas deben ser incluídas en el ingreso por rango Etario (Digite CEROS si no tiene). ",IF(G57&lt;AS57,"* Las Embarazadas NO DEBEN ser mayor al total de mujeres. ",""))</f>
        <v xml:space="preserve">* Las Embarazadas NO DEBEN ser mayor al total de mujeres. </v>
      </c>
      <c r="CG57" s="1435" t="str">
        <f>IF(AND(AV57="",E57&lt;&gt;0),"* No olvide digitar la población SENAME (Digite CEROS si no tiene). ",IF(E57&lt;AV57,"* La Población SENAME NO DEBE ser mayor al Total. ",""))</f>
        <v xml:space="preserve">* La Población SENAME NO DEBE ser mayor al Total. </v>
      </c>
      <c r="CH57" s="1435" t="str">
        <f t="shared" si="36"/>
        <v xml:space="preserve">* La Población Mejor Niñez NO DEBE ser mayor al Total. </v>
      </c>
      <c r="CI57" s="1435" t="str">
        <f t="shared" si="27"/>
        <v xml:space="preserve">* La Población Migrante NO DEBE ser mayor al Total. </v>
      </c>
      <c r="DB57" s="1436" t="e">
        <f>IF(AT57&gt;(AL57+AM57),1,0)</f>
        <v>#VALUE!</v>
      </c>
      <c r="DC57" s="1436">
        <f>IF(E57&lt;AU57,1,0)</f>
        <v>1</v>
      </c>
      <c r="DD57" s="1436" t="e">
        <f>IF((Z57+AA57)&lt;AR57,1,0)</f>
        <v>#VALUE!</v>
      </c>
      <c r="DE57" s="1436">
        <f>IF(E57&lt;AY57,1,0)</f>
        <v>1</v>
      </c>
      <c r="DF57" s="1436">
        <f>IF(AND(AS57="",E57&lt;&gt;0),1,IF(G57&lt;AS57,1,0))</f>
        <v>1</v>
      </c>
      <c r="DG57" s="1436">
        <f>IF(AND(AV57="",E57&lt;&gt;0),1,IF(E57&lt;AV57,1,0))</f>
        <v>1</v>
      </c>
      <c r="DH57" s="1436">
        <f>IF(AND(AX57="",E57&lt;&gt;0),1,IF(E57&lt;AX57,1,0))</f>
        <v>1</v>
      </c>
      <c r="DI57" s="1436">
        <f t="shared" si="29"/>
        <v>1</v>
      </c>
    </row>
    <row r="58" spans="1:113" ht="16.350000000000001" customHeight="1" x14ac:dyDescent="0.25">
      <c r="A58" s="7520" t="s">
        <v>5135</v>
      </c>
      <c r="B58" s="9792"/>
      <c r="C58" s="9793"/>
      <c r="D58" s="4618" t="s">
        <v>2127</v>
      </c>
      <c r="E58" s="4588" t="s">
        <v>5369</v>
      </c>
      <c r="F58" s="4633" t="s">
        <v>5370</v>
      </c>
      <c r="G58" s="1852" t="s">
        <v>5371</v>
      </c>
      <c r="H58" s="4591" t="s">
        <v>5372</v>
      </c>
      <c r="I58" s="3547" t="s">
        <v>5373</v>
      </c>
      <c r="J58" s="4591" t="s">
        <v>5374</v>
      </c>
      <c r="K58" s="3547" t="s">
        <v>5375</v>
      </c>
      <c r="L58" s="4591" t="s">
        <v>5376</v>
      </c>
      <c r="M58" s="3547" t="s">
        <v>5377</v>
      </c>
      <c r="N58" s="4591" t="s">
        <v>5378</v>
      </c>
      <c r="O58" s="3547" t="s">
        <v>5379</v>
      </c>
      <c r="P58" s="4591" t="s">
        <v>5380</v>
      </c>
      <c r="Q58" s="3547" t="s">
        <v>5381</v>
      </c>
      <c r="R58" s="4591" t="s">
        <v>5382</v>
      </c>
      <c r="S58" s="3547" t="s">
        <v>5383</v>
      </c>
      <c r="T58" s="4591" t="s">
        <v>5384</v>
      </c>
      <c r="U58" s="3547" t="s">
        <v>5385</v>
      </c>
      <c r="V58" s="4591" t="s">
        <v>5386</v>
      </c>
      <c r="W58" s="3547" t="s">
        <v>5387</v>
      </c>
      <c r="X58" s="4591" t="s">
        <v>5388</v>
      </c>
      <c r="Y58" s="3547" t="s">
        <v>5389</v>
      </c>
      <c r="Z58" s="4591" t="s">
        <v>5390</v>
      </c>
      <c r="AA58" s="3547" t="s">
        <v>5391</v>
      </c>
      <c r="AB58" s="4591" t="s">
        <v>5392</v>
      </c>
      <c r="AC58" s="3547" t="s">
        <v>5393</v>
      </c>
      <c r="AD58" s="4591" t="s">
        <v>5394</v>
      </c>
      <c r="AE58" s="3547" t="s">
        <v>5395</v>
      </c>
      <c r="AF58" s="4591" t="s">
        <v>5396</v>
      </c>
      <c r="AG58" s="3547" t="s">
        <v>5397</v>
      </c>
      <c r="AH58" s="4591" t="s">
        <v>5398</v>
      </c>
      <c r="AI58" s="3547" t="s">
        <v>5399</v>
      </c>
      <c r="AJ58" s="4591" t="s">
        <v>5400</v>
      </c>
      <c r="AK58" s="3547" t="s">
        <v>5401</v>
      </c>
      <c r="AL58" s="4591" t="s">
        <v>5402</v>
      </c>
      <c r="AM58" s="3547" t="s">
        <v>5403</v>
      </c>
      <c r="AN58" s="4591" t="s">
        <v>5404</v>
      </c>
      <c r="AO58" s="3547" t="s">
        <v>5405</v>
      </c>
      <c r="AP58" s="4591" t="s">
        <v>5406</v>
      </c>
      <c r="AQ58" s="4593" t="s">
        <v>5407</v>
      </c>
      <c r="AR58" s="4595" t="s">
        <v>5408</v>
      </c>
      <c r="AS58" s="4595" t="s">
        <v>5409</v>
      </c>
      <c r="AT58" s="4634" t="s">
        <v>5410</v>
      </c>
      <c r="AU58" s="4634" t="s">
        <v>5411</v>
      </c>
      <c r="AV58" s="4634" t="s">
        <v>5412</v>
      </c>
      <c r="AW58" s="4634" t="s">
        <v>5413</v>
      </c>
      <c r="AX58" s="4634" t="s">
        <v>5414</v>
      </c>
      <c r="AY58" s="4634" t="s">
        <v>5415</v>
      </c>
      <c r="AZ58" s="1496" t="e">
        <f t="shared" si="24"/>
        <v>#VALUE!</v>
      </c>
      <c r="BL58" s="1430"/>
      <c r="BM58" s="1430"/>
      <c r="BN58" s="1430"/>
      <c r="BO58" s="1438"/>
      <c r="BP58" s="1438"/>
      <c r="BQ58" s="1438"/>
      <c r="BY58" s="165"/>
      <c r="CB58" s="1435" t="e">
        <f>IF(DB58=1,"* Las consultas de 60 años NO DEBEN ser mayor que el total de Consultas entre 60-64 Años. ","")</f>
        <v>#VALUE!</v>
      </c>
      <c r="CC58" s="1435" t="str">
        <f>IF(DC58=1,"* Las actividades de usuarios en situación de discapacidad NO DEBEN superar el total. ","")</f>
        <v xml:space="preserve">* Las actividades de usuarios en situación de discapacidad NO DEBEN superar el total. </v>
      </c>
      <c r="CD58" s="1435" t="e">
        <f>IF(DD58=1,"* Las consultas de 12 años NO DEBEN ser mayor que el total de Consultas entre 10-14 Años. ","")</f>
        <v>#VALUE!</v>
      </c>
      <c r="CE58" s="1435" t="str">
        <f>IF(DE58=1,"* Las consultas de Pacientes en control PSCV NO DEBEN ser mayor que el total de Consultas. ","")</f>
        <v xml:space="preserve">* Las consultas de Pacientes en control PSCV NO DEBEN ser mayor que el total de Consultas. </v>
      </c>
      <c r="CF58" s="1435" t="str">
        <f>IF(AND(AS58="",E58&lt;&gt;0),"* Recuerde que las Embarazadas deben ser incluídas en el ingreso por rango Etario (Digite CEROS si no tiene). ",IF(G58&lt;AS58,"* Las Embarazadas NO DEBEN ser mayor al total de mujeres. ",""))</f>
        <v xml:space="preserve">* Las Embarazadas NO DEBEN ser mayor al total de mujeres. </v>
      </c>
      <c r="CG58" s="1435" t="str">
        <f>IF(AND(AV58="",E58&lt;&gt;0),"* No olvide digitar la población SENAME (Digite CEROS si no tiene). ",IF(E58&lt;AV58,"* La Población SENAME NO DEBE ser mayor al Total. ",""))</f>
        <v xml:space="preserve">* La Población SENAME NO DEBE ser mayor al Total. </v>
      </c>
      <c r="CH58" s="1435" t="str">
        <f t="shared" si="36"/>
        <v xml:space="preserve">* La Población Mejor Niñez NO DEBE ser mayor al Total. </v>
      </c>
      <c r="CI58" s="1435" t="str">
        <f t="shared" si="27"/>
        <v xml:space="preserve">* La Población Migrante NO DEBE ser mayor al Total. </v>
      </c>
      <c r="DB58" s="1436" t="e">
        <f>IF(AT58&gt;(AL58+AM58),1,0)</f>
        <v>#VALUE!</v>
      </c>
      <c r="DC58" s="1436">
        <f>IF(E58&lt;AU58,1,0)</f>
        <v>1</v>
      </c>
      <c r="DD58" s="1436" t="e">
        <f>IF((Z58+AA58)&lt;AR58,1,0)</f>
        <v>#VALUE!</v>
      </c>
      <c r="DE58" s="1436">
        <f>IF(E58&lt;AY58,1,0)</f>
        <v>1</v>
      </c>
      <c r="DF58" s="1436">
        <f>IF(AND(AS58="",E58&lt;&gt;0),1,IF(G58&lt;AS58,1,0))</f>
        <v>1</v>
      </c>
      <c r="DG58" s="1436">
        <f>IF(AND(AV58="",E58&lt;&gt;0),1,IF(E58&lt;AV58,1,0))</f>
        <v>1</v>
      </c>
      <c r="DH58" s="1436">
        <f>IF(AND(AX58="",E58&lt;&gt;0),1,IF(E58&lt;AX58,1,0))</f>
        <v>1</v>
      </c>
      <c r="DI58" s="1436">
        <f t="shared" si="29"/>
        <v>1</v>
      </c>
    </row>
    <row r="59" spans="1:113" ht="16.350000000000001" customHeight="1" x14ac:dyDescent="0.25">
      <c r="A59" s="7520" t="s">
        <v>5136</v>
      </c>
      <c r="B59" s="9794"/>
      <c r="C59" s="9795"/>
      <c r="D59" s="4521" t="s">
        <v>2128</v>
      </c>
      <c r="E59" s="4624" t="s">
        <v>5369</v>
      </c>
      <c r="F59" s="4625" t="s">
        <v>5370</v>
      </c>
      <c r="G59" s="3556" t="s">
        <v>5371</v>
      </c>
      <c r="H59" s="4601" t="s">
        <v>5372</v>
      </c>
      <c r="I59" s="3166" t="s">
        <v>5373</v>
      </c>
      <c r="J59" s="4601" t="s">
        <v>5374</v>
      </c>
      <c r="K59" s="3166" t="s">
        <v>5375</v>
      </c>
      <c r="L59" s="4601" t="s">
        <v>5376</v>
      </c>
      <c r="M59" s="3166" t="s">
        <v>5377</v>
      </c>
      <c r="N59" s="4601" t="s">
        <v>5378</v>
      </c>
      <c r="O59" s="3166" t="s">
        <v>5379</v>
      </c>
      <c r="P59" s="4601" t="s">
        <v>5380</v>
      </c>
      <c r="Q59" s="3166" t="s">
        <v>5381</v>
      </c>
      <c r="R59" s="4601" t="s">
        <v>5382</v>
      </c>
      <c r="S59" s="3166" t="s">
        <v>5383</v>
      </c>
      <c r="T59" s="4601" t="s">
        <v>5384</v>
      </c>
      <c r="U59" s="3166" t="s">
        <v>5385</v>
      </c>
      <c r="V59" s="4601" t="s">
        <v>5386</v>
      </c>
      <c r="W59" s="3166" t="s">
        <v>5387</v>
      </c>
      <c r="X59" s="4601" t="s">
        <v>5388</v>
      </c>
      <c r="Y59" s="3166" t="s">
        <v>5389</v>
      </c>
      <c r="Z59" s="4601" t="s">
        <v>5390</v>
      </c>
      <c r="AA59" s="3166" t="s">
        <v>5391</v>
      </c>
      <c r="AB59" s="4601" t="s">
        <v>5392</v>
      </c>
      <c r="AC59" s="3166" t="s">
        <v>5393</v>
      </c>
      <c r="AD59" s="4601" t="s">
        <v>5394</v>
      </c>
      <c r="AE59" s="3166" t="s">
        <v>5395</v>
      </c>
      <c r="AF59" s="4601" t="s">
        <v>5396</v>
      </c>
      <c r="AG59" s="3166" t="s">
        <v>5397</v>
      </c>
      <c r="AH59" s="4601" t="s">
        <v>5398</v>
      </c>
      <c r="AI59" s="3166" t="s">
        <v>5399</v>
      </c>
      <c r="AJ59" s="4601" t="s">
        <v>5400</v>
      </c>
      <c r="AK59" s="3166" t="s">
        <v>5401</v>
      </c>
      <c r="AL59" s="4601" t="s">
        <v>5402</v>
      </c>
      <c r="AM59" s="3166" t="s">
        <v>5403</v>
      </c>
      <c r="AN59" s="4601" t="s">
        <v>5404</v>
      </c>
      <c r="AO59" s="3166" t="s">
        <v>5405</v>
      </c>
      <c r="AP59" s="4601" t="s">
        <v>5406</v>
      </c>
      <c r="AQ59" s="4602" t="s">
        <v>5407</v>
      </c>
      <c r="AR59" s="4603" t="s">
        <v>5408</v>
      </c>
      <c r="AS59" s="4603" t="s">
        <v>5409</v>
      </c>
      <c r="AT59" s="4635" t="s">
        <v>5410</v>
      </c>
      <c r="AU59" s="4635" t="s">
        <v>5411</v>
      </c>
      <c r="AV59" s="4635" t="s">
        <v>5412</v>
      </c>
      <c r="AW59" s="4635" t="s">
        <v>5413</v>
      </c>
      <c r="AX59" s="4635" t="s">
        <v>5414</v>
      </c>
      <c r="AY59" s="4635" t="s">
        <v>5415</v>
      </c>
      <c r="AZ59" s="1496" t="e">
        <f t="shared" si="24"/>
        <v>#VALUE!</v>
      </c>
      <c r="BL59" s="1430"/>
      <c r="BM59" s="1430"/>
      <c r="BN59" s="1430"/>
      <c r="BO59" s="1438"/>
      <c r="BP59" s="1438"/>
      <c r="BQ59" s="1438"/>
      <c r="BY59" s="165"/>
      <c r="CB59" s="1435" t="e">
        <f>IF(DB59=1,"* Las consultas de 60 años NO DEBEN ser mayor que el total de Consultas entre 60-64 Años. ","")</f>
        <v>#VALUE!</v>
      </c>
      <c r="CC59" s="1435" t="str">
        <f>IF(DC59=1,"* Las actividades de usuarios en situación de discapacidad NO DEBEN superar el total. ","")</f>
        <v xml:space="preserve">* Las actividades de usuarios en situación de discapacidad NO DEBEN superar el total. </v>
      </c>
      <c r="CD59" s="1435" t="e">
        <f>IF(DD59=1,"* Las consultas de 12 años NO DEBEN ser mayor que el total de Consultas entre 10-14 Años. ","")</f>
        <v>#VALUE!</v>
      </c>
      <c r="CE59" s="1435" t="str">
        <f>IF(DE59=1,"* Las consultas de Pacientes en control PSCV NO DEBEN ser mayor que el total de Consultas. ","")</f>
        <v xml:space="preserve">* Las consultas de Pacientes en control PSCV NO DEBEN ser mayor que el total de Consultas. </v>
      </c>
      <c r="CF59" s="1435" t="str">
        <f>IF(AND(AS59="",E59&lt;&gt;0),"* Recuerde que las Embarazadas deben ser incluídas en el ingreso por rango Etario (Digite CEROS si no tiene). ",IF(G59&lt;AS59,"* Las Embarazadas NO DEBEN ser mayor al total de mujeres. ",""))</f>
        <v xml:space="preserve">* Las Embarazadas NO DEBEN ser mayor al total de mujeres. </v>
      </c>
      <c r="CG59" s="1435" t="str">
        <f>IF(AND(AV59="",E59&lt;&gt;0),"* No olvide digitar la población SENAME (Digite CEROS si no tiene). ",IF(E59&lt;AV59,"* La Población SENAME NO DEBE ser mayor al Total. ",""))</f>
        <v xml:space="preserve">* La Población SENAME NO DEBE ser mayor al Total. </v>
      </c>
      <c r="CH59" s="1435" t="str">
        <f t="shared" si="36"/>
        <v xml:space="preserve">* La Población Mejor Niñez NO DEBE ser mayor al Total. </v>
      </c>
      <c r="CI59" s="1435" t="str">
        <f t="shared" si="27"/>
        <v xml:space="preserve">* La Población Migrante NO DEBE ser mayor al Total. </v>
      </c>
      <c r="DB59" s="1436" t="e">
        <f>IF(AT59&gt;(AL59+AM59),1,0)</f>
        <v>#VALUE!</v>
      </c>
      <c r="DC59" s="1436">
        <f>IF(E59&lt;AU59,1,0)</f>
        <v>1</v>
      </c>
      <c r="DD59" s="1436" t="e">
        <f>IF((Z59+AA59)&lt;AR59,1,0)</f>
        <v>#VALUE!</v>
      </c>
      <c r="DE59" s="1436">
        <f>IF(E59&lt;AY59,1,0)</f>
        <v>1</v>
      </c>
      <c r="DF59" s="1436">
        <f>IF(AND(AS59="",E59&lt;&gt;0),1,IF(G59&lt;AS59,1,0))</f>
        <v>1</v>
      </c>
      <c r="DG59" s="1436">
        <f>IF(AND(AV59="",E59&lt;&gt;0),1,IF(E59&lt;AV59,1,0))</f>
        <v>1</v>
      </c>
      <c r="DH59" s="1436">
        <f>IF(AND(AX59="",E59&lt;&gt;0),1,IF(E59&lt;AX59,1,0))</f>
        <v>1</v>
      </c>
      <c r="DI59" s="1436">
        <f t="shared" si="29"/>
        <v>1</v>
      </c>
    </row>
    <row r="60" spans="1:113" ht="16.350000000000001" customHeight="1" x14ac:dyDescent="0.25">
      <c r="A60" s="7267"/>
      <c r="B60" s="9807" t="s">
        <v>24</v>
      </c>
      <c r="C60" s="9808"/>
      <c r="D60" s="9795"/>
      <c r="E60" s="4636">
        <v>0</v>
      </c>
      <c r="F60" s="4637">
        <v>0</v>
      </c>
      <c r="G60" s="4638">
        <v>0</v>
      </c>
      <c r="H60" s="4636">
        <v>0</v>
      </c>
      <c r="I60" s="4639">
        <v>0</v>
      </c>
      <c r="J60" s="4636">
        <v>0</v>
      </c>
      <c r="K60" s="4639">
        <v>0</v>
      </c>
      <c r="L60" s="4636">
        <v>0</v>
      </c>
      <c r="M60" s="4639">
        <v>0</v>
      </c>
      <c r="N60" s="4636">
        <v>0</v>
      </c>
      <c r="O60" s="4639">
        <v>0</v>
      </c>
      <c r="P60" s="4636">
        <v>0</v>
      </c>
      <c r="Q60" s="4639">
        <v>0</v>
      </c>
      <c r="R60" s="4636">
        <v>0</v>
      </c>
      <c r="S60" s="4639">
        <v>0</v>
      </c>
      <c r="T60" s="4636">
        <v>0</v>
      </c>
      <c r="U60" s="4638">
        <v>0</v>
      </c>
      <c r="V60" s="4636">
        <v>0</v>
      </c>
      <c r="W60" s="4639">
        <v>0</v>
      </c>
      <c r="X60" s="4636">
        <v>0</v>
      </c>
      <c r="Y60" s="4639">
        <v>0</v>
      </c>
      <c r="Z60" s="4636">
        <v>0</v>
      </c>
      <c r="AA60" s="4639">
        <v>0</v>
      </c>
      <c r="AB60" s="4636">
        <v>0</v>
      </c>
      <c r="AC60" s="4639">
        <v>0</v>
      </c>
      <c r="AD60" s="4636">
        <v>0</v>
      </c>
      <c r="AE60" s="4639">
        <v>0</v>
      </c>
      <c r="AF60" s="4636">
        <v>0</v>
      </c>
      <c r="AG60" s="4639">
        <v>0</v>
      </c>
      <c r="AH60" s="4636">
        <v>0</v>
      </c>
      <c r="AI60" s="4639">
        <v>0</v>
      </c>
      <c r="AJ60" s="4636">
        <v>0</v>
      </c>
      <c r="AK60" s="4639">
        <v>0</v>
      </c>
      <c r="AL60" s="4636">
        <v>0</v>
      </c>
      <c r="AM60" s="4639">
        <v>0</v>
      </c>
      <c r="AN60" s="4636">
        <v>0</v>
      </c>
      <c r="AO60" s="4639">
        <v>0</v>
      </c>
      <c r="AP60" s="4636">
        <v>0</v>
      </c>
      <c r="AQ60" s="4640">
        <v>0</v>
      </c>
      <c r="AR60" s="4639">
        <v>0</v>
      </c>
      <c r="AS60" s="4636">
        <v>0</v>
      </c>
      <c r="AT60" s="4636">
        <v>0</v>
      </c>
      <c r="AU60" s="4636">
        <v>0</v>
      </c>
      <c r="AV60" s="4636">
        <v>0</v>
      </c>
      <c r="AW60" s="4545">
        <v>0</v>
      </c>
      <c r="AX60" s="4636">
        <v>0</v>
      </c>
      <c r="AY60" s="4641">
        <v>0</v>
      </c>
      <c r="AZ60" s="1496"/>
      <c r="BL60" s="1430"/>
      <c r="BM60" s="1430"/>
      <c r="BN60" s="1430"/>
      <c r="BO60" s="1438"/>
      <c r="BP60" s="1438"/>
      <c r="BQ60" s="1438"/>
      <c r="BY60" s="165"/>
      <c r="CB60" s="1435"/>
      <c r="CC60" s="1435"/>
      <c r="CD60" s="1435"/>
      <c r="CE60" s="1435"/>
      <c r="CF60" s="1435"/>
      <c r="CG60" s="1435"/>
      <c r="CH60" s="1435"/>
      <c r="CI60" s="1435"/>
      <c r="DB60" s="1436"/>
      <c r="DC60" s="1436"/>
      <c r="DD60" s="1436"/>
      <c r="DE60" s="1436"/>
      <c r="DF60" s="1436"/>
      <c r="DG60" s="1436"/>
      <c r="DH60" s="1436"/>
      <c r="DI60" s="1436"/>
    </row>
    <row r="61" spans="1:113" ht="16.350000000000001" customHeight="1" x14ac:dyDescent="0.3">
      <c r="A61" s="7520" t="s">
        <v>5137</v>
      </c>
      <c r="B61" s="9783" t="s">
        <v>1170</v>
      </c>
      <c r="C61" s="9575"/>
      <c r="D61" s="4618">
        <v>0</v>
      </c>
      <c r="E61" s="4596" t="s">
        <v>5369</v>
      </c>
      <c r="F61" s="4597" t="s">
        <v>5370</v>
      </c>
      <c r="G61" s="4590" t="s">
        <v>5371</v>
      </c>
      <c r="H61" s="4642" t="s">
        <v>5372</v>
      </c>
      <c r="I61" s="4643" t="s">
        <v>5373</v>
      </c>
      <c r="J61" s="4644" t="s">
        <v>5374</v>
      </c>
      <c r="K61" s="4643" t="s">
        <v>5375</v>
      </c>
      <c r="L61" s="4644" t="s">
        <v>5376</v>
      </c>
      <c r="M61" s="4643" t="s">
        <v>5377</v>
      </c>
      <c r="N61" s="4644" t="s">
        <v>5378</v>
      </c>
      <c r="O61" s="4643" t="s">
        <v>5379</v>
      </c>
      <c r="P61" s="4644" t="s">
        <v>5380</v>
      </c>
      <c r="Q61" s="4643" t="s">
        <v>5381</v>
      </c>
      <c r="R61" s="4644" t="s">
        <v>5382</v>
      </c>
      <c r="S61" s="4643" t="s">
        <v>5383</v>
      </c>
      <c r="T61" s="4645" t="s">
        <v>5384</v>
      </c>
      <c r="U61" s="3173" t="s">
        <v>5385</v>
      </c>
      <c r="V61" s="4644" t="s">
        <v>5386</v>
      </c>
      <c r="W61" s="4643" t="s">
        <v>5387</v>
      </c>
      <c r="X61" s="4644" t="s">
        <v>5388</v>
      </c>
      <c r="Y61" s="4643" t="s">
        <v>5389</v>
      </c>
      <c r="Z61" s="4622" t="s">
        <v>5390</v>
      </c>
      <c r="AA61" s="3171" t="s">
        <v>5391</v>
      </c>
      <c r="AB61" s="4622" t="s">
        <v>5392</v>
      </c>
      <c r="AC61" s="3171" t="s">
        <v>5393</v>
      </c>
      <c r="AD61" s="3174" t="s">
        <v>5394</v>
      </c>
      <c r="AE61" s="4646" t="s">
        <v>5395</v>
      </c>
      <c r="AF61" s="3175" t="s">
        <v>5396</v>
      </c>
      <c r="AG61" s="3176" t="s">
        <v>5397</v>
      </c>
      <c r="AH61" s="3175" t="s">
        <v>5398</v>
      </c>
      <c r="AI61" s="3176" t="s">
        <v>5399</v>
      </c>
      <c r="AJ61" s="3167" t="s">
        <v>5400</v>
      </c>
      <c r="AK61" s="3171" t="s">
        <v>5401</v>
      </c>
      <c r="AL61" s="4622" t="s">
        <v>5402</v>
      </c>
      <c r="AM61" s="3171" t="s">
        <v>5403</v>
      </c>
      <c r="AN61" s="3174" t="s">
        <v>5404</v>
      </c>
      <c r="AO61" s="4646" t="s">
        <v>5405</v>
      </c>
      <c r="AP61" s="3167" t="s">
        <v>5406</v>
      </c>
      <c r="AQ61" s="4584" t="s">
        <v>5407</v>
      </c>
      <c r="AR61" s="3557" t="s">
        <v>5408</v>
      </c>
      <c r="AS61" s="4623" t="s">
        <v>5409</v>
      </c>
      <c r="AT61" s="4623" t="s">
        <v>5410</v>
      </c>
      <c r="AU61" s="3558" t="s">
        <v>5411</v>
      </c>
      <c r="AV61" s="4623" t="s">
        <v>5412</v>
      </c>
      <c r="AW61" s="4623" t="s">
        <v>5413</v>
      </c>
      <c r="AX61" s="3558" t="s">
        <v>5414</v>
      </c>
      <c r="AY61" s="3558" t="s">
        <v>5415</v>
      </c>
      <c r="AZ61" s="1496" t="e">
        <f t="shared" si="24"/>
        <v>#VALUE!</v>
      </c>
      <c r="BL61" s="1430"/>
      <c r="BM61" s="1430"/>
      <c r="BN61" s="1430"/>
      <c r="BO61" s="1438"/>
      <c r="BP61" s="1438"/>
      <c r="BQ61" s="1438"/>
      <c r="BY61" s="165"/>
      <c r="CB61" s="1435" t="e">
        <f>IF(DB61=1,"* Las consultas de 60 años NO DEBEN ser mayor que el total de Consultas entre 60-64 Años. ","")</f>
        <v>#VALUE!</v>
      </c>
      <c r="CC61" s="1435" t="str">
        <f>IF(DC61=1,"* Las actividades de usuarios en situación de discapacidad NO DEBEN superar el total. ","")</f>
        <v xml:space="preserve">* Las actividades de usuarios en situación de discapacidad NO DEBEN superar el total. </v>
      </c>
      <c r="CD61" s="1435" t="e">
        <f>IF(DD61=1,"* Las consultas de 12 años NO DEBEN ser mayor que el total de Consultas entre 10-14 Años. ","")</f>
        <v>#VALUE!</v>
      </c>
      <c r="CE61" s="1435" t="str">
        <f>IF(DE61=1,"* Las consultas de Pacientes en control PSCV NO DEBEN ser mayor que el total de Consultas. ","")</f>
        <v xml:space="preserve">* Las consultas de Pacientes en control PSCV NO DEBEN ser mayor que el total de Consultas. </v>
      </c>
      <c r="CF61" s="1435" t="str">
        <f>IF(AND(AS61="",E61&lt;&gt;0),"* Recuerde que las Embarazadas deben ser incluídas en el ingreso por rango Etario (Digite CEROS si no tiene). ",IF(G61&lt;AS61,"* Las Embarazadas NO DEBEN ser mayor al total de mujeres. ",""))</f>
        <v xml:space="preserve">* Las Embarazadas NO DEBEN ser mayor al total de mujeres. </v>
      </c>
      <c r="CG61" s="1435" t="str">
        <f>IF(AND(AV61="",E61&lt;&gt;0),"* No olvide digitar la población SENAME (Digite CEROS si no tiene). ",IF(E61&lt;AV61,"* La Población SENAME NO DEBE ser mayor al Total. ",""))</f>
        <v xml:space="preserve">* La Población SENAME NO DEBE ser mayor al Total. </v>
      </c>
      <c r="CH61" s="1435" t="str">
        <f t="shared" si="36"/>
        <v xml:space="preserve">* La Población Mejor Niñez NO DEBE ser mayor al Total. </v>
      </c>
      <c r="CI61" s="1435" t="str">
        <f t="shared" si="27"/>
        <v xml:space="preserve">* La Población Migrante NO DEBE ser mayor al Total. </v>
      </c>
      <c r="DB61" s="1436" t="e">
        <f>IF(AT61&gt;(AL61+AM61),1,0)</f>
        <v>#VALUE!</v>
      </c>
      <c r="DC61" s="1436">
        <f>IF(E61&lt;AU61,1,0)</f>
        <v>1</v>
      </c>
      <c r="DD61" s="1436" t="e">
        <f>IF((Z61+AA61)&lt;AR61,1,0)</f>
        <v>#VALUE!</v>
      </c>
      <c r="DE61" s="1436">
        <f>IF(E61&lt;AY61,1,0)</f>
        <v>1</v>
      </c>
      <c r="DF61" s="1436">
        <f>IF(AND(AS61="",E61&lt;&gt;0),1,IF(G61&lt;AS61,1,0))</f>
        <v>1</v>
      </c>
      <c r="DG61" s="1436">
        <f>IF(AND(AV61="",E61&lt;&gt;0),1,IF(E61&lt;AV61,1,0))</f>
        <v>1</v>
      </c>
      <c r="DH61" s="1436">
        <f>IF(AND(AX61="",E61&lt;&gt;0),1,IF(E61&lt;AX61,1,0))</f>
        <v>1</v>
      </c>
      <c r="DI61" s="1436">
        <f t="shared" si="29"/>
        <v>1</v>
      </c>
    </row>
    <row r="62" spans="1:113" ht="16.350000000000001" customHeight="1" x14ac:dyDescent="0.3">
      <c r="A62" s="7520" t="s">
        <v>5138</v>
      </c>
      <c r="B62" s="8596"/>
      <c r="C62" s="8581"/>
      <c r="D62" s="4618" t="s">
        <v>1169</v>
      </c>
      <c r="E62" s="4596" t="s">
        <v>5369</v>
      </c>
      <c r="F62" s="4597" t="s">
        <v>5370</v>
      </c>
      <c r="G62" s="4590" t="s">
        <v>5371</v>
      </c>
      <c r="H62" s="4647" t="s">
        <v>5372</v>
      </c>
      <c r="I62" s="3559" t="s">
        <v>5373</v>
      </c>
      <c r="J62" s="4647" t="s">
        <v>5374</v>
      </c>
      <c r="K62" s="3559" t="s">
        <v>5375</v>
      </c>
      <c r="L62" s="4647" t="s">
        <v>5376</v>
      </c>
      <c r="M62" s="3559" t="s">
        <v>5377</v>
      </c>
      <c r="N62" s="4647" t="s">
        <v>5378</v>
      </c>
      <c r="O62" s="3559" t="s">
        <v>5379</v>
      </c>
      <c r="P62" s="4647" t="s">
        <v>5380</v>
      </c>
      <c r="Q62" s="3559" t="s">
        <v>5381</v>
      </c>
      <c r="R62" s="4647" t="s">
        <v>5382</v>
      </c>
      <c r="S62" s="3559" t="s">
        <v>5383</v>
      </c>
      <c r="T62" s="4645" t="s">
        <v>5384</v>
      </c>
      <c r="U62" s="3173" t="s">
        <v>5385</v>
      </c>
      <c r="V62" s="4647" t="s">
        <v>5386</v>
      </c>
      <c r="W62" s="3559" t="s">
        <v>5387</v>
      </c>
      <c r="X62" s="4647" t="s">
        <v>5388</v>
      </c>
      <c r="Y62" s="3559" t="s">
        <v>5389</v>
      </c>
      <c r="Z62" s="4622" t="s">
        <v>5390</v>
      </c>
      <c r="AA62" s="3171" t="s">
        <v>5391</v>
      </c>
      <c r="AB62" s="4622" t="s">
        <v>5392</v>
      </c>
      <c r="AC62" s="3171" t="s">
        <v>5393</v>
      </c>
      <c r="AD62" s="4622" t="s">
        <v>5394</v>
      </c>
      <c r="AE62" s="3171" t="s">
        <v>5395</v>
      </c>
      <c r="AF62" s="3167" t="s">
        <v>5396</v>
      </c>
      <c r="AG62" s="3171" t="s">
        <v>5397</v>
      </c>
      <c r="AH62" s="3167" t="s">
        <v>5398</v>
      </c>
      <c r="AI62" s="3171" t="s">
        <v>5399</v>
      </c>
      <c r="AJ62" s="3167" t="s">
        <v>5400</v>
      </c>
      <c r="AK62" s="3171" t="s">
        <v>5401</v>
      </c>
      <c r="AL62" s="4622" t="s">
        <v>5402</v>
      </c>
      <c r="AM62" s="3171" t="s">
        <v>5403</v>
      </c>
      <c r="AN62" s="4622" t="s">
        <v>5404</v>
      </c>
      <c r="AO62" s="3171" t="s">
        <v>5405</v>
      </c>
      <c r="AP62" s="3167" t="s">
        <v>5406</v>
      </c>
      <c r="AQ62" s="3554" t="s">
        <v>5407</v>
      </c>
      <c r="AR62" s="3555" t="s">
        <v>5408</v>
      </c>
      <c r="AS62" s="4623" t="s">
        <v>5409</v>
      </c>
      <c r="AT62" s="4623" t="s">
        <v>5410</v>
      </c>
      <c r="AU62" s="4648" t="s">
        <v>5411</v>
      </c>
      <c r="AV62" s="4623" t="s">
        <v>5412</v>
      </c>
      <c r="AW62" s="4623" t="s">
        <v>5413</v>
      </c>
      <c r="AX62" s="4648" t="s">
        <v>5414</v>
      </c>
      <c r="AY62" s="4648" t="s">
        <v>5415</v>
      </c>
      <c r="AZ62" s="1496" t="e">
        <f t="shared" si="24"/>
        <v>#VALUE!</v>
      </c>
      <c r="BL62" s="1430"/>
      <c r="BM62" s="1430"/>
      <c r="BN62" s="1430"/>
      <c r="BO62" s="1438"/>
      <c r="BP62" s="1438"/>
      <c r="BQ62" s="1438"/>
      <c r="BY62" s="165"/>
      <c r="CB62" s="1435" t="e">
        <f>IF(DB62=1,"* Las consultas de 60 años NO DEBEN ser mayor que el total de Consultas entre 60-64 Años. ","")</f>
        <v>#VALUE!</v>
      </c>
      <c r="CC62" s="1435" t="str">
        <f>IF(DC62=1,"* Las actividades de usuarios en situación de discapacidad NO DEBEN superar el total. ","")</f>
        <v xml:space="preserve">* Las actividades de usuarios en situación de discapacidad NO DEBEN superar el total. </v>
      </c>
      <c r="CD62" s="1435" t="e">
        <f>IF(DD62=1,"* Las consultas de 12 años NO DEBEN ser mayor que el total de Consultas entre 10-14 Años. ","")</f>
        <v>#VALUE!</v>
      </c>
      <c r="CE62" s="1435" t="str">
        <f>IF(DE62=1,"* Las consultas de Pacientes en control PSCV NO DEBEN ser mayor que el total de Consultas. ","")</f>
        <v xml:space="preserve">* Las consultas de Pacientes en control PSCV NO DEBEN ser mayor que el total de Consultas. </v>
      </c>
      <c r="CF62" s="1435" t="str">
        <f>IF(AND(AS62="",E62&lt;&gt;0),"* Recuerde que las Embarazadas deben ser incluídas en el ingreso por rango Etario (Digite CEROS si no tiene). ",IF(G62&lt;AS62,"* Las Embarazadas NO DEBEN ser mayor al total de mujeres. ",""))</f>
        <v xml:space="preserve">* Las Embarazadas NO DEBEN ser mayor al total de mujeres. </v>
      </c>
      <c r="CG62" s="1435" t="str">
        <f>IF(AND(AV62="",E62&lt;&gt;0),"* No olvide digitar la población SENAME (Digite CEROS si no tiene). ",IF(E62&lt;AV62,"* La Población SENAME NO DEBE ser mayor al Total. ",""))</f>
        <v xml:space="preserve">* La Población SENAME NO DEBE ser mayor al Total. </v>
      </c>
      <c r="CH62" s="1435" t="str">
        <f t="shared" si="36"/>
        <v xml:space="preserve">* La Población Mejor Niñez NO DEBE ser mayor al Total. </v>
      </c>
      <c r="CI62" s="1435" t="str">
        <f t="shared" si="27"/>
        <v xml:space="preserve">* La Población Migrante NO DEBE ser mayor al Total. </v>
      </c>
      <c r="DB62" s="1436" t="e">
        <f>IF(AT62&gt;(AL62+AM62),1,0)</f>
        <v>#VALUE!</v>
      </c>
      <c r="DC62" s="1436">
        <f>IF(E62&lt;AU62,1,0)</f>
        <v>1</v>
      </c>
      <c r="DD62" s="1436" t="e">
        <f>IF((Z62+AA62)&lt;AR62,1,0)</f>
        <v>#VALUE!</v>
      </c>
      <c r="DE62" s="1436">
        <f>IF(E62&lt;AY62,1,0)</f>
        <v>1</v>
      </c>
      <c r="DF62" s="1436">
        <f>IF(AND(AS62="",E62&lt;&gt;0),1,IF(G62&lt;AS62,1,0))</f>
        <v>1</v>
      </c>
      <c r="DG62" s="1436">
        <f>IF(AND(AV62="",E62&lt;&gt;0),1,IF(E62&lt;AV62,1,0))</f>
        <v>1</v>
      </c>
      <c r="DH62" s="1436">
        <f>IF(AND(AX62="",E62&lt;&gt;0),1,IF(E62&lt;AX62,1,0))</f>
        <v>1</v>
      </c>
      <c r="DI62" s="1436">
        <f t="shared" si="29"/>
        <v>1</v>
      </c>
    </row>
    <row r="63" spans="1:113" ht="16.350000000000001" customHeight="1" x14ac:dyDescent="0.3">
      <c r="A63" s="7520" t="s">
        <v>5139</v>
      </c>
      <c r="B63" s="8596"/>
      <c r="C63" s="8581"/>
      <c r="D63" s="4621" t="s">
        <v>1168</v>
      </c>
      <c r="E63" s="4596" t="s">
        <v>5369</v>
      </c>
      <c r="F63" s="4597" t="s">
        <v>5370</v>
      </c>
      <c r="G63" s="4590" t="s">
        <v>5371</v>
      </c>
      <c r="H63" s="4647" t="s">
        <v>5372</v>
      </c>
      <c r="I63" s="3559" t="s">
        <v>5373</v>
      </c>
      <c r="J63" s="4647" t="s">
        <v>5374</v>
      </c>
      <c r="K63" s="3559" t="s">
        <v>5375</v>
      </c>
      <c r="L63" s="4647" t="s">
        <v>5376</v>
      </c>
      <c r="M63" s="3559" t="s">
        <v>5377</v>
      </c>
      <c r="N63" s="4647" t="s">
        <v>5378</v>
      </c>
      <c r="O63" s="3559" t="s">
        <v>5379</v>
      </c>
      <c r="P63" s="4647" t="s">
        <v>5380</v>
      </c>
      <c r="Q63" s="3559" t="s">
        <v>5381</v>
      </c>
      <c r="R63" s="4647" t="s">
        <v>5382</v>
      </c>
      <c r="S63" s="3559" t="s">
        <v>5383</v>
      </c>
      <c r="T63" s="4645" t="s">
        <v>5384</v>
      </c>
      <c r="U63" s="3173" t="s">
        <v>5385</v>
      </c>
      <c r="V63" s="4647" t="s">
        <v>5386</v>
      </c>
      <c r="W63" s="3559" t="s">
        <v>5387</v>
      </c>
      <c r="X63" s="4647" t="s">
        <v>5388</v>
      </c>
      <c r="Y63" s="3559" t="s">
        <v>5389</v>
      </c>
      <c r="Z63" s="4622" t="s">
        <v>5390</v>
      </c>
      <c r="AA63" s="3171" t="s">
        <v>5391</v>
      </c>
      <c r="AB63" s="4622" t="s">
        <v>5392</v>
      </c>
      <c r="AC63" s="3171" t="s">
        <v>5393</v>
      </c>
      <c r="AD63" s="4622" t="s">
        <v>5394</v>
      </c>
      <c r="AE63" s="3171" t="s">
        <v>5395</v>
      </c>
      <c r="AF63" s="3167" t="s">
        <v>5396</v>
      </c>
      <c r="AG63" s="3171" t="s">
        <v>5397</v>
      </c>
      <c r="AH63" s="3167" t="s">
        <v>5398</v>
      </c>
      <c r="AI63" s="3171" t="s">
        <v>5399</v>
      </c>
      <c r="AJ63" s="3167" t="s">
        <v>5400</v>
      </c>
      <c r="AK63" s="3171" t="s">
        <v>5401</v>
      </c>
      <c r="AL63" s="4622" t="s">
        <v>5402</v>
      </c>
      <c r="AM63" s="3171" t="s">
        <v>5403</v>
      </c>
      <c r="AN63" s="4601" t="s">
        <v>5404</v>
      </c>
      <c r="AO63" s="3166" t="s">
        <v>5405</v>
      </c>
      <c r="AP63" s="3167" t="s">
        <v>5406</v>
      </c>
      <c r="AQ63" s="3554" t="s">
        <v>5407</v>
      </c>
      <c r="AR63" s="3550" t="s">
        <v>5408</v>
      </c>
      <c r="AS63" s="4623" t="s">
        <v>5409</v>
      </c>
      <c r="AT63" s="4623" t="s">
        <v>5410</v>
      </c>
      <c r="AU63" s="4648" t="s">
        <v>5411</v>
      </c>
      <c r="AV63" s="4623" t="s">
        <v>5412</v>
      </c>
      <c r="AW63" s="4623" t="s">
        <v>5413</v>
      </c>
      <c r="AX63" s="4648" t="s">
        <v>5414</v>
      </c>
      <c r="AY63" s="4648" t="s">
        <v>5415</v>
      </c>
      <c r="AZ63" s="1496" t="e">
        <f t="shared" si="24"/>
        <v>#VALUE!</v>
      </c>
      <c r="BL63" s="1430"/>
      <c r="BM63" s="1430"/>
      <c r="BN63" s="1430"/>
      <c r="BO63" s="1438"/>
      <c r="BP63" s="1438"/>
      <c r="BQ63" s="1438"/>
      <c r="BY63" s="165"/>
      <c r="CB63" s="1435" t="e">
        <f>IF(DB63=1,"* Las consultas de 60 años NO DEBEN ser mayor que el total de Consultas entre 60-64 Años. ","")</f>
        <v>#VALUE!</v>
      </c>
      <c r="CC63" s="1435" t="str">
        <f>IF(DC63=1,"* Las actividades de usuarios en situación de discapacidad NO DEBEN superar el total. ","")</f>
        <v xml:space="preserve">* Las actividades de usuarios en situación de discapacidad NO DEBEN superar el total. </v>
      </c>
      <c r="CD63" s="1435" t="e">
        <f>IF(DD63=1,"* Las consultas de 12 años NO DEBEN ser mayor que el total de Consultas entre 10-14 Años. ","")</f>
        <v>#VALUE!</v>
      </c>
      <c r="CE63" s="1435" t="str">
        <f>IF(DE63=1,"* Las consultas de Pacientes en control PSCV NO DEBEN ser mayor que el total de Consultas. ","")</f>
        <v xml:space="preserve">* Las consultas de Pacientes en control PSCV NO DEBEN ser mayor que el total de Consultas. </v>
      </c>
      <c r="CF63" s="1435" t="str">
        <f>IF(AND(AS63="",E63&lt;&gt;0),"* Recuerde que las Embarazadas deben ser incluídas en el ingreso por rango Etario (Digite CEROS si no tiene). ",IF(G63&lt;AS63,"* Las Embarazadas NO DEBEN ser mayor al total de mujeres. ",""))</f>
        <v xml:space="preserve">* Las Embarazadas NO DEBEN ser mayor al total de mujeres. </v>
      </c>
      <c r="CG63" s="1435" t="str">
        <f>IF(AND(AV63="",E63&lt;&gt;0),"* No olvide digitar la población SENAME (Digite CEROS si no tiene). ",IF(E63&lt;AV63,"* La Población SENAME NO DEBE ser mayor al Total. ",""))</f>
        <v xml:space="preserve">* La Población SENAME NO DEBE ser mayor al Total. </v>
      </c>
      <c r="CH63" s="1435" t="str">
        <f t="shared" si="36"/>
        <v xml:space="preserve">* La Población Mejor Niñez NO DEBE ser mayor al Total. </v>
      </c>
      <c r="CI63" s="1435" t="str">
        <f t="shared" si="27"/>
        <v xml:space="preserve">* La Población Migrante NO DEBE ser mayor al Total. </v>
      </c>
      <c r="DB63" s="1436" t="e">
        <f>IF(AT63&gt;(AL63+AM63),1,0)</f>
        <v>#VALUE!</v>
      </c>
      <c r="DC63" s="1436">
        <f>IF(E63&lt;AU63,1,0)</f>
        <v>1</v>
      </c>
      <c r="DD63" s="1436" t="e">
        <f>IF((Z63+AA63)&lt;AR63,1,0)</f>
        <v>#VALUE!</v>
      </c>
      <c r="DE63" s="1436">
        <f>IF(E63&lt;AY63,1,0)</f>
        <v>1</v>
      </c>
      <c r="DF63" s="1436">
        <f>IF(AND(AS63="",E63&lt;&gt;0),1,IF(G63&lt;AS63,1,0))</f>
        <v>1</v>
      </c>
      <c r="DG63" s="1436">
        <f>IF(AND(AV63="",E63&lt;&gt;0),1,IF(E63&lt;AV63,1,0))</f>
        <v>1</v>
      </c>
      <c r="DH63" s="1436">
        <f>IF(AND(AX63="",E63&lt;&gt;0),1,IF(E63&lt;AX63,1,0))</f>
        <v>1</v>
      </c>
      <c r="DI63" s="1436">
        <f t="shared" si="29"/>
        <v>1</v>
      </c>
    </row>
    <row r="64" spans="1:113" ht="16.350000000000001" customHeight="1" x14ac:dyDescent="0.25">
      <c r="A64" s="7267"/>
      <c r="B64" s="9809"/>
      <c r="C64" s="8953"/>
      <c r="D64" s="4607" t="s">
        <v>24</v>
      </c>
      <c r="E64" s="4636">
        <f>SUM(F64:G64)</f>
        <v>0</v>
      </c>
      <c r="F64" s="4637">
        <f>SUM(F61:F63)</f>
        <v>0</v>
      </c>
      <c r="G64" s="4545">
        <f>SUM(G61:G63)</f>
        <v>0</v>
      </c>
      <c r="H64" s="4649"/>
      <c r="I64" s="4650"/>
      <c r="J64" s="4649"/>
      <c r="K64" s="4650"/>
      <c r="L64" s="4649"/>
      <c r="M64" s="4650"/>
      <c r="N64" s="4649"/>
      <c r="O64" s="4650"/>
      <c r="P64" s="4649"/>
      <c r="Q64" s="4650"/>
      <c r="R64" s="4649"/>
      <c r="S64" s="4650"/>
      <c r="T64" s="4649"/>
      <c r="U64" s="4651"/>
      <c r="V64" s="4649"/>
      <c r="W64" s="4650"/>
      <c r="X64" s="4649"/>
      <c r="Y64" s="4650"/>
      <c r="Z64" s="3673">
        <f>SUM(Z61:Z63)</f>
        <v>0</v>
      </c>
      <c r="AA64" s="4545">
        <f t="shared" ref="AA64:AY64" si="44">SUM(AA61:AA63)</f>
        <v>0</v>
      </c>
      <c r="AB64" s="3673">
        <f t="shared" si="44"/>
        <v>0</v>
      </c>
      <c r="AC64" s="4545">
        <f t="shared" si="44"/>
        <v>0</v>
      </c>
      <c r="AD64" s="3673">
        <f t="shared" si="44"/>
        <v>0</v>
      </c>
      <c r="AE64" s="3674">
        <f t="shared" si="44"/>
        <v>0</v>
      </c>
      <c r="AF64" s="4557">
        <f t="shared" si="44"/>
        <v>0</v>
      </c>
      <c r="AG64" s="3674">
        <f t="shared" si="44"/>
        <v>0</v>
      </c>
      <c r="AH64" s="4557">
        <f t="shared" si="44"/>
        <v>0</v>
      </c>
      <c r="AI64" s="3674">
        <f t="shared" si="44"/>
        <v>0</v>
      </c>
      <c r="AJ64" s="4557">
        <f t="shared" si="44"/>
        <v>0</v>
      </c>
      <c r="AK64" s="4545">
        <f t="shared" si="44"/>
        <v>0</v>
      </c>
      <c r="AL64" s="3673">
        <f t="shared" si="44"/>
        <v>0</v>
      </c>
      <c r="AM64" s="4545">
        <f t="shared" si="44"/>
        <v>0</v>
      </c>
      <c r="AN64" s="3673">
        <f t="shared" si="44"/>
        <v>0</v>
      </c>
      <c r="AO64" s="3674">
        <f t="shared" si="44"/>
        <v>0</v>
      </c>
      <c r="AP64" s="4557">
        <f t="shared" si="44"/>
        <v>0</v>
      </c>
      <c r="AQ64" s="4606">
        <f t="shared" si="44"/>
        <v>0</v>
      </c>
      <c r="AR64" s="4652">
        <f t="shared" si="44"/>
        <v>0</v>
      </c>
      <c r="AS64" s="4545">
        <f t="shared" si="44"/>
        <v>0</v>
      </c>
      <c r="AT64" s="4545">
        <f t="shared" si="44"/>
        <v>0</v>
      </c>
      <c r="AU64" s="4607">
        <f t="shared" si="44"/>
        <v>0</v>
      </c>
      <c r="AV64" s="4545">
        <f t="shared" si="44"/>
        <v>0</v>
      </c>
      <c r="AW64" s="4545">
        <f t="shared" si="44"/>
        <v>0</v>
      </c>
      <c r="AX64" s="4607">
        <f t="shared" si="44"/>
        <v>0</v>
      </c>
      <c r="AY64" s="4607">
        <f t="shared" si="44"/>
        <v>0</v>
      </c>
      <c r="AZ64" s="1496"/>
      <c r="BL64" s="1430"/>
      <c r="BM64" s="1430"/>
      <c r="BN64" s="1430"/>
      <c r="BO64" s="1438"/>
      <c r="BP64" s="1438"/>
      <c r="BQ64" s="1438"/>
      <c r="BY64" s="165"/>
      <c r="CB64" s="1435"/>
      <c r="CC64" s="1435"/>
      <c r="CD64" s="1435"/>
      <c r="CE64" s="1435"/>
      <c r="CF64" s="1435"/>
      <c r="CG64" s="1435"/>
      <c r="CH64" s="1435"/>
      <c r="DB64" s="1436"/>
      <c r="DC64" s="1436"/>
      <c r="DD64" s="1436"/>
      <c r="DE64" s="1436"/>
      <c r="DF64" s="1436"/>
      <c r="DG64" s="1436"/>
      <c r="DH64" s="1436"/>
    </row>
    <row r="65" spans="1:112" ht="33.75" customHeight="1" x14ac:dyDescent="0.25">
      <c r="B65" s="133" t="s">
        <v>2186</v>
      </c>
      <c r="C65" s="734"/>
      <c r="D65" s="734"/>
      <c r="E65" s="733"/>
      <c r="F65" s="214"/>
      <c r="AI65" s="290"/>
      <c r="AJ65" s="290"/>
      <c r="AK65" s="290"/>
      <c r="AL65" s="290"/>
      <c r="AM65" s="1197"/>
      <c r="AN65" s="1197"/>
      <c r="AO65" s="1197"/>
      <c r="AP65" s="1197"/>
      <c r="AQ65" s="1197"/>
      <c r="AR65" s="1197"/>
      <c r="AS65" s="1197"/>
      <c r="AT65" s="1197"/>
      <c r="AU65" s="290"/>
      <c r="AV65" s="290"/>
      <c r="BV65" s="1430"/>
      <c r="BW65" s="1430"/>
      <c r="BX65" s="1430"/>
      <c r="CB65" s="1435"/>
      <c r="CC65" s="1435"/>
      <c r="CD65" s="1435"/>
      <c r="CE65" s="1435"/>
      <c r="CF65" s="1435"/>
      <c r="CG65" s="1435"/>
      <c r="CH65" s="1435"/>
      <c r="DB65" s="1436"/>
      <c r="DC65" s="1436"/>
      <c r="DD65" s="1436"/>
      <c r="DE65" s="1436"/>
      <c r="DF65" s="1436"/>
      <c r="DG65" s="1432"/>
      <c r="DH65" s="1432"/>
    </row>
    <row r="66" spans="1:112" ht="68.25" customHeight="1" x14ac:dyDescent="0.25">
      <c r="B66" s="9810" t="s">
        <v>1167</v>
      </c>
      <c r="C66" s="9776"/>
      <c r="D66" s="9750"/>
      <c r="E66" s="4517" t="s">
        <v>24</v>
      </c>
      <c r="F66" s="4517" t="s">
        <v>78</v>
      </c>
      <c r="G66" s="3292" t="s">
        <v>2538</v>
      </c>
      <c r="H66" s="3292" t="s">
        <v>2553</v>
      </c>
      <c r="I66" s="3291" t="s">
        <v>3004</v>
      </c>
      <c r="J66" s="3291" t="s">
        <v>2904</v>
      </c>
      <c r="K66" s="3291" t="s">
        <v>361</v>
      </c>
      <c r="L66" s="290"/>
      <c r="M66" s="290"/>
      <c r="N66" s="290"/>
      <c r="O66" s="290"/>
      <c r="P66" s="290"/>
      <c r="AF66" s="290"/>
      <c r="AG66" s="290"/>
      <c r="AH66" s="290"/>
      <c r="AI66" s="290"/>
      <c r="AJ66" s="290"/>
      <c r="AK66" s="290"/>
      <c r="AL66" s="290"/>
      <c r="AM66" s="290"/>
      <c r="AN66" s="1197"/>
      <c r="AO66" s="1197"/>
      <c r="AP66" s="1197"/>
      <c r="AQ66" s="1197"/>
      <c r="AR66" s="1197"/>
      <c r="AS66" s="1197"/>
      <c r="AT66" s="1197"/>
      <c r="AU66" s="1197"/>
      <c r="AV66" s="290"/>
      <c r="AW66" s="290"/>
      <c r="BW66" s="1430"/>
      <c r="BX66" s="1430"/>
      <c r="BY66" s="1430"/>
      <c r="CB66" s="1435"/>
      <c r="CC66" s="1435"/>
      <c r="CD66" s="1435"/>
      <c r="CE66" s="1435"/>
      <c r="CF66" s="1435"/>
      <c r="CG66" s="1435"/>
      <c r="CH66" s="1435"/>
      <c r="DB66" s="1436"/>
      <c r="DC66" s="1436"/>
      <c r="DD66" s="1436"/>
      <c r="DE66" s="1436"/>
      <c r="DF66" s="1436"/>
      <c r="DG66" s="1432"/>
      <c r="DH66" s="1432"/>
    </row>
    <row r="67" spans="1:112" ht="19.5" customHeight="1" x14ac:dyDescent="0.25">
      <c r="A67" s="7520" t="s">
        <v>5140</v>
      </c>
      <c r="B67" s="9787" t="s">
        <v>1036</v>
      </c>
      <c r="C67" s="9788"/>
      <c r="D67" s="9789"/>
      <c r="E67" s="4653" t="s">
        <v>5369</v>
      </c>
      <c r="F67" s="4653" t="s">
        <v>5370</v>
      </c>
      <c r="G67" s="4653" t="s">
        <v>5371</v>
      </c>
      <c r="H67" s="4653" t="s">
        <v>5372</v>
      </c>
      <c r="I67" s="4653" t="s">
        <v>5373</v>
      </c>
      <c r="J67" s="4653" t="s">
        <v>5374</v>
      </c>
      <c r="K67" s="4653" t="s">
        <v>5375</v>
      </c>
      <c r="L67" s="1360" t="str">
        <f>CB67&amp;CC67&amp;CD67&amp;CE67&amp;CF67&amp;CG67</f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67" s="806"/>
      <c r="N67" s="806"/>
      <c r="O67" s="806"/>
      <c r="P67" s="290"/>
      <c r="AN67" s="290"/>
      <c r="AO67" s="290"/>
      <c r="AP67" s="290"/>
      <c r="AQ67" s="290"/>
      <c r="AR67" s="290"/>
      <c r="AS67" s="290"/>
      <c r="AT67" s="290"/>
      <c r="AU67" s="290"/>
      <c r="AV67" s="290"/>
      <c r="AW67" s="290"/>
      <c r="BW67" s="1430"/>
      <c r="BX67" s="1430"/>
      <c r="BY67" s="1430"/>
      <c r="CB67" s="1435" t="str">
        <f t="shared" ref="CB67:CB80" si="45">IF(DB67=1,"* Las Interconsultas de Gestantes NO DEBEN ser mayor al Total de Interconsultas. ","")</f>
        <v xml:space="preserve">* Las Interconsultas de Gestantes NO DEBEN ser mayor al Total de Interconsultas. </v>
      </c>
      <c r="CC67" s="1435" t="str">
        <f t="shared" ref="CC67:CC80" si="46">IF(DC67=1,"* Las Interconsultas de Pacientes de 60 años NO DEBEN ser mayor al Total de Interconsultas. ","")</f>
        <v xml:space="preserve">* Las Interconsultas de Pacientes de 60 años NO DEBEN ser mayor al Total de Interconsultas. </v>
      </c>
      <c r="CD67" s="1435" t="str">
        <f t="shared" ref="CD67:CD80" si="47">IF(DD67=1,"*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67" s="1435" t="str">
        <f t="shared" ref="CE67:CE80" si="48">IF(DE67=1,"*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67" s="1435" t="str">
        <f t="shared" ref="CF67:CF80" si="49">IF(DF67=1,"* Las Interconsultas de Migrantes NO DEBEN ser mayor al Total de Interconsultas. ","")</f>
        <v xml:space="preserve">* Las Interconsultas de Migrantes NO DEBEN ser mayor al Total de Interconsultas. </v>
      </c>
      <c r="CG67" s="1435" t="str">
        <f>IF(DG67=1,"* Las Interconsultas de Niños, Niñas, Adolescentes y Jóvenes Red Mejor Niñez NO DEBEN ser mayor al Total de Interconsultas. ","")</f>
        <v xml:space="preserve">* Las Interconsultas de Niños, Niñas, Adolescentes y Jóvenes Red Mejor Niñez NO DEBEN ser mayor al Total de Interconsultas. </v>
      </c>
      <c r="CH67" s="1435"/>
      <c r="DB67" s="1436">
        <f t="shared" ref="DB67:DB80" si="50">IF($E67&lt;F67,1,0)</f>
        <v>1</v>
      </c>
      <c r="DC67" s="1436">
        <f t="shared" ref="DC67:DC80" si="51">IF($E67&lt;G67,1,0)</f>
        <v>1</v>
      </c>
      <c r="DD67" s="1436">
        <f t="shared" ref="DD67:DD80" si="52">IF($E67&lt;H67,1,0)</f>
        <v>1</v>
      </c>
      <c r="DE67" s="1436">
        <f t="shared" ref="DE67:DE80" si="53">IF($E67&lt;I67,1,0)</f>
        <v>1</v>
      </c>
      <c r="DF67" s="1436">
        <f t="shared" ref="DF67:DF80" si="54">IF($E67&lt;K67,1,0)</f>
        <v>1</v>
      </c>
      <c r="DG67" s="1436">
        <f>IF($E67&lt;J67,1,0)</f>
        <v>1</v>
      </c>
      <c r="DH67" s="1432"/>
    </row>
    <row r="68" spans="1:112" x14ac:dyDescent="0.25">
      <c r="A68" s="7520" t="s">
        <v>5141</v>
      </c>
      <c r="B68" s="9811" t="s">
        <v>1031</v>
      </c>
      <c r="C68" s="9812" t="s">
        <v>1093</v>
      </c>
      <c r="D68" s="9813"/>
      <c r="E68" s="4654" t="s">
        <v>5369</v>
      </c>
      <c r="F68" s="4654" t="s">
        <v>5370</v>
      </c>
      <c r="G68" s="4654" t="s">
        <v>5371</v>
      </c>
      <c r="H68" s="4654" t="s">
        <v>5372</v>
      </c>
      <c r="I68" s="4654" t="s">
        <v>5373</v>
      </c>
      <c r="J68" s="4654" t="s">
        <v>5374</v>
      </c>
      <c r="K68" s="4654" t="s">
        <v>5375</v>
      </c>
      <c r="L68" s="1360" t="str">
        <f t="shared" ref="L68:L80" si="55">CB68&amp;CC68&amp;CD68&amp;CE68&amp;CF68&amp;CG68</f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68" s="806"/>
      <c r="N68" s="806"/>
      <c r="O68" s="806"/>
      <c r="P68" s="290"/>
      <c r="AN68" s="290"/>
      <c r="AO68" s="290"/>
      <c r="AP68" s="290"/>
      <c r="AQ68" s="290"/>
      <c r="AR68" s="290"/>
      <c r="AS68" s="290"/>
      <c r="BS68" s="1430"/>
      <c r="BT68" s="1430"/>
      <c r="BU68" s="1430"/>
      <c r="BV68" s="1438"/>
      <c r="BW68" s="1438"/>
      <c r="BX68" s="1438"/>
      <c r="BY68" s="165"/>
      <c r="CB68" s="1435" t="str">
        <f t="shared" si="45"/>
        <v xml:space="preserve">* Las Interconsultas de Gestantes NO DEBEN ser mayor al Total de Interconsultas. </v>
      </c>
      <c r="CC68" s="1435" t="str">
        <f t="shared" si="46"/>
        <v xml:space="preserve">* Las Interconsultas de Pacientes de 60 años NO DEBEN ser mayor al Total de Interconsultas. </v>
      </c>
      <c r="CD68" s="1435" t="str">
        <f t="shared" si="47"/>
        <v xml:space="preserve">* Las Interconsultas de Usuarios en situación de Discapacidad NO DEBEN ser mayor al Total de Interconsultas. </v>
      </c>
      <c r="CE68" s="1435" t="str">
        <f t="shared" si="48"/>
        <v xml:space="preserve">* Las Interconsultas de Niños, Niñas, Adolescentes y Jóvenes Red SENAME NO DEBEN ser mayor al Total de Interconsultas. </v>
      </c>
      <c r="CF68" s="1435" t="str">
        <f t="shared" si="49"/>
        <v xml:space="preserve">* Las Interconsultas de Migrantes NO DEBEN ser mayor al Total de Interconsultas. </v>
      </c>
      <c r="CG68" s="1435" t="str">
        <f t="shared" ref="CG68:CG80" si="56">IF(DG68=1,"* Las Interconsultas de Niños, Niñas, Adolescentes y Jóvenes Red Mejor Niñez NO DEBEN ser mayor al Total de Interconsultas. ","")</f>
        <v xml:space="preserve">* Las Interconsultas de Niños, Niñas, Adolescentes y Jóvenes Red Mejor Niñez NO DEBEN ser mayor al Total de Interconsultas. </v>
      </c>
      <c r="CH68" s="1435"/>
      <c r="DB68" s="1436">
        <f t="shared" si="50"/>
        <v>1</v>
      </c>
      <c r="DC68" s="1436">
        <f t="shared" si="51"/>
        <v>1</v>
      </c>
      <c r="DD68" s="1436">
        <f t="shared" si="52"/>
        <v>1</v>
      </c>
      <c r="DE68" s="1436">
        <f t="shared" si="53"/>
        <v>1</v>
      </c>
      <c r="DF68" s="1436">
        <f t="shared" si="54"/>
        <v>1</v>
      </c>
      <c r="DG68" s="1436">
        <f t="shared" ref="DG68:DG80" si="57">IF($E68&lt;J68,1,0)</f>
        <v>1</v>
      </c>
      <c r="DH68" s="1432"/>
    </row>
    <row r="69" spans="1:112" ht="16.350000000000001" customHeight="1" x14ac:dyDescent="0.25">
      <c r="A69" s="7520" t="s">
        <v>5142</v>
      </c>
      <c r="B69" s="9811"/>
      <c r="C69" s="9772" t="s">
        <v>1166</v>
      </c>
      <c r="D69" s="9774"/>
      <c r="E69" s="4655" t="s">
        <v>5369</v>
      </c>
      <c r="F69" s="4655" t="s">
        <v>5370</v>
      </c>
      <c r="G69" s="4655" t="s">
        <v>5371</v>
      </c>
      <c r="H69" s="4655" t="s">
        <v>5372</v>
      </c>
      <c r="I69" s="4655" t="s">
        <v>5373</v>
      </c>
      <c r="J69" s="4655" t="s">
        <v>5374</v>
      </c>
      <c r="K69" s="4655" t="s">
        <v>5375</v>
      </c>
      <c r="L69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69" s="806"/>
      <c r="N69" s="806"/>
      <c r="O69" s="806"/>
      <c r="P69" s="806"/>
      <c r="Q69" s="806"/>
      <c r="R69" s="806"/>
      <c r="S69" s="806"/>
      <c r="T69" s="290"/>
      <c r="BT69" s="1430"/>
      <c r="BU69" s="1430"/>
      <c r="BV69" s="1438"/>
      <c r="BW69" s="1438"/>
      <c r="BX69" s="1438"/>
      <c r="BY69" s="165"/>
      <c r="CB69" s="1435" t="str">
        <f t="shared" si="45"/>
        <v xml:space="preserve">* Las Interconsultas de Gestantes NO DEBEN ser mayor al Total de Interconsultas. </v>
      </c>
      <c r="CC69" s="1435" t="str">
        <f t="shared" si="46"/>
        <v xml:space="preserve">* Las Interconsultas de Pacientes de 60 años NO DEBEN ser mayor al Total de Interconsultas. </v>
      </c>
      <c r="CD69" s="1435" t="str">
        <f t="shared" si="47"/>
        <v xml:space="preserve">* Las Interconsultas de Usuarios en situación de Discapacidad NO DEBEN ser mayor al Total de Interconsultas. </v>
      </c>
      <c r="CE69" s="1435" t="str">
        <f t="shared" si="48"/>
        <v xml:space="preserve">* Las Interconsultas de Niños, Niñas, Adolescentes y Jóvenes Red SENAME NO DEBEN ser mayor al Total de Interconsultas. </v>
      </c>
      <c r="CF69" s="1435" t="str">
        <f t="shared" si="49"/>
        <v xml:space="preserve">* Las Interconsultas de Migrantes NO DEBEN ser mayor al Total de Interconsultas. </v>
      </c>
      <c r="CG69" s="1435" t="str">
        <f t="shared" si="56"/>
        <v xml:space="preserve">* Las Interconsultas de Niños, Niñas, Adolescentes y Jóvenes Red Mejor Niñez NO DEBEN ser mayor al Total de Interconsultas. </v>
      </c>
      <c r="CH69" s="1435"/>
      <c r="DB69" s="1436">
        <f t="shared" si="50"/>
        <v>1</v>
      </c>
      <c r="DC69" s="1436">
        <f t="shared" si="51"/>
        <v>1</v>
      </c>
      <c r="DD69" s="1436">
        <f t="shared" si="52"/>
        <v>1</v>
      </c>
      <c r="DE69" s="1436">
        <f t="shared" si="53"/>
        <v>1</v>
      </c>
      <c r="DF69" s="1436">
        <f t="shared" si="54"/>
        <v>1</v>
      </c>
      <c r="DG69" s="1436">
        <f t="shared" si="57"/>
        <v>1</v>
      </c>
      <c r="DH69" s="1432"/>
    </row>
    <row r="70" spans="1:112" ht="16.350000000000001" customHeight="1" x14ac:dyDescent="0.3">
      <c r="A70" s="7520"/>
      <c r="B70" s="9804"/>
      <c r="C70" s="9805" t="s">
        <v>2192</v>
      </c>
      <c r="D70" s="9806"/>
      <c r="E70" s="4647"/>
      <c r="F70" s="4647"/>
      <c r="G70" s="4647"/>
      <c r="H70" s="4647"/>
      <c r="I70" s="4647"/>
      <c r="J70" s="4647"/>
      <c r="K70" s="4647"/>
      <c r="L70" s="1360" t="str">
        <f t="shared" si="55"/>
        <v/>
      </c>
      <c r="M70" s="806"/>
      <c r="N70" s="806"/>
      <c r="O70" s="806"/>
      <c r="P70" s="806"/>
      <c r="Q70" s="806"/>
      <c r="R70" s="806"/>
      <c r="S70" s="806"/>
      <c r="T70" s="290"/>
      <c r="BT70" s="1430"/>
      <c r="BU70" s="1430"/>
      <c r="BV70" s="1438"/>
      <c r="BW70" s="1438"/>
      <c r="BX70" s="1438"/>
      <c r="BY70" s="165"/>
      <c r="CB70" s="1435" t="str">
        <f t="shared" si="45"/>
        <v/>
      </c>
      <c r="CC70" s="1435" t="str">
        <f t="shared" si="46"/>
        <v/>
      </c>
      <c r="CD70" s="1435" t="str">
        <f t="shared" si="47"/>
        <v/>
      </c>
      <c r="CE70" s="1435" t="str">
        <f t="shared" si="48"/>
        <v/>
      </c>
      <c r="CF70" s="1435" t="str">
        <f t="shared" si="49"/>
        <v/>
      </c>
      <c r="CG70" s="1435" t="str">
        <f t="shared" si="56"/>
        <v/>
      </c>
      <c r="CH70" s="1435"/>
      <c r="DB70" s="1436">
        <f t="shared" si="50"/>
        <v>0</v>
      </c>
      <c r="DC70" s="1436">
        <f t="shared" si="51"/>
        <v>0</v>
      </c>
      <c r="DD70" s="1436">
        <f t="shared" si="52"/>
        <v>0</v>
      </c>
      <c r="DE70" s="1436">
        <f t="shared" si="53"/>
        <v>0</v>
      </c>
      <c r="DF70" s="1436">
        <f t="shared" si="54"/>
        <v>0</v>
      </c>
      <c r="DG70" s="1436">
        <f t="shared" si="57"/>
        <v>0</v>
      </c>
      <c r="DH70" s="1432"/>
    </row>
    <row r="71" spans="1:112" ht="16.350000000000001" customHeight="1" x14ac:dyDescent="0.25">
      <c r="A71" s="7520" t="s">
        <v>5143</v>
      </c>
      <c r="B71" s="9686" t="s">
        <v>2193</v>
      </c>
      <c r="C71" s="9799"/>
      <c r="D71" s="9687"/>
      <c r="E71" s="4656" t="s">
        <v>5369</v>
      </c>
      <c r="F71" s="4656" t="s">
        <v>5370</v>
      </c>
      <c r="G71" s="4656" t="s">
        <v>5371</v>
      </c>
      <c r="H71" s="4656" t="s">
        <v>5372</v>
      </c>
      <c r="I71" s="4656" t="s">
        <v>5373</v>
      </c>
      <c r="J71" s="4656" t="s">
        <v>5374</v>
      </c>
      <c r="K71" s="4656" t="s">
        <v>5375</v>
      </c>
      <c r="L71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1" s="806"/>
      <c r="N71" s="806"/>
      <c r="O71" s="806"/>
      <c r="P71" s="806"/>
      <c r="Q71" s="806"/>
      <c r="R71" s="806"/>
      <c r="S71" s="806"/>
      <c r="T71" s="290"/>
      <c r="BX71" s="1430"/>
      <c r="BY71" s="1430"/>
      <c r="CB71" s="1435" t="str">
        <f t="shared" si="45"/>
        <v xml:space="preserve">* Las Interconsultas de Gestantes NO DEBEN ser mayor al Total de Interconsultas. </v>
      </c>
      <c r="CC71" s="1435" t="str">
        <f t="shared" si="46"/>
        <v xml:space="preserve">* Las Interconsultas de Pacientes de 60 años NO DEBEN ser mayor al Total de Interconsultas. </v>
      </c>
      <c r="CD71" s="1435" t="str">
        <f t="shared" si="47"/>
        <v xml:space="preserve">* Las Interconsultas de Usuarios en situación de Discapacidad NO DEBEN ser mayor al Total de Interconsultas. </v>
      </c>
      <c r="CE71" s="1435" t="str">
        <f t="shared" si="48"/>
        <v xml:space="preserve">* Las Interconsultas de Niños, Niñas, Adolescentes y Jóvenes Red SENAME NO DEBEN ser mayor al Total de Interconsultas. </v>
      </c>
      <c r="CF71" s="1435" t="str">
        <f t="shared" si="49"/>
        <v xml:space="preserve">* Las Interconsultas de Migrantes NO DEBEN ser mayor al Total de Interconsultas. </v>
      </c>
      <c r="CG71" s="1435" t="str">
        <f t="shared" si="56"/>
        <v xml:space="preserve">* Las Interconsultas de Niños, Niñas, Adolescentes y Jóvenes Red Mejor Niñez NO DEBEN ser mayor al Total de Interconsultas. </v>
      </c>
      <c r="CH71" s="1435"/>
      <c r="DB71" s="1436">
        <f t="shared" si="50"/>
        <v>1</v>
      </c>
      <c r="DC71" s="1436">
        <f t="shared" si="51"/>
        <v>1</v>
      </c>
      <c r="DD71" s="1436">
        <f t="shared" si="52"/>
        <v>1</v>
      </c>
      <c r="DE71" s="1436">
        <f t="shared" si="53"/>
        <v>1</v>
      </c>
      <c r="DF71" s="1436">
        <f t="shared" si="54"/>
        <v>1</v>
      </c>
      <c r="DG71" s="1436">
        <f t="shared" si="57"/>
        <v>1</v>
      </c>
      <c r="DH71" s="1432"/>
    </row>
    <row r="72" spans="1:112" ht="16.350000000000001" customHeight="1" x14ac:dyDescent="0.25">
      <c r="A72" s="7520" t="s">
        <v>5144</v>
      </c>
      <c r="B72" s="9772" t="s">
        <v>1027</v>
      </c>
      <c r="C72" s="9773"/>
      <c r="D72" s="9774"/>
      <c r="E72" s="4655" t="s">
        <v>5369</v>
      </c>
      <c r="F72" s="4655" t="s">
        <v>5370</v>
      </c>
      <c r="G72" s="4655" t="s">
        <v>5371</v>
      </c>
      <c r="H72" s="4655" t="s">
        <v>5372</v>
      </c>
      <c r="I72" s="4655" t="s">
        <v>5373</v>
      </c>
      <c r="J72" s="4655" t="s">
        <v>5374</v>
      </c>
      <c r="K72" s="4655" t="s">
        <v>5375</v>
      </c>
      <c r="L72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2" s="806"/>
      <c r="N72" s="806"/>
      <c r="O72" s="806"/>
      <c r="P72" s="806"/>
      <c r="Q72" s="806"/>
      <c r="R72" s="806"/>
      <c r="S72" s="806"/>
      <c r="T72" s="290"/>
      <c r="BX72" s="1430"/>
      <c r="BY72" s="1430"/>
      <c r="CB72" s="1435" t="str">
        <f t="shared" si="45"/>
        <v xml:space="preserve">* Las Interconsultas de Gestantes NO DEBEN ser mayor al Total de Interconsultas. </v>
      </c>
      <c r="CC72" s="1435" t="str">
        <f t="shared" si="46"/>
        <v xml:space="preserve">* Las Interconsultas de Pacientes de 60 años NO DEBEN ser mayor al Total de Interconsultas. </v>
      </c>
      <c r="CD72" s="1435" t="str">
        <f t="shared" si="47"/>
        <v xml:space="preserve">* Las Interconsultas de Usuarios en situación de Discapacidad NO DEBEN ser mayor al Total de Interconsultas. </v>
      </c>
      <c r="CE72" s="1435" t="str">
        <f t="shared" si="48"/>
        <v xml:space="preserve">* Las Interconsultas de Niños, Niñas, Adolescentes y Jóvenes Red SENAME NO DEBEN ser mayor al Total de Interconsultas. </v>
      </c>
      <c r="CF72" s="1435" t="str">
        <f t="shared" si="49"/>
        <v xml:space="preserve">* Las Interconsultas de Migrantes NO DEBEN ser mayor al Total de Interconsultas. </v>
      </c>
      <c r="CG72" s="1435" t="str">
        <f t="shared" si="56"/>
        <v xml:space="preserve">* Las Interconsultas de Niños, Niñas, Adolescentes y Jóvenes Red Mejor Niñez NO DEBEN ser mayor al Total de Interconsultas. </v>
      </c>
      <c r="CH72" s="1435"/>
      <c r="DB72" s="1436">
        <f t="shared" si="50"/>
        <v>1</v>
      </c>
      <c r="DC72" s="1436">
        <f t="shared" si="51"/>
        <v>1</v>
      </c>
      <c r="DD72" s="1436">
        <f t="shared" si="52"/>
        <v>1</v>
      </c>
      <c r="DE72" s="1436">
        <f t="shared" si="53"/>
        <v>1</v>
      </c>
      <c r="DF72" s="1436">
        <f t="shared" si="54"/>
        <v>1</v>
      </c>
      <c r="DG72" s="1436">
        <f t="shared" si="57"/>
        <v>1</v>
      </c>
      <c r="DH72" s="1432"/>
    </row>
    <row r="73" spans="1:112" ht="16.350000000000001" customHeight="1" x14ac:dyDescent="0.25">
      <c r="A73" s="7520" t="s">
        <v>5145</v>
      </c>
      <c r="B73" s="9800" t="s">
        <v>1165</v>
      </c>
      <c r="C73" s="9801"/>
      <c r="D73" s="9802"/>
      <c r="E73" s="4657" t="s">
        <v>5369</v>
      </c>
      <c r="F73" s="4657" t="s">
        <v>5370</v>
      </c>
      <c r="G73" s="4657" t="s">
        <v>5371</v>
      </c>
      <c r="H73" s="4657" t="s">
        <v>5372</v>
      </c>
      <c r="I73" s="4657" t="s">
        <v>5373</v>
      </c>
      <c r="J73" s="4657" t="s">
        <v>5374</v>
      </c>
      <c r="K73" s="4657" t="s">
        <v>5375</v>
      </c>
      <c r="L73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3" s="806"/>
      <c r="N73" s="806"/>
      <c r="O73" s="806"/>
      <c r="P73" s="806"/>
      <c r="Q73" s="806"/>
      <c r="R73" s="806"/>
      <c r="S73" s="806"/>
      <c r="T73" s="290"/>
      <c r="BX73" s="1430"/>
      <c r="BY73" s="1430"/>
      <c r="CB73" s="1435" t="str">
        <f t="shared" si="45"/>
        <v xml:space="preserve">* Las Interconsultas de Gestantes NO DEBEN ser mayor al Total de Interconsultas. </v>
      </c>
      <c r="CC73" s="1435" t="str">
        <f t="shared" si="46"/>
        <v xml:space="preserve">* Las Interconsultas de Pacientes de 60 años NO DEBEN ser mayor al Total de Interconsultas. </v>
      </c>
      <c r="CD73" s="1435" t="str">
        <f t="shared" si="47"/>
        <v xml:space="preserve">* Las Interconsultas de Usuarios en situación de Discapacidad NO DEBEN ser mayor al Total de Interconsultas. </v>
      </c>
      <c r="CE73" s="1435" t="str">
        <f t="shared" si="48"/>
        <v xml:space="preserve">* Las Interconsultas de Niños, Niñas, Adolescentes y Jóvenes Red SENAME NO DEBEN ser mayor al Total de Interconsultas. </v>
      </c>
      <c r="CF73" s="1435" t="str">
        <f t="shared" si="49"/>
        <v xml:space="preserve">* Las Interconsultas de Migrantes NO DEBEN ser mayor al Total de Interconsultas. </v>
      </c>
      <c r="CG73" s="1435" t="str">
        <f t="shared" si="56"/>
        <v xml:space="preserve">* Las Interconsultas de Niños, Niñas, Adolescentes y Jóvenes Red Mejor Niñez NO DEBEN ser mayor al Total de Interconsultas. </v>
      </c>
      <c r="CH73" s="1435"/>
      <c r="DB73" s="1436">
        <f t="shared" si="50"/>
        <v>1</v>
      </c>
      <c r="DC73" s="1436">
        <f t="shared" si="51"/>
        <v>1</v>
      </c>
      <c r="DD73" s="1436">
        <f t="shared" si="52"/>
        <v>1</v>
      </c>
      <c r="DE73" s="1436">
        <f t="shared" si="53"/>
        <v>1</v>
      </c>
      <c r="DF73" s="1436">
        <f t="shared" si="54"/>
        <v>1</v>
      </c>
      <c r="DG73" s="1436">
        <f t="shared" si="57"/>
        <v>1</v>
      </c>
      <c r="DH73" s="1432"/>
    </row>
    <row r="74" spans="1:112" ht="16.350000000000001" customHeight="1" x14ac:dyDescent="0.25">
      <c r="A74" s="7520" t="s">
        <v>5146</v>
      </c>
      <c r="B74" s="9803" t="s">
        <v>2540</v>
      </c>
      <c r="C74" s="9686" t="s">
        <v>2540</v>
      </c>
      <c r="D74" s="9687"/>
      <c r="E74" s="4656" t="s">
        <v>5369</v>
      </c>
      <c r="F74" s="4656" t="s">
        <v>5370</v>
      </c>
      <c r="G74" s="4658" t="s">
        <v>5371</v>
      </c>
      <c r="H74" s="4659" t="s">
        <v>5372</v>
      </c>
      <c r="I74" s="4659" t="s">
        <v>5373</v>
      </c>
      <c r="J74" s="4659" t="s">
        <v>5374</v>
      </c>
      <c r="K74" s="4659" t="s">
        <v>5375</v>
      </c>
      <c r="L74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4" s="806"/>
      <c r="N74" s="806"/>
      <c r="O74" s="806"/>
      <c r="P74" s="806"/>
      <c r="Q74" s="806"/>
      <c r="R74" s="806"/>
      <c r="S74" s="806"/>
      <c r="T74" s="290"/>
      <c r="BX74" s="1430"/>
      <c r="BY74" s="1430"/>
      <c r="CB74" s="1435" t="str">
        <f t="shared" si="45"/>
        <v xml:space="preserve">* Las Interconsultas de Gestantes NO DEBEN ser mayor al Total de Interconsultas. </v>
      </c>
      <c r="CC74" s="1435" t="str">
        <f t="shared" si="46"/>
        <v xml:space="preserve">* Las Interconsultas de Pacientes de 60 años NO DEBEN ser mayor al Total de Interconsultas. </v>
      </c>
      <c r="CD74" s="1435" t="str">
        <f t="shared" si="47"/>
        <v xml:space="preserve">* Las Interconsultas de Usuarios en situación de Discapacidad NO DEBEN ser mayor al Total de Interconsultas. </v>
      </c>
      <c r="CE74" s="1435" t="str">
        <f t="shared" si="48"/>
        <v xml:space="preserve">* Las Interconsultas de Niños, Niñas, Adolescentes y Jóvenes Red SENAME NO DEBEN ser mayor al Total de Interconsultas. </v>
      </c>
      <c r="CF74" s="1435" t="str">
        <f t="shared" si="49"/>
        <v xml:space="preserve">* Las Interconsultas de Migrantes NO DEBEN ser mayor al Total de Interconsultas. </v>
      </c>
      <c r="CG74" s="1435" t="str">
        <f t="shared" si="56"/>
        <v xml:space="preserve">* Las Interconsultas de Niños, Niñas, Adolescentes y Jóvenes Red Mejor Niñez NO DEBEN ser mayor al Total de Interconsultas. </v>
      </c>
      <c r="CH74" s="1435"/>
      <c r="DB74" s="1436">
        <f t="shared" si="50"/>
        <v>1</v>
      </c>
      <c r="DC74" s="1436">
        <f t="shared" si="51"/>
        <v>1</v>
      </c>
      <c r="DD74" s="1436">
        <f t="shared" si="52"/>
        <v>1</v>
      </c>
      <c r="DE74" s="1436">
        <f t="shared" si="53"/>
        <v>1</v>
      </c>
      <c r="DF74" s="1436">
        <f t="shared" si="54"/>
        <v>1</v>
      </c>
      <c r="DG74" s="1436">
        <f t="shared" si="57"/>
        <v>1</v>
      </c>
      <c r="DH74" s="1432"/>
    </row>
    <row r="75" spans="1:112" ht="16.350000000000001" customHeight="1" x14ac:dyDescent="0.3">
      <c r="A75" s="7520"/>
      <c r="B75" s="9804"/>
      <c r="C75" s="9805" t="s">
        <v>2194</v>
      </c>
      <c r="D75" s="9806"/>
      <c r="E75" s="4647"/>
      <c r="F75" s="4647"/>
      <c r="G75" s="4647"/>
      <c r="H75" s="4647"/>
      <c r="I75" s="4647"/>
      <c r="J75" s="4647"/>
      <c r="K75" s="4647"/>
      <c r="L75" s="1360" t="str">
        <f t="shared" si="55"/>
        <v/>
      </c>
      <c r="M75" s="806"/>
      <c r="N75" s="806"/>
      <c r="O75" s="806"/>
      <c r="P75" s="806"/>
      <c r="Q75" s="806"/>
      <c r="R75" s="806"/>
      <c r="S75" s="806"/>
      <c r="T75" s="290"/>
      <c r="BX75" s="1430"/>
      <c r="BY75" s="1430"/>
      <c r="CB75" s="1435" t="str">
        <f t="shared" si="45"/>
        <v/>
      </c>
      <c r="CC75" s="1435" t="str">
        <f t="shared" si="46"/>
        <v/>
      </c>
      <c r="CD75" s="1435" t="str">
        <f t="shared" si="47"/>
        <v/>
      </c>
      <c r="CE75" s="1435" t="str">
        <f t="shared" si="48"/>
        <v/>
      </c>
      <c r="CF75" s="1435" t="str">
        <f t="shared" si="49"/>
        <v/>
      </c>
      <c r="CG75" s="1435" t="str">
        <f t="shared" si="56"/>
        <v/>
      </c>
      <c r="CH75" s="1435"/>
      <c r="DB75" s="1436">
        <f t="shared" si="50"/>
        <v>0</v>
      </c>
      <c r="DC75" s="1436">
        <f t="shared" si="51"/>
        <v>0</v>
      </c>
      <c r="DD75" s="1436">
        <f t="shared" si="52"/>
        <v>0</v>
      </c>
      <c r="DE75" s="1436">
        <f t="shared" si="53"/>
        <v>0</v>
      </c>
      <c r="DF75" s="1436">
        <f t="shared" si="54"/>
        <v>0</v>
      </c>
      <c r="DG75" s="1436">
        <f t="shared" si="57"/>
        <v>0</v>
      </c>
      <c r="DH75" s="1432"/>
    </row>
    <row r="76" spans="1:112" ht="16.350000000000001" customHeight="1" x14ac:dyDescent="0.25">
      <c r="A76" s="7520" t="s">
        <v>5148</v>
      </c>
      <c r="B76" s="9686" t="s">
        <v>1032</v>
      </c>
      <c r="C76" s="9799"/>
      <c r="D76" s="9687"/>
      <c r="E76" s="4656" t="s">
        <v>5369</v>
      </c>
      <c r="F76" s="4656" t="s">
        <v>5370</v>
      </c>
      <c r="G76" s="4656" t="s">
        <v>5371</v>
      </c>
      <c r="H76" s="4656" t="s">
        <v>5372</v>
      </c>
      <c r="I76" s="4656" t="s">
        <v>5373</v>
      </c>
      <c r="J76" s="4656" t="s">
        <v>5374</v>
      </c>
      <c r="K76" s="4656" t="s">
        <v>5375</v>
      </c>
      <c r="L76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6" s="806"/>
      <c r="N76" s="806"/>
      <c r="O76" s="806"/>
      <c r="P76" s="806"/>
      <c r="Q76" s="806"/>
      <c r="R76" s="806"/>
      <c r="S76" s="806"/>
      <c r="T76" s="290"/>
      <c r="BX76" s="1430"/>
      <c r="BY76" s="1430"/>
      <c r="CB76" s="1435" t="str">
        <f t="shared" si="45"/>
        <v xml:space="preserve">* Las Interconsultas de Gestantes NO DEBEN ser mayor al Total de Interconsultas. </v>
      </c>
      <c r="CC76" s="1435" t="str">
        <f t="shared" si="46"/>
        <v xml:space="preserve">* Las Interconsultas de Pacientes de 60 años NO DEBEN ser mayor al Total de Interconsultas. </v>
      </c>
      <c r="CD76" s="1435" t="str">
        <f t="shared" si="47"/>
        <v xml:space="preserve">* Las Interconsultas de Usuarios en situación de Discapacidad NO DEBEN ser mayor al Total de Interconsultas. </v>
      </c>
      <c r="CE76" s="1435" t="str">
        <f t="shared" si="48"/>
        <v xml:space="preserve">* Las Interconsultas de Niños, Niñas, Adolescentes y Jóvenes Red SENAME NO DEBEN ser mayor al Total de Interconsultas. </v>
      </c>
      <c r="CF76" s="1435" t="str">
        <f t="shared" si="49"/>
        <v xml:space="preserve">* Las Interconsultas de Migrantes NO DEBEN ser mayor al Total de Interconsultas. </v>
      </c>
      <c r="CG76" s="1435" t="str">
        <f t="shared" si="56"/>
        <v xml:space="preserve">* Las Interconsultas de Niños, Niñas, Adolescentes y Jóvenes Red Mejor Niñez NO DEBEN ser mayor al Total de Interconsultas. </v>
      </c>
      <c r="CH76" s="1435"/>
      <c r="DB76" s="1436">
        <f t="shared" si="50"/>
        <v>1</v>
      </c>
      <c r="DC76" s="1436">
        <f t="shared" si="51"/>
        <v>1</v>
      </c>
      <c r="DD76" s="1436">
        <f t="shared" si="52"/>
        <v>1</v>
      </c>
      <c r="DE76" s="1436">
        <f t="shared" si="53"/>
        <v>1</v>
      </c>
      <c r="DF76" s="1436">
        <f t="shared" si="54"/>
        <v>1</v>
      </c>
      <c r="DG76" s="1436">
        <f t="shared" si="57"/>
        <v>1</v>
      </c>
      <c r="DH76" s="1432"/>
    </row>
    <row r="77" spans="1:112" ht="16.350000000000001" customHeight="1" x14ac:dyDescent="0.25">
      <c r="A77" s="7520" t="s">
        <v>5149</v>
      </c>
      <c r="B77" s="9772" t="s">
        <v>1029</v>
      </c>
      <c r="C77" s="9773"/>
      <c r="D77" s="9774"/>
      <c r="E77" s="4655" t="s">
        <v>5369</v>
      </c>
      <c r="F77" s="4655" t="s">
        <v>5370</v>
      </c>
      <c r="G77" s="4660" t="s">
        <v>5371</v>
      </c>
      <c r="H77" s="4661" t="s">
        <v>5372</v>
      </c>
      <c r="I77" s="4661" t="s">
        <v>5373</v>
      </c>
      <c r="J77" s="4661" t="s">
        <v>5374</v>
      </c>
      <c r="K77" s="4661" t="s">
        <v>5375</v>
      </c>
      <c r="L77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7" s="806"/>
      <c r="N77" s="806"/>
      <c r="O77" s="806"/>
      <c r="P77" s="806"/>
      <c r="Q77" s="806"/>
      <c r="R77" s="806"/>
      <c r="S77" s="806"/>
      <c r="T77" s="290"/>
      <c r="BX77" s="1430"/>
      <c r="BY77" s="1430"/>
      <c r="CB77" s="1435" t="str">
        <f t="shared" si="45"/>
        <v xml:space="preserve">* Las Interconsultas de Gestantes NO DEBEN ser mayor al Total de Interconsultas. </v>
      </c>
      <c r="CC77" s="1435" t="str">
        <f t="shared" si="46"/>
        <v xml:space="preserve">* Las Interconsultas de Pacientes de 60 años NO DEBEN ser mayor al Total de Interconsultas. </v>
      </c>
      <c r="CD77" s="1435" t="str">
        <f t="shared" si="47"/>
        <v xml:space="preserve">* Las Interconsultas de Usuarios en situación de Discapacidad NO DEBEN ser mayor al Total de Interconsultas. </v>
      </c>
      <c r="CE77" s="1435" t="str">
        <f t="shared" si="48"/>
        <v xml:space="preserve">* Las Interconsultas de Niños, Niñas, Adolescentes y Jóvenes Red SENAME NO DEBEN ser mayor al Total de Interconsultas. </v>
      </c>
      <c r="CF77" s="1435" t="str">
        <f t="shared" si="49"/>
        <v xml:space="preserve">* Las Interconsultas de Migrantes NO DEBEN ser mayor al Total de Interconsultas. </v>
      </c>
      <c r="CG77" s="1435" t="str">
        <f t="shared" si="56"/>
        <v xml:space="preserve">* Las Interconsultas de Niños, Niñas, Adolescentes y Jóvenes Red Mejor Niñez NO DEBEN ser mayor al Total de Interconsultas. </v>
      </c>
      <c r="CH77" s="1435"/>
      <c r="DB77" s="1436">
        <f t="shared" si="50"/>
        <v>1</v>
      </c>
      <c r="DC77" s="1436">
        <f t="shared" si="51"/>
        <v>1</v>
      </c>
      <c r="DD77" s="1436">
        <f t="shared" si="52"/>
        <v>1</v>
      </c>
      <c r="DE77" s="1436">
        <f t="shared" si="53"/>
        <v>1</v>
      </c>
      <c r="DF77" s="1436">
        <f t="shared" si="54"/>
        <v>1</v>
      </c>
      <c r="DG77" s="1436">
        <f t="shared" si="57"/>
        <v>1</v>
      </c>
      <c r="DH77" s="1432"/>
    </row>
    <row r="78" spans="1:112" ht="16.350000000000001" customHeight="1" x14ac:dyDescent="0.25">
      <c r="A78" s="7520" t="s">
        <v>5150</v>
      </c>
      <c r="B78" s="9772" t="s">
        <v>1028</v>
      </c>
      <c r="C78" s="9773"/>
      <c r="D78" s="9774"/>
      <c r="E78" s="4655" t="s">
        <v>5369</v>
      </c>
      <c r="F78" s="4655" t="s">
        <v>5370</v>
      </c>
      <c r="G78" s="4660" t="s">
        <v>5371</v>
      </c>
      <c r="H78" s="4661" t="s">
        <v>5372</v>
      </c>
      <c r="I78" s="4661" t="s">
        <v>5373</v>
      </c>
      <c r="J78" s="4661" t="s">
        <v>5374</v>
      </c>
      <c r="K78" s="4661" t="s">
        <v>5375</v>
      </c>
      <c r="L78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8" s="806"/>
      <c r="N78" s="806"/>
      <c r="O78" s="806"/>
      <c r="P78" s="806"/>
      <c r="Q78" s="806"/>
      <c r="R78" s="806"/>
      <c r="S78" s="806"/>
      <c r="T78" s="290"/>
      <c r="BX78" s="1430"/>
      <c r="BY78" s="1430"/>
      <c r="CB78" s="1435" t="str">
        <f t="shared" si="45"/>
        <v xml:space="preserve">* Las Interconsultas de Gestantes NO DEBEN ser mayor al Total de Interconsultas. </v>
      </c>
      <c r="CC78" s="1435" t="str">
        <f t="shared" si="46"/>
        <v xml:space="preserve">* Las Interconsultas de Pacientes de 60 años NO DEBEN ser mayor al Total de Interconsultas. </v>
      </c>
      <c r="CD78" s="1435" t="str">
        <f t="shared" si="47"/>
        <v xml:space="preserve">* Las Interconsultas de Usuarios en situación de Discapacidad NO DEBEN ser mayor al Total de Interconsultas. </v>
      </c>
      <c r="CE78" s="1435" t="str">
        <f t="shared" si="48"/>
        <v xml:space="preserve">* Las Interconsultas de Niños, Niñas, Adolescentes y Jóvenes Red SENAME NO DEBEN ser mayor al Total de Interconsultas. </v>
      </c>
      <c r="CF78" s="1435" t="str">
        <f t="shared" si="49"/>
        <v xml:space="preserve">* Las Interconsultas de Migrantes NO DEBEN ser mayor al Total de Interconsultas. </v>
      </c>
      <c r="CG78" s="1435" t="str">
        <f t="shared" si="56"/>
        <v xml:space="preserve">* Las Interconsultas de Niños, Niñas, Adolescentes y Jóvenes Red Mejor Niñez NO DEBEN ser mayor al Total de Interconsultas. </v>
      </c>
      <c r="CH78" s="1435"/>
      <c r="DB78" s="1436">
        <f t="shared" si="50"/>
        <v>1</v>
      </c>
      <c r="DC78" s="1436">
        <f t="shared" si="51"/>
        <v>1</v>
      </c>
      <c r="DD78" s="1436">
        <f t="shared" si="52"/>
        <v>1</v>
      </c>
      <c r="DE78" s="1436">
        <f t="shared" si="53"/>
        <v>1</v>
      </c>
      <c r="DF78" s="1436">
        <f t="shared" si="54"/>
        <v>1</v>
      </c>
      <c r="DG78" s="1436">
        <f t="shared" si="57"/>
        <v>1</v>
      </c>
      <c r="DH78" s="1432"/>
    </row>
    <row r="79" spans="1:112" ht="16.350000000000001" customHeight="1" x14ac:dyDescent="0.25">
      <c r="A79" s="7520" t="s">
        <v>5151</v>
      </c>
      <c r="B79" s="9772" t="s">
        <v>1030</v>
      </c>
      <c r="C79" s="9773"/>
      <c r="D79" s="9774"/>
      <c r="E79" s="4655" t="s">
        <v>5369</v>
      </c>
      <c r="F79" s="4655" t="s">
        <v>5370</v>
      </c>
      <c r="G79" s="4660" t="s">
        <v>5371</v>
      </c>
      <c r="H79" s="4661" t="s">
        <v>5372</v>
      </c>
      <c r="I79" s="4661" t="s">
        <v>5373</v>
      </c>
      <c r="J79" s="4661" t="s">
        <v>5374</v>
      </c>
      <c r="K79" s="4661" t="s">
        <v>5375</v>
      </c>
      <c r="L79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79" s="806"/>
      <c r="N79" s="806"/>
      <c r="O79" s="806"/>
      <c r="P79" s="806"/>
      <c r="Q79" s="806"/>
      <c r="R79" s="806"/>
      <c r="S79" s="806"/>
      <c r="T79" s="290"/>
      <c r="BX79" s="1430"/>
      <c r="BY79" s="1430"/>
      <c r="CB79" s="1435" t="str">
        <f t="shared" si="45"/>
        <v xml:space="preserve">* Las Interconsultas de Gestantes NO DEBEN ser mayor al Total de Interconsultas. </v>
      </c>
      <c r="CC79" s="1435" t="str">
        <f t="shared" si="46"/>
        <v xml:space="preserve">* Las Interconsultas de Pacientes de 60 años NO DEBEN ser mayor al Total de Interconsultas. </v>
      </c>
      <c r="CD79" s="1435" t="str">
        <f t="shared" si="47"/>
        <v xml:space="preserve">* Las Interconsultas de Usuarios en situación de Discapacidad NO DEBEN ser mayor al Total de Interconsultas. </v>
      </c>
      <c r="CE79" s="1435" t="str">
        <f t="shared" si="48"/>
        <v xml:space="preserve">* Las Interconsultas de Niños, Niñas, Adolescentes y Jóvenes Red SENAME NO DEBEN ser mayor al Total de Interconsultas. </v>
      </c>
      <c r="CF79" s="1435" t="str">
        <f t="shared" si="49"/>
        <v xml:space="preserve">* Las Interconsultas de Migrantes NO DEBEN ser mayor al Total de Interconsultas. </v>
      </c>
      <c r="CG79" s="1435" t="str">
        <f t="shared" si="56"/>
        <v xml:space="preserve">* Las Interconsultas de Niños, Niñas, Adolescentes y Jóvenes Red Mejor Niñez NO DEBEN ser mayor al Total de Interconsultas. </v>
      </c>
      <c r="CH79" s="1435"/>
      <c r="DB79" s="1436">
        <f t="shared" si="50"/>
        <v>1</v>
      </c>
      <c r="DC79" s="1436">
        <f t="shared" si="51"/>
        <v>1</v>
      </c>
      <c r="DD79" s="1436">
        <f t="shared" si="52"/>
        <v>1</v>
      </c>
      <c r="DE79" s="1436">
        <f t="shared" si="53"/>
        <v>1</v>
      </c>
      <c r="DF79" s="1436">
        <f t="shared" si="54"/>
        <v>1</v>
      </c>
      <c r="DG79" s="1436">
        <f t="shared" si="57"/>
        <v>1</v>
      </c>
      <c r="DH79" s="1432"/>
    </row>
    <row r="80" spans="1:112" ht="16.350000000000001" customHeight="1" x14ac:dyDescent="0.25">
      <c r="A80" s="7520" t="s">
        <v>5152</v>
      </c>
      <c r="B80" s="9818" t="s">
        <v>2195</v>
      </c>
      <c r="C80" s="9819"/>
      <c r="D80" s="9820"/>
      <c r="E80" s="4662" t="s">
        <v>5369</v>
      </c>
      <c r="F80" s="4662" t="s">
        <v>5370</v>
      </c>
      <c r="G80" s="4663" t="s">
        <v>5371</v>
      </c>
      <c r="H80" s="4664" t="s">
        <v>5372</v>
      </c>
      <c r="I80" s="4664" t="s">
        <v>5373</v>
      </c>
      <c r="J80" s="4664" t="s">
        <v>5374</v>
      </c>
      <c r="K80" s="4664" t="s">
        <v>5375</v>
      </c>
      <c r="L80" s="1360" t="str">
        <f t="shared" si="55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* Las Interconsultas de Niños, Niñas, Adolescentes y Jóvenes Red Mejor Niñez NO DEBEN ser mayor al Total de Interconsultas. </v>
      </c>
      <c r="M80" s="806"/>
      <c r="N80" s="806"/>
      <c r="O80" s="806"/>
      <c r="P80" s="806"/>
      <c r="Q80" s="806"/>
      <c r="R80" s="806"/>
      <c r="S80" s="806"/>
      <c r="T80" s="290"/>
      <c r="BX80" s="1430"/>
      <c r="BY80" s="1430"/>
      <c r="CB80" s="1435" t="str">
        <f t="shared" si="45"/>
        <v xml:space="preserve">* Las Interconsultas de Gestantes NO DEBEN ser mayor al Total de Interconsultas. </v>
      </c>
      <c r="CC80" s="1435" t="str">
        <f t="shared" si="46"/>
        <v xml:space="preserve">* Las Interconsultas de Pacientes de 60 años NO DEBEN ser mayor al Total de Interconsultas. </v>
      </c>
      <c r="CD80" s="1435" t="str">
        <f t="shared" si="47"/>
        <v xml:space="preserve">* Las Interconsultas de Usuarios en situación de Discapacidad NO DEBEN ser mayor al Total de Interconsultas. </v>
      </c>
      <c r="CE80" s="1435" t="str">
        <f t="shared" si="48"/>
        <v xml:space="preserve">* Las Interconsultas de Niños, Niñas, Adolescentes y Jóvenes Red SENAME NO DEBEN ser mayor al Total de Interconsultas. </v>
      </c>
      <c r="CF80" s="1435" t="str">
        <f t="shared" si="49"/>
        <v xml:space="preserve">* Las Interconsultas de Migrantes NO DEBEN ser mayor al Total de Interconsultas. </v>
      </c>
      <c r="CG80" s="1435" t="str">
        <f t="shared" si="56"/>
        <v xml:space="preserve">* Las Interconsultas de Niños, Niñas, Adolescentes y Jóvenes Red Mejor Niñez NO DEBEN ser mayor al Total de Interconsultas. </v>
      </c>
      <c r="CH80" s="1435"/>
      <c r="DB80" s="1436">
        <f t="shared" si="50"/>
        <v>1</v>
      </c>
      <c r="DC80" s="1436">
        <f t="shared" si="51"/>
        <v>1</v>
      </c>
      <c r="DD80" s="1436">
        <f t="shared" si="52"/>
        <v>1</v>
      </c>
      <c r="DE80" s="1436">
        <f t="shared" si="53"/>
        <v>1</v>
      </c>
      <c r="DF80" s="1436">
        <f t="shared" si="54"/>
        <v>1</v>
      </c>
      <c r="DG80" s="1436">
        <f t="shared" si="57"/>
        <v>1</v>
      </c>
      <c r="DH80" s="1432"/>
    </row>
    <row r="81" spans="1:113" ht="25.5" customHeight="1" x14ac:dyDescent="0.25">
      <c r="B81" s="2113" t="s">
        <v>2062</v>
      </c>
      <c r="C81" s="235"/>
      <c r="D81" s="1493"/>
      <c r="E81" s="235"/>
      <c r="F81" s="235"/>
      <c r="G81" s="301"/>
      <c r="H81" s="290"/>
      <c r="I81" s="290"/>
      <c r="J81" s="290"/>
      <c r="K81" s="290"/>
      <c r="L81" s="290"/>
      <c r="M81" s="290"/>
      <c r="N81" s="290"/>
      <c r="O81" s="290"/>
      <c r="P81" s="290"/>
      <c r="Q81" s="290"/>
      <c r="R81" s="290"/>
      <c r="S81" s="290"/>
      <c r="BW81" s="1430"/>
      <c r="BX81" s="1430"/>
      <c r="CB81" s="1435"/>
      <c r="CC81" s="1435"/>
      <c r="CD81" s="1435"/>
      <c r="CE81" s="1435"/>
      <c r="CF81" s="1435"/>
      <c r="CG81" s="1435"/>
      <c r="CH81" s="1435"/>
      <c r="DB81" s="1436"/>
      <c r="DC81" s="1436"/>
      <c r="DD81" s="1436"/>
      <c r="DE81" s="1436"/>
      <c r="DF81" s="1436"/>
      <c r="DG81" s="1436"/>
      <c r="DH81" s="1436"/>
    </row>
    <row r="82" spans="1:113" ht="16.350000000000001" customHeight="1" x14ac:dyDescent="0.25">
      <c r="B82" s="9762" t="s">
        <v>1164</v>
      </c>
      <c r="C82" s="9046"/>
      <c r="D82" s="9678"/>
      <c r="E82" s="9810" t="s">
        <v>1163</v>
      </c>
      <c r="F82" s="9776"/>
      <c r="G82" s="9750"/>
      <c r="BW82" s="1430"/>
      <c r="BX82" s="1430"/>
      <c r="CB82" s="1435"/>
      <c r="CC82" s="1435"/>
      <c r="CD82" s="1435"/>
      <c r="CE82" s="1435"/>
      <c r="CF82" s="1435"/>
      <c r="CG82" s="1435"/>
      <c r="CH82" s="1435"/>
      <c r="DB82" s="1436"/>
      <c r="DC82" s="1436"/>
      <c r="DD82" s="1436"/>
      <c r="DE82" s="1436"/>
      <c r="DF82" s="1436"/>
      <c r="DG82" s="1436"/>
      <c r="DH82" s="1436"/>
    </row>
    <row r="83" spans="1:113" ht="32.1" customHeight="1" x14ac:dyDescent="0.25">
      <c r="B83" s="9763"/>
      <c r="C83" s="9738"/>
      <c r="D83" s="9739"/>
      <c r="E83" s="3752" t="s">
        <v>24</v>
      </c>
      <c r="F83" s="3670" t="s">
        <v>17</v>
      </c>
      <c r="G83" s="4665" t="s">
        <v>18</v>
      </c>
      <c r="BW83" s="1430"/>
      <c r="BX83" s="1430"/>
      <c r="CB83" s="1435"/>
      <c r="CC83" s="1435"/>
      <c r="CD83" s="1435"/>
      <c r="CE83" s="1435"/>
      <c r="CF83" s="1435"/>
      <c r="CG83" s="1435"/>
      <c r="CH83" s="1435"/>
      <c r="DB83" s="1436"/>
      <c r="DC83" s="1436"/>
      <c r="DD83" s="1436"/>
      <c r="DE83" s="1436"/>
      <c r="DF83" s="1436"/>
      <c r="DG83" s="1436"/>
      <c r="DH83" s="1436"/>
    </row>
    <row r="84" spans="1:113" ht="16.350000000000001" customHeight="1" x14ac:dyDescent="0.25">
      <c r="A84" s="7520" t="s">
        <v>5153</v>
      </c>
      <c r="B84" s="9803" t="s">
        <v>1162</v>
      </c>
      <c r="C84" s="9814" t="s">
        <v>1161</v>
      </c>
      <c r="D84" s="9815"/>
      <c r="E84" s="2855" t="s">
        <v>5369</v>
      </c>
      <c r="F84" s="3139" t="s">
        <v>5370</v>
      </c>
      <c r="G84" s="2986" t="s">
        <v>5371</v>
      </c>
      <c r="BW84" s="1430"/>
      <c r="BX84" s="1430"/>
      <c r="CB84" s="1435"/>
      <c r="CC84" s="1435"/>
      <c r="CD84" s="1435"/>
      <c r="CE84" s="1435"/>
      <c r="CF84" s="1435"/>
      <c r="CG84" s="1435"/>
      <c r="CH84" s="1435"/>
      <c r="DB84" s="1436"/>
      <c r="DC84" s="1436"/>
      <c r="DD84" s="1436"/>
      <c r="DE84" s="1436"/>
      <c r="DF84" s="1436"/>
      <c r="DG84" s="1436"/>
      <c r="DH84" s="1436"/>
    </row>
    <row r="85" spans="1:113" ht="16.350000000000001" customHeight="1" x14ac:dyDescent="0.25">
      <c r="A85" s="7520" t="s">
        <v>5154</v>
      </c>
      <c r="B85" s="9804"/>
      <c r="C85" s="9816" t="s">
        <v>64</v>
      </c>
      <c r="D85" s="9817"/>
      <c r="E85" s="3233" t="s">
        <v>5369</v>
      </c>
      <c r="F85" s="3158" t="s">
        <v>5370</v>
      </c>
      <c r="G85" s="2821" t="s">
        <v>5371</v>
      </c>
      <c r="BW85" s="1430"/>
      <c r="BX85" s="1430"/>
      <c r="CB85" s="1435"/>
      <c r="CC85" s="1435"/>
      <c r="CD85" s="1435"/>
      <c r="CE85" s="1435"/>
      <c r="CF85" s="1435"/>
      <c r="CG85" s="1435"/>
      <c r="CH85" s="1435"/>
      <c r="DB85" s="1436"/>
      <c r="DC85" s="1436"/>
      <c r="DD85" s="1436"/>
      <c r="DE85" s="1436"/>
      <c r="DF85" s="1436"/>
      <c r="DG85" s="1436"/>
      <c r="DH85" s="1436"/>
    </row>
    <row r="86" spans="1:113" ht="33" customHeight="1" x14ac:dyDescent="0.25">
      <c r="B86" s="133" t="s">
        <v>2053</v>
      </c>
      <c r="C86" s="1494"/>
      <c r="D86" s="1494"/>
      <c r="BW86" s="1430"/>
      <c r="BX86" s="1430"/>
      <c r="CB86" s="1435"/>
      <c r="CC86" s="1435"/>
      <c r="CD86" s="1435"/>
      <c r="CE86" s="1435"/>
      <c r="CF86" s="1435"/>
      <c r="CG86" s="1435"/>
      <c r="CH86" s="1435"/>
      <c r="DB86" s="1436"/>
      <c r="DC86" s="1436"/>
      <c r="DD86" s="1436"/>
      <c r="DE86" s="1436"/>
      <c r="DF86" s="1436"/>
      <c r="DG86" s="1436"/>
      <c r="DH86" s="1436"/>
    </row>
    <row r="87" spans="1:113" ht="27.75" customHeight="1" x14ac:dyDescent="0.25">
      <c r="B87" s="9046" t="s">
        <v>1160</v>
      </c>
      <c r="C87" s="9046"/>
      <c r="D87" s="9678"/>
      <c r="E87" s="9762" t="s">
        <v>24</v>
      </c>
      <c r="F87" s="9046"/>
      <c r="G87" s="9678"/>
      <c r="H87" s="9747" t="s">
        <v>1063</v>
      </c>
      <c r="I87" s="9749"/>
      <c r="J87" s="9749"/>
      <c r="K87" s="9749"/>
      <c r="L87" s="9749"/>
      <c r="M87" s="9749"/>
      <c r="N87" s="9749"/>
      <c r="O87" s="9749"/>
      <c r="P87" s="9749"/>
      <c r="Q87" s="9749"/>
      <c r="R87" s="9749"/>
      <c r="S87" s="9749"/>
      <c r="T87" s="9749"/>
      <c r="U87" s="9749"/>
      <c r="V87" s="9749"/>
      <c r="W87" s="9749"/>
      <c r="X87" s="9749"/>
      <c r="Y87" s="9749"/>
      <c r="Z87" s="9749"/>
      <c r="AA87" s="9749"/>
      <c r="AB87" s="9749"/>
      <c r="AC87" s="9749"/>
      <c r="AD87" s="9749"/>
      <c r="AE87" s="9749"/>
      <c r="AF87" s="9749"/>
      <c r="AG87" s="9749"/>
      <c r="AH87" s="9749"/>
      <c r="AI87" s="9749"/>
      <c r="AJ87" s="9749"/>
      <c r="AK87" s="9749"/>
      <c r="AL87" s="9749"/>
      <c r="AM87" s="9749"/>
      <c r="AN87" s="9749"/>
      <c r="AO87" s="9786"/>
      <c r="AP87" s="9748" t="s">
        <v>2534</v>
      </c>
      <c r="AQ87" s="9752" t="s">
        <v>112</v>
      </c>
      <c r="AR87" s="9825" t="s">
        <v>360</v>
      </c>
      <c r="AS87" s="8627" t="s">
        <v>2535</v>
      </c>
      <c r="AT87" s="8627" t="s">
        <v>2536</v>
      </c>
      <c r="AU87" s="9821" t="s">
        <v>2554</v>
      </c>
      <c r="AV87" s="9821" t="s">
        <v>3005</v>
      </c>
      <c r="AW87" s="9821" t="s">
        <v>2694</v>
      </c>
      <c r="AX87" s="9822" t="s">
        <v>361</v>
      </c>
      <c r="BY87" s="1430"/>
      <c r="BZ87" s="1430"/>
      <c r="CB87" s="1435"/>
      <c r="CC87" s="1435"/>
      <c r="CD87" s="1435"/>
      <c r="CE87" s="1435"/>
      <c r="CF87" s="1435"/>
      <c r="CG87" s="1435"/>
      <c r="CH87" s="1435"/>
      <c r="DB87" s="1436"/>
      <c r="DC87" s="1436"/>
      <c r="DD87" s="1436"/>
      <c r="DE87" s="1436"/>
      <c r="DF87" s="1436"/>
      <c r="DG87" s="1436"/>
      <c r="DH87" s="1436"/>
    </row>
    <row r="88" spans="1:113" ht="27.75" customHeight="1" x14ac:dyDescent="0.25">
      <c r="B88" s="9696"/>
      <c r="C88" s="9696"/>
      <c r="D88" s="9737"/>
      <c r="E88" s="9763"/>
      <c r="F88" s="9738"/>
      <c r="G88" s="9739"/>
      <c r="H88" s="9745" t="s">
        <v>3670</v>
      </c>
      <c r="I88" s="9746"/>
      <c r="J88" s="9747" t="s">
        <v>1078</v>
      </c>
      <c r="K88" s="9749"/>
      <c r="L88" s="9747" t="s">
        <v>3663</v>
      </c>
      <c r="M88" s="9748"/>
      <c r="N88" s="9747" t="s">
        <v>1077</v>
      </c>
      <c r="O88" s="9748"/>
      <c r="P88" s="9747" t="s">
        <v>1076</v>
      </c>
      <c r="Q88" s="9748"/>
      <c r="R88" s="9747" t="s">
        <v>1047</v>
      </c>
      <c r="S88" s="9748"/>
      <c r="T88" s="9747" t="s">
        <v>1046</v>
      </c>
      <c r="U88" s="9748"/>
      <c r="V88" s="9749" t="s">
        <v>3664</v>
      </c>
      <c r="W88" s="9748"/>
      <c r="X88" s="9747" t="s">
        <v>48</v>
      </c>
      <c r="Y88" s="9750"/>
      <c r="Z88" s="9747" t="s">
        <v>49</v>
      </c>
      <c r="AA88" s="9750"/>
      <c r="AB88" s="9747" t="s">
        <v>3731</v>
      </c>
      <c r="AC88" s="9750"/>
      <c r="AD88" s="9747" t="s">
        <v>3732</v>
      </c>
      <c r="AE88" s="9750"/>
      <c r="AF88" s="9747" t="s">
        <v>3733</v>
      </c>
      <c r="AG88" s="9750"/>
      <c r="AH88" s="9747" t="s">
        <v>3734</v>
      </c>
      <c r="AI88" s="9750"/>
      <c r="AJ88" s="9747" t="s">
        <v>2132</v>
      </c>
      <c r="AK88" s="9750"/>
      <c r="AL88" s="9749" t="s">
        <v>2133</v>
      </c>
      <c r="AM88" s="9750"/>
      <c r="AN88" s="9747" t="s">
        <v>2131</v>
      </c>
      <c r="AO88" s="9751"/>
      <c r="AP88" s="9748"/>
      <c r="AQ88" s="9752"/>
      <c r="AR88" s="8591"/>
      <c r="AS88" s="8705"/>
      <c r="AT88" s="8705"/>
      <c r="AU88" s="9821"/>
      <c r="AV88" s="9821"/>
      <c r="AW88" s="9821"/>
      <c r="AX88" s="9823"/>
      <c r="BW88" s="1430"/>
      <c r="BX88" s="1430"/>
      <c r="CB88" s="1435"/>
      <c r="CC88" s="1435"/>
      <c r="CD88" s="1435"/>
      <c r="CE88" s="1435"/>
      <c r="CF88" s="1435"/>
      <c r="CG88" s="1435"/>
      <c r="CH88" s="1435"/>
      <c r="DB88" s="1436"/>
      <c r="DC88" s="1436"/>
      <c r="DD88" s="1436"/>
      <c r="DE88" s="1436"/>
      <c r="DF88" s="1436"/>
      <c r="DG88" s="1436"/>
      <c r="DH88" s="1436"/>
    </row>
    <row r="89" spans="1:113" ht="27.75" customHeight="1" x14ac:dyDescent="0.25">
      <c r="B89" s="9738"/>
      <c r="C89" s="9738"/>
      <c r="D89" s="9739"/>
      <c r="E89" s="3673" t="s">
        <v>42</v>
      </c>
      <c r="F89" s="4557" t="s">
        <v>17</v>
      </c>
      <c r="G89" s="4545" t="s">
        <v>18</v>
      </c>
      <c r="H89" s="3673" t="s">
        <v>17</v>
      </c>
      <c r="I89" s="4545" t="s">
        <v>18</v>
      </c>
      <c r="J89" s="3673" t="s">
        <v>17</v>
      </c>
      <c r="K89" s="4558" t="s">
        <v>18</v>
      </c>
      <c r="L89" s="3673" t="s">
        <v>17</v>
      </c>
      <c r="M89" s="4545" t="s">
        <v>18</v>
      </c>
      <c r="N89" s="3673" t="s">
        <v>17</v>
      </c>
      <c r="O89" s="4545" t="s">
        <v>18</v>
      </c>
      <c r="P89" s="4557" t="s">
        <v>17</v>
      </c>
      <c r="Q89" s="4545" t="s">
        <v>18</v>
      </c>
      <c r="R89" s="4557" t="s">
        <v>17</v>
      </c>
      <c r="S89" s="4545" t="s">
        <v>18</v>
      </c>
      <c r="T89" s="4557" t="s">
        <v>17</v>
      </c>
      <c r="U89" s="4545" t="s">
        <v>18</v>
      </c>
      <c r="V89" s="4557" t="s">
        <v>17</v>
      </c>
      <c r="W89" s="4545" t="s">
        <v>18</v>
      </c>
      <c r="X89" s="4557" t="s">
        <v>17</v>
      </c>
      <c r="Y89" s="4545" t="s">
        <v>18</v>
      </c>
      <c r="Z89" s="4557" t="s">
        <v>17</v>
      </c>
      <c r="AA89" s="4545" t="s">
        <v>18</v>
      </c>
      <c r="AB89" s="4557" t="s">
        <v>17</v>
      </c>
      <c r="AC89" s="4545" t="s">
        <v>18</v>
      </c>
      <c r="AD89" s="4557" t="s">
        <v>17</v>
      </c>
      <c r="AE89" s="4545" t="s">
        <v>18</v>
      </c>
      <c r="AF89" s="4557" t="s">
        <v>17</v>
      </c>
      <c r="AG89" s="4545" t="s">
        <v>18</v>
      </c>
      <c r="AH89" s="4557" t="s">
        <v>17</v>
      </c>
      <c r="AI89" s="4545" t="s">
        <v>18</v>
      </c>
      <c r="AJ89" s="4557" t="s">
        <v>17</v>
      </c>
      <c r="AK89" s="4545" t="s">
        <v>18</v>
      </c>
      <c r="AL89" s="4557" t="s">
        <v>17</v>
      </c>
      <c r="AM89" s="4545" t="s">
        <v>18</v>
      </c>
      <c r="AN89" s="4557" t="s">
        <v>17</v>
      </c>
      <c r="AO89" s="4546" t="s">
        <v>18</v>
      </c>
      <c r="AP89" s="9748"/>
      <c r="AQ89" s="9752"/>
      <c r="AR89" s="9826"/>
      <c r="AS89" s="9743"/>
      <c r="AT89" s="9743"/>
      <c r="AU89" s="9821"/>
      <c r="AV89" s="9821"/>
      <c r="AW89" s="9821"/>
      <c r="AX89" s="9824"/>
      <c r="BW89" s="1430"/>
      <c r="BX89" s="1430"/>
      <c r="CB89" s="1435"/>
      <c r="CC89" s="1435"/>
      <c r="CD89" s="1435"/>
      <c r="CE89" s="1435"/>
      <c r="CF89" s="1435"/>
      <c r="CG89" s="1435"/>
      <c r="CH89" s="1435"/>
      <c r="DB89" s="1436"/>
      <c r="DC89" s="1436"/>
      <c r="DD89" s="1436"/>
      <c r="DE89" s="1436"/>
      <c r="DF89" s="1436"/>
      <c r="DG89" s="1436"/>
      <c r="DH89" s="1436"/>
    </row>
    <row r="90" spans="1:113" ht="16.350000000000001" customHeight="1" x14ac:dyDescent="0.25">
      <c r="A90" s="7520" t="s">
        <v>5155</v>
      </c>
      <c r="B90" s="9827" t="s">
        <v>1159</v>
      </c>
      <c r="C90" s="9827"/>
      <c r="D90" s="9827"/>
      <c r="E90" s="3676" t="s">
        <v>5369</v>
      </c>
      <c r="F90" s="4547" t="s">
        <v>5370</v>
      </c>
      <c r="G90" s="4549" t="s">
        <v>5371</v>
      </c>
      <c r="H90" s="4550" t="s">
        <v>5372</v>
      </c>
      <c r="I90" s="4560" t="s">
        <v>5373</v>
      </c>
      <c r="J90" s="4550" t="s">
        <v>5374</v>
      </c>
      <c r="K90" s="4561" t="s">
        <v>5375</v>
      </c>
      <c r="L90" s="4550" t="s">
        <v>5376</v>
      </c>
      <c r="M90" s="4560" t="s">
        <v>5377</v>
      </c>
      <c r="N90" s="4550" t="s">
        <v>5378</v>
      </c>
      <c r="O90" s="4560" t="s">
        <v>5379</v>
      </c>
      <c r="P90" s="4500" t="s">
        <v>5380</v>
      </c>
      <c r="Q90" s="4560" t="s">
        <v>5381</v>
      </c>
      <c r="R90" s="4500" t="s">
        <v>5382</v>
      </c>
      <c r="S90" s="4560" t="s">
        <v>5383</v>
      </c>
      <c r="T90" s="4500" t="s">
        <v>5384</v>
      </c>
      <c r="U90" s="4560" t="s">
        <v>5385</v>
      </c>
      <c r="V90" s="4500" t="s">
        <v>5386</v>
      </c>
      <c r="W90" s="4560" t="s">
        <v>5387</v>
      </c>
      <c r="X90" s="4500" t="s">
        <v>5388</v>
      </c>
      <c r="Y90" s="4560" t="s">
        <v>5389</v>
      </c>
      <c r="Z90" s="4500" t="s">
        <v>5390</v>
      </c>
      <c r="AA90" s="4560" t="s">
        <v>5391</v>
      </c>
      <c r="AB90" s="4500" t="s">
        <v>5392</v>
      </c>
      <c r="AC90" s="4560" t="s">
        <v>5393</v>
      </c>
      <c r="AD90" s="4500" t="s">
        <v>5394</v>
      </c>
      <c r="AE90" s="4560" t="s">
        <v>5395</v>
      </c>
      <c r="AF90" s="4500" t="s">
        <v>5396</v>
      </c>
      <c r="AG90" s="4560" t="s">
        <v>5397</v>
      </c>
      <c r="AH90" s="4500" t="s">
        <v>5398</v>
      </c>
      <c r="AI90" s="4560" t="s">
        <v>5399</v>
      </c>
      <c r="AJ90" s="4500" t="s">
        <v>5400</v>
      </c>
      <c r="AK90" s="4560" t="s">
        <v>5401</v>
      </c>
      <c r="AL90" s="4500" t="s">
        <v>5402</v>
      </c>
      <c r="AM90" s="4560" t="s">
        <v>5403</v>
      </c>
      <c r="AN90" s="4500" t="s">
        <v>5404</v>
      </c>
      <c r="AO90" s="4562" t="s">
        <v>5405</v>
      </c>
      <c r="AP90" s="3755" t="s">
        <v>5406</v>
      </c>
      <c r="AQ90" s="4666" t="s">
        <v>5407</v>
      </c>
      <c r="AR90" s="4666" t="s">
        <v>5408</v>
      </c>
      <c r="AS90" s="4666" t="s">
        <v>5409</v>
      </c>
      <c r="AT90" s="4666" t="s">
        <v>5410</v>
      </c>
      <c r="AU90" s="4666" t="s">
        <v>5411</v>
      </c>
      <c r="AV90" s="4666" t="s">
        <v>5412</v>
      </c>
      <c r="AW90" s="4666" t="s">
        <v>5413</v>
      </c>
      <c r="AX90" s="4666" t="s">
        <v>5414</v>
      </c>
      <c r="AY90" s="1496" t="e">
        <f>$CB90&amp;$CC90&amp;$CD90&amp;$CE90&amp;$CF90&amp;$CG90&amp;$CH90&amp;$CI90</f>
        <v>#VALUE!</v>
      </c>
      <c r="BV90" s="1430"/>
      <c r="BW90" s="1430"/>
      <c r="BX90" s="1438"/>
      <c r="CB90" s="1435" t="e">
        <f>IF(DB90=1,"* Las consultas de 12 años NO DEBEN ser mayor que el total de Consultas entre 10-14 Años. ","")</f>
        <v>#VALUE!</v>
      </c>
      <c r="CC90" s="1435" t="e">
        <f t="shared" ref="CC90:CC99" si="58">IF(DC90=1,"* Las consultas de 60 años NO DEBEN ser mayor que el total de Consultas entre 60-64 Años. ","")</f>
        <v>#VALUE!</v>
      </c>
      <c r="CD90" s="1435" t="str">
        <f t="shared" ref="CD90:CD121" si="59">IF(DD90=1,"* Las actividades de usuarios en situación de discapacidad NO DEBEN superar el total. ","")</f>
        <v xml:space="preserve">* Las actividades de usuarios en situación de discapacidad NO DEBEN superar el total. </v>
      </c>
      <c r="CE90" s="1435" t="str">
        <f t="shared" ref="CE90:CE108" si="60">IF(AND(AQ90="",E90&lt;&gt;0),"* Recuerde que las Embarazadas deben ser incluídas en el ingreso por rango Etario (Digite CEROS si no tiene). ",IF(G90&lt;AQ90,"* Las Embarazadas NO DEBEN ser mayor al total de mujeres. ",""))</f>
        <v xml:space="preserve">* Las Embarazadas NO DEBEN ser mayor al total de mujeres. </v>
      </c>
      <c r="CF90" s="1435" t="str">
        <f t="shared" ref="CF90:CF121" si="61">IF(AND(AR90="",E90&lt;&gt;0),"* No olvide digitar la columna Beneficiarios (Digite CEROS si no tiene). ",IF(E90&lt;AR90,"* El número de Beneficiarios NO DEBE ser mayor que el Total. ",""))</f>
        <v xml:space="preserve">* El número de Beneficiarios NO DEBE ser mayor que el Total. </v>
      </c>
      <c r="CG90" s="1435" t="str">
        <f>IF(AND(AV90="",E90&lt;&gt;0),"* No olvide digitar la Población SENAME (Digite CEROS si no tiene). ",IF(E90&lt;AV90,"* La Población SENAME NO DEBE ser mayor al Total. ",""))</f>
        <v xml:space="preserve">* La Población SENAME NO DEBE ser mayor al Total. </v>
      </c>
      <c r="CH90" s="1435" t="str">
        <f>IF(AND(AW90="",E90&lt;&gt;0),"* No olvide digitar la Población Mejor Niñez (Digite CEROS si no tiene). ",IF(E90&lt;AW90,"* La Población Mejor Niñez NO DEBE ser mayor al Total. ",""))</f>
        <v xml:space="preserve">* La Población Mejor Niñez NO DEBE ser mayor al Total. </v>
      </c>
      <c r="CI90" s="1435" t="str">
        <f>IF(AND(AX90="",E90&lt;&gt;0),"* No olvide digitar la Población Migrante (Digite CEROS si no tiene). ",IF(E90&lt;AX90,"* La Población Migrante NO DEBE superar el Total. ",""))</f>
        <v xml:space="preserve">* La Población Migrante NO DEBE superar el Total. </v>
      </c>
      <c r="DB90" s="1436" t="e">
        <f>IF(AP90&gt;(X90+Y90),1,0)</f>
        <v>#VALUE!</v>
      </c>
      <c r="DC90" s="1436" t="e">
        <f t="shared" ref="DC90:DC99" si="62">IF(AS90&gt;(AJ90+AK90),1,0)</f>
        <v>#VALUE!</v>
      </c>
      <c r="DD90" s="1436">
        <f t="shared" ref="DD90:DD121" si="63">IF(E90&lt;AU90,1,0)</f>
        <v>1</v>
      </c>
      <c r="DE90" s="1436">
        <f t="shared" ref="DE90:DE108" si="64">IF(AND(AQ90="",E90&lt;&gt;0),1,IF(G90&lt;AQ90,1,0))</f>
        <v>1</v>
      </c>
      <c r="DF90" s="1436">
        <f t="shared" ref="DF90:DF121" si="65">IF(AND(AR90="",E90&lt;&gt;0),1,IF(E90&lt;AR90,1,0))</f>
        <v>1</v>
      </c>
      <c r="DG90" s="1436">
        <f t="shared" ref="DG90:DG121" si="66">IF(AND(AW90="",E90&lt;&gt;0),1,IF(E90&lt;AW90,1,0))</f>
        <v>1</v>
      </c>
      <c r="DH90" s="1436">
        <f t="shared" ref="DH90:DH121" si="67">IF(AND(AX90="",E90&lt;&gt;0),1,IF(E90&lt;AX90,1,0))</f>
        <v>1</v>
      </c>
      <c r="DI90" s="1436">
        <f>IF(AND(AV90="",E90&lt;&gt;0),1,IF(E90&lt;AV90,1,0))</f>
        <v>1</v>
      </c>
    </row>
    <row r="91" spans="1:113" x14ac:dyDescent="0.25">
      <c r="A91" s="7520" t="s">
        <v>5156</v>
      </c>
      <c r="B91" s="9828" t="s">
        <v>1158</v>
      </c>
      <c r="C91" s="9828"/>
      <c r="D91" s="9828"/>
      <c r="E91" s="4667" t="s">
        <v>5369</v>
      </c>
      <c r="F91" s="2923" t="s">
        <v>5370</v>
      </c>
      <c r="G91" s="1841" t="s">
        <v>5371</v>
      </c>
      <c r="H91" s="2822" t="s">
        <v>5372</v>
      </c>
      <c r="I91" s="1844" t="s">
        <v>5373</v>
      </c>
      <c r="J91" s="2822" t="s">
        <v>5374</v>
      </c>
      <c r="K91" s="1859" t="s">
        <v>5375</v>
      </c>
      <c r="L91" s="2822" t="s">
        <v>5376</v>
      </c>
      <c r="M91" s="1844" t="s">
        <v>5377</v>
      </c>
      <c r="N91" s="2822" t="s">
        <v>5378</v>
      </c>
      <c r="O91" s="1844" t="s">
        <v>5379</v>
      </c>
      <c r="P91" s="2852" t="s">
        <v>5380</v>
      </c>
      <c r="Q91" s="1844" t="s">
        <v>5381</v>
      </c>
      <c r="R91" s="2852" t="s">
        <v>5382</v>
      </c>
      <c r="S91" s="1844" t="s">
        <v>5383</v>
      </c>
      <c r="T91" s="2852" t="s">
        <v>5384</v>
      </c>
      <c r="U91" s="1844" t="s">
        <v>5385</v>
      </c>
      <c r="V91" s="2852" t="s">
        <v>5386</v>
      </c>
      <c r="W91" s="1844" t="s">
        <v>5387</v>
      </c>
      <c r="X91" s="2852" t="s">
        <v>5388</v>
      </c>
      <c r="Y91" s="1844" t="s">
        <v>5389</v>
      </c>
      <c r="Z91" s="2852" t="s">
        <v>5390</v>
      </c>
      <c r="AA91" s="1844" t="s">
        <v>5391</v>
      </c>
      <c r="AB91" s="2852" t="s">
        <v>5392</v>
      </c>
      <c r="AC91" s="1844" t="s">
        <v>5393</v>
      </c>
      <c r="AD91" s="2852" t="s">
        <v>5394</v>
      </c>
      <c r="AE91" s="1844" t="s">
        <v>5395</v>
      </c>
      <c r="AF91" s="2852" t="s">
        <v>5396</v>
      </c>
      <c r="AG91" s="1844" t="s">
        <v>5397</v>
      </c>
      <c r="AH91" s="2852" t="s">
        <v>5398</v>
      </c>
      <c r="AI91" s="1844" t="s">
        <v>5399</v>
      </c>
      <c r="AJ91" s="2852" t="s">
        <v>5400</v>
      </c>
      <c r="AK91" s="1844" t="s">
        <v>5401</v>
      </c>
      <c r="AL91" s="2852" t="s">
        <v>5402</v>
      </c>
      <c r="AM91" s="1844" t="s">
        <v>5403</v>
      </c>
      <c r="AN91" s="2852" t="s">
        <v>5404</v>
      </c>
      <c r="AO91" s="2957" t="s">
        <v>5405</v>
      </c>
      <c r="AP91" s="2826" t="s">
        <v>5406</v>
      </c>
      <c r="AQ91" s="2826" t="s">
        <v>5407</v>
      </c>
      <c r="AR91" s="3478" t="s">
        <v>5408</v>
      </c>
      <c r="AS91" s="3478" t="s">
        <v>5409</v>
      </c>
      <c r="AT91" s="3478" t="s">
        <v>5410</v>
      </c>
      <c r="AU91" s="2826" t="s">
        <v>5411</v>
      </c>
      <c r="AV91" s="2826" t="s">
        <v>5412</v>
      </c>
      <c r="AW91" s="2826" t="s">
        <v>5413</v>
      </c>
      <c r="AX91" s="2826" t="s">
        <v>5414</v>
      </c>
      <c r="AY91" s="1496" t="e">
        <f t="shared" ref="AY91:AY142" si="68">$CB91&amp;$CC91&amp;$CD91&amp;$CE91&amp;$CF91&amp;$CG91&amp;$CH91&amp;$CI91</f>
        <v>#VALUE!</v>
      </c>
      <c r="BV91" s="1430"/>
      <c r="BW91" s="1430"/>
      <c r="BX91" s="1438"/>
      <c r="CB91" s="1435" t="e">
        <f>IF(DB91=1,"* Las consultas de 12 años NO DEBEN ser mayor que el total de Consultas entre 10-14 Años. ","")</f>
        <v>#VALUE!</v>
      </c>
      <c r="CC91" s="1435" t="e">
        <f t="shared" si="58"/>
        <v>#VALUE!</v>
      </c>
      <c r="CD91" s="1435" t="str">
        <f t="shared" si="59"/>
        <v xml:space="preserve">* Las actividades de usuarios en situación de discapacidad NO DEBEN superar el total. </v>
      </c>
      <c r="CE91" s="1435" t="str">
        <f t="shared" si="60"/>
        <v xml:space="preserve">* Las Embarazadas NO DEBEN ser mayor al total de mujeres. </v>
      </c>
      <c r="CF91" s="1435" t="str">
        <f t="shared" si="61"/>
        <v xml:space="preserve">* El número de Beneficiarios NO DEBE ser mayor que el Total. </v>
      </c>
      <c r="CG91" s="1435" t="str">
        <f t="shared" ref="CG91:CG142" si="69">IF(AND(AV91="",E91&lt;&gt;0),"* No olvide digitar la Población SENAME (Digite CEROS si no tiene). ",IF(E91&lt;AV91,"* La Población SENAME NO DEBE ser mayor al Total. ",""))</f>
        <v xml:space="preserve">* La Población SENAME NO DEBE ser mayor al Total. </v>
      </c>
      <c r="CH91" s="1435" t="str">
        <f t="shared" ref="CH91:CH142" si="70">IF(AND(AW91="",E91&lt;&gt;0),"* No olvide digitar la Población Mejor Niñez (Digite CEROS si no tiene). ",IF(E91&lt;AW91,"* La Población Mejor Niñez NO DEBE ser mayor al Total. ",""))</f>
        <v xml:space="preserve">* La Población Mejor Niñez NO DEBE ser mayor al Total. </v>
      </c>
      <c r="CI91" s="1435" t="str">
        <f t="shared" ref="CI91:CI142" si="71">IF(AND(AX91="",E91&lt;&gt;0),"* No olvide digitar la Población Migrante (Digite CEROS si no tiene). ",IF(E91&lt;AX91,"* La Población Migrante NO DEBE superar el Total. ",""))</f>
        <v xml:space="preserve">* La Población Migrante NO DEBE superar el Total. </v>
      </c>
      <c r="DB91" s="1436" t="e">
        <f>IF(AP91&gt;(X91+Y91),1,0)</f>
        <v>#VALUE!</v>
      </c>
      <c r="DC91" s="1436" t="e">
        <f t="shared" si="62"/>
        <v>#VALUE!</v>
      </c>
      <c r="DD91" s="1436">
        <f t="shared" si="63"/>
        <v>1</v>
      </c>
      <c r="DE91" s="1436">
        <f t="shared" si="64"/>
        <v>1</v>
      </c>
      <c r="DF91" s="1436">
        <f t="shared" si="65"/>
        <v>1</v>
      </c>
      <c r="DG91" s="1436">
        <f t="shared" si="66"/>
        <v>1</v>
      </c>
      <c r="DH91" s="1436">
        <f t="shared" si="67"/>
        <v>1</v>
      </c>
      <c r="DI91" s="1436">
        <f t="shared" ref="DI91:DI142" si="72">IF(AND(AV91="",E91&lt;&gt;0),1,IF(E91&lt;AV91,1,0))</f>
        <v>1</v>
      </c>
    </row>
    <row r="92" spans="1:113" ht="16.350000000000001" customHeight="1" x14ac:dyDescent="0.25">
      <c r="A92" s="7520" t="s">
        <v>5157</v>
      </c>
      <c r="B92" s="9829" t="s">
        <v>2141</v>
      </c>
      <c r="C92" s="9830"/>
      <c r="D92" s="9831"/>
      <c r="E92" s="4667" t="s">
        <v>5369</v>
      </c>
      <c r="F92" s="2923" t="s">
        <v>5370</v>
      </c>
      <c r="G92" s="1841" t="s">
        <v>5371</v>
      </c>
      <c r="H92" s="2822" t="s">
        <v>5372</v>
      </c>
      <c r="I92" s="2986" t="s">
        <v>5373</v>
      </c>
      <c r="J92" s="3139" t="s">
        <v>5374</v>
      </c>
      <c r="K92" s="1743" t="s">
        <v>5375</v>
      </c>
      <c r="L92" s="3139" t="s">
        <v>5376</v>
      </c>
      <c r="M92" s="1844" t="s">
        <v>5377</v>
      </c>
      <c r="N92" s="2822" t="s">
        <v>5378</v>
      </c>
      <c r="O92" s="1844" t="s">
        <v>5379</v>
      </c>
      <c r="P92" s="2852" t="s">
        <v>5380</v>
      </c>
      <c r="Q92" s="1844" t="s">
        <v>5381</v>
      </c>
      <c r="R92" s="2852" t="s">
        <v>5382</v>
      </c>
      <c r="S92" s="1844" t="s">
        <v>5383</v>
      </c>
      <c r="T92" s="2852" t="s">
        <v>5384</v>
      </c>
      <c r="U92" s="1844" t="s">
        <v>5385</v>
      </c>
      <c r="V92" s="2852" t="s">
        <v>5386</v>
      </c>
      <c r="W92" s="1844" t="s">
        <v>5387</v>
      </c>
      <c r="X92" s="2852" t="s">
        <v>5388</v>
      </c>
      <c r="Y92" s="1844" t="s">
        <v>5389</v>
      </c>
      <c r="Z92" s="2852" t="s">
        <v>5390</v>
      </c>
      <c r="AA92" s="1844" t="s">
        <v>5391</v>
      </c>
      <c r="AB92" s="2852" t="s">
        <v>5392</v>
      </c>
      <c r="AC92" s="1844" t="s">
        <v>5393</v>
      </c>
      <c r="AD92" s="2852" t="s">
        <v>5394</v>
      </c>
      <c r="AE92" s="1844" t="s">
        <v>5395</v>
      </c>
      <c r="AF92" s="2852" t="s">
        <v>5396</v>
      </c>
      <c r="AG92" s="1844" t="s">
        <v>5397</v>
      </c>
      <c r="AH92" s="2852" t="s">
        <v>5398</v>
      </c>
      <c r="AI92" s="1844" t="s">
        <v>5399</v>
      </c>
      <c r="AJ92" s="2852" t="s">
        <v>5400</v>
      </c>
      <c r="AK92" s="1844" t="s">
        <v>5401</v>
      </c>
      <c r="AL92" s="2852" t="s">
        <v>5402</v>
      </c>
      <c r="AM92" s="1844" t="s">
        <v>5403</v>
      </c>
      <c r="AN92" s="2852" t="s">
        <v>5404</v>
      </c>
      <c r="AO92" s="2957" t="s">
        <v>5405</v>
      </c>
      <c r="AP92" s="2826" t="s">
        <v>5406</v>
      </c>
      <c r="AQ92" s="2814" t="s">
        <v>5407</v>
      </c>
      <c r="AR92" s="3758" t="s">
        <v>5408</v>
      </c>
      <c r="AS92" s="3758" t="s">
        <v>5409</v>
      </c>
      <c r="AT92" s="3758" t="s">
        <v>5410</v>
      </c>
      <c r="AU92" s="2814" t="s">
        <v>5411</v>
      </c>
      <c r="AV92" s="2814" t="s">
        <v>5412</v>
      </c>
      <c r="AW92" s="2814" t="s">
        <v>5413</v>
      </c>
      <c r="AX92" s="2814" t="s">
        <v>5414</v>
      </c>
      <c r="AY92" s="1496" t="e">
        <f t="shared" si="68"/>
        <v>#VALUE!</v>
      </c>
      <c r="BW92" s="1430"/>
      <c r="BX92" s="1430"/>
      <c r="CB92" s="1435" t="e">
        <f>IF(DB92=1,"* Las consultas de 12 años NO DEBEN ser mayor que el total de Consultas entre 10-14 Años. ","")</f>
        <v>#VALUE!</v>
      </c>
      <c r="CC92" s="1435" t="e">
        <f t="shared" si="58"/>
        <v>#VALUE!</v>
      </c>
      <c r="CD92" s="1435" t="str">
        <f t="shared" si="59"/>
        <v xml:space="preserve">* Las actividades de usuarios en situación de discapacidad NO DEBEN superar el total. </v>
      </c>
      <c r="CE92" s="1435" t="str">
        <f t="shared" si="60"/>
        <v xml:space="preserve">* Las Embarazadas NO DEBEN ser mayor al total de mujeres. </v>
      </c>
      <c r="CF92" s="1435" t="str">
        <f t="shared" si="61"/>
        <v xml:space="preserve">* El número de Beneficiarios NO DEBE ser mayor que el Total. </v>
      </c>
      <c r="CG92" s="1435" t="str">
        <f t="shared" si="69"/>
        <v xml:space="preserve">* La Población SENAME NO DEBE ser mayor al Total. </v>
      </c>
      <c r="CH92" s="1435" t="str">
        <f t="shared" si="70"/>
        <v xml:space="preserve">* La Población Mejor Niñez NO DEBE ser mayor al Total. </v>
      </c>
      <c r="CI92" s="1435" t="str">
        <f t="shared" si="71"/>
        <v xml:space="preserve">* La Población Migrante NO DEBE superar el Total. </v>
      </c>
      <c r="DB92" s="1436" t="e">
        <f>IF(AP92&gt;(X92+Y92),1,0)</f>
        <v>#VALUE!</v>
      </c>
      <c r="DC92" s="1436" t="e">
        <f t="shared" si="62"/>
        <v>#VALUE!</v>
      </c>
      <c r="DD92" s="1436">
        <f t="shared" si="63"/>
        <v>1</v>
      </c>
      <c r="DE92" s="1436">
        <f t="shared" si="64"/>
        <v>1</v>
      </c>
      <c r="DF92" s="1436">
        <f t="shared" si="65"/>
        <v>1</v>
      </c>
      <c r="DG92" s="1436">
        <f t="shared" si="66"/>
        <v>1</v>
      </c>
      <c r="DH92" s="1436">
        <f t="shared" si="67"/>
        <v>1</v>
      </c>
      <c r="DI92" s="1436">
        <f t="shared" si="72"/>
        <v>1</v>
      </c>
    </row>
    <row r="93" spans="1:113" ht="16.350000000000001" customHeight="1" x14ac:dyDescent="0.25">
      <c r="A93" s="7520" t="s">
        <v>5158</v>
      </c>
      <c r="B93" s="9829" t="s">
        <v>1157</v>
      </c>
      <c r="C93" s="9830"/>
      <c r="D93" s="9831"/>
      <c r="E93" s="4667" t="s">
        <v>5369</v>
      </c>
      <c r="F93" s="2923" t="s">
        <v>5370</v>
      </c>
      <c r="G93" s="1841" t="s">
        <v>5371</v>
      </c>
      <c r="H93" s="2822" t="s">
        <v>5372</v>
      </c>
      <c r="I93" s="2986" t="s">
        <v>5373</v>
      </c>
      <c r="J93" s="3139" t="s">
        <v>5374</v>
      </c>
      <c r="K93" s="1743" t="s">
        <v>5375</v>
      </c>
      <c r="L93" s="3139" t="s">
        <v>5376</v>
      </c>
      <c r="M93" s="1844" t="s">
        <v>5377</v>
      </c>
      <c r="N93" s="2822" t="s">
        <v>5378</v>
      </c>
      <c r="O93" s="1844" t="s">
        <v>5379</v>
      </c>
      <c r="P93" s="2852" t="s">
        <v>5380</v>
      </c>
      <c r="Q93" s="1844" t="s">
        <v>5381</v>
      </c>
      <c r="R93" s="2852" t="s">
        <v>5382</v>
      </c>
      <c r="S93" s="1844" t="s">
        <v>5383</v>
      </c>
      <c r="T93" s="2852" t="s">
        <v>5384</v>
      </c>
      <c r="U93" s="1844" t="s">
        <v>5385</v>
      </c>
      <c r="V93" s="2852" t="s">
        <v>5386</v>
      </c>
      <c r="W93" s="1844" t="s">
        <v>5387</v>
      </c>
      <c r="X93" s="2852" t="s">
        <v>5388</v>
      </c>
      <c r="Y93" s="1844" t="s">
        <v>5389</v>
      </c>
      <c r="Z93" s="2852" t="s">
        <v>5390</v>
      </c>
      <c r="AA93" s="1844" t="s">
        <v>5391</v>
      </c>
      <c r="AB93" s="2852" t="s">
        <v>5392</v>
      </c>
      <c r="AC93" s="1844" t="s">
        <v>5393</v>
      </c>
      <c r="AD93" s="2852" t="s">
        <v>5394</v>
      </c>
      <c r="AE93" s="1844" t="s">
        <v>5395</v>
      </c>
      <c r="AF93" s="2852" t="s">
        <v>5396</v>
      </c>
      <c r="AG93" s="1844" t="s">
        <v>5397</v>
      </c>
      <c r="AH93" s="2852" t="s">
        <v>5398</v>
      </c>
      <c r="AI93" s="1844" t="s">
        <v>5399</v>
      </c>
      <c r="AJ93" s="2852" t="s">
        <v>5400</v>
      </c>
      <c r="AK93" s="1844" t="s">
        <v>5401</v>
      </c>
      <c r="AL93" s="2852" t="s">
        <v>5402</v>
      </c>
      <c r="AM93" s="1844" t="s">
        <v>5403</v>
      </c>
      <c r="AN93" s="2852" t="s">
        <v>5404</v>
      </c>
      <c r="AO93" s="2957" t="s">
        <v>5405</v>
      </c>
      <c r="AP93" s="2826" t="s">
        <v>5406</v>
      </c>
      <c r="AQ93" s="2814" t="s">
        <v>5407</v>
      </c>
      <c r="AR93" s="3758" t="s">
        <v>5408</v>
      </c>
      <c r="AS93" s="3758" t="s">
        <v>5409</v>
      </c>
      <c r="AT93" s="3758" t="s">
        <v>5410</v>
      </c>
      <c r="AU93" s="2814" t="s">
        <v>5411</v>
      </c>
      <c r="AV93" s="2814" t="s">
        <v>5412</v>
      </c>
      <c r="AW93" s="2814" t="s">
        <v>5413</v>
      </c>
      <c r="AX93" s="2814" t="s">
        <v>5414</v>
      </c>
      <c r="AY93" s="1496" t="e">
        <f t="shared" si="68"/>
        <v>#VALUE!</v>
      </c>
      <c r="BW93" s="1430"/>
      <c r="BX93" s="1430"/>
      <c r="CB93" s="1435" t="e">
        <f>IF(DB93=1,"* Las consultas de 12 años NO DEBEN ser mayor que el total de Consultas entre 10-14 Años. ","")</f>
        <v>#VALUE!</v>
      </c>
      <c r="CC93" s="1435" t="e">
        <f t="shared" si="58"/>
        <v>#VALUE!</v>
      </c>
      <c r="CD93" s="1435" t="str">
        <f t="shared" si="59"/>
        <v xml:space="preserve">* Las actividades de usuarios en situación de discapacidad NO DEBEN superar el total. </v>
      </c>
      <c r="CE93" s="1435" t="str">
        <f t="shared" si="60"/>
        <v xml:space="preserve">* Las Embarazadas NO DEBEN ser mayor al total de mujeres. </v>
      </c>
      <c r="CF93" s="1435" t="str">
        <f t="shared" si="61"/>
        <v xml:space="preserve">* El número de Beneficiarios NO DEBE ser mayor que el Total. </v>
      </c>
      <c r="CG93" s="1435" t="str">
        <f t="shared" si="69"/>
        <v xml:space="preserve">* La Población SENAME NO DEBE ser mayor al Total. </v>
      </c>
      <c r="CH93" s="1435" t="str">
        <f t="shared" si="70"/>
        <v xml:space="preserve">* La Población Mejor Niñez NO DEBE ser mayor al Total. </v>
      </c>
      <c r="CI93" s="1435" t="str">
        <f t="shared" si="71"/>
        <v xml:space="preserve">* La Población Migrante NO DEBE superar el Total. </v>
      </c>
      <c r="DB93" s="1436" t="e">
        <f>IF(AP93&gt;(X93+Y93),1,0)</f>
        <v>#VALUE!</v>
      </c>
      <c r="DC93" s="1436" t="e">
        <f t="shared" si="62"/>
        <v>#VALUE!</v>
      </c>
      <c r="DD93" s="1436">
        <f t="shared" si="63"/>
        <v>1</v>
      </c>
      <c r="DE93" s="1436">
        <f t="shared" si="64"/>
        <v>1</v>
      </c>
      <c r="DF93" s="1436">
        <f t="shared" si="65"/>
        <v>1</v>
      </c>
      <c r="DG93" s="1436">
        <f t="shared" si="66"/>
        <v>1</v>
      </c>
      <c r="DH93" s="1436">
        <f t="shared" si="67"/>
        <v>1</v>
      </c>
      <c r="DI93" s="1436">
        <f t="shared" si="72"/>
        <v>1</v>
      </c>
    </row>
    <row r="94" spans="1:113" ht="16.350000000000001" customHeight="1" x14ac:dyDescent="0.25">
      <c r="A94" s="7520" t="s">
        <v>5159</v>
      </c>
      <c r="B94" s="9829" t="s">
        <v>1156</v>
      </c>
      <c r="C94" s="9830"/>
      <c r="D94" s="9831"/>
      <c r="E94" s="4667" t="s">
        <v>5369</v>
      </c>
      <c r="F94" s="2923" t="s">
        <v>5370</v>
      </c>
      <c r="G94" s="1841" t="s">
        <v>5371</v>
      </c>
      <c r="H94" s="2822" t="s">
        <v>5372</v>
      </c>
      <c r="I94" s="2986" t="s">
        <v>5373</v>
      </c>
      <c r="J94" s="3139" t="s">
        <v>5374</v>
      </c>
      <c r="K94" s="1743" t="s">
        <v>5375</v>
      </c>
      <c r="L94" s="3139" t="s">
        <v>5376</v>
      </c>
      <c r="M94" s="1844" t="s">
        <v>5377</v>
      </c>
      <c r="N94" s="2822" t="s">
        <v>5378</v>
      </c>
      <c r="O94" s="1844" t="s">
        <v>5379</v>
      </c>
      <c r="P94" s="2852" t="s">
        <v>5380</v>
      </c>
      <c r="Q94" s="1844" t="s">
        <v>5381</v>
      </c>
      <c r="R94" s="2852" t="s">
        <v>5382</v>
      </c>
      <c r="S94" s="1844" t="s">
        <v>5383</v>
      </c>
      <c r="T94" s="2852" t="s">
        <v>5384</v>
      </c>
      <c r="U94" s="1844" t="s">
        <v>5385</v>
      </c>
      <c r="V94" s="2852" t="s">
        <v>5386</v>
      </c>
      <c r="W94" s="1844" t="s">
        <v>5387</v>
      </c>
      <c r="X94" s="2852" t="s">
        <v>5388</v>
      </c>
      <c r="Y94" s="1844" t="s">
        <v>5389</v>
      </c>
      <c r="Z94" s="2852" t="s">
        <v>5390</v>
      </c>
      <c r="AA94" s="1844" t="s">
        <v>5391</v>
      </c>
      <c r="AB94" s="2852" t="s">
        <v>5392</v>
      </c>
      <c r="AC94" s="1844" t="s">
        <v>5393</v>
      </c>
      <c r="AD94" s="2852" t="s">
        <v>5394</v>
      </c>
      <c r="AE94" s="1844" t="s">
        <v>5395</v>
      </c>
      <c r="AF94" s="2852" t="s">
        <v>5396</v>
      </c>
      <c r="AG94" s="1844" t="s">
        <v>5397</v>
      </c>
      <c r="AH94" s="2852" t="s">
        <v>5398</v>
      </c>
      <c r="AI94" s="1844" t="s">
        <v>5399</v>
      </c>
      <c r="AJ94" s="2852" t="s">
        <v>5400</v>
      </c>
      <c r="AK94" s="1844" t="s">
        <v>5401</v>
      </c>
      <c r="AL94" s="2852" t="s">
        <v>5402</v>
      </c>
      <c r="AM94" s="1844" t="s">
        <v>5403</v>
      </c>
      <c r="AN94" s="2852" t="s">
        <v>5404</v>
      </c>
      <c r="AO94" s="2957" t="s">
        <v>5405</v>
      </c>
      <c r="AP94" s="2826" t="s">
        <v>5406</v>
      </c>
      <c r="AQ94" s="2814" t="s">
        <v>5407</v>
      </c>
      <c r="AR94" s="3758" t="s">
        <v>5408</v>
      </c>
      <c r="AS94" s="3758" t="s">
        <v>5409</v>
      </c>
      <c r="AT94" s="3758" t="s">
        <v>5410</v>
      </c>
      <c r="AU94" s="2814" t="s">
        <v>5411</v>
      </c>
      <c r="AV94" s="2814" t="s">
        <v>5412</v>
      </c>
      <c r="AW94" s="2814" t="s">
        <v>5413</v>
      </c>
      <c r="AX94" s="2814" t="s">
        <v>5414</v>
      </c>
      <c r="AY94" s="1496" t="e">
        <f t="shared" si="68"/>
        <v>#VALUE!</v>
      </c>
      <c r="BW94" s="1430"/>
      <c r="BX94" s="1430"/>
      <c r="CB94" s="1435" t="e">
        <f>IF(DB94=1,"* Las consultas de 12 años NO DEBEN ser mayor que el total de Consultas entre 10-14 Años. ","")</f>
        <v>#VALUE!</v>
      </c>
      <c r="CC94" s="1435" t="e">
        <f t="shared" si="58"/>
        <v>#VALUE!</v>
      </c>
      <c r="CD94" s="1435" t="str">
        <f t="shared" si="59"/>
        <v xml:space="preserve">* Las actividades de usuarios en situación de discapacidad NO DEBEN superar el total. </v>
      </c>
      <c r="CE94" s="1435" t="str">
        <f t="shared" si="60"/>
        <v xml:space="preserve">* Las Embarazadas NO DEBEN ser mayor al total de mujeres. </v>
      </c>
      <c r="CF94" s="1435" t="str">
        <f t="shared" si="61"/>
        <v xml:space="preserve">* El número de Beneficiarios NO DEBE ser mayor que el Total. </v>
      </c>
      <c r="CG94" s="1435" t="str">
        <f t="shared" si="69"/>
        <v xml:space="preserve">* La Población SENAME NO DEBE ser mayor al Total. </v>
      </c>
      <c r="CH94" s="1435" t="str">
        <f t="shared" si="70"/>
        <v xml:space="preserve">* La Población Mejor Niñez NO DEBE ser mayor al Total. </v>
      </c>
      <c r="CI94" s="1435" t="str">
        <f t="shared" si="71"/>
        <v xml:space="preserve">* La Población Migrante NO DEBE superar el Total. </v>
      </c>
      <c r="DB94" s="1436" t="e">
        <f>IF(AP94&gt;(X94+Y94),1,0)</f>
        <v>#VALUE!</v>
      </c>
      <c r="DC94" s="1436" t="e">
        <f t="shared" si="62"/>
        <v>#VALUE!</v>
      </c>
      <c r="DD94" s="1436">
        <f t="shared" si="63"/>
        <v>1</v>
      </c>
      <c r="DE94" s="1436">
        <f t="shared" si="64"/>
        <v>1</v>
      </c>
      <c r="DF94" s="1436">
        <f t="shared" si="65"/>
        <v>1</v>
      </c>
      <c r="DG94" s="1436">
        <f t="shared" si="66"/>
        <v>1</v>
      </c>
      <c r="DH94" s="1436">
        <f t="shared" si="67"/>
        <v>1</v>
      </c>
      <c r="DI94" s="1436">
        <f t="shared" si="72"/>
        <v>1</v>
      </c>
    </row>
    <row r="95" spans="1:113" ht="16.350000000000001" customHeight="1" x14ac:dyDescent="0.25">
      <c r="A95" s="7520" t="s">
        <v>5160</v>
      </c>
      <c r="B95" s="9829" t="s">
        <v>1155</v>
      </c>
      <c r="C95" s="9830"/>
      <c r="D95" s="9831"/>
      <c r="E95" s="4667" t="s">
        <v>5369</v>
      </c>
      <c r="F95" s="2923" t="s">
        <v>5370</v>
      </c>
      <c r="G95" s="1841" t="s">
        <v>5371</v>
      </c>
      <c r="H95" s="4668" t="s">
        <v>5372</v>
      </c>
      <c r="I95" s="1856" t="s">
        <v>5373</v>
      </c>
      <c r="J95" s="4668" t="s">
        <v>5374</v>
      </c>
      <c r="K95" s="1939" t="s">
        <v>5375</v>
      </c>
      <c r="L95" s="4668" t="s">
        <v>5376</v>
      </c>
      <c r="M95" s="1856" t="s">
        <v>5377</v>
      </c>
      <c r="N95" s="4668" t="s">
        <v>5378</v>
      </c>
      <c r="O95" s="1856" t="s">
        <v>5379</v>
      </c>
      <c r="P95" s="4669" t="s">
        <v>5380</v>
      </c>
      <c r="Q95" s="1856" t="s">
        <v>5381</v>
      </c>
      <c r="R95" s="4669" t="s">
        <v>5382</v>
      </c>
      <c r="S95" s="1856" t="s">
        <v>5383</v>
      </c>
      <c r="T95" s="4669" t="s">
        <v>5384</v>
      </c>
      <c r="U95" s="1856" t="s">
        <v>5385</v>
      </c>
      <c r="V95" s="4669" t="s">
        <v>5386</v>
      </c>
      <c r="W95" s="1856" t="s">
        <v>5387</v>
      </c>
      <c r="X95" s="4669" t="s">
        <v>5388</v>
      </c>
      <c r="Y95" s="1856" t="s">
        <v>5389</v>
      </c>
      <c r="Z95" s="2852" t="s">
        <v>5390</v>
      </c>
      <c r="AA95" s="1844" t="s">
        <v>5391</v>
      </c>
      <c r="AB95" s="2852" t="s">
        <v>5392</v>
      </c>
      <c r="AC95" s="1844" t="s">
        <v>5393</v>
      </c>
      <c r="AD95" s="2852" t="s">
        <v>5394</v>
      </c>
      <c r="AE95" s="1844" t="s">
        <v>5395</v>
      </c>
      <c r="AF95" s="2852" t="s">
        <v>5396</v>
      </c>
      <c r="AG95" s="1844" t="s">
        <v>5397</v>
      </c>
      <c r="AH95" s="2852" t="s">
        <v>5398</v>
      </c>
      <c r="AI95" s="1844" t="s">
        <v>5399</v>
      </c>
      <c r="AJ95" s="2852" t="s">
        <v>5400</v>
      </c>
      <c r="AK95" s="1844" t="s">
        <v>5401</v>
      </c>
      <c r="AL95" s="2852" t="s">
        <v>5402</v>
      </c>
      <c r="AM95" s="1844" t="s">
        <v>5403</v>
      </c>
      <c r="AN95" s="2852" t="s">
        <v>5404</v>
      </c>
      <c r="AO95" s="2957" t="s">
        <v>5405</v>
      </c>
      <c r="AP95" s="4670" t="s">
        <v>5406</v>
      </c>
      <c r="AQ95" s="2814" t="s">
        <v>5407</v>
      </c>
      <c r="AR95" s="3758" t="s">
        <v>5408</v>
      </c>
      <c r="AS95" s="3758" t="s">
        <v>5409</v>
      </c>
      <c r="AT95" s="3758" t="s">
        <v>5410</v>
      </c>
      <c r="AU95" s="2814" t="s">
        <v>5411</v>
      </c>
      <c r="AV95" s="2814" t="s">
        <v>5412</v>
      </c>
      <c r="AW95" s="2814" t="s">
        <v>5413</v>
      </c>
      <c r="AX95" s="2814" t="s">
        <v>5414</v>
      </c>
      <c r="AY95" s="1496" t="e">
        <f t="shared" si="68"/>
        <v>#VALUE!</v>
      </c>
      <c r="BW95" s="1430"/>
      <c r="BX95" s="1430"/>
      <c r="CB95" s="1435"/>
      <c r="CC95" s="1435" t="e">
        <f t="shared" si="58"/>
        <v>#VALUE!</v>
      </c>
      <c r="CD95" s="1435" t="str">
        <f t="shared" si="59"/>
        <v xml:space="preserve">* Las actividades de usuarios en situación de discapacidad NO DEBEN superar el total. </v>
      </c>
      <c r="CE95" s="1435" t="str">
        <f t="shared" si="60"/>
        <v xml:space="preserve">* Las Embarazadas NO DEBEN ser mayor al total de mujeres. </v>
      </c>
      <c r="CF95" s="1435" t="str">
        <f t="shared" si="61"/>
        <v xml:space="preserve">* El número de Beneficiarios NO DEBE ser mayor que el Total. </v>
      </c>
      <c r="CG95" s="1435" t="str">
        <f t="shared" si="69"/>
        <v xml:space="preserve">* La Población SENAME NO DEBE ser mayor al Total. </v>
      </c>
      <c r="CH95" s="1435" t="str">
        <f t="shared" si="70"/>
        <v xml:space="preserve">* La Población Mejor Niñez NO DEBE ser mayor al Total. </v>
      </c>
      <c r="CI95" s="1435" t="str">
        <f t="shared" si="71"/>
        <v xml:space="preserve">* La Población Migrante NO DEBE superar el Total. </v>
      </c>
      <c r="DB95" s="1436"/>
      <c r="DC95" s="1436" t="e">
        <f t="shared" si="62"/>
        <v>#VALUE!</v>
      </c>
      <c r="DD95" s="1436">
        <f t="shared" si="63"/>
        <v>1</v>
      </c>
      <c r="DE95" s="1436">
        <f t="shared" si="64"/>
        <v>1</v>
      </c>
      <c r="DF95" s="1436">
        <f t="shared" si="65"/>
        <v>1</v>
      </c>
      <c r="DG95" s="1436">
        <f t="shared" si="66"/>
        <v>1</v>
      </c>
      <c r="DH95" s="1436">
        <f t="shared" si="67"/>
        <v>1</v>
      </c>
      <c r="DI95" s="1436">
        <f t="shared" si="72"/>
        <v>1</v>
      </c>
    </row>
    <row r="96" spans="1:113" ht="16.350000000000001" customHeight="1" x14ac:dyDescent="0.25">
      <c r="A96" s="7520" t="s">
        <v>5161</v>
      </c>
      <c r="B96" s="9828" t="s">
        <v>1154</v>
      </c>
      <c r="C96" s="9828"/>
      <c r="D96" s="9828"/>
      <c r="E96" s="4667" t="s">
        <v>5369</v>
      </c>
      <c r="F96" s="2923" t="s">
        <v>5370</v>
      </c>
      <c r="G96" s="1841" t="s">
        <v>5371</v>
      </c>
      <c r="H96" s="2822" t="s">
        <v>5372</v>
      </c>
      <c r="I96" s="1844" t="s">
        <v>5373</v>
      </c>
      <c r="J96" s="2822" t="s">
        <v>5374</v>
      </c>
      <c r="K96" s="1859" t="s">
        <v>5375</v>
      </c>
      <c r="L96" s="2822" t="s">
        <v>5376</v>
      </c>
      <c r="M96" s="1844" t="s">
        <v>5377</v>
      </c>
      <c r="N96" s="2822" t="s">
        <v>5378</v>
      </c>
      <c r="O96" s="1844" t="s">
        <v>5379</v>
      </c>
      <c r="P96" s="2852" t="s">
        <v>5380</v>
      </c>
      <c r="Q96" s="1844" t="s">
        <v>5381</v>
      </c>
      <c r="R96" s="2852" t="s">
        <v>5382</v>
      </c>
      <c r="S96" s="1844" t="s">
        <v>5383</v>
      </c>
      <c r="T96" s="2852" t="s">
        <v>5384</v>
      </c>
      <c r="U96" s="1844" t="s">
        <v>5385</v>
      </c>
      <c r="V96" s="2852" t="s">
        <v>5386</v>
      </c>
      <c r="W96" s="1844" t="s">
        <v>5387</v>
      </c>
      <c r="X96" s="2852" t="s">
        <v>5388</v>
      </c>
      <c r="Y96" s="1844" t="s">
        <v>5389</v>
      </c>
      <c r="Z96" s="2852" t="s">
        <v>5390</v>
      </c>
      <c r="AA96" s="1844" t="s">
        <v>5391</v>
      </c>
      <c r="AB96" s="2852" t="s">
        <v>5392</v>
      </c>
      <c r="AC96" s="1844" t="s">
        <v>5393</v>
      </c>
      <c r="AD96" s="2852" t="s">
        <v>5394</v>
      </c>
      <c r="AE96" s="1844" t="s">
        <v>5395</v>
      </c>
      <c r="AF96" s="2852" t="s">
        <v>5396</v>
      </c>
      <c r="AG96" s="1844" t="s">
        <v>5397</v>
      </c>
      <c r="AH96" s="2852" t="s">
        <v>5398</v>
      </c>
      <c r="AI96" s="1844" t="s">
        <v>5399</v>
      </c>
      <c r="AJ96" s="2852" t="s">
        <v>5400</v>
      </c>
      <c r="AK96" s="1844" t="s">
        <v>5401</v>
      </c>
      <c r="AL96" s="2852" t="s">
        <v>5402</v>
      </c>
      <c r="AM96" s="1844" t="s">
        <v>5403</v>
      </c>
      <c r="AN96" s="2852" t="s">
        <v>5404</v>
      </c>
      <c r="AO96" s="2957" t="s">
        <v>5405</v>
      </c>
      <c r="AP96" s="2826" t="s">
        <v>5406</v>
      </c>
      <c r="AQ96" s="2826" t="s">
        <v>5407</v>
      </c>
      <c r="AR96" s="3478" t="s">
        <v>5408</v>
      </c>
      <c r="AS96" s="3478" t="s">
        <v>5409</v>
      </c>
      <c r="AT96" s="3478" t="s">
        <v>5410</v>
      </c>
      <c r="AU96" s="2826" t="s">
        <v>5411</v>
      </c>
      <c r="AV96" s="2826" t="s">
        <v>5412</v>
      </c>
      <c r="AW96" s="2826" t="s">
        <v>5413</v>
      </c>
      <c r="AX96" s="2826" t="s">
        <v>5414</v>
      </c>
      <c r="AY96" s="1496" t="e">
        <f t="shared" si="68"/>
        <v>#VALUE!</v>
      </c>
      <c r="BW96" s="1430"/>
      <c r="BX96" s="1430"/>
      <c r="CB96" s="1435" t="e">
        <f>IF(DB96=1,"* Las consultas de 12 años NO DEBEN ser mayor que el total de Consultas entre 10-14 Años. ","")</f>
        <v>#VALUE!</v>
      </c>
      <c r="CC96" s="1435" t="e">
        <f t="shared" si="58"/>
        <v>#VALUE!</v>
      </c>
      <c r="CD96" s="1435" t="str">
        <f t="shared" si="59"/>
        <v xml:space="preserve">* Las actividades de usuarios en situación de discapacidad NO DEBEN superar el total. </v>
      </c>
      <c r="CE96" s="1435" t="str">
        <f t="shared" si="60"/>
        <v xml:space="preserve">* Las Embarazadas NO DEBEN ser mayor al total de mujeres. </v>
      </c>
      <c r="CF96" s="1435" t="str">
        <f t="shared" si="61"/>
        <v xml:space="preserve">* El número de Beneficiarios NO DEBE ser mayor que el Total. </v>
      </c>
      <c r="CG96" s="1435" t="str">
        <f t="shared" si="69"/>
        <v xml:space="preserve">* La Población SENAME NO DEBE ser mayor al Total. </v>
      </c>
      <c r="CH96" s="1435" t="str">
        <f t="shared" si="70"/>
        <v xml:space="preserve">* La Población Mejor Niñez NO DEBE ser mayor al Total. </v>
      </c>
      <c r="CI96" s="1435" t="str">
        <f t="shared" si="71"/>
        <v xml:space="preserve">* La Población Migrante NO DEBE superar el Total. </v>
      </c>
      <c r="DB96" s="1436" t="e">
        <f>IF(AP96&gt;(X96+Y96),1,0)</f>
        <v>#VALUE!</v>
      </c>
      <c r="DC96" s="1436" t="e">
        <f t="shared" si="62"/>
        <v>#VALUE!</v>
      </c>
      <c r="DD96" s="1436">
        <f t="shared" si="63"/>
        <v>1</v>
      </c>
      <c r="DE96" s="1436">
        <f t="shared" si="64"/>
        <v>1</v>
      </c>
      <c r="DF96" s="1436">
        <f t="shared" si="65"/>
        <v>1</v>
      </c>
      <c r="DG96" s="1436">
        <f t="shared" si="66"/>
        <v>1</v>
      </c>
      <c r="DH96" s="1436">
        <f t="shared" si="67"/>
        <v>1</v>
      </c>
      <c r="DI96" s="1436">
        <f t="shared" si="72"/>
        <v>1</v>
      </c>
    </row>
    <row r="97" spans="1:113" ht="16.350000000000001" customHeight="1" x14ac:dyDescent="0.25">
      <c r="A97" s="7520" t="s">
        <v>5162</v>
      </c>
      <c r="B97" s="9835" t="s">
        <v>1153</v>
      </c>
      <c r="C97" s="9835"/>
      <c r="D97" s="9835"/>
      <c r="E97" s="4667" t="s">
        <v>5369</v>
      </c>
      <c r="F97" s="2923" t="s">
        <v>5370</v>
      </c>
      <c r="G97" s="1841" t="s">
        <v>5371</v>
      </c>
      <c r="H97" s="2822" t="s">
        <v>5372</v>
      </c>
      <c r="I97" s="1844" t="s">
        <v>5373</v>
      </c>
      <c r="J97" s="2822" t="s">
        <v>5374</v>
      </c>
      <c r="K97" s="1859" t="s">
        <v>5375</v>
      </c>
      <c r="L97" s="2822" t="s">
        <v>5376</v>
      </c>
      <c r="M97" s="1844" t="s">
        <v>5377</v>
      </c>
      <c r="N97" s="2822" t="s">
        <v>5378</v>
      </c>
      <c r="O97" s="1844" t="s">
        <v>5379</v>
      </c>
      <c r="P97" s="2852" t="s">
        <v>5380</v>
      </c>
      <c r="Q97" s="1844" t="s">
        <v>5381</v>
      </c>
      <c r="R97" s="2852" t="s">
        <v>5382</v>
      </c>
      <c r="S97" s="1844" t="s">
        <v>5383</v>
      </c>
      <c r="T97" s="2852" t="s">
        <v>5384</v>
      </c>
      <c r="U97" s="1844" t="s">
        <v>5385</v>
      </c>
      <c r="V97" s="2852" t="s">
        <v>5386</v>
      </c>
      <c r="W97" s="1844" t="s">
        <v>5387</v>
      </c>
      <c r="X97" s="2852" t="s">
        <v>5388</v>
      </c>
      <c r="Y97" s="1844" t="s">
        <v>5389</v>
      </c>
      <c r="Z97" s="2852" t="s">
        <v>5390</v>
      </c>
      <c r="AA97" s="1844" t="s">
        <v>5391</v>
      </c>
      <c r="AB97" s="2852" t="s">
        <v>5392</v>
      </c>
      <c r="AC97" s="1844" t="s">
        <v>5393</v>
      </c>
      <c r="AD97" s="2852" t="s">
        <v>5394</v>
      </c>
      <c r="AE97" s="1844" t="s">
        <v>5395</v>
      </c>
      <c r="AF97" s="2852" t="s">
        <v>5396</v>
      </c>
      <c r="AG97" s="1844" t="s">
        <v>5397</v>
      </c>
      <c r="AH97" s="2852" t="s">
        <v>5398</v>
      </c>
      <c r="AI97" s="1844" t="s">
        <v>5399</v>
      </c>
      <c r="AJ97" s="2852" t="s">
        <v>5400</v>
      </c>
      <c r="AK97" s="1844" t="s">
        <v>5401</v>
      </c>
      <c r="AL97" s="2852" t="s">
        <v>5402</v>
      </c>
      <c r="AM97" s="1844" t="s">
        <v>5403</v>
      </c>
      <c r="AN97" s="2852" t="s">
        <v>5404</v>
      </c>
      <c r="AO97" s="2957" t="s">
        <v>5405</v>
      </c>
      <c r="AP97" s="2826" t="s">
        <v>5406</v>
      </c>
      <c r="AQ97" s="2826" t="s">
        <v>5407</v>
      </c>
      <c r="AR97" s="3478" t="s">
        <v>5408</v>
      </c>
      <c r="AS97" s="3478" t="s">
        <v>5409</v>
      </c>
      <c r="AT97" s="3478" t="s">
        <v>5410</v>
      </c>
      <c r="AU97" s="2826" t="s">
        <v>5411</v>
      </c>
      <c r="AV97" s="2826" t="s">
        <v>5412</v>
      </c>
      <c r="AW97" s="2826" t="s">
        <v>5413</v>
      </c>
      <c r="AX97" s="2826" t="s">
        <v>5414</v>
      </c>
      <c r="AY97" s="1496" t="e">
        <f t="shared" si="68"/>
        <v>#VALUE!</v>
      </c>
      <c r="BW97" s="1430"/>
      <c r="BX97" s="1430"/>
      <c r="CB97" s="1435" t="e">
        <f>IF(DB97=1,"* Las consultas de 12 años NO DEBEN ser mayor que el total de Consultas entre 10-14 Años. ","")</f>
        <v>#VALUE!</v>
      </c>
      <c r="CC97" s="1435" t="e">
        <f t="shared" si="58"/>
        <v>#VALUE!</v>
      </c>
      <c r="CD97" s="1435" t="str">
        <f t="shared" si="59"/>
        <v xml:space="preserve">* Las actividades de usuarios en situación de discapacidad NO DEBEN superar el total. </v>
      </c>
      <c r="CE97" s="1435" t="str">
        <f t="shared" si="60"/>
        <v xml:space="preserve">* Las Embarazadas NO DEBEN ser mayor al total de mujeres. </v>
      </c>
      <c r="CF97" s="1435" t="str">
        <f t="shared" si="61"/>
        <v xml:space="preserve">* El número de Beneficiarios NO DEBE ser mayor que el Total. </v>
      </c>
      <c r="CG97" s="1435" t="str">
        <f t="shared" si="69"/>
        <v xml:space="preserve">* La Población SENAME NO DEBE ser mayor al Total. </v>
      </c>
      <c r="CH97" s="1435" t="str">
        <f t="shared" si="70"/>
        <v xml:space="preserve">* La Población Mejor Niñez NO DEBE ser mayor al Total. </v>
      </c>
      <c r="CI97" s="1435" t="str">
        <f t="shared" si="71"/>
        <v xml:space="preserve">* La Población Migrante NO DEBE superar el Total. </v>
      </c>
      <c r="DB97" s="1436" t="e">
        <f>IF(AP97&gt;(X97+Y97),1,0)</f>
        <v>#VALUE!</v>
      </c>
      <c r="DC97" s="1436" t="e">
        <f t="shared" si="62"/>
        <v>#VALUE!</v>
      </c>
      <c r="DD97" s="1436">
        <f t="shared" si="63"/>
        <v>1</v>
      </c>
      <c r="DE97" s="1436">
        <f t="shared" si="64"/>
        <v>1</v>
      </c>
      <c r="DF97" s="1436">
        <f t="shared" si="65"/>
        <v>1</v>
      </c>
      <c r="DG97" s="1436">
        <f t="shared" si="66"/>
        <v>1</v>
      </c>
      <c r="DH97" s="1436">
        <f t="shared" si="67"/>
        <v>1</v>
      </c>
      <c r="DI97" s="1436">
        <f t="shared" si="72"/>
        <v>1</v>
      </c>
    </row>
    <row r="98" spans="1:113" ht="16.350000000000001" customHeight="1" x14ac:dyDescent="0.25">
      <c r="A98" s="7520" t="s">
        <v>5163</v>
      </c>
      <c r="B98" s="9772" t="s">
        <v>1152</v>
      </c>
      <c r="C98" s="9773"/>
      <c r="D98" s="9774"/>
      <c r="E98" s="4667" t="s">
        <v>5369</v>
      </c>
      <c r="F98" s="2923" t="s">
        <v>5370</v>
      </c>
      <c r="G98" s="1841" t="s">
        <v>5371</v>
      </c>
      <c r="H98" s="2822" t="s">
        <v>5372</v>
      </c>
      <c r="I98" s="2986" t="s">
        <v>5373</v>
      </c>
      <c r="J98" s="3139" t="s">
        <v>5374</v>
      </c>
      <c r="K98" s="1743" t="s">
        <v>5375</v>
      </c>
      <c r="L98" s="3139" t="s">
        <v>5376</v>
      </c>
      <c r="M98" s="1844" t="s">
        <v>5377</v>
      </c>
      <c r="N98" s="2822" t="s">
        <v>5378</v>
      </c>
      <c r="O98" s="1844" t="s">
        <v>5379</v>
      </c>
      <c r="P98" s="2852" t="s">
        <v>5380</v>
      </c>
      <c r="Q98" s="1844" t="s">
        <v>5381</v>
      </c>
      <c r="R98" s="2852" t="s">
        <v>5382</v>
      </c>
      <c r="S98" s="1844" t="s">
        <v>5383</v>
      </c>
      <c r="T98" s="2852" t="s">
        <v>5384</v>
      </c>
      <c r="U98" s="1844" t="s">
        <v>5385</v>
      </c>
      <c r="V98" s="2852" t="s">
        <v>5386</v>
      </c>
      <c r="W98" s="1844" t="s">
        <v>5387</v>
      </c>
      <c r="X98" s="2852" t="s">
        <v>5388</v>
      </c>
      <c r="Y98" s="1844" t="s">
        <v>5389</v>
      </c>
      <c r="Z98" s="2852" t="s">
        <v>5390</v>
      </c>
      <c r="AA98" s="1844" t="s">
        <v>5391</v>
      </c>
      <c r="AB98" s="2852" t="s">
        <v>5392</v>
      </c>
      <c r="AC98" s="1844" t="s">
        <v>5393</v>
      </c>
      <c r="AD98" s="2852" t="s">
        <v>5394</v>
      </c>
      <c r="AE98" s="1844" t="s">
        <v>5395</v>
      </c>
      <c r="AF98" s="2852" t="s">
        <v>5396</v>
      </c>
      <c r="AG98" s="1844" t="s">
        <v>5397</v>
      </c>
      <c r="AH98" s="2852" t="s">
        <v>5398</v>
      </c>
      <c r="AI98" s="1844" t="s">
        <v>5399</v>
      </c>
      <c r="AJ98" s="2852" t="s">
        <v>5400</v>
      </c>
      <c r="AK98" s="1844" t="s">
        <v>5401</v>
      </c>
      <c r="AL98" s="2852" t="s">
        <v>5402</v>
      </c>
      <c r="AM98" s="1844" t="s">
        <v>5403</v>
      </c>
      <c r="AN98" s="2852" t="s">
        <v>5404</v>
      </c>
      <c r="AO98" s="2957" t="s">
        <v>5405</v>
      </c>
      <c r="AP98" s="2826" t="s">
        <v>5406</v>
      </c>
      <c r="AQ98" s="2814" t="s">
        <v>5407</v>
      </c>
      <c r="AR98" s="3758" t="s">
        <v>5408</v>
      </c>
      <c r="AS98" s="3758" t="s">
        <v>5409</v>
      </c>
      <c r="AT98" s="3758" t="s">
        <v>5410</v>
      </c>
      <c r="AU98" s="2814" t="s">
        <v>5411</v>
      </c>
      <c r="AV98" s="2814" t="s">
        <v>5412</v>
      </c>
      <c r="AW98" s="2814" t="s">
        <v>5413</v>
      </c>
      <c r="AX98" s="2814" t="s">
        <v>5414</v>
      </c>
      <c r="AY98" s="1496" t="e">
        <f t="shared" si="68"/>
        <v>#VALUE!</v>
      </c>
      <c r="BW98" s="1430"/>
      <c r="BX98" s="1430"/>
      <c r="CB98" s="1435" t="e">
        <f>IF(DB98=1,"* Las consultas de 12 años NO DEBEN ser mayor que el total de Consultas entre 10-14 Años. ","")</f>
        <v>#VALUE!</v>
      </c>
      <c r="CC98" s="1435" t="e">
        <f t="shared" si="58"/>
        <v>#VALUE!</v>
      </c>
      <c r="CD98" s="1435" t="str">
        <f t="shared" si="59"/>
        <v xml:space="preserve">* Las actividades de usuarios en situación de discapacidad NO DEBEN superar el total. </v>
      </c>
      <c r="CE98" s="1435" t="str">
        <f t="shared" si="60"/>
        <v xml:space="preserve">* Las Embarazadas NO DEBEN ser mayor al total de mujeres. </v>
      </c>
      <c r="CF98" s="1435" t="str">
        <f t="shared" si="61"/>
        <v xml:space="preserve">* El número de Beneficiarios NO DEBE ser mayor que el Total. </v>
      </c>
      <c r="CG98" s="1435" t="str">
        <f t="shared" si="69"/>
        <v xml:space="preserve">* La Población SENAME NO DEBE ser mayor al Total. </v>
      </c>
      <c r="CH98" s="1435" t="str">
        <f t="shared" si="70"/>
        <v xml:space="preserve">* La Población Mejor Niñez NO DEBE ser mayor al Total. </v>
      </c>
      <c r="CI98" s="1435" t="str">
        <f t="shared" si="71"/>
        <v xml:space="preserve">* La Población Migrante NO DEBE superar el Total. </v>
      </c>
      <c r="DB98" s="1436" t="e">
        <f>IF(AP98&gt;(X98+Y98),1,0)</f>
        <v>#VALUE!</v>
      </c>
      <c r="DC98" s="1436" t="e">
        <f t="shared" si="62"/>
        <v>#VALUE!</v>
      </c>
      <c r="DD98" s="1436">
        <f t="shared" si="63"/>
        <v>1</v>
      </c>
      <c r="DE98" s="1436">
        <f t="shared" si="64"/>
        <v>1</v>
      </c>
      <c r="DF98" s="1436">
        <f t="shared" si="65"/>
        <v>1</v>
      </c>
      <c r="DG98" s="1436">
        <f t="shared" si="66"/>
        <v>1</v>
      </c>
      <c r="DH98" s="1436">
        <f t="shared" si="67"/>
        <v>1</v>
      </c>
      <c r="DI98" s="1436">
        <f t="shared" si="72"/>
        <v>1</v>
      </c>
    </row>
    <row r="99" spans="1:113" ht="16.350000000000001" customHeight="1" x14ac:dyDescent="0.25">
      <c r="A99" s="7520" t="s">
        <v>5164</v>
      </c>
      <c r="B99" s="9829" t="s">
        <v>1151</v>
      </c>
      <c r="C99" s="9830"/>
      <c r="D99" s="9831"/>
      <c r="E99" s="4667" t="s">
        <v>5369</v>
      </c>
      <c r="F99" s="2923" t="s">
        <v>5370</v>
      </c>
      <c r="G99" s="1841" t="s">
        <v>5371</v>
      </c>
      <c r="H99" s="4668" t="s">
        <v>5372</v>
      </c>
      <c r="I99" s="1856" t="s">
        <v>5373</v>
      </c>
      <c r="J99" s="4668" t="s">
        <v>5374</v>
      </c>
      <c r="K99" s="1939" t="s">
        <v>5375</v>
      </c>
      <c r="L99" s="4668" t="s">
        <v>5376</v>
      </c>
      <c r="M99" s="1856" t="s">
        <v>5377</v>
      </c>
      <c r="N99" s="4668" t="s">
        <v>5378</v>
      </c>
      <c r="O99" s="1856" t="s">
        <v>5379</v>
      </c>
      <c r="P99" s="4669" t="s">
        <v>5380</v>
      </c>
      <c r="Q99" s="1856" t="s">
        <v>5381</v>
      </c>
      <c r="R99" s="4669" t="s">
        <v>5382</v>
      </c>
      <c r="S99" s="1856" t="s">
        <v>5383</v>
      </c>
      <c r="T99" s="4669" t="s">
        <v>5384</v>
      </c>
      <c r="U99" s="1856" t="s">
        <v>5385</v>
      </c>
      <c r="V99" s="4669" t="s">
        <v>5386</v>
      </c>
      <c r="W99" s="1856" t="s">
        <v>5387</v>
      </c>
      <c r="X99" s="4669" t="s">
        <v>5388</v>
      </c>
      <c r="Y99" s="1856" t="s">
        <v>5389</v>
      </c>
      <c r="Z99" s="2852" t="s">
        <v>5390</v>
      </c>
      <c r="AA99" s="1844" t="s">
        <v>5391</v>
      </c>
      <c r="AB99" s="2852" t="s">
        <v>5392</v>
      </c>
      <c r="AC99" s="1844" t="s">
        <v>5393</v>
      </c>
      <c r="AD99" s="2852" t="s">
        <v>5394</v>
      </c>
      <c r="AE99" s="1844" t="s">
        <v>5395</v>
      </c>
      <c r="AF99" s="2852" t="s">
        <v>5396</v>
      </c>
      <c r="AG99" s="1844" t="s">
        <v>5397</v>
      </c>
      <c r="AH99" s="2852" t="s">
        <v>5398</v>
      </c>
      <c r="AI99" s="1844" t="s">
        <v>5399</v>
      </c>
      <c r="AJ99" s="2852" t="s">
        <v>5400</v>
      </c>
      <c r="AK99" s="1844" t="s">
        <v>5401</v>
      </c>
      <c r="AL99" s="2852" t="s">
        <v>5402</v>
      </c>
      <c r="AM99" s="1844" t="s">
        <v>5403</v>
      </c>
      <c r="AN99" s="2852" t="s">
        <v>5404</v>
      </c>
      <c r="AO99" s="2957" t="s">
        <v>5405</v>
      </c>
      <c r="AP99" s="4670" t="s">
        <v>5406</v>
      </c>
      <c r="AQ99" s="2814" t="s">
        <v>5407</v>
      </c>
      <c r="AR99" s="3758" t="s">
        <v>5408</v>
      </c>
      <c r="AS99" s="3758" t="s">
        <v>5409</v>
      </c>
      <c r="AT99" s="3758" t="s">
        <v>5410</v>
      </c>
      <c r="AU99" s="2814" t="s">
        <v>5411</v>
      </c>
      <c r="AV99" s="2814" t="s">
        <v>5412</v>
      </c>
      <c r="AW99" s="2814" t="s">
        <v>5413</v>
      </c>
      <c r="AX99" s="2814" t="s">
        <v>5414</v>
      </c>
      <c r="AY99" s="1496" t="e">
        <f t="shared" si="68"/>
        <v>#VALUE!</v>
      </c>
      <c r="BW99" s="1430"/>
      <c r="BX99" s="1430"/>
      <c r="CB99" s="1435"/>
      <c r="CC99" s="1435" t="e">
        <f t="shared" si="58"/>
        <v>#VALUE!</v>
      </c>
      <c r="CD99" s="1435" t="str">
        <f t="shared" si="59"/>
        <v xml:space="preserve">* Las actividades de usuarios en situación de discapacidad NO DEBEN superar el total. </v>
      </c>
      <c r="CE99" s="1435" t="str">
        <f t="shared" si="60"/>
        <v xml:space="preserve">* Las Embarazadas NO DEBEN ser mayor al total de mujeres. </v>
      </c>
      <c r="CF99" s="1435" t="str">
        <f t="shared" si="61"/>
        <v xml:space="preserve">* El número de Beneficiarios NO DEBE ser mayor que el Total. </v>
      </c>
      <c r="CG99" s="1435" t="str">
        <f t="shared" si="69"/>
        <v xml:space="preserve">* La Población SENAME NO DEBE ser mayor al Total. </v>
      </c>
      <c r="CH99" s="1435" t="str">
        <f t="shared" si="70"/>
        <v xml:space="preserve">* La Población Mejor Niñez NO DEBE ser mayor al Total. </v>
      </c>
      <c r="CI99" s="1435" t="str">
        <f t="shared" si="71"/>
        <v xml:space="preserve">* La Población Migrante NO DEBE superar el Total. </v>
      </c>
      <c r="DB99" s="1436"/>
      <c r="DC99" s="1436" t="e">
        <f t="shared" si="62"/>
        <v>#VALUE!</v>
      </c>
      <c r="DD99" s="1436">
        <f t="shared" si="63"/>
        <v>1</v>
      </c>
      <c r="DE99" s="1436">
        <f t="shared" si="64"/>
        <v>1</v>
      </c>
      <c r="DF99" s="1436">
        <f t="shared" si="65"/>
        <v>1</v>
      </c>
      <c r="DG99" s="1436">
        <f t="shared" si="66"/>
        <v>1</v>
      </c>
      <c r="DH99" s="1436">
        <f t="shared" si="67"/>
        <v>1</v>
      </c>
      <c r="DI99" s="1436">
        <f t="shared" si="72"/>
        <v>1</v>
      </c>
    </row>
    <row r="100" spans="1:113" ht="16.350000000000001" customHeight="1" x14ac:dyDescent="0.25">
      <c r="A100" s="7520" t="s">
        <v>5165</v>
      </c>
      <c r="B100" s="9828" t="s">
        <v>2091</v>
      </c>
      <c r="C100" s="9828"/>
      <c r="D100" s="9828"/>
      <c r="E100" s="4667" t="s">
        <v>5369</v>
      </c>
      <c r="F100" s="2923" t="s">
        <v>5370</v>
      </c>
      <c r="G100" s="1841" t="s">
        <v>5371</v>
      </c>
      <c r="H100" s="2822" t="s">
        <v>5372</v>
      </c>
      <c r="I100" s="1844" t="s">
        <v>5373</v>
      </c>
      <c r="J100" s="2822" t="s">
        <v>5374</v>
      </c>
      <c r="K100" s="1859" t="s">
        <v>5375</v>
      </c>
      <c r="L100" s="3139" t="s">
        <v>5376</v>
      </c>
      <c r="M100" s="1844" t="s">
        <v>5377</v>
      </c>
      <c r="N100" s="2822" t="s">
        <v>5378</v>
      </c>
      <c r="O100" s="1844" t="s">
        <v>5379</v>
      </c>
      <c r="P100" s="2852" t="s">
        <v>5380</v>
      </c>
      <c r="Q100" s="1844" t="s">
        <v>5381</v>
      </c>
      <c r="R100" s="2852" t="s">
        <v>5382</v>
      </c>
      <c r="S100" s="1844" t="s">
        <v>5383</v>
      </c>
      <c r="T100" s="2852" t="s">
        <v>5384</v>
      </c>
      <c r="U100" s="1844" t="s">
        <v>5385</v>
      </c>
      <c r="V100" s="2852" t="s">
        <v>5386</v>
      </c>
      <c r="W100" s="1844" t="s">
        <v>5387</v>
      </c>
      <c r="X100" s="2852" t="s">
        <v>5388</v>
      </c>
      <c r="Y100" s="1844" t="s">
        <v>5389</v>
      </c>
      <c r="Z100" s="2852" t="s">
        <v>5390</v>
      </c>
      <c r="AA100" s="1844" t="s">
        <v>5391</v>
      </c>
      <c r="AB100" s="4669" t="s">
        <v>5392</v>
      </c>
      <c r="AC100" s="1856" t="s">
        <v>5393</v>
      </c>
      <c r="AD100" s="4669" t="s">
        <v>5394</v>
      </c>
      <c r="AE100" s="1856" t="s">
        <v>5395</v>
      </c>
      <c r="AF100" s="4669" t="s">
        <v>5396</v>
      </c>
      <c r="AG100" s="1856" t="s">
        <v>5397</v>
      </c>
      <c r="AH100" s="4669" t="s">
        <v>5398</v>
      </c>
      <c r="AI100" s="1856" t="s">
        <v>5399</v>
      </c>
      <c r="AJ100" s="4669" t="s">
        <v>5400</v>
      </c>
      <c r="AK100" s="1856" t="s">
        <v>5401</v>
      </c>
      <c r="AL100" s="4669" t="s">
        <v>5402</v>
      </c>
      <c r="AM100" s="1856" t="s">
        <v>5403</v>
      </c>
      <c r="AN100" s="4669" t="s">
        <v>5404</v>
      </c>
      <c r="AO100" s="4671" t="s">
        <v>5405</v>
      </c>
      <c r="AP100" s="2826" t="s">
        <v>5406</v>
      </c>
      <c r="AQ100" s="2826" t="s">
        <v>5407</v>
      </c>
      <c r="AR100" s="3478" t="s">
        <v>5408</v>
      </c>
      <c r="AS100" s="4672" t="s">
        <v>5409</v>
      </c>
      <c r="AT100" s="3478" t="s">
        <v>5410</v>
      </c>
      <c r="AU100" s="2826" t="s">
        <v>5411</v>
      </c>
      <c r="AV100" s="2826" t="s">
        <v>5412</v>
      </c>
      <c r="AW100" s="2826" t="s">
        <v>5413</v>
      </c>
      <c r="AX100" s="2826" t="s">
        <v>5414</v>
      </c>
      <c r="AY100" s="1496" t="e">
        <f t="shared" si="68"/>
        <v>#VALUE!</v>
      </c>
      <c r="BW100" s="1430"/>
      <c r="BX100" s="1430"/>
      <c r="CB100" s="1435" t="e">
        <f t="shared" ref="CB100:CB118" si="73">IF(DB100=1,"* Las consultas de 12 años NO DEBEN ser mayor que el total de Consultas entre 10-14 Años. ","")</f>
        <v>#VALUE!</v>
      </c>
      <c r="CC100" s="1435"/>
      <c r="CD100" s="1435" t="str">
        <f t="shared" si="59"/>
        <v xml:space="preserve">* Las actividades de usuarios en situación de discapacidad NO DEBEN superar el total. </v>
      </c>
      <c r="CE100" s="1435" t="str">
        <f t="shared" si="60"/>
        <v xml:space="preserve">* Las Embarazadas NO DEBEN ser mayor al total de mujeres. </v>
      </c>
      <c r="CF100" s="1435" t="str">
        <f t="shared" si="61"/>
        <v xml:space="preserve">* El número de Beneficiarios NO DEBE ser mayor que el Total. </v>
      </c>
      <c r="CG100" s="1435" t="str">
        <f t="shared" si="69"/>
        <v xml:space="preserve">* La Población SENAME NO DEBE ser mayor al Total. </v>
      </c>
      <c r="CH100" s="1435" t="str">
        <f t="shared" si="70"/>
        <v xml:space="preserve">* La Población Mejor Niñez NO DEBE ser mayor al Total. </v>
      </c>
      <c r="CI100" s="1435" t="str">
        <f t="shared" si="71"/>
        <v xml:space="preserve">* La Población Migrante NO DEBE superar el Total. </v>
      </c>
      <c r="DB100" s="1436" t="e">
        <f t="shared" ref="DB100:DB118" si="74">IF(AP100&gt;(X100+Y100),1,0)</f>
        <v>#VALUE!</v>
      </c>
      <c r="DC100" s="1436"/>
      <c r="DD100" s="1436">
        <f t="shared" si="63"/>
        <v>1</v>
      </c>
      <c r="DE100" s="1436">
        <f t="shared" si="64"/>
        <v>1</v>
      </c>
      <c r="DF100" s="1436">
        <f t="shared" si="65"/>
        <v>1</v>
      </c>
      <c r="DG100" s="1436">
        <f t="shared" si="66"/>
        <v>1</v>
      </c>
      <c r="DH100" s="1436">
        <f t="shared" si="67"/>
        <v>1</v>
      </c>
      <c r="DI100" s="1436">
        <f t="shared" si="72"/>
        <v>1</v>
      </c>
    </row>
    <row r="101" spans="1:113" ht="16.350000000000001" customHeight="1" x14ac:dyDescent="0.25">
      <c r="A101" s="7520" t="s">
        <v>5166</v>
      </c>
      <c r="B101" s="9832" t="s">
        <v>2092</v>
      </c>
      <c r="C101" s="9833"/>
      <c r="D101" s="9834"/>
      <c r="E101" s="4667" t="s">
        <v>5369</v>
      </c>
      <c r="F101" s="2923" t="s">
        <v>5370</v>
      </c>
      <c r="G101" s="1841" t="s">
        <v>5371</v>
      </c>
      <c r="H101" s="2822" t="s">
        <v>5372</v>
      </c>
      <c r="I101" s="1844" t="s">
        <v>5373</v>
      </c>
      <c r="J101" s="2822" t="s">
        <v>5374</v>
      </c>
      <c r="K101" s="1859" t="s">
        <v>5375</v>
      </c>
      <c r="L101" s="3139" t="s">
        <v>5376</v>
      </c>
      <c r="M101" s="1844" t="s">
        <v>5377</v>
      </c>
      <c r="N101" s="2822" t="s">
        <v>5378</v>
      </c>
      <c r="O101" s="1844" t="s">
        <v>5379</v>
      </c>
      <c r="P101" s="2852" t="s">
        <v>5380</v>
      </c>
      <c r="Q101" s="1844" t="s">
        <v>5381</v>
      </c>
      <c r="R101" s="2852" t="s">
        <v>5382</v>
      </c>
      <c r="S101" s="1844" t="s">
        <v>5383</v>
      </c>
      <c r="T101" s="2852" t="s">
        <v>5384</v>
      </c>
      <c r="U101" s="1844" t="s">
        <v>5385</v>
      </c>
      <c r="V101" s="2852" t="s">
        <v>5386</v>
      </c>
      <c r="W101" s="1844" t="s">
        <v>5387</v>
      </c>
      <c r="X101" s="2852" t="s">
        <v>5388</v>
      </c>
      <c r="Y101" s="1844" t="s">
        <v>5389</v>
      </c>
      <c r="Z101" s="2852" t="s">
        <v>5390</v>
      </c>
      <c r="AA101" s="1844" t="s">
        <v>5391</v>
      </c>
      <c r="AB101" s="2852" t="s">
        <v>5392</v>
      </c>
      <c r="AC101" s="1844" t="s">
        <v>5393</v>
      </c>
      <c r="AD101" s="2852" t="s">
        <v>5394</v>
      </c>
      <c r="AE101" s="1844" t="s">
        <v>5395</v>
      </c>
      <c r="AF101" s="2852" t="s">
        <v>5396</v>
      </c>
      <c r="AG101" s="1844" t="s">
        <v>5397</v>
      </c>
      <c r="AH101" s="2852" t="s">
        <v>5398</v>
      </c>
      <c r="AI101" s="1844" t="s">
        <v>5399</v>
      </c>
      <c r="AJ101" s="2852" t="s">
        <v>5400</v>
      </c>
      <c r="AK101" s="1844" t="s">
        <v>5401</v>
      </c>
      <c r="AL101" s="2852" t="s">
        <v>5402</v>
      </c>
      <c r="AM101" s="1844" t="s">
        <v>5403</v>
      </c>
      <c r="AN101" s="2852" t="s">
        <v>5404</v>
      </c>
      <c r="AO101" s="2957" t="s">
        <v>5405</v>
      </c>
      <c r="AP101" s="2826" t="s">
        <v>5406</v>
      </c>
      <c r="AQ101" s="2826" t="s">
        <v>5407</v>
      </c>
      <c r="AR101" s="3478" t="s">
        <v>5408</v>
      </c>
      <c r="AS101" s="3758" t="s">
        <v>5409</v>
      </c>
      <c r="AT101" s="3478" t="s">
        <v>5410</v>
      </c>
      <c r="AU101" s="2826" t="s">
        <v>5411</v>
      </c>
      <c r="AV101" s="2826" t="s">
        <v>5412</v>
      </c>
      <c r="AW101" s="2826" t="s">
        <v>5413</v>
      </c>
      <c r="AX101" s="2826" t="s">
        <v>5414</v>
      </c>
      <c r="AY101" s="1496" t="e">
        <f t="shared" si="68"/>
        <v>#VALUE!</v>
      </c>
      <c r="BW101" s="1430"/>
      <c r="BX101" s="1430"/>
      <c r="CB101" s="1435" t="e">
        <f t="shared" si="73"/>
        <v>#VALUE!</v>
      </c>
      <c r="CC101" s="1435" t="e">
        <f>IF(DC101=1,"* Las consultas de 60 años NO DEBEN ser mayor que el total de Consultas entre 60-64 Años. ","")</f>
        <v>#VALUE!</v>
      </c>
      <c r="CD101" s="1435" t="str">
        <f t="shared" si="59"/>
        <v xml:space="preserve">* Las actividades de usuarios en situación de discapacidad NO DEBEN superar el total. </v>
      </c>
      <c r="CE101" s="1435" t="str">
        <f t="shared" si="60"/>
        <v xml:space="preserve">* Las Embarazadas NO DEBEN ser mayor al total de mujeres. </v>
      </c>
      <c r="CF101" s="1435" t="str">
        <f t="shared" si="61"/>
        <v xml:space="preserve">* El número de Beneficiarios NO DEBE ser mayor que el Total. </v>
      </c>
      <c r="CG101" s="1435" t="str">
        <f t="shared" si="69"/>
        <v xml:space="preserve">* La Población SENAME NO DEBE ser mayor al Total. </v>
      </c>
      <c r="CH101" s="1435" t="str">
        <f t="shared" si="70"/>
        <v xml:space="preserve">* La Población Mejor Niñez NO DEBE ser mayor al Total. </v>
      </c>
      <c r="CI101" s="1435" t="str">
        <f t="shared" si="71"/>
        <v xml:space="preserve">* La Población Migrante NO DEBE superar el Total. </v>
      </c>
      <c r="DB101" s="1436" t="e">
        <f t="shared" si="74"/>
        <v>#VALUE!</v>
      </c>
      <c r="DC101" s="1436" t="e">
        <f>IF(AS101&gt;(AJ101+AK101),1,0)</f>
        <v>#VALUE!</v>
      </c>
      <c r="DD101" s="1436">
        <f t="shared" si="63"/>
        <v>1</v>
      </c>
      <c r="DE101" s="1436">
        <f t="shared" si="64"/>
        <v>1</v>
      </c>
      <c r="DF101" s="1436">
        <f t="shared" si="65"/>
        <v>1</v>
      </c>
      <c r="DG101" s="1436">
        <f t="shared" si="66"/>
        <v>1</v>
      </c>
      <c r="DH101" s="1436">
        <f t="shared" si="67"/>
        <v>1</v>
      </c>
      <c r="DI101" s="1436">
        <f t="shared" si="72"/>
        <v>1</v>
      </c>
    </row>
    <row r="102" spans="1:113" ht="16.350000000000001" customHeight="1" x14ac:dyDescent="0.25">
      <c r="A102" s="7520" t="s">
        <v>5167</v>
      </c>
      <c r="B102" s="9832" t="s">
        <v>2093</v>
      </c>
      <c r="C102" s="9833"/>
      <c r="D102" s="9834"/>
      <c r="E102" s="4667" t="s">
        <v>5369</v>
      </c>
      <c r="F102" s="2923" t="s">
        <v>5370</v>
      </c>
      <c r="G102" s="1841" t="s">
        <v>5371</v>
      </c>
      <c r="H102" s="2822" t="s">
        <v>5372</v>
      </c>
      <c r="I102" s="1844" t="s">
        <v>5373</v>
      </c>
      <c r="J102" s="2822" t="s">
        <v>5374</v>
      </c>
      <c r="K102" s="1859" t="s">
        <v>5375</v>
      </c>
      <c r="L102" s="3139" t="s">
        <v>5376</v>
      </c>
      <c r="M102" s="1844" t="s">
        <v>5377</v>
      </c>
      <c r="N102" s="2822" t="s">
        <v>5378</v>
      </c>
      <c r="O102" s="1844" t="s">
        <v>5379</v>
      </c>
      <c r="P102" s="2852" t="s">
        <v>5380</v>
      </c>
      <c r="Q102" s="1844" t="s">
        <v>5381</v>
      </c>
      <c r="R102" s="2852" t="s">
        <v>5382</v>
      </c>
      <c r="S102" s="1844" t="s">
        <v>5383</v>
      </c>
      <c r="T102" s="2852" t="s">
        <v>5384</v>
      </c>
      <c r="U102" s="1844" t="s">
        <v>5385</v>
      </c>
      <c r="V102" s="2852" t="s">
        <v>5386</v>
      </c>
      <c r="W102" s="1844" t="s">
        <v>5387</v>
      </c>
      <c r="X102" s="2852" t="s">
        <v>5388</v>
      </c>
      <c r="Y102" s="1844" t="s">
        <v>5389</v>
      </c>
      <c r="Z102" s="2852" t="s">
        <v>5390</v>
      </c>
      <c r="AA102" s="1844" t="s">
        <v>5391</v>
      </c>
      <c r="AB102" s="2852" t="s">
        <v>5392</v>
      </c>
      <c r="AC102" s="1844" t="s">
        <v>5393</v>
      </c>
      <c r="AD102" s="2852" t="s">
        <v>5394</v>
      </c>
      <c r="AE102" s="1844" t="s">
        <v>5395</v>
      </c>
      <c r="AF102" s="2852" t="s">
        <v>5396</v>
      </c>
      <c r="AG102" s="1844" t="s">
        <v>5397</v>
      </c>
      <c r="AH102" s="2852" t="s">
        <v>5398</v>
      </c>
      <c r="AI102" s="1844" t="s">
        <v>5399</v>
      </c>
      <c r="AJ102" s="2852" t="s">
        <v>5400</v>
      </c>
      <c r="AK102" s="1844" t="s">
        <v>5401</v>
      </c>
      <c r="AL102" s="2852" t="s">
        <v>5402</v>
      </c>
      <c r="AM102" s="1844" t="s">
        <v>5403</v>
      </c>
      <c r="AN102" s="2852" t="s">
        <v>5404</v>
      </c>
      <c r="AO102" s="2957" t="s">
        <v>5405</v>
      </c>
      <c r="AP102" s="2826" t="s">
        <v>5406</v>
      </c>
      <c r="AQ102" s="2826" t="s">
        <v>5407</v>
      </c>
      <c r="AR102" s="3478" t="s">
        <v>5408</v>
      </c>
      <c r="AS102" s="3758" t="s">
        <v>5409</v>
      </c>
      <c r="AT102" s="3478" t="s">
        <v>5410</v>
      </c>
      <c r="AU102" s="2826" t="s">
        <v>5411</v>
      </c>
      <c r="AV102" s="2826" t="s">
        <v>5412</v>
      </c>
      <c r="AW102" s="2826" t="s">
        <v>5413</v>
      </c>
      <c r="AX102" s="2826" t="s">
        <v>5414</v>
      </c>
      <c r="AY102" s="1496" t="e">
        <f t="shared" si="68"/>
        <v>#VALUE!</v>
      </c>
      <c r="BW102" s="1430"/>
      <c r="BX102" s="1430"/>
      <c r="CB102" s="1435" t="e">
        <f t="shared" si="73"/>
        <v>#VALUE!</v>
      </c>
      <c r="CC102" s="1435" t="e">
        <f>IF(DC102=1,"* Las consultas de 60 años NO DEBEN ser mayor que el total de Consultas entre 60-64 Años. ","")</f>
        <v>#VALUE!</v>
      </c>
      <c r="CD102" s="1435" t="str">
        <f t="shared" si="59"/>
        <v xml:space="preserve">* Las actividades de usuarios en situación de discapacidad NO DEBEN superar el total. </v>
      </c>
      <c r="CE102" s="1435" t="str">
        <f t="shared" si="60"/>
        <v xml:space="preserve">* Las Embarazadas NO DEBEN ser mayor al total de mujeres. </v>
      </c>
      <c r="CF102" s="1435" t="str">
        <f t="shared" si="61"/>
        <v xml:space="preserve">* El número de Beneficiarios NO DEBE ser mayor que el Total. </v>
      </c>
      <c r="CG102" s="1435" t="str">
        <f t="shared" si="69"/>
        <v xml:space="preserve">* La Población SENAME NO DEBE ser mayor al Total. </v>
      </c>
      <c r="CH102" s="1435" t="str">
        <f t="shared" si="70"/>
        <v xml:space="preserve">* La Población Mejor Niñez NO DEBE ser mayor al Total. </v>
      </c>
      <c r="CI102" s="1435" t="str">
        <f t="shared" si="71"/>
        <v xml:space="preserve">* La Población Migrante NO DEBE superar el Total. </v>
      </c>
      <c r="DB102" s="1436" t="e">
        <f t="shared" si="74"/>
        <v>#VALUE!</v>
      </c>
      <c r="DC102" s="1436" t="e">
        <f>IF(AS102&gt;(AJ102+AK102),1,0)</f>
        <v>#VALUE!</v>
      </c>
      <c r="DD102" s="1436">
        <f t="shared" si="63"/>
        <v>1</v>
      </c>
      <c r="DE102" s="1436">
        <f t="shared" si="64"/>
        <v>1</v>
      </c>
      <c r="DF102" s="1436">
        <f t="shared" si="65"/>
        <v>1</v>
      </c>
      <c r="DG102" s="1436">
        <f t="shared" si="66"/>
        <v>1</v>
      </c>
      <c r="DH102" s="1436">
        <f t="shared" si="67"/>
        <v>1</v>
      </c>
      <c r="DI102" s="1436">
        <f t="shared" si="72"/>
        <v>1</v>
      </c>
    </row>
    <row r="103" spans="1:113" ht="16.350000000000001" customHeight="1" x14ac:dyDescent="0.25">
      <c r="A103" s="7520" t="s">
        <v>5168</v>
      </c>
      <c r="B103" s="9828" t="s">
        <v>1150</v>
      </c>
      <c r="C103" s="9828"/>
      <c r="D103" s="9828"/>
      <c r="E103" s="4667" t="s">
        <v>5369</v>
      </c>
      <c r="F103" s="2923" t="s">
        <v>5370</v>
      </c>
      <c r="G103" s="1841" t="s">
        <v>5371</v>
      </c>
      <c r="H103" s="2822" t="s">
        <v>5372</v>
      </c>
      <c r="I103" s="1844" t="s">
        <v>5373</v>
      </c>
      <c r="J103" s="2822" t="s">
        <v>5374</v>
      </c>
      <c r="K103" s="1859" t="s">
        <v>5375</v>
      </c>
      <c r="L103" s="2822" t="s">
        <v>5376</v>
      </c>
      <c r="M103" s="1844" t="s">
        <v>5377</v>
      </c>
      <c r="N103" s="2822" t="s">
        <v>5378</v>
      </c>
      <c r="O103" s="1844" t="s">
        <v>5379</v>
      </c>
      <c r="P103" s="2852" t="s">
        <v>5380</v>
      </c>
      <c r="Q103" s="1844" t="s">
        <v>5381</v>
      </c>
      <c r="R103" s="2852" t="s">
        <v>5382</v>
      </c>
      <c r="S103" s="1844" t="s">
        <v>5383</v>
      </c>
      <c r="T103" s="2852" t="s">
        <v>5384</v>
      </c>
      <c r="U103" s="1844" t="s">
        <v>5385</v>
      </c>
      <c r="V103" s="2852" t="s">
        <v>5386</v>
      </c>
      <c r="W103" s="1844" t="s">
        <v>5387</v>
      </c>
      <c r="X103" s="2852" t="s">
        <v>5388</v>
      </c>
      <c r="Y103" s="1844" t="s">
        <v>5389</v>
      </c>
      <c r="Z103" s="2852" t="s">
        <v>5390</v>
      </c>
      <c r="AA103" s="1844" t="s">
        <v>5391</v>
      </c>
      <c r="AB103" s="2852" t="s">
        <v>5392</v>
      </c>
      <c r="AC103" s="1844" t="s">
        <v>5393</v>
      </c>
      <c r="AD103" s="2852" t="s">
        <v>5394</v>
      </c>
      <c r="AE103" s="1844" t="s">
        <v>5395</v>
      </c>
      <c r="AF103" s="2852" t="s">
        <v>5396</v>
      </c>
      <c r="AG103" s="1844" t="s">
        <v>5397</v>
      </c>
      <c r="AH103" s="2852" t="s">
        <v>5398</v>
      </c>
      <c r="AI103" s="1844" t="s">
        <v>5399</v>
      </c>
      <c r="AJ103" s="2852" t="s">
        <v>5400</v>
      </c>
      <c r="AK103" s="1844" t="s">
        <v>5401</v>
      </c>
      <c r="AL103" s="2852" t="s">
        <v>5402</v>
      </c>
      <c r="AM103" s="1844" t="s">
        <v>5403</v>
      </c>
      <c r="AN103" s="2852" t="s">
        <v>5404</v>
      </c>
      <c r="AO103" s="2957" t="s">
        <v>5405</v>
      </c>
      <c r="AP103" s="2826" t="s">
        <v>5406</v>
      </c>
      <c r="AQ103" s="2826" t="s">
        <v>5407</v>
      </c>
      <c r="AR103" s="3478" t="s">
        <v>5408</v>
      </c>
      <c r="AS103" s="3758" t="s">
        <v>5409</v>
      </c>
      <c r="AT103" s="3478" t="s">
        <v>5410</v>
      </c>
      <c r="AU103" s="2826" t="s">
        <v>5411</v>
      </c>
      <c r="AV103" s="2826" t="s">
        <v>5412</v>
      </c>
      <c r="AW103" s="2826" t="s">
        <v>5413</v>
      </c>
      <c r="AX103" s="2826" t="s">
        <v>5414</v>
      </c>
      <c r="AY103" s="1496" t="e">
        <f t="shared" si="68"/>
        <v>#VALUE!</v>
      </c>
      <c r="BW103" s="1430"/>
      <c r="BX103" s="1430"/>
      <c r="CB103" s="1435" t="e">
        <f t="shared" si="73"/>
        <v>#VALUE!</v>
      </c>
      <c r="CC103" s="1435" t="e">
        <f>IF(DC103=1,"* Las consultas de 60 años NO DEBEN ser mayor que el total de Consultas entre 60-64 Años. ","")</f>
        <v>#VALUE!</v>
      </c>
      <c r="CD103" s="1435" t="str">
        <f t="shared" si="59"/>
        <v xml:space="preserve">* Las actividades de usuarios en situación de discapacidad NO DEBEN superar el total. </v>
      </c>
      <c r="CE103" s="1435" t="str">
        <f t="shared" si="60"/>
        <v xml:space="preserve">* Las Embarazadas NO DEBEN ser mayor al total de mujeres. </v>
      </c>
      <c r="CF103" s="1435" t="str">
        <f t="shared" si="61"/>
        <v xml:space="preserve">* El número de Beneficiarios NO DEBE ser mayor que el Total. </v>
      </c>
      <c r="CG103" s="1435" t="str">
        <f t="shared" si="69"/>
        <v xml:space="preserve">* La Población SENAME NO DEBE ser mayor al Total. </v>
      </c>
      <c r="CH103" s="1435" t="str">
        <f t="shared" si="70"/>
        <v xml:space="preserve">* La Población Mejor Niñez NO DEBE ser mayor al Total. </v>
      </c>
      <c r="CI103" s="1435" t="str">
        <f t="shared" si="71"/>
        <v xml:space="preserve">* La Población Migrante NO DEBE superar el Total. </v>
      </c>
      <c r="DB103" s="1436" t="e">
        <f t="shared" si="74"/>
        <v>#VALUE!</v>
      </c>
      <c r="DC103" s="1436" t="e">
        <f>IF(AS103&gt;(AJ103+AK103),1,0)</f>
        <v>#VALUE!</v>
      </c>
      <c r="DD103" s="1436">
        <f t="shared" si="63"/>
        <v>1</v>
      </c>
      <c r="DE103" s="1436">
        <f t="shared" si="64"/>
        <v>1</v>
      </c>
      <c r="DF103" s="1436">
        <f t="shared" si="65"/>
        <v>1</v>
      </c>
      <c r="DG103" s="1436">
        <f t="shared" si="66"/>
        <v>1</v>
      </c>
      <c r="DH103" s="1436">
        <f t="shared" si="67"/>
        <v>1</v>
      </c>
      <c r="DI103" s="1436">
        <f t="shared" si="72"/>
        <v>1</v>
      </c>
    </row>
    <row r="104" spans="1:113" ht="16.350000000000001" customHeight="1" x14ac:dyDescent="0.25">
      <c r="A104" s="7520" t="s">
        <v>5169</v>
      </c>
      <c r="B104" s="9828" t="s">
        <v>1149</v>
      </c>
      <c r="C104" s="9828"/>
      <c r="D104" s="9828"/>
      <c r="E104" s="4667" t="s">
        <v>5369</v>
      </c>
      <c r="F104" s="2923" t="s">
        <v>5370</v>
      </c>
      <c r="G104" s="1841" t="s">
        <v>5371</v>
      </c>
      <c r="H104" s="2822" t="s">
        <v>5372</v>
      </c>
      <c r="I104" s="1844" t="s">
        <v>5373</v>
      </c>
      <c r="J104" s="2822" t="s">
        <v>5374</v>
      </c>
      <c r="K104" s="1859" t="s">
        <v>5375</v>
      </c>
      <c r="L104" s="2822" t="s">
        <v>5376</v>
      </c>
      <c r="M104" s="1844" t="s">
        <v>5377</v>
      </c>
      <c r="N104" s="2822" t="s">
        <v>5378</v>
      </c>
      <c r="O104" s="1844" t="s">
        <v>5379</v>
      </c>
      <c r="P104" s="2852" t="s">
        <v>5380</v>
      </c>
      <c r="Q104" s="1844" t="s">
        <v>5381</v>
      </c>
      <c r="R104" s="2852" t="s">
        <v>5382</v>
      </c>
      <c r="S104" s="1844" t="s">
        <v>5383</v>
      </c>
      <c r="T104" s="2852" t="s">
        <v>5384</v>
      </c>
      <c r="U104" s="1844" t="s">
        <v>5385</v>
      </c>
      <c r="V104" s="2852" t="s">
        <v>5386</v>
      </c>
      <c r="W104" s="1844" t="s">
        <v>5387</v>
      </c>
      <c r="X104" s="2852" t="s">
        <v>5388</v>
      </c>
      <c r="Y104" s="1844" t="s">
        <v>5389</v>
      </c>
      <c r="Z104" s="2852" t="s">
        <v>5390</v>
      </c>
      <c r="AA104" s="1844" t="s">
        <v>5391</v>
      </c>
      <c r="AB104" s="2852" t="s">
        <v>5392</v>
      </c>
      <c r="AC104" s="1844" t="s">
        <v>5393</v>
      </c>
      <c r="AD104" s="2852" t="s">
        <v>5394</v>
      </c>
      <c r="AE104" s="1844" t="s">
        <v>5395</v>
      </c>
      <c r="AF104" s="2852" t="s">
        <v>5396</v>
      </c>
      <c r="AG104" s="1844" t="s">
        <v>5397</v>
      </c>
      <c r="AH104" s="2852" t="s">
        <v>5398</v>
      </c>
      <c r="AI104" s="1844" t="s">
        <v>5399</v>
      </c>
      <c r="AJ104" s="2852" t="s">
        <v>5400</v>
      </c>
      <c r="AK104" s="1844" t="s">
        <v>5401</v>
      </c>
      <c r="AL104" s="2852" t="s">
        <v>5402</v>
      </c>
      <c r="AM104" s="1844" t="s">
        <v>5403</v>
      </c>
      <c r="AN104" s="2852" t="s">
        <v>5404</v>
      </c>
      <c r="AO104" s="2957" t="s">
        <v>5405</v>
      </c>
      <c r="AP104" s="2826" t="s">
        <v>5406</v>
      </c>
      <c r="AQ104" s="2826" t="s">
        <v>5407</v>
      </c>
      <c r="AR104" s="3478" t="s">
        <v>5408</v>
      </c>
      <c r="AS104" s="3758" t="s">
        <v>5409</v>
      </c>
      <c r="AT104" s="3478" t="s">
        <v>5410</v>
      </c>
      <c r="AU104" s="2826" t="s">
        <v>5411</v>
      </c>
      <c r="AV104" s="2826" t="s">
        <v>5412</v>
      </c>
      <c r="AW104" s="2826" t="s">
        <v>5413</v>
      </c>
      <c r="AX104" s="2826" t="s">
        <v>5414</v>
      </c>
      <c r="AY104" s="1496" t="e">
        <f t="shared" si="68"/>
        <v>#VALUE!</v>
      </c>
      <c r="BW104" s="1430"/>
      <c r="BX104" s="1430"/>
      <c r="CB104" s="1435" t="e">
        <f t="shared" si="73"/>
        <v>#VALUE!</v>
      </c>
      <c r="CC104" s="1435" t="e">
        <f>IF(DC104=1,"* Las consultas de 60 años NO DEBEN ser mayor que el total de Consultas entre 60-64 Años. ","")</f>
        <v>#VALUE!</v>
      </c>
      <c r="CD104" s="1435" t="str">
        <f t="shared" si="59"/>
        <v xml:space="preserve">* Las actividades de usuarios en situación de discapacidad NO DEBEN superar el total. </v>
      </c>
      <c r="CE104" s="1435" t="str">
        <f t="shared" si="60"/>
        <v xml:space="preserve">* Las Embarazadas NO DEBEN ser mayor al total de mujeres. </v>
      </c>
      <c r="CF104" s="1435" t="str">
        <f t="shared" si="61"/>
        <v xml:space="preserve">* El número de Beneficiarios NO DEBE ser mayor que el Total. </v>
      </c>
      <c r="CG104" s="1435" t="str">
        <f t="shared" si="69"/>
        <v xml:space="preserve">* La Población SENAME NO DEBE ser mayor al Total. </v>
      </c>
      <c r="CH104" s="1435" t="str">
        <f t="shared" si="70"/>
        <v xml:space="preserve">* La Población Mejor Niñez NO DEBE ser mayor al Total. </v>
      </c>
      <c r="CI104" s="1435" t="str">
        <f t="shared" si="71"/>
        <v xml:space="preserve">* La Población Migrante NO DEBE superar el Total. </v>
      </c>
      <c r="DB104" s="1436" t="e">
        <f t="shared" si="74"/>
        <v>#VALUE!</v>
      </c>
      <c r="DC104" s="1436" t="e">
        <f>IF(AS104&gt;(AJ104+AK104),1,0)</f>
        <v>#VALUE!</v>
      </c>
      <c r="DD104" s="1436">
        <f t="shared" si="63"/>
        <v>1</v>
      </c>
      <c r="DE104" s="1436">
        <f t="shared" si="64"/>
        <v>1</v>
      </c>
      <c r="DF104" s="1436">
        <f t="shared" si="65"/>
        <v>1</v>
      </c>
      <c r="DG104" s="1436">
        <f t="shared" si="66"/>
        <v>1</v>
      </c>
      <c r="DH104" s="1436">
        <f t="shared" si="67"/>
        <v>1</v>
      </c>
      <c r="DI104" s="1436">
        <f t="shared" si="72"/>
        <v>1</v>
      </c>
    </row>
    <row r="105" spans="1:113" ht="16.350000000000001" customHeight="1" x14ac:dyDescent="0.25">
      <c r="A105" s="7520" t="s">
        <v>5170</v>
      </c>
      <c r="B105" s="9828" t="s">
        <v>1148</v>
      </c>
      <c r="C105" s="9828"/>
      <c r="D105" s="9828"/>
      <c r="E105" s="4667" t="s">
        <v>5369</v>
      </c>
      <c r="F105" s="2923" t="s">
        <v>5370</v>
      </c>
      <c r="G105" s="1841" t="s">
        <v>5371</v>
      </c>
      <c r="H105" s="3313" t="s">
        <v>5372</v>
      </c>
      <c r="I105" s="1844" t="s">
        <v>5373</v>
      </c>
      <c r="J105" s="3313" t="s">
        <v>5374</v>
      </c>
      <c r="K105" s="1859" t="s">
        <v>5375</v>
      </c>
      <c r="L105" s="2822" t="s">
        <v>5376</v>
      </c>
      <c r="M105" s="1844" t="s">
        <v>5377</v>
      </c>
      <c r="N105" s="2822" t="s">
        <v>5378</v>
      </c>
      <c r="O105" s="1844" t="s">
        <v>5379</v>
      </c>
      <c r="P105" s="2852" t="s">
        <v>5380</v>
      </c>
      <c r="Q105" s="1844" t="s">
        <v>5381</v>
      </c>
      <c r="R105" s="2852" t="s">
        <v>5382</v>
      </c>
      <c r="S105" s="1844" t="s">
        <v>5383</v>
      </c>
      <c r="T105" s="2852" t="s">
        <v>5384</v>
      </c>
      <c r="U105" s="1844" t="s">
        <v>5385</v>
      </c>
      <c r="V105" s="2852" t="s">
        <v>5386</v>
      </c>
      <c r="W105" s="1844" t="s">
        <v>5387</v>
      </c>
      <c r="X105" s="2852" t="s">
        <v>5388</v>
      </c>
      <c r="Y105" s="1844" t="s">
        <v>5389</v>
      </c>
      <c r="Z105" s="4669" t="s">
        <v>5390</v>
      </c>
      <c r="AA105" s="1856" t="s">
        <v>5391</v>
      </c>
      <c r="AB105" s="4669" t="s">
        <v>5392</v>
      </c>
      <c r="AC105" s="1856" t="s">
        <v>5393</v>
      </c>
      <c r="AD105" s="4669" t="s">
        <v>5394</v>
      </c>
      <c r="AE105" s="1856" t="s">
        <v>5395</v>
      </c>
      <c r="AF105" s="4669" t="s">
        <v>5396</v>
      </c>
      <c r="AG105" s="1856" t="s">
        <v>5397</v>
      </c>
      <c r="AH105" s="4669" t="s">
        <v>5398</v>
      </c>
      <c r="AI105" s="1856" t="s">
        <v>5399</v>
      </c>
      <c r="AJ105" s="4669" t="s">
        <v>5400</v>
      </c>
      <c r="AK105" s="1856" t="s">
        <v>5401</v>
      </c>
      <c r="AL105" s="4669" t="s">
        <v>5402</v>
      </c>
      <c r="AM105" s="1856" t="s">
        <v>5403</v>
      </c>
      <c r="AN105" s="4669" t="s">
        <v>5404</v>
      </c>
      <c r="AO105" s="4671" t="s">
        <v>5405</v>
      </c>
      <c r="AP105" s="2826" t="s">
        <v>5406</v>
      </c>
      <c r="AQ105" s="2826" t="s">
        <v>5407</v>
      </c>
      <c r="AR105" s="3478" t="s">
        <v>5408</v>
      </c>
      <c r="AS105" s="4672" t="s">
        <v>5409</v>
      </c>
      <c r="AT105" s="3478" t="s">
        <v>5410</v>
      </c>
      <c r="AU105" s="2826" t="s">
        <v>5411</v>
      </c>
      <c r="AV105" s="2826" t="s">
        <v>5412</v>
      </c>
      <c r="AW105" s="2826" t="s">
        <v>5413</v>
      </c>
      <c r="AX105" s="2826" t="s">
        <v>5414</v>
      </c>
      <c r="AY105" s="1496" t="e">
        <f t="shared" si="68"/>
        <v>#VALUE!</v>
      </c>
      <c r="BW105" s="1430"/>
      <c r="BX105" s="1430"/>
      <c r="CB105" s="1435" t="e">
        <f t="shared" si="73"/>
        <v>#VALUE!</v>
      </c>
      <c r="CC105" s="1435"/>
      <c r="CD105" s="1435" t="str">
        <f t="shared" si="59"/>
        <v xml:space="preserve">* Las actividades de usuarios en situación de discapacidad NO DEBEN superar el total. </v>
      </c>
      <c r="CE105" s="1435" t="str">
        <f t="shared" si="60"/>
        <v xml:space="preserve">* Las Embarazadas NO DEBEN ser mayor al total de mujeres. </v>
      </c>
      <c r="CF105" s="1435" t="str">
        <f t="shared" si="61"/>
        <v xml:space="preserve">* El número de Beneficiarios NO DEBE ser mayor que el Total. </v>
      </c>
      <c r="CG105" s="1435" t="str">
        <f t="shared" si="69"/>
        <v xml:space="preserve">* La Población SENAME NO DEBE ser mayor al Total. </v>
      </c>
      <c r="CH105" s="1435" t="str">
        <f t="shared" si="70"/>
        <v xml:space="preserve">* La Población Mejor Niñez NO DEBE ser mayor al Total. </v>
      </c>
      <c r="CI105" s="1435" t="str">
        <f t="shared" si="71"/>
        <v xml:space="preserve">* La Población Migrante NO DEBE superar el Total. </v>
      </c>
      <c r="DB105" s="1436" t="e">
        <f t="shared" si="74"/>
        <v>#VALUE!</v>
      </c>
      <c r="DC105" s="1436"/>
      <c r="DD105" s="1436">
        <f t="shared" si="63"/>
        <v>1</v>
      </c>
      <c r="DE105" s="1436">
        <f t="shared" si="64"/>
        <v>1</v>
      </c>
      <c r="DF105" s="1436">
        <f t="shared" si="65"/>
        <v>1</v>
      </c>
      <c r="DG105" s="1436">
        <f t="shared" si="66"/>
        <v>1</v>
      </c>
      <c r="DH105" s="1436">
        <f t="shared" si="67"/>
        <v>1</v>
      </c>
      <c r="DI105" s="1436">
        <f t="shared" si="72"/>
        <v>1</v>
      </c>
    </row>
    <row r="106" spans="1:113" ht="16.350000000000001" customHeight="1" x14ac:dyDescent="0.25">
      <c r="A106" s="7520" t="s">
        <v>5171</v>
      </c>
      <c r="B106" s="9828" t="s">
        <v>1147</v>
      </c>
      <c r="C106" s="9828"/>
      <c r="D106" s="9828"/>
      <c r="E106" s="4667" t="s">
        <v>5369</v>
      </c>
      <c r="F106" s="2923" t="s">
        <v>5370</v>
      </c>
      <c r="G106" s="1841" t="s">
        <v>5371</v>
      </c>
      <c r="H106" s="2846" t="s">
        <v>5372</v>
      </c>
      <c r="I106" s="1850" t="s">
        <v>5373</v>
      </c>
      <c r="J106" s="2846" t="s">
        <v>5374</v>
      </c>
      <c r="K106" s="1940" t="s">
        <v>5375</v>
      </c>
      <c r="L106" s="2846" t="s">
        <v>5376</v>
      </c>
      <c r="M106" s="1850" t="s">
        <v>5377</v>
      </c>
      <c r="N106" s="2846" t="s">
        <v>5378</v>
      </c>
      <c r="O106" s="1850" t="s">
        <v>5379</v>
      </c>
      <c r="P106" s="2847" t="s">
        <v>5380</v>
      </c>
      <c r="Q106" s="1850" t="s">
        <v>5381</v>
      </c>
      <c r="R106" s="2852" t="s">
        <v>5382</v>
      </c>
      <c r="S106" s="1844" t="s">
        <v>5383</v>
      </c>
      <c r="T106" s="2852" t="s">
        <v>5384</v>
      </c>
      <c r="U106" s="1844" t="s">
        <v>5385</v>
      </c>
      <c r="V106" s="2852" t="s">
        <v>5386</v>
      </c>
      <c r="W106" s="1844" t="s">
        <v>5387</v>
      </c>
      <c r="X106" s="2852" t="s">
        <v>5388</v>
      </c>
      <c r="Y106" s="1844" t="s">
        <v>5389</v>
      </c>
      <c r="Z106" s="2852" t="s">
        <v>5390</v>
      </c>
      <c r="AA106" s="1844" t="s">
        <v>5391</v>
      </c>
      <c r="AB106" s="2852" t="s">
        <v>5392</v>
      </c>
      <c r="AC106" s="1844" t="s">
        <v>5393</v>
      </c>
      <c r="AD106" s="2852" t="s">
        <v>5394</v>
      </c>
      <c r="AE106" s="1844" t="s">
        <v>5395</v>
      </c>
      <c r="AF106" s="2852" t="s">
        <v>5396</v>
      </c>
      <c r="AG106" s="1844" t="s">
        <v>5397</v>
      </c>
      <c r="AH106" s="2852" t="s">
        <v>5398</v>
      </c>
      <c r="AI106" s="1844" t="s">
        <v>5399</v>
      </c>
      <c r="AJ106" s="2852" t="s">
        <v>5400</v>
      </c>
      <c r="AK106" s="1844" t="s">
        <v>5401</v>
      </c>
      <c r="AL106" s="2852" t="s">
        <v>5402</v>
      </c>
      <c r="AM106" s="1844" t="s">
        <v>5403</v>
      </c>
      <c r="AN106" s="2852" t="s">
        <v>5404</v>
      </c>
      <c r="AO106" s="2957" t="s">
        <v>5405</v>
      </c>
      <c r="AP106" s="2826" t="s">
        <v>5406</v>
      </c>
      <c r="AQ106" s="2826" t="s">
        <v>5407</v>
      </c>
      <c r="AR106" s="3478" t="s">
        <v>5408</v>
      </c>
      <c r="AS106" s="3478" t="s">
        <v>5409</v>
      </c>
      <c r="AT106" s="3478" t="s">
        <v>5410</v>
      </c>
      <c r="AU106" s="2826" t="s">
        <v>5411</v>
      </c>
      <c r="AV106" s="2826" t="s">
        <v>5412</v>
      </c>
      <c r="AW106" s="2826" t="s">
        <v>5413</v>
      </c>
      <c r="AX106" s="2826" t="s">
        <v>5414</v>
      </c>
      <c r="AY106" s="1496" t="e">
        <f t="shared" si="68"/>
        <v>#VALUE!</v>
      </c>
      <c r="BW106" s="1430"/>
      <c r="BX106" s="1430"/>
      <c r="CB106" s="1435" t="e">
        <f t="shared" si="73"/>
        <v>#VALUE!</v>
      </c>
      <c r="CC106" s="1435" t="e">
        <f>IF(DC106=1,"* Las consultas de 60 años NO DEBEN ser mayor que el total de Consultas entre 60-64 Años. ","")</f>
        <v>#VALUE!</v>
      </c>
      <c r="CD106" s="1435" t="str">
        <f t="shared" si="59"/>
        <v xml:space="preserve">* Las actividades de usuarios en situación de discapacidad NO DEBEN superar el total. </v>
      </c>
      <c r="CE106" s="1435" t="str">
        <f t="shared" si="60"/>
        <v xml:space="preserve">* Las Embarazadas NO DEBEN ser mayor al total de mujeres. </v>
      </c>
      <c r="CF106" s="1435" t="str">
        <f t="shared" si="61"/>
        <v xml:space="preserve">* El número de Beneficiarios NO DEBE ser mayor que el Total. </v>
      </c>
      <c r="CG106" s="1435" t="str">
        <f t="shared" si="69"/>
        <v xml:space="preserve">* La Población SENAME NO DEBE ser mayor al Total. </v>
      </c>
      <c r="CH106" s="1435" t="str">
        <f t="shared" si="70"/>
        <v xml:space="preserve">* La Población Mejor Niñez NO DEBE ser mayor al Total. </v>
      </c>
      <c r="CI106" s="1435" t="str">
        <f t="shared" si="71"/>
        <v xml:space="preserve">* La Población Migrante NO DEBE superar el Total. </v>
      </c>
      <c r="DB106" s="1436" t="e">
        <f t="shared" si="74"/>
        <v>#VALUE!</v>
      </c>
      <c r="DC106" s="1436" t="e">
        <f>IF(AS106&gt;(AJ106+AK106),1,0)</f>
        <v>#VALUE!</v>
      </c>
      <c r="DD106" s="1436">
        <f t="shared" si="63"/>
        <v>1</v>
      </c>
      <c r="DE106" s="1436">
        <f t="shared" si="64"/>
        <v>1</v>
      </c>
      <c r="DF106" s="1436">
        <f t="shared" si="65"/>
        <v>1</v>
      </c>
      <c r="DG106" s="1436">
        <f t="shared" si="66"/>
        <v>1</v>
      </c>
      <c r="DH106" s="1436">
        <f t="shared" si="67"/>
        <v>1</v>
      </c>
      <c r="DI106" s="1436">
        <f t="shared" si="72"/>
        <v>1</v>
      </c>
    </row>
    <row r="107" spans="1:113" ht="16.350000000000001" customHeight="1" x14ac:dyDescent="0.25">
      <c r="A107" s="7520" t="s">
        <v>5172</v>
      </c>
      <c r="B107" s="9828" t="s">
        <v>1146</v>
      </c>
      <c r="C107" s="9828"/>
      <c r="D107" s="9828"/>
      <c r="E107" s="4667" t="s">
        <v>5369</v>
      </c>
      <c r="F107" s="2923" t="s">
        <v>5370</v>
      </c>
      <c r="G107" s="1841" t="s">
        <v>5371</v>
      </c>
      <c r="H107" s="2846" t="s">
        <v>5372</v>
      </c>
      <c r="I107" s="1850" t="s">
        <v>5373</v>
      </c>
      <c r="J107" s="2846" t="s">
        <v>5374</v>
      </c>
      <c r="K107" s="1940" t="s">
        <v>5375</v>
      </c>
      <c r="L107" s="2846" t="s">
        <v>5376</v>
      </c>
      <c r="M107" s="1850" t="s">
        <v>5377</v>
      </c>
      <c r="N107" s="2846" t="s">
        <v>5378</v>
      </c>
      <c r="O107" s="1850" t="s">
        <v>5379</v>
      </c>
      <c r="P107" s="2847" t="s">
        <v>5380</v>
      </c>
      <c r="Q107" s="1850" t="s">
        <v>5381</v>
      </c>
      <c r="R107" s="2852" t="s">
        <v>5382</v>
      </c>
      <c r="S107" s="1844" t="s">
        <v>5383</v>
      </c>
      <c r="T107" s="2852" t="s">
        <v>5384</v>
      </c>
      <c r="U107" s="1844" t="s">
        <v>5385</v>
      </c>
      <c r="V107" s="2852" t="s">
        <v>5386</v>
      </c>
      <c r="W107" s="1844" t="s">
        <v>5387</v>
      </c>
      <c r="X107" s="2852" t="s">
        <v>5388</v>
      </c>
      <c r="Y107" s="1844" t="s">
        <v>5389</v>
      </c>
      <c r="Z107" s="2852" t="s">
        <v>5390</v>
      </c>
      <c r="AA107" s="1844" t="s">
        <v>5391</v>
      </c>
      <c r="AB107" s="2852" t="s">
        <v>5392</v>
      </c>
      <c r="AC107" s="1844" t="s">
        <v>5393</v>
      </c>
      <c r="AD107" s="2852" t="s">
        <v>5394</v>
      </c>
      <c r="AE107" s="1844" t="s">
        <v>5395</v>
      </c>
      <c r="AF107" s="2852" t="s">
        <v>5396</v>
      </c>
      <c r="AG107" s="1844" t="s">
        <v>5397</v>
      </c>
      <c r="AH107" s="2852" t="s">
        <v>5398</v>
      </c>
      <c r="AI107" s="1844" t="s">
        <v>5399</v>
      </c>
      <c r="AJ107" s="2852" t="s">
        <v>5400</v>
      </c>
      <c r="AK107" s="1844" t="s">
        <v>5401</v>
      </c>
      <c r="AL107" s="2852" t="s">
        <v>5402</v>
      </c>
      <c r="AM107" s="1844" t="s">
        <v>5403</v>
      </c>
      <c r="AN107" s="2852" t="s">
        <v>5404</v>
      </c>
      <c r="AO107" s="2957" t="s">
        <v>5405</v>
      </c>
      <c r="AP107" s="2826" t="s">
        <v>5406</v>
      </c>
      <c r="AQ107" s="2826" t="s">
        <v>5407</v>
      </c>
      <c r="AR107" s="3478" t="s">
        <v>5408</v>
      </c>
      <c r="AS107" s="3478" t="s">
        <v>5409</v>
      </c>
      <c r="AT107" s="3478" t="s">
        <v>5410</v>
      </c>
      <c r="AU107" s="2826" t="s">
        <v>5411</v>
      </c>
      <c r="AV107" s="2826" t="s">
        <v>5412</v>
      </c>
      <c r="AW107" s="2826" t="s">
        <v>5413</v>
      </c>
      <c r="AX107" s="2826" t="s">
        <v>5414</v>
      </c>
      <c r="AY107" s="1496" t="e">
        <f t="shared" si="68"/>
        <v>#VALUE!</v>
      </c>
      <c r="BW107" s="1430"/>
      <c r="BX107" s="1430"/>
      <c r="CB107" s="1435" t="e">
        <f t="shared" si="73"/>
        <v>#VALUE!</v>
      </c>
      <c r="CC107" s="1435" t="e">
        <f>IF(DC107=1,"* Las consultas de 60 años NO DEBEN ser mayor que el total de Consultas entre 60-64 Años. ","")</f>
        <v>#VALUE!</v>
      </c>
      <c r="CD107" s="1435" t="str">
        <f t="shared" si="59"/>
        <v xml:space="preserve">* Las actividades de usuarios en situación de discapacidad NO DEBEN superar el total. </v>
      </c>
      <c r="CE107" s="1435" t="str">
        <f t="shared" si="60"/>
        <v xml:space="preserve">* Las Embarazadas NO DEBEN ser mayor al total de mujeres. </v>
      </c>
      <c r="CF107" s="1435" t="str">
        <f t="shared" si="61"/>
        <v xml:space="preserve">* El número de Beneficiarios NO DEBE ser mayor que el Total. </v>
      </c>
      <c r="CG107" s="1435" t="str">
        <f t="shared" si="69"/>
        <v xml:space="preserve">* La Población SENAME NO DEBE ser mayor al Total. </v>
      </c>
      <c r="CH107" s="1435" t="str">
        <f t="shared" si="70"/>
        <v xml:space="preserve">* La Población Mejor Niñez NO DEBE ser mayor al Total. </v>
      </c>
      <c r="CI107" s="1435" t="str">
        <f t="shared" si="71"/>
        <v xml:space="preserve">* La Población Migrante NO DEBE superar el Total. </v>
      </c>
      <c r="DB107" s="1436" t="e">
        <f t="shared" si="74"/>
        <v>#VALUE!</v>
      </c>
      <c r="DC107" s="1436" t="e">
        <f>IF(AS107&gt;(AJ107+AK107),1,0)</f>
        <v>#VALUE!</v>
      </c>
      <c r="DD107" s="1436">
        <f t="shared" si="63"/>
        <v>1</v>
      </c>
      <c r="DE107" s="1436">
        <f t="shared" si="64"/>
        <v>1</v>
      </c>
      <c r="DF107" s="1436">
        <f t="shared" si="65"/>
        <v>1</v>
      </c>
      <c r="DG107" s="1436">
        <f t="shared" si="66"/>
        <v>1</v>
      </c>
      <c r="DH107" s="1436">
        <f t="shared" si="67"/>
        <v>1</v>
      </c>
      <c r="DI107" s="1436">
        <f t="shared" si="72"/>
        <v>1</v>
      </c>
    </row>
    <row r="108" spans="1:113" ht="16.350000000000001" customHeight="1" x14ac:dyDescent="0.25">
      <c r="A108" s="7520" t="s">
        <v>5173</v>
      </c>
      <c r="B108" s="9828" t="s">
        <v>1145</v>
      </c>
      <c r="C108" s="9828"/>
      <c r="D108" s="9828"/>
      <c r="E108" s="4667" t="s">
        <v>5369</v>
      </c>
      <c r="F108" s="2923" t="s">
        <v>5370</v>
      </c>
      <c r="G108" s="1841" t="s">
        <v>5371</v>
      </c>
      <c r="H108" s="2846" t="s">
        <v>5372</v>
      </c>
      <c r="I108" s="1850" t="s">
        <v>5373</v>
      </c>
      <c r="J108" s="2846" t="s">
        <v>5374</v>
      </c>
      <c r="K108" s="1940" t="s">
        <v>5375</v>
      </c>
      <c r="L108" s="2846" t="s">
        <v>5376</v>
      </c>
      <c r="M108" s="1850" t="s">
        <v>5377</v>
      </c>
      <c r="N108" s="2846" t="s">
        <v>5378</v>
      </c>
      <c r="O108" s="1850" t="s">
        <v>5379</v>
      </c>
      <c r="P108" s="2847" t="s">
        <v>5380</v>
      </c>
      <c r="Q108" s="1850" t="s">
        <v>5381</v>
      </c>
      <c r="R108" s="2852" t="s">
        <v>5382</v>
      </c>
      <c r="S108" s="1844" t="s">
        <v>5383</v>
      </c>
      <c r="T108" s="2852" t="s">
        <v>5384</v>
      </c>
      <c r="U108" s="1844" t="s">
        <v>5385</v>
      </c>
      <c r="V108" s="2852" t="s">
        <v>5386</v>
      </c>
      <c r="W108" s="1844" t="s">
        <v>5387</v>
      </c>
      <c r="X108" s="2852" t="s">
        <v>5388</v>
      </c>
      <c r="Y108" s="1844" t="s">
        <v>5389</v>
      </c>
      <c r="Z108" s="2852" t="s">
        <v>5390</v>
      </c>
      <c r="AA108" s="1844" t="s">
        <v>5391</v>
      </c>
      <c r="AB108" s="2852" t="s">
        <v>5392</v>
      </c>
      <c r="AC108" s="1844" t="s">
        <v>5393</v>
      </c>
      <c r="AD108" s="2852" t="s">
        <v>5394</v>
      </c>
      <c r="AE108" s="1844" t="s">
        <v>5395</v>
      </c>
      <c r="AF108" s="2852" t="s">
        <v>5396</v>
      </c>
      <c r="AG108" s="1844" t="s">
        <v>5397</v>
      </c>
      <c r="AH108" s="2852" t="s">
        <v>5398</v>
      </c>
      <c r="AI108" s="1844" t="s">
        <v>5399</v>
      </c>
      <c r="AJ108" s="2852" t="s">
        <v>5400</v>
      </c>
      <c r="AK108" s="1844" t="s">
        <v>5401</v>
      </c>
      <c r="AL108" s="2852" t="s">
        <v>5402</v>
      </c>
      <c r="AM108" s="1844" t="s">
        <v>5403</v>
      </c>
      <c r="AN108" s="2852" t="s">
        <v>5404</v>
      </c>
      <c r="AO108" s="2957" t="s">
        <v>5405</v>
      </c>
      <c r="AP108" s="2826" t="s">
        <v>5406</v>
      </c>
      <c r="AQ108" s="2826" t="s">
        <v>5407</v>
      </c>
      <c r="AR108" s="3478" t="s">
        <v>5408</v>
      </c>
      <c r="AS108" s="3478" t="s">
        <v>5409</v>
      </c>
      <c r="AT108" s="3478" t="s">
        <v>5410</v>
      </c>
      <c r="AU108" s="2826" t="s">
        <v>5411</v>
      </c>
      <c r="AV108" s="2826" t="s">
        <v>5412</v>
      </c>
      <c r="AW108" s="2826" t="s">
        <v>5413</v>
      </c>
      <c r="AX108" s="2826" t="s">
        <v>5414</v>
      </c>
      <c r="AY108" s="1496" t="e">
        <f t="shared" si="68"/>
        <v>#VALUE!</v>
      </c>
      <c r="BW108" s="1430"/>
      <c r="BX108" s="1430"/>
      <c r="CB108" s="1435" t="e">
        <f t="shared" si="73"/>
        <v>#VALUE!</v>
      </c>
      <c r="CC108" s="1435" t="e">
        <f>IF(DC108=1,"* Las consultas de 60 años NO DEBEN ser mayor que el total de Consultas entre 60-64 Años. ","")</f>
        <v>#VALUE!</v>
      </c>
      <c r="CD108" s="1435" t="str">
        <f t="shared" si="59"/>
        <v xml:space="preserve">* Las actividades de usuarios en situación de discapacidad NO DEBEN superar el total. </v>
      </c>
      <c r="CE108" s="1435" t="str">
        <f t="shared" si="60"/>
        <v xml:space="preserve">* Las Embarazadas NO DEBEN ser mayor al total de mujeres. </v>
      </c>
      <c r="CF108" s="1435" t="str">
        <f t="shared" si="61"/>
        <v xml:space="preserve">* El número de Beneficiarios NO DEBE ser mayor que el Total. </v>
      </c>
      <c r="CG108" s="1435" t="str">
        <f t="shared" si="69"/>
        <v xml:space="preserve">* La Población SENAME NO DEBE ser mayor al Total. </v>
      </c>
      <c r="CH108" s="1435" t="str">
        <f t="shared" si="70"/>
        <v xml:space="preserve">* La Población Mejor Niñez NO DEBE ser mayor al Total. </v>
      </c>
      <c r="CI108" s="1435" t="str">
        <f t="shared" si="71"/>
        <v xml:space="preserve">* La Población Migrante NO DEBE superar el Total. </v>
      </c>
      <c r="DB108" s="1436" t="e">
        <f t="shared" si="74"/>
        <v>#VALUE!</v>
      </c>
      <c r="DC108" s="1436" t="e">
        <f>IF(AS108&gt;(AJ108+AK108),1,0)</f>
        <v>#VALUE!</v>
      </c>
      <c r="DD108" s="1436">
        <f t="shared" si="63"/>
        <v>1</v>
      </c>
      <c r="DE108" s="1436">
        <f t="shared" si="64"/>
        <v>1</v>
      </c>
      <c r="DF108" s="1436">
        <f t="shared" si="65"/>
        <v>1</v>
      </c>
      <c r="DG108" s="1436">
        <f t="shared" si="66"/>
        <v>1</v>
      </c>
      <c r="DH108" s="1436">
        <f t="shared" si="67"/>
        <v>1</v>
      </c>
      <c r="DI108" s="1436">
        <f t="shared" si="72"/>
        <v>1</v>
      </c>
    </row>
    <row r="109" spans="1:113" ht="16.350000000000001" customHeight="1" x14ac:dyDescent="0.25">
      <c r="A109" s="7520" t="s">
        <v>5174</v>
      </c>
      <c r="B109" s="9829" t="s">
        <v>1144</v>
      </c>
      <c r="C109" s="9830"/>
      <c r="D109" s="9831"/>
      <c r="E109" s="4667" t="s">
        <v>5369</v>
      </c>
      <c r="F109" s="2923" t="s">
        <v>5370</v>
      </c>
      <c r="G109" s="1841" t="s">
        <v>5371</v>
      </c>
      <c r="H109" s="4668" t="s">
        <v>5372</v>
      </c>
      <c r="I109" s="1856" t="s">
        <v>5373</v>
      </c>
      <c r="J109" s="4668" t="s">
        <v>5374</v>
      </c>
      <c r="K109" s="1939" t="s">
        <v>5375</v>
      </c>
      <c r="L109" s="4668" t="s">
        <v>5376</v>
      </c>
      <c r="M109" s="1856" t="s">
        <v>5377</v>
      </c>
      <c r="N109" s="4668" t="s">
        <v>5378</v>
      </c>
      <c r="O109" s="1856" t="s">
        <v>5379</v>
      </c>
      <c r="P109" s="4669" t="s">
        <v>5380</v>
      </c>
      <c r="Q109" s="1856" t="s">
        <v>5381</v>
      </c>
      <c r="R109" s="2852" t="s">
        <v>5382</v>
      </c>
      <c r="S109" s="1844" t="s">
        <v>5383</v>
      </c>
      <c r="T109" s="2852" t="s">
        <v>5384</v>
      </c>
      <c r="U109" s="1844" t="s">
        <v>5385</v>
      </c>
      <c r="V109" s="2852" t="s">
        <v>5386</v>
      </c>
      <c r="W109" s="1844" t="s">
        <v>5387</v>
      </c>
      <c r="X109" s="2852" t="s">
        <v>5388</v>
      </c>
      <c r="Y109" s="1844" t="s">
        <v>5389</v>
      </c>
      <c r="Z109" s="2852" t="s">
        <v>5390</v>
      </c>
      <c r="AA109" s="1844" t="s">
        <v>5391</v>
      </c>
      <c r="AB109" s="4669" t="s">
        <v>5392</v>
      </c>
      <c r="AC109" s="1856" t="s">
        <v>5393</v>
      </c>
      <c r="AD109" s="4669" t="s">
        <v>5394</v>
      </c>
      <c r="AE109" s="1856" t="s">
        <v>5395</v>
      </c>
      <c r="AF109" s="4669" t="s">
        <v>5396</v>
      </c>
      <c r="AG109" s="1856" t="s">
        <v>5397</v>
      </c>
      <c r="AH109" s="4669" t="s">
        <v>5398</v>
      </c>
      <c r="AI109" s="1856" t="s">
        <v>5399</v>
      </c>
      <c r="AJ109" s="4669" t="s">
        <v>5400</v>
      </c>
      <c r="AK109" s="1856" t="s">
        <v>5401</v>
      </c>
      <c r="AL109" s="4669" t="s">
        <v>5402</v>
      </c>
      <c r="AM109" s="1856" t="s">
        <v>5403</v>
      </c>
      <c r="AN109" s="4669" t="s">
        <v>5404</v>
      </c>
      <c r="AO109" s="4671" t="s">
        <v>5405</v>
      </c>
      <c r="AP109" s="2826" t="s">
        <v>5406</v>
      </c>
      <c r="AQ109" s="2826" t="s">
        <v>5407</v>
      </c>
      <c r="AR109" s="3478" t="s">
        <v>5408</v>
      </c>
      <c r="AS109" s="4672" t="s">
        <v>5409</v>
      </c>
      <c r="AT109" s="3478" t="s">
        <v>5410</v>
      </c>
      <c r="AU109" s="2826" t="s">
        <v>5411</v>
      </c>
      <c r="AV109" s="2826" t="s">
        <v>5412</v>
      </c>
      <c r="AW109" s="2826" t="s">
        <v>5413</v>
      </c>
      <c r="AX109" s="2826" t="s">
        <v>5414</v>
      </c>
      <c r="AY109" s="1496" t="e">
        <f t="shared" si="68"/>
        <v>#VALUE!</v>
      </c>
      <c r="BW109" s="1430"/>
      <c r="BX109" s="1430"/>
      <c r="CB109" s="1435" t="e">
        <f t="shared" si="73"/>
        <v>#VALUE!</v>
      </c>
      <c r="CC109" s="1435"/>
      <c r="CD109" s="1435" t="str">
        <f t="shared" si="59"/>
        <v xml:space="preserve">* Las actividades de usuarios en situación de discapacidad NO DEBEN superar el total. </v>
      </c>
      <c r="CE109" s="1435"/>
      <c r="CF109" s="1435" t="str">
        <f t="shared" si="61"/>
        <v xml:space="preserve">* El número de Beneficiarios NO DEBE ser mayor que el Total. </v>
      </c>
      <c r="CG109" s="1435" t="str">
        <f t="shared" si="69"/>
        <v xml:space="preserve">* La Población SENAME NO DEBE ser mayor al Total. </v>
      </c>
      <c r="CH109" s="1435" t="str">
        <f t="shared" si="70"/>
        <v xml:space="preserve">* La Población Mejor Niñez NO DEBE ser mayor al Total. </v>
      </c>
      <c r="CI109" s="1435" t="str">
        <f t="shared" si="71"/>
        <v xml:space="preserve">* La Población Migrante NO DEBE superar el Total. </v>
      </c>
      <c r="DB109" s="1436" t="e">
        <f t="shared" si="74"/>
        <v>#VALUE!</v>
      </c>
      <c r="DC109" s="1436"/>
      <c r="DD109" s="1436">
        <f t="shared" si="63"/>
        <v>1</v>
      </c>
      <c r="DE109" s="1436"/>
      <c r="DF109" s="1436">
        <f t="shared" si="65"/>
        <v>1</v>
      </c>
      <c r="DG109" s="1436">
        <f t="shared" si="66"/>
        <v>1</v>
      </c>
      <c r="DH109" s="1436">
        <f t="shared" si="67"/>
        <v>1</v>
      </c>
      <c r="DI109" s="1436">
        <f t="shared" si="72"/>
        <v>1</v>
      </c>
    </row>
    <row r="110" spans="1:113" ht="16.350000000000001" customHeight="1" x14ac:dyDescent="0.25">
      <c r="A110" s="7520" t="s">
        <v>5175</v>
      </c>
      <c r="B110" s="9829" t="s">
        <v>2142</v>
      </c>
      <c r="C110" s="9830"/>
      <c r="D110" s="9831"/>
      <c r="E110" s="4667" t="s">
        <v>5369</v>
      </c>
      <c r="F110" s="2923" t="s">
        <v>5370</v>
      </c>
      <c r="G110" s="1841" t="s">
        <v>5371</v>
      </c>
      <c r="H110" s="4668" t="s">
        <v>5372</v>
      </c>
      <c r="I110" s="1856" t="s">
        <v>5373</v>
      </c>
      <c r="J110" s="4668" t="s">
        <v>5374</v>
      </c>
      <c r="K110" s="1939" t="s">
        <v>5375</v>
      </c>
      <c r="L110" s="4668" t="s">
        <v>5376</v>
      </c>
      <c r="M110" s="1856" t="s">
        <v>5377</v>
      </c>
      <c r="N110" s="4668" t="s">
        <v>5378</v>
      </c>
      <c r="O110" s="1856" t="s">
        <v>5379</v>
      </c>
      <c r="P110" s="4669" t="s">
        <v>5380</v>
      </c>
      <c r="Q110" s="1856" t="s">
        <v>5381</v>
      </c>
      <c r="R110" s="2852" t="s">
        <v>5382</v>
      </c>
      <c r="S110" s="1844" t="s">
        <v>5383</v>
      </c>
      <c r="T110" s="2852" t="s">
        <v>5384</v>
      </c>
      <c r="U110" s="1844" t="s">
        <v>5385</v>
      </c>
      <c r="V110" s="2852" t="s">
        <v>5386</v>
      </c>
      <c r="W110" s="1844" t="s">
        <v>5387</v>
      </c>
      <c r="X110" s="2852" t="s">
        <v>5388</v>
      </c>
      <c r="Y110" s="1844" t="s">
        <v>5389</v>
      </c>
      <c r="Z110" s="2852" t="s">
        <v>5390</v>
      </c>
      <c r="AA110" s="1844" t="s">
        <v>5391</v>
      </c>
      <c r="AB110" s="2852" t="s">
        <v>5392</v>
      </c>
      <c r="AC110" s="1844" t="s">
        <v>5393</v>
      </c>
      <c r="AD110" s="2852" t="s">
        <v>5394</v>
      </c>
      <c r="AE110" s="1844" t="s">
        <v>5395</v>
      </c>
      <c r="AF110" s="2852" t="s">
        <v>5396</v>
      </c>
      <c r="AG110" s="1844" t="s">
        <v>5397</v>
      </c>
      <c r="AH110" s="2852" t="s">
        <v>5398</v>
      </c>
      <c r="AI110" s="1844" t="s">
        <v>5399</v>
      </c>
      <c r="AJ110" s="2852" t="s">
        <v>5400</v>
      </c>
      <c r="AK110" s="1844" t="s">
        <v>5401</v>
      </c>
      <c r="AL110" s="2852" t="s">
        <v>5402</v>
      </c>
      <c r="AM110" s="1844" t="s">
        <v>5403</v>
      </c>
      <c r="AN110" s="2852" t="s">
        <v>5404</v>
      </c>
      <c r="AO110" s="2957" t="s">
        <v>5405</v>
      </c>
      <c r="AP110" s="2826" t="s">
        <v>5406</v>
      </c>
      <c r="AQ110" s="2826" t="s">
        <v>5407</v>
      </c>
      <c r="AR110" s="3478" t="s">
        <v>5408</v>
      </c>
      <c r="AS110" s="3478" t="s">
        <v>5409</v>
      </c>
      <c r="AT110" s="3478" t="s">
        <v>5410</v>
      </c>
      <c r="AU110" s="2826" t="s">
        <v>5411</v>
      </c>
      <c r="AV110" s="2826" t="s">
        <v>5412</v>
      </c>
      <c r="AW110" s="2826" t="s">
        <v>5413</v>
      </c>
      <c r="AX110" s="2826" t="s">
        <v>5414</v>
      </c>
      <c r="AY110" s="1496" t="e">
        <f t="shared" si="68"/>
        <v>#VALUE!</v>
      </c>
      <c r="BW110" s="1430"/>
      <c r="BX110" s="1430"/>
      <c r="CB110" s="1435" t="e">
        <f t="shared" si="73"/>
        <v>#VALUE!</v>
      </c>
      <c r="CC110" s="1435" t="e">
        <f t="shared" ref="CC110:CC142" si="75">IF(DC110=1,"* Las consultas de 60 años NO DEBEN ser mayor que el total de Consultas entre 60-64 Años. ","")</f>
        <v>#VALUE!</v>
      </c>
      <c r="CD110" s="1435" t="str">
        <f t="shared" si="59"/>
        <v xml:space="preserve">* Las actividades de usuarios en situación de discapacidad NO DEBEN superar el total. </v>
      </c>
      <c r="CE110" s="1435" t="str">
        <f t="shared" ref="CE110:CE142" si="76">IF(AND(AQ110="",E110&lt;&gt;0),"* Recuerde que las Embarazadas deben ser incluídas en el ingreso por rango Etario (Digite CEROS si no tiene). ",IF(G110&lt;AQ110,"* Las Embarazadas NO DEBEN ser mayor al total de mujeres. ",""))</f>
        <v xml:space="preserve">* Las Embarazadas NO DEBEN ser mayor al total de mujeres. </v>
      </c>
      <c r="CF110" s="1435" t="str">
        <f t="shared" si="61"/>
        <v xml:space="preserve">* El número de Beneficiarios NO DEBE ser mayor que el Total. </v>
      </c>
      <c r="CG110" s="1435" t="str">
        <f t="shared" si="69"/>
        <v xml:space="preserve">* La Población SENAME NO DEBE ser mayor al Total. </v>
      </c>
      <c r="CH110" s="1435" t="str">
        <f t="shared" si="70"/>
        <v xml:space="preserve">* La Población Mejor Niñez NO DEBE ser mayor al Total. </v>
      </c>
      <c r="CI110" s="1435" t="str">
        <f t="shared" si="71"/>
        <v xml:space="preserve">* La Población Migrante NO DEBE superar el Total. </v>
      </c>
      <c r="DB110" s="1436" t="e">
        <f t="shared" si="74"/>
        <v>#VALUE!</v>
      </c>
      <c r="DC110" s="1436" t="e">
        <f t="shared" ref="DC110:DC142" si="77">IF(AS110&gt;(AJ110+AK110),1,0)</f>
        <v>#VALUE!</v>
      </c>
      <c r="DD110" s="1436">
        <f t="shared" si="63"/>
        <v>1</v>
      </c>
      <c r="DE110" s="1436">
        <f t="shared" ref="DE110:DE142" si="78">IF(AND(AQ110="",E110&lt;&gt;0),1,IF(G110&lt;AQ110,1,0))</f>
        <v>1</v>
      </c>
      <c r="DF110" s="1436">
        <f t="shared" si="65"/>
        <v>1</v>
      </c>
      <c r="DG110" s="1436">
        <f t="shared" si="66"/>
        <v>1</v>
      </c>
      <c r="DH110" s="1436">
        <f t="shared" si="67"/>
        <v>1</v>
      </c>
      <c r="DI110" s="1436">
        <f t="shared" si="72"/>
        <v>1</v>
      </c>
    </row>
    <row r="111" spans="1:113" ht="16.350000000000001" customHeight="1" x14ac:dyDescent="0.25">
      <c r="A111" s="7520" t="s">
        <v>5176</v>
      </c>
      <c r="B111" s="9829" t="s">
        <v>1143</v>
      </c>
      <c r="C111" s="9830"/>
      <c r="D111" s="9831"/>
      <c r="E111" s="4667" t="s">
        <v>5369</v>
      </c>
      <c r="F111" s="2923" t="s">
        <v>5370</v>
      </c>
      <c r="G111" s="1841" t="s">
        <v>5371</v>
      </c>
      <c r="H111" s="4668" t="s">
        <v>5372</v>
      </c>
      <c r="I111" s="1856" t="s">
        <v>5373</v>
      </c>
      <c r="J111" s="4668" t="s">
        <v>5374</v>
      </c>
      <c r="K111" s="1939" t="s">
        <v>5375</v>
      </c>
      <c r="L111" s="4668" t="s">
        <v>5376</v>
      </c>
      <c r="M111" s="1856" t="s">
        <v>5377</v>
      </c>
      <c r="N111" s="4668" t="s">
        <v>5378</v>
      </c>
      <c r="O111" s="1856" t="s">
        <v>5379</v>
      </c>
      <c r="P111" s="4669" t="s">
        <v>5380</v>
      </c>
      <c r="Q111" s="1856" t="s">
        <v>5381</v>
      </c>
      <c r="R111" s="2852" t="s">
        <v>5382</v>
      </c>
      <c r="S111" s="1844" t="s">
        <v>5383</v>
      </c>
      <c r="T111" s="2852" t="s">
        <v>5384</v>
      </c>
      <c r="U111" s="1844" t="s">
        <v>5385</v>
      </c>
      <c r="V111" s="2852" t="s">
        <v>5386</v>
      </c>
      <c r="W111" s="1844" t="s">
        <v>5387</v>
      </c>
      <c r="X111" s="2852" t="s">
        <v>5388</v>
      </c>
      <c r="Y111" s="1844" t="s">
        <v>5389</v>
      </c>
      <c r="Z111" s="2852" t="s">
        <v>5390</v>
      </c>
      <c r="AA111" s="1844" t="s">
        <v>5391</v>
      </c>
      <c r="AB111" s="2852" t="s">
        <v>5392</v>
      </c>
      <c r="AC111" s="1844" t="s">
        <v>5393</v>
      </c>
      <c r="AD111" s="2852" t="s">
        <v>5394</v>
      </c>
      <c r="AE111" s="1844" t="s">
        <v>5395</v>
      </c>
      <c r="AF111" s="2852" t="s">
        <v>5396</v>
      </c>
      <c r="AG111" s="1844" t="s">
        <v>5397</v>
      </c>
      <c r="AH111" s="2852" t="s">
        <v>5398</v>
      </c>
      <c r="AI111" s="1844" t="s">
        <v>5399</v>
      </c>
      <c r="AJ111" s="2852" t="s">
        <v>5400</v>
      </c>
      <c r="AK111" s="1844" t="s">
        <v>5401</v>
      </c>
      <c r="AL111" s="2852" t="s">
        <v>5402</v>
      </c>
      <c r="AM111" s="1844" t="s">
        <v>5403</v>
      </c>
      <c r="AN111" s="2852" t="s">
        <v>5404</v>
      </c>
      <c r="AO111" s="2957" t="s">
        <v>5405</v>
      </c>
      <c r="AP111" s="2826" t="s">
        <v>5406</v>
      </c>
      <c r="AQ111" s="2826" t="s">
        <v>5407</v>
      </c>
      <c r="AR111" s="3478" t="s">
        <v>5408</v>
      </c>
      <c r="AS111" s="3478" t="s">
        <v>5409</v>
      </c>
      <c r="AT111" s="3478" t="s">
        <v>5410</v>
      </c>
      <c r="AU111" s="2826" t="s">
        <v>5411</v>
      </c>
      <c r="AV111" s="2826" t="s">
        <v>5412</v>
      </c>
      <c r="AW111" s="2826" t="s">
        <v>5413</v>
      </c>
      <c r="AX111" s="2826" t="s">
        <v>5414</v>
      </c>
      <c r="AY111" s="1496" t="e">
        <f t="shared" si="68"/>
        <v>#VALUE!</v>
      </c>
      <c r="BW111" s="1430"/>
      <c r="BX111" s="1430"/>
      <c r="CB111" s="1435" t="e">
        <f t="shared" si="73"/>
        <v>#VALUE!</v>
      </c>
      <c r="CC111" s="1435" t="e">
        <f t="shared" si="75"/>
        <v>#VALUE!</v>
      </c>
      <c r="CD111" s="1435" t="str">
        <f t="shared" si="59"/>
        <v xml:space="preserve">* Las actividades de usuarios en situación de discapacidad NO DEBEN superar el total. </v>
      </c>
      <c r="CE111" s="1435" t="str">
        <f t="shared" si="76"/>
        <v xml:space="preserve">* Las Embarazadas NO DEBEN ser mayor al total de mujeres. </v>
      </c>
      <c r="CF111" s="1435" t="str">
        <f t="shared" si="61"/>
        <v xml:space="preserve">* El número de Beneficiarios NO DEBE ser mayor que el Total. </v>
      </c>
      <c r="CG111" s="1435" t="str">
        <f t="shared" si="69"/>
        <v xml:space="preserve">* La Población SENAME NO DEBE ser mayor al Total. </v>
      </c>
      <c r="CH111" s="1435" t="str">
        <f t="shared" si="70"/>
        <v xml:space="preserve">* La Población Mejor Niñez NO DEBE ser mayor al Total. </v>
      </c>
      <c r="CI111" s="1435" t="str">
        <f t="shared" si="71"/>
        <v xml:space="preserve">* La Población Migrante NO DEBE superar el Total. </v>
      </c>
      <c r="DB111" s="1436" t="e">
        <f t="shared" si="74"/>
        <v>#VALUE!</v>
      </c>
      <c r="DC111" s="1436" t="e">
        <f t="shared" si="77"/>
        <v>#VALUE!</v>
      </c>
      <c r="DD111" s="1436">
        <f t="shared" si="63"/>
        <v>1</v>
      </c>
      <c r="DE111" s="1436">
        <f t="shared" si="78"/>
        <v>1</v>
      </c>
      <c r="DF111" s="1436">
        <f t="shared" si="65"/>
        <v>1</v>
      </c>
      <c r="DG111" s="1436">
        <f t="shared" si="66"/>
        <v>1</v>
      </c>
      <c r="DH111" s="1436">
        <f t="shared" si="67"/>
        <v>1</v>
      </c>
      <c r="DI111" s="1436">
        <f t="shared" si="72"/>
        <v>1</v>
      </c>
    </row>
    <row r="112" spans="1:113" ht="16.350000000000001" customHeight="1" x14ac:dyDescent="0.25">
      <c r="A112" s="7520" t="s">
        <v>5177</v>
      </c>
      <c r="B112" s="9829" t="s">
        <v>1142</v>
      </c>
      <c r="C112" s="9830"/>
      <c r="D112" s="9831"/>
      <c r="E112" s="4667" t="s">
        <v>5369</v>
      </c>
      <c r="F112" s="2923" t="s">
        <v>5370</v>
      </c>
      <c r="G112" s="1841" t="s">
        <v>5371</v>
      </c>
      <c r="H112" s="3313" t="s">
        <v>5372</v>
      </c>
      <c r="I112" s="1938" t="s">
        <v>5373</v>
      </c>
      <c r="J112" s="2822" t="s">
        <v>5374</v>
      </c>
      <c r="K112" s="1859" t="s">
        <v>5375</v>
      </c>
      <c r="L112" s="2822" t="s">
        <v>5376</v>
      </c>
      <c r="M112" s="1844" t="s">
        <v>5377</v>
      </c>
      <c r="N112" s="2822" t="s">
        <v>5378</v>
      </c>
      <c r="O112" s="1844" t="s">
        <v>5379</v>
      </c>
      <c r="P112" s="2852" t="s">
        <v>5380</v>
      </c>
      <c r="Q112" s="1844" t="s">
        <v>5381</v>
      </c>
      <c r="R112" s="2852" t="s">
        <v>5382</v>
      </c>
      <c r="S112" s="1844" t="s">
        <v>5383</v>
      </c>
      <c r="T112" s="2852" t="s">
        <v>5384</v>
      </c>
      <c r="U112" s="1844" t="s">
        <v>5385</v>
      </c>
      <c r="V112" s="2852" t="s">
        <v>5386</v>
      </c>
      <c r="W112" s="1844" t="s">
        <v>5387</v>
      </c>
      <c r="X112" s="2852" t="s">
        <v>5388</v>
      </c>
      <c r="Y112" s="1844" t="s">
        <v>5389</v>
      </c>
      <c r="Z112" s="2852" t="s">
        <v>5390</v>
      </c>
      <c r="AA112" s="1844" t="s">
        <v>5391</v>
      </c>
      <c r="AB112" s="2852" t="s">
        <v>5392</v>
      </c>
      <c r="AC112" s="1844" t="s">
        <v>5393</v>
      </c>
      <c r="AD112" s="2852" t="s">
        <v>5394</v>
      </c>
      <c r="AE112" s="1844" t="s">
        <v>5395</v>
      </c>
      <c r="AF112" s="2852" t="s">
        <v>5396</v>
      </c>
      <c r="AG112" s="1844" t="s">
        <v>5397</v>
      </c>
      <c r="AH112" s="2852" t="s">
        <v>5398</v>
      </c>
      <c r="AI112" s="1844" t="s">
        <v>5399</v>
      </c>
      <c r="AJ112" s="2852" t="s">
        <v>5400</v>
      </c>
      <c r="AK112" s="1844" t="s">
        <v>5401</v>
      </c>
      <c r="AL112" s="2852" t="s">
        <v>5402</v>
      </c>
      <c r="AM112" s="1844" t="s">
        <v>5403</v>
      </c>
      <c r="AN112" s="2852" t="s">
        <v>5404</v>
      </c>
      <c r="AO112" s="2957" t="s">
        <v>5405</v>
      </c>
      <c r="AP112" s="2826" t="s">
        <v>5406</v>
      </c>
      <c r="AQ112" s="2826" t="s">
        <v>5407</v>
      </c>
      <c r="AR112" s="3478" t="s">
        <v>5408</v>
      </c>
      <c r="AS112" s="3478" t="s">
        <v>5409</v>
      </c>
      <c r="AT112" s="3478" t="s">
        <v>5410</v>
      </c>
      <c r="AU112" s="2826" t="s">
        <v>5411</v>
      </c>
      <c r="AV112" s="2826" t="s">
        <v>5412</v>
      </c>
      <c r="AW112" s="2826" t="s">
        <v>5413</v>
      </c>
      <c r="AX112" s="2826" t="s">
        <v>5414</v>
      </c>
      <c r="AY112" s="1496" t="e">
        <f t="shared" si="68"/>
        <v>#VALUE!</v>
      </c>
      <c r="BW112" s="1430"/>
      <c r="BX112" s="1430"/>
      <c r="CB112" s="1435" t="e">
        <f t="shared" si="73"/>
        <v>#VALUE!</v>
      </c>
      <c r="CC112" s="1435" t="e">
        <f t="shared" si="75"/>
        <v>#VALUE!</v>
      </c>
      <c r="CD112" s="1435" t="str">
        <f t="shared" si="59"/>
        <v xml:space="preserve">* Las actividades de usuarios en situación de discapacidad NO DEBEN superar el total. </v>
      </c>
      <c r="CE112" s="1435" t="str">
        <f t="shared" si="76"/>
        <v xml:space="preserve">* Las Embarazadas NO DEBEN ser mayor al total de mujeres. </v>
      </c>
      <c r="CF112" s="1435" t="str">
        <f t="shared" si="61"/>
        <v xml:space="preserve">* El número de Beneficiarios NO DEBE ser mayor que el Total. </v>
      </c>
      <c r="CG112" s="1435" t="str">
        <f t="shared" si="69"/>
        <v xml:space="preserve">* La Población SENAME NO DEBE ser mayor al Total. </v>
      </c>
      <c r="CH112" s="1435" t="str">
        <f t="shared" si="70"/>
        <v xml:space="preserve">* La Población Mejor Niñez NO DEBE ser mayor al Total. </v>
      </c>
      <c r="CI112" s="1435" t="str">
        <f t="shared" si="71"/>
        <v xml:space="preserve">* La Población Migrante NO DEBE superar el Total. </v>
      </c>
      <c r="DB112" s="1436" t="e">
        <f t="shared" si="74"/>
        <v>#VALUE!</v>
      </c>
      <c r="DC112" s="1436" t="e">
        <f t="shared" si="77"/>
        <v>#VALUE!</v>
      </c>
      <c r="DD112" s="1436">
        <f t="shared" si="63"/>
        <v>1</v>
      </c>
      <c r="DE112" s="1436">
        <f t="shared" si="78"/>
        <v>1</v>
      </c>
      <c r="DF112" s="1436">
        <f t="shared" si="65"/>
        <v>1</v>
      </c>
      <c r="DG112" s="1436">
        <f t="shared" si="66"/>
        <v>1</v>
      </c>
      <c r="DH112" s="1436">
        <f t="shared" si="67"/>
        <v>1</v>
      </c>
      <c r="DI112" s="1436">
        <f t="shared" si="72"/>
        <v>1</v>
      </c>
    </row>
    <row r="113" spans="1:113" ht="16.350000000000001" customHeight="1" x14ac:dyDescent="0.25">
      <c r="A113" s="7520" t="s">
        <v>5178</v>
      </c>
      <c r="B113" s="9829" t="s">
        <v>1141</v>
      </c>
      <c r="C113" s="9830"/>
      <c r="D113" s="9831"/>
      <c r="E113" s="4667" t="s">
        <v>5369</v>
      </c>
      <c r="F113" s="2923" t="s">
        <v>5370</v>
      </c>
      <c r="G113" s="1841" t="s">
        <v>5371</v>
      </c>
      <c r="H113" s="3313" t="s">
        <v>5372</v>
      </c>
      <c r="I113" s="1938" t="s">
        <v>5373</v>
      </c>
      <c r="J113" s="2822" t="s">
        <v>5374</v>
      </c>
      <c r="K113" s="1859" t="s">
        <v>5375</v>
      </c>
      <c r="L113" s="2822" t="s">
        <v>5376</v>
      </c>
      <c r="M113" s="1844" t="s">
        <v>5377</v>
      </c>
      <c r="N113" s="2822" t="s">
        <v>5378</v>
      </c>
      <c r="O113" s="1844" t="s">
        <v>5379</v>
      </c>
      <c r="P113" s="2852" t="s">
        <v>5380</v>
      </c>
      <c r="Q113" s="1844" t="s">
        <v>5381</v>
      </c>
      <c r="R113" s="2852" t="s">
        <v>5382</v>
      </c>
      <c r="S113" s="1844" t="s">
        <v>5383</v>
      </c>
      <c r="T113" s="2852" t="s">
        <v>5384</v>
      </c>
      <c r="U113" s="1844" t="s">
        <v>5385</v>
      </c>
      <c r="V113" s="2852" t="s">
        <v>5386</v>
      </c>
      <c r="W113" s="1844" t="s">
        <v>5387</v>
      </c>
      <c r="X113" s="2852" t="s">
        <v>5388</v>
      </c>
      <c r="Y113" s="1844" t="s">
        <v>5389</v>
      </c>
      <c r="Z113" s="2852" t="s">
        <v>5390</v>
      </c>
      <c r="AA113" s="1844" t="s">
        <v>5391</v>
      </c>
      <c r="AB113" s="2852" t="s">
        <v>5392</v>
      </c>
      <c r="AC113" s="1844" t="s">
        <v>5393</v>
      </c>
      <c r="AD113" s="2852" t="s">
        <v>5394</v>
      </c>
      <c r="AE113" s="1844" t="s">
        <v>5395</v>
      </c>
      <c r="AF113" s="2852" t="s">
        <v>5396</v>
      </c>
      <c r="AG113" s="1844" t="s">
        <v>5397</v>
      </c>
      <c r="AH113" s="2852" t="s">
        <v>5398</v>
      </c>
      <c r="AI113" s="1844" t="s">
        <v>5399</v>
      </c>
      <c r="AJ113" s="2852" t="s">
        <v>5400</v>
      </c>
      <c r="AK113" s="1844" t="s">
        <v>5401</v>
      </c>
      <c r="AL113" s="2852" t="s">
        <v>5402</v>
      </c>
      <c r="AM113" s="1844" t="s">
        <v>5403</v>
      </c>
      <c r="AN113" s="2852" t="s">
        <v>5404</v>
      </c>
      <c r="AO113" s="2957" t="s">
        <v>5405</v>
      </c>
      <c r="AP113" s="2826" t="s">
        <v>5406</v>
      </c>
      <c r="AQ113" s="2826" t="s">
        <v>5407</v>
      </c>
      <c r="AR113" s="3478" t="s">
        <v>5408</v>
      </c>
      <c r="AS113" s="3478" t="s">
        <v>5409</v>
      </c>
      <c r="AT113" s="3478" t="s">
        <v>5410</v>
      </c>
      <c r="AU113" s="2826" t="s">
        <v>5411</v>
      </c>
      <c r="AV113" s="2826" t="s">
        <v>5412</v>
      </c>
      <c r="AW113" s="2826" t="s">
        <v>5413</v>
      </c>
      <c r="AX113" s="2826" t="s">
        <v>5414</v>
      </c>
      <c r="AY113" s="1496" t="e">
        <f t="shared" si="68"/>
        <v>#VALUE!</v>
      </c>
      <c r="BW113" s="1430"/>
      <c r="BX113" s="1430"/>
      <c r="CB113" s="1435" t="e">
        <f t="shared" si="73"/>
        <v>#VALUE!</v>
      </c>
      <c r="CC113" s="1435" t="e">
        <f t="shared" si="75"/>
        <v>#VALUE!</v>
      </c>
      <c r="CD113" s="1435" t="str">
        <f t="shared" si="59"/>
        <v xml:space="preserve">* Las actividades de usuarios en situación de discapacidad NO DEBEN superar el total. </v>
      </c>
      <c r="CE113" s="1435" t="str">
        <f t="shared" si="76"/>
        <v xml:space="preserve">* Las Embarazadas NO DEBEN ser mayor al total de mujeres. </v>
      </c>
      <c r="CF113" s="1435" t="str">
        <f t="shared" si="61"/>
        <v xml:space="preserve">* El número de Beneficiarios NO DEBE ser mayor que el Total. </v>
      </c>
      <c r="CG113" s="1435" t="str">
        <f t="shared" si="69"/>
        <v xml:space="preserve">* La Población SENAME NO DEBE ser mayor al Total. </v>
      </c>
      <c r="CH113" s="1435" t="str">
        <f t="shared" si="70"/>
        <v xml:space="preserve">* La Población Mejor Niñez NO DEBE ser mayor al Total. </v>
      </c>
      <c r="CI113" s="1435" t="str">
        <f t="shared" si="71"/>
        <v xml:space="preserve">* La Población Migrante NO DEBE superar el Total. </v>
      </c>
      <c r="DB113" s="1436" t="e">
        <f t="shared" si="74"/>
        <v>#VALUE!</v>
      </c>
      <c r="DC113" s="1436" t="e">
        <f t="shared" si="77"/>
        <v>#VALUE!</v>
      </c>
      <c r="DD113" s="1436">
        <f t="shared" si="63"/>
        <v>1</v>
      </c>
      <c r="DE113" s="1436">
        <f t="shared" si="78"/>
        <v>1</v>
      </c>
      <c r="DF113" s="1436">
        <f t="shared" si="65"/>
        <v>1</v>
      </c>
      <c r="DG113" s="1436">
        <f t="shared" si="66"/>
        <v>1</v>
      </c>
      <c r="DH113" s="1436">
        <f t="shared" si="67"/>
        <v>1</v>
      </c>
      <c r="DI113" s="1436">
        <f t="shared" si="72"/>
        <v>1</v>
      </c>
    </row>
    <row r="114" spans="1:113" ht="16.350000000000001" customHeight="1" x14ac:dyDescent="0.25">
      <c r="A114" s="7520" t="s">
        <v>5179</v>
      </c>
      <c r="B114" s="9829" t="s">
        <v>2143</v>
      </c>
      <c r="C114" s="9830"/>
      <c r="D114" s="9831"/>
      <c r="E114" s="4667" t="s">
        <v>5369</v>
      </c>
      <c r="F114" s="2923" t="s">
        <v>5370</v>
      </c>
      <c r="G114" s="1841" t="s">
        <v>5371</v>
      </c>
      <c r="H114" s="3313" t="s">
        <v>5372</v>
      </c>
      <c r="I114" s="1938" t="s">
        <v>5373</v>
      </c>
      <c r="J114" s="2822" t="s">
        <v>5374</v>
      </c>
      <c r="K114" s="1859" t="s">
        <v>5375</v>
      </c>
      <c r="L114" s="2822" t="s">
        <v>5376</v>
      </c>
      <c r="M114" s="1844" t="s">
        <v>5377</v>
      </c>
      <c r="N114" s="2822" t="s">
        <v>5378</v>
      </c>
      <c r="O114" s="1844" t="s">
        <v>5379</v>
      </c>
      <c r="P114" s="2852" t="s">
        <v>5380</v>
      </c>
      <c r="Q114" s="1844" t="s">
        <v>5381</v>
      </c>
      <c r="R114" s="2852" t="s">
        <v>5382</v>
      </c>
      <c r="S114" s="1844" t="s">
        <v>5383</v>
      </c>
      <c r="T114" s="2852" t="s">
        <v>5384</v>
      </c>
      <c r="U114" s="1844" t="s">
        <v>5385</v>
      </c>
      <c r="V114" s="2852" t="s">
        <v>5386</v>
      </c>
      <c r="W114" s="1844" t="s">
        <v>5387</v>
      </c>
      <c r="X114" s="2852" t="s">
        <v>5388</v>
      </c>
      <c r="Y114" s="1844" t="s">
        <v>5389</v>
      </c>
      <c r="Z114" s="2852" t="s">
        <v>5390</v>
      </c>
      <c r="AA114" s="1844" t="s">
        <v>5391</v>
      </c>
      <c r="AB114" s="2852" t="s">
        <v>5392</v>
      </c>
      <c r="AC114" s="1844" t="s">
        <v>5393</v>
      </c>
      <c r="AD114" s="2852" t="s">
        <v>5394</v>
      </c>
      <c r="AE114" s="1844" t="s">
        <v>5395</v>
      </c>
      <c r="AF114" s="2852" t="s">
        <v>5396</v>
      </c>
      <c r="AG114" s="1844" t="s">
        <v>5397</v>
      </c>
      <c r="AH114" s="2852" t="s">
        <v>5398</v>
      </c>
      <c r="AI114" s="1844" t="s">
        <v>5399</v>
      </c>
      <c r="AJ114" s="2852" t="s">
        <v>5400</v>
      </c>
      <c r="AK114" s="1844" t="s">
        <v>5401</v>
      </c>
      <c r="AL114" s="2852" t="s">
        <v>5402</v>
      </c>
      <c r="AM114" s="1844" t="s">
        <v>5403</v>
      </c>
      <c r="AN114" s="2852" t="s">
        <v>5404</v>
      </c>
      <c r="AO114" s="2957" t="s">
        <v>5405</v>
      </c>
      <c r="AP114" s="2826" t="s">
        <v>5406</v>
      </c>
      <c r="AQ114" s="2826" t="s">
        <v>5407</v>
      </c>
      <c r="AR114" s="3478" t="s">
        <v>5408</v>
      </c>
      <c r="AS114" s="3478" t="s">
        <v>5409</v>
      </c>
      <c r="AT114" s="3478" t="s">
        <v>5410</v>
      </c>
      <c r="AU114" s="2826" t="s">
        <v>5411</v>
      </c>
      <c r="AV114" s="2826" t="s">
        <v>5412</v>
      </c>
      <c r="AW114" s="2826" t="s">
        <v>5413</v>
      </c>
      <c r="AX114" s="2826" t="s">
        <v>5414</v>
      </c>
      <c r="AY114" s="1496" t="e">
        <f t="shared" si="68"/>
        <v>#VALUE!</v>
      </c>
      <c r="BW114" s="1430"/>
      <c r="BX114" s="1430"/>
      <c r="CB114" s="1435" t="e">
        <f t="shared" si="73"/>
        <v>#VALUE!</v>
      </c>
      <c r="CC114" s="1435" t="e">
        <f t="shared" si="75"/>
        <v>#VALUE!</v>
      </c>
      <c r="CD114" s="1435" t="str">
        <f t="shared" si="59"/>
        <v xml:space="preserve">* Las actividades de usuarios en situación de discapacidad NO DEBEN superar el total. </v>
      </c>
      <c r="CE114" s="1435" t="str">
        <f t="shared" si="76"/>
        <v xml:space="preserve">* Las Embarazadas NO DEBEN ser mayor al total de mujeres. </v>
      </c>
      <c r="CF114" s="1435" t="str">
        <f t="shared" si="61"/>
        <v xml:space="preserve">* El número de Beneficiarios NO DEBE ser mayor que el Total. </v>
      </c>
      <c r="CG114" s="1435" t="str">
        <f t="shared" si="69"/>
        <v xml:space="preserve">* La Población SENAME NO DEBE ser mayor al Total. </v>
      </c>
      <c r="CH114" s="1435" t="str">
        <f t="shared" si="70"/>
        <v xml:space="preserve">* La Población Mejor Niñez NO DEBE ser mayor al Total. </v>
      </c>
      <c r="CI114" s="1435" t="str">
        <f t="shared" si="71"/>
        <v xml:space="preserve">* La Población Migrante NO DEBE superar el Total. </v>
      </c>
      <c r="DB114" s="1436" t="e">
        <f t="shared" si="74"/>
        <v>#VALUE!</v>
      </c>
      <c r="DC114" s="1436" t="e">
        <f t="shared" si="77"/>
        <v>#VALUE!</v>
      </c>
      <c r="DD114" s="1436">
        <f t="shared" si="63"/>
        <v>1</v>
      </c>
      <c r="DE114" s="1436">
        <f t="shared" si="78"/>
        <v>1</v>
      </c>
      <c r="DF114" s="1436">
        <f t="shared" si="65"/>
        <v>1</v>
      </c>
      <c r="DG114" s="1436">
        <f t="shared" si="66"/>
        <v>1</v>
      </c>
      <c r="DH114" s="1436">
        <f t="shared" si="67"/>
        <v>1</v>
      </c>
      <c r="DI114" s="1436">
        <f t="shared" si="72"/>
        <v>1</v>
      </c>
    </row>
    <row r="115" spans="1:113" ht="16.350000000000001" customHeight="1" x14ac:dyDescent="0.25">
      <c r="A115" s="7520" t="s">
        <v>5180</v>
      </c>
      <c r="B115" s="9829" t="s">
        <v>1140</v>
      </c>
      <c r="C115" s="9830"/>
      <c r="D115" s="9831"/>
      <c r="E115" s="4667" t="s">
        <v>5369</v>
      </c>
      <c r="F115" s="2923" t="s">
        <v>5370</v>
      </c>
      <c r="G115" s="1841" t="s">
        <v>5371</v>
      </c>
      <c r="H115" s="3313" t="s">
        <v>5372</v>
      </c>
      <c r="I115" s="1938" t="s">
        <v>5373</v>
      </c>
      <c r="J115" s="2822" t="s">
        <v>5374</v>
      </c>
      <c r="K115" s="1859" t="s">
        <v>5375</v>
      </c>
      <c r="L115" s="2822" t="s">
        <v>5376</v>
      </c>
      <c r="M115" s="1844" t="s">
        <v>5377</v>
      </c>
      <c r="N115" s="2822" t="s">
        <v>5378</v>
      </c>
      <c r="O115" s="1844" t="s">
        <v>5379</v>
      </c>
      <c r="P115" s="2852" t="s">
        <v>5380</v>
      </c>
      <c r="Q115" s="1844" t="s">
        <v>5381</v>
      </c>
      <c r="R115" s="2852" t="s">
        <v>5382</v>
      </c>
      <c r="S115" s="1844" t="s">
        <v>5383</v>
      </c>
      <c r="T115" s="2852" t="s">
        <v>5384</v>
      </c>
      <c r="U115" s="1844" t="s">
        <v>5385</v>
      </c>
      <c r="V115" s="2852" t="s">
        <v>5386</v>
      </c>
      <c r="W115" s="1844" t="s">
        <v>5387</v>
      </c>
      <c r="X115" s="2852" t="s">
        <v>5388</v>
      </c>
      <c r="Y115" s="1844" t="s">
        <v>5389</v>
      </c>
      <c r="Z115" s="2852" t="s">
        <v>5390</v>
      </c>
      <c r="AA115" s="1844" t="s">
        <v>5391</v>
      </c>
      <c r="AB115" s="2852" t="s">
        <v>5392</v>
      </c>
      <c r="AC115" s="1844" t="s">
        <v>5393</v>
      </c>
      <c r="AD115" s="2852" t="s">
        <v>5394</v>
      </c>
      <c r="AE115" s="1844" t="s">
        <v>5395</v>
      </c>
      <c r="AF115" s="2852" t="s">
        <v>5396</v>
      </c>
      <c r="AG115" s="1844" t="s">
        <v>5397</v>
      </c>
      <c r="AH115" s="2852" t="s">
        <v>5398</v>
      </c>
      <c r="AI115" s="1844" t="s">
        <v>5399</v>
      </c>
      <c r="AJ115" s="2852" t="s">
        <v>5400</v>
      </c>
      <c r="AK115" s="1844" t="s">
        <v>5401</v>
      </c>
      <c r="AL115" s="2852" t="s">
        <v>5402</v>
      </c>
      <c r="AM115" s="1844" t="s">
        <v>5403</v>
      </c>
      <c r="AN115" s="2852" t="s">
        <v>5404</v>
      </c>
      <c r="AO115" s="2957" t="s">
        <v>5405</v>
      </c>
      <c r="AP115" s="2826" t="s">
        <v>5406</v>
      </c>
      <c r="AQ115" s="2826" t="s">
        <v>5407</v>
      </c>
      <c r="AR115" s="3478" t="s">
        <v>5408</v>
      </c>
      <c r="AS115" s="3478" t="s">
        <v>5409</v>
      </c>
      <c r="AT115" s="3478" t="s">
        <v>5410</v>
      </c>
      <c r="AU115" s="2826" t="s">
        <v>5411</v>
      </c>
      <c r="AV115" s="2826" t="s">
        <v>5412</v>
      </c>
      <c r="AW115" s="2826" t="s">
        <v>5413</v>
      </c>
      <c r="AX115" s="2826" t="s">
        <v>5414</v>
      </c>
      <c r="AY115" s="1496" t="e">
        <f t="shared" si="68"/>
        <v>#VALUE!</v>
      </c>
      <c r="BW115" s="1430"/>
      <c r="BX115" s="1430"/>
      <c r="CB115" s="1435" t="e">
        <f t="shared" si="73"/>
        <v>#VALUE!</v>
      </c>
      <c r="CC115" s="1435" t="e">
        <f t="shared" si="75"/>
        <v>#VALUE!</v>
      </c>
      <c r="CD115" s="1435" t="str">
        <f t="shared" si="59"/>
        <v xml:space="preserve">* Las actividades de usuarios en situación de discapacidad NO DEBEN superar el total. </v>
      </c>
      <c r="CE115" s="1435" t="str">
        <f t="shared" si="76"/>
        <v xml:space="preserve">* Las Embarazadas NO DEBEN ser mayor al total de mujeres. </v>
      </c>
      <c r="CF115" s="1435" t="str">
        <f t="shared" si="61"/>
        <v xml:space="preserve">* El número de Beneficiarios NO DEBE ser mayor que el Total. </v>
      </c>
      <c r="CG115" s="1435" t="str">
        <f t="shared" si="69"/>
        <v xml:space="preserve">* La Población SENAME NO DEBE ser mayor al Total. </v>
      </c>
      <c r="CH115" s="1435" t="str">
        <f t="shared" si="70"/>
        <v xml:space="preserve">* La Población Mejor Niñez NO DEBE ser mayor al Total. </v>
      </c>
      <c r="CI115" s="1435" t="str">
        <f t="shared" si="71"/>
        <v xml:space="preserve">* La Población Migrante NO DEBE superar el Total. </v>
      </c>
      <c r="DB115" s="1436" t="e">
        <f t="shared" si="74"/>
        <v>#VALUE!</v>
      </c>
      <c r="DC115" s="1436" t="e">
        <f t="shared" si="77"/>
        <v>#VALUE!</v>
      </c>
      <c r="DD115" s="1436">
        <f t="shared" si="63"/>
        <v>1</v>
      </c>
      <c r="DE115" s="1436">
        <f t="shared" si="78"/>
        <v>1</v>
      </c>
      <c r="DF115" s="1436">
        <f t="shared" si="65"/>
        <v>1</v>
      </c>
      <c r="DG115" s="1436">
        <f t="shared" si="66"/>
        <v>1</v>
      </c>
      <c r="DH115" s="1436">
        <f t="shared" si="67"/>
        <v>1</v>
      </c>
      <c r="DI115" s="1436">
        <f t="shared" si="72"/>
        <v>1</v>
      </c>
    </row>
    <row r="116" spans="1:113" ht="16.350000000000001" customHeight="1" x14ac:dyDescent="0.25">
      <c r="A116" s="7520" t="s">
        <v>5181</v>
      </c>
      <c r="B116" s="9828" t="s">
        <v>2094</v>
      </c>
      <c r="C116" s="9828"/>
      <c r="D116" s="9828"/>
      <c r="E116" s="4667" t="s">
        <v>5369</v>
      </c>
      <c r="F116" s="2923" t="s">
        <v>5370</v>
      </c>
      <c r="G116" s="1841" t="s">
        <v>5371</v>
      </c>
      <c r="H116" s="2846" t="s">
        <v>5372</v>
      </c>
      <c r="I116" s="1850" t="s">
        <v>5373</v>
      </c>
      <c r="J116" s="2846" t="s">
        <v>5374</v>
      </c>
      <c r="K116" s="1940" t="s">
        <v>5375</v>
      </c>
      <c r="L116" s="2846" t="s">
        <v>5376</v>
      </c>
      <c r="M116" s="1850" t="s">
        <v>5377</v>
      </c>
      <c r="N116" s="2846" t="s">
        <v>5378</v>
      </c>
      <c r="O116" s="1850" t="s">
        <v>5379</v>
      </c>
      <c r="P116" s="2847" t="s">
        <v>5380</v>
      </c>
      <c r="Q116" s="1850" t="s">
        <v>5381</v>
      </c>
      <c r="R116" s="2847" t="s">
        <v>5382</v>
      </c>
      <c r="S116" s="1850" t="s">
        <v>5383</v>
      </c>
      <c r="T116" s="2852" t="s">
        <v>5384</v>
      </c>
      <c r="U116" s="1844" t="s">
        <v>5385</v>
      </c>
      <c r="V116" s="2852" t="s">
        <v>5386</v>
      </c>
      <c r="W116" s="1844" t="s">
        <v>5387</v>
      </c>
      <c r="X116" s="2852" t="s">
        <v>5388</v>
      </c>
      <c r="Y116" s="1844" t="s">
        <v>5389</v>
      </c>
      <c r="Z116" s="2852" t="s">
        <v>5390</v>
      </c>
      <c r="AA116" s="1844" t="s">
        <v>5391</v>
      </c>
      <c r="AB116" s="2852" t="s">
        <v>5392</v>
      </c>
      <c r="AC116" s="1844" t="s">
        <v>5393</v>
      </c>
      <c r="AD116" s="2852" t="s">
        <v>5394</v>
      </c>
      <c r="AE116" s="1844" t="s">
        <v>5395</v>
      </c>
      <c r="AF116" s="2852" t="s">
        <v>5396</v>
      </c>
      <c r="AG116" s="1844" t="s">
        <v>5397</v>
      </c>
      <c r="AH116" s="2852" t="s">
        <v>5398</v>
      </c>
      <c r="AI116" s="1844" t="s">
        <v>5399</v>
      </c>
      <c r="AJ116" s="2852" t="s">
        <v>5400</v>
      </c>
      <c r="AK116" s="1844" t="s">
        <v>5401</v>
      </c>
      <c r="AL116" s="2852" t="s">
        <v>5402</v>
      </c>
      <c r="AM116" s="1844" t="s">
        <v>5403</v>
      </c>
      <c r="AN116" s="2852" t="s">
        <v>5404</v>
      </c>
      <c r="AO116" s="2957" t="s">
        <v>5405</v>
      </c>
      <c r="AP116" s="2826" t="s">
        <v>5406</v>
      </c>
      <c r="AQ116" s="2826" t="s">
        <v>5407</v>
      </c>
      <c r="AR116" s="3478" t="s">
        <v>5408</v>
      </c>
      <c r="AS116" s="3478" t="s">
        <v>5409</v>
      </c>
      <c r="AT116" s="3478" t="s">
        <v>5410</v>
      </c>
      <c r="AU116" s="2826" t="s">
        <v>5411</v>
      </c>
      <c r="AV116" s="2826" t="s">
        <v>5412</v>
      </c>
      <c r="AW116" s="2826" t="s">
        <v>5413</v>
      </c>
      <c r="AX116" s="2826" t="s">
        <v>5414</v>
      </c>
      <c r="AY116" s="1496" t="e">
        <f t="shared" si="68"/>
        <v>#VALUE!</v>
      </c>
      <c r="BW116" s="1430"/>
      <c r="BX116" s="1430"/>
      <c r="CB116" s="1435" t="e">
        <f t="shared" si="73"/>
        <v>#VALUE!</v>
      </c>
      <c r="CC116" s="1435" t="e">
        <f t="shared" si="75"/>
        <v>#VALUE!</v>
      </c>
      <c r="CD116" s="1435" t="str">
        <f t="shared" si="59"/>
        <v xml:space="preserve">* Las actividades de usuarios en situación de discapacidad NO DEBEN superar el total. </v>
      </c>
      <c r="CE116" s="1435" t="str">
        <f t="shared" si="76"/>
        <v xml:space="preserve">* Las Embarazadas NO DEBEN ser mayor al total de mujeres. </v>
      </c>
      <c r="CF116" s="1435" t="str">
        <f t="shared" si="61"/>
        <v xml:space="preserve">* El número de Beneficiarios NO DEBE ser mayor que el Total. </v>
      </c>
      <c r="CG116" s="1435" t="str">
        <f t="shared" si="69"/>
        <v xml:space="preserve">* La Población SENAME NO DEBE ser mayor al Total. </v>
      </c>
      <c r="CH116" s="1435" t="str">
        <f t="shared" si="70"/>
        <v xml:space="preserve">* La Población Mejor Niñez NO DEBE ser mayor al Total. </v>
      </c>
      <c r="CI116" s="1435" t="str">
        <f t="shared" si="71"/>
        <v xml:space="preserve">* La Población Migrante NO DEBE superar el Total. </v>
      </c>
      <c r="DB116" s="1436" t="e">
        <f t="shared" si="74"/>
        <v>#VALUE!</v>
      </c>
      <c r="DC116" s="1436" t="e">
        <f t="shared" si="77"/>
        <v>#VALUE!</v>
      </c>
      <c r="DD116" s="1436">
        <f t="shared" si="63"/>
        <v>1</v>
      </c>
      <c r="DE116" s="1436">
        <f t="shared" si="78"/>
        <v>1</v>
      </c>
      <c r="DF116" s="1436">
        <f t="shared" si="65"/>
        <v>1</v>
      </c>
      <c r="DG116" s="1436">
        <f t="shared" si="66"/>
        <v>1</v>
      </c>
      <c r="DH116" s="1436">
        <f t="shared" si="67"/>
        <v>1</v>
      </c>
      <c r="DI116" s="1436">
        <f t="shared" si="72"/>
        <v>1</v>
      </c>
    </row>
    <row r="117" spans="1:113" ht="16.350000000000001" customHeight="1" x14ac:dyDescent="0.25">
      <c r="A117" s="7520" t="s">
        <v>5182</v>
      </c>
      <c r="B117" s="9828" t="s">
        <v>1139</v>
      </c>
      <c r="C117" s="9828"/>
      <c r="D117" s="9828"/>
      <c r="E117" s="4667" t="s">
        <v>5369</v>
      </c>
      <c r="F117" s="2923" t="s">
        <v>5370</v>
      </c>
      <c r="G117" s="1841" t="s">
        <v>5371</v>
      </c>
      <c r="H117" s="4668" t="s">
        <v>5372</v>
      </c>
      <c r="I117" s="1856" t="s">
        <v>5373</v>
      </c>
      <c r="J117" s="4668" t="s">
        <v>5374</v>
      </c>
      <c r="K117" s="1939" t="s">
        <v>5375</v>
      </c>
      <c r="L117" s="4668" t="s">
        <v>5376</v>
      </c>
      <c r="M117" s="1856" t="s">
        <v>5377</v>
      </c>
      <c r="N117" s="4668" t="s">
        <v>5378</v>
      </c>
      <c r="O117" s="1856" t="s">
        <v>5379</v>
      </c>
      <c r="P117" s="4669" t="s">
        <v>5380</v>
      </c>
      <c r="Q117" s="1856" t="s">
        <v>5381</v>
      </c>
      <c r="R117" s="4669" t="s">
        <v>5382</v>
      </c>
      <c r="S117" s="1856" t="s">
        <v>5383</v>
      </c>
      <c r="T117" s="2852" t="s">
        <v>5384</v>
      </c>
      <c r="U117" s="1844" t="s">
        <v>5385</v>
      </c>
      <c r="V117" s="2852" t="s">
        <v>5386</v>
      </c>
      <c r="W117" s="1844" t="s">
        <v>5387</v>
      </c>
      <c r="X117" s="2852" t="s">
        <v>5388</v>
      </c>
      <c r="Y117" s="1844" t="s">
        <v>5389</v>
      </c>
      <c r="Z117" s="2852" t="s">
        <v>5390</v>
      </c>
      <c r="AA117" s="1844" t="s">
        <v>5391</v>
      </c>
      <c r="AB117" s="2852" t="s">
        <v>5392</v>
      </c>
      <c r="AC117" s="1844" t="s">
        <v>5393</v>
      </c>
      <c r="AD117" s="2852" t="s">
        <v>5394</v>
      </c>
      <c r="AE117" s="1844" t="s">
        <v>5395</v>
      </c>
      <c r="AF117" s="2852" t="s">
        <v>5396</v>
      </c>
      <c r="AG117" s="1844" t="s">
        <v>5397</v>
      </c>
      <c r="AH117" s="2852" t="s">
        <v>5398</v>
      </c>
      <c r="AI117" s="1844" t="s">
        <v>5399</v>
      </c>
      <c r="AJ117" s="2852" t="s">
        <v>5400</v>
      </c>
      <c r="AK117" s="1844" t="s">
        <v>5401</v>
      </c>
      <c r="AL117" s="2852" t="s">
        <v>5402</v>
      </c>
      <c r="AM117" s="1844" t="s">
        <v>5403</v>
      </c>
      <c r="AN117" s="2852" t="s">
        <v>5404</v>
      </c>
      <c r="AO117" s="2957" t="s">
        <v>5405</v>
      </c>
      <c r="AP117" s="2826" t="s">
        <v>5406</v>
      </c>
      <c r="AQ117" s="2826" t="s">
        <v>5407</v>
      </c>
      <c r="AR117" s="3478" t="s">
        <v>5408</v>
      </c>
      <c r="AS117" s="3478" t="s">
        <v>5409</v>
      </c>
      <c r="AT117" s="3478" t="s">
        <v>5410</v>
      </c>
      <c r="AU117" s="2826" t="s">
        <v>5411</v>
      </c>
      <c r="AV117" s="2826" t="s">
        <v>5412</v>
      </c>
      <c r="AW117" s="2826" t="s">
        <v>5413</v>
      </c>
      <c r="AX117" s="2826" t="s">
        <v>5414</v>
      </c>
      <c r="AY117" s="1496" t="e">
        <f t="shared" si="68"/>
        <v>#VALUE!</v>
      </c>
      <c r="BW117" s="1430"/>
      <c r="BX117" s="1430"/>
      <c r="CB117" s="1435" t="e">
        <f t="shared" si="73"/>
        <v>#VALUE!</v>
      </c>
      <c r="CC117" s="1435" t="e">
        <f t="shared" si="75"/>
        <v>#VALUE!</v>
      </c>
      <c r="CD117" s="1435" t="str">
        <f t="shared" si="59"/>
        <v xml:space="preserve">* Las actividades de usuarios en situación de discapacidad NO DEBEN superar el total. </v>
      </c>
      <c r="CE117" s="1435" t="str">
        <f t="shared" si="76"/>
        <v xml:space="preserve">* Las Embarazadas NO DEBEN ser mayor al total de mujeres. </v>
      </c>
      <c r="CF117" s="1435" t="str">
        <f t="shared" si="61"/>
        <v xml:space="preserve">* El número de Beneficiarios NO DEBE ser mayor que el Total. </v>
      </c>
      <c r="CG117" s="1435" t="str">
        <f t="shared" si="69"/>
        <v xml:space="preserve">* La Población SENAME NO DEBE ser mayor al Total. </v>
      </c>
      <c r="CH117" s="1435" t="str">
        <f t="shared" si="70"/>
        <v xml:space="preserve">* La Población Mejor Niñez NO DEBE ser mayor al Total. </v>
      </c>
      <c r="CI117" s="1435" t="str">
        <f t="shared" si="71"/>
        <v xml:space="preserve">* La Población Migrante NO DEBE superar el Total. </v>
      </c>
      <c r="DB117" s="1436" t="e">
        <f t="shared" si="74"/>
        <v>#VALUE!</v>
      </c>
      <c r="DC117" s="1436" t="e">
        <f t="shared" si="77"/>
        <v>#VALUE!</v>
      </c>
      <c r="DD117" s="1436">
        <f t="shared" si="63"/>
        <v>1</v>
      </c>
      <c r="DE117" s="1436">
        <f t="shared" si="78"/>
        <v>1</v>
      </c>
      <c r="DF117" s="1436">
        <f t="shared" si="65"/>
        <v>1</v>
      </c>
      <c r="DG117" s="1436">
        <f t="shared" si="66"/>
        <v>1</v>
      </c>
      <c r="DH117" s="1436">
        <f t="shared" si="67"/>
        <v>1</v>
      </c>
      <c r="DI117" s="1436">
        <f t="shared" si="72"/>
        <v>1</v>
      </c>
    </row>
    <row r="118" spans="1:113" ht="16.350000000000001" customHeight="1" x14ac:dyDescent="0.25">
      <c r="A118" s="7520" t="s">
        <v>5183</v>
      </c>
      <c r="B118" s="9829" t="s">
        <v>1138</v>
      </c>
      <c r="C118" s="9830"/>
      <c r="D118" s="9831"/>
      <c r="E118" s="4667" t="s">
        <v>5369</v>
      </c>
      <c r="F118" s="2923" t="s">
        <v>5370</v>
      </c>
      <c r="G118" s="1841" t="s">
        <v>5371</v>
      </c>
      <c r="H118" s="4668" t="s">
        <v>5372</v>
      </c>
      <c r="I118" s="1856" t="s">
        <v>5373</v>
      </c>
      <c r="J118" s="4668" t="s">
        <v>5374</v>
      </c>
      <c r="K118" s="1939" t="s">
        <v>5375</v>
      </c>
      <c r="L118" s="4668" t="s">
        <v>5376</v>
      </c>
      <c r="M118" s="1856" t="s">
        <v>5377</v>
      </c>
      <c r="N118" s="4668" t="s">
        <v>5378</v>
      </c>
      <c r="O118" s="1856" t="s">
        <v>5379</v>
      </c>
      <c r="P118" s="4669" t="s">
        <v>5380</v>
      </c>
      <c r="Q118" s="1856" t="s">
        <v>5381</v>
      </c>
      <c r="R118" s="4669" t="s">
        <v>5382</v>
      </c>
      <c r="S118" s="1856" t="s">
        <v>5383</v>
      </c>
      <c r="T118" s="4669" t="s">
        <v>5384</v>
      </c>
      <c r="U118" s="1856" t="s">
        <v>5385</v>
      </c>
      <c r="V118" s="2852" t="s">
        <v>5386</v>
      </c>
      <c r="W118" s="1844" t="s">
        <v>5387</v>
      </c>
      <c r="X118" s="2852" t="s">
        <v>5388</v>
      </c>
      <c r="Y118" s="1844" t="s">
        <v>5389</v>
      </c>
      <c r="Z118" s="2852" t="s">
        <v>5390</v>
      </c>
      <c r="AA118" s="1844" t="s">
        <v>5391</v>
      </c>
      <c r="AB118" s="2852" t="s">
        <v>5392</v>
      </c>
      <c r="AC118" s="1844" t="s">
        <v>5393</v>
      </c>
      <c r="AD118" s="2852" t="s">
        <v>5394</v>
      </c>
      <c r="AE118" s="1844" t="s">
        <v>5395</v>
      </c>
      <c r="AF118" s="2852" t="s">
        <v>5396</v>
      </c>
      <c r="AG118" s="1844" t="s">
        <v>5397</v>
      </c>
      <c r="AH118" s="2852" t="s">
        <v>5398</v>
      </c>
      <c r="AI118" s="1844" t="s">
        <v>5399</v>
      </c>
      <c r="AJ118" s="2852" t="s">
        <v>5400</v>
      </c>
      <c r="AK118" s="1844" t="s">
        <v>5401</v>
      </c>
      <c r="AL118" s="2852" t="s">
        <v>5402</v>
      </c>
      <c r="AM118" s="1844" t="s">
        <v>5403</v>
      </c>
      <c r="AN118" s="2852" t="s">
        <v>5404</v>
      </c>
      <c r="AO118" s="2957" t="s">
        <v>5405</v>
      </c>
      <c r="AP118" s="2826" t="s">
        <v>5406</v>
      </c>
      <c r="AQ118" s="2826" t="s">
        <v>5407</v>
      </c>
      <c r="AR118" s="3478" t="s">
        <v>5408</v>
      </c>
      <c r="AS118" s="3478" t="s">
        <v>5409</v>
      </c>
      <c r="AT118" s="3478" t="s">
        <v>5410</v>
      </c>
      <c r="AU118" s="2826" t="s">
        <v>5411</v>
      </c>
      <c r="AV118" s="2826" t="s">
        <v>5412</v>
      </c>
      <c r="AW118" s="2826" t="s">
        <v>5413</v>
      </c>
      <c r="AX118" s="2826" t="s">
        <v>5414</v>
      </c>
      <c r="AY118" s="1496" t="e">
        <f t="shared" si="68"/>
        <v>#VALUE!</v>
      </c>
      <c r="BW118" s="1430"/>
      <c r="BX118" s="1430"/>
      <c r="CB118" s="1435" t="e">
        <f t="shared" si="73"/>
        <v>#VALUE!</v>
      </c>
      <c r="CC118" s="1435" t="e">
        <f t="shared" si="75"/>
        <v>#VALUE!</v>
      </c>
      <c r="CD118" s="1435" t="str">
        <f t="shared" si="59"/>
        <v xml:space="preserve">* Las actividades de usuarios en situación de discapacidad NO DEBEN superar el total. </v>
      </c>
      <c r="CE118" s="1435" t="str">
        <f t="shared" si="76"/>
        <v xml:space="preserve">* Las Embarazadas NO DEBEN ser mayor al total de mujeres. </v>
      </c>
      <c r="CF118" s="1435" t="str">
        <f t="shared" si="61"/>
        <v xml:space="preserve">* El número de Beneficiarios NO DEBE ser mayor que el Total. </v>
      </c>
      <c r="CG118" s="1435" t="str">
        <f t="shared" si="69"/>
        <v xml:space="preserve">* La Población SENAME NO DEBE ser mayor al Total. </v>
      </c>
      <c r="CH118" s="1435" t="str">
        <f t="shared" si="70"/>
        <v xml:space="preserve">* La Población Mejor Niñez NO DEBE ser mayor al Total. </v>
      </c>
      <c r="CI118" s="1435" t="str">
        <f t="shared" si="71"/>
        <v xml:space="preserve">* La Población Migrante NO DEBE superar el Total. </v>
      </c>
      <c r="DB118" s="1436" t="e">
        <f t="shared" si="74"/>
        <v>#VALUE!</v>
      </c>
      <c r="DC118" s="1436" t="e">
        <f t="shared" si="77"/>
        <v>#VALUE!</v>
      </c>
      <c r="DD118" s="1436">
        <f t="shared" si="63"/>
        <v>1</v>
      </c>
      <c r="DE118" s="1436">
        <f t="shared" si="78"/>
        <v>1</v>
      </c>
      <c r="DF118" s="1436">
        <f t="shared" si="65"/>
        <v>1</v>
      </c>
      <c r="DG118" s="1436">
        <f t="shared" si="66"/>
        <v>1</v>
      </c>
      <c r="DH118" s="1436">
        <f t="shared" si="67"/>
        <v>1</v>
      </c>
      <c r="DI118" s="1436">
        <f t="shared" si="72"/>
        <v>1</v>
      </c>
    </row>
    <row r="119" spans="1:113" ht="16.350000000000001" customHeight="1" x14ac:dyDescent="0.25">
      <c r="A119" s="7520" t="s">
        <v>5184</v>
      </c>
      <c r="B119" s="9829" t="s">
        <v>1137</v>
      </c>
      <c r="C119" s="9830"/>
      <c r="D119" s="9831"/>
      <c r="E119" s="4667" t="s">
        <v>5369</v>
      </c>
      <c r="F119" s="2923" t="s">
        <v>5370</v>
      </c>
      <c r="G119" s="1841" t="s">
        <v>5371</v>
      </c>
      <c r="H119" s="4668" t="s">
        <v>5372</v>
      </c>
      <c r="I119" s="1856" t="s">
        <v>5373</v>
      </c>
      <c r="J119" s="4668" t="s">
        <v>5374</v>
      </c>
      <c r="K119" s="1939" t="s">
        <v>5375</v>
      </c>
      <c r="L119" s="4668" t="s">
        <v>5376</v>
      </c>
      <c r="M119" s="1856" t="s">
        <v>5377</v>
      </c>
      <c r="N119" s="4668" t="s">
        <v>5378</v>
      </c>
      <c r="O119" s="1856" t="s">
        <v>5379</v>
      </c>
      <c r="P119" s="4669" t="s">
        <v>5380</v>
      </c>
      <c r="Q119" s="1856" t="s">
        <v>5381</v>
      </c>
      <c r="R119" s="4669" t="s">
        <v>5382</v>
      </c>
      <c r="S119" s="1856" t="s">
        <v>5383</v>
      </c>
      <c r="T119" s="4669" t="s">
        <v>5384</v>
      </c>
      <c r="U119" s="1856" t="s">
        <v>5385</v>
      </c>
      <c r="V119" s="4669" t="s">
        <v>5386</v>
      </c>
      <c r="W119" s="1856" t="s">
        <v>5387</v>
      </c>
      <c r="X119" s="4669" t="s">
        <v>5388</v>
      </c>
      <c r="Y119" s="1856" t="s">
        <v>5389</v>
      </c>
      <c r="Z119" s="2852" t="s">
        <v>5390</v>
      </c>
      <c r="AA119" s="1844" t="s">
        <v>5391</v>
      </c>
      <c r="AB119" s="2852" t="s">
        <v>5392</v>
      </c>
      <c r="AC119" s="1844" t="s">
        <v>5393</v>
      </c>
      <c r="AD119" s="2852" t="s">
        <v>5394</v>
      </c>
      <c r="AE119" s="1844" t="s">
        <v>5395</v>
      </c>
      <c r="AF119" s="2852" t="s">
        <v>5396</v>
      </c>
      <c r="AG119" s="1844" t="s">
        <v>5397</v>
      </c>
      <c r="AH119" s="2852" t="s">
        <v>5398</v>
      </c>
      <c r="AI119" s="1844" t="s">
        <v>5399</v>
      </c>
      <c r="AJ119" s="2852" t="s">
        <v>5400</v>
      </c>
      <c r="AK119" s="1844" t="s">
        <v>5401</v>
      </c>
      <c r="AL119" s="2852" t="s">
        <v>5402</v>
      </c>
      <c r="AM119" s="1844" t="s">
        <v>5403</v>
      </c>
      <c r="AN119" s="2852" t="s">
        <v>5404</v>
      </c>
      <c r="AO119" s="2957" t="s">
        <v>5405</v>
      </c>
      <c r="AP119" s="4670" t="s">
        <v>5406</v>
      </c>
      <c r="AQ119" s="2826" t="s">
        <v>5407</v>
      </c>
      <c r="AR119" s="3478" t="s">
        <v>5408</v>
      </c>
      <c r="AS119" s="3478" t="s">
        <v>5409</v>
      </c>
      <c r="AT119" s="3478" t="s">
        <v>5410</v>
      </c>
      <c r="AU119" s="2826" t="s">
        <v>5411</v>
      </c>
      <c r="AV119" s="2826" t="s">
        <v>5412</v>
      </c>
      <c r="AW119" s="2826" t="s">
        <v>5413</v>
      </c>
      <c r="AX119" s="2826" t="s">
        <v>5414</v>
      </c>
      <c r="AY119" s="1496" t="e">
        <f t="shared" si="68"/>
        <v>#VALUE!</v>
      </c>
      <c r="BW119" s="1430"/>
      <c r="BX119" s="1430"/>
      <c r="CB119" s="1435"/>
      <c r="CC119" s="1435" t="e">
        <f t="shared" si="75"/>
        <v>#VALUE!</v>
      </c>
      <c r="CD119" s="1435" t="str">
        <f t="shared" si="59"/>
        <v xml:space="preserve">* Las actividades de usuarios en situación de discapacidad NO DEBEN superar el total. </v>
      </c>
      <c r="CE119" s="1435" t="str">
        <f t="shared" si="76"/>
        <v xml:space="preserve">* Las Embarazadas NO DEBEN ser mayor al total de mujeres. </v>
      </c>
      <c r="CF119" s="1435" t="str">
        <f t="shared" si="61"/>
        <v xml:space="preserve">* El número de Beneficiarios NO DEBE ser mayor que el Total. </v>
      </c>
      <c r="CG119" s="1435" t="str">
        <f t="shared" si="69"/>
        <v xml:space="preserve">* La Población SENAME NO DEBE ser mayor al Total. </v>
      </c>
      <c r="CH119" s="1435" t="str">
        <f t="shared" si="70"/>
        <v xml:space="preserve">* La Población Mejor Niñez NO DEBE ser mayor al Total. </v>
      </c>
      <c r="CI119" s="1435" t="str">
        <f t="shared" si="71"/>
        <v xml:space="preserve">* La Población Migrante NO DEBE superar el Total. </v>
      </c>
      <c r="DB119" s="1436"/>
      <c r="DC119" s="1436" t="e">
        <f t="shared" si="77"/>
        <v>#VALUE!</v>
      </c>
      <c r="DD119" s="1436">
        <f t="shared" si="63"/>
        <v>1</v>
      </c>
      <c r="DE119" s="1436">
        <f t="shared" si="78"/>
        <v>1</v>
      </c>
      <c r="DF119" s="1436">
        <f t="shared" si="65"/>
        <v>1</v>
      </c>
      <c r="DG119" s="1436">
        <f t="shared" si="66"/>
        <v>1</v>
      </c>
      <c r="DH119" s="1436">
        <f t="shared" si="67"/>
        <v>1</v>
      </c>
      <c r="DI119" s="1436">
        <f t="shared" si="72"/>
        <v>1</v>
      </c>
    </row>
    <row r="120" spans="1:113" ht="16.350000000000001" customHeight="1" x14ac:dyDescent="0.25">
      <c r="A120" s="7520" t="s">
        <v>5185</v>
      </c>
      <c r="B120" s="9836" t="s">
        <v>1136</v>
      </c>
      <c r="C120" s="9836"/>
      <c r="D120" s="9836"/>
      <c r="E120" s="4667" t="s">
        <v>5369</v>
      </c>
      <c r="F120" s="2923" t="s">
        <v>5370</v>
      </c>
      <c r="G120" s="1841" t="s">
        <v>5371</v>
      </c>
      <c r="H120" s="2822" t="s">
        <v>5372</v>
      </c>
      <c r="I120" s="1844" t="s">
        <v>5373</v>
      </c>
      <c r="J120" s="2822" t="s">
        <v>5374</v>
      </c>
      <c r="K120" s="1859" t="s">
        <v>5375</v>
      </c>
      <c r="L120" s="2822" t="s">
        <v>5376</v>
      </c>
      <c r="M120" s="1844" t="s">
        <v>5377</v>
      </c>
      <c r="N120" s="2822" t="s">
        <v>5378</v>
      </c>
      <c r="O120" s="1844" t="s">
        <v>5379</v>
      </c>
      <c r="P120" s="2852" t="s">
        <v>5380</v>
      </c>
      <c r="Q120" s="1844" t="s">
        <v>5381</v>
      </c>
      <c r="R120" s="2852" t="s">
        <v>5382</v>
      </c>
      <c r="S120" s="1844" t="s">
        <v>5383</v>
      </c>
      <c r="T120" s="2852" t="s">
        <v>5384</v>
      </c>
      <c r="U120" s="1844" t="s">
        <v>5385</v>
      </c>
      <c r="V120" s="2852" t="s">
        <v>5386</v>
      </c>
      <c r="W120" s="1844" t="s">
        <v>5387</v>
      </c>
      <c r="X120" s="2852" t="s">
        <v>5388</v>
      </c>
      <c r="Y120" s="1844" t="s">
        <v>5389</v>
      </c>
      <c r="Z120" s="2852" t="s">
        <v>5390</v>
      </c>
      <c r="AA120" s="1844" t="s">
        <v>5391</v>
      </c>
      <c r="AB120" s="2852" t="s">
        <v>5392</v>
      </c>
      <c r="AC120" s="1844" t="s">
        <v>5393</v>
      </c>
      <c r="AD120" s="2852" t="s">
        <v>5394</v>
      </c>
      <c r="AE120" s="1844" t="s">
        <v>5395</v>
      </c>
      <c r="AF120" s="2852" t="s">
        <v>5396</v>
      </c>
      <c r="AG120" s="1844" t="s">
        <v>5397</v>
      </c>
      <c r="AH120" s="2852" t="s">
        <v>5398</v>
      </c>
      <c r="AI120" s="1844" t="s">
        <v>5399</v>
      </c>
      <c r="AJ120" s="2852" t="s">
        <v>5400</v>
      </c>
      <c r="AK120" s="1844" t="s">
        <v>5401</v>
      </c>
      <c r="AL120" s="2852" t="s">
        <v>5402</v>
      </c>
      <c r="AM120" s="1844" t="s">
        <v>5403</v>
      </c>
      <c r="AN120" s="2852" t="s">
        <v>5404</v>
      </c>
      <c r="AO120" s="2957" t="s">
        <v>5405</v>
      </c>
      <c r="AP120" s="2826" t="s">
        <v>5406</v>
      </c>
      <c r="AQ120" s="2826" t="s">
        <v>5407</v>
      </c>
      <c r="AR120" s="3478" t="s">
        <v>5408</v>
      </c>
      <c r="AS120" s="3478" t="s">
        <v>5409</v>
      </c>
      <c r="AT120" s="3478" t="s">
        <v>5410</v>
      </c>
      <c r="AU120" s="2826" t="s">
        <v>5411</v>
      </c>
      <c r="AV120" s="2826" t="s">
        <v>5412</v>
      </c>
      <c r="AW120" s="2826" t="s">
        <v>5413</v>
      </c>
      <c r="AX120" s="2826" t="s">
        <v>5414</v>
      </c>
      <c r="AY120" s="1496" t="e">
        <f t="shared" si="68"/>
        <v>#VALUE!</v>
      </c>
      <c r="BW120" s="1430"/>
      <c r="BX120" s="1430"/>
      <c r="CB120" s="1435" t="e">
        <f>IF(DB120=1,"* Las consultas de 12 años NO DEBEN ser mayor que el total de Consultas entre 10-14 Años. ","")</f>
        <v>#VALUE!</v>
      </c>
      <c r="CC120" s="1435" t="e">
        <f t="shared" si="75"/>
        <v>#VALUE!</v>
      </c>
      <c r="CD120" s="1435" t="str">
        <f t="shared" si="59"/>
        <v xml:space="preserve">* Las actividades de usuarios en situación de discapacidad NO DEBEN superar el total. </v>
      </c>
      <c r="CE120" s="1435" t="str">
        <f t="shared" si="76"/>
        <v xml:space="preserve">* Las Embarazadas NO DEBEN ser mayor al total de mujeres. </v>
      </c>
      <c r="CF120" s="1435" t="str">
        <f t="shared" si="61"/>
        <v xml:space="preserve">* El número de Beneficiarios NO DEBE ser mayor que el Total. </v>
      </c>
      <c r="CG120" s="1435" t="str">
        <f t="shared" si="69"/>
        <v xml:space="preserve">* La Población SENAME NO DEBE ser mayor al Total. </v>
      </c>
      <c r="CH120" s="1435" t="str">
        <f t="shared" si="70"/>
        <v xml:space="preserve">* La Población Mejor Niñez NO DEBE ser mayor al Total. </v>
      </c>
      <c r="CI120" s="1435" t="str">
        <f t="shared" si="71"/>
        <v xml:space="preserve">* La Población Migrante NO DEBE superar el Total. </v>
      </c>
      <c r="DB120" s="1436" t="e">
        <f>IF(AP120&gt;(X120+Y120),1,0)</f>
        <v>#VALUE!</v>
      </c>
      <c r="DC120" s="1436" t="e">
        <f t="shared" si="77"/>
        <v>#VALUE!</v>
      </c>
      <c r="DD120" s="1436">
        <f t="shared" si="63"/>
        <v>1</v>
      </c>
      <c r="DE120" s="1436">
        <f t="shared" si="78"/>
        <v>1</v>
      </c>
      <c r="DF120" s="1436">
        <f t="shared" si="65"/>
        <v>1</v>
      </c>
      <c r="DG120" s="1436">
        <f t="shared" si="66"/>
        <v>1</v>
      </c>
      <c r="DH120" s="1436">
        <f t="shared" si="67"/>
        <v>1</v>
      </c>
      <c r="DI120" s="1436">
        <f t="shared" si="72"/>
        <v>1</v>
      </c>
    </row>
    <row r="121" spans="1:113" ht="16.350000000000001" customHeight="1" x14ac:dyDescent="0.25">
      <c r="A121" s="7520" t="s">
        <v>5186</v>
      </c>
      <c r="B121" s="9837" t="s">
        <v>2095</v>
      </c>
      <c r="C121" s="9838"/>
      <c r="D121" s="9839"/>
      <c r="E121" s="4667" t="s">
        <v>5369</v>
      </c>
      <c r="F121" s="2923" t="s">
        <v>5370</v>
      </c>
      <c r="G121" s="1841" t="s">
        <v>5371</v>
      </c>
      <c r="H121" s="4668" t="s">
        <v>5372</v>
      </c>
      <c r="I121" s="1856" t="s">
        <v>5373</v>
      </c>
      <c r="J121" s="4668" t="s">
        <v>5374</v>
      </c>
      <c r="K121" s="1939" t="s">
        <v>5375</v>
      </c>
      <c r="L121" s="4668" t="s">
        <v>5376</v>
      </c>
      <c r="M121" s="1856" t="s">
        <v>5377</v>
      </c>
      <c r="N121" s="4668" t="s">
        <v>5378</v>
      </c>
      <c r="O121" s="1856" t="s">
        <v>5379</v>
      </c>
      <c r="P121" s="4669" t="s">
        <v>5380</v>
      </c>
      <c r="Q121" s="1856" t="s">
        <v>5381</v>
      </c>
      <c r="R121" s="4669" t="s">
        <v>5382</v>
      </c>
      <c r="S121" s="1856" t="s">
        <v>5383</v>
      </c>
      <c r="T121" s="4669" t="s">
        <v>5384</v>
      </c>
      <c r="U121" s="1856" t="s">
        <v>5385</v>
      </c>
      <c r="V121" s="4669" t="s">
        <v>5386</v>
      </c>
      <c r="W121" s="1856" t="s">
        <v>5387</v>
      </c>
      <c r="X121" s="4669" t="s">
        <v>5388</v>
      </c>
      <c r="Y121" s="1856" t="s">
        <v>5389</v>
      </c>
      <c r="Z121" s="2852" t="s">
        <v>5390</v>
      </c>
      <c r="AA121" s="1844" t="s">
        <v>5391</v>
      </c>
      <c r="AB121" s="2852" t="s">
        <v>5392</v>
      </c>
      <c r="AC121" s="1844" t="s">
        <v>5393</v>
      </c>
      <c r="AD121" s="2852" t="s">
        <v>5394</v>
      </c>
      <c r="AE121" s="1844" t="s">
        <v>5395</v>
      </c>
      <c r="AF121" s="2852" t="s">
        <v>5396</v>
      </c>
      <c r="AG121" s="1844" t="s">
        <v>5397</v>
      </c>
      <c r="AH121" s="2852" t="s">
        <v>5398</v>
      </c>
      <c r="AI121" s="1844" t="s">
        <v>5399</v>
      </c>
      <c r="AJ121" s="2852" t="s">
        <v>5400</v>
      </c>
      <c r="AK121" s="1844" t="s">
        <v>5401</v>
      </c>
      <c r="AL121" s="2852" t="s">
        <v>5402</v>
      </c>
      <c r="AM121" s="1844" t="s">
        <v>5403</v>
      </c>
      <c r="AN121" s="2852" t="s">
        <v>5404</v>
      </c>
      <c r="AO121" s="2957" t="s">
        <v>5405</v>
      </c>
      <c r="AP121" s="4670" t="s">
        <v>5406</v>
      </c>
      <c r="AQ121" s="2826" t="s">
        <v>5407</v>
      </c>
      <c r="AR121" s="3478" t="s">
        <v>5408</v>
      </c>
      <c r="AS121" s="4673" t="s">
        <v>5409</v>
      </c>
      <c r="AT121" s="3478" t="s">
        <v>5410</v>
      </c>
      <c r="AU121" s="2826" t="s">
        <v>5411</v>
      </c>
      <c r="AV121" s="2826" t="s">
        <v>5412</v>
      </c>
      <c r="AW121" s="2826" t="s">
        <v>5413</v>
      </c>
      <c r="AX121" s="2826" t="s">
        <v>5414</v>
      </c>
      <c r="AY121" s="1496" t="e">
        <f t="shared" si="68"/>
        <v>#VALUE!</v>
      </c>
      <c r="BW121" s="1430"/>
      <c r="BX121" s="1430"/>
      <c r="CB121" s="1435"/>
      <c r="CC121" s="1435" t="e">
        <f t="shared" si="75"/>
        <v>#VALUE!</v>
      </c>
      <c r="CD121" s="1435" t="str">
        <f t="shared" si="59"/>
        <v xml:space="preserve">* Las actividades de usuarios en situación de discapacidad NO DEBEN superar el total. </v>
      </c>
      <c r="CE121" s="1435" t="str">
        <f t="shared" si="76"/>
        <v xml:space="preserve">* Las Embarazadas NO DEBEN ser mayor al total de mujeres. </v>
      </c>
      <c r="CF121" s="1435" t="str">
        <f t="shared" si="61"/>
        <v xml:space="preserve">* El número de Beneficiarios NO DEBE ser mayor que el Total. </v>
      </c>
      <c r="CG121" s="1435" t="str">
        <f t="shared" si="69"/>
        <v xml:space="preserve">* La Población SENAME NO DEBE ser mayor al Total. </v>
      </c>
      <c r="CH121" s="1435" t="str">
        <f t="shared" si="70"/>
        <v xml:space="preserve">* La Población Mejor Niñez NO DEBE ser mayor al Total. </v>
      </c>
      <c r="CI121" s="1435" t="str">
        <f t="shared" si="71"/>
        <v xml:space="preserve">* La Población Migrante NO DEBE superar el Total. </v>
      </c>
      <c r="DB121" s="1436"/>
      <c r="DC121" s="1436" t="e">
        <f t="shared" si="77"/>
        <v>#VALUE!</v>
      </c>
      <c r="DD121" s="1436">
        <f t="shared" si="63"/>
        <v>1</v>
      </c>
      <c r="DE121" s="1436">
        <f t="shared" si="78"/>
        <v>1</v>
      </c>
      <c r="DF121" s="1436">
        <f t="shared" si="65"/>
        <v>1</v>
      </c>
      <c r="DG121" s="1436">
        <f t="shared" si="66"/>
        <v>1</v>
      </c>
      <c r="DH121" s="1436">
        <f t="shared" si="67"/>
        <v>1</v>
      </c>
      <c r="DI121" s="1436">
        <f t="shared" si="72"/>
        <v>1</v>
      </c>
    </row>
    <row r="122" spans="1:113" ht="16.350000000000001" customHeight="1" x14ac:dyDescent="0.25">
      <c r="A122" s="7520" t="s">
        <v>5187</v>
      </c>
      <c r="B122" s="9837" t="s">
        <v>2096</v>
      </c>
      <c r="C122" s="9838"/>
      <c r="D122" s="9839"/>
      <c r="E122" s="4667" t="s">
        <v>5369</v>
      </c>
      <c r="F122" s="2923" t="s">
        <v>5370</v>
      </c>
      <c r="G122" s="1841" t="s">
        <v>5371</v>
      </c>
      <c r="H122" s="4668" t="s">
        <v>5372</v>
      </c>
      <c r="I122" s="1856" t="s">
        <v>5373</v>
      </c>
      <c r="J122" s="4668" t="s">
        <v>5374</v>
      </c>
      <c r="K122" s="1939" t="s">
        <v>5375</v>
      </c>
      <c r="L122" s="4668" t="s">
        <v>5376</v>
      </c>
      <c r="M122" s="1856" t="s">
        <v>5377</v>
      </c>
      <c r="N122" s="4668" t="s">
        <v>5378</v>
      </c>
      <c r="O122" s="1856" t="s">
        <v>5379</v>
      </c>
      <c r="P122" s="4669" t="s">
        <v>5380</v>
      </c>
      <c r="Q122" s="1856" t="s">
        <v>5381</v>
      </c>
      <c r="R122" s="4669" t="s">
        <v>5382</v>
      </c>
      <c r="S122" s="1856" t="s">
        <v>5383</v>
      </c>
      <c r="T122" s="4669" t="s">
        <v>5384</v>
      </c>
      <c r="U122" s="1856" t="s">
        <v>5385</v>
      </c>
      <c r="V122" s="4669" t="s">
        <v>5386</v>
      </c>
      <c r="W122" s="1856" t="s">
        <v>5387</v>
      </c>
      <c r="X122" s="4669" t="s">
        <v>5388</v>
      </c>
      <c r="Y122" s="1856" t="s">
        <v>5389</v>
      </c>
      <c r="Z122" s="2852" t="s">
        <v>5390</v>
      </c>
      <c r="AA122" s="1844" t="s">
        <v>5391</v>
      </c>
      <c r="AB122" s="2852" t="s">
        <v>5392</v>
      </c>
      <c r="AC122" s="1844" t="s">
        <v>5393</v>
      </c>
      <c r="AD122" s="2852" t="s">
        <v>5394</v>
      </c>
      <c r="AE122" s="1844" t="s">
        <v>5395</v>
      </c>
      <c r="AF122" s="2852" t="s">
        <v>5396</v>
      </c>
      <c r="AG122" s="1844" t="s">
        <v>5397</v>
      </c>
      <c r="AH122" s="2852" t="s">
        <v>5398</v>
      </c>
      <c r="AI122" s="1844" t="s">
        <v>5399</v>
      </c>
      <c r="AJ122" s="2852" t="s">
        <v>5400</v>
      </c>
      <c r="AK122" s="1844" t="s">
        <v>5401</v>
      </c>
      <c r="AL122" s="2852" t="s">
        <v>5402</v>
      </c>
      <c r="AM122" s="1844" t="s">
        <v>5403</v>
      </c>
      <c r="AN122" s="2852" t="s">
        <v>5404</v>
      </c>
      <c r="AO122" s="2957" t="s">
        <v>5405</v>
      </c>
      <c r="AP122" s="4670" t="s">
        <v>5406</v>
      </c>
      <c r="AQ122" s="2826" t="s">
        <v>5407</v>
      </c>
      <c r="AR122" s="3478" t="s">
        <v>5408</v>
      </c>
      <c r="AS122" s="4673" t="s">
        <v>5409</v>
      </c>
      <c r="AT122" s="3478" t="s">
        <v>5410</v>
      </c>
      <c r="AU122" s="2826" t="s">
        <v>5411</v>
      </c>
      <c r="AV122" s="2826" t="s">
        <v>5412</v>
      </c>
      <c r="AW122" s="2826" t="s">
        <v>5413</v>
      </c>
      <c r="AX122" s="2826" t="s">
        <v>5414</v>
      </c>
      <c r="AY122" s="1496" t="e">
        <f t="shared" si="68"/>
        <v>#VALUE!</v>
      </c>
      <c r="BW122" s="1430"/>
      <c r="BX122" s="1430"/>
      <c r="CB122" s="1435"/>
      <c r="CC122" s="1435" t="e">
        <f t="shared" si="75"/>
        <v>#VALUE!</v>
      </c>
      <c r="CD122" s="1435" t="str">
        <f t="shared" ref="CD122:CD142" si="79">IF(DD122=1,"* Las actividades de usuarios en situación de discapacidad NO DEBEN superar el total. ","")</f>
        <v xml:space="preserve">* Las actividades de usuarios en situación de discapacidad NO DEBEN superar el total. </v>
      </c>
      <c r="CE122" s="1435" t="str">
        <f t="shared" si="76"/>
        <v xml:space="preserve">* Las Embarazadas NO DEBEN ser mayor al total de mujeres. </v>
      </c>
      <c r="CF122" s="1435" t="str">
        <f t="shared" ref="CF122:CF142" si="80">IF(AND(AR122="",E122&lt;&gt;0),"* No olvide digitar la columna Beneficiarios (Digite CEROS si no tiene). ",IF(E122&lt;AR122,"* El número de Beneficiarios NO DEBE ser mayor que el Total. ",""))</f>
        <v xml:space="preserve">* El número de Beneficiarios NO DEBE ser mayor que el Total. </v>
      </c>
      <c r="CG122" s="1435" t="str">
        <f t="shared" si="69"/>
        <v xml:space="preserve">* La Población SENAME NO DEBE ser mayor al Total. </v>
      </c>
      <c r="CH122" s="1435" t="str">
        <f t="shared" si="70"/>
        <v xml:space="preserve">* La Población Mejor Niñez NO DEBE ser mayor al Total. </v>
      </c>
      <c r="CI122" s="1435" t="str">
        <f t="shared" si="71"/>
        <v xml:space="preserve">* La Población Migrante NO DEBE superar el Total. </v>
      </c>
      <c r="DB122" s="1436"/>
      <c r="DC122" s="1436" t="e">
        <f t="shared" si="77"/>
        <v>#VALUE!</v>
      </c>
      <c r="DD122" s="1436">
        <f t="shared" ref="DD122:DD142" si="81">IF(E122&lt;AU122,1,0)</f>
        <v>1</v>
      </c>
      <c r="DE122" s="1436">
        <f t="shared" si="78"/>
        <v>1</v>
      </c>
      <c r="DF122" s="1436">
        <f t="shared" ref="DF122:DF142" si="82">IF(AND(AR122="",E122&lt;&gt;0),1,IF(E122&lt;AR122,1,0))</f>
        <v>1</v>
      </c>
      <c r="DG122" s="1436">
        <f t="shared" ref="DG122:DG142" si="83">IF(AND(AW122="",E122&lt;&gt;0),1,IF(E122&lt;AW122,1,0))</f>
        <v>1</v>
      </c>
      <c r="DH122" s="1436">
        <f t="shared" ref="DH122:DH142" si="84">IF(AND(AX122="",E122&lt;&gt;0),1,IF(E122&lt;AX122,1,0))</f>
        <v>1</v>
      </c>
      <c r="DI122" s="1436">
        <f t="shared" si="72"/>
        <v>1</v>
      </c>
    </row>
    <row r="123" spans="1:113" ht="16.350000000000001" customHeight="1" x14ac:dyDescent="0.25">
      <c r="A123" s="7520" t="s">
        <v>5188</v>
      </c>
      <c r="B123" s="9836" t="s">
        <v>2097</v>
      </c>
      <c r="C123" s="9836"/>
      <c r="D123" s="9836"/>
      <c r="E123" s="4667" t="s">
        <v>5369</v>
      </c>
      <c r="F123" s="2923" t="s">
        <v>5370</v>
      </c>
      <c r="G123" s="1841" t="s">
        <v>5371</v>
      </c>
      <c r="H123" s="4668" t="s">
        <v>5372</v>
      </c>
      <c r="I123" s="1856" t="s">
        <v>5373</v>
      </c>
      <c r="J123" s="4668" t="s">
        <v>5374</v>
      </c>
      <c r="K123" s="1939" t="s">
        <v>5375</v>
      </c>
      <c r="L123" s="4668" t="s">
        <v>5376</v>
      </c>
      <c r="M123" s="1856" t="s">
        <v>5377</v>
      </c>
      <c r="N123" s="4668" t="s">
        <v>5378</v>
      </c>
      <c r="O123" s="1856" t="s">
        <v>5379</v>
      </c>
      <c r="P123" s="4669" t="s">
        <v>5380</v>
      </c>
      <c r="Q123" s="1856" t="s">
        <v>5381</v>
      </c>
      <c r="R123" s="4669" t="s">
        <v>5382</v>
      </c>
      <c r="S123" s="1856" t="s">
        <v>5383</v>
      </c>
      <c r="T123" s="4669" t="s">
        <v>5384</v>
      </c>
      <c r="U123" s="1856" t="s">
        <v>5385</v>
      </c>
      <c r="V123" s="4669" t="s">
        <v>5386</v>
      </c>
      <c r="W123" s="1856" t="s">
        <v>5387</v>
      </c>
      <c r="X123" s="4669" t="s">
        <v>5388</v>
      </c>
      <c r="Y123" s="1856" t="s">
        <v>5389</v>
      </c>
      <c r="Z123" s="2852" t="s">
        <v>5390</v>
      </c>
      <c r="AA123" s="1844" t="s">
        <v>5391</v>
      </c>
      <c r="AB123" s="2852" t="s">
        <v>5392</v>
      </c>
      <c r="AC123" s="1844" t="s">
        <v>5393</v>
      </c>
      <c r="AD123" s="2852" t="s">
        <v>5394</v>
      </c>
      <c r="AE123" s="1844" t="s">
        <v>5395</v>
      </c>
      <c r="AF123" s="2852" t="s">
        <v>5396</v>
      </c>
      <c r="AG123" s="1844" t="s">
        <v>5397</v>
      </c>
      <c r="AH123" s="2852" t="s">
        <v>5398</v>
      </c>
      <c r="AI123" s="1844" t="s">
        <v>5399</v>
      </c>
      <c r="AJ123" s="2852" t="s">
        <v>5400</v>
      </c>
      <c r="AK123" s="1844" t="s">
        <v>5401</v>
      </c>
      <c r="AL123" s="2852" t="s">
        <v>5402</v>
      </c>
      <c r="AM123" s="1844" t="s">
        <v>5403</v>
      </c>
      <c r="AN123" s="2852" t="s">
        <v>5404</v>
      </c>
      <c r="AO123" s="2957" t="s">
        <v>5405</v>
      </c>
      <c r="AP123" s="4670" t="s">
        <v>5406</v>
      </c>
      <c r="AQ123" s="2826" t="s">
        <v>5407</v>
      </c>
      <c r="AR123" s="3478" t="s">
        <v>5408</v>
      </c>
      <c r="AS123" s="3478" t="s">
        <v>5409</v>
      </c>
      <c r="AT123" s="3478" t="s">
        <v>5410</v>
      </c>
      <c r="AU123" s="2826" t="s">
        <v>5411</v>
      </c>
      <c r="AV123" s="2826" t="s">
        <v>5412</v>
      </c>
      <c r="AW123" s="2826" t="s">
        <v>5413</v>
      </c>
      <c r="AX123" s="2826" t="s">
        <v>5414</v>
      </c>
      <c r="AY123" s="1496" t="e">
        <f t="shared" si="68"/>
        <v>#VALUE!</v>
      </c>
      <c r="BW123" s="1430"/>
      <c r="BX123" s="1430"/>
      <c r="CB123" s="1435"/>
      <c r="CC123" s="1435" t="e">
        <f t="shared" si="75"/>
        <v>#VALUE!</v>
      </c>
      <c r="CD123" s="1435" t="str">
        <f t="shared" si="79"/>
        <v xml:space="preserve">* Las actividades de usuarios en situación de discapacidad NO DEBEN superar el total. </v>
      </c>
      <c r="CE123" s="1435" t="str">
        <f t="shared" si="76"/>
        <v xml:space="preserve">* Las Embarazadas NO DEBEN ser mayor al total de mujeres. </v>
      </c>
      <c r="CF123" s="1435" t="str">
        <f t="shared" si="80"/>
        <v xml:space="preserve">* El número de Beneficiarios NO DEBE ser mayor que el Total. </v>
      </c>
      <c r="CG123" s="1435" t="str">
        <f t="shared" si="69"/>
        <v xml:space="preserve">* La Población SENAME NO DEBE ser mayor al Total. </v>
      </c>
      <c r="CH123" s="1435" t="str">
        <f t="shared" si="70"/>
        <v xml:space="preserve">* La Población Mejor Niñez NO DEBE ser mayor al Total. </v>
      </c>
      <c r="CI123" s="1435" t="str">
        <f t="shared" si="71"/>
        <v xml:space="preserve">* La Población Migrante NO DEBE superar el Total. </v>
      </c>
      <c r="DB123" s="1436"/>
      <c r="DC123" s="1436" t="e">
        <f t="shared" si="77"/>
        <v>#VALUE!</v>
      </c>
      <c r="DD123" s="1436">
        <f t="shared" si="81"/>
        <v>1</v>
      </c>
      <c r="DE123" s="1436">
        <f t="shared" si="78"/>
        <v>1</v>
      </c>
      <c r="DF123" s="1436">
        <f t="shared" si="82"/>
        <v>1</v>
      </c>
      <c r="DG123" s="1436">
        <f t="shared" si="83"/>
        <v>1</v>
      </c>
      <c r="DH123" s="1436">
        <f t="shared" si="84"/>
        <v>1</v>
      </c>
      <c r="DI123" s="1436">
        <f t="shared" si="72"/>
        <v>1</v>
      </c>
    </row>
    <row r="124" spans="1:113" ht="16.350000000000001" customHeight="1" x14ac:dyDescent="0.25">
      <c r="A124" s="7520" t="s">
        <v>5189</v>
      </c>
      <c r="B124" s="9828" t="s">
        <v>2144</v>
      </c>
      <c r="C124" s="9828"/>
      <c r="D124" s="9828"/>
      <c r="E124" s="4667" t="s">
        <v>5369</v>
      </c>
      <c r="F124" s="2923" t="s">
        <v>5370</v>
      </c>
      <c r="G124" s="1841" t="s">
        <v>5371</v>
      </c>
      <c r="H124" s="4668" t="s">
        <v>5372</v>
      </c>
      <c r="I124" s="1856" t="s">
        <v>5373</v>
      </c>
      <c r="J124" s="4668" t="s">
        <v>5374</v>
      </c>
      <c r="K124" s="1939" t="s">
        <v>5375</v>
      </c>
      <c r="L124" s="4668" t="s">
        <v>5376</v>
      </c>
      <c r="M124" s="1856" t="s">
        <v>5377</v>
      </c>
      <c r="N124" s="4668" t="s">
        <v>5378</v>
      </c>
      <c r="O124" s="1856" t="s">
        <v>5379</v>
      </c>
      <c r="P124" s="4669" t="s">
        <v>5380</v>
      </c>
      <c r="Q124" s="1856" t="s">
        <v>5381</v>
      </c>
      <c r="R124" s="4669" t="s">
        <v>5382</v>
      </c>
      <c r="S124" s="1856" t="s">
        <v>5383</v>
      </c>
      <c r="T124" s="4669" t="s">
        <v>5384</v>
      </c>
      <c r="U124" s="1856" t="s">
        <v>5385</v>
      </c>
      <c r="V124" s="4669" t="s">
        <v>5386</v>
      </c>
      <c r="W124" s="1856" t="s">
        <v>5387</v>
      </c>
      <c r="X124" s="4669" t="s">
        <v>5388</v>
      </c>
      <c r="Y124" s="1856" t="s">
        <v>5389</v>
      </c>
      <c r="Z124" s="2852" t="s">
        <v>5390</v>
      </c>
      <c r="AA124" s="1844" t="s">
        <v>5391</v>
      </c>
      <c r="AB124" s="2852" t="s">
        <v>5392</v>
      </c>
      <c r="AC124" s="1844" t="s">
        <v>5393</v>
      </c>
      <c r="AD124" s="2852" t="s">
        <v>5394</v>
      </c>
      <c r="AE124" s="1844" t="s">
        <v>5395</v>
      </c>
      <c r="AF124" s="2852" t="s">
        <v>5396</v>
      </c>
      <c r="AG124" s="1844" t="s">
        <v>5397</v>
      </c>
      <c r="AH124" s="2852" t="s">
        <v>5398</v>
      </c>
      <c r="AI124" s="1844" t="s">
        <v>5399</v>
      </c>
      <c r="AJ124" s="2852" t="s">
        <v>5400</v>
      </c>
      <c r="AK124" s="1844" t="s">
        <v>5401</v>
      </c>
      <c r="AL124" s="2852" t="s">
        <v>5402</v>
      </c>
      <c r="AM124" s="1844" t="s">
        <v>5403</v>
      </c>
      <c r="AN124" s="2852" t="s">
        <v>5404</v>
      </c>
      <c r="AO124" s="2957" t="s">
        <v>5405</v>
      </c>
      <c r="AP124" s="4670" t="s">
        <v>5406</v>
      </c>
      <c r="AQ124" s="2826" t="s">
        <v>5407</v>
      </c>
      <c r="AR124" s="3478" t="s">
        <v>5408</v>
      </c>
      <c r="AS124" s="3478" t="s">
        <v>5409</v>
      </c>
      <c r="AT124" s="3478" t="s">
        <v>5410</v>
      </c>
      <c r="AU124" s="2826" t="s">
        <v>5411</v>
      </c>
      <c r="AV124" s="2826" t="s">
        <v>5412</v>
      </c>
      <c r="AW124" s="2826" t="s">
        <v>5413</v>
      </c>
      <c r="AX124" s="2826" t="s">
        <v>5414</v>
      </c>
      <c r="AY124" s="1496" t="e">
        <f t="shared" si="68"/>
        <v>#VALUE!</v>
      </c>
      <c r="BW124" s="1430"/>
      <c r="BX124" s="1430"/>
      <c r="CB124" s="1435"/>
      <c r="CC124" s="1435" t="e">
        <f t="shared" si="75"/>
        <v>#VALUE!</v>
      </c>
      <c r="CD124" s="1435" t="str">
        <f t="shared" si="79"/>
        <v xml:space="preserve">* Las actividades de usuarios en situación de discapacidad NO DEBEN superar el total. </v>
      </c>
      <c r="CE124" s="1435" t="str">
        <f t="shared" si="76"/>
        <v xml:space="preserve">* Las Embarazadas NO DEBEN ser mayor al total de mujeres. </v>
      </c>
      <c r="CF124" s="1435" t="str">
        <f t="shared" si="80"/>
        <v xml:space="preserve">* El número de Beneficiarios NO DEBE ser mayor que el Total. </v>
      </c>
      <c r="CG124" s="1435" t="str">
        <f t="shared" si="69"/>
        <v xml:space="preserve">* La Población SENAME NO DEBE ser mayor al Total. </v>
      </c>
      <c r="CH124" s="1435" t="str">
        <f t="shared" si="70"/>
        <v xml:space="preserve">* La Población Mejor Niñez NO DEBE ser mayor al Total. </v>
      </c>
      <c r="CI124" s="1435" t="str">
        <f t="shared" si="71"/>
        <v xml:space="preserve">* La Población Migrante NO DEBE superar el Total. </v>
      </c>
      <c r="DB124" s="1436"/>
      <c r="DC124" s="1436" t="e">
        <f t="shared" si="77"/>
        <v>#VALUE!</v>
      </c>
      <c r="DD124" s="1436">
        <f t="shared" si="81"/>
        <v>1</v>
      </c>
      <c r="DE124" s="1436">
        <f t="shared" si="78"/>
        <v>1</v>
      </c>
      <c r="DF124" s="1436">
        <f t="shared" si="82"/>
        <v>1</v>
      </c>
      <c r="DG124" s="1436">
        <f t="shared" si="83"/>
        <v>1</v>
      </c>
      <c r="DH124" s="1436">
        <f t="shared" si="84"/>
        <v>1</v>
      </c>
      <c r="DI124" s="1436">
        <f t="shared" si="72"/>
        <v>1</v>
      </c>
    </row>
    <row r="125" spans="1:113" ht="16.350000000000001" customHeight="1" x14ac:dyDescent="0.25">
      <c r="A125" s="7520" t="s">
        <v>5190</v>
      </c>
      <c r="B125" s="9828" t="s">
        <v>2145</v>
      </c>
      <c r="C125" s="9828"/>
      <c r="D125" s="9828"/>
      <c r="E125" s="4667" t="s">
        <v>5369</v>
      </c>
      <c r="F125" s="2923" t="s">
        <v>5370</v>
      </c>
      <c r="G125" s="1841" t="s">
        <v>5371</v>
      </c>
      <c r="H125" s="4668" t="s">
        <v>5372</v>
      </c>
      <c r="I125" s="1856" t="s">
        <v>5373</v>
      </c>
      <c r="J125" s="4668" t="s">
        <v>5374</v>
      </c>
      <c r="K125" s="1939" t="s">
        <v>5375</v>
      </c>
      <c r="L125" s="4668" t="s">
        <v>5376</v>
      </c>
      <c r="M125" s="1856" t="s">
        <v>5377</v>
      </c>
      <c r="N125" s="4668" t="s">
        <v>5378</v>
      </c>
      <c r="O125" s="1856" t="s">
        <v>5379</v>
      </c>
      <c r="P125" s="4669" t="s">
        <v>5380</v>
      </c>
      <c r="Q125" s="1856" t="s">
        <v>5381</v>
      </c>
      <c r="R125" s="4669" t="s">
        <v>5382</v>
      </c>
      <c r="S125" s="1856" t="s">
        <v>5383</v>
      </c>
      <c r="T125" s="4669" t="s">
        <v>5384</v>
      </c>
      <c r="U125" s="1856" t="s">
        <v>5385</v>
      </c>
      <c r="V125" s="4669" t="s">
        <v>5386</v>
      </c>
      <c r="W125" s="1856" t="s">
        <v>5387</v>
      </c>
      <c r="X125" s="4669" t="s">
        <v>5388</v>
      </c>
      <c r="Y125" s="1856" t="s">
        <v>5389</v>
      </c>
      <c r="Z125" s="2852" t="s">
        <v>5390</v>
      </c>
      <c r="AA125" s="1844" t="s">
        <v>5391</v>
      </c>
      <c r="AB125" s="2852" t="s">
        <v>5392</v>
      </c>
      <c r="AC125" s="1844" t="s">
        <v>5393</v>
      </c>
      <c r="AD125" s="2852" t="s">
        <v>5394</v>
      </c>
      <c r="AE125" s="1844" t="s">
        <v>5395</v>
      </c>
      <c r="AF125" s="2852" t="s">
        <v>5396</v>
      </c>
      <c r="AG125" s="1844" t="s">
        <v>5397</v>
      </c>
      <c r="AH125" s="2852" t="s">
        <v>5398</v>
      </c>
      <c r="AI125" s="1844" t="s">
        <v>5399</v>
      </c>
      <c r="AJ125" s="2852" t="s">
        <v>5400</v>
      </c>
      <c r="AK125" s="1844" t="s">
        <v>5401</v>
      </c>
      <c r="AL125" s="2852" t="s">
        <v>5402</v>
      </c>
      <c r="AM125" s="1844" t="s">
        <v>5403</v>
      </c>
      <c r="AN125" s="2852" t="s">
        <v>5404</v>
      </c>
      <c r="AO125" s="2957" t="s">
        <v>5405</v>
      </c>
      <c r="AP125" s="4670" t="s">
        <v>5406</v>
      </c>
      <c r="AQ125" s="2826" t="s">
        <v>5407</v>
      </c>
      <c r="AR125" s="3478" t="s">
        <v>5408</v>
      </c>
      <c r="AS125" s="3478" t="s">
        <v>5409</v>
      </c>
      <c r="AT125" s="3478" t="s">
        <v>5410</v>
      </c>
      <c r="AU125" s="2826" t="s">
        <v>5411</v>
      </c>
      <c r="AV125" s="2826" t="s">
        <v>5412</v>
      </c>
      <c r="AW125" s="2826" t="s">
        <v>5413</v>
      </c>
      <c r="AX125" s="2826" t="s">
        <v>5414</v>
      </c>
      <c r="AY125" s="1496" t="e">
        <f t="shared" si="68"/>
        <v>#VALUE!</v>
      </c>
      <c r="BW125" s="1430"/>
      <c r="BX125" s="1430"/>
      <c r="CB125" s="1435"/>
      <c r="CC125" s="1435" t="e">
        <f t="shared" si="75"/>
        <v>#VALUE!</v>
      </c>
      <c r="CD125" s="1435" t="str">
        <f t="shared" si="79"/>
        <v xml:space="preserve">* Las actividades de usuarios en situación de discapacidad NO DEBEN superar el total. </v>
      </c>
      <c r="CE125" s="1435" t="str">
        <f t="shared" si="76"/>
        <v xml:space="preserve">* Las Embarazadas NO DEBEN ser mayor al total de mujeres. </v>
      </c>
      <c r="CF125" s="1435" t="str">
        <f t="shared" si="80"/>
        <v xml:space="preserve">* El número de Beneficiarios NO DEBE ser mayor que el Total. </v>
      </c>
      <c r="CG125" s="1435" t="str">
        <f t="shared" si="69"/>
        <v xml:space="preserve">* La Población SENAME NO DEBE ser mayor al Total. </v>
      </c>
      <c r="CH125" s="1435" t="str">
        <f t="shared" si="70"/>
        <v xml:space="preserve">* La Población Mejor Niñez NO DEBE ser mayor al Total. </v>
      </c>
      <c r="CI125" s="1435" t="str">
        <f t="shared" si="71"/>
        <v xml:space="preserve">* La Población Migrante NO DEBE superar el Total. </v>
      </c>
      <c r="DB125" s="1436"/>
      <c r="DC125" s="1436" t="e">
        <f t="shared" si="77"/>
        <v>#VALUE!</v>
      </c>
      <c r="DD125" s="1436">
        <f t="shared" si="81"/>
        <v>1</v>
      </c>
      <c r="DE125" s="1436">
        <f t="shared" si="78"/>
        <v>1</v>
      </c>
      <c r="DF125" s="1436">
        <f t="shared" si="82"/>
        <v>1</v>
      </c>
      <c r="DG125" s="1436">
        <f t="shared" si="83"/>
        <v>1</v>
      </c>
      <c r="DH125" s="1436">
        <f t="shared" si="84"/>
        <v>1</v>
      </c>
      <c r="DI125" s="1436">
        <f t="shared" si="72"/>
        <v>1</v>
      </c>
    </row>
    <row r="126" spans="1:113" ht="16.350000000000001" customHeight="1" x14ac:dyDescent="0.25">
      <c r="A126" s="7520" t="s">
        <v>5191</v>
      </c>
      <c r="B126" s="9832" t="s">
        <v>1116</v>
      </c>
      <c r="C126" s="9833"/>
      <c r="D126" s="9834"/>
      <c r="E126" s="4667" t="s">
        <v>5369</v>
      </c>
      <c r="F126" s="2923" t="s">
        <v>5370</v>
      </c>
      <c r="G126" s="1841" t="s">
        <v>5371</v>
      </c>
      <c r="H126" s="4668" t="s">
        <v>5372</v>
      </c>
      <c r="I126" s="1856" t="s">
        <v>5373</v>
      </c>
      <c r="J126" s="4668" t="s">
        <v>5374</v>
      </c>
      <c r="K126" s="1939" t="s">
        <v>5375</v>
      </c>
      <c r="L126" s="4668" t="s">
        <v>5376</v>
      </c>
      <c r="M126" s="1856" t="s">
        <v>5377</v>
      </c>
      <c r="N126" s="4668" t="s">
        <v>5378</v>
      </c>
      <c r="O126" s="1856" t="s">
        <v>5379</v>
      </c>
      <c r="P126" s="4669" t="s">
        <v>5380</v>
      </c>
      <c r="Q126" s="1856" t="s">
        <v>5381</v>
      </c>
      <c r="R126" s="4669" t="s">
        <v>5382</v>
      </c>
      <c r="S126" s="1856" t="s">
        <v>5383</v>
      </c>
      <c r="T126" s="4669" t="s">
        <v>5384</v>
      </c>
      <c r="U126" s="1856" t="s">
        <v>5385</v>
      </c>
      <c r="V126" s="4669" t="s">
        <v>5386</v>
      </c>
      <c r="W126" s="1856" t="s">
        <v>5387</v>
      </c>
      <c r="X126" s="4669" t="s">
        <v>5388</v>
      </c>
      <c r="Y126" s="1856" t="s">
        <v>5389</v>
      </c>
      <c r="Z126" s="2852" t="s">
        <v>5390</v>
      </c>
      <c r="AA126" s="1844" t="s">
        <v>5391</v>
      </c>
      <c r="AB126" s="2852" t="s">
        <v>5392</v>
      </c>
      <c r="AC126" s="1844" t="s">
        <v>5393</v>
      </c>
      <c r="AD126" s="2852" t="s">
        <v>5394</v>
      </c>
      <c r="AE126" s="1844" t="s">
        <v>5395</v>
      </c>
      <c r="AF126" s="2852" t="s">
        <v>5396</v>
      </c>
      <c r="AG126" s="1844" t="s">
        <v>5397</v>
      </c>
      <c r="AH126" s="2852" t="s">
        <v>5398</v>
      </c>
      <c r="AI126" s="1844" t="s">
        <v>5399</v>
      </c>
      <c r="AJ126" s="2852" t="s">
        <v>5400</v>
      </c>
      <c r="AK126" s="1844" t="s">
        <v>5401</v>
      </c>
      <c r="AL126" s="2852" t="s">
        <v>5402</v>
      </c>
      <c r="AM126" s="1844" t="s">
        <v>5403</v>
      </c>
      <c r="AN126" s="2852" t="s">
        <v>5404</v>
      </c>
      <c r="AO126" s="2957" t="s">
        <v>5405</v>
      </c>
      <c r="AP126" s="4670" t="s">
        <v>5406</v>
      </c>
      <c r="AQ126" s="2826" t="s">
        <v>5407</v>
      </c>
      <c r="AR126" s="3478" t="s">
        <v>5408</v>
      </c>
      <c r="AS126" s="4673" t="s">
        <v>5409</v>
      </c>
      <c r="AT126" s="3478" t="s">
        <v>5410</v>
      </c>
      <c r="AU126" s="2826" t="s">
        <v>5411</v>
      </c>
      <c r="AV126" s="2826" t="s">
        <v>5412</v>
      </c>
      <c r="AW126" s="2826" t="s">
        <v>5413</v>
      </c>
      <c r="AX126" s="2826" t="s">
        <v>5414</v>
      </c>
      <c r="AY126" s="1496" t="e">
        <f t="shared" si="68"/>
        <v>#VALUE!</v>
      </c>
      <c r="BW126" s="1430"/>
      <c r="BX126" s="1430"/>
      <c r="CB126" s="1435"/>
      <c r="CC126" s="1435" t="e">
        <f t="shared" si="75"/>
        <v>#VALUE!</v>
      </c>
      <c r="CD126" s="1435" t="str">
        <f t="shared" si="79"/>
        <v xml:space="preserve">* Las actividades de usuarios en situación de discapacidad NO DEBEN superar el total. </v>
      </c>
      <c r="CE126" s="1435" t="str">
        <f t="shared" si="76"/>
        <v xml:space="preserve">* Las Embarazadas NO DEBEN ser mayor al total de mujeres. </v>
      </c>
      <c r="CF126" s="1435" t="str">
        <f t="shared" si="80"/>
        <v xml:space="preserve">* El número de Beneficiarios NO DEBE ser mayor que el Total. </v>
      </c>
      <c r="CG126" s="1435" t="str">
        <f t="shared" si="69"/>
        <v xml:space="preserve">* La Población SENAME NO DEBE ser mayor al Total. </v>
      </c>
      <c r="CH126" s="1435" t="str">
        <f t="shared" si="70"/>
        <v xml:space="preserve">* La Población Mejor Niñez NO DEBE ser mayor al Total. </v>
      </c>
      <c r="CI126" s="1435" t="str">
        <f t="shared" si="71"/>
        <v xml:space="preserve">* La Población Migrante NO DEBE superar el Total. </v>
      </c>
      <c r="DB126" s="1436"/>
      <c r="DC126" s="1436" t="e">
        <f t="shared" si="77"/>
        <v>#VALUE!</v>
      </c>
      <c r="DD126" s="1436">
        <f t="shared" si="81"/>
        <v>1</v>
      </c>
      <c r="DE126" s="1436">
        <f t="shared" si="78"/>
        <v>1</v>
      </c>
      <c r="DF126" s="1436">
        <f t="shared" si="82"/>
        <v>1</v>
      </c>
      <c r="DG126" s="1436">
        <f t="shared" si="83"/>
        <v>1</v>
      </c>
      <c r="DH126" s="1436">
        <f t="shared" si="84"/>
        <v>1</v>
      </c>
      <c r="DI126" s="1436">
        <f t="shared" si="72"/>
        <v>1</v>
      </c>
    </row>
    <row r="127" spans="1:113" ht="16.350000000000001" customHeight="1" x14ac:dyDescent="0.25">
      <c r="A127" s="7520" t="s">
        <v>5192</v>
      </c>
      <c r="B127" s="9829" t="s">
        <v>1135</v>
      </c>
      <c r="C127" s="9830"/>
      <c r="D127" s="9831"/>
      <c r="E127" s="4667" t="s">
        <v>5369</v>
      </c>
      <c r="F127" s="2923" t="s">
        <v>5370</v>
      </c>
      <c r="G127" s="1841" t="s">
        <v>5371</v>
      </c>
      <c r="H127" s="4668" t="s">
        <v>5372</v>
      </c>
      <c r="I127" s="1856" t="s">
        <v>5373</v>
      </c>
      <c r="J127" s="4668" t="s">
        <v>5374</v>
      </c>
      <c r="K127" s="1939" t="s">
        <v>5375</v>
      </c>
      <c r="L127" s="4668" t="s">
        <v>5376</v>
      </c>
      <c r="M127" s="1856" t="s">
        <v>5377</v>
      </c>
      <c r="N127" s="4668" t="s">
        <v>5378</v>
      </c>
      <c r="O127" s="1856" t="s">
        <v>5379</v>
      </c>
      <c r="P127" s="4669" t="s">
        <v>5380</v>
      </c>
      <c r="Q127" s="1856" t="s">
        <v>5381</v>
      </c>
      <c r="R127" s="4669" t="s">
        <v>5382</v>
      </c>
      <c r="S127" s="1856" t="s">
        <v>5383</v>
      </c>
      <c r="T127" s="4669" t="s">
        <v>5384</v>
      </c>
      <c r="U127" s="1856" t="s">
        <v>5385</v>
      </c>
      <c r="V127" s="4669" t="s">
        <v>5386</v>
      </c>
      <c r="W127" s="1856" t="s">
        <v>5387</v>
      </c>
      <c r="X127" s="4669" t="s">
        <v>5388</v>
      </c>
      <c r="Y127" s="1856" t="s">
        <v>5389</v>
      </c>
      <c r="Z127" s="2852" t="s">
        <v>5390</v>
      </c>
      <c r="AA127" s="1844" t="s">
        <v>5391</v>
      </c>
      <c r="AB127" s="2852" t="s">
        <v>5392</v>
      </c>
      <c r="AC127" s="1844" t="s">
        <v>5393</v>
      </c>
      <c r="AD127" s="2852" t="s">
        <v>5394</v>
      </c>
      <c r="AE127" s="1844" t="s">
        <v>5395</v>
      </c>
      <c r="AF127" s="2852" t="s">
        <v>5396</v>
      </c>
      <c r="AG127" s="1844" t="s">
        <v>5397</v>
      </c>
      <c r="AH127" s="2852" t="s">
        <v>5398</v>
      </c>
      <c r="AI127" s="1844" t="s">
        <v>5399</v>
      </c>
      <c r="AJ127" s="2852" t="s">
        <v>5400</v>
      </c>
      <c r="AK127" s="1844" t="s">
        <v>5401</v>
      </c>
      <c r="AL127" s="2852" t="s">
        <v>5402</v>
      </c>
      <c r="AM127" s="1844" t="s">
        <v>5403</v>
      </c>
      <c r="AN127" s="2852" t="s">
        <v>5404</v>
      </c>
      <c r="AO127" s="2957" t="s">
        <v>5405</v>
      </c>
      <c r="AP127" s="4670" t="s">
        <v>5406</v>
      </c>
      <c r="AQ127" s="2826" t="s">
        <v>5407</v>
      </c>
      <c r="AR127" s="3478" t="s">
        <v>5408</v>
      </c>
      <c r="AS127" s="4673" t="s">
        <v>5409</v>
      </c>
      <c r="AT127" s="3478" t="s">
        <v>5410</v>
      </c>
      <c r="AU127" s="2826" t="s">
        <v>5411</v>
      </c>
      <c r="AV127" s="2826" t="s">
        <v>5412</v>
      </c>
      <c r="AW127" s="2826" t="s">
        <v>5413</v>
      </c>
      <c r="AX127" s="2826" t="s">
        <v>5414</v>
      </c>
      <c r="AY127" s="1496" t="e">
        <f t="shared" si="68"/>
        <v>#VALUE!</v>
      </c>
      <c r="BW127" s="1430"/>
      <c r="BX127" s="1430"/>
      <c r="CB127" s="1435"/>
      <c r="CC127" s="1435" t="e">
        <f t="shared" si="75"/>
        <v>#VALUE!</v>
      </c>
      <c r="CD127" s="1435" t="str">
        <f t="shared" si="79"/>
        <v xml:space="preserve">* Las actividades de usuarios en situación de discapacidad NO DEBEN superar el total. </v>
      </c>
      <c r="CE127" s="1435" t="str">
        <f t="shared" si="76"/>
        <v xml:space="preserve">* Las Embarazadas NO DEBEN ser mayor al total de mujeres. </v>
      </c>
      <c r="CF127" s="1435" t="str">
        <f t="shared" si="80"/>
        <v xml:space="preserve">* El número de Beneficiarios NO DEBE ser mayor que el Total. </v>
      </c>
      <c r="CG127" s="1435" t="str">
        <f t="shared" si="69"/>
        <v xml:space="preserve">* La Población SENAME NO DEBE ser mayor al Total. </v>
      </c>
      <c r="CH127" s="1435" t="str">
        <f t="shared" si="70"/>
        <v xml:space="preserve">* La Población Mejor Niñez NO DEBE ser mayor al Total. </v>
      </c>
      <c r="CI127" s="1435" t="str">
        <f t="shared" si="71"/>
        <v xml:space="preserve">* La Población Migrante NO DEBE superar el Total. </v>
      </c>
      <c r="DB127" s="1436"/>
      <c r="DC127" s="1436" t="e">
        <f t="shared" si="77"/>
        <v>#VALUE!</v>
      </c>
      <c r="DD127" s="1436">
        <f t="shared" si="81"/>
        <v>1</v>
      </c>
      <c r="DE127" s="1436">
        <f t="shared" si="78"/>
        <v>1</v>
      </c>
      <c r="DF127" s="1436">
        <f t="shared" si="82"/>
        <v>1</v>
      </c>
      <c r="DG127" s="1436">
        <f t="shared" si="83"/>
        <v>1</v>
      </c>
      <c r="DH127" s="1436">
        <f t="shared" si="84"/>
        <v>1</v>
      </c>
      <c r="DI127" s="1436">
        <f t="shared" si="72"/>
        <v>1</v>
      </c>
    </row>
    <row r="128" spans="1:113" ht="16.350000000000001" customHeight="1" x14ac:dyDescent="0.25">
      <c r="A128" s="7520" t="s">
        <v>5193</v>
      </c>
      <c r="B128" s="9829" t="s">
        <v>1134</v>
      </c>
      <c r="C128" s="9830"/>
      <c r="D128" s="9831"/>
      <c r="E128" s="4667" t="s">
        <v>5369</v>
      </c>
      <c r="F128" s="2923" t="s">
        <v>5370</v>
      </c>
      <c r="G128" s="1841" t="s">
        <v>5371</v>
      </c>
      <c r="H128" s="3313" t="s">
        <v>5372</v>
      </c>
      <c r="I128" s="1938" t="s">
        <v>5373</v>
      </c>
      <c r="J128" s="3313" t="s">
        <v>5374</v>
      </c>
      <c r="K128" s="1941" t="s">
        <v>5375</v>
      </c>
      <c r="L128" s="3313" t="s">
        <v>5376</v>
      </c>
      <c r="M128" s="1938" t="s">
        <v>5377</v>
      </c>
      <c r="N128" s="3313" t="s">
        <v>5378</v>
      </c>
      <c r="O128" s="1938" t="s">
        <v>5379</v>
      </c>
      <c r="P128" s="4674" t="s">
        <v>5380</v>
      </c>
      <c r="Q128" s="1844" t="s">
        <v>5381</v>
      </c>
      <c r="R128" s="2852" t="s">
        <v>5382</v>
      </c>
      <c r="S128" s="1844" t="s">
        <v>5383</v>
      </c>
      <c r="T128" s="2852" t="s">
        <v>5384</v>
      </c>
      <c r="U128" s="1938" t="s">
        <v>5385</v>
      </c>
      <c r="V128" s="4674" t="s">
        <v>5386</v>
      </c>
      <c r="W128" s="1844" t="s">
        <v>5387</v>
      </c>
      <c r="X128" s="2852" t="s">
        <v>5388</v>
      </c>
      <c r="Y128" s="1844" t="s">
        <v>5389</v>
      </c>
      <c r="Z128" s="2852" t="s">
        <v>5390</v>
      </c>
      <c r="AA128" s="1844" t="s">
        <v>5391</v>
      </c>
      <c r="AB128" s="2852" t="s">
        <v>5392</v>
      </c>
      <c r="AC128" s="1844" t="s">
        <v>5393</v>
      </c>
      <c r="AD128" s="2852" t="s">
        <v>5394</v>
      </c>
      <c r="AE128" s="1844" t="s">
        <v>5395</v>
      </c>
      <c r="AF128" s="2852" t="s">
        <v>5396</v>
      </c>
      <c r="AG128" s="1844" t="s">
        <v>5397</v>
      </c>
      <c r="AH128" s="2852" t="s">
        <v>5398</v>
      </c>
      <c r="AI128" s="1844" t="s">
        <v>5399</v>
      </c>
      <c r="AJ128" s="2852" t="s">
        <v>5400</v>
      </c>
      <c r="AK128" s="1844" t="s">
        <v>5401</v>
      </c>
      <c r="AL128" s="2852" t="s">
        <v>5402</v>
      </c>
      <c r="AM128" s="1844" t="s">
        <v>5403</v>
      </c>
      <c r="AN128" s="2852" t="s">
        <v>5404</v>
      </c>
      <c r="AO128" s="2957" t="s">
        <v>5405</v>
      </c>
      <c r="AP128" s="2826" t="s">
        <v>5406</v>
      </c>
      <c r="AQ128" s="4675" t="s">
        <v>5407</v>
      </c>
      <c r="AR128" s="4673" t="s">
        <v>5408</v>
      </c>
      <c r="AS128" s="4673" t="s">
        <v>5409</v>
      </c>
      <c r="AT128" s="3478" t="s">
        <v>5410</v>
      </c>
      <c r="AU128" s="2826" t="s">
        <v>5411</v>
      </c>
      <c r="AV128" s="2826" t="s">
        <v>5412</v>
      </c>
      <c r="AW128" s="2826" t="s">
        <v>5413</v>
      </c>
      <c r="AX128" s="2826" t="s">
        <v>5414</v>
      </c>
      <c r="AY128" s="1496" t="e">
        <f t="shared" si="68"/>
        <v>#VALUE!</v>
      </c>
      <c r="BW128" s="1430"/>
      <c r="BX128" s="1430"/>
      <c r="CB128" s="1435" t="e">
        <f t="shared" ref="CB128:CB142" si="85">IF(DB128=1,"* Las consultas de 12 años NO DEBEN ser mayor que el total de Consultas entre 10-14 Años. ","")</f>
        <v>#VALUE!</v>
      </c>
      <c r="CC128" s="1435" t="e">
        <f t="shared" si="75"/>
        <v>#VALUE!</v>
      </c>
      <c r="CD128" s="1435" t="str">
        <f t="shared" si="79"/>
        <v xml:space="preserve">* Las actividades de usuarios en situación de discapacidad NO DEBEN superar el total. </v>
      </c>
      <c r="CE128" s="1435" t="str">
        <f t="shared" si="76"/>
        <v xml:space="preserve">* Las Embarazadas NO DEBEN ser mayor al total de mujeres. </v>
      </c>
      <c r="CF128" s="1435" t="str">
        <f t="shared" si="80"/>
        <v xml:space="preserve">* El número de Beneficiarios NO DEBE ser mayor que el Total. </v>
      </c>
      <c r="CG128" s="1435" t="str">
        <f t="shared" si="69"/>
        <v xml:space="preserve">* La Población SENAME NO DEBE ser mayor al Total. </v>
      </c>
      <c r="CH128" s="1435" t="str">
        <f t="shared" si="70"/>
        <v xml:space="preserve">* La Población Mejor Niñez NO DEBE ser mayor al Total. </v>
      </c>
      <c r="CI128" s="1435" t="str">
        <f t="shared" si="71"/>
        <v xml:space="preserve">* La Población Migrante NO DEBE superar el Total. </v>
      </c>
      <c r="DB128" s="1436" t="e">
        <f t="shared" ref="DB128:DB142" si="86">IF(AP128&gt;(X128+Y128),1,0)</f>
        <v>#VALUE!</v>
      </c>
      <c r="DC128" s="1436" t="e">
        <f t="shared" si="77"/>
        <v>#VALUE!</v>
      </c>
      <c r="DD128" s="1436">
        <f t="shared" si="81"/>
        <v>1</v>
      </c>
      <c r="DE128" s="1436">
        <f t="shared" si="78"/>
        <v>1</v>
      </c>
      <c r="DF128" s="1436">
        <f t="shared" si="82"/>
        <v>1</v>
      </c>
      <c r="DG128" s="1436">
        <f t="shared" si="83"/>
        <v>1</v>
      </c>
      <c r="DH128" s="1436">
        <f t="shared" si="84"/>
        <v>1</v>
      </c>
      <c r="DI128" s="1436">
        <f t="shared" si="72"/>
        <v>1</v>
      </c>
    </row>
    <row r="129" spans="1:113" ht="16.350000000000001" customHeight="1" x14ac:dyDescent="0.25">
      <c r="A129" s="7520" t="s">
        <v>5194</v>
      </c>
      <c r="B129" s="9829" t="s">
        <v>1133</v>
      </c>
      <c r="C129" s="9830"/>
      <c r="D129" s="9831"/>
      <c r="E129" s="4667" t="s">
        <v>5369</v>
      </c>
      <c r="F129" s="2923" t="s">
        <v>5370</v>
      </c>
      <c r="G129" s="1841" t="s">
        <v>5371</v>
      </c>
      <c r="H129" s="3313" t="s">
        <v>5372</v>
      </c>
      <c r="I129" s="1938" t="s">
        <v>5373</v>
      </c>
      <c r="J129" s="3313" t="s">
        <v>5374</v>
      </c>
      <c r="K129" s="1941" t="s">
        <v>5375</v>
      </c>
      <c r="L129" s="3313" t="s">
        <v>5376</v>
      </c>
      <c r="M129" s="1938" t="s">
        <v>5377</v>
      </c>
      <c r="N129" s="3313" t="s">
        <v>5378</v>
      </c>
      <c r="O129" s="1938" t="s">
        <v>5379</v>
      </c>
      <c r="P129" s="4674" t="s">
        <v>5380</v>
      </c>
      <c r="Q129" s="1844" t="s">
        <v>5381</v>
      </c>
      <c r="R129" s="2852" t="s">
        <v>5382</v>
      </c>
      <c r="S129" s="1844" t="s">
        <v>5383</v>
      </c>
      <c r="T129" s="2852" t="s">
        <v>5384</v>
      </c>
      <c r="U129" s="1938" t="s">
        <v>5385</v>
      </c>
      <c r="V129" s="4674" t="s">
        <v>5386</v>
      </c>
      <c r="W129" s="1844" t="s">
        <v>5387</v>
      </c>
      <c r="X129" s="2852" t="s">
        <v>5388</v>
      </c>
      <c r="Y129" s="1844" t="s">
        <v>5389</v>
      </c>
      <c r="Z129" s="2852" t="s">
        <v>5390</v>
      </c>
      <c r="AA129" s="1844" t="s">
        <v>5391</v>
      </c>
      <c r="AB129" s="2852" t="s">
        <v>5392</v>
      </c>
      <c r="AC129" s="1844" t="s">
        <v>5393</v>
      </c>
      <c r="AD129" s="2852" t="s">
        <v>5394</v>
      </c>
      <c r="AE129" s="1844" t="s">
        <v>5395</v>
      </c>
      <c r="AF129" s="2852" t="s">
        <v>5396</v>
      </c>
      <c r="AG129" s="1844" t="s">
        <v>5397</v>
      </c>
      <c r="AH129" s="2852" t="s">
        <v>5398</v>
      </c>
      <c r="AI129" s="1844" t="s">
        <v>5399</v>
      </c>
      <c r="AJ129" s="2852" t="s">
        <v>5400</v>
      </c>
      <c r="AK129" s="1844" t="s">
        <v>5401</v>
      </c>
      <c r="AL129" s="2852" t="s">
        <v>5402</v>
      </c>
      <c r="AM129" s="1844" t="s">
        <v>5403</v>
      </c>
      <c r="AN129" s="2852" t="s">
        <v>5404</v>
      </c>
      <c r="AO129" s="2957" t="s">
        <v>5405</v>
      </c>
      <c r="AP129" s="2826" t="s">
        <v>5406</v>
      </c>
      <c r="AQ129" s="4675" t="s">
        <v>5407</v>
      </c>
      <c r="AR129" s="4673" t="s">
        <v>5408</v>
      </c>
      <c r="AS129" s="4673" t="s">
        <v>5409</v>
      </c>
      <c r="AT129" s="3478" t="s">
        <v>5410</v>
      </c>
      <c r="AU129" s="2826" t="s">
        <v>5411</v>
      </c>
      <c r="AV129" s="2826" t="s">
        <v>5412</v>
      </c>
      <c r="AW129" s="2826" t="s">
        <v>5413</v>
      </c>
      <c r="AX129" s="2826" t="s">
        <v>5414</v>
      </c>
      <c r="AY129" s="1496" t="e">
        <f t="shared" si="68"/>
        <v>#VALUE!</v>
      </c>
      <c r="BW129" s="1430"/>
      <c r="BX129" s="1430"/>
      <c r="CB129" s="1435" t="e">
        <f t="shared" si="85"/>
        <v>#VALUE!</v>
      </c>
      <c r="CC129" s="1435" t="e">
        <f t="shared" si="75"/>
        <v>#VALUE!</v>
      </c>
      <c r="CD129" s="1435" t="str">
        <f t="shared" si="79"/>
        <v xml:space="preserve">* Las actividades de usuarios en situación de discapacidad NO DEBEN superar el total. </v>
      </c>
      <c r="CE129" s="1435" t="str">
        <f t="shared" si="76"/>
        <v xml:space="preserve">* Las Embarazadas NO DEBEN ser mayor al total de mujeres. </v>
      </c>
      <c r="CF129" s="1435" t="str">
        <f t="shared" si="80"/>
        <v xml:space="preserve">* El número de Beneficiarios NO DEBE ser mayor que el Total. </v>
      </c>
      <c r="CG129" s="1435" t="str">
        <f t="shared" si="69"/>
        <v xml:space="preserve">* La Población SENAME NO DEBE ser mayor al Total. </v>
      </c>
      <c r="CH129" s="1435" t="str">
        <f t="shared" si="70"/>
        <v xml:space="preserve">* La Población Mejor Niñez NO DEBE ser mayor al Total. </v>
      </c>
      <c r="CI129" s="1435" t="str">
        <f t="shared" si="71"/>
        <v xml:space="preserve">* La Población Migrante NO DEBE superar el Total. </v>
      </c>
      <c r="DB129" s="1436" t="e">
        <f t="shared" si="86"/>
        <v>#VALUE!</v>
      </c>
      <c r="DC129" s="1436" t="e">
        <f t="shared" si="77"/>
        <v>#VALUE!</v>
      </c>
      <c r="DD129" s="1436">
        <f t="shared" si="81"/>
        <v>1</v>
      </c>
      <c r="DE129" s="1436">
        <f t="shared" si="78"/>
        <v>1</v>
      </c>
      <c r="DF129" s="1436">
        <f t="shared" si="82"/>
        <v>1</v>
      </c>
      <c r="DG129" s="1436">
        <f t="shared" si="83"/>
        <v>1</v>
      </c>
      <c r="DH129" s="1436">
        <f t="shared" si="84"/>
        <v>1</v>
      </c>
      <c r="DI129" s="1436">
        <f t="shared" si="72"/>
        <v>1</v>
      </c>
    </row>
    <row r="130" spans="1:113" ht="16.350000000000001" customHeight="1" x14ac:dyDescent="0.25">
      <c r="A130" s="7520" t="s">
        <v>5195</v>
      </c>
      <c r="B130" s="9829" t="s">
        <v>1132</v>
      </c>
      <c r="C130" s="9830"/>
      <c r="D130" s="9831"/>
      <c r="E130" s="4667" t="s">
        <v>5369</v>
      </c>
      <c r="F130" s="2923" t="s">
        <v>5370</v>
      </c>
      <c r="G130" s="1841" t="s">
        <v>5371</v>
      </c>
      <c r="H130" s="3313" t="s">
        <v>5372</v>
      </c>
      <c r="I130" s="1938" t="s">
        <v>5373</v>
      </c>
      <c r="J130" s="3313" t="s">
        <v>5374</v>
      </c>
      <c r="K130" s="1941" t="s">
        <v>5375</v>
      </c>
      <c r="L130" s="3313" t="s">
        <v>5376</v>
      </c>
      <c r="M130" s="1938" t="s">
        <v>5377</v>
      </c>
      <c r="N130" s="3313" t="s">
        <v>5378</v>
      </c>
      <c r="O130" s="1938" t="s">
        <v>5379</v>
      </c>
      <c r="P130" s="4674" t="s">
        <v>5380</v>
      </c>
      <c r="Q130" s="1844" t="s">
        <v>5381</v>
      </c>
      <c r="R130" s="2852" t="s">
        <v>5382</v>
      </c>
      <c r="S130" s="1844" t="s">
        <v>5383</v>
      </c>
      <c r="T130" s="2852" t="s">
        <v>5384</v>
      </c>
      <c r="U130" s="1938" t="s">
        <v>5385</v>
      </c>
      <c r="V130" s="4674" t="s">
        <v>5386</v>
      </c>
      <c r="W130" s="1844" t="s">
        <v>5387</v>
      </c>
      <c r="X130" s="2852" t="s">
        <v>5388</v>
      </c>
      <c r="Y130" s="1844" t="s">
        <v>5389</v>
      </c>
      <c r="Z130" s="2852" t="s">
        <v>5390</v>
      </c>
      <c r="AA130" s="1844" t="s">
        <v>5391</v>
      </c>
      <c r="AB130" s="2852" t="s">
        <v>5392</v>
      </c>
      <c r="AC130" s="1844" t="s">
        <v>5393</v>
      </c>
      <c r="AD130" s="2852" t="s">
        <v>5394</v>
      </c>
      <c r="AE130" s="1844" t="s">
        <v>5395</v>
      </c>
      <c r="AF130" s="2852" t="s">
        <v>5396</v>
      </c>
      <c r="AG130" s="1844" t="s">
        <v>5397</v>
      </c>
      <c r="AH130" s="2852" t="s">
        <v>5398</v>
      </c>
      <c r="AI130" s="1844" t="s">
        <v>5399</v>
      </c>
      <c r="AJ130" s="2852" t="s">
        <v>5400</v>
      </c>
      <c r="AK130" s="1844" t="s">
        <v>5401</v>
      </c>
      <c r="AL130" s="2852" t="s">
        <v>5402</v>
      </c>
      <c r="AM130" s="1844" t="s">
        <v>5403</v>
      </c>
      <c r="AN130" s="2852" t="s">
        <v>5404</v>
      </c>
      <c r="AO130" s="2957" t="s">
        <v>5405</v>
      </c>
      <c r="AP130" s="2826" t="s">
        <v>5406</v>
      </c>
      <c r="AQ130" s="4675" t="s">
        <v>5407</v>
      </c>
      <c r="AR130" s="4673" t="s">
        <v>5408</v>
      </c>
      <c r="AS130" s="4673" t="s">
        <v>5409</v>
      </c>
      <c r="AT130" s="3478" t="s">
        <v>5410</v>
      </c>
      <c r="AU130" s="2826" t="s">
        <v>5411</v>
      </c>
      <c r="AV130" s="2826" t="s">
        <v>5412</v>
      </c>
      <c r="AW130" s="2826" t="s">
        <v>5413</v>
      </c>
      <c r="AX130" s="2826" t="s">
        <v>5414</v>
      </c>
      <c r="AY130" s="1496" t="e">
        <f t="shared" si="68"/>
        <v>#VALUE!</v>
      </c>
      <c r="BW130" s="1430"/>
      <c r="BX130" s="1430"/>
      <c r="CB130" s="1435" t="e">
        <f t="shared" si="85"/>
        <v>#VALUE!</v>
      </c>
      <c r="CC130" s="1435" t="e">
        <f t="shared" si="75"/>
        <v>#VALUE!</v>
      </c>
      <c r="CD130" s="1435" t="str">
        <f t="shared" si="79"/>
        <v xml:space="preserve">* Las actividades de usuarios en situación de discapacidad NO DEBEN superar el total. </v>
      </c>
      <c r="CE130" s="1435" t="str">
        <f t="shared" si="76"/>
        <v xml:space="preserve">* Las Embarazadas NO DEBEN ser mayor al total de mujeres. </v>
      </c>
      <c r="CF130" s="1435" t="str">
        <f t="shared" si="80"/>
        <v xml:space="preserve">* El número de Beneficiarios NO DEBE ser mayor que el Total. </v>
      </c>
      <c r="CG130" s="1435" t="str">
        <f t="shared" si="69"/>
        <v xml:space="preserve">* La Población SENAME NO DEBE ser mayor al Total. </v>
      </c>
      <c r="CH130" s="1435" t="str">
        <f t="shared" si="70"/>
        <v xml:space="preserve">* La Población Mejor Niñez NO DEBE ser mayor al Total. </v>
      </c>
      <c r="CI130" s="1435" t="str">
        <f t="shared" si="71"/>
        <v xml:space="preserve">* La Población Migrante NO DEBE superar el Total. </v>
      </c>
      <c r="DB130" s="1436" t="e">
        <f t="shared" si="86"/>
        <v>#VALUE!</v>
      </c>
      <c r="DC130" s="1436" t="e">
        <f t="shared" si="77"/>
        <v>#VALUE!</v>
      </c>
      <c r="DD130" s="1436">
        <f t="shared" si="81"/>
        <v>1</v>
      </c>
      <c r="DE130" s="1436">
        <f t="shared" si="78"/>
        <v>1</v>
      </c>
      <c r="DF130" s="1436">
        <f t="shared" si="82"/>
        <v>1</v>
      </c>
      <c r="DG130" s="1436">
        <f t="shared" si="83"/>
        <v>1</v>
      </c>
      <c r="DH130" s="1436">
        <f t="shared" si="84"/>
        <v>1</v>
      </c>
      <c r="DI130" s="1436">
        <f t="shared" si="72"/>
        <v>1</v>
      </c>
    </row>
    <row r="131" spans="1:113" ht="16.350000000000001" customHeight="1" x14ac:dyDescent="0.25">
      <c r="A131" s="7520" t="s">
        <v>5196</v>
      </c>
      <c r="B131" s="9829" t="s">
        <v>2146</v>
      </c>
      <c r="C131" s="9830"/>
      <c r="D131" s="9831"/>
      <c r="E131" s="4667" t="s">
        <v>5369</v>
      </c>
      <c r="F131" s="2923" t="s">
        <v>5370</v>
      </c>
      <c r="G131" s="1841" t="s">
        <v>5371</v>
      </c>
      <c r="H131" s="3313" t="s">
        <v>5372</v>
      </c>
      <c r="I131" s="1938" t="s">
        <v>5373</v>
      </c>
      <c r="J131" s="3313" t="s">
        <v>5374</v>
      </c>
      <c r="K131" s="1941" t="s">
        <v>5375</v>
      </c>
      <c r="L131" s="3313" t="s">
        <v>5376</v>
      </c>
      <c r="M131" s="1938" t="s">
        <v>5377</v>
      </c>
      <c r="N131" s="3313" t="s">
        <v>5378</v>
      </c>
      <c r="O131" s="1938" t="s">
        <v>5379</v>
      </c>
      <c r="P131" s="4674" t="s">
        <v>5380</v>
      </c>
      <c r="Q131" s="1844" t="s">
        <v>5381</v>
      </c>
      <c r="R131" s="2852" t="s">
        <v>5382</v>
      </c>
      <c r="S131" s="1844" t="s">
        <v>5383</v>
      </c>
      <c r="T131" s="2852" t="s">
        <v>5384</v>
      </c>
      <c r="U131" s="1938" t="s">
        <v>5385</v>
      </c>
      <c r="V131" s="4674" t="s">
        <v>5386</v>
      </c>
      <c r="W131" s="1844" t="s">
        <v>5387</v>
      </c>
      <c r="X131" s="2852" t="s">
        <v>5388</v>
      </c>
      <c r="Y131" s="1844" t="s">
        <v>5389</v>
      </c>
      <c r="Z131" s="2852" t="s">
        <v>5390</v>
      </c>
      <c r="AA131" s="1844" t="s">
        <v>5391</v>
      </c>
      <c r="AB131" s="2852" t="s">
        <v>5392</v>
      </c>
      <c r="AC131" s="1844" t="s">
        <v>5393</v>
      </c>
      <c r="AD131" s="2852" t="s">
        <v>5394</v>
      </c>
      <c r="AE131" s="1844" t="s">
        <v>5395</v>
      </c>
      <c r="AF131" s="2852" t="s">
        <v>5396</v>
      </c>
      <c r="AG131" s="1844" t="s">
        <v>5397</v>
      </c>
      <c r="AH131" s="2852" t="s">
        <v>5398</v>
      </c>
      <c r="AI131" s="1844" t="s">
        <v>5399</v>
      </c>
      <c r="AJ131" s="2852" t="s">
        <v>5400</v>
      </c>
      <c r="AK131" s="1844" t="s">
        <v>5401</v>
      </c>
      <c r="AL131" s="2852" t="s">
        <v>5402</v>
      </c>
      <c r="AM131" s="1844" t="s">
        <v>5403</v>
      </c>
      <c r="AN131" s="2852" t="s">
        <v>5404</v>
      </c>
      <c r="AO131" s="2957" t="s">
        <v>5405</v>
      </c>
      <c r="AP131" s="2826" t="s">
        <v>5406</v>
      </c>
      <c r="AQ131" s="4675" t="s">
        <v>5407</v>
      </c>
      <c r="AR131" s="4673" t="s">
        <v>5408</v>
      </c>
      <c r="AS131" s="4673" t="s">
        <v>5409</v>
      </c>
      <c r="AT131" s="3478" t="s">
        <v>5410</v>
      </c>
      <c r="AU131" s="2826" t="s">
        <v>5411</v>
      </c>
      <c r="AV131" s="2826" t="s">
        <v>5412</v>
      </c>
      <c r="AW131" s="2826" t="s">
        <v>5413</v>
      </c>
      <c r="AX131" s="2826" t="s">
        <v>5414</v>
      </c>
      <c r="AY131" s="1496" t="e">
        <f t="shared" si="68"/>
        <v>#VALUE!</v>
      </c>
      <c r="BW131" s="1430"/>
      <c r="BX131" s="1430"/>
      <c r="CB131" s="1435" t="e">
        <f t="shared" si="85"/>
        <v>#VALUE!</v>
      </c>
      <c r="CC131" s="1435" t="e">
        <f t="shared" si="75"/>
        <v>#VALUE!</v>
      </c>
      <c r="CD131" s="1435" t="str">
        <f t="shared" si="79"/>
        <v xml:space="preserve">* Las actividades de usuarios en situación de discapacidad NO DEBEN superar el total. </v>
      </c>
      <c r="CE131" s="1435" t="str">
        <f t="shared" si="76"/>
        <v xml:space="preserve">* Las Embarazadas NO DEBEN ser mayor al total de mujeres. </v>
      </c>
      <c r="CF131" s="1435" t="str">
        <f t="shared" si="80"/>
        <v xml:space="preserve">* El número de Beneficiarios NO DEBE ser mayor que el Total. </v>
      </c>
      <c r="CG131" s="1435" t="str">
        <f t="shared" si="69"/>
        <v xml:space="preserve">* La Población SENAME NO DEBE ser mayor al Total. </v>
      </c>
      <c r="CH131" s="1435" t="str">
        <f t="shared" si="70"/>
        <v xml:space="preserve">* La Población Mejor Niñez NO DEBE ser mayor al Total. </v>
      </c>
      <c r="CI131" s="1435" t="str">
        <f t="shared" si="71"/>
        <v xml:space="preserve">* La Población Migrante NO DEBE superar el Total. </v>
      </c>
      <c r="DB131" s="1436" t="e">
        <f t="shared" si="86"/>
        <v>#VALUE!</v>
      </c>
      <c r="DC131" s="1436" t="e">
        <f t="shared" si="77"/>
        <v>#VALUE!</v>
      </c>
      <c r="DD131" s="1436">
        <f t="shared" si="81"/>
        <v>1</v>
      </c>
      <c r="DE131" s="1436">
        <f t="shared" si="78"/>
        <v>1</v>
      </c>
      <c r="DF131" s="1436">
        <f t="shared" si="82"/>
        <v>1</v>
      </c>
      <c r="DG131" s="1436">
        <f t="shared" si="83"/>
        <v>1</v>
      </c>
      <c r="DH131" s="1436">
        <f t="shared" si="84"/>
        <v>1</v>
      </c>
      <c r="DI131" s="1436">
        <f t="shared" si="72"/>
        <v>1</v>
      </c>
    </row>
    <row r="132" spans="1:113" ht="16.350000000000001" customHeight="1" x14ac:dyDescent="0.25">
      <c r="A132" s="7520" t="s">
        <v>5197</v>
      </c>
      <c r="B132" s="9829" t="s">
        <v>2147</v>
      </c>
      <c r="C132" s="9830"/>
      <c r="D132" s="9831"/>
      <c r="E132" s="4667" t="s">
        <v>5369</v>
      </c>
      <c r="F132" s="2923" t="s">
        <v>5370</v>
      </c>
      <c r="G132" s="1841" t="s">
        <v>5371</v>
      </c>
      <c r="H132" s="3313" t="s">
        <v>5372</v>
      </c>
      <c r="I132" s="1938" t="s">
        <v>5373</v>
      </c>
      <c r="J132" s="3313" t="s">
        <v>5374</v>
      </c>
      <c r="K132" s="1941" t="s">
        <v>5375</v>
      </c>
      <c r="L132" s="3313" t="s">
        <v>5376</v>
      </c>
      <c r="M132" s="1938" t="s">
        <v>5377</v>
      </c>
      <c r="N132" s="3313" t="s">
        <v>5378</v>
      </c>
      <c r="O132" s="1938" t="s">
        <v>5379</v>
      </c>
      <c r="P132" s="4674" t="s">
        <v>5380</v>
      </c>
      <c r="Q132" s="1844" t="s">
        <v>5381</v>
      </c>
      <c r="R132" s="2852" t="s">
        <v>5382</v>
      </c>
      <c r="S132" s="1844" t="s">
        <v>5383</v>
      </c>
      <c r="T132" s="2852" t="s">
        <v>5384</v>
      </c>
      <c r="U132" s="1938" t="s">
        <v>5385</v>
      </c>
      <c r="V132" s="4674" t="s">
        <v>5386</v>
      </c>
      <c r="W132" s="1844" t="s">
        <v>5387</v>
      </c>
      <c r="X132" s="2852" t="s">
        <v>5388</v>
      </c>
      <c r="Y132" s="1844" t="s">
        <v>5389</v>
      </c>
      <c r="Z132" s="2852" t="s">
        <v>5390</v>
      </c>
      <c r="AA132" s="1844" t="s">
        <v>5391</v>
      </c>
      <c r="AB132" s="2852" t="s">
        <v>5392</v>
      </c>
      <c r="AC132" s="1844" t="s">
        <v>5393</v>
      </c>
      <c r="AD132" s="2852" t="s">
        <v>5394</v>
      </c>
      <c r="AE132" s="1844" t="s">
        <v>5395</v>
      </c>
      <c r="AF132" s="2852" t="s">
        <v>5396</v>
      </c>
      <c r="AG132" s="1844" t="s">
        <v>5397</v>
      </c>
      <c r="AH132" s="2852" t="s">
        <v>5398</v>
      </c>
      <c r="AI132" s="1844" t="s">
        <v>5399</v>
      </c>
      <c r="AJ132" s="2852" t="s">
        <v>5400</v>
      </c>
      <c r="AK132" s="1844" t="s">
        <v>5401</v>
      </c>
      <c r="AL132" s="2852" t="s">
        <v>5402</v>
      </c>
      <c r="AM132" s="1844" t="s">
        <v>5403</v>
      </c>
      <c r="AN132" s="2852" t="s">
        <v>5404</v>
      </c>
      <c r="AO132" s="2957" t="s">
        <v>5405</v>
      </c>
      <c r="AP132" s="2826" t="s">
        <v>5406</v>
      </c>
      <c r="AQ132" s="4675" t="s">
        <v>5407</v>
      </c>
      <c r="AR132" s="4673" t="s">
        <v>5408</v>
      </c>
      <c r="AS132" s="4673" t="s">
        <v>5409</v>
      </c>
      <c r="AT132" s="3478" t="s">
        <v>5410</v>
      </c>
      <c r="AU132" s="2826" t="s">
        <v>5411</v>
      </c>
      <c r="AV132" s="2826" t="s">
        <v>5412</v>
      </c>
      <c r="AW132" s="2826" t="s">
        <v>5413</v>
      </c>
      <c r="AX132" s="2826" t="s">
        <v>5414</v>
      </c>
      <c r="AY132" s="1496" t="e">
        <f t="shared" si="68"/>
        <v>#VALUE!</v>
      </c>
      <c r="BW132" s="1430"/>
      <c r="BX132" s="1430"/>
      <c r="CB132" s="1435" t="e">
        <f t="shared" si="85"/>
        <v>#VALUE!</v>
      </c>
      <c r="CC132" s="1435" t="e">
        <f t="shared" si="75"/>
        <v>#VALUE!</v>
      </c>
      <c r="CD132" s="1435" t="str">
        <f t="shared" si="79"/>
        <v xml:space="preserve">* Las actividades de usuarios en situación de discapacidad NO DEBEN superar el total. </v>
      </c>
      <c r="CE132" s="1435" t="str">
        <f t="shared" si="76"/>
        <v xml:space="preserve">* Las Embarazadas NO DEBEN ser mayor al total de mujeres. </v>
      </c>
      <c r="CF132" s="1435" t="str">
        <f t="shared" si="80"/>
        <v xml:space="preserve">* El número de Beneficiarios NO DEBE ser mayor que el Total. </v>
      </c>
      <c r="CG132" s="1435" t="str">
        <f t="shared" si="69"/>
        <v xml:space="preserve">* La Población SENAME NO DEBE ser mayor al Total. </v>
      </c>
      <c r="CH132" s="1435" t="str">
        <f t="shared" si="70"/>
        <v xml:space="preserve">* La Población Mejor Niñez NO DEBE ser mayor al Total. </v>
      </c>
      <c r="CI132" s="1435" t="str">
        <f t="shared" si="71"/>
        <v xml:space="preserve">* La Población Migrante NO DEBE superar el Total. </v>
      </c>
      <c r="DB132" s="1436" t="e">
        <f t="shared" si="86"/>
        <v>#VALUE!</v>
      </c>
      <c r="DC132" s="1436" t="e">
        <f t="shared" si="77"/>
        <v>#VALUE!</v>
      </c>
      <c r="DD132" s="1436">
        <f t="shared" si="81"/>
        <v>1</v>
      </c>
      <c r="DE132" s="1436">
        <f t="shared" si="78"/>
        <v>1</v>
      </c>
      <c r="DF132" s="1436">
        <f t="shared" si="82"/>
        <v>1</v>
      </c>
      <c r="DG132" s="1436">
        <f t="shared" si="83"/>
        <v>1</v>
      </c>
      <c r="DH132" s="1436">
        <f t="shared" si="84"/>
        <v>1</v>
      </c>
      <c r="DI132" s="1436">
        <f t="shared" si="72"/>
        <v>1</v>
      </c>
    </row>
    <row r="133" spans="1:113" ht="16.350000000000001" customHeight="1" x14ac:dyDescent="0.25">
      <c r="A133" s="7520" t="s">
        <v>5198</v>
      </c>
      <c r="B133" s="9829" t="s">
        <v>2148</v>
      </c>
      <c r="C133" s="9830"/>
      <c r="D133" s="9831"/>
      <c r="E133" s="4667" t="s">
        <v>5369</v>
      </c>
      <c r="F133" s="2923" t="s">
        <v>5370</v>
      </c>
      <c r="G133" s="1841" t="s">
        <v>5371</v>
      </c>
      <c r="H133" s="3313" t="s">
        <v>5372</v>
      </c>
      <c r="I133" s="1938" t="s">
        <v>5373</v>
      </c>
      <c r="J133" s="3313" t="s">
        <v>5374</v>
      </c>
      <c r="K133" s="1941" t="s">
        <v>5375</v>
      </c>
      <c r="L133" s="3313" t="s">
        <v>5376</v>
      </c>
      <c r="M133" s="1938" t="s">
        <v>5377</v>
      </c>
      <c r="N133" s="3313" t="s">
        <v>5378</v>
      </c>
      <c r="O133" s="1938" t="s">
        <v>5379</v>
      </c>
      <c r="P133" s="4674" t="s">
        <v>5380</v>
      </c>
      <c r="Q133" s="1844" t="s">
        <v>5381</v>
      </c>
      <c r="R133" s="2852" t="s">
        <v>5382</v>
      </c>
      <c r="S133" s="1844" t="s">
        <v>5383</v>
      </c>
      <c r="T133" s="2852" t="s">
        <v>5384</v>
      </c>
      <c r="U133" s="1938" t="s">
        <v>5385</v>
      </c>
      <c r="V133" s="4674" t="s">
        <v>5386</v>
      </c>
      <c r="W133" s="1844" t="s">
        <v>5387</v>
      </c>
      <c r="X133" s="2852" t="s">
        <v>5388</v>
      </c>
      <c r="Y133" s="1844" t="s">
        <v>5389</v>
      </c>
      <c r="Z133" s="2852" t="s">
        <v>5390</v>
      </c>
      <c r="AA133" s="1844" t="s">
        <v>5391</v>
      </c>
      <c r="AB133" s="2852" t="s">
        <v>5392</v>
      </c>
      <c r="AC133" s="1844" t="s">
        <v>5393</v>
      </c>
      <c r="AD133" s="2852" t="s">
        <v>5394</v>
      </c>
      <c r="AE133" s="1844" t="s">
        <v>5395</v>
      </c>
      <c r="AF133" s="2852" t="s">
        <v>5396</v>
      </c>
      <c r="AG133" s="1844" t="s">
        <v>5397</v>
      </c>
      <c r="AH133" s="2852" t="s">
        <v>5398</v>
      </c>
      <c r="AI133" s="1844" t="s">
        <v>5399</v>
      </c>
      <c r="AJ133" s="2852" t="s">
        <v>5400</v>
      </c>
      <c r="AK133" s="1844" t="s">
        <v>5401</v>
      </c>
      <c r="AL133" s="2852" t="s">
        <v>5402</v>
      </c>
      <c r="AM133" s="1844" t="s">
        <v>5403</v>
      </c>
      <c r="AN133" s="2852" t="s">
        <v>5404</v>
      </c>
      <c r="AO133" s="2957" t="s">
        <v>5405</v>
      </c>
      <c r="AP133" s="2826" t="s">
        <v>5406</v>
      </c>
      <c r="AQ133" s="4675" t="s">
        <v>5407</v>
      </c>
      <c r="AR133" s="4673" t="s">
        <v>5408</v>
      </c>
      <c r="AS133" s="4673" t="s">
        <v>5409</v>
      </c>
      <c r="AT133" s="3478" t="s">
        <v>5410</v>
      </c>
      <c r="AU133" s="2826" t="s">
        <v>5411</v>
      </c>
      <c r="AV133" s="2826" t="s">
        <v>5412</v>
      </c>
      <c r="AW133" s="2826" t="s">
        <v>5413</v>
      </c>
      <c r="AX133" s="2826" t="s">
        <v>5414</v>
      </c>
      <c r="AY133" s="1496" t="e">
        <f t="shared" si="68"/>
        <v>#VALUE!</v>
      </c>
      <c r="BW133" s="1430"/>
      <c r="BX133" s="1430"/>
      <c r="CB133" s="1435" t="e">
        <f t="shared" si="85"/>
        <v>#VALUE!</v>
      </c>
      <c r="CC133" s="1435" t="e">
        <f t="shared" si="75"/>
        <v>#VALUE!</v>
      </c>
      <c r="CD133" s="1435" t="str">
        <f t="shared" si="79"/>
        <v xml:space="preserve">* Las actividades de usuarios en situación de discapacidad NO DEBEN superar el total. </v>
      </c>
      <c r="CE133" s="1435" t="str">
        <f t="shared" si="76"/>
        <v xml:space="preserve">* Las Embarazadas NO DEBEN ser mayor al total de mujeres. </v>
      </c>
      <c r="CF133" s="1435" t="str">
        <f t="shared" si="80"/>
        <v xml:space="preserve">* El número de Beneficiarios NO DEBE ser mayor que el Total. </v>
      </c>
      <c r="CG133" s="1435" t="str">
        <f t="shared" si="69"/>
        <v xml:space="preserve">* La Población SENAME NO DEBE ser mayor al Total. </v>
      </c>
      <c r="CH133" s="1435" t="str">
        <f t="shared" si="70"/>
        <v xml:space="preserve">* La Población Mejor Niñez NO DEBE ser mayor al Total. </v>
      </c>
      <c r="CI133" s="1435" t="str">
        <f t="shared" si="71"/>
        <v xml:space="preserve">* La Población Migrante NO DEBE superar el Total. </v>
      </c>
      <c r="DB133" s="1436" t="e">
        <f t="shared" si="86"/>
        <v>#VALUE!</v>
      </c>
      <c r="DC133" s="1436" t="e">
        <f t="shared" si="77"/>
        <v>#VALUE!</v>
      </c>
      <c r="DD133" s="1436">
        <f t="shared" si="81"/>
        <v>1</v>
      </c>
      <c r="DE133" s="1436">
        <f t="shared" si="78"/>
        <v>1</v>
      </c>
      <c r="DF133" s="1436">
        <f t="shared" si="82"/>
        <v>1</v>
      </c>
      <c r="DG133" s="1436">
        <f t="shared" si="83"/>
        <v>1</v>
      </c>
      <c r="DH133" s="1436">
        <f t="shared" si="84"/>
        <v>1</v>
      </c>
      <c r="DI133" s="1436">
        <f t="shared" si="72"/>
        <v>1</v>
      </c>
    </row>
    <row r="134" spans="1:113" ht="16.350000000000001" customHeight="1" x14ac:dyDescent="0.25">
      <c r="A134" s="7520" t="s">
        <v>5199</v>
      </c>
      <c r="B134" s="9828" t="s">
        <v>2098</v>
      </c>
      <c r="C134" s="9828"/>
      <c r="D134" s="9828"/>
      <c r="E134" s="4667" t="s">
        <v>5369</v>
      </c>
      <c r="F134" s="2923" t="s">
        <v>5370</v>
      </c>
      <c r="G134" s="1841" t="s">
        <v>5371</v>
      </c>
      <c r="H134" s="2822" t="s">
        <v>5372</v>
      </c>
      <c r="I134" s="1844" t="s">
        <v>5373</v>
      </c>
      <c r="J134" s="2822" t="s">
        <v>5374</v>
      </c>
      <c r="K134" s="1859" t="s">
        <v>5375</v>
      </c>
      <c r="L134" s="2822" t="s">
        <v>5376</v>
      </c>
      <c r="M134" s="1844" t="s">
        <v>5377</v>
      </c>
      <c r="N134" s="2822" t="s">
        <v>5378</v>
      </c>
      <c r="O134" s="1844" t="s">
        <v>5379</v>
      </c>
      <c r="P134" s="2852" t="s">
        <v>5380</v>
      </c>
      <c r="Q134" s="1844" t="s">
        <v>5381</v>
      </c>
      <c r="R134" s="2852" t="s">
        <v>5382</v>
      </c>
      <c r="S134" s="1844" t="s">
        <v>5383</v>
      </c>
      <c r="T134" s="2852" t="s">
        <v>5384</v>
      </c>
      <c r="U134" s="1844" t="s">
        <v>5385</v>
      </c>
      <c r="V134" s="2852" t="s">
        <v>5386</v>
      </c>
      <c r="W134" s="1844" t="s">
        <v>5387</v>
      </c>
      <c r="X134" s="2852" t="s">
        <v>5388</v>
      </c>
      <c r="Y134" s="1844" t="s">
        <v>5389</v>
      </c>
      <c r="Z134" s="2852" t="s">
        <v>5390</v>
      </c>
      <c r="AA134" s="1844" t="s">
        <v>5391</v>
      </c>
      <c r="AB134" s="2852" t="s">
        <v>5392</v>
      </c>
      <c r="AC134" s="1844" t="s">
        <v>5393</v>
      </c>
      <c r="AD134" s="2852" t="s">
        <v>5394</v>
      </c>
      <c r="AE134" s="1844" t="s">
        <v>5395</v>
      </c>
      <c r="AF134" s="2852" t="s">
        <v>5396</v>
      </c>
      <c r="AG134" s="1844" t="s">
        <v>5397</v>
      </c>
      <c r="AH134" s="2852" t="s">
        <v>5398</v>
      </c>
      <c r="AI134" s="1844" t="s">
        <v>5399</v>
      </c>
      <c r="AJ134" s="2852" t="s">
        <v>5400</v>
      </c>
      <c r="AK134" s="1844" t="s">
        <v>5401</v>
      </c>
      <c r="AL134" s="2852" t="s">
        <v>5402</v>
      </c>
      <c r="AM134" s="1844" t="s">
        <v>5403</v>
      </c>
      <c r="AN134" s="2852" t="s">
        <v>5404</v>
      </c>
      <c r="AO134" s="2957" t="s">
        <v>5405</v>
      </c>
      <c r="AP134" s="2826" t="s">
        <v>5406</v>
      </c>
      <c r="AQ134" s="2826" t="s">
        <v>5407</v>
      </c>
      <c r="AR134" s="3478" t="s">
        <v>5408</v>
      </c>
      <c r="AS134" s="3478" t="s">
        <v>5409</v>
      </c>
      <c r="AT134" s="3478" t="s">
        <v>5410</v>
      </c>
      <c r="AU134" s="2826" t="s">
        <v>5411</v>
      </c>
      <c r="AV134" s="2826" t="s">
        <v>5412</v>
      </c>
      <c r="AW134" s="2826" t="s">
        <v>5413</v>
      </c>
      <c r="AX134" s="2826" t="s">
        <v>5414</v>
      </c>
      <c r="AY134" s="1496" t="e">
        <f t="shared" si="68"/>
        <v>#VALUE!</v>
      </c>
      <c r="BW134" s="1430"/>
      <c r="BX134" s="1430"/>
      <c r="CB134" s="1435" t="e">
        <f t="shared" si="85"/>
        <v>#VALUE!</v>
      </c>
      <c r="CC134" s="1435" t="e">
        <f t="shared" si="75"/>
        <v>#VALUE!</v>
      </c>
      <c r="CD134" s="1435" t="str">
        <f t="shared" si="79"/>
        <v xml:space="preserve">* Las actividades de usuarios en situación de discapacidad NO DEBEN superar el total. </v>
      </c>
      <c r="CE134" s="1435" t="str">
        <f t="shared" si="76"/>
        <v xml:space="preserve">* Las Embarazadas NO DEBEN ser mayor al total de mujeres. </v>
      </c>
      <c r="CF134" s="1435" t="str">
        <f t="shared" si="80"/>
        <v xml:space="preserve">* El número de Beneficiarios NO DEBE ser mayor que el Total. </v>
      </c>
      <c r="CG134" s="1435" t="str">
        <f t="shared" si="69"/>
        <v xml:space="preserve">* La Población SENAME NO DEBE ser mayor al Total. </v>
      </c>
      <c r="CH134" s="1435" t="str">
        <f t="shared" si="70"/>
        <v xml:space="preserve">* La Población Mejor Niñez NO DEBE ser mayor al Total. </v>
      </c>
      <c r="CI134" s="1435" t="str">
        <f t="shared" si="71"/>
        <v xml:space="preserve">* La Población Migrante NO DEBE superar el Total. </v>
      </c>
      <c r="DB134" s="1436" t="e">
        <f t="shared" si="86"/>
        <v>#VALUE!</v>
      </c>
      <c r="DC134" s="1436" t="e">
        <f t="shared" si="77"/>
        <v>#VALUE!</v>
      </c>
      <c r="DD134" s="1436">
        <f t="shared" si="81"/>
        <v>1</v>
      </c>
      <c r="DE134" s="1436">
        <f t="shared" si="78"/>
        <v>1</v>
      </c>
      <c r="DF134" s="1436">
        <f t="shared" si="82"/>
        <v>1</v>
      </c>
      <c r="DG134" s="1436">
        <f t="shared" si="83"/>
        <v>1</v>
      </c>
      <c r="DH134" s="1436">
        <f t="shared" si="84"/>
        <v>1</v>
      </c>
      <c r="DI134" s="1436">
        <f t="shared" si="72"/>
        <v>1</v>
      </c>
    </row>
    <row r="135" spans="1:113" ht="16.350000000000001" customHeight="1" x14ac:dyDescent="0.25">
      <c r="A135" s="7520" t="s">
        <v>5200</v>
      </c>
      <c r="B135" s="9829" t="s">
        <v>1131</v>
      </c>
      <c r="C135" s="9830"/>
      <c r="D135" s="9831"/>
      <c r="E135" s="4667" t="s">
        <v>5369</v>
      </c>
      <c r="F135" s="2923" t="s">
        <v>5370</v>
      </c>
      <c r="G135" s="1841" t="s">
        <v>5371</v>
      </c>
      <c r="H135" s="2822" t="s">
        <v>5372</v>
      </c>
      <c r="I135" s="1844" t="s">
        <v>5373</v>
      </c>
      <c r="J135" s="2822" t="s">
        <v>5374</v>
      </c>
      <c r="K135" s="1859" t="s">
        <v>5375</v>
      </c>
      <c r="L135" s="2822" t="s">
        <v>5376</v>
      </c>
      <c r="M135" s="1844" t="s">
        <v>5377</v>
      </c>
      <c r="N135" s="2822" t="s">
        <v>5378</v>
      </c>
      <c r="O135" s="1844" t="s">
        <v>5379</v>
      </c>
      <c r="P135" s="2852" t="s">
        <v>5380</v>
      </c>
      <c r="Q135" s="1844" t="s">
        <v>5381</v>
      </c>
      <c r="R135" s="2852" t="s">
        <v>5382</v>
      </c>
      <c r="S135" s="1844" t="s">
        <v>5383</v>
      </c>
      <c r="T135" s="2852" t="s">
        <v>5384</v>
      </c>
      <c r="U135" s="1844" t="s">
        <v>5385</v>
      </c>
      <c r="V135" s="2852" t="s">
        <v>5386</v>
      </c>
      <c r="W135" s="1844" t="s">
        <v>5387</v>
      </c>
      <c r="X135" s="2852" t="s">
        <v>5388</v>
      </c>
      <c r="Y135" s="1844" t="s">
        <v>5389</v>
      </c>
      <c r="Z135" s="2852" t="s">
        <v>5390</v>
      </c>
      <c r="AA135" s="1844" t="s">
        <v>5391</v>
      </c>
      <c r="AB135" s="2852" t="s">
        <v>5392</v>
      </c>
      <c r="AC135" s="1844" t="s">
        <v>5393</v>
      </c>
      <c r="AD135" s="2852" t="s">
        <v>5394</v>
      </c>
      <c r="AE135" s="1844" t="s">
        <v>5395</v>
      </c>
      <c r="AF135" s="2852" t="s">
        <v>5396</v>
      </c>
      <c r="AG135" s="1844" t="s">
        <v>5397</v>
      </c>
      <c r="AH135" s="2852" t="s">
        <v>5398</v>
      </c>
      <c r="AI135" s="1844" t="s">
        <v>5399</v>
      </c>
      <c r="AJ135" s="2852" t="s">
        <v>5400</v>
      </c>
      <c r="AK135" s="1844" t="s">
        <v>5401</v>
      </c>
      <c r="AL135" s="2852" t="s">
        <v>5402</v>
      </c>
      <c r="AM135" s="1844" t="s">
        <v>5403</v>
      </c>
      <c r="AN135" s="2852" t="s">
        <v>5404</v>
      </c>
      <c r="AO135" s="2957" t="s">
        <v>5405</v>
      </c>
      <c r="AP135" s="2826" t="s">
        <v>5406</v>
      </c>
      <c r="AQ135" s="2826" t="s">
        <v>5407</v>
      </c>
      <c r="AR135" s="3478" t="s">
        <v>5408</v>
      </c>
      <c r="AS135" s="3478" t="s">
        <v>5409</v>
      </c>
      <c r="AT135" s="3478" t="s">
        <v>5410</v>
      </c>
      <c r="AU135" s="2826" t="s">
        <v>5411</v>
      </c>
      <c r="AV135" s="2826" t="s">
        <v>5412</v>
      </c>
      <c r="AW135" s="2826" t="s">
        <v>5413</v>
      </c>
      <c r="AX135" s="2826" t="s">
        <v>5414</v>
      </c>
      <c r="AY135" s="1496" t="e">
        <f t="shared" si="68"/>
        <v>#VALUE!</v>
      </c>
      <c r="BW135" s="1430"/>
      <c r="BX135" s="1430"/>
      <c r="CB135" s="1435" t="e">
        <f t="shared" si="85"/>
        <v>#VALUE!</v>
      </c>
      <c r="CC135" s="1435" t="e">
        <f t="shared" si="75"/>
        <v>#VALUE!</v>
      </c>
      <c r="CD135" s="1435" t="str">
        <f t="shared" si="79"/>
        <v xml:space="preserve">* Las actividades de usuarios en situación de discapacidad NO DEBEN superar el total. </v>
      </c>
      <c r="CE135" s="1435" t="str">
        <f t="shared" si="76"/>
        <v xml:space="preserve">* Las Embarazadas NO DEBEN ser mayor al total de mujeres. </v>
      </c>
      <c r="CF135" s="1435" t="str">
        <f t="shared" si="80"/>
        <v xml:space="preserve">* El número de Beneficiarios NO DEBE ser mayor que el Total. </v>
      </c>
      <c r="CG135" s="1435" t="str">
        <f t="shared" si="69"/>
        <v xml:space="preserve">* La Población SENAME NO DEBE ser mayor al Total. </v>
      </c>
      <c r="CH135" s="1435" t="str">
        <f t="shared" si="70"/>
        <v xml:space="preserve">* La Población Mejor Niñez NO DEBE ser mayor al Total. </v>
      </c>
      <c r="CI135" s="1435" t="str">
        <f t="shared" si="71"/>
        <v xml:space="preserve">* La Población Migrante NO DEBE superar el Total. </v>
      </c>
      <c r="DB135" s="1436" t="e">
        <f t="shared" si="86"/>
        <v>#VALUE!</v>
      </c>
      <c r="DC135" s="1436" t="e">
        <f t="shared" si="77"/>
        <v>#VALUE!</v>
      </c>
      <c r="DD135" s="1436">
        <f t="shared" si="81"/>
        <v>1</v>
      </c>
      <c r="DE135" s="1436">
        <f t="shared" si="78"/>
        <v>1</v>
      </c>
      <c r="DF135" s="1436">
        <f t="shared" si="82"/>
        <v>1</v>
      </c>
      <c r="DG135" s="1436">
        <f t="shared" si="83"/>
        <v>1</v>
      </c>
      <c r="DH135" s="1436">
        <f t="shared" si="84"/>
        <v>1</v>
      </c>
      <c r="DI135" s="1436">
        <f t="shared" si="72"/>
        <v>1</v>
      </c>
    </row>
    <row r="136" spans="1:113" ht="16.350000000000001" customHeight="1" x14ac:dyDescent="0.25">
      <c r="A136" s="7520" t="s">
        <v>5201</v>
      </c>
      <c r="B136" s="9829" t="s">
        <v>1130</v>
      </c>
      <c r="C136" s="9830"/>
      <c r="D136" s="9831"/>
      <c r="E136" s="4667" t="s">
        <v>5369</v>
      </c>
      <c r="F136" s="2923" t="s">
        <v>5370</v>
      </c>
      <c r="G136" s="1841" t="s">
        <v>5371</v>
      </c>
      <c r="H136" s="3185" t="s">
        <v>5372</v>
      </c>
      <c r="I136" s="2537" t="s">
        <v>5373</v>
      </c>
      <c r="J136" s="3185" t="s">
        <v>5374</v>
      </c>
      <c r="K136" s="3229" t="s">
        <v>5375</v>
      </c>
      <c r="L136" s="3185" t="s">
        <v>5376</v>
      </c>
      <c r="M136" s="1844" t="s">
        <v>5377</v>
      </c>
      <c r="N136" s="2822" t="s">
        <v>5378</v>
      </c>
      <c r="O136" s="1844" t="s">
        <v>5379</v>
      </c>
      <c r="P136" s="2852" t="s">
        <v>5380</v>
      </c>
      <c r="Q136" s="1844" t="s">
        <v>5381</v>
      </c>
      <c r="R136" s="2852" t="s">
        <v>5382</v>
      </c>
      <c r="S136" s="1844" t="s">
        <v>5383</v>
      </c>
      <c r="T136" s="2852" t="s">
        <v>5384</v>
      </c>
      <c r="U136" s="1844" t="s">
        <v>5385</v>
      </c>
      <c r="V136" s="2852" t="s">
        <v>5386</v>
      </c>
      <c r="W136" s="1844" t="s">
        <v>5387</v>
      </c>
      <c r="X136" s="2852" t="s">
        <v>5388</v>
      </c>
      <c r="Y136" s="1844" t="s">
        <v>5389</v>
      </c>
      <c r="Z136" s="2852" t="s">
        <v>5390</v>
      </c>
      <c r="AA136" s="1844" t="s">
        <v>5391</v>
      </c>
      <c r="AB136" s="2852" t="s">
        <v>5392</v>
      </c>
      <c r="AC136" s="1844" t="s">
        <v>5393</v>
      </c>
      <c r="AD136" s="2852" t="s">
        <v>5394</v>
      </c>
      <c r="AE136" s="1844" t="s">
        <v>5395</v>
      </c>
      <c r="AF136" s="2852" t="s">
        <v>5396</v>
      </c>
      <c r="AG136" s="1844" t="s">
        <v>5397</v>
      </c>
      <c r="AH136" s="2852" t="s">
        <v>5398</v>
      </c>
      <c r="AI136" s="1844" t="s">
        <v>5399</v>
      </c>
      <c r="AJ136" s="2852" t="s">
        <v>5400</v>
      </c>
      <c r="AK136" s="1844" t="s">
        <v>5401</v>
      </c>
      <c r="AL136" s="2852" t="s">
        <v>5402</v>
      </c>
      <c r="AM136" s="1844" t="s">
        <v>5403</v>
      </c>
      <c r="AN136" s="2852" t="s">
        <v>5404</v>
      </c>
      <c r="AO136" s="2957" t="s">
        <v>5405</v>
      </c>
      <c r="AP136" s="2826" t="s">
        <v>5406</v>
      </c>
      <c r="AQ136" s="3186" t="s">
        <v>5407</v>
      </c>
      <c r="AR136" s="3478" t="s">
        <v>5408</v>
      </c>
      <c r="AS136" s="3478" t="s">
        <v>5409</v>
      </c>
      <c r="AT136" s="3127" t="s">
        <v>5410</v>
      </c>
      <c r="AU136" s="2826" t="s">
        <v>5411</v>
      </c>
      <c r="AV136" s="2826" t="s">
        <v>5412</v>
      </c>
      <c r="AW136" s="2826" t="s">
        <v>5413</v>
      </c>
      <c r="AX136" s="2826" t="s">
        <v>5414</v>
      </c>
      <c r="AY136" s="1496" t="e">
        <f t="shared" si="68"/>
        <v>#VALUE!</v>
      </c>
      <c r="BW136" s="1430"/>
      <c r="BX136" s="1430"/>
      <c r="CB136" s="1435" t="e">
        <f t="shared" si="85"/>
        <v>#VALUE!</v>
      </c>
      <c r="CC136" s="1435" t="e">
        <f t="shared" si="75"/>
        <v>#VALUE!</v>
      </c>
      <c r="CD136" s="1435" t="str">
        <f t="shared" si="79"/>
        <v xml:space="preserve">* Las actividades de usuarios en situación de discapacidad NO DEBEN superar el total. </v>
      </c>
      <c r="CE136" s="1435" t="str">
        <f t="shared" si="76"/>
        <v xml:space="preserve">* Las Embarazadas NO DEBEN ser mayor al total de mujeres. </v>
      </c>
      <c r="CF136" s="1435" t="str">
        <f t="shared" si="80"/>
        <v xml:space="preserve">* El número de Beneficiarios NO DEBE ser mayor que el Total. </v>
      </c>
      <c r="CG136" s="1435" t="str">
        <f t="shared" si="69"/>
        <v xml:space="preserve">* La Población SENAME NO DEBE ser mayor al Total. </v>
      </c>
      <c r="CH136" s="1435" t="str">
        <f t="shared" si="70"/>
        <v xml:space="preserve">* La Población Mejor Niñez NO DEBE ser mayor al Total. </v>
      </c>
      <c r="CI136" s="1435" t="str">
        <f t="shared" si="71"/>
        <v xml:space="preserve">* La Población Migrante NO DEBE superar el Total. </v>
      </c>
      <c r="DB136" s="1436" t="e">
        <f t="shared" si="86"/>
        <v>#VALUE!</v>
      </c>
      <c r="DC136" s="1436" t="e">
        <f t="shared" si="77"/>
        <v>#VALUE!</v>
      </c>
      <c r="DD136" s="1436">
        <f t="shared" si="81"/>
        <v>1</v>
      </c>
      <c r="DE136" s="1436">
        <f t="shared" si="78"/>
        <v>1</v>
      </c>
      <c r="DF136" s="1436">
        <f t="shared" si="82"/>
        <v>1</v>
      </c>
      <c r="DG136" s="1436">
        <f t="shared" si="83"/>
        <v>1</v>
      </c>
      <c r="DH136" s="1436">
        <f t="shared" si="84"/>
        <v>1</v>
      </c>
      <c r="DI136" s="1436">
        <f t="shared" si="72"/>
        <v>1</v>
      </c>
    </row>
    <row r="137" spans="1:113" ht="16.350000000000001" customHeight="1" x14ac:dyDescent="0.25">
      <c r="A137" s="7520" t="s">
        <v>5202</v>
      </c>
      <c r="B137" s="9829" t="s">
        <v>1129</v>
      </c>
      <c r="C137" s="9830"/>
      <c r="D137" s="9831"/>
      <c r="E137" s="4667" t="s">
        <v>5369</v>
      </c>
      <c r="F137" s="2923" t="s">
        <v>5370</v>
      </c>
      <c r="G137" s="1841" t="s">
        <v>5371</v>
      </c>
      <c r="H137" s="3185" t="s">
        <v>5372</v>
      </c>
      <c r="I137" s="2537" t="s">
        <v>5373</v>
      </c>
      <c r="J137" s="3185" t="s">
        <v>5374</v>
      </c>
      <c r="K137" s="3229" t="s">
        <v>5375</v>
      </c>
      <c r="L137" s="3185" t="s">
        <v>5376</v>
      </c>
      <c r="M137" s="1844" t="s">
        <v>5377</v>
      </c>
      <c r="N137" s="2822" t="s">
        <v>5378</v>
      </c>
      <c r="O137" s="1844" t="s">
        <v>5379</v>
      </c>
      <c r="P137" s="2852" t="s">
        <v>5380</v>
      </c>
      <c r="Q137" s="1844" t="s">
        <v>5381</v>
      </c>
      <c r="R137" s="2852" t="s">
        <v>5382</v>
      </c>
      <c r="S137" s="1844" t="s">
        <v>5383</v>
      </c>
      <c r="T137" s="2852" t="s">
        <v>5384</v>
      </c>
      <c r="U137" s="1844" t="s">
        <v>5385</v>
      </c>
      <c r="V137" s="2852" t="s">
        <v>5386</v>
      </c>
      <c r="W137" s="1844" t="s">
        <v>5387</v>
      </c>
      <c r="X137" s="2852" t="s">
        <v>5388</v>
      </c>
      <c r="Y137" s="1844" t="s">
        <v>5389</v>
      </c>
      <c r="Z137" s="2852" t="s">
        <v>5390</v>
      </c>
      <c r="AA137" s="1844" t="s">
        <v>5391</v>
      </c>
      <c r="AB137" s="2852" t="s">
        <v>5392</v>
      </c>
      <c r="AC137" s="1844" t="s">
        <v>5393</v>
      </c>
      <c r="AD137" s="2852" t="s">
        <v>5394</v>
      </c>
      <c r="AE137" s="1844" t="s">
        <v>5395</v>
      </c>
      <c r="AF137" s="2852" t="s">
        <v>5396</v>
      </c>
      <c r="AG137" s="1844" t="s">
        <v>5397</v>
      </c>
      <c r="AH137" s="2852" t="s">
        <v>5398</v>
      </c>
      <c r="AI137" s="1844" t="s">
        <v>5399</v>
      </c>
      <c r="AJ137" s="2852" t="s">
        <v>5400</v>
      </c>
      <c r="AK137" s="1844" t="s">
        <v>5401</v>
      </c>
      <c r="AL137" s="2852" t="s">
        <v>5402</v>
      </c>
      <c r="AM137" s="1844" t="s">
        <v>5403</v>
      </c>
      <c r="AN137" s="2852" t="s">
        <v>5404</v>
      </c>
      <c r="AO137" s="2957" t="s">
        <v>5405</v>
      </c>
      <c r="AP137" s="2826" t="s">
        <v>5406</v>
      </c>
      <c r="AQ137" s="3186" t="s">
        <v>5407</v>
      </c>
      <c r="AR137" s="3478" t="s">
        <v>5408</v>
      </c>
      <c r="AS137" s="3478" t="s">
        <v>5409</v>
      </c>
      <c r="AT137" s="3127" t="s">
        <v>5410</v>
      </c>
      <c r="AU137" s="2826" t="s">
        <v>5411</v>
      </c>
      <c r="AV137" s="2826" t="s">
        <v>5412</v>
      </c>
      <c r="AW137" s="2826" t="s">
        <v>5413</v>
      </c>
      <c r="AX137" s="2826" t="s">
        <v>5414</v>
      </c>
      <c r="AY137" s="1496" t="e">
        <f t="shared" si="68"/>
        <v>#VALUE!</v>
      </c>
      <c r="BW137" s="1430"/>
      <c r="BX137" s="1430"/>
      <c r="CB137" s="1435" t="e">
        <f t="shared" si="85"/>
        <v>#VALUE!</v>
      </c>
      <c r="CC137" s="1435" t="e">
        <f t="shared" si="75"/>
        <v>#VALUE!</v>
      </c>
      <c r="CD137" s="1435" t="str">
        <f t="shared" si="79"/>
        <v xml:space="preserve">* Las actividades de usuarios en situación de discapacidad NO DEBEN superar el total. </v>
      </c>
      <c r="CE137" s="1435" t="str">
        <f t="shared" si="76"/>
        <v xml:space="preserve">* Las Embarazadas NO DEBEN ser mayor al total de mujeres. </v>
      </c>
      <c r="CF137" s="1435" t="str">
        <f t="shared" si="80"/>
        <v xml:space="preserve">* El número de Beneficiarios NO DEBE ser mayor que el Total. </v>
      </c>
      <c r="CG137" s="1435" t="str">
        <f t="shared" si="69"/>
        <v xml:space="preserve">* La Población SENAME NO DEBE ser mayor al Total. </v>
      </c>
      <c r="CH137" s="1435" t="str">
        <f t="shared" si="70"/>
        <v xml:space="preserve">* La Población Mejor Niñez NO DEBE ser mayor al Total. </v>
      </c>
      <c r="CI137" s="1435" t="str">
        <f t="shared" si="71"/>
        <v xml:space="preserve">* La Población Migrante NO DEBE superar el Total. </v>
      </c>
      <c r="DB137" s="1436" t="e">
        <f t="shared" si="86"/>
        <v>#VALUE!</v>
      </c>
      <c r="DC137" s="1436" t="e">
        <f t="shared" si="77"/>
        <v>#VALUE!</v>
      </c>
      <c r="DD137" s="1436">
        <f t="shared" si="81"/>
        <v>1</v>
      </c>
      <c r="DE137" s="1436">
        <f t="shared" si="78"/>
        <v>1</v>
      </c>
      <c r="DF137" s="1436">
        <f t="shared" si="82"/>
        <v>1</v>
      </c>
      <c r="DG137" s="1436">
        <f t="shared" si="83"/>
        <v>1</v>
      </c>
      <c r="DH137" s="1436">
        <f t="shared" si="84"/>
        <v>1</v>
      </c>
      <c r="DI137" s="1436">
        <f t="shared" si="72"/>
        <v>1</v>
      </c>
    </row>
    <row r="138" spans="1:113" ht="16.350000000000001" customHeight="1" x14ac:dyDescent="0.25">
      <c r="A138" s="7520" t="s">
        <v>5203</v>
      </c>
      <c r="B138" s="9829" t="s">
        <v>1128</v>
      </c>
      <c r="C138" s="9830"/>
      <c r="D138" s="9831"/>
      <c r="E138" s="4667" t="s">
        <v>5369</v>
      </c>
      <c r="F138" s="2923" t="s">
        <v>5370</v>
      </c>
      <c r="G138" s="1841" t="s">
        <v>5371</v>
      </c>
      <c r="H138" s="3185" t="s">
        <v>5372</v>
      </c>
      <c r="I138" s="2537" t="s">
        <v>5373</v>
      </c>
      <c r="J138" s="3185" t="s">
        <v>5374</v>
      </c>
      <c r="K138" s="3229" t="s">
        <v>5375</v>
      </c>
      <c r="L138" s="3185" t="s">
        <v>5376</v>
      </c>
      <c r="M138" s="1844" t="s">
        <v>5377</v>
      </c>
      <c r="N138" s="2822" t="s">
        <v>5378</v>
      </c>
      <c r="O138" s="1844" t="s">
        <v>5379</v>
      </c>
      <c r="P138" s="2852" t="s">
        <v>5380</v>
      </c>
      <c r="Q138" s="1844" t="s">
        <v>5381</v>
      </c>
      <c r="R138" s="2852" t="s">
        <v>5382</v>
      </c>
      <c r="S138" s="1844" t="s">
        <v>5383</v>
      </c>
      <c r="T138" s="2852" t="s">
        <v>5384</v>
      </c>
      <c r="U138" s="1844" t="s">
        <v>5385</v>
      </c>
      <c r="V138" s="2852" t="s">
        <v>5386</v>
      </c>
      <c r="W138" s="1844" t="s">
        <v>5387</v>
      </c>
      <c r="X138" s="2852" t="s">
        <v>5388</v>
      </c>
      <c r="Y138" s="1844" t="s">
        <v>5389</v>
      </c>
      <c r="Z138" s="2852" t="s">
        <v>5390</v>
      </c>
      <c r="AA138" s="1844" t="s">
        <v>5391</v>
      </c>
      <c r="AB138" s="2852" t="s">
        <v>5392</v>
      </c>
      <c r="AC138" s="1844" t="s">
        <v>5393</v>
      </c>
      <c r="AD138" s="2852" t="s">
        <v>5394</v>
      </c>
      <c r="AE138" s="1844" t="s">
        <v>5395</v>
      </c>
      <c r="AF138" s="2852" t="s">
        <v>5396</v>
      </c>
      <c r="AG138" s="1844" t="s">
        <v>5397</v>
      </c>
      <c r="AH138" s="2852" t="s">
        <v>5398</v>
      </c>
      <c r="AI138" s="1844" t="s">
        <v>5399</v>
      </c>
      <c r="AJ138" s="2852" t="s">
        <v>5400</v>
      </c>
      <c r="AK138" s="1844" t="s">
        <v>5401</v>
      </c>
      <c r="AL138" s="2852" t="s">
        <v>5402</v>
      </c>
      <c r="AM138" s="1844" t="s">
        <v>5403</v>
      </c>
      <c r="AN138" s="2852" t="s">
        <v>5404</v>
      </c>
      <c r="AO138" s="2957" t="s">
        <v>5405</v>
      </c>
      <c r="AP138" s="2826" t="s">
        <v>5406</v>
      </c>
      <c r="AQ138" s="3186" t="s">
        <v>5407</v>
      </c>
      <c r="AR138" s="3478" t="s">
        <v>5408</v>
      </c>
      <c r="AS138" s="3478" t="s">
        <v>5409</v>
      </c>
      <c r="AT138" s="3127" t="s">
        <v>5410</v>
      </c>
      <c r="AU138" s="2826" t="s">
        <v>5411</v>
      </c>
      <c r="AV138" s="2826" t="s">
        <v>5412</v>
      </c>
      <c r="AW138" s="2826" t="s">
        <v>5413</v>
      </c>
      <c r="AX138" s="2826" t="s">
        <v>5414</v>
      </c>
      <c r="AY138" s="1496" t="e">
        <f t="shared" si="68"/>
        <v>#VALUE!</v>
      </c>
      <c r="BW138" s="1430"/>
      <c r="BX138" s="1430"/>
      <c r="CB138" s="1435" t="e">
        <f t="shared" si="85"/>
        <v>#VALUE!</v>
      </c>
      <c r="CC138" s="1435" t="e">
        <f t="shared" si="75"/>
        <v>#VALUE!</v>
      </c>
      <c r="CD138" s="1435" t="str">
        <f t="shared" si="79"/>
        <v xml:space="preserve">* Las actividades de usuarios en situación de discapacidad NO DEBEN superar el total. </v>
      </c>
      <c r="CE138" s="1435" t="str">
        <f t="shared" si="76"/>
        <v xml:space="preserve">* Las Embarazadas NO DEBEN ser mayor al total de mujeres. </v>
      </c>
      <c r="CF138" s="1435" t="str">
        <f t="shared" si="80"/>
        <v xml:space="preserve">* El número de Beneficiarios NO DEBE ser mayor que el Total. </v>
      </c>
      <c r="CG138" s="1435" t="str">
        <f t="shared" si="69"/>
        <v xml:space="preserve">* La Población SENAME NO DEBE ser mayor al Total. </v>
      </c>
      <c r="CH138" s="1435" t="str">
        <f t="shared" si="70"/>
        <v xml:space="preserve">* La Población Mejor Niñez NO DEBE ser mayor al Total. </v>
      </c>
      <c r="CI138" s="1435" t="str">
        <f t="shared" si="71"/>
        <v xml:space="preserve">* La Población Migrante NO DEBE superar el Total. </v>
      </c>
      <c r="DB138" s="1436" t="e">
        <f t="shared" si="86"/>
        <v>#VALUE!</v>
      </c>
      <c r="DC138" s="1436" t="e">
        <f t="shared" si="77"/>
        <v>#VALUE!</v>
      </c>
      <c r="DD138" s="1436">
        <f t="shared" si="81"/>
        <v>1</v>
      </c>
      <c r="DE138" s="1436">
        <f t="shared" si="78"/>
        <v>1</v>
      </c>
      <c r="DF138" s="1436">
        <f t="shared" si="82"/>
        <v>1</v>
      </c>
      <c r="DG138" s="1436">
        <f t="shared" si="83"/>
        <v>1</v>
      </c>
      <c r="DH138" s="1436">
        <f t="shared" si="84"/>
        <v>1</v>
      </c>
      <c r="DI138" s="1436">
        <f t="shared" si="72"/>
        <v>1</v>
      </c>
    </row>
    <row r="139" spans="1:113" ht="16.350000000000001" customHeight="1" x14ac:dyDescent="0.25">
      <c r="A139" s="7520" t="s">
        <v>5204</v>
      </c>
      <c r="B139" s="9829" t="s">
        <v>1127</v>
      </c>
      <c r="C139" s="9830"/>
      <c r="D139" s="9831"/>
      <c r="E139" s="4667" t="s">
        <v>5369</v>
      </c>
      <c r="F139" s="2923" t="s">
        <v>5370</v>
      </c>
      <c r="G139" s="1841" t="s">
        <v>5371</v>
      </c>
      <c r="H139" s="3185" t="s">
        <v>5372</v>
      </c>
      <c r="I139" s="2537" t="s">
        <v>5373</v>
      </c>
      <c r="J139" s="3185" t="s">
        <v>5374</v>
      </c>
      <c r="K139" s="3229" t="s">
        <v>5375</v>
      </c>
      <c r="L139" s="3185" t="s">
        <v>5376</v>
      </c>
      <c r="M139" s="1844" t="s">
        <v>5377</v>
      </c>
      <c r="N139" s="2822" t="s">
        <v>5378</v>
      </c>
      <c r="O139" s="1844" t="s">
        <v>5379</v>
      </c>
      <c r="P139" s="2852" t="s">
        <v>5380</v>
      </c>
      <c r="Q139" s="1844" t="s">
        <v>5381</v>
      </c>
      <c r="R139" s="2852" t="s">
        <v>5382</v>
      </c>
      <c r="S139" s="1844" t="s">
        <v>5383</v>
      </c>
      <c r="T139" s="2852" t="s">
        <v>5384</v>
      </c>
      <c r="U139" s="1844" t="s">
        <v>5385</v>
      </c>
      <c r="V139" s="2852" t="s">
        <v>5386</v>
      </c>
      <c r="W139" s="1844" t="s">
        <v>5387</v>
      </c>
      <c r="X139" s="2852" t="s">
        <v>5388</v>
      </c>
      <c r="Y139" s="1844" t="s">
        <v>5389</v>
      </c>
      <c r="Z139" s="2852" t="s">
        <v>5390</v>
      </c>
      <c r="AA139" s="1844" t="s">
        <v>5391</v>
      </c>
      <c r="AB139" s="2852" t="s">
        <v>5392</v>
      </c>
      <c r="AC139" s="1844" t="s">
        <v>5393</v>
      </c>
      <c r="AD139" s="2852" t="s">
        <v>5394</v>
      </c>
      <c r="AE139" s="1844" t="s">
        <v>5395</v>
      </c>
      <c r="AF139" s="2852" t="s">
        <v>5396</v>
      </c>
      <c r="AG139" s="1844" t="s">
        <v>5397</v>
      </c>
      <c r="AH139" s="2852" t="s">
        <v>5398</v>
      </c>
      <c r="AI139" s="1844" t="s">
        <v>5399</v>
      </c>
      <c r="AJ139" s="2852" t="s">
        <v>5400</v>
      </c>
      <c r="AK139" s="1844" t="s">
        <v>5401</v>
      </c>
      <c r="AL139" s="2852" t="s">
        <v>5402</v>
      </c>
      <c r="AM139" s="1844" t="s">
        <v>5403</v>
      </c>
      <c r="AN139" s="2852" t="s">
        <v>5404</v>
      </c>
      <c r="AO139" s="2957" t="s">
        <v>5405</v>
      </c>
      <c r="AP139" s="2826" t="s">
        <v>5406</v>
      </c>
      <c r="AQ139" s="3186" t="s">
        <v>5407</v>
      </c>
      <c r="AR139" s="3478" t="s">
        <v>5408</v>
      </c>
      <c r="AS139" s="3478" t="s">
        <v>5409</v>
      </c>
      <c r="AT139" s="3127" t="s">
        <v>5410</v>
      </c>
      <c r="AU139" s="2826" t="s">
        <v>5411</v>
      </c>
      <c r="AV139" s="2826" t="s">
        <v>5412</v>
      </c>
      <c r="AW139" s="2826" t="s">
        <v>5413</v>
      </c>
      <c r="AX139" s="2826" t="s">
        <v>5414</v>
      </c>
      <c r="AY139" s="1496" t="e">
        <f t="shared" si="68"/>
        <v>#VALUE!</v>
      </c>
      <c r="BW139" s="1430"/>
      <c r="BX139" s="1430"/>
      <c r="CB139" s="1435" t="e">
        <f t="shared" si="85"/>
        <v>#VALUE!</v>
      </c>
      <c r="CC139" s="1435" t="e">
        <f t="shared" si="75"/>
        <v>#VALUE!</v>
      </c>
      <c r="CD139" s="1435" t="str">
        <f t="shared" si="79"/>
        <v xml:space="preserve">* Las actividades de usuarios en situación de discapacidad NO DEBEN superar el total. </v>
      </c>
      <c r="CE139" s="1435" t="str">
        <f t="shared" si="76"/>
        <v xml:space="preserve">* Las Embarazadas NO DEBEN ser mayor al total de mujeres. </v>
      </c>
      <c r="CF139" s="1435" t="str">
        <f t="shared" si="80"/>
        <v xml:space="preserve">* El número de Beneficiarios NO DEBE ser mayor que el Total. </v>
      </c>
      <c r="CG139" s="1435" t="str">
        <f t="shared" si="69"/>
        <v xml:space="preserve">* La Población SENAME NO DEBE ser mayor al Total. </v>
      </c>
      <c r="CH139" s="1435" t="str">
        <f t="shared" si="70"/>
        <v xml:space="preserve">* La Población Mejor Niñez NO DEBE ser mayor al Total. </v>
      </c>
      <c r="CI139" s="1435" t="str">
        <f t="shared" si="71"/>
        <v xml:space="preserve">* La Población Migrante NO DEBE superar el Total. </v>
      </c>
      <c r="DB139" s="1436" t="e">
        <f t="shared" si="86"/>
        <v>#VALUE!</v>
      </c>
      <c r="DC139" s="1436" t="e">
        <f t="shared" si="77"/>
        <v>#VALUE!</v>
      </c>
      <c r="DD139" s="1436">
        <f t="shared" si="81"/>
        <v>1</v>
      </c>
      <c r="DE139" s="1436">
        <f t="shared" si="78"/>
        <v>1</v>
      </c>
      <c r="DF139" s="1436">
        <f t="shared" si="82"/>
        <v>1</v>
      </c>
      <c r="DG139" s="1436">
        <f t="shared" si="83"/>
        <v>1</v>
      </c>
      <c r="DH139" s="1436">
        <f t="shared" si="84"/>
        <v>1</v>
      </c>
      <c r="DI139" s="1436">
        <f t="shared" si="72"/>
        <v>1</v>
      </c>
    </row>
    <row r="140" spans="1:113" ht="16.350000000000001" customHeight="1" x14ac:dyDescent="0.25">
      <c r="A140" s="7520" t="s">
        <v>5205</v>
      </c>
      <c r="B140" s="9829" t="s">
        <v>2099</v>
      </c>
      <c r="C140" s="9830"/>
      <c r="D140" s="9831"/>
      <c r="E140" s="4667" t="s">
        <v>5369</v>
      </c>
      <c r="F140" s="2923" t="s">
        <v>5370</v>
      </c>
      <c r="G140" s="1841" t="s">
        <v>5371</v>
      </c>
      <c r="H140" s="3185" t="s">
        <v>5372</v>
      </c>
      <c r="I140" s="2537" t="s">
        <v>5373</v>
      </c>
      <c r="J140" s="3185" t="s">
        <v>5374</v>
      </c>
      <c r="K140" s="3229" t="s">
        <v>5375</v>
      </c>
      <c r="L140" s="3185" t="s">
        <v>5376</v>
      </c>
      <c r="M140" s="1844" t="s">
        <v>5377</v>
      </c>
      <c r="N140" s="2822" t="s">
        <v>5378</v>
      </c>
      <c r="O140" s="1844" t="s">
        <v>5379</v>
      </c>
      <c r="P140" s="2852" t="s">
        <v>5380</v>
      </c>
      <c r="Q140" s="1844" t="s">
        <v>5381</v>
      </c>
      <c r="R140" s="2852" t="s">
        <v>5382</v>
      </c>
      <c r="S140" s="1844" t="s">
        <v>5383</v>
      </c>
      <c r="T140" s="2852" t="s">
        <v>5384</v>
      </c>
      <c r="U140" s="1844" t="s">
        <v>5385</v>
      </c>
      <c r="V140" s="2852" t="s">
        <v>5386</v>
      </c>
      <c r="W140" s="1844" t="s">
        <v>5387</v>
      </c>
      <c r="X140" s="2852" t="s">
        <v>5388</v>
      </c>
      <c r="Y140" s="1844" t="s">
        <v>5389</v>
      </c>
      <c r="Z140" s="2852" t="s">
        <v>5390</v>
      </c>
      <c r="AA140" s="1844" t="s">
        <v>5391</v>
      </c>
      <c r="AB140" s="2852" t="s">
        <v>5392</v>
      </c>
      <c r="AC140" s="1844" t="s">
        <v>5393</v>
      </c>
      <c r="AD140" s="2852" t="s">
        <v>5394</v>
      </c>
      <c r="AE140" s="1844" t="s">
        <v>5395</v>
      </c>
      <c r="AF140" s="2852" t="s">
        <v>5396</v>
      </c>
      <c r="AG140" s="1844" t="s">
        <v>5397</v>
      </c>
      <c r="AH140" s="2852" t="s">
        <v>5398</v>
      </c>
      <c r="AI140" s="1844" t="s">
        <v>5399</v>
      </c>
      <c r="AJ140" s="2852" t="s">
        <v>5400</v>
      </c>
      <c r="AK140" s="1844" t="s">
        <v>5401</v>
      </c>
      <c r="AL140" s="2852" t="s">
        <v>5402</v>
      </c>
      <c r="AM140" s="1844" t="s">
        <v>5403</v>
      </c>
      <c r="AN140" s="2852" t="s">
        <v>5404</v>
      </c>
      <c r="AO140" s="2957" t="s">
        <v>5405</v>
      </c>
      <c r="AP140" s="2826" t="s">
        <v>5406</v>
      </c>
      <c r="AQ140" s="3186" t="s">
        <v>5407</v>
      </c>
      <c r="AR140" s="3478" t="s">
        <v>5408</v>
      </c>
      <c r="AS140" s="3478" t="s">
        <v>5409</v>
      </c>
      <c r="AT140" s="3127" t="s">
        <v>5410</v>
      </c>
      <c r="AU140" s="2826" t="s">
        <v>5411</v>
      </c>
      <c r="AV140" s="2826" t="s">
        <v>5412</v>
      </c>
      <c r="AW140" s="2826" t="s">
        <v>5413</v>
      </c>
      <c r="AX140" s="2826" t="s">
        <v>5414</v>
      </c>
      <c r="AY140" s="1496" t="e">
        <f t="shared" si="68"/>
        <v>#VALUE!</v>
      </c>
      <c r="BW140" s="1430"/>
      <c r="BX140" s="1430"/>
      <c r="CB140" s="1435" t="e">
        <f t="shared" si="85"/>
        <v>#VALUE!</v>
      </c>
      <c r="CC140" s="1435" t="e">
        <f t="shared" si="75"/>
        <v>#VALUE!</v>
      </c>
      <c r="CD140" s="1435" t="str">
        <f t="shared" si="79"/>
        <v xml:space="preserve">* Las actividades de usuarios en situación de discapacidad NO DEBEN superar el total. </v>
      </c>
      <c r="CE140" s="1435" t="str">
        <f t="shared" si="76"/>
        <v xml:space="preserve">* Las Embarazadas NO DEBEN ser mayor al total de mujeres. </v>
      </c>
      <c r="CF140" s="1435" t="str">
        <f t="shared" si="80"/>
        <v xml:space="preserve">* El número de Beneficiarios NO DEBE ser mayor que el Total. </v>
      </c>
      <c r="CG140" s="1435" t="str">
        <f t="shared" si="69"/>
        <v xml:space="preserve">* La Población SENAME NO DEBE ser mayor al Total. </v>
      </c>
      <c r="CH140" s="1435" t="str">
        <f t="shared" si="70"/>
        <v xml:space="preserve">* La Población Mejor Niñez NO DEBE ser mayor al Total. </v>
      </c>
      <c r="CI140" s="1435" t="str">
        <f t="shared" si="71"/>
        <v xml:space="preserve">* La Población Migrante NO DEBE superar el Total. </v>
      </c>
      <c r="DB140" s="1436" t="e">
        <f t="shared" si="86"/>
        <v>#VALUE!</v>
      </c>
      <c r="DC140" s="1436" t="e">
        <f t="shared" si="77"/>
        <v>#VALUE!</v>
      </c>
      <c r="DD140" s="1436">
        <f t="shared" si="81"/>
        <v>1</v>
      </c>
      <c r="DE140" s="1436">
        <f t="shared" si="78"/>
        <v>1</v>
      </c>
      <c r="DF140" s="1436">
        <f t="shared" si="82"/>
        <v>1</v>
      </c>
      <c r="DG140" s="1436">
        <f t="shared" si="83"/>
        <v>1</v>
      </c>
      <c r="DH140" s="1436">
        <f t="shared" si="84"/>
        <v>1</v>
      </c>
      <c r="DI140" s="1436">
        <f t="shared" si="72"/>
        <v>1</v>
      </c>
    </row>
    <row r="141" spans="1:113" ht="16.350000000000001" customHeight="1" x14ac:dyDescent="0.25">
      <c r="A141" s="7520" t="s">
        <v>5206</v>
      </c>
      <c r="B141" s="9829" t="s">
        <v>1126</v>
      </c>
      <c r="C141" s="9830"/>
      <c r="D141" s="9831"/>
      <c r="E141" s="4667" t="s">
        <v>5369</v>
      </c>
      <c r="F141" s="2923" t="s">
        <v>5370</v>
      </c>
      <c r="G141" s="1841" t="s">
        <v>5371</v>
      </c>
      <c r="H141" s="3313" t="s">
        <v>5372</v>
      </c>
      <c r="I141" s="1938" t="s">
        <v>5373</v>
      </c>
      <c r="J141" s="3313" t="s">
        <v>5374</v>
      </c>
      <c r="K141" s="1859" t="s">
        <v>5375</v>
      </c>
      <c r="L141" s="2822" t="s">
        <v>5376</v>
      </c>
      <c r="M141" s="1844" t="s">
        <v>5377</v>
      </c>
      <c r="N141" s="2822" t="s">
        <v>5378</v>
      </c>
      <c r="O141" s="1844" t="s">
        <v>5379</v>
      </c>
      <c r="P141" s="2852" t="s">
        <v>5380</v>
      </c>
      <c r="Q141" s="1844" t="s">
        <v>5381</v>
      </c>
      <c r="R141" s="2852" t="s">
        <v>5382</v>
      </c>
      <c r="S141" s="1844" t="s">
        <v>5383</v>
      </c>
      <c r="T141" s="2852" t="s">
        <v>5384</v>
      </c>
      <c r="U141" s="1844" t="s">
        <v>5385</v>
      </c>
      <c r="V141" s="2852" t="s">
        <v>5386</v>
      </c>
      <c r="W141" s="1844" t="s">
        <v>5387</v>
      </c>
      <c r="X141" s="2852" t="s">
        <v>5388</v>
      </c>
      <c r="Y141" s="1844" t="s">
        <v>5389</v>
      </c>
      <c r="Z141" s="2852" t="s">
        <v>5390</v>
      </c>
      <c r="AA141" s="1844" t="s">
        <v>5391</v>
      </c>
      <c r="AB141" s="2852" t="s">
        <v>5392</v>
      </c>
      <c r="AC141" s="1844" t="s">
        <v>5393</v>
      </c>
      <c r="AD141" s="2852" t="s">
        <v>5394</v>
      </c>
      <c r="AE141" s="1844" t="s">
        <v>5395</v>
      </c>
      <c r="AF141" s="2852" t="s">
        <v>5396</v>
      </c>
      <c r="AG141" s="1844" t="s">
        <v>5397</v>
      </c>
      <c r="AH141" s="2852" t="s">
        <v>5398</v>
      </c>
      <c r="AI141" s="1844" t="s">
        <v>5399</v>
      </c>
      <c r="AJ141" s="2852" t="s">
        <v>5400</v>
      </c>
      <c r="AK141" s="1844" t="s">
        <v>5401</v>
      </c>
      <c r="AL141" s="2852" t="s">
        <v>5402</v>
      </c>
      <c r="AM141" s="1844" t="s">
        <v>5403</v>
      </c>
      <c r="AN141" s="2852" t="s">
        <v>5404</v>
      </c>
      <c r="AO141" s="2957" t="s">
        <v>5405</v>
      </c>
      <c r="AP141" s="2826" t="s">
        <v>5406</v>
      </c>
      <c r="AQ141" s="2826" t="s">
        <v>5407</v>
      </c>
      <c r="AR141" s="3478" t="s">
        <v>5408</v>
      </c>
      <c r="AS141" s="3478" t="s">
        <v>5409</v>
      </c>
      <c r="AT141" s="3478" t="s">
        <v>5410</v>
      </c>
      <c r="AU141" s="2826" t="s">
        <v>5411</v>
      </c>
      <c r="AV141" s="2826" t="s">
        <v>5412</v>
      </c>
      <c r="AW141" s="2826" t="s">
        <v>5413</v>
      </c>
      <c r="AX141" s="2826" t="s">
        <v>5414</v>
      </c>
      <c r="AY141" s="1496" t="e">
        <f t="shared" si="68"/>
        <v>#VALUE!</v>
      </c>
      <c r="BW141" s="1430"/>
      <c r="BX141" s="1430"/>
      <c r="CB141" s="1435" t="e">
        <f t="shared" si="85"/>
        <v>#VALUE!</v>
      </c>
      <c r="CC141" s="1435" t="e">
        <f t="shared" si="75"/>
        <v>#VALUE!</v>
      </c>
      <c r="CD141" s="1435" t="str">
        <f t="shared" si="79"/>
        <v xml:space="preserve">* Las actividades de usuarios en situación de discapacidad NO DEBEN superar el total. </v>
      </c>
      <c r="CE141" s="1435" t="str">
        <f t="shared" si="76"/>
        <v xml:space="preserve">* Las Embarazadas NO DEBEN ser mayor al total de mujeres. </v>
      </c>
      <c r="CF141" s="1435" t="str">
        <f t="shared" si="80"/>
        <v xml:space="preserve">* El número de Beneficiarios NO DEBE ser mayor que el Total. </v>
      </c>
      <c r="CG141" s="1435" t="str">
        <f t="shared" si="69"/>
        <v xml:space="preserve">* La Población SENAME NO DEBE ser mayor al Total. </v>
      </c>
      <c r="CH141" s="1435" t="str">
        <f t="shared" si="70"/>
        <v xml:space="preserve">* La Población Mejor Niñez NO DEBE ser mayor al Total. </v>
      </c>
      <c r="CI141" s="1435" t="str">
        <f t="shared" si="71"/>
        <v xml:space="preserve">* La Población Migrante NO DEBE superar el Total. </v>
      </c>
      <c r="DB141" s="1436" t="e">
        <f t="shared" si="86"/>
        <v>#VALUE!</v>
      </c>
      <c r="DC141" s="1436" t="e">
        <f t="shared" si="77"/>
        <v>#VALUE!</v>
      </c>
      <c r="DD141" s="1436">
        <f t="shared" si="81"/>
        <v>1</v>
      </c>
      <c r="DE141" s="1436">
        <f t="shared" si="78"/>
        <v>1</v>
      </c>
      <c r="DF141" s="1436">
        <f t="shared" si="82"/>
        <v>1</v>
      </c>
      <c r="DG141" s="1436">
        <f t="shared" si="83"/>
        <v>1</v>
      </c>
      <c r="DH141" s="1436">
        <f t="shared" si="84"/>
        <v>1</v>
      </c>
      <c r="DI141" s="1436">
        <f t="shared" si="72"/>
        <v>1</v>
      </c>
    </row>
    <row r="142" spans="1:113" ht="16.350000000000001" customHeight="1" x14ac:dyDescent="0.25">
      <c r="A142" s="7520" t="s">
        <v>5207</v>
      </c>
      <c r="B142" s="9840" t="s">
        <v>2149</v>
      </c>
      <c r="C142" s="9841"/>
      <c r="D142" s="9842"/>
      <c r="E142" s="4676" t="s">
        <v>5369</v>
      </c>
      <c r="F142" s="2745" t="s">
        <v>5370</v>
      </c>
      <c r="G142" s="2835" t="s">
        <v>5371</v>
      </c>
      <c r="H142" s="3561" t="s">
        <v>5372</v>
      </c>
      <c r="I142" s="3562" t="s">
        <v>5373</v>
      </c>
      <c r="J142" s="3561" t="s">
        <v>5374</v>
      </c>
      <c r="K142" s="2444" t="s">
        <v>5375</v>
      </c>
      <c r="L142" s="3297" t="s">
        <v>5376</v>
      </c>
      <c r="M142" s="2821" t="s">
        <v>5377</v>
      </c>
      <c r="N142" s="3158" t="s">
        <v>5378</v>
      </c>
      <c r="O142" s="2821" t="s">
        <v>5379</v>
      </c>
      <c r="P142" s="2477" t="s">
        <v>5380</v>
      </c>
      <c r="Q142" s="2821" t="s">
        <v>5381</v>
      </c>
      <c r="R142" s="2477" t="s">
        <v>5382</v>
      </c>
      <c r="S142" s="2821" t="s">
        <v>5383</v>
      </c>
      <c r="T142" s="2477" t="s">
        <v>5384</v>
      </c>
      <c r="U142" s="2821" t="s">
        <v>5385</v>
      </c>
      <c r="V142" s="2477" t="s">
        <v>5386</v>
      </c>
      <c r="W142" s="2821" t="s">
        <v>5387</v>
      </c>
      <c r="X142" s="2477" t="s">
        <v>5388</v>
      </c>
      <c r="Y142" s="2821" t="s">
        <v>5389</v>
      </c>
      <c r="Z142" s="2477" t="s">
        <v>5390</v>
      </c>
      <c r="AA142" s="2821" t="s">
        <v>5391</v>
      </c>
      <c r="AB142" s="2477" t="s">
        <v>5392</v>
      </c>
      <c r="AC142" s="2821" t="s">
        <v>5393</v>
      </c>
      <c r="AD142" s="2477" t="s">
        <v>5394</v>
      </c>
      <c r="AE142" s="2821" t="s">
        <v>5395</v>
      </c>
      <c r="AF142" s="2477" t="s">
        <v>5396</v>
      </c>
      <c r="AG142" s="2821" t="s">
        <v>5397</v>
      </c>
      <c r="AH142" s="2477" t="s">
        <v>5398</v>
      </c>
      <c r="AI142" s="2821" t="s">
        <v>5399</v>
      </c>
      <c r="AJ142" s="2477" t="s">
        <v>5400</v>
      </c>
      <c r="AK142" s="2821" t="s">
        <v>5401</v>
      </c>
      <c r="AL142" s="2477" t="s">
        <v>5402</v>
      </c>
      <c r="AM142" s="2821" t="s">
        <v>5403</v>
      </c>
      <c r="AN142" s="2477" t="s">
        <v>5404</v>
      </c>
      <c r="AO142" s="2830" t="s">
        <v>5405</v>
      </c>
      <c r="AP142" s="3159" t="s">
        <v>5406</v>
      </c>
      <c r="AQ142" s="2826" t="s">
        <v>5407</v>
      </c>
      <c r="AR142" s="3478" t="s">
        <v>5408</v>
      </c>
      <c r="AS142" s="3478" t="s">
        <v>5409</v>
      </c>
      <c r="AT142" s="3478" t="s">
        <v>5410</v>
      </c>
      <c r="AU142" s="2826" t="s">
        <v>5411</v>
      </c>
      <c r="AV142" s="1150" t="s">
        <v>5412</v>
      </c>
      <c r="AW142" s="1150" t="s">
        <v>5413</v>
      </c>
      <c r="AX142" s="1150" t="s">
        <v>5414</v>
      </c>
      <c r="AY142" s="1496" t="e">
        <f t="shared" si="68"/>
        <v>#VALUE!</v>
      </c>
      <c r="BW142" s="1430"/>
      <c r="BX142" s="1430"/>
      <c r="CB142" s="1435" t="e">
        <f t="shared" si="85"/>
        <v>#VALUE!</v>
      </c>
      <c r="CC142" s="1435" t="e">
        <f t="shared" si="75"/>
        <v>#VALUE!</v>
      </c>
      <c r="CD142" s="1435" t="str">
        <f t="shared" si="79"/>
        <v xml:space="preserve">* Las actividades de usuarios en situación de discapacidad NO DEBEN superar el total. </v>
      </c>
      <c r="CE142" s="1435" t="str">
        <f t="shared" si="76"/>
        <v xml:space="preserve">* Las Embarazadas NO DEBEN ser mayor al total de mujeres. </v>
      </c>
      <c r="CF142" s="1435" t="str">
        <f t="shared" si="80"/>
        <v xml:space="preserve">* El número de Beneficiarios NO DEBE ser mayor que el Total. </v>
      </c>
      <c r="CG142" s="1435" t="str">
        <f t="shared" si="69"/>
        <v xml:space="preserve">* La Población SENAME NO DEBE ser mayor al Total. </v>
      </c>
      <c r="CH142" s="1435" t="str">
        <f t="shared" si="70"/>
        <v xml:space="preserve">* La Población Mejor Niñez NO DEBE ser mayor al Total. </v>
      </c>
      <c r="CI142" s="1435" t="str">
        <f t="shared" si="71"/>
        <v xml:space="preserve">* La Población Migrante NO DEBE superar el Total. </v>
      </c>
      <c r="DB142" s="1436" t="e">
        <f t="shared" si="86"/>
        <v>#VALUE!</v>
      </c>
      <c r="DC142" s="1436" t="e">
        <f t="shared" si="77"/>
        <v>#VALUE!</v>
      </c>
      <c r="DD142" s="1436">
        <f t="shared" si="81"/>
        <v>1</v>
      </c>
      <c r="DE142" s="1436">
        <f t="shared" si="78"/>
        <v>1</v>
      </c>
      <c r="DF142" s="1436">
        <f t="shared" si="82"/>
        <v>1</v>
      </c>
      <c r="DG142" s="1436">
        <f t="shared" si="83"/>
        <v>1</v>
      </c>
      <c r="DH142" s="1436">
        <f t="shared" si="84"/>
        <v>1</v>
      </c>
      <c r="DI142" s="1436">
        <f t="shared" si="72"/>
        <v>1</v>
      </c>
    </row>
    <row r="143" spans="1:113" ht="16.350000000000001" customHeight="1" x14ac:dyDescent="0.25">
      <c r="A143" s="7267"/>
      <c r="B143" s="9747" t="s">
        <v>24</v>
      </c>
      <c r="C143" s="9749"/>
      <c r="D143" s="9748"/>
      <c r="E143" s="4677">
        <f t="shared" ref="E143" si="87">SUM(F143:G143)</f>
        <v>0</v>
      </c>
      <c r="F143" s="4570">
        <f t="shared" ref="F143" si="88">SUM(H143+J143+L143+N143+P143+R143+T143+V143+X143+Z143+AB143+AD143+AF143+AH143+AJ143+AL143+AN143)</f>
        <v>0</v>
      </c>
      <c r="G143" s="3795">
        <f t="shared" ref="G143" si="89">SUM(I143+K143+M143+O143+Q143+S143+U143+W143+Y143+AA143+AC143+AE143+AG143+AI143+AK143+AM143+AO143)</f>
        <v>0</v>
      </c>
      <c r="H143" s="4677">
        <f t="shared" ref="H143:AX143" si="90">SUM(H90:H142)</f>
        <v>0</v>
      </c>
      <c r="I143" s="4678">
        <f t="shared" si="90"/>
        <v>0</v>
      </c>
      <c r="J143" s="4677">
        <f t="shared" si="90"/>
        <v>0</v>
      </c>
      <c r="K143" s="4679">
        <f t="shared" si="90"/>
        <v>0</v>
      </c>
      <c r="L143" s="4677">
        <f t="shared" si="90"/>
        <v>0</v>
      </c>
      <c r="M143" s="4678">
        <f t="shared" si="90"/>
        <v>0</v>
      </c>
      <c r="N143" s="4680">
        <f t="shared" si="90"/>
        <v>0</v>
      </c>
      <c r="O143" s="4681">
        <f t="shared" si="90"/>
        <v>0</v>
      </c>
      <c r="P143" s="4682">
        <f t="shared" si="90"/>
        <v>0</v>
      </c>
      <c r="Q143" s="4681">
        <f t="shared" si="90"/>
        <v>0</v>
      </c>
      <c r="R143" s="4682">
        <f t="shared" si="90"/>
        <v>0</v>
      </c>
      <c r="S143" s="4681">
        <f t="shared" si="90"/>
        <v>0</v>
      </c>
      <c r="T143" s="4682">
        <f t="shared" si="90"/>
        <v>0</v>
      </c>
      <c r="U143" s="4681">
        <f t="shared" si="90"/>
        <v>0</v>
      </c>
      <c r="V143" s="4682">
        <f t="shared" si="90"/>
        <v>0</v>
      </c>
      <c r="W143" s="4681">
        <f t="shared" si="90"/>
        <v>0</v>
      </c>
      <c r="X143" s="4682">
        <f t="shared" si="90"/>
        <v>0</v>
      </c>
      <c r="Y143" s="4681">
        <f t="shared" si="90"/>
        <v>0</v>
      </c>
      <c r="Z143" s="4682">
        <f t="shared" si="90"/>
        <v>0</v>
      </c>
      <c r="AA143" s="4681">
        <f t="shared" si="90"/>
        <v>0</v>
      </c>
      <c r="AB143" s="4682">
        <f t="shared" si="90"/>
        <v>0</v>
      </c>
      <c r="AC143" s="4681">
        <f t="shared" si="90"/>
        <v>0</v>
      </c>
      <c r="AD143" s="4682">
        <f t="shared" si="90"/>
        <v>0</v>
      </c>
      <c r="AE143" s="4681">
        <f t="shared" si="90"/>
        <v>0</v>
      </c>
      <c r="AF143" s="4682">
        <f t="shared" si="90"/>
        <v>0</v>
      </c>
      <c r="AG143" s="4681">
        <f t="shared" si="90"/>
        <v>0</v>
      </c>
      <c r="AH143" s="4682">
        <f t="shared" si="90"/>
        <v>0</v>
      </c>
      <c r="AI143" s="4681">
        <f t="shared" si="90"/>
        <v>0</v>
      </c>
      <c r="AJ143" s="4682">
        <f t="shared" si="90"/>
        <v>0</v>
      </c>
      <c r="AK143" s="4681">
        <f t="shared" si="90"/>
        <v>0</v>
      </c>
      <c r="AL143" s="4682">
        <f t="shared" si="90"/>
        <v>0</v>
      </c>
      <c r="AM143" s="4681">
        <f t="shared" si="90"/>
        <v>0</v>
      </c>
      <c r="AN143" s="4682">
        <f t="shared" si="90"/>
        <v>0</v>
      </c>
      <c r="AO143" s="4683">
        <f t="shared" si="90"/>
        <v>0</v>
      </c>
      <c r="AP143" s="4684">
        <f t="shared" si="90"/>
        <v>0</v>
      </c>
      <c r="AQ143" s="4685">
        <f t="shared" si="90"/>
        <v>0</v>
      </c>
      <c r="AR143" s="4685">
        <f t="shared" si="90"/>
        <v>0</v>
      </c>
      <c r="AS143" s="4685">
        <f t="shared" si="90"/>
        <v>0</v>
      </c>
      <c r="AT143" s="4685">
        <f t="shared" si="90"/>
        <v>0</v>
      </c>
      <c r="AU143" s="4685">
        <f t="shared" si="90"/>
        <v>0</v>
      </c>
      <c r="AV143" s="4685">
        <f t="shared" si="90"/>
        <v>0</v>
      </c>
      <c r="AW143" s="4685">
        <f t="shared" si="90"/>
        <v>0</v>
      </c>
      <c r="AX143" s="4685">
        <f t="shared" si="90"/>
        <v>0</v>
      </c>
      <c r="BW143" s="1430"/>
      <c r="BX143" s="1430"/>
      <c r="CB143" s="1435"/>
      <c r="CC143" s="1435"/>
      <c r="CD143" s="1435"/>
      <c r="CE143" s="1435"/>
      <c r="CF143" s="1435"/>
      <c r="CG143" s="1435"/>
      <c r="CH143" s="1435"/>
      <c r="DB143" s="1436"/>
      <c r="DC143" s="1436"/>
      <c r="DD143" s="1436"/>
      <c r="DE143" s="1436"/>
      <c r="DF143" s="1436"/>
      <c r="DG143" s="1436"/>
      <c r="DH143" s="1436"/>
    </row>
    <row r="144" spans="1:113" ht="24" customHeight="1" x14ac:dyDescent="0.25">
      <c r="B144" s="133" t="s">
        <v>2135</v>
      </c>
      <c r="C144" s="301"/>
      <c r="D144" s="301"/>
      <c r="BX144" s="1430"/>
      <c r="BY144" s="1430"/>
      <c r="DB144" s="1432"/>
      <c r="DC144" s="1432"/>
      <c r="DD144" s="1432"/>
      <c r="DE144" s="1432"/>
      <c r="DF144" s="1432"/>
      <c r="DG144" s="1432"/>
      <c r="DH144" s="1432"/>
    </row>
    <row r="145" spans="1:112" ht="33" customHeight="1" x14ac:dyDescent="0.25">
      <c r="B145" s="9843" t="s">
        <v>1125</v>
      </c>
      <c r="C145" s="9843"/>
      <c r="D145" s="9843"/>
      <c r="E145" s="9783" t="s">
        <v>24</v>
      </c>
      <c r="F145" s="9533"/>
      <c r="G145" s="9575"/>
      <c r="H145" s="9747" t="s">
        <v>1063</v>
      </c>
      <c r="I145" s="9749"/>
      <c r="J145" s="9749"/>
      <c r="K145" s="9749"/>
      <c r="L145" s="9749"/>
      <c r="M145" s="9749"/>
      <c r="N145" s="9749"/>
      <c r="O145" s="9749"/>
      <c r="P145" s="9749"/>
      <c r="Q145" s="9749"/>
      <c r="R145" s="9749"/>
      <c r="S145" s="9749"/>
      <c r="T145" s="9749"/>
      <c r="U145" s="9749"/>
      <c r="V145" s="9749"/>
      <c r="W145" s="9749"/>
      <c r="X145" s="9749"/>
      <c r="Y145" s="9749"/>
      <c r="Z145" s="9749"/>
      <c r="AA145" s="9749"/>
      <c r="AB145" s="9749"/>
      <c r="AC145" s="9749"/>
      <c r="AD145" s="9749"/>
      <c r="AE145" s="9749"/>
      <c r="AF145" s="9749"/>
      <c r="AG145" s="9749"/>
      <c r="AH145" s="9749"/>
      <c r="AI145" s="9749"/>
      <c r="AJ145" s="9749"/>
      <c r="AK145" s="9749"/>
      <c r="AL145" s="9749"/>
      <c r="AM145" s="9749"/>
      <c r="AN145" s="9749"/>
      <c r="AO145" s="9749"/>
      <c r="AP145" s="9749"/>
      <c r="AQ145" s="9786"/>
      <c r="AR145" s="9748" t="s">
        <v>2534</v>
      </c>
      <c r="AS145" s="9752" t="s">
        <v>112</v>
      </c>
      <c r="AT145" s="9752" t="s">
        <v>2533</v>
      </c>
      <c r="AU145" s="9752" t="s">
        <v>1738</v>
      </c>
      <c r="AV145" s="9821" t="s">
        <v>2554</v>
      </c>
      <c r="AW145" s="9821" t="s">
        <v>3005</v>
      </c>
      <c r="AX145" s="9821" t="s">
        <v>2694</v>
      </c>
      <c r="AY145" s="9821" t="s">
        <v>361</v>
      </c>
      <c r="BW145" s="1430"/>
      <c r="BX145" s="1430"/>
      <c r="DB145" s="1432"/>
      <c r="DC145" s="1432"/>
      <c r="DD145" s="1432"/>
      <c r="DE145" s="1432"/>
      <c r="DF145" s="1432"/>
      <c r="DG145" s="1432"/>
      <c r="DH145" s="1432"/>
    </row>
    <row r="146" spans="1:112" ht="37.5" customHeight="1" x14ac:dyDescent="0.25">
      <c r="B146" s="9843"/>
      <c r="C146" s="9843"/>
      <c r="D146" s="9843"/>
      <c r="E146" s="9809"/>
      <c r="F146" s="9670"/>
      <c r="G146" s="8953"/>
      <c r="H146" s="9745" t="s">
        <v>3662</v>
      </c>
      <c r="I146" s="9746"/>
      <c r="J146" s="9747" t="s">
        <v>1079</v>
      </c>
      <c r="K146" s="9748"/>
      <c r="L146" s="9749" t="s">
        <v>1078</v>
      </c>
      <c r="M146" s="9748"/>
      <c r="N146" s="9747" t="s">
        <v>3663</v>
      </c>
      <c r="O146" s="9748"/>
      <c r="P146" s="9747" t="s">
        <v>1077</v>
      </c>
      <c r="Q146" s="9748"/>
      <c r="R146" s="9747" t="s">
        <v>1076</v>
      </c>
      <c r="S146" s="9748"/>
      <c r="T146" s="9747" t="s">
        <v>1047</v>
      </c>
      <c r="U146" s="9748"/>
      <c r="V146" s="9747" t="s">
        <v>1046</v>
      </c>
      <c r="W146" s="9748"/>
      <c r="X146" s="9747" t="s">
        <v>3664</v>
      </c>
      <c r="Y146" s="9748"/>
      <c r="Z146" s="9747" t="s">
        <v>48</v>
      </c>
      <c r="AA146" s="9750"/>
      <c r="AB146" s="9747" t="s">
        <v>49</v>
      </c>
      <c r="AC146" s="9750"/>
      <c r="AD146" s="9747" t="s">
        <v>3731</v>
      </c>
      <c r="AE146" s="9750"/>
      <c r="AF146" s="9747" t="s">
        <v>3732</v>
      </c>
      <c r="AG146" s="9750"/>
      <c r="AH146" s="9747" t="s">
        <v>3733</v>
      </c>
      <c r="AI146" s="9750"/>
      <c r="AJ146" s="9747" t="s">
        <v>3734</v>
      </c>
      <c r="AK146" s="9750"/>
      <c r="AL146" s="9747" t="s">
        <v>2132</v>
      </c>
      <c r="AM146" s="9750"/>
      <c r="AN146" s="9747" t="s">
        <v>2133</v>
      </c>
      <c r="AO146" s="9750"/>
      <c r="AP146" s="9747" t="s">
        <v>2131</v>
      </c>
      <c r="AQ146" s="9751"/>
      <c r="AR146" s="9748"/>
      <c r="AS146" s="9752"/>
      <c r="AT146" s="9752"/>
      <c r="AU146" s="9752"/>
      <c r="AV146" s="9821"/>
      <c r="AW146" s="9821"/>
      <c r="AX146" s="9821"/>
      <c r="AY146" s="9821"/>
      <c r="BW146" s="1430"/>
      <c r="BX146" s="1430"/>
      <c r="DB146" s="1432"/>
      <c r="DC146" s="1432"/>
      <c r="DD146" s="1432"/>
      <c r="DE146" s="1432"/>
      <c r="DF146" s="1432"/>
      <c r="DG146" s="1432"/>
      <c r="DH146" s="1432"/>
    </row>
    <row r="147" spans="1:112" ht="45.75" customHeight="1" x14ac:dyDescent="0.25">
      <c r="B147" s="9843"/>
      <c r="C147" s="9843"/>
      <c r="D147" s="9843"/>
      <c r="E147" s="4545" t="s">
        <v>2054</v>
      </c>
      <c r="F147" s="3673" t="s">
        <v>17</v>
      </c>
      <c r="G147" s="4545" t="s">
        <v>18</v>
      </c>
      <c r="H147" s="3673" t="s">
        <v>17</v>
      </c>
      <c r="I147" s="4545" t="s">
        <v>18</v>
      </c>
      <c r="J147" s="3673" t="s">
        <v>17</v>
      </c>
      <c r="K147" s="4545" t="s">
        <v>18</v>
      </c>
      <c r="L147" s="3673" t="s">
        <v>17</v>
      </c>
      <c r="M147" s="4545" t="s">
        <v>18</v>
      </c>
      <c r="N147" s="3673" t="s">
        <v>17</v>
      </c>
      <c r="O147" s="4545" t="s">
        <v>18</v>
      </c>
      <c r="P147" s="3673" t="s">
        <v>17</v>
      </c>
      <c r="Q147" s="4545" t="s">
        <v>18</v>
      </c>
      <c r="R147" s="3673" t="s">
        <v>17</v>
      </c>
      <c r="S147" s="4545" t="s">
        <v>18</v>
      </c>
      <c r="T147" s="3673" t="s">
        <v>17</v>
      </c>
      <c r="U147" s="4545" t="s">
        <v>18</v>
      </c>
      <c r="V147" s="3673" t="s">
        <v>17</v>
      </c>
      <c r="W147" s="4545" t="s">
        <v>18</v>
      </c>
      <c r="X147" s="3673" t="s">
        <v>17</v>
      </c>
      <c r="Y147" s="4545" t="s">
        <v>18</v>
      </c>
      <c r="Z147" s="3673" t="s">
        <v>17</v>
      </c>
      <c r="AA147" s="4545" t="s">
        <v>18</v>
      </c>
      <c r="AB147" s="3673" t="s">
        <v>17</v>
      </c>
      <c r="AC147" s="4545" t="s">
        <v>18</v>
      </c>
      <c r="AD147" s="3673" t="s">
        <v>17</v>
      </c>
      <c r="AE147" s="4545" t="s">
        <v>18</v>
      </c>
      <c r="AF147" s="3673" t="s">
        <v>17</v>
      </c>
      <c r="AG147" s="4545" t="s">
        <v>18</v>
      </c>
      <c r="AH147" s="3673" t="s">
        <v>17</v>
      </c>
      <c r="AI147" s="4545" t="s">
        <v>18</v>
      </c>
      <c r="AJ147" s="3673" t="s">
        <v>17</v>
      </c>
      <c r="AK147" s="4545" t="s">
        <v>18</v>
      </c>
      <c r="AL147" s="3673" t="s">
        <v>17</v>
      </c>
      <c r="AM147" s="4545" t="s">
        <v>18</v>
      </c>
      <c r="AN147" s="3673" t="s">
        <v>17</v>
      </c>
      <c r="AO147" s="4545" t="s">
        <v>18</v>
      </c>
      <c r="AP147" s="3673" t="s">
        <v>17</v>
      </c>
      <c r="AQ147" s="4546" t="s">
        <v>18</v>
      </c>
      <c r="AR147" s="9748"/>
      <c r="AS147" s="9752"/>
      <c r="AT147" s="9752"/>
      <c r="AU147" s="9752"/>
      <c r="AV147" s="9821"/>
      <c r="AW147" s="9821"/>
      <c r="AX147" s="9821"/>
      <c r="AY147" s="9821"/>
      <c r="BW147" s="1430"/>
      <c r="BX147" s="1430"/>
      <c r="CB147" s="1435"/>
      <c r="CC147" s="1435"/>
      <c r="CD147" s="1435"/>
      <c r="CE147" s="1435"/>
      <c r="DB147" s="1436"/>
      <c r="DC147" s="1436"/>
      <c r="DD147" s="1436"/>
      <c r="DE147" s="1436"/>
      <c r="DF147" s="1429"/>
      <c r="DG147" s="1432"/>
      <c r="DH147" s="1432"/>
    </row>
    <row r="148" spans="1:112" ht="16.350000000000001" customHeight="1" x14ac:dyDescent="0.25">
      <c r="A148" s="7520" t="s">
        <v>5208</v>
      </c>
      <c r="B148" s="9852" t="s">
        <v>2139</v>
      </c>
      <c r="C148" s="9853"/>
      <c r="D148" s="9854"/>
      <c r="E148" s="4686" t="s">
        <v>5369</v>
      </c>
      <c r="F148" s="4547" t="s">
        <v>5370</v>
      </c>
      <c r="G148" s="4549" t="s">
        <v>5371</v>
      </c>
      <c r="H148" s="4550" t="s">
        <v>5372</v>
      </c>
      <c r="I148" s="4560" t="s">
        <v>5373</v>
      </c>
      <c r="J148" s="4500" t="s">
        <v>5374</v>
      </c>
      <c r="K148" s="4560" t="s">
        <v>5375</v>
      </c>
      <c r="L148" s="4500" t="s">
        <v>5376</v>
      </c>
      <c r="M148" s="4560" t="s">
        <v>5377</v>
      </c>
      <c r="N148" s="4500" t="s">
        <v>5378</v>
      </c>
      <c r="O148" s="4560" t="s">
        <v>5379</v>
      </c>
      <c r="P148" s="4687" t="s">
        <v>5380</v>
      </c>
      <c r="Q148" s="4560" t="s">
        <v>5381</v>
      </c>
      <c r="R148" s="4687" t="s">
        <v>5382</v>
      </c>
      <c r="S148" s="4560" t="s">
        <v>5383</v>
      </c>
      <c r="T148" s="4687" t="s">
        <v>5384</v>
      </c>
      <c r="U148" s="4560" t="s">
        <v>5385</v>
      </c>
      <c r="V148" s="4500" t="s">
        <v>5386</v>
      </c>
      <c r="W148" s="4560" t="s">
        <v>5387</v>
      </c>
      <c r="X148" s="4500" t="s">
        <v>5388</v>
      </c>
      <c r="Y148" s="4560" t="s">
        <v>5389</v>
      </c>
      <c r="Z148" s="4500" t="s">
        <v>5390</v>
      </c>
      <c r="AA148" s="4560" t="s">
        <v>5391</v>
      </c>
      <c r="AB148" s="4500" t="s">
        <v>5392</v>
      </c>
      <c r="AC148" s="4560" t="s">
        <v>5393</v>
      </c>
      <c r="AD148" s="4500" t="s">
        <v>5394</v>
      </c>
      <c r="AE148" s="4560" t="s">
        <v>5395</v>
      </c>
      <c r="AF148" s="4500" t="s">
        <v>5396</v>
      </c>
      <c r="AG148" s="4560" t="s">
        <v>5397</v>
      </c>
      <c r="AH148" s="4500" t="s">
        <v>5398</v>
      </c>
      <c r="AI148" s="4560" t="s">
        <v>5399</v>
      </c>
      <c r="AJ148" s="4500" t="s">
        <v>5400</v>
      </c>
      <c r="AK148" s="4560" t="s">
        <v>5401</v>
      </c>
      <c r="AL148" s="4500" t="s">
        <v>5402</v>
      </c>
      <c r="AM148" s="4560" t="s">
        <v>5403</v>
      </c>
      <c r="AN148" s="4500" t="s">
        <v>5404</v>
      </c>
      <c r="AO148" s="4560" t="s">
        <v>5405</v>
      </c>
      <c r="AP148" s="4500" t="s">
        <v>5406</v>
      </c>
      <c r="AQ148" s="4562" t="s">
        <v>5407</v>
      </c>
      <c r="AR148" s="3755" t="s">
        <v>5408</v>
      </c>
      <c r="AS148" s="2814" t="s">
        <v>5409</v>
      </c>
      <c r="AT148" s="3758" t="s">
        <v>5410</v>
      </c>
      <c r="AU148" s="3758" t="s">
        <v>5411</v>
      </c>
      <c r="AV148" s="3758" t="s">
        <v>5412</v>
      </c>
      <c r="AW148" s="3758" t="s">
        <v>5413</v>
      </c>
      <c r="AX148" s="3758" t="s">
        <v>5414</v>
      </c>
      <c r="AY148" s="3758" t="s">
        <v>5415</v>
      </c>
      <c r="AZ148" s="1496" t="e">
        <f t="shared" ref="AZ148:AZ156" si="91">$CB148&amp;$CC148&amp;$CD148&amp;$CE148&amp;$CF148&amp;$CG148&amp;$CH148&amp;$CI148</f>
        <v>#VALUE!</v>
      </c>
      <c r="BW148" s="1430"/>
      <c r="BX148" s="1430"/>
      <c r="CB148" s="1435" t="e">
        <f t="shared" ref="CB148:CB156" si="92">IF(DB148=1,"* Las consultas de 12 años NO DEBEN ser mayor que el total de Consultas entre 10-14 Años. ","")</f>
        <v>#VALUE!</v>
      </c>
      <c r="CC148" s="1435" t="e">
        <f t="shared" ref="CC148:CC156" si="93">IF(DC148=1,"* Las consultas de 60 años NO DEBEN ser mayor que el total de Consultas entre 60-64 Años. ","")</f>
        <v>#VALUE!</v>
      </c>
      <c r="CD148" s="1435" t="str">
        <f t="shared" ref="CD148:CD156" si="94">IF(DD148=1,"* Las actividades de usuarios en situación de discapacidad NO DEBEN superar el total. ","")</f>
        <v xml:space="preserve">* Las actividades de usuarios en situación de discapacidad NO DEBEN superar el total. </v>
      </c>
      <c r="CE148" s="1435" t="str">
        <f t="shared" ref="CE148:CE156" si="95">IF(AND(AS148="",E148&lt;&gt;0),"* Recuerde que las Embarazadas deben ser incluídas en el ingreso por rango Etario (Digite CEROS si no tiene). ",IF(G148&lt;AS148,"* Las Embarazadas NO DEBEN ser mayor al total de mujeres. ",""))</f>
        <v xml:space="preserve">* Las Embarazadas NO DEBEN ser mayor al total de mujeres. </v>
      </c>
      <c r="CF148" s="1435" t="str">
        <f>IF(AND(AW148="",E148&lt;&gt;0),"* No olvide digitar la Población SENAME (Digite CEROS si no tiene). ",IF(E148&lt;AW148,"* La Población SENAME NO DEBE ser mayor al Total. ",""))</f>
        <v xml:space="preserve">* La Población SENAME NO DEBE ser mayor al Total. </v>
      </c>
      <c r="CG148" s="1435" t="str">
        <f>IF(AND(AX148="",F148&lt;&gt;0),"* No olvide digitar la Población Mejor Niñez (Digite CEROS si no tiene). ",IF(F148&lt;AX148,"* La Población Mejor Niñez NO DEBE ser mayor al Total. ",""))</f>
        <v xml:space="preserve">* La Población Mejor Niñez NO DEBE ser mayor al Total. </v>
      </c>
      <c r="CH148" s="1435" t="str">
        <f t="shared" ref="CH148:CH156" si="96">IF(AND(AY148="",E148&lt;&gt;0),"* No olvide digitar la Población Migrante (Digite CEROS si no tiene). ",IF(E148&lt;AY148,"* La Población Migrante NO DEBE superar el Total. ",""))</f>
        <v xml:space="preserve">* La Población Migrante NO DEBE superar el Total. </v>
      </c>
      <c r="DB148" s="1436" t="e">
        <f t="shared" ref="DB148:DB156" si="97">IF(AR148&gt;(Z148+AA148),1,0)</f>
        <v>#VALUE!</v>
      </c>
      <c r="DC148" s="1436" t="e">
        <f t="shared" ref="DC148:DC156" si="98">IF(AT148&gt;(AL148+AM148),1,0)</f>
        <v>#VALUE!</v>
      </c>
      <c r="DD148" s="1436">
        <f t="shared" ref="DD148:DD156" si="99">IF(E148&lt;AV148,1,0)</f>
        <v>1</v>
      </c>
      <c r="DE148" s="1436">
        <f t="shared" ref="DE148:DE156" si="100">IF(AND(AS148="",E148&lt;&gt;0),1,IF(G148&lt;AS148,1,0))</f>
        <v>1</v>
      </c>
      <c r="DF148" s="1436">
        <f>IF(AND(AW148="",E148&lt;&gt;0),1,IF(E148&lt;AW148,1,0))</f>
        <v>1</v>
      </c>
      <c r="DG148" s="1436">
        <f>IF(AND(AX148="",E148&lt;&gt;0),1,IF(E148&lt;AX148,1,0))</f>
        <v>1</v>
      </c>
      <c r="DH148" s="1436">
        <f t="shared" ref="DH148:DH156" si="101">IF(AND(AY148="",E148&lt;&gt;0),1,IF(E148&lt;AY148,1,0))</f>
        <v>1</v>
      </c>
    </row>
    <row r="149" spans="1:112" ht="16.350000000000001" customHeight="1" x14ac:dyDescent="0.25">
      <c r="A149" s="7520" t="s">
        <v>5209</v>
      </c>
      <c r="B149" s="9855" t="s">
        <v>2567</v>
      </c>
      <c r="C149" s="9856"/>
      <c r="D149" s="9857"/>
      <c r="E149" s="3563" t="s">
        <v>5369</v>
      </c>
      <c r="F149" s="2923" t="s">
        <v>5370</v>
      </c>
      <c r="G149" s="1841" t="s">
        <v>5371</v>
      </c>
      <c r="H149" s="2822" t="s">
        <v>5372</v>
      </c>
      <c r="I149" s="1844" t="s">
        <v>5373</v>
      </c>
      <c r="J149" s="2852" t="s">
        <v>5374</v>
      </c>
      <c r="K149" s="1844" t="s">
        <v>5375</v>
      </c>
      <c r="L149" s="2852" t="s">
        <v>5376</v>
      </c>
      <c r="M149" s="1844" t="s">
        <v>5377</v>
      </c>
      <c r="N149" s="2852" t="s">
        <v>5378</v>
      </c>
      <c r="O149" s="1844" t="s">
        <v>5379</v>
      </c>
      <c r="P149" s="2995" t="s">
        <v>5380</v>
      </c>
      <c r="Q149" s="1844" t="s">
        <v>5381</v>
      </c>
      <c r="R149" s="2995" t="s">
        <v>5382</v>
      </c>
      <c r="S149" s="1844" t="s">
        <v>5383</v>
      </c>
      <c r="T149" s="2995" t="s">
        <v>5384</v>
      </c>
      <c r="U149" s="1844" t="s">
        <v>5385</v>
      </c>
      <c r="V149" s="2852" t="s">
        <v>5386</v>
      </c>
      <c r="W149" s="1844" t="s">
        <v>5387</v>
      </c>
      <c r="X149" s="2852" t="s">
        <v>5388</v>
      </c>
      <c r="Y149" s="1844" t="s">
        <v>5389</v>
      </c>
      <c r="Z149" s="2852" t="s">
        <v>5390</v>
      </c>
      <c r="AA149" s="1844" t="s">
        <v>5391</v>
      </c>
      <c r="AB149" s="2852" t="s">
        <v>5392</v>
      </c>
      <c r="AC149" s="1844" t="s">
        <v>5393</v>
      </c>
      <c r="AD149" s="2852" t="s">
        <v>5394</v>
      </c>
      <c r="AE149" s="1844" t="s">
        <v>5395</v>
      </c>
      <c r="AF149" s="2852" t="s">
        <v>5396</v>
      </c>
      <c r="AG149" s="1844" t="s">
        <v>5397</v>
      </c>
      <c r="AH149" s="2852" t="s">
        <v>5398</v>
      </c>
      <c r="AI149" s="1844" t="s">
        <v>5399</v>
      </c>
      <c r="AJ149" s="2852" t="s">
        <v>5400</v>
      </c>
      <c r="AK149" s="1844" t="s">
        <v>5401</v>
      </c>
      <c r="AL149" s="2852" t="s">
        <v>5402</v>
      </c>
      <c r="AM149" s="1844" t="s">
        <v>5403</v>
      </c>
      <c r="AN149" s="2852" t="s">
        <v>5404</v>
      </c>
      <c r="AO149" s="1844" t="s">
        <v>5405</v>
      </c>
      <c r="AP149" s="2852" t="s">
        <v>5406</v>
      </c>
      <c r="AQ149" s="2957" t="s">
        <v>5407</v>
      </c>
      <c r="AR149" s="2826" t="s">
        <v>5408</v>
      </c>
      <c r="AS149" s="2814" t="s">
        <v>5409</v>
      </c>
      <c r="AT149" s="3758" t="s">
        <v>5410</v>
      </c>
      <c r="AU149" s="3758" t="s">
        <v>5411</v>
      </c>
      <c r="AV149" s="3758" t="s">
        <v>5412</v>
      </c>
      <c r="AW149" s="3758" t="s">
        <v>5413</v>
      </c>
      <c r="AX149" s="3758" t="s">
        <v>5414</v>
      </c>
      <c r="AY149" s="3758" t="s">
        <v>5415</v>
      </c>
      <c r="AZ149" s="1496" t="e">
        <f t="shared" si="91"/>
        <v>#VALUE!</v>
      </c>
      <c r="BW149" s="1430"/>
      <c r="BX149" s="1430"/>
      <c r="CB149" s="1435" t="e">
        <f t="shared" si="92"/>
        <v>#VALUE!</v>
      </c>
      <c r="CC149" s="1435" t="e">
        <f t="shared" si="93"/>
        <v>#VALUE!</v>
      </c>
      <c r="CD149" s="1435" t="str">
        <f t="shared" si="94"/>
        <v xml:space="preserve">* Las actividades de usuarios en situación de discapacidad NO DEBEN superar el total. </v>
      </c>
      <c r="CE149" s="1435" t="str">
        <f t="shared" si="95"/>
        <v xml:space="preserve">* Las Embarazadas NO DEBEN ser mayor al total de mujeres. </v>
      </c>
      <c r="CF149" s="1435" t="str">
        <f t="shared" ref="CF149:CF156" si="102">IF(AND(AW149="",E149&lt;&gt;0),"* No olvide digitar la Población SENAME (Digite CEROS si no tiene). ",IF(E149&lt;AW149,"* La Población SENAME NO DEBE ser mayor al Total. ",""))</f>
        <v xml:space="preserve">* La Población SENAME NO DEBE ser mayor al Total. </v>
      </c>
      <c r="CG149" s="1435" t="str">
        <f t="shared" ref="CG149:CG156" si="103">IF(AND(AX149="",F149&lt;&gt;0),"* No olvide digitar la Población Mejor Niñez (Digite CEROS si no tiene). ",IF(F149&lt;AX149,"* La Población Mejor Niñez NO DEBE ser mayor al Total. ",""))</f>
        <v xml:space="preserve">* La Población Mejor Niñez NO DEBE ser mayor al Total. </v>
      </c>
      <c r="CH149" s="1435" t="str">
        <f t="shared" si="96"/>
        <v xml:space="preserve">* La Población Migrante NO DEBE superar el Total. </v>
      </c>
      <c r="DB149" s="1436" t="e">
        <f t="shared" si="97"/>
        <v>#VALUE!</v>
      </c>
      <c r="DC149" s="1436" t="e">
        <f t="shared" si="98"/>
        <v>#VALUE!</v>
      </c>
      <c r="DD149" s="1436">
        <f t="shared" si="99"/>
        <v>1</v>
      </c>
      <c r="DE149" s="1436">
        <f t="shared" si="100"/>
        <v>1</v>
      </c>
      <c r="DF149" s="1436">
        <f t="shared" ref="DF149:DF156" si="104">IF(AND(AW149="",E149&lt;&gt;0),1,IF(E149&lt;AW149,1,0))</f>
        <v>1</v>
      </c>
      <c r="DG149" s="1436">
        <f t="shared" ref="DG149:DG156" si="105">IF(AND(AX149="",E149&lt;&gt;0),1,IF(E149&lt;AX149,1,0))</f>
        <v>1</v>
      </c>
      <c r="DH149" s="1436">
        <f t="shared" si="101"/>
        <v>1</v>
      </c>
    </row>
    <row r="150" spans="1:112" ht="16.350000000000001" customHeight="1" x14ac:dyDescent="0.25">
      <c r="A150" s="7520" t="s">
        <v>5210</v>
      </c>
      <c r="B150" s="9847" t="s">
        <v>1124</v>
      </c>
      <c r="C150" s="9848"/>
      <c r="D150" s="9849"/>
      <c r="E150" s="4688" t="s">
        <v>5369</v>
      </c>
      <c r="F150" s="2923" t="s">
        <v>5370</v>
      </c>
      <c r="G150" s="1841" t="s">
        <v>5371</v>
      </c>
      <c r="H150" s="2822" t="s">
        <v>5372</v>
      </c>
      <c r="I150" s="1844" t="s">
        <v>5373</v>
      </c>
      <c r="J150" s="2852" t="s">
        <v>5374</v>
      </c>
      <c r="K150" s="1844" t="s">
        <v>5375</v>
      </c>
      <c r="L150" s="2852" t="s">
        <v>5376</v>
      </c>
      <c r="M150" s="1844" t="s">
        <v>5377</v>
      </c>
      <c r="N150" s="2852" t="s">
        <v>5378</v>
      </c>
      <c r="O150" s="1844" t="s">
        <v>5379</v>
      </c>
      <c r="P150" s="2995" t="s">
        <v>5380</v>
      </c>
      <c r="Q150" s="1844" t="s">
        <v>5381</v>
      </c>
      <c r="R150" s="2995" t="s">
        <v>5382</v>
      </c>
      <c r="S150" s="1844" t="s">
        <v>5383</v>
      </c>
      <c r="T150" s="2995" t="s">
        <v>5384</v>
      </c>
      <c r="U150" s="1844" t="s">
        <v>5385</v>
      </c>
      <c r="V150" s="2852" t="s">
        <v>5386</v>
      </c>
      <c r="W150" s="1844" t="s">
        <v>5387</v>
      </c>
      <c r="X150" s="2852" t="s">
        <v>5388</v>
      </c>
      <c r="Y150" s="1844" t="s">
        <v>5389</v>
      </c>
      <c r="Z150" s="2852" t="s">
        <v>5390</v>
      </c>
      <c r="AA150" s="1844" t="s">
        <v>5391</v>
      </c>
      <c r="AB150" s="2852" t="s">
        <v>5392</v>
      </c>
      <c r="AC150" s="1844" t="s">
        <v>5393</v>
      </c>
      <c r="AD150" s="2852" t="s">
        <v>5394</v>
      </c>
      <c r="AE150" s="1844" t="s">
        <v>5395</v>
      </c>
      <c r="AF150" s="2852" t="s">
        <v>5396</v>
      </c>
      <c r="AG150" s="1844" t="s">
        <v>5397</v>
      </c>
      <c r="AH150" s="2852" t="s">
        <v>5398</v>
      </c>
      <c r="AI150" s="1844" t="s">
        <v>5399</v>
      </c>
      <c r="AJ150" s="2852" t="s">
        <v>5400</v>
      </c>
      <c r="AK150" s="1844" t="s">
        <v>5401</v>
      </c>
      <c r="AL150" s="2852" t="s">
        <v>5402</v>
      </c>
      <c r="AM150" s="1844" t="s">
        <v>5403</v>
      </c>
      <c r="AN150" s="2852" t="s">
        <v>5404</v>
      </c>
      <c r="AO150" s="1844" t="s">
        <v>5405</v>
      </c>
      <c r="AP150" s="2852" t="s">
        <v>5406</v>
      </c>
      <c r="AQ150" s="2957" t="s">
        <v>5407</v>
      </c>
      <c r="AR150" s="2826" t="s">
        <v>5408</v>
      </c>
      <c r="AS150" s="2814" t="s">
        <v>5409</v>
      </c>
      <c r="AT150" s="3758" t="s">
        <v>5410</v>
      </c>
      <c r="AU150" s="3758" t="s">
        <v>5411</v>
      </c>
      <c r="AV150" s="3758" t="s">
        <v>5412</v>
      </c>
      <c r="AW150" s="3758" t="s">
        <v>5413</v>
      </c>
      <c r="AX150" s="3758" t="s">
        <v>5414</v>
      </c>
      <c r="AY150" s="3758" t="s">
        <v>5415</v>
      </c>
      <c r="AZ150" s="1496" t="e">
        <f t="shared" si="91"/>
        <v>#VALUE!</v>
      </c>
      <c r="BW150" s="1430"/>
      <c r="BX150" s="1430"/>
      <c r="CB150" s="1435" t="e">
        <f t="shared" si="92"/>
        <v>#VALUE!</v>
      </c>
      <c r="CC150" s="1435" t="e">
        <f t="shared" si="93"/>
        <v>#VALUE!</v>
      </c>
      <c r="CD150" s="1435" t="str">
        <f t="shared" si="94"/>
        <v xml:space="preserve">* Las actividades de usuarios en situación de discapacidad NO DEBEN superar el total. </v>
      </c>
      <c r="CE150" s="1435" t="str">
        <f t="shared" si="95"/>
        <v xml:space="preserve">* Las Embarazadas NO DEBEN ser mayor al total de mujeres. </v>
      </c>
      <c r="CF150" s="1435" t="str">
        <f t="shared" si="102"/>
        <v xml:space="preserve">* La Población SENAME NO DEBE ser mayor al Total. </v>
      </c>
      <c r="CG150" s="1435" t="str">
        <f t="shared" si="103"/>
        <v xml:space="preserve">* La Población Mejor Niñez NO DEBE ser mayor al Total. </v>
      </c>
      <c r="CH150" s="1435" t="str">
        <f t="shared" si="96"/>
        <v xml:space="preserve">* La Población Migrante NO DEBE superar el Total. </v>
      </c>
      <c r="DB150" s="1436" t="e">
        <f t="shared" si="97"/>
        <v>#VALUE!</v>
      </c>
      <c r="DC150" s="1436" t="e">
        <f t="shared" si="98"/>
        <v>#VALUE!</v>
      </c>
      <c r="DD150" s="1436">
        <f t="shared" si="99"/>
        <v>1</v>
      </c>
      <c r="DE150" s="1436">
        <f t="shared" si="100"/>
        <v>1</v>
      </c>
      <c r="DF150" s="1436">
        <f t="shared" si="104"/>
        <v>1</v>
      </c>
      <c r="DG150" s="1436">
        <f t="shared" si="105"/>
        <v>1</v>
      </c>
      <c r="DH150" s="1436">
        <f t="shared" si="101"/>
        <v>1</v>
      </c>
    </row>
    <row r="151" spans="1:112" ht="16.350000000000001" customHeight="1" x14ac:dyDescent="0.25">
      <c r="A151" s="7520" t="s">
        <v>5211</v>
      </c>
      <c r="B151" s="9847" t="s">
        <v>1123</v>
      </c>
      <c r="C151" s="9848"/>
      <c r="D151" s="9849"/>
      <c r="E151" s="4689" t="s">
        <v>5369</v>
      </c>
      <c r="F151" s="2923" t="s">
        <v>5370</v>
      </c>
      <c r="G151" s="1841" t="s">
        <v>5371</v>
      </c>
      <c r="H151" s="2822" t="s">
        <v>5372</v>
      </c>
      <c r="I151" s="1844" t="s">
        <v>5373</v>
      </c>
      <c r="J151" s="2852" t="s">
        <v>5374</v>
      </c>
      <c r="K151" s="1844" t="s">
        <v>5375</v>
      </c>
      <c r="L151" s="2852" t="s">
        <v>5376</v>
      </c>
      <c r="M151" s="1844" t="s">
        <v>5377</v>
      </c>
      <c r="N151" s="2852" t="s">
        <v>5378</v>
      </c>
      <c r="O151" s="1844" t="s">
        <v>5379</v>
      </c>
      <c r="P151" s="2995" t="s">
        <v>5380</v>
      </c>
      <c r="Q151" s="1844" t="s">
        <v>5381</v>
      </c>
      <c r="R151" s="2995" t="s">
        <v>5382</v>
      </c>
      <c r="S151" s="1844" t="s">
        <v>5383</v>
      </c>
      <c r="T151" s="2995" t="s">
        <v>5384</v>
      </c>
      <c r="U151" s="1844" t="s">
        <v>5385</v>
      </c>
      <c r="V151" s="2852" t="s">
        <v>5386</v>
      </c>
      <c r="W151" s="1844" t="s">
        <v>5387</v>
      </c>
      <c r="X151" s="2852" t="s">
        <v>5388</v>
      </c>
      <c r="Y151" s="1844" t="s">
        <v>5389</v>
      </c>
      <c r="Z151" s="2852" t="s">
        <v>5390</v>
      </c>
      <c r="AA151" s="1844" t="s">
        <v>5391</v>
      </c>
      <c r="AB151" s="2852" t="s">
        <v>5392</v>
      </c>
      <c r="AC151" s="1844" t="s">
        <v>5393</v>
      </c>
      <c r="AD151" s="2852" t="s">
        <v>5394</v>
      </c>
      <c r="AE151" s="1844" t="s">
        <v>5395</v>
      </c>
      <c r="AF151" s="2852" t="s">
        <v>5396</v>
      </c>
      <c r="AG151" s="1844" t="s">
        <v>5397</v>
      </c>
      <c r="AH151" s="2852" t="s">
        <v>5398</v>
      </c>
      <c r="AI151" s="1844" t="s">
        <v>5399</v>
      </c>
      <c r="AJ151" s="2852" t="s">
        <v>5400</v>
      </c>
      <c r="AK151" s="1844" t="s">
        <v>5401</v>
      </c>
      <c r="AL151" s="2852" t="s">
        <v>5402</v>
      </c>
      <c r="AM151" s="1844" t="s">
        <v>5403</v>
      </c>
      <c r="AN151" s="2852" t="s">
        <v>5404</v>
      </c>
      <c r="AO151" s="1844" t="s">
        <v>5405</v>
      </c>
      <c r="AP151" s="2852" t="s">
        <v>5406</v>
      </c>
      <c r="AQ151" s="2957" t="s">
        <v>5407</v>
      </c>
      <c r="AR151" s="2826" t="s">
        <v>5408</v>
      </c>
      <c r="AS151" s="2814" t="s">
        <v>5409</v>
      </c>
      <c r="AT151" s="3758" t="s">
        <v>5410</v>
      </c>
      <c r="AU151" s="3758" t="s">
        <v>5411</v>
      </c>
      <c r="AV151" s="3758" t="s">
        <v>5412</v>
      </c>
      <c r="AW151" s="3758" t="s">
        <v>5413</v>
      </c>
      <c r="AX151" s="3758" t="s">
        <v>5414</v>
      </c>
      <c r="AY151" s="3758" t="s">
        <v>5415</v>
      </c>
      <c r="AZ151" s="1496" t="e">
        <f t="shared" si="91"/>
        <v>#VALUE!</v>
      </c>
      <c r="BW151" s="1430"/>
      <c r="BX151" s="1430"/>
      <c r="CB151" s="1435" t="e">
        <f t="shared" si="92"/>
        <v>#VALUE!</v>
      </c>
      <c r="CC151" s="1435" t="e">
        <f t="shared" si="93"/>
        <v>#VALUE!</v>
      </c>
      <c r="CD151" s="1435" t="str">
        <f t="shared" si="94"/>
        <v xml:space="preserve">* Las actividades de usuarios en situación de discapacidad NO DEBEN superar el total. </v>
      </c>
      <c r="CE151" s="1435" t="str">
        <f t="shared" si="95"/>
        <v xml:space="preserve">* Las Embarazadas NO DEBEN ser mayor al total de mujeres. </v>
      </c>
      <c r="CF151" s="1435" t="str">
        <f t="shared" si="102"/>
        <v xml:space="preserve">* La Población SENAME NO DEBE ser mayor al Total. </v>
      </c>
      <c r="CG151" s="1435" t="str">
        <f t="shared" si="103"/>
        <v xml:space="preserve">* La Población Mejor Niñez NO DEBE ser mayor al Total. </v>
      </c>
      <c r="CH151" s="1435" t="str">
        <f t="shared" si="96"/>
        <v xml:space="preserve">* La Población Migrante NO DEBE superar el Total. </v>
      </c>
      <c r="DB151" s="1436" t="e">
        <f t="shared" si="97"/>
        <v>#VALUE!</v>
      </c>
      <c r="DC151" s="1436" t="e">
        <f t="shared" si="98"/>
        <v>#VALUE!</v>
      </c>
      <c r="DD151" s="1436">
        <f t="shared" si="99"/>
        <v>1</v>
      </c>
      <c r="DE151" s="1436">
        <f t="shared" si="100"/>
        <v>1</v>
      </c>
      <c r="DF151" s="1436">
        <f t="shared" si="104"/>
        <v>1</v>
      </c>
      <c r="DG151" s="1436">
        <f t="shared" si="105"/>
        <v>1</v>
      </c>
      <c r="DH151" s="1436">
        <f t="shared" si="101"/>
        <v>1</v>
      </c>
    </row>
    <row r="152" spans="1:112" ht="16.350000000000001" customHeight="1" x14ac:dyDescent="0.25">
      <c r="A152" s="7520" t="s">
        <v>5212</v>
      </c>
      <c r="B152" s="9844" t="s">
        <v>2100</v>
      </c>
      <c r="C152" s="9845"/>
      <c r="D152" s="9846"/>
      <c r="E152" s="4689" t="s">
        <v>5369</v>
      </c>
      <c r="F152" s="2923" t="s">
        <v>5370</v>
      </c>
      <c r="G152" s="1841" t="s">
        <v>5371</v>
      </c>
      <c r="H152" s="2822" t="s">
        <v>5372</v>
      </c>
      <c r="I152" s="1844" t="s">
        <v>5373</v>
      </c>
      <c r="J152" s="2852" t="s">
        <v>5374</v>
      </c>
      <c r="K152" s="1844" t="s">
        <v>5375</v>
      </c>
      <c r="L152" s="2852" t="s">
        <v>5376</v>
      </c>
      <c r="M152" s="1844" t="s">
        <v>5377</v>
      </c>
      <c r="N152" s="2852" t="s">
        <v>5378</v>
      </c>
      <c r="O152" s="1844" t="s">
        <v>5379</v>
      </c>
      <c r="P152" s="2995" t="s">
        <v>5380</v>
      </c>
      <c r="Q152" s="1844" t="s">
        <v>5381</v>
      </c>
      <c r="R152" s="2995" t="s">
        <v>5382</v>
      </c>
      <c r="S152" s="1844" t="s">
        <v>5383</v>
      </c>
      <c r="T152" s="2995" t="s">
        <v>5384</v>
      </c>
      <c r="U152" s="1844" t="s">
        <v>5385</v>
      </c>
      <c r="V152" s="2852" t="s">
        <v>5386</v>
      </c>
      <c r="W152" s="1844" t="s">
        <v>5387</v>
      </c>
      <c r="X152" s="2852" t="s">
        <v>5388</v>
      </c>
      <c r="Y152" s="1844" t="s">
        <v>5389</v>
      </c>
      <c r="Z152" s="2852" t="s">
        <v>5390</v>
      </c>
      <c r="AA152" s="1844" t="s">
        <v>5391</v>
      </c>
      <c r="AB152" s="2852" t="s">
        <v>5392</v>
      </c>
      <c r="AC152" s="1844" t="s">
        <v>5393</v>
      </c>
      <c r="AD152" s="2852" t="s">
        <v>5394</v>
      </c>
      <c r="AE152" s="1844" t="s">
        <v>5395</v>
      </c>
      <c r="AF152" s="2852" t="s">
        <v>5396</v>
      </c>
      <c r="AG152" s="1844" t="s">
        <v>5397</v>
      </c>
      <c r="AH152" s="2852" t="s">
        <v>5398</v>
      </c>
      <c r="AI152" s="1844" t="s">
        <v>5399</v>
      </c>
      <c r="AJ152" s="2852" t="s">
        <v>5400</v>
      </c>
      <c r="AK152" s="1844" t="s">
        <v>5401</v>
      </c>
      <c r="AL152" s="2852" t="s">
        <v>5402</v>
      </c>
      <c r="AM152" s="1844" t="s">
        <v>5403</v>
      </c>
      <c r="AN152" s="2852" t="s">
        <v>5404</v>
      </c>
      <c r="AO152" s="1844" t="s">
        <v>5405</v>
      </c>
      <c r="AP152" s="2852" t="s">
        <v>5406</v>
      </c>
      <c r="AQ152" s="2957" t="s">
        <v>5407</v>
      </c>
      <c r="AR152" s="2826" t="s">
        <v>5408</v>
      </c>
      <c r="AS152" s="2814" t="s">
        <v>5409</v>
      </c>
      <c r="AT152" s="3758" t="s">
        <v>5410</v>
      </c>
      <c r="AU152" s="3758" t="s">
        <v>5411</v>
      </c>
      <c r="AV152" s="3758" t="s">
        <v>5412</v>
      </c>
      <c r="AW152" s="3758" t="s">
        <v>5413</v>
      </c>
      <c r="AX152" s="3758" t="s">
        <v>5414</v>
      </c>
      <c r="AY152" s="3758" t="s">
        <v>5415</v>
      </c>
      <c r="AZ152" s="1496" t="e">
        <f t="shared" si="91"/>
        <v>#VALUE!</v>
      </c>
      <c r="BW152" s="1430"/>
      <c r="BX152" s="1430"/>
      <c r="CB152" s="1435" t="e">
        <f t="shared" si="92"/>
        <v>#VALUE!</v>
      </c>
      <c r="CC152" s="1435" t="e">
        <f t="shared" si="93"/>
        <v>#VALUE!</v>
      </c>
      <c r="CD152" s="1435" t="str">
        <f t="shared" si="94"/>
        <v xml:space="preserve">* Las actividades de usuarios en situación de discapacidad NO DEBEN superar el total. </v>
      </c>
      <c r="CE152" s="1435" t="str">
        <f t="shared" si="95"/>
        <v xml:space="preserve">* Las Embarazadas NO DEBEN ser mayor al total de mujeres. </v>
      </c>
      <c r="CF152" s="1435" t="str">
        <f t="shared" si="102"/>
        <v xml:space="preserve">* La Población SENAME NO DEBE ser mayor al Total. </v>
      </c>
      <c r="CG152" s="1435" t="str">
        <f t="shared" si="103"/>
        <v xml:space="preserve">* La Población Mejor Niñez NO DEBE ser mayor al Total. </v>
      </c>
      <c r="CH152" s="1435" t="str">
        <f t="shared" si="96"/>
        <v xml:space="preserve">* La Población Migrante NO DEBE superar el Total. </v>
      </c>
      <c r="DB152" s="1436" t="e">
        <f t="shared" si="97"/>
        <v>#VALUE!</v>
      </c>
      <c r="DC152" s="1436" t="e">
        <f t="shared" si="98"/>
        <v>#VALUE!</v>
      </c>
      <c r="DD152" s="1436">
        <f t="shared" si="99"/>
        <v>1</v>
      </c>
      <c r="DE152" s="1436">
        <f t="shared" si="100"/>
        <v>1</v>
      </c>
      <c r="DF152" s="1436">
        <f t="shared" si="104"/>
        <v>1</v>
      </c>
      <c r="DG152" s="1436">
        <f t="shared" si="105"/>
        <v>1</v>
      </c>
      <c r="DH152" s="1436">
        <f t="shared" si="101"/>
        <v>1</v>
      </c>
    </row>
    <row r="153" spans="1:112" ht="16.350000000000001" customHeight="1" x14ac:dyDescent="0.25">
      <c r="A153" s="7520" t="s">
        <v>5213</v>
      </c>
      <c r="B153" s="9844" t="s">
        <v>1122</v>
      </c>
      <c r="C153" s="9845"/>
      <c r="D153" s="9846"/>
      <c r="E153" s="4689" t="s">
        <v>5369</v>
      </c>
      <c r="F153" s="2923" t="s">
        <v>5370</v>
      </c>
      <c r="G153" s="1841" t="s">
        <v>5371</v>
      </c>
      <c r="H153" s="2822" t="s">
        <v>5372</v>
      </c>
      <c r="I153" s="1844" t="s">
        <v>5373</v>
      </c>
      <c r="J153" s="2852" t="s">
        <v>5374</v>
      </c>
      <c r="K153" s="1844" t="s">
        <v>5375</v>
      </c>
      <c r="L153" s="2852" t="s">
        <v>5376</v>
      </c>
      <c r="M153" s="1844" t="s">
        <v>5377</v>
      </c>
      <c r="N153" s="2852" t="s">
        <v>5378</v>
      </c>
      <c r="O153" s="1844" t="s">
        <v>5379</v>
      </c>
      <c r="P153" s="2995" t="s">
        <v>5380</v>
      </c>
      <c r="Q153" s="1844" t="s">
        <v>5381</v>
      </c>
      <c r="R153" s="2995" t="s">
        <v>5382</v>
      </c>
      <c r="S153" s="1844" t="s">
        <v>5383</v>
      </c>
      <c r="T153" s="2995" t="s">
        <v>5384</v>
      </c>
      <c r="U153" s="1844" t="s">
        <v>5385</v>
      </c>
      <c r="V153" s="2852" t="s">
        <v>5386</v>
      </c>
      <c r="W153" s="1844" t="s">
        <v>5387</v>
      </c>
      <c r="X153" s="2852" t="s">
        <v>5388</v>
      </c>
      <c r="Y153" s="1844" t="s">
        <v>5389</v>
      </c>
      <c r="Z153" s="2852" t="s">
        <v>5390</v>
      </c>
      <c r="AA153" s="1844" t="s">
        <v>5391</v>
      </c>
      <c r="AB153" s="2852" t="s">
        <v>5392</v>
      </c>
      <c r="AC153" s="1844" t="s">
        <v>5393</v>
      </c>
      <c r="AD153" s="2852" t="s">
        <v>5394</v>
      </c>
      <c r="AE153" s="1844" t="s">
        <v>5395</v>
      </c>
      <c r="AF153" s="2852" t="s">
        <v>5396</v>
      </c>
      <c r="AG153" s="1844" t="s">
        <v>5397</v>
      </c>
      <c r="AH153" s="2852" t="s">
        <v>5398</v>
      </c>
      <c r="AI153" s="1844" t="s">
        <v>5399</v>
      </c>
      <c r="AJ153" s="2852" t="s">
        <v>5400</v>
      </c>
      <c r="AK153" s="1844" t="s">
        <v>5401</v>
      </c>
      <c r="AL153" s="2852" t="s">
        <v>5402</v>
      </c>
      <c r="AM153" s="1844" t="s">
        <v>5403</v>
      </c>
      <c r="AN153" s="2852" t="s">
        <v>5404</v>
      </c>
      <c r="AO153" s="1844" t="s">
        <v>5405</v>
      </c>
      <c r="AP153" s="2852" t="s">
        <v>5406</v>
      </c>
      <c r="AQ153" s="2957" t="s">
        <v>5407</v>
      </c>
      <c r="AR153" s="2826" t="s">
        <v>5408</v>
      </c>
      <c r="AS153" s="2814" t="s">
        <v>5409</v>
      </c>
      <c r="AT153" s="3758" t="s">
        <v>5410</v>
      </c>
      <c r="AU153" s="3758" t="s">
        <v>5411</v>
      </c>
      <c r="AV153" s="3758" t="s">
        <v>5412</v>
      </c>
      <c r="AW153" s="3758" t="s">
        <v>5413</v>
      </c>
      <c r="AX153" s="3758" t="s">
        <v>5414</v>
      </c>
      <c r="AY153" s="3758" t="s">
        <v>5415</v>
      </c>
      <c r="AZ153" s="1496" t="e">
        <f t="shared" si="91"/>
        <v>#VALUE!</v>
      </c>
      <c r="BW153" s="1430"/>
      <c r="BX153" s="1430"/>
      <c r="CB153" s="1435" t="e">
        <f t="shared" si="92"/>
        <v>#VALUE!</v>
      </c>
      <c r="CC153" s="1435" t="e">
        <f t="shared" si="93"/>
        <v>#VALUE!</v>
      </c>
      <c r="CD153" s="1435" t="str">
        <f t="shared" si="94"/>
        <v xml:space="preserve">* Las actividades de usuarios en situación de discapacidad NO DEBEN superar el total. </v>
      </c>
      <c r="CE153" s="1435" t="str">
        <f t="shared" si="95"/>
        <v xml:space="preserve">* Las Embarazadas NO DEBEN ser mayor al total de mujeres. </v>
      </c>
      <c r="CF153" s="1435" t="str">
        <f t="shared" si="102"/>
        <v xml:space="preserve">* La Población SENAME NO DEBE ser mayor al Total. </v>
      </c>
      <c r="CG153" s="1435" t="str">
        <f t="shared" si="103"/>
        <v xml:space="preserve">* La Población Mejor Niñez NO DEBE ser mayor al Total. </v>
      </c>
      <c r="CH153" s="1435" t="str">
        <f t="shared" si="96"/>
        <v xml:space="preserve">* La Población Migrante NO DEBE superar el Total. </v>
      </c>
      <c r="DB153" s="1436" t="e">
        <f t="shared" si="97"/>
        <v>#VALUE!</v>
      </c>
      <c r="DC153" s="1436" t="e">
        <f t="shared" si="98"/>
        <v>#VALUE!</v>
      </c>
      <c r="DD153" s="1436">
        <f t="shared" si="99"/>
        <v>1</v>
      </c>
      <c r="DE153" s="1436">
        <f t="shared" si="100"/>
        <v>1</v>
      </c>
      <c r="DF153" s="1436">
        <f t="shared" si="104"/>
        <v>1</v>
      </c>
      <c r="DG153" s="1436">
        <f t="shared" si="105"/>
        <v>1</v>
      </c>
      <c r="DH153" s="1436">
        <f t="shared" si="101"/>
        <v>1</v>
      </c>
    </row>
    <row r="154" spans="1:112" ht="16.350000000000001" customHeight="1" x14ac:dyDescent="0.25">
      <c r="A154" s="7520" t="s">
        <v>5214</v>
      </c>
      <c r="B154" s="9844" t="s">
        <v>2101</v>
      </c>
      <c r="C154" s="9845"/>
      <c r="D154" s="9846"/>
      <c r="E154" s="4689" t="s">
        <v>5369</v>
      </c>
      <c r="F154" s="2923" t="s">
        <v>5370</v>
      </c>
      <c r="G154" s="1841" t="s">
        <v>5371</v>
      </c>
      <c r="H154" s="2822" t="s">
        <v>5372</v>
      </c>
      <c r="I154" s="1844" t="s">
        <v>5373</v>
      </c>
      <c r="J154" s="2852" t="s">
        <v>5374</v>
      </c>
      <c r="K154" s="1844" t="s">
        <v>5375</v>
      </c>
      <c r="L154" s="2852" t="s">
        <v>5376</v>
      </c>
      <c r="M154" s="1844" t="s">
        <v>5377</v>
      </c>
      <c r="N154" s="2852" t="s">
        <v>5378</v>
      </c>
      <c r="O154" s="1844" t="s">
        <v>5379</v>
      </c>
      <c r="P154" s="2995" t="s">
        <v>5380</v>
      </c>
      <c r="Q154" s="1844" t="s">
        <v>5381</v>
      </c>
      <c r="R154" s="2995" t="s">
        <v>5382</v>
      </c>
      <c r="S154" s="1844" t="s">
        <v>5383</v>
      </c>
      <c r="T154" s="2995" t="s">
        <v>5384</v>
      </c>
      <c r="U154" s="1844" t="s">
        <v>5385</v>
      </c>
      <c r="V154" s="2852" t="s">
        <v>5386</v>
      </c>
      <c r="W154" s="1844" t="s">
        <v>5387</v>
      </c>
      <c r="X154" s="2852" t="s">
        <v>5388</v>
      </c>
      <c r="Y154" s="1844" t="s">
        <v>5389</v>
      </c>
      <c r="Z154" s="2852" t="s">
        <v>5390</v>
      </c>
      <c r="AA154" s="1844" t="s">
        <v>5391</v>
      </c>
      <c r="AB154" s="2852" t="s">
        <v>5392</v>
      </c>
      <c r="AC154" s="1844" t="s">
        <v>5393</v>
      </c>
      <c r="AD154" s="2852" t="s">
        <v>5394</v>
      </c>
      <c r="AE154" s="1844" t="s">
        <v>5395</v>
      </c>
      <c r="AF154" s="2852" t="s">
        <v>5396</v>
      </c>
      <c r="AG154" s="1844" t="s">
        <v>5397</v>
      </c>
      <c r="AH154" s="2852" t="s">
        <v>5398</v>
      </c>
      <c r="AI154" s="1844" t="s">
        <v>5399</v>
      </c>
      <c r="AJ154" s="2852" t="s">
        <v>5400</v>
      </c>
      <c r="AK154" s="1844" t="s">
        <v>5401</v>
      </c>
      <c r="AL154" s="2852" t="s">
        <v>5402</v>
      </c>
      <c r="AM154" s="1844" t="s">
        <v>5403</v>
      </c>
      <c r="AN154" s="2852" t="s">
        <v>5404</v>
      </c>
      <c r="AO154" s="1844" t="s">
        <v>5405</v>
      </c>
      <c r="AP154" s="2852" t="s">
        <v>5406</v>
      </c>
      <c r="AQ154" s="2957" t="s">
        <v>5407</v>
      </c>
      <c r="AR154" s="2826" t="s">
        <v>5408</v>
      </c>
      <c r="AS154" s="2814" t="s">
        <v>5409</v>
      </c>
      <c r="AT154" s="3758" t="s">
        <v>5410</v>
      </c>
      <c r="AU154" s="3758" t="s">
        <v>5411</v>
      </c>
      <c r="AV154" s="3758" t="s">
        <v>5412</v>
      </c>
      <c r="AW154" s="3758" t="s">
        <v>5413</v>
      </c>
      <c r="AX154" s="3758" t="s">
        <v>5414</v>
      </c>
      <c r="AY154" s="3758" t="s">
        <v>5415</v>
      </c>
      <c r="AZ154" s="1496" t="e">
        <f t="shared" si="91"/>
        <v>#VALUE!</v>
      </c>
      <c r="BW154" s="1430"/>
      <c r="BX154" s="1430"/>
      <c r="CB154" s="1435" t="e">
        <f t="shared" si="92"/>
        <v>#VALUE!</v>
      </c>
      <c r="CC154" s="1435" t="e">
        <f t="shared" si="93"/>
        <v>#VALUE!</v>
      </c>
      <c r="CD154" s="1435" t="str">
        <f t="shared" si="94"/>
        <v xml:space="preserve">* Las actividades de usuarios en situación de discapacidad NO DEBEN superar el total. </v>
      </c>
      <c r="CE154" s="1435" t="str">
        <f t="shared" si="95"/>
        <v xml:space="preserve">* Las Embarazadas NO DEBEN ser mayor al total de mujeres. </v>
      </c>
      <c r="CF154" s="1435" t="str">
        <f t="shared" si="102"/>
        <v xml:space="preserve">* La Población SENAME NO DEBE ser mayor al Total. </v>
      </c>
      <c r="CG154" s="1435" t="str">
        <f t="shared" si="103"/>
        <v xml:space="preserve">* La Población Mejor Niñez NO DEBE ser mayor al Total. </v>
      </c>
      <c r="CH154" s="1435" t="str">
        <f t="shared" si="96"/>
        <v xml:space="preserve">* La Población Migrante NO DEBE superar el Total. </v>
      </c>
      <c r="DB154" s="1436" t="e">
        <f t="shared" si="97"/>
        <v>#VALUE!</v>
      </c>
      <c r="DC154" s="1436" t="e">
        <f t="shared" si="98"/>
        <v>#VALUE!</v>
      </c>
      <c r="DD154" s="1436">
        <f t="shared" si="99"/>
        <v>1</v>
      </c>
      <c r="DE154" s="1436">
        <f t="shared" si="100"/>
        <v>1</v>
      </c>
      <c r="DF154" s="1436">
        <f t="shared" si="104"/>
        <v>1</v>
      </c>
      <c r="DG154" s="1436">
        <f t="shared" si="105"/>
        <v>1</v>
      </c>
      <c r="DH154" s="1436">
        <f t="shared" si="101"/>
        <v>1</v>
      </c>
    </row>
    <row r="155" spans="1:112" ht="16.350000000000001" customHeight="1" x14ac:dyDescent="0.25">
      <c r="A155" s="7520" t="s">
        <v>5215</v>
      </c>
      <c r="B155" s="9847" t="s">
        <v>2102</v>
      </c>
      <c r="C155" s="9848"/>
      <c r="D155" s="9849"/>
      <c r="E155" s="4689" t="s">
        <v>5369</v>
      </c>
      <c r="F155" s="2923" t="s">
        <v>5370</v>
      </c>
      <c r="G155" s="1841" t="s">
        <v>5371</v>
      </c>
      <c r="H155" s="2822" t="s">
        <v>5372</v>
      </c>
      <c r="I155" s="1844" t="s">
        <v>5373</v>
      </c>
      <c r="J155" s="2852" t="s">
        <v>5374</v>
      </c>
      <c r="K155" s="1844" t="s">
        <v>5375</v>
      </c>
      <c r="L155" s="2852" t="s">
        <v>5376</v>
      </c>
      <c r="M155" s="1844" t="s">
        <v>5377</v>
      </c>
      <c r="N155" s="2852" t="s">
        <v>5378</v>
      </c>
      <c r="O155" s="1844" t="s">
        <v>5379</v>
      </c>
      <c r="P155" s="2995" t="s">
        <v>5380</v>
      </c>
      <c r="Q155" s="1844" t="s">
        <v>5381</v>
      </c>
      <c r="R155" s="2995" t="s">
        <v>5382</v>
      </c>
      <c r="S155" s="1844" t="s">
        <v>5383</v>
      </c>
      <c r="T155" s="2995" t="s">
        <v>5384</v>
      </c>
      <c r="U155" s="1844" t="s">
        <v>5385</v>
      </c>
      <c r="V155" s="2852" t="s">
        <v>5386</v>
      </c>
      <c r="W155" s="1844" t="s">
        <v>5387</v>
      </c>
      <c r="X155" s="2852" t="s">
        <v>5388</v>
      </c>
      <c r="Y155" s="1844" t="s">
        <v>5389</v>
      </c>
      <c r="Z155" s="2852" t="s">
        <v>5390</v>
      </c>
      <c r="AA155" s="1844" t="s">
        <v>5391</v>
      </c>
      <c r="AB155" s="2852" t="s">
        <v>5392</v>
      </c>
      <c r="AC155" s="1844" t="s">
        <v>5393</v>
      </c>
      <c r="AD155" s="2852" t="s">
        <v>5394</v>
      </c>
      <c r="AE155" s="1844" t="s">
        <v>5395</v>
      </c>
      <c r="AF155" s="2852" t="s">
        <v>5396</v>
      </c>
      <c r="AG155" s="1844" t="s">
        <v>5397</v>
      </c>
      <c r="AH155" s="2852" t="s">
        <v>5398</v>
      </c>
      <c r="AI155" s="1844" t="s">
        <v>5399</v>
      </c>
      <c r="AJ155" s="2852" t="s">
        <v>5400</v>
      </c>
      <c r="AK155" s="1844" t="s">
        <v>5401</v>
      </c>
      <c r="AL155" s="2852" t="s">
        <v>5402</v>
      </c>
      <c r="AM155" s="1844" t="s">
        <v>5403</v>
      </c>
      <c r="AN155" s="2852" t="s">
        <v>5404</v>
      </c>
      <c r="AO155" s="1844" t="s">
        <v>5405</v>
      </c>
      <c r="AP155" s="2852" t="s">
        <v>5406</v>
      </c>
      <c r="AQ155" s="2957" t="s">
        <v>5407</v>
      </c>
      <c r="AR155" s="2826" t="s">
        <v>5408</v>
      </c>
      <c r="AS155" s="2814" t="s">
        <v>5409</v>
      </c>
      <c r="AT155" s="3758" t="s">
        <v>5410</v>
      </c>
      <c r="AU155" s="3758" t="s">
        <v>5411</v>
      </c>
      <c r="AV155" s="3758" t="s">
        <v>5412</v>
      </c>
      <c r="AW155" s="3758" t="s">
        <v>5413</v>
      </c>
      <c r="AX155" s="3758" t="s">
        <v>5414</v>
      </c>
      <c r="AY155" s="3758" t="s">
        <v>5415</v>
      </c>
      <c r="AZ155" s="1496" t="e">
        <f t="shared" si="91"/>
        <v>#VALUE!</v>
      </c>
      <c r="BW155" s="1430"/>
      <c r="BX155" s="1430"/>
      <c r="CB155" s="1435" t="e">
        <f t="shared" si="92"/>
        <v>#VALUE!</v>
      </c>
      <c r="CC155" s="1435" t="e">
        <f t="shared" si="93"/>
        <v>#VALUE!</v>
      </c>
      <c r="CD155" s="1435" t="str">
        <f t="shared" si="94"/>
        <v xml:space="preserve">* Las actividades de usuarios en situación de discapacidad NO DEBEN superar el total. </v>
      </c>
      <c r="CE155" s="1435" t="str">
        <f t="shared" si="95"/>
        <v xml:space="preserve">* Las Embarazadas NO DEBEN ser mayor al total de mujeres. </v>
      </c>
      <c r="CF155" s="1435" t="str">
        <f t="shared" si="102"/>
        <v xml:space="preserve">* La Población SENAME NO DEBE ser mayor al Total. </v>
      </c>
      <c r="CG155" s="1435" t="str">
        <f t="shared" si="103"/>
        <v xml:space="preserve">* La Población Mejor Niñez NO DEBE ser mayor al Total. </v>
      </c>
      <c r="CH155" s="1435" t="str">
        <f t="shared" si="96"/>
        <v xml:space="preserve">* La Población Migrante NO DEBE superar el Total. </v>
      </c>
      <c r="DB155" s="1436" t="e">
        <f t="shared" si="97"/>
        <v>#VALUE!</v>
      </c>
      <c r="DC155" s="1436" t="e">
        <f t="shared" si="98"/>
        <v>#VALUE!</v>
      </c>
      <c r="DD155" s="1436">
        <f t="shared" si="99"/>
        <v>1</v>
      </c>
      <c r="DE155" s="1436">
        <f t="shared" si="100"/>
        <v>1</v>
      </c>
      <c r="DF155" s="1436">
        <f t="shared" si="104"/>
        <v>1</v>
      </c>
      <c r="DG155" s="1436">
        <f t="shared" si="105"/>
        <v>1</v>
      </c>
      <c r="DH155" s="1436">
        <f t="shared" si="101"/>
        <v>1</v>
      </c>
    </row>
    <row r="156" spans="1:112" ht="16.350000000000001" customHeight="1" x14ac:dyDescent="0.25">
      <c r="A156" s="7665" t="s">
        <v>5216</v>
      </c>
      <c r="B156" s="9850" t="s">
        <v>1121</v>
      </c>
      <c r="C156" s="9850"/>
      <c r="D156" s="9851"/>
      <c r="E156" s="4688" t="s">
        <v>5369</v>
      </c>
      <c r="F156" s="2923" t="s">
        <v>5370</v>
      </c>
      <c r="G156" s="1841" t="s">
        <v>5371</v>
      </c>
      <c r="H156" s="3158" t="s">
        <v>5372</v>
      </c>
      <c r="I156" s="2821" t="s">
        <v>5373</v>
      </c>
      <c r="J156" s="2477" t="s">
        <v>5374</v>
      </c>
      <c r="K156" s="2821" t="s">
        <v>5375</v>
      </c>
      <c r="L156" s="2477" t="s">
        <v>5376</v>
      </c>
      <c r="M156" s="2821" t="s">
        <v>5377</v>
      </c>
      <c r="N156" s="2477" t="s">
        <v>5378</v>
      </c>
      <c r="O156" s="2821" t="s">
        <v>5379</v>
      </c>
      <c r="P156" s="2828" t="s">
        <v>5380</v>
      </c>
      <c r="Q156" s="2821" t="s">
        <v>5381</v>
      </c>
      <c r="R156" s="2828" t="s">
        <v>5382</v>
      </c>
      <c r="S156" s="2821" t="s">
        <v>5383</v>
      </c>
      <c r="T156" s="2828" t="s">
        <v>5384</v>
      </c>
      <c r="U156" s="2821" t="s">
        <v>5385</v>
      </c>
      <c r="V156" s="2477" t="s">
        <v>5386</v>
      </c>
      <c r="W156" s="2821" t="s">
        <v>5387</v>
      </c>
      <c r="X156" s="2477" t="s">
        <v>5388</v>
      </c>
      <c r="Y156" s="2821" t="s">
        <v>5389</v>
      </c>
      <c r="Z156" s="2477" t="s">
        <v>5390</v>
      </c>
      <c r="AA156" s="2821" t="s">
        <v>5391</v>
      </c>
      <c r="AB156" s="2477" t="s">
        <v>5392</v>
      </c>
      <c r="AC156" s="2821" t="s">
        <v>5393</v>
      </c>
      <c r="AD156" s="2477" t="s">
        <v>5394</v>
      </c>
      <c r="AE156" s="2821" t="s">
        <v>5395</v>
      </c>
      <c r="AF156" s="2477" t="s">
        <v>5396</v>
      </c>
      <c r="AG156" s="2821" t="s">
        <v>5397</v>
      </c>
      <c r="AH156" s="2477" t="s">
        <v>5398</v>
      </c>
      <c r="AI156" s="2821" t="s">
        <v>5399</v>
      </c>
      <c r="AJ156" s="2477" t="s">
        <v>5400</v>
      </c>
      <c r="AK156" s="2821" t="s">
        <v>5401</v>
      </c>
      <c r="AL156" s="2477" t="s">
        <v>5402</v>
      </c>
      <c r="AM156" s="2821" t="s">
        <v>5403</v>
      </c>
      <c r="AN156" s="2477" t="s">
        <v>5404</v>
      </c>
      <c r="AO156" s="2821" t="s">
        <v>5405</v>
      </c>
      <c r="AP156" s="2477" t="s">
        <v>5406</v>
      </c>
      <c r="AQ156" s="2830" t="s">
        <v>5407</v>
      </c>
      <c r="AR156" s="3186" t="s">
        <v>5408</v>
      </c>
      <c r="AS156" s="2826" t="s">
        <v>5409</v>
      </c>
      <c r="AT156" s="3478" t="s">
        <v>5410</v>
      </c>
      <c r="AU156" s="3127" t="s">
        <v>5411</v>
      </c>
      <c r="AV156" s="3127" t="s">
        <v>5412</v>
      </c>
      <c r="AW156" s="3127" t="s">
        <v>5413</v>
      </c>
      <c r="AX156" s="3127" t="s">
        <v>5414</v>
      </c>
      <c r="AY156" s="3127" t="s">
        <v>5415</v>
      </c>
      <c r="AZ156" s="1496" t="e">
        <f t="shared" si="91"/>
        <v>#VALUE!</v>
      </c>
      <c r="BW156" s="1430"/>
      <c r="BX156" s="1430"/>
      <c r="CB156" s="1435" t="e">
        <f t="shared" si="92"/>
        <v>#VALUE!</v>
      </c>
      <c r="CC156" s="1435" t="e">
        <f t="shared" si="93"/>
        <v>#VALUE!</v>
      </c>
      <c r="CD156" s="1435" t="str">
        <f t="shared" si="94"/>
        <v xml:space="preserve">* Las actividades de usuarios en situación de discapacidad NO DEBEN superar el total. </v>
      </c>
      <c r="CE156" s="1435" t="str">
        <f t="shared" si="95"/>
        <v xml:space="preserve">* Las Embarazadas NO DEBEN ser mayor al total de mujeres. </v>
      </c>
      <c r="CF156" s="1435" t="str">
        <f t="shared" si="102"/>
        <v xml:space="preserve">* La Población SENAME NO DEBE ser mayor al Total. </v>
      </c>
      <c r="CG156" s="1435" t="str">
        <f t="shared" si="103"/>
        <v xml:space="preserve">* La Población Mejor Niñez NO DEBE ser mayor al Total. </v>
      </c>
      <c r="CH156" s="1435" t="str">
        <f t="shared" si="96"/>
        <v xml:space="preserve">* La Población Migrante NO DEBE superar el Total. </v>
      </c>
      <c r="DB156" s="1436" t="e">
        <f t="shared" si="97"/>
        <v>#VALUE!</v>
      </c>
      <c r="DC156" s="1436" t="e">
        <f t="shared" si="98"/>
        <v>#VALUE!</v>
      </c>
      <c r="DD156" s="1436">
        <f t="shared" si="99"/>
        <v>1</v>
      </c>
      <c r="DE156" s="1436">
        <f t="shared" si="100"/>
        <v>1</v>
      </c>
      <c r="DF156" s="1436">
        <f t="shared" si="104"/>
        <v>1</v>
      </c>
      <c r="DG156" s="1436">
        <f t="shared" si="105"/>
        <v>1</v>
      </c>
      <c r="DH156" s="1436">
        <f t="shared" si="101"/>
        <v>1</v>
      </c>
    </row>
    <row r="157" spans="1:112" ht="16.350000000000001" customHeight="1" x14ac:dyDescent="0.25">
      <c r="B157" s="9485" t="s">
        <v>24</v>
      </c>
      <c r="C157" s="9486"/>
      <c r="D157" s="9503"/>
      <c r="E157" s="4678">
        <f>SUM(E148:E156)</f>
        <v>0</v>
      </c>
      <c r="F157" s="4677">
        <f>SUM(F148:F156)</f>
        <v>0</v>
      </c>
      <c r="G157" s="4681">
        <f>SUM(G148:G156)</f>
        <v>0</v>
      </c>
      <c r="H157" s="4690">
        <f t="shared" ref="H157:AU157" si="106">SUM(H148:H156)</f>
        <v>0</v>
      </c>
      <c r="I157" s="4681">
        <f t="shared" si="106"/>
        <v>0</v>
      </c>
      <c r="J157" s="4690">
        <f t="shared" si="106"/>
        <v>0</v>
      </c>
      <c r="K157" s="4691">
        <f t="shared" si="106"/>
        <v>0</v>
      </c>
      <c r="L157" s="4690">
        <f t="shared" si="106"/>
        <v>0</v>
      </c>
      <c r="M157" s="4691">
        <f t="shared" si="106"/>
        <v>0</v>
      </c>
      <c r="N157" s="4690">
        <f t="shared" si="106"/>
        <v>0</v>
      </c>
      <c r="O157" s="4681">
        <f t="shared" si="106"/>
        <v>0</v>
      </c>
      <c r="P157" s="4690">
        <f t="shared" si="106"/>
        <v>0</v>
      </c>
      <c r="Q157" s="4681">
        <f t="shared" si="106"/>
        <v>0</v>
      </c>
      <c r="R157" s="4690">
        <f t="shared" si="106"/>
        <v>0</v>
      </c>
      <c r="S157" s="4681">
        <f t="shared" si="106"/>
        <v>0</v>
      </c>
      <c r="T157" s="4690">
        <f t="shared" si="106"/>
        <v>0</v>
      </c>
      <c r="U157" s="4681">
        <f t="shared" si="106"/>
        <v>0</v>
      </c>
      <c r="V157" s="4690">
        <f t="shared" si="106"/>
        <v>0</v>
      </c>
      <c r="W157" s="4681">
        <f t="shared" si="106"/>
        <v>0</v>
      </c>
      <c r="X157" s="4690">
        <f t="shared" si="106"/>
        <v>0</v>
      </c>
      <c r="Y157" s="4681">
        <f t="shared" si="106"/>
        <v>0</v>
      </c>
      <c r="Z157" s="4690">
        <f t="shared" si="106"/>
        <v>0</v>
      </c>
      <c r="AA157" s="4681">
        <f t="shared" si="106"/>
        <v>0</v>
      </c>
      <c r="AB157" s="4690">
        <f t="shared" si="106"/>
        <v>0</v>
      </c>
      <c r="AC157" s="4681">
        <f t="shared" si="106"/>
        <v>0</v>
      </c>
      <c r="AD157" s="4690">
        <f t="shared" si="106"/>
        <v>0</v>
      </c>
      <c r="AE157" s="4681">
        <f t="shared" si="106"/>
        <v>0</v>
      </c>
      <c r="AF157" s="4690">
        <f t="shared" si="106"/>
        <v>0</v>
      </c>
      <c r="AG157" s="4681">
        <f t="shared" si="106"/>
        <v>0</v>
      </c>
      <c r="AH157" s="4690">
        <f t="shared" si="106"/>
        <v>0</v>
      </c>
      <c r="AI157" s="4681">
        <f t="shared" si="106"/>
        <v>0</v>
      </c>
      <c r="AJ157" s="4690">
        <f t="shared" si="106"/>
        <v>0</v>
      </c>
      <c r="AK157" s="4681">
        <f t="shared" si="106"/>
        <v>0</v>
      </c>
      <c r="AL157" s="4690">
        <f t="shared" si="106"/>
        <v>0</v>
      </c>
      <c r="AM157" s="4681">
        <f t="shared" si="106"/>
        <v>0</v>
      </c>
      <c r="AN157" s="4690">
        <f t="shared" si="106"/>
        <v>0</v>
      </c>
      <c r="AO157" s="4681">
        <f t="shared" si="106"/>
        <v>0</v>
      </c>
      <c r="AP157" s="4690">
        <f t="shared" si="106"/>
        <v>0</v>
      </c>
      <c r="AQ157" s="4683">
        <f t="shared" si="106"/>
        <v>0</v>
      </c>
      <c r="AR157" s="4681">
        <f t="shared" si="106"/>
        <v>0</v>
      </c>
      <c r="AS157" s="4682">
        <f t="shared" si="106"/>
        <v>0</v>
      </c>
      <c r="AT157" s="4681">
        <f t="shared" si="106"/>
        <v>0</v>
      </c>
      <c r="AU157" s="4692">
        <f t="shared" si="106"/>
        <v>0</v>
      </c>
      <c r="AV157" s="4692">
        <f>SUM(AV148:AV156)</f>
        <v>0</v>
      </c>
      <c r="AW157" s="4692">
        <f>SUM(AW148:AW156)</f>
        <v>0</v>
      </c>
      <c r="AX157" s="4692">
        <f>SUM(AX148:AX156)</f>
        <v>0</v>
      </c>
      <c r="AY157" s="4692">
        <f>SUM(AY148:AY156)</f>
        <v>0</v>
      </c>
      <c r="BW157" s="1430"/>
      <c r="BX157" s="1430"/>
      <c r="CB157" s="1435"/>
      <c r="CC157" s="1435"/>
      <c r="CD157" s="1435"/>
      <c r="CE157" s="1435"/>
      <c r="DB157" s="1436"/>
      <c r="DC157" s="1436"/>
      <c r="DD157" s="1436"/>
      <c r="DE157" s="1436"/>
      <c r="DF157" s="1432"/>
      <c r="DG157" s="1432"/>
      <c r="DH157" s="1432"/>
    </row>
    <row r="158" spans="1:112" ht="27" customHeight="1" x14ac:dyDescent="0.25">
      <c r="B158" s="133" t="s">
        <v>1120</v>
      </c>
      <c r="C158" s="689"/>
      <c r="D158" s="689"/>
      <c r="E158" s="689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806"/>
      <c r="S158" s="235"/>
      <c r="T158" s="290"/>
      <c r="U158" s="290"/>
      <c r="V158" s="290"/>
      <c r="W158" s="290"/>
      <c r="X158" s="290"/>
      <c r="Y158" s="301"/>
      <c r="Z158" s="290"/>
      <c r="AA158" s="290"/>
      <c r="AB158" s="290"/>
      <c r="AC158" s="290"/>
      <c r="AD158" s="290"/>
      <c r="AE158" s="290"/>
      <c r="AF158" s="290"/>
      <c r="AG158" s="290"/>
      <c r="BW158" s="1430"/>
      <c r="BX158" s="1430"/>
      <c r="CB158" s="1435"/>
      <c r="CC158" s="1435"/>
      <c r="CD158" s="1435"/>
      <c r="CE158" s="1435"/>
      <c r="DB158" s="1436"/>
      <c r="DC158" s="1436"/>
      <c r="DD158" s="1436"/>
      <c r="DE158" s="1436"/>
      <c r="DF158" s="1432"/>
      <c r="DG158" s="1432"/>
      <c r="DH158" s="1432"/>
    </row>
    <row r="159" spans="1:112" ht="16.350000000000001" customHeight="1" x14ac:dyDescent="0.25">
      <c r="B159" s="9762" t="s">
        <v>1119</v>
      </c>
      <c r="C159" s="9046"/>
      <c r="D159" s="9678"/>
      <c r="E159" s="9783" t="s">
        <v>24</v>
      </c>
      <c r="F159" s="9533"/>
      <c r="G159" s="9575"/>
      <c r="H159" s="9747" t="s">
        <v>1063</v>
      </c>
      <c r="I159" s="9749"/>
      <c r="J159" s="9749"/>
      <c r="K159" s="9749"/>
      <c r="L159" s="9749"/>
      <c r="M159" s="9749"/>
      <c r="N159" s="9749"/>
      <c r="O159" s="9749"/>
      <c r="P159" s="9749"/>
      <c r="Q159" s="9749"/>
      <c r="R159" s="9749"/>
      <c r="S159" s="9749"/>
      <c r="T159" s="9749"/>
      <c r="U159" s="9749"/>
      <c r="V159" s="9749"/>
      <c r="W159" s="9749"/>
      <c r="X159" s="9749"/>
      <c r="Y159" s="9749"/>
      <c r="Z159" s="9749"/>
      <c r="AA159" s="9749"/>
      <c r="AB159" s="9749"/>
      <c r="AC159" s="9749"/>
      <c r="AD159" s="9749"/>
      <c r="AE159" s="9749"/>
      <c r="AF159" s="9749"/>
      <c r="AG159" s="9749"/>
      <c r="AH159" s="9749"/>
      <c r="AI159" s="9749"/>
      <c r="AJ159" s="9749"/>
      <c r="AK159" s="9749"/>
      <c r="AL159" s="9749"/>
      <c r="AM159" s="9749"/>
      <c r="AN159" s="9749"/>
      <c r="AO159" s="9749"/>
      <c r="AP159" s="9749"/>
      <c r="AQ159" s="9748"/>
      <c r="AR159" s="9858" t="s">
        <v>1738</v>
      </c>
      <c r="AS159" s="9791" t="s">
        <v>2553</v>
      </c>
      <c r="AT159" s="9821" t="s">
        <v>3005</v>
      </c>
      <c r="AU159" s="9821" t="s">
        <v>2694</v>
      </c>
      <c r="AV159" s="6831"/>
      <c r="AW159" s="9822" t="s">
        <v>3671</v>
      </c>
      <c r="AX159" s="9744" t="s">
        <v>3672</v>
      </c>
      <c r="AZ159" s="165"/>
      <c r="BA159" s="199"/>
      <c r="BW159" s="1430"/>
      <c r="BX159" s="1430"/>
      <c r="CB159" s="1435"/>
      <c r="CC159" s="1435"/>
      <c r="CD159" s="1435"/>
      <c r="CE159" s="1435"/>
      <c r="DB159" s="1436"/>
      <c r="DC159" s="1436"/>
      <c r="DD159" s="1436"/>
      <c r="DE159" s="1436"/>
      <c r="DF159" s="1432"/>
      <c r="DG159" s="1432"/>
      <c r="DH159" s="1432"/>
    </row>
    <row r="160" spans="1:112" ht="32.1" customHeight="1" x14ac:dyDescent="0.25">
      <c r="B160" s="9667"/>
      <c r="C160" s="9696"/>
      <c r="D160" s="9737"/>
      <c r="E160" s="8596"/>
      <c r="F160" s="8560"/>
      <c r="G160" s="8581"/>
      <c r="H160" s="9745" t="s">
        <v>3662</v>
      </c>
      <c r="I160" s="9746"/>
      <c r="J160" s="9747" t="s">
        <v>1079</v>
      </c>
      <c r="K160" s="9748"/>
      <c r="L160" s="9749" t="s">
        <v>1078</v>
      </c>
      <c r="M160" s="9748"/>
      <c r="N160" s="9747" t="s">
        <v>3663</v>
      </c>
      <c r="O160" s="9748"/>
      <c r="P160" s="9747" t="s">
        <v>1077</v>
      </c>
      <c r="Q160" s="9748"/>
      <c r="R160" s="9747" t="s">
        <v>1076</v>
      </c>
      <c r="S160" s="9748"/>
      <c r="T160" s="9747" t="s">
        <v>1047</v>
      </c>
      <c r="U160" s="9748"/>
      <c r="V160" s="9747" t="s">
        <v>1046</v>
      </c>
      <c r="W160" s="9748"/>
      <c r="X160" s="9747" t="s">
        <v>3664</v>
      </c>
      <c r="Y160" s="9748"/>
      <c r="Z160" s="9747" t="s">
        <v>48</v>
      </c>
      <c r="AA160" s="9750"/>
      <c r="AB160" s="9747" t="s">
        <v>49</v>
      </c>
      <c r="AC160" s="9750"/>
      <c r="AD160" s="9864" t="s">
        <v>3731</v>
      </c>
      <c r="AE160" s="9865"/>
      <c r="AF160" s="9864" t="s">
        <v>3732</v>
      </c>
      <c r="AG160" s="9865"/>
      <c r="AH160" s="9864" t="s">
        <v>3733</v>
      </c>
      <c r="AI160" s="9865"/>
      <c r="AJ160" s="9864" t="s">
        <v>3734</v>
      </c>
      <c r="AK160" s="9865"/>
      <c r="AL160" s="9747" t="s">
        <v>2132</v>
      </c>
      <c r="AM160" s="9750"/>
      <c r="AN160" s="9747" t="s">
        <v>2133</v>
      </c>
      <c r="AO160" s="9750"/>
      <c r="AP160" s="9747" t="s">
        <v>2131</v>
      </c>
      <c r="AQ160" s="9750"/>
      <c r="AR160" s="8994"/>
      <c r="AS160" s="9793"/>
      <c r="AT160" s="9821"/>
      <c r="AU160" s="9821"/>
      <c r="AV160" s="6829" t="s">
        <v>361</v>
      </c>
      <c r="AW160" s="9823"/>
      <c r="AX160" s="9516"/>
      <c r="AZ160" s="165"/>
      <c r="BA160" s="199"/>
      <c r="BW160" s="1430"/>
      <c r="BX160" s="1430"/>
      <c r="CB160" s="1435"/>
      <c r="CC160" s="1435"/>
      <c r="CD160" s="1435"/>
      <c r="CE160" s="1435"/>
      <c r="DB160" s="1436"/>
      <c r="DC160" s="1436"/>
      <c r="DD160" s="1436"/>
      <c r="DE160" s="1436"/>
      <c r="DF160" s="1432"/>
      <c r="DG160" s="1432"/>
      <c r="DH160" s="1432"/>
    </row>
    <row r="161" spans="1:112" ht="16.350000000000001" customHeight="1" x14ac:dyDescent="0.25">
      <c r="B161" s="9763"/>
      <c r="C161" s="9738"/>
      <c r="D161" s="9739"/>
      <c r="E161" s="3752" t="s">
        <v>42</v>
      </c>
      <c r="F161" s="4574" t="s">
        <v>17</v>
      </c>
      <c r="G161" s="4607" t="s">
        <v>18</v>
      </c>
      <c r="H161" s="3673" t="s">
        <v>17</v>
      </c>
      <c r="I161" s="4545" t="s">
        <v>18</v>
      </c>
      <c r="J161" s="3673" t="s">
        <v>17</v>
      </c>
      <c r="K161" s="4545" t="s">
        <v>18</v>
      </c>
      <c r="L161" s="3673" t="s">
        <v>17</v>
      </c>
      <c r="M161" s="4545" t="s">
        <v>18</v>
      </c>
      <c r="N161" s="3673" t="s">
        <v>17</v>
      </c>
      <c r="O161" s="4545" t="s">
        <v>18</v>
      </c>
      <c r="P161" s="3673" t="s">
        <v>17</v>
      </c>
      <c r="Q161" s="4545" t="s">
        <v>18</v>
      </c>
      <c r="R161" s="3673" t="s">
        <v>17</v>
      </c>
      <c r="S161" s="4545" t="s">
        <v>18</v>
      </c>
      <c r="T161" s="3673" t="s">
        <v>17</v>
      </c>
      <c r="U161" s="4545" t="s">
        <v>18</v>
      </c>
      <c r="V161" s="3673" t="s">
        <v>17</v>
      </c>
      <c r="W161" s="4545" t="s">
        <v>18</v>
      </c>
      <c r="X161" s="3673" t="s">
        <v>17</v>
      </c>
      <c r="Y161" s="4545" t="s">
        <v>18</v>
      </c>
      <c r="Z161" s="3673" t="s">
        <v>17</v>
      </c>
      <c r="AA161" s="4545" t="s">
        <v>18</v>
      </c>
      <c r="AB161" s="3673" t="s">
        <v>17</v>
      </c>
      <c r="AC161" s="4545" t="s">
        <v>18</v>
      </c>
      <c r="AD161" s="3673" t="s">
        <v>17</v>
      </c>
      <c r="AE161" s="4545" t="s">
        <v>18</v>
      </c>
      <c r="AF161" s="3673" t="s">
        <v>17</v>
      </c>
      <c r="AG161" s="4545" t="s">
        <v>18</v>
      </c>
      <c r="AH161" s="3673" t="s">
        <v>17</v>
      </c>
      <c r="AI161" s="4545" t="s">
        <v>18</v>
      </c>
      <c r="AJ161" s="3673" t="s">
        <v>17</v>
      </c>
      <c r="AK161" s="4545" t="s">
        <v>18</v>
      </c>
      <c r="AL161" s="3673" t="s">
        <v>17</v>
      </c>
      <c r="AM161" s="4545" t="s">
        <v>18</v>
      </c>
      <c r="AN161" s="3673" t="s">
        <v>17</v>
      </c>
      <c r="AO161" s="4545" t="s">
        <v>18</v>
      </c>
      <c r="AP161" s="3673" t="s">
        <v>17</v>
      </c>
      <c r="AQ161" s="4545" t="s">
        <v>18</v>
      </c>
      <c r="AR161" s="9859"/>
      <c r="AS161" s="9795"/>
      <c r="AT161" s="9821"/>
      <c r="AU161" s="9821"/>
      <c r="AV161" s="6832"/>
      <c r="AW161" s="9824"/>
      <c r="AX161" s="9543"/>
      <c r="AZ161" s="165"/>
      <c r="BA161" s="199"/>
      <c r="BW161" s="1430"/>
      <c r="BX161" s="1430"/>
      <c r="CB161" s="1435"/>
      <c r="CC161" s="1435"/>
      <c r="CD161" s="1435"/>
      <c r="CE161" s="1435"/>
      <c r="DB161" s="1436"/>
      <c r="DC161" s="1436"/>
      <c r="DD161" s="1436"/>
      <c r="DE161" s="1436"/>
      <c r="DF161" s="1432"/>
      <c r="DG161" s="1432"/>
      <c r="DH161" s="1432"/>
    </row>
    <row r="162" spans="1:112" ht="16.350000000000001" customHeight="1" x14ac:dyDescent="0.25">
      <c r="A162" s="7520" t="s">
        <v>5217</v>
      </c>
      <c r="B162" s="8627" t="s">
        <v>1118</v>
      </c>
      <c r="C162" s="9860" t="s">
        <v>1117</v>
      </c>
      <c r="D162" s="9861"/>
      <c r="E162" s="4693" t="s">
        <v>5369</v>
      </c>
      <c r="F162" s="4694" t="s">
        <v>5370</v>
      </c>
      <c r="G162" s="4695" t="s">
        <v>5371</v>
      </c>
      <c r="H162" s="4696" t="s">
        <v>5372</v>
      </c>
      <c r="I162" s="4697" t="s">
        <v>5373</v>
      </c>
      <c r="J162" s="4696" t="s">
        <v>5374</v>
      </c>
      <c r="K162" s="4697" t="s">
        <v>5375</v>
      </c>
      <c r="L162" s="4696" t="s">
        <v>5376</v>
      </c>
      <c r="M162" s="4697" t="s">
        <v>5377</v>
      </c>
      <c r="N162" s="4696" t="s">
        <v>5378</v>
      </c>
      <c r="O162" s="4697" t="s">
        <v>5379</v>
      </c>
      <c r="P162" s="4696" t="s">
        <v>5380</v>
      </c>
      <c r="Q162" s="4697" t="s">
        <v>5381</v>
      </c>
      <c r="R162" s="4696" t="s">
        <v>5382</v>
      </c>
      <c r="S162" s="4697" t="s">
        <v>5383</v>
      </c>
      <c r="T162" s="4696" t="s">
        <v>5384</v>
      </c>
      <c r="U162" s="4697" t="s">
        <v>5385</v>
      </c>
      <c r="V162" s="4696" t="s">
        <v>5386</v>
      </c>
      <c r="W162" s="4697" t="s">
        <v>5387</v>
      </c>
      <c r="X162" s="4696" t="s">
        <v>5388</v>
      </c>
      <c r="Y162" s="4697" t="s">
        <v>5389</v>
      </c>
      <c r="Z162" s="4696" t="s">
        <v>5390</v>
      </c>
      <c r="AA162" s="4697" t="s">
        <v>5391</v>
      </c>
      <c r="AB162" s="4696" t="s">
        <v>5392</v>
      </c>
      <c r="AC162" s="4697" t="s">
        <v>5393</v>
      </c>
      <c r="AD162" s="4698" t="s">
        <v>5394</v>
      </c>
      <c r="AE162" s="4560" t="s">
        <v>5395</v>
      </c>
      <c r="AF162" s="4698" t="s">
        <v>5396</v>
      </c>
      <c r="AG162" s="4560" t="s">
        <v>5397</v>
      </c>
      <c r="AH162" s="4698" t="s">
        <v>5398</v>
      </c>
      <c r="AI162" s="4560" t="s">
        <v>5399</v>
      </c>
      <c r="AJ162" s="4698" t="s">
        <v>5400</v>
      </c>
      <c r="AK162" s="4560" t="s">
        <v>5401</v>
      </c>
      <c r="AL162" s="4698" t="s">
        <v>5402</v>
      </c>
      <c r="AM162" s="4560" t="s">
        <v>5403</v>
      </c>
      <c r="AN162" s="4698" t="s">
        <v>5404</v>
      </c>
      <c r="AO162" s="4560" t="s">
        <v>5405</v>
      </c>
      <c r="AP162" s="4698" t="s">
        <v>5406</v>
      </c>
      <c r="AQ162" s="4560" t="s">
        <v>5407</v>
      </c>
      <c r="AR162" s="4699" t="s">
        <v>5408</v>
      </c>
      <c r="AS162" s="4560" t="s">
        <v>5409</v>
      </c>
      <c r="AT162" s="3755" t="s">
        <v>5410</v>
      </c>
      <c r="AU162" s="3755" t="s">
        <v>5411</v>
      </c>
      <c r="AV162" s="6836" t="s">
        <v>5412</v>
      </c>
      <c r="AW162" s="4700" t="s">
        <v>5413</v>
      </c>
      <c r="AX162" s="6776" t="s">
        <v>5414</v>
      </c>
      <c r="AY162" s="1496" t="str">
        <f t="shared" ref="AY162:AY198" si="107">$CB162&amp;$CC162&amp;$CD162&amp;$CE162&amp;$CF162&amp;$CG162&amp;$CH162&amp;$CI162</f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</v>
      </c>
      <c r="AZ162" s="165"/>
      <c r="BA162" s="199"/>
      <c r="BW162" s="1430"/>
      <c r="BX162" s="1430"/>
      <c r="CB162" s="1435" t="str">
        <f>IF(DB162=1,"* El número de actividades en usuarios en situacion de discapacidad NO DEBE ser mayor al total. ","")</f>
        <v xml:space="preserve">* El número de actividades en usuarios en situacion de discapacidad NO DEBE ser mayor al total. </v>
      </c>
      <c r="CC162" s="1435" t="str">
        <f>IF(DC162=1,"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2" s="1435" t="str">
        <f>IF(DD162=1," * El número de actividades en Niños, Niñas, Adolescentes y Jóvenes de la red Mejor Niñez NO DEBE ser mayor al total. ","")</f>
        <v xml:space="preserve"> * El número de actividades en Niños, Niñas, Adolescentes y Jóvenes de la red Mejor Niñez NO DEBE ser mayor al total. </v>
      </c>
      <c r="CE162" s="1435" t="str">
        <f>IF(DE162=1," * El número de actividades en Población Migrante NO DEBE ser mayor al total. ","")</f>
        <v xml:space="preserve"> * El número de actividades en Población Migrante NO DEBE ser mayor al total. </v>
      </c>
      <c r="CF162" s="1435"/>
      <c r="DB162" s="1436">
        <f>IF($E162&lt;AS162,1,0)</f>
        <v>1</v>
      </c>
      <c r="DC162" s="1436">
        <f>IF($E162&lt;AT162,1,0)</f>
        <v>1</v>
      </c>
      <c r="DD162" s="1436">
        <f>IF($E162&lt;AU162,1,0)</f>
        <v>1</v>
      </c>
      <c r="DE162" s="1436">
        <f>IF($E162&lt;AV162,1,0)</f>
        <v>1</v>
      </c>
      <c r="DF162" s="1436"/>
      <c r="DG162" s="1432"/>
      <c r="DH162" s="1432"/>
    </row>
    <row r="163" spans="1:112" ht="16.350000000000001" customHeight="1" x14ac:dyDescent="0.25">
      <c r="A163" s="7520" t="s">
        <v>5218</v>
      </c>
      <c r="B163" s="8705"/>
      <c r="C163" s="9862" t="s">
        <v>1093</v>
      </c>
      <c r="D163" s="9863"/>
      <c r="E163" s="4701" t="s">
        <v>5369</v>
      </c>
      <c r="F163" s="4702" t="s">
        <v>5370</v>
      </c>
      <c r="G163" s="4703" t="s">
        <v>5371</v>
      </c>
      <c r="H163" s="3564" t="s">
        <v>5372</v>
      </c>
      <c r="I163" s="3565" t="s">
        <v>5373</v>
      </c>
      <c r="J163" s="3564" t="s">
        <v>5374</v>
      </c>
      <c r="K163" s="3565" t="s">
        <v>5375</v>
      </c>
      <c r="L163" s="3564" t="s">
        <v>5376</v>
      </c>
      <c r="M163" s="3565" t="s">
        <v>5377</v>
      </c>
      <c r="N163" s="3564" t="s">
        <v>5378</v>
      </c>
      <c r="O163" s="3565" t="s">
        <v>5379</v>
      </c>
      <c r="P163" s="3564" t="s">
        <v>5380</v>
      </c>
      <c r="Q163" s="3565" t="s">
        <v>5381</v>
      </c>
      <c r="R163" s="3564" t="s">
        <v>5382</v>
      </c>
      <c r="S163" s="3565" t="s">
        <v>5383</v>
      </c>
      <c r="T163" s="3564" t="s">
        <v>5384</v>
      </c>
      <c r="U163" s="3565" t="s">
        <v>5385</v>
      </c>
      <c r="V163" s="3564" t="s">
        <v>5386</v>
      </c>
      <c r="W163" s="3565" t="s">
        <v>5387</v>
      </c>
      <c r="X163" s="3564" t="s">
        <v>5388</v>
      </c>
      <c r="Y163" s="3565" t="s">
        <v>5389</v>
      </c>
      <c r="Z163" s="3564" t="s">
        <v>5390</v>
      </c>
      <c r="AA163" s="3565" t="s">
        <v>5391</v>
      </c>
      <c r="AB163" s="3564" t="s">
        <v>5392</v>
      </c>
      <c r="AC163" s="3565" t="s">
        <v>5393</v>
      </c>
      <c r="AD163" s="3566" t="s">
        <v>5394</v>
      </c>
      <c r="AE163" s="2986" t="s">
        <v>5395</v>
      </c>
      <c r="AF163" s="3566" t="s">
        <v>5396</v>
      </c>
      <c r="AG163" s="2986" t="s">
        <v>5397</v>
      </c>
      <c r="AH163" s="3566" t="s">
        <v>5398</v>
      </c>
      <c r="AI163" s="2986" t="s">
        <v>5399</v>
      </c>
      <c r="AJ163" s="3566" t="s">
        <v>5400</v>
      </c>
      <c r="AK163" s="2986" t="s">
        <v>5401</v>
      </c>
      <c r="AL163" s="3566" t="s">
        <v>5402</v>
      </c>
      <c r="AM163" s="2986" t="s">
        <v>5403</v>
      </c>
      <c r="AN163" s="3566" t="s">
        <v>5404</v>
      </c>
      <c r="AO163" s="2986" t="s">
        <v>5405</v>
      </c>
      <c r="AP163" s="3566" t="s">
        <v>5406</v>
      </c>
      <c r="AQ163" s="2986" t="s">
        <v>5407</v>
      </c>
      <c r="AR163" s="2449" t="s">
        <v>5408</v>
      </c>
      <c r="AS163" s="2986" t="s">
        <v>5409</v>
      </c>
      <c r="AT163" s="2814" t="s">
        <v>5410</v>
      </c>
      <c r="AU163" s="2814" t="s">
        <v>5411</v>
      </c>
      <c r="AV163" s="3478" t="s">
        <v>5412</v>
      </c>
      <c r="AW163" s="4704" t="s">
        <v>5413</v>
      </c>
      <c r="AX163" s="3758" t="s">
        <v>5414</v>
      </c>
      <c r="AY163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63" s="165"/>
      <c r="BA163" s="199"/>
      <c r="BW163" s="1430"/>
      <c r="BX163" s="1430"/>
      <c r="CB163" s="1435" t="str">
        <f>IF(DB163=1,"* El número de actividades en usuarios en situacion de discapacidad NO DEBE ser mayor al total. ","")</f>
        <v xml:space="preserve">* El número de actividades en usuarios en situacion de discapacidad NO DEBE ser mayor al total. </v>
      </c>
      <c r="CC163" s="1435" t="str">
        <f>IF(DC163=1,"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3" s="1435" t="str">
        <f t="shared" ref="CD163:CD198" si="108">IF(DD163=1," * El número de actividades en Niños, Niñas, Adolescentes y Jóvenes de la red Mejor Niñez NO DEBE ser mayor al total. ","")</f>
        <v xml:space="preserve"> * El número de actividades en Niños, Niñas, Adolescentes y Jóvenes de la red Mejor Niñez NO DEBE ser mayor al total. </v>
      </c>
      <c r="CE163" s="1435" t="str">
        <f>IF(DE163=1," * El número de actividades en Población Migrante NO DEBE ser mayor al total. ","")</f>
        <v xml:space="preserve"> * El número de actividades en Población Migrante NO DEBE ser mayor al total. </v>
      </c>
      <c r="CF163" s="1435" t="str">
        <f>IF(DF163=1," * El número de actividades en Pacientes Diabéticos en Control PSCV NO DEBE superar el total. ","")</f>
        <v xml:space="preserve"> * El número de actividades en Pacientes Diabéticos en Control PSCV NO DEBE superar el total. </v>
      </c>
      <c r="DB163" s="1436">
        <f>IF($E163&lt;AS163,1,0)</f>
        <v>1</v>
      </c>
      <c r="DC163" s="1436">
        <f t="shared" ref="DC163:DC198" si="109">IF($E163&lt;AT163,1,0)</f>
        <v>1</v>
      </c>
      <c r="DD163" s="1436">
        <f t="shared" ref="DD163:DD198" si="110">IF($E163&lt;AU163,1,0)</f>
        <v>1</v>
      </c>
      <c r="DE163" s="1436">
        <f t="shared" ref="DE163:DE198" si="111">IF($E163&lt;AV163,1,0)</f>
        <v>1</v>
      </c>
      <c r="DF163" s="1436">
        <f>IF($E163&lt;AX163,1,0)</f>
        <v>1</v>
      </c>
      <c r="DG163" s="1432"/>
      <c r="DH163" s="1432"/>
    </row>
    <row r="164" spans="1:112" ht="16.350000000000001" customHeight="1" x14ac:dyDescent="0.25">
      <c r="A164" s="7666" t="s">
        <v>5219</v>
      </c>
      <c r="B164" s="8705"/>
      <c r="C164" s="9866" t="s">
        <v>1036</v>
      </c>
      <c r="D164" s="9867"/>
      <c r="E164" s="4701" t="s">
        <v>5369</v>
      </c>
      <c r="F164" s="4706" t="s">
        <v>5370</v>
      </c>
      <c r="G164" s="4703" t="s">
        <v>5371</v>
      </c>
      <c r="H164" s="3564" t="s">
        <v>5372</v>
      </c>
      <c r="I164" s="3565" t="s">
        <v>5373</v>
      </c>
      <c r="J164" s="3564" t="s">
        <v>5374</v>
      </c>
      <c r="K164" s="3565" t="s">
        <v>5375</v>
      </c>
      <c r="L164" s="3564" t="s">
        <v>5376</v>
      </c>
      <c r="M164" s="3565" t="s">
        <v>5377</v>
      </c>
      <c r="N164" s="3564" t="s">
        <v>5378</v>
      </c>
      <c r="O164" s="3565" t="s">
        <v>5379</v>
      </c>
      <c r="P164" s="3564" t="s">
        <v>5380</v>
      </c>
      <c r="Q164" s="3565" t="s">
        <v>5381</v>
      </c>
      <c r="R164" s="3564" t="s">
        <v>5382</v>
      </c>
      <c r="S164" s="3565" t="s">
        <v>5383</v>
      </c>
      <c r="T164" s="3564" t="s">
        <v>5384</v>
      </c>
      <c r="U164" s="3565" t="s">
        <v>5385</v>
      </c>
      <c r="V164" s="3564" t="s">
        <v>5386</v>
      </c>
      <c r="W164" s="3565" t="s">
        <v>5387</v>
      </c>
      <c r="X164" s="3564" t="s">
        <v>5388</v>
      </c>
      <c r="Y164" s="3565" t="s">
        <v>5389</v>
      </c>
      <c r="Z164" s="3564" t="s">
        <v>5390</v>
      </c>
      <c r="AA164" s="3565" t="s">
        <v>5391</v>
      </c>
      <c r="AB164" s="3564" t="s">
        <v>5392</v>
      </c>
      <c r="AC164" s="3565" t="s">
        <v>5393</v>
      </c>
      <c r="AD164" s="3583" t="s">
        <v>5394</v>
      </c>
      <c r="AE164" s="3238" t="s">
        <v>5395</v>
      </c>
      <c r="AF164" s="3583" t="s">
        <v>5396</v>
      </c>
      <c r="AG164" s="3238" t="s">
        <v>5397</v>
      </c>
      <c r="AH164" s="3583" t="s">
        <v>5398</v>
      </c>
      <c r="AI164" s="3238" t="s">
        <v>5399</v>
      </c>
      <c r="AJ164" s="3583" t="s">
        <v>5400</v>
      </c>
      <c r="AK164" s="3238" t="s">
        <v>5401</v>
      </c>
      <c r="AL164" s="3583" t="s">
        <v>5402</v>
      </c>
      <c r="AM164" s="3238" t="s">
        <v>5403</v>
      </c>
      <c r="AN164" s="3583" t="s">
        <v>5404</v>
      </c>
      <c r="AO164" s="3238" t="s">
        <v>5405</v>
      </c>
      <c r="AP164" s="3583" t="s">
        <v>5406</v>
      </c>
      <c r="AQ164" s="3238" t="s">
        <v>5407</v>
      </c>
      <c r="AR164" s="4543" t="s">
        <v>5408</v>
      </c>
      <c r="AS164" s="4541" t="s">
        <v>5409</v>
      </c>
      <c r="AT164" s="2826" t="s">
        <v>5410</v>
      </c>
      <c r="AU164" s="2826" t="s">
        <v>5411</v>
      </c>
      <c r="AV164" s="3478" t="s">
        <v>5412</v>
      </c>
      <c r="AW164" s="4707" t="s">
        <v>5413</v>
      </c>
      <c r="AX164" s="1231" t="s">
        <v>5414</v>
      </c>
      <c r="AY164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64" s="165"/>
      <c r="BA164" s="199"/>
      <c r="BW164" s="1430"/>
      <c r="BX164" s="1430"/>
      <c r="CB164" s="1435" t="str">
        <f>IF(DB164=1,"* El número de actividades en usuarios en situacion de discapacidad NO DEBE ser mayor al total. ","")</f>
        <v xml:space="preserve">* El número de actividades en usuarios en situacion de discapacidad NO DEBE ser mayor al total. </v>
      </c>
      <c r="CC164" s="1435" t="str">
        <f>IF(DC164=1,"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4" s="1435" t="str">
        <f t="shared" si="108"/>
        <v xml:space="preserve"> * El número de actividades en Niños, Niñas, Adolescentes y Jóvenes de la red Mejor Niñez NO DEBE ser mayor al total. </v>
      </c>
      <c r="CE164" s="1435" t="str">
        <f>IF(DE164=1," * El número de actividades en Población Migrante NO DEBE ser mayor al total. ","")</f>
        <v xml:space="preserve"> * El número de actividades en Población Migrante NO DEBE ser mayor al total. </v>
      </c>
      <c r="CF164" s="1435" t="str">
        <f>IF(DF164=1," * El número de actividades en Pacientes Diabéticos en Control PSCV NO DEBE superar el total. ","")</f>
        <v xml:space="preserve"> * El número de actividades en Pacientes Diabéticos en Control PSCV NO DEBE superar el total. </v>
      </c>
      <c r="DB164" s="1436">
        <f>IF($E164&lt;AS164,1,0)</f>
        <v>1</v>
      </c>
      <c r="DC164" s="1436">
        <f t="shared" si="109"/>
        <v>1</v>
      </c>
      <c r="DD164" s="1436">
        <f t="shared" si="110"/>
        <v>1</v>
      </c>
      <c r="DE164" s="1436">
        <f t="shared" si="111"/>
        <v>1</v>
      </c>
      <c r="DF164" s="1436">
        <f>IF($E164&lt;AX164,1,0)</f>
        <v>1</v>
      </c>
      <c r="DG164" s="1432"/>
      <c r="DH164" s="1432"/>
    </row>
    <row r="165" spans="1:112" ht="16.350000000000001" customHeight="1" x14ac:dyDescent="0.25">
      <c r="A165" s="7520" t="s">
        <v>5220</v>
      </c>
      <c r="B165" s="8705"/>
      <c r="C165" s="9779" t="s">
        <v>1116</v>
      </c>
      <c r="D165" s="9781"/>
      <c r="E165" s="3231" t="s">
        <v>5369</v>
      </c>
      <c r="F165" s="4708" t="s">
        <v>5370</v>
      </c>
      <c r="G165" s="4709" t="s">
        <v>5371</v>
      </c>
      <c r="H165" s="3235" t="s">
        <v>5372</v>
      </c>
      <c r="I165" s="2882" t="s">
        <v>5373</v>
      </c>
      <c r="J165" s="3235" t="s">
        <v>5374</v>
      </c>
      <c r="K165" s="2882" t="s">
        <v>5375</v>
      </c>
      <c r="L165" s="3235" t="s">
        <v>5376</v>
      </c>
      <c r="M165" s="2882" t="s">
        <v>5377</v>
      </c>
      <c r="N165" s="3235" t="s">
        <v>5378</v>
      </c>
      <c r="O165" s="2882" t="s">
        <v>5379</v>
      </c>
      <c r="P165" s="3235" t="s">
        <v>5380</v>
      </c>
      <c r="Q165" s="2882" t="s">
        <v>5381</v>
      </c>
      <c r="R165" s="3235" t="s">
        <v>5382</v>
      </c>
      <c r="S165" s="2882" t="s">
        <v>5383</v>
      </c>
      <c r="T165" s="3235" t="s">
        <v>5384</v>
      </c>
      <c r="U165" s="2882" t="s">
        <v>5385</v>
      </c>
      <c r="V165" s="3235" t="s">
        <v>5386</v>
      </c>
      <c r="W165" s="2882" t="s">
        <v>5387</v>
      </c>
      <c r="X165" s="3235" t="s">
        <v>5388</v>
      </c>
      <c r="Y165" s="2882" t="s">
        <v>5389</v>
      </c>
      <c r="Z165" s="3235" t="s">
        <v>5390</v>
      </c>
      <c r="AA165" s="2882" t="s">
        <v>5391</v>
      </c>
      <c r="AB165" s="3235" t="s">
        <v>5392</v>
      </c>
      <c r="AC165" s="2882" t="s">
        <v>5393</v>
      </c>
      <c r="AD165" s="4710" t="s">
        <v>5394</v>
      </c>
      <c r="AE165" s="2821" t="s">
        <v>5395</v>
      </c>
      <c r="AF165" s="4710" t="s">
        <v>5396</v>
      </c>
      <c r="AG165" s="2821" t="s">
        <v>5397</v>
      </c>
      <c r="AH165" s="4710" t="s">
        <v>5398</v>
      </c>
      <c r="AI165" s="2821" t="s">
        <v>5399</v>
      </c>
      <c r="AJ165" s="4710" t="s">
        <v>5400</v>
      </c>
      <c r="AK165" s="2821" t="s">
        <v>5401</v>
      </c>
      <c r="AL165" s="4710" t="s">
        <v>5402</v>
      </c>
      <c r="AM165" s="2821" t="s">
        <v>5403</v>
      </c>
      <c r="AN165" s="4710" t="s">
        <v>5404</v>
      </c>
      <c r="AO165" s="2821" t="s">
        <v>5405</v>
      </c>
      <c r="AP165" s="4710" t="s">
        <v>5406</v>
      </c>
      <c r="AQ165" s="2821" t="s">
        <v>5407</v>
      </c>
      <c r="AR165" s="2490" t="s">
        <v>5408</v>
      </c>
      <c r="AS165" s="2821" t="s">
        <v>5409</v>
      </c>
      <c r="AT165" s="3159" t="s">
        <v>5410</v>
      </c>
      <c r="AU165" s="3159" t="s">
        <v>5411</v>
      </c>
      <c r="AV165" s="3236" t="s">
        <v>5412</v>
      </c>
      <c r="AW165" s="3568" t="s">
        <v>5413</v>
      </c>
      <c r="AX165" s="6777" t="s">
        <v>5414</v>
      </c>
      <c r="AY165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</v>
      </c>
      <c r="AZ165" s="165"/>
      <c r="BA165" s="199"/>
      <c r="BW165" s="1430"/>
      <c r="BX165" s="1430"/>
      <c r="CB165" s="1435" t="str">
        <f>IF(DB165=1,"* El número de actividades en usuarios en situacion de discapacidad NO DEBE ser mayor al total. ","")</f>
        <v xml:space="preserve">* El número de actividades en usuarios en situacion de discapacidad NO DEBE ser mayor al total. </v>
      </c>
      <c r="CC165" s="1435" t="str">
        <f>IF(DC165=1,"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5" s="1435" t="str">
        <f t="shared" si="108"/>
        <v xml:space="preserve"> * El número de actividades en Niños, Niñas, Adolescentes y Jóvenes de la red Mejor Niñez NO DEBE ser mayor al total. </v>
      </c>
      <c r="CE165" s="1435" t="str">
        <f>IF(DE165=1," * El número de actividades en Población Migrante NO DEBE ser mayor al total. ","")</f>
        <v xml:space="preserve"> * El número de actividades en Población Migrante NO DEBE ser mayor al total. </v>
      </c>
      <c r="CF165" s="1435"/>
      <c r="DB165" s="1436">
        <f>IF($E165&lt;AS165,1,0)</f>
        <v>1</v>
      </c>
      <c r="DC165" s="1436">
        <f t="shared" si="109"/>
        <v>1</v>
      </c>
      <c r="DD165" s="1436">
        <f t="shared" si="110"/>
        <v>1</v>
      </c>
      <c r="DE165" s="1436">
        <f t="shared" si="111"/>
        <v>1</v>
      </c>
      <c r="DF165" s="1436"/>
      <c r="DG165" s="1432"/>
      <c r="DH165" s="1432"/>
    </row>
    <row r="166" spans="1:112" ht="16.350000000000001" customHeight="1" x14ac:dyDescent="0.25">
      <c r="A166" s="7267"/>
      <c r="B166" s="8705"/>
      <c r="C166" s="8627" t="s">
        <v>1096</v>
      </c>
      <c r="D166" s="3765" t="s">
        <v>24</v>
      </c>
      <c r="E166" s="3571">
        <v>0</v>
      </c>
      <c r="F166" s="4708"/>
      <c r="G166" s="4692">
        <v>0</v>
      </c>
      <c r="H166" s="4604"/>
      <c r="I166" s="3802"/>
      <c r="J166" s="4604"/>
      <c r="K166" s="3802"/>
      <c r="L166" s="4604"/>
      <c r="M166" s="3802"/>
      <c r="N166" s="4604"/>
      <c r="O166" s="3802"/>
      <c r="P166" s="4604"/>
      <c r="Q166" s="3802"/>
      <c r="R166" s="4604"/>
      <c r="S166" s="3802"/>
      <c r="T166" s="4604"/>
      <c r="U166" s="3802"/>
      <c r="V166" s="4604"/>
      <c r="W166" s="3802"/>
      <c r="X166" s="4604"/>
      <c r="Y166" s="3802"/>
      <c r="Z166" s="4604"/>
      <c r="AA166" s="3802"/>
      <c r="AB166" s="4604"/>
      <c r="AC166" s="3802"/>
      <c r="AD166" s="4711"/>
      <c r="AE166" s="3795">
        <v>0</v>
      </c>
      <c r="AF166" s="4711"/>
      <c r="AG166" s="3795">
        <v>0</v>
      </c>
      <c r="AH166" s="4711"/>
      <c r="AI166" s="3795">
        <v>0</v>
      </c>
      <c r="AJ166" s="4711"/>
      <c r="AK166" s="3795">
        <v>0</v>
      </c>
      <c r="AL166" s="4711"/>
      <c r="AM166" s="3795">
        <v>0</v>
      </c>
      <c r="AN166" s="4711"/>
      <c r="AO166" s="3795">
        <v>0</v>
      </c>
      <c r="AP166" s="4711"/>
      <c r="AQ166" s="3795">
        <v>0</v>
      </c>
      <c r="AR166" s="4712">
        <v>0</v>
      </c>
      <c r="AS166" s="3795">
        <v>0</v>
      </c>
      <c r="AT166" s="4569">
        <v>0</v>
      </c>
      <c r="AU166" s="4569">
        <v>0</v>
      </c>
      <c r="AV166" s="4569">
        <v>0</v>
      </c>
      <c r="AW166" s="4573">
        <v>0</v>
      </c>
      <c r="AX166" s="4569" t="s">
        <v>5414</v>
      </c>
      <c r="AY166" s="1496"/>
      <c r="AZ166" s="165"/>
      <c r="BA166" s="199"/>
      <c r="BW166" s="1430"/>
      <c r="BX166" s="1430"/>
      <c r="CB166" s="1435"/>
      <c r="CC166" s="1435"/>
      <c r="CD166" s="1435"/>
      <c r="CE166" s="1435"/>
      <c r="CF166" s="1435"/>
      <c r="DB166" s="1436"/>
      <c r="DC166" s="1436"/>
      <c r="DD166" s="1436"/>
      <c r="DE166" s="1436"/>
      <c r="DF166" s="1436"/>
      <c r="DG166" s="1432"/>
      <c r="DH166" s="1432"/>
    </row>
    <row r="167" spans="1:112" ht="16.350000000000001" customHeight="1" x14ac:dyDescent="0.25">
      <c r="A167" s="7520" t="s">
        <v>5221</v>
      </c>
      <c r="B167" s="8705"/>
      <c r="C167" s="8705"/>
      <c r="D167" s="4535" t="s">
        <v>1115</v>
      </c>
      <c r="E167" s="4713" t="s">
        <v>5369</v>
      </c>
      <c r="F167" s="4694" t="s">
        <v>5370</v>
      </c>
      <c r="G167" s="4714" t="s">
        <v>5371</v>
      </c>
      <c r="H167" s="3564" t="s">
        <v>5372</v>
      </c>
      <c r="I167" s="3565" t="s">
        <v>5373</v>
      </c>
      <c r="J167" s="3564" t="s">
        <v>5374</v>
      </c>
      <c r="K167" s="3565" t="s">
        <v>5375</v>
      </c>
      <c r="L167" s="3564" t="s">
        <v>5376</v>
      </c>
      <c r="M167" s="3565" t="s">
        <v>5377</v>
      </c>
      <c r="N167" s="3564" t="s">
        <v>5378</v>
      </c>
      <c r="O167" s="3565" t="s">
        <v>5379</v>
      </c>
      <c r="P167" s="3564" t="s">
        <v>5380</v>
      </c>
      <c r="Q167" s="3565" t="s">
        <v>5381</v>
      </c>
      <c r="R167" s="3564" t="s">
        <v>5382</v>
      </c>
      <c r="S167" s="3565" t="s">
        <v>5383</v>
      </c>
      <c r="T167" s="3564" t="s">
        <v>5384</v>
      </c>
      <c r="U167" s="3565" t="s">
        <v>5385</v>
      </c>
      <c r="V167" s="3564" t="s">
        <v>5386</v>
      </c>
      <c r="W167" s="3565" t="s">
        <v>5387</v>
      </c>
      <c r="X167" s="3564" t="s">
        <v>5388</v>
      </c>
      <c r="Y167" s="3565" t="s">
        <v>5389</v>
      </c>
      <c r="Z167" s="3564" t="s">
        <v>5390</v>
      </c>
      <c r="AA167" s="3565" t="s">
        <v>5391</v>
      </c>
      <c r="AB167" s="3564" t="s">
        <v>5392</v>
      </c>
      <c r="AC167" s="3565" t="s">
        <v>5393</v>
      </c>
      <c r="AD167" s="3566" t="s">
        <v>5394</v>
      </c>
      <c r="AE167" s="2986" t="s">
        <v>5395</v>
      </c>
      <c r="AF167" s="3566" t="s">
        <v>5396</v>
      </c>
      <c r="AG167" s="2986" t="s">
        <v>5397</v>
      </c>
      <c r="AH167" s="3566" t="s">
        <v>5398</v>
      </c>
      <c r="AI167" s="2986" t="s">
        <v>5399</v>
      </c>
      <c r="AJ167" s="3566" t="s">
        <v>5400</v>
      </c>
      <c r="AK167" s="2986" t="s">
        <v>5401</v>
      </c>
      <c r="AL167" s="3566" t="s">
        <v>5402</v>
      </c>
      <c r="AM167" s="2986" t="s">
        <v>5403</v>
      </c>
      <c r="AN167" s="3566" t="s">
        <v>5404</v>
      </c>
      <c r="AO167" s="2986" t="s">
        <v>5405</v>
      </c>
      <c r="AP167" s="3566" t="s">
        <v>5406</v>
      </c>
      <c r="AQ167" s="2986" t="s">
        <v>5407</v>
      </c>
      <c r="AR167" s="2449" t="s">
        <v>5408</v>
      </c>
      <c r="AS167" s="2986" t="s">
        <v>5409</v>
      </c>
      <c r="AT167" s="2814" t="s">
        <v>5410</v>
      </c>
      <c r="AU167" s="2814" t="s">
        <v>5411</v>
      </c>
      <c r="AV167" s="2814" t="s">
        <v>5412</v>
      </c>
      <c r="AW167" s="3758" t="s">
        <v>5413</v>
      </c>
      <c r="AX167" s="2814" t="s">
        <v>5414</v>
      </c>
      <c r="AY167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67" s="165"/>
      <c r="BA167" s="199"/>
      <c r="BW167" s="1430"/>
      <c r="BX167" s="1430"/>
      <c r="CB167" s="1435" t="str">
        <f t="shared" ref="CB167:CB177" si="112">IF(DB167=1,"* El número de actividades en usuarios en situacion de discapacidad NO DEBE ser mayor al total. ","")</f>
        <v xml:space="preserve">* El número de actividades en usuarios en situacion de discapacidad NO DEBE ser mayor al total. </v>
      </c>
      <c r="CC167" s="1435" t="str">
        <f t="shared" ref="CC167:CC177" si="113">IF(DC167=1,"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7" s="1435" t="str">
        <f t="shared" si="108"/>
        <v xml:space="preserve"> * El número de actividades en Niños, Niñas, Adolescentes y Jóvenes de la red Mejor Niñez NO DEBE ser mayor al total. </v>
      </c>
      <c r="CE167" s="1435" t="str">
        <f t="shared" ref="CE167:CE177" si="114">IF(DE167=1," * El número de actividades en Población Migrante NO DEBE ser mayor al total. ","")</f>
        <v xml:space="preserve"> * El número de actividades en Población Migrante NO DEBE ser mayor al total. </v>
      </c>
      <c r="CF167" s="1435" t="str">
        <f t="shared" ref="CF167:CF177" si="115">IF(DF167=1," * El número de actividades en Pacientes Diabéticos en Control PSCV NO DEBE superar el total. ","")</f>
        <v xml:space="preserve"> * El número de actividades en Pacientes Diabéticos en Control PSCV NO DEBE superar el total. </v>
      </c>
      <c r="DB167" s="1436">
        <f t="shared" ref="DB167:DB177" si="116">IF($E167&lt;AS167,1,0)</f>
        <v>1</v>
      </c>
      <c r="DC167" s="1436">
        <f t="shared" si="109"/>
        <v>1</v>
      </c>
      <c r="DD167" s="1436">
        <f t="shared" si="110"/>
        <v>1</v>
      </c>
      <c r="DE167" s="1436">
        <f t="shared" si="111"/>
        <v>1</v>
      </c>
      <c r="DF167" s="1436">
        <f t="shared" ref="DF167:DF177" si="117">IF($E167&lt;AX167,1,0)</f>
        <v>1</v>
      </c>
      <c r="DG167" s="1432"/>
      <c r="DH167" s="1432"/>
    </row>
    <row r="168" spans="1:112" ht="16.350000000000001" customHeight="1" x14ac:dyDescent="0.25">
      <c r="A168" s="7520" t="s">
        <v>5222</v>
      </c>
      <c r="B168" s="8705"/>
      <c r="C168" s="8705"/>
      <c r="D168" s="4715" t="s">
        <v>1114</v>
      </c>
      <c r="E168" s="4713" t="s">
        <v>5369</v>
      </c>
      <c r="F168" s="4702" t="s">
        <v>5370</v>
      </c>
      <c r="G168" s="4703" t="s">
        <v>5371</v>
      </c>
      <c r="H168" s="2846" t="s">
        <v>5372</v>
      </c>
      <c r="I168" s="1850" t="s">
        <v>5373</v>
      </c>
      <c r="J168" s="2846" t="s">
        <v>5374</v>
      </c>
      <c r="K168" s="1850" t="s">
        <v>5375</v>
      </c>
      <c r="L168" s="2846" t="s">
        <v>5376</v>
      </c>
      <c r="M168" s="1850" t="s">
        <v>5377</v>
      </c>
      <c r="N168" s="2846" t="s">
        <v>5378</v>
      </c>
      <c r="O168" s="1850" t="s">
        <v>5379</v>
      </c>
      <c r="P168" s="2846" t="s">
        <v>5380</v>
      </c>
      <c r="Q168" s="1850" t="s">
        <v>5381</v>
      </c>
      <c r="R168" s="2846" t="s">
        <v>5382</v>
      </c>
      <c r="S168" s="1850" t="s">
        <v>5383</v>
      </c>
      <c r="T168" s="2846" t="s">
        <v>5384</v>
      </c>
      <c r="U168" s="1850" t="s">
        <v>5385</v>
      </c>
      <c r="V168" s="2846" t="s">
        <v>5386</v>
      </c>
      <c r="W168" s="1850" t="s">
        <v>5387</v>
      </c>
      <c r="X168" s="2846" t="s">
        <v>5388</v>
      </c>
      <c r="Y168" s="1850" t="s">
        <v>5389</v>
      </c>
      <c r="Z168" s="2846" t="s">
        <v>5390</v>
      </c>
      <c r="AA168" s="1850" t="s">
        <v>5391</v>
      </c>
      <c r="AB168" s="2846" t="s">
        <v>5392</v>
      </c>
      <c r="AC168" s="1850" t="s">
        <v>5393</v>
      </c>
      <c r="AD168" s="3566" t="s">
        <v>5394</v>
      </c>
      <c r="AE168" s="2986" t="s">
        <v>5395</v>
      </c>
      <c r="AF168" s="3566" t="s">
        <v>5396</v>
      </c>
      <c r="AG168" s="2986" t="s">
        <v>5397</v>
      </c>
      <c r="AH168" s="3566" t="s">
        <v>5398</v>
      </c>
      <c r="AI168" s="2986" t="s">
        <v>5399</v>
      </c>
      <c r="AJ168" s="3566" t="s">
        <v>5400</v>
      </c>
      <c r="AK168" s="2986" t="s">
        <v>5401</v>
      </c>
      <c r="AL168" s="3566" t="s">
        <v>5402</v>
      </c>
      <c r="AM168" s="2986" t="s">
        <v>5403</v>
      </c>
      <c r="AN168" s="3566" t="s">
        <v>5404</v>
      </c>
      <c r="AO168" s="2986" t="s">
        <v>5405</v>
      </c>
      <c r="AP168" s="3566" t="s">
        <v>5406</v>
      </c>
      <c r="AQ168" s="2986" t="s">
        <v>5407</v>
      </c>
      <c r="AR168" s="2449" t="s">
        <v>5408</v>
      </c>
      <c r="AS168" s="2986" t="s">
        <v>5409</v>
      </c>
      <c r="AT168" s="2814" t="s">
        <v>5410</v>
      </c>
      <c r="AU168" s="2814" t="s">
        <v>5411</v>
      </c>
      <c r="AV168" s="2814" t="s">
        <v>5412</v>
      </c>
      <c r="AW168" s="3758" t="s">
        <v>5413</v>
      </c>
      <c r="AX168" s="2814" t="s">
        <v>5414</v>
      </c>
      <c r="AY168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68" s="165"/>
      <c r="BA168" s="199"/>
      <c r="BW168" s="1430"/>
      <c r="BX168" s="1430"/>
      <c r="CB168" s="1435" t="str">
        <f t="shared" si="112"/>
        <v xml:space="preserve">* El número de actividades en usuarios en situacion de discapacidad NO DEBE ser mayor al total. </v>
      </c>
      <c r="CC168" s="1435" t="str">
        <f t="shared" si="113"/>
        <v xml:space="preserve"> * El número de actividades en Niños, Niñas, Adolescentes y Jóvenes de la red SENAME NO DEBE ser mayor al total. </v>
      </c>
      <c r="CD168" s="1435" t="str">
        <f t="shared" si="108"/>
        <v xml:space="preserve"> * El número de actividades en Niños, Niñas, Adolescentes y Jóvenes de la red Mejor Niñez NO DEBE ser mayor al total. </v>
      </c>
      <c r="CE168" s="1435" t="str">
        <f t="shared" si="114"/>
        <v xml:space="preserve"> * El número de actividades en Población Migrante NO DEBE ser mayor al total. </v>
      </c>
      <c r="CF168" s="1435" t="str">
        <f t="shared" si="115"/>
        <v xml:space="preserve"> * El número de actividades en Pacientes Diabéticos en Control PSCV NO DEBE superar el total. </v>
      </c>
      <c r="DB168" s="1436">
        <f t="shared" si="116"/>
        <v>1</v>
      </c>
      <c r="DC168" s="1436">
        <f t="shared" si="109"/>
        <v>1</v>
      </c>
      <c r="DD168" s="1436">
        <f t="shared" si="110"/>
        <v>1</v>
      </c>
      <c r="DE168" s="1436">
        <f t="shared" si="111"/>
        <v>1</v>
      </c>
      <c r="DF168" s="1436">
        <f t="shared" si="117"/>
        <v>1</v>
      </c>
      <c r="DG168" s="1432"/>
      <c r="DH168" s="1432"/>
    </row>
    <row r="169" spans="1:112" ht="16.350000000000001" customHeight="1" x14ac:dyDescent="0.25">
      <c r="A169" s="7520" t="s">
        <v>5223</v>
      </c>
      <c r="B169" s="8705"/>
      <c r="C169" s="8705"/>
      <c r="D169" s="4535" t="s">
        <v>1113</v>
      </c>
      <c r="E169" s="4713" t="s">
        <v>5369</v>
      </c>
      <c r="F169" s="4702" t="s">
        <v>5370</v>
      </c>
      <c r="G169" s="4703" t="s">
        <v>5371</v>
      </c>
      <c r="H169" s="3564" t="s">
        <v>5372</v>
      </c>
      <c r="I169" s="3565" t="s">
        <v>5373</v>
      </c>
      <c r="J169" s="3564" t="s">
        <v>5374</v>
      </c>
      <c r="K169" s="3565" t="s">
        <v>5375</v>
      </c>
      <c r="L169" s="3564" t="s">
        <v>5376</v>
      </c>
      <c r="M169" s="3565" t="s">
        <v>5377</v>
      </c>
      <c r="N169" s="3564" t="s">
        <v>5378</v>
      </c>
      <c r="O169" s="3565" t="s">
        <v>5379</v>
      </c>
      <c r="P169" s="3564" t="s">
        <v>5380</v>
      </c>
      <c r="Q169" s="3565" t="s">
        <v>5381</v>
      </c>
      <c r="R169" s="3564" t="s">
        <v>5382</v>
      </c>
      <c r="S169" s="3565" t="s">
        <v>5383</v>
      </c>
      <c r="T169" s="3564" t="s">
        <v>5384</v>
      </c>
      <c r="U169" s="3565" t="s">
        <v>5385</v>
      </c>
      <c r="V169" s="3564" t="s">
        <v>5386</v>
      </c>
      <c r="W169" s="3565" t="s">
        <v>5387</v>
      </c>
      <c r="X169" s="3564" t="s">
        <v>5388</v>
      </c>
      <c r="Y169" s="3565" t="s">
        <v>5389</v>
      </c>
      <c r="Z169" s="3564" t="s">
        <v>5390</v>
      </c>
      <c r="AA169" s="3565" t="s">
        <v>5391</v>
      </c>
      <c r="AB169" s="3564" t="s">
        <v>5392</v>
      </c>
      <c r="AC169" s="3565" t="s">
        <v>5393</v>
      </c>
      <c r="AD169" s="3566" t="s">
        <v>5394</v>
      </c>
      <c r="AE169" s="2986" t="s">
        <v>5395</v>
      </c>
      <c r="AF169" s="3566" t="s">
        <v>5396</v>
      </c>
      <c r="AG169" s="2986" t="s">
        <v>5397</v>
      </c>
      <c r="AH169" s="3566" t="s">
        <v>5398</v>
      </c>
      <c r="AI169" s="2986" t="s">
        <v>5399</v>
      </c>
      <c r="AJ169" s="3566" t="s">
        <v>5400</v>
      </c>
      <c r="AK169" s="2986" t="s">
        <v>5401</v>
      </c>
      <c r="AL169" s="3566" t="s">
        <v>5402</v>
      </c>
      <c r="AM169" s="2986" t="s">
        <v>5403</v>
      </c>
      <c r="AN169" s="3566" t="s">
        <v>5404</v>
      </c>
      <c r="AO169" s="2986" t="s">
        <v>5405</v>
      </c>
      <c r="AP169" s="3566" t="s">
        <v>5406</v>
      </c>
      <c r="AQ169" s="2986" t="s">
        <v>5407</v>
      </c>
      <c r="AR169" s="2449" t="s">
        <v>5408</v>
      </c>
      <c r="AS169" s="2986" t="s">
        <v>5409</v>
      </c>
      <c r="AT169" s="2814" t="s">
        <v>5410</v>
      </c>
      <c r="AU169" s="2814" t="s">
        <v>5411</v>
      </c>
      <c r="AV169" s="2814" t="s">
        <v>5412</v>
      </c>
      <c r="AW169" s="3758" t="s">
        <v>5413</v>
      </c>
      <c r="AX169" s="2814" t="s">
        <v>5414</v>
      </c>
      <c r="AY169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69" s="165"/>
      <c r="BA169" s="199"/>
      <c r="BW169" s="1430"/>
      <c r="BX169" s="1430"/>
      <c r="CB169" s="1435" t="str">
        <f t="shared" si="112"/>
        <v xml:space="preserve">* El número de actividades en usuarios en situacion de discapacidad NO DEBE ser mayor al total. </v>
      </c>
      <c r="CC169" s="1435" t="str">
        <f t="shared" si="113"/>
        <v xml:space="preserve"> * El número de actividades en Niños, Niñas, Adolescentes y Jóvenes de la red SENAME NO DEBE ser mayor al total. </v>
      </c>
      <c r="CD169" s="1435" t="str">
        <f t="shared" si="108"/>
        <v xml:space="preserve"> * El número de actividades en Niños, Niñas, Adolescentes y Jóvenes de la red Mejor Niñez NO DEBE ser mayor al total. </v>
      </c>
      <c r="CE169" s="1435" t="str">
        <f t="shared" si="114"/>
        <v xml:space="preserve"> * El número de actividades en Población Migrante NO DEBE ser mayor al total. </v>
      </c>
      <c r="CF169" s="1435" t="str">
        <f t="shared" si="115"/>
        <v xml:space="preserve"> * El número de actividades en Pacientes Diabéticos en Control PSCV NO DEBE superar el total. </v>
      </c>
      <c r="DB169" s="1436">
        <f t="shared" si="116"/>
        <v>1</v>
      </c>
      <c r="DC169" s="1436">
        <f t="shared" si="109"/>
        <v>1</v>
      </c>
      <c r="DD169" s="1436">
        <f t="shared" si="110"/>
        <v>1</v>
      </c>
      <c r="DE169" s="1436">
        <f t="shared" si="111"/>
        <v>1</v>
      </c>
      <c r="DF169" s="1436">
        <f t="shared" si="117"/>
        <v>1</v>
      </c>
      <c r="DG169" s="1432"/>
      <c r="DH169" s="1432"/>
    </row>
    <row r="170" spans="1:112" ht="16.350000000000001" customHeight="1" x14ac:dyDescent="0.25">
      <c r="A170" s="7520" t="s">
        <v>5224</v>
      </c>
      <c r="B170" s="8705"/>
      <c r="C170" s="8705"/>
      <c r="D170" s="4535" t="s">
        <v>1112</v>
      </c>
      <c r="E170" s="4713" t="s">
        <v>5369</v>
      </c>
      <c r="F170" s="4702" t="s">
        <v>5370</v>
      </c>
      <c r="G170" s="4703" t="s">
        <v>5371</v>
      </c>
      <c r="H170" s="3564" t="s">
        <v>5372</v>
      </c>
      <c r="I170" s="3565" t="s">
        <v>5373</v>
      </c>
      <c r="J170" s="3564" t="s">
        <v>5374</v>
      </c>
      <c r="K170" s="3565" t="s">
        <v>5375</v>
      </c>
      <c r="L170" s="3564" t="s">
        <v>5376</v>
      </c>
      <c r="M170" s="3565" t="s">
        <v>5377</v>
      </c>
      <c r="N170" s="3564" t="s">
        <v>5378</v>
      </c>
      <c r="O170" s="3565" t="s">
        <v>5379</v>
      </c>
      <c r="P170" s="3564" t="s">
        <v>5380</v>
      </c>
      <c r="Q170" s="3565" t="s">
        <v>5381</v>
      </c>
      <c r="R170" s="3564" t="s">
        <v>5382</v>
      </c>
      <c r="S170" s="3565" t="s">
        <v>5383</v>
      </c>
      <c r="T170" s="3564" t="s">
        <v>5384</v>
      </c>
      <c r="U170" s="3565" t="s">
        <v>5385</v>
      </c>
      <c r="V170" s="3564" t="s">
        <v>5386</v>
      </c>
      <c r="W170" s="3565" t="s">
        <v>5387</v>
      </c>
      <c r="X170" s="3564" t="s">
        <v>5388</v>
      </c>
      <c r="Y170" s="3565" t="s">
        <v>5389</v>
      </c>
      <c r="Z170" s="3564" t="s">
        <v>5390</v>
      </c>
      <c r="AA170" s="3565" t="s">
        <v>5391</v>
      </c>
      <c r="AB170" s="3564" t="s">
        <v>5392</v>
      </c>
      <c r="AC170" s="3565" t="s">
        <v>5393</v>
      </c>
      <c r="AD170" s="3566" t="s">
        <v>5394</v>
      </c>
      <c r="AE170" s="2986" t="s">
        <v>5395</v>
      </c>
      <c r="AF170" s="3566" t="s">
        <v>5396</v>
      </c>
      <c r="AG170" s="2986" t="s">
        <v>5397</v>
      </c>
      <c r="AH170" s="3566" t="s">
        <v>5398</v>
      </c>
      <c r="AI170" s="2986" t="s">
        <v>5399</v>
      </c>
      <c r="AJ170" s="3566" t="s">
        <v>5400</v>
      </c>
      <c r="AK170" s="2986" t="s">
        <v>5401</v>
      </c>
      <c r="AL170" s="3566" t="s">
        <v>5402</v>
      </c>
      <c r="AM170" s="2986" t="s">
        <v>5403</v>
      </c>
      <c r="AN170" s="3566" t="s">
        <v>5404</v>
      </c>
      <c r="AO170" s="2986" t="s">
        <v>5405</v>
      </c>
      <c r="AP170" s="3566" t="s">
        <v>5406</v>
      </c>
      <c r="AQ170" s="2986" t="s">
        <v>5407</v>
      </c>
      <c r="AR170" s="2449" t="s">
        <v>5408</v>
      </c>
      <c r="AS170" s="3478" t="s">
        <v>5409</v>
      </c>
      <c r="AT170" s="2814" t="s">
        <v>5410</v>
      </c>
      <c r="AU170" s="2814" t="s">
        <v>5411</v>
      </c>
      <c r="AV170" s="2814" t="s">
        <v>5412</v>
      </c>
      <c r="AW170" s="3758" t="s">
        <v>5413</v>
      </c>
      <c r="AX170" s="2814" t="s">
        <v>5414</v>
      </c>
      <c r="AY170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0" s="165"/>
      <c r="BA170" s="199"/>
      <c r="BW170" s="1430"/>
      <c r="BX170" s="1430"/>
      <c r="CB170" s="1435" t="str">
        <f t="shared" si="112"/>
        <v xml:space="preserve">* El número de actividades en usuarios en situacion de discapacidad NO DEBE ser mayor al total. </v>
      </c>
      <c r="CC170" s="1435" t="str">
        <f t="shared" si="113"/>
        <v xml:space="preserve"> * El número de actividades en Niños, Niñas, Adolescentes y Jóvenes de la red SENAME NO DEBE ser mayor al total. </v>
      </c>
      <c r="CD170" s="1435" t="str">
        <f t="shared" si="108"/>
        <v xml:space="preserve"> * El número de actividades en Niños, Niñas, Adolescentes y Jóvenes de la red Mejor Niñez NO DEBE ser mayor al total. </v>
      </c>
      <c r="CE170" s="1435" t="str">
        <f t="shared" si="114"/>
        <v xml:space="preserve"> * El número de actividades en Población Migrante NO DEBE ser mayor al total. </v>
      </c>
      <c r="CF170" s="1435" t="str">
        <f t="shared" si="115"/>
        <v xml:space="preserve"> * El número de actividades en Pacientes Diabéticos en Control PSCV NO DEBE superar el total. </v>
      </c>
      <c r="DB170" s="1436">
        <f t="shared" si="116"/>
        <v>1</v>
      </c>
      <c r="DC170" s="1436">
        <f t="shared" si="109"/>
        <v>1</v>
      </c>
      <c r="DD170" s="1436">
        <f t="shared" si="110"/>
        <v>1</v>
      </c>
      <c r="DE170" s="1436">
        <f t="shared" si="111"/>
        <v>1</v>
      </c>
      <c r="DF170" s="1436">
        <f t="shared" si="117"/>
        <v>1</v>
      </c>
      <c r="DG170" s="1432"/>
      <c r="DH170" s="1432"/>
    </row>
    <row r="171" spans="1:112" ht="16.350000000000001" customHeight="1" x14ac:dyDescent="0.25">
      <c r="A171" s="7520" t="s">
        <v>5225</v>
      </c>
      <c r="B171" s="8705"/>
      <c r="C171" s="8705"/>
      <c r="D171" s="4715" t="s">
        <v>1111</v>
      </c>
      <c r="E171" s="4713" t="s">
        <v>5369</v>
      </c>
      <c r="F171" s="4702" t="s">
        <v>5370</v>
      </c>
      <c r="G171" s="4703" t="s">
        <v>5371</v>
      </c>
      <c r="H171" s="2846" t="s">
        <v>5372</v>
      </c>
      <c r="I171" s="1850" t="s">
        <v>5373</v>
      </c>
      <c r="J171" s="2846" t="s">
        <v>5374</v>
      </c>
      <c r="K171" s="1850" t="s">
        <v>5375</v>
      </c>
      <c r="L171" s="2846" t="s">
        <v>5376</v>
      </c>
      <c r="M171" s="1850" t="s">
        <v>5377</v>
      </c>
      <c r="N171" s="2846" t="s">
        <v>5378</v>
      </c>
      <c r="O171" s="1850" t="s">
        <v>5379</v>
      </c>
      <c r="P171" s="2846" t="s">
        <v>5380</v>
      </c>
      <c r="Q171" s="1850" t="s">
        <v>5381</v>
      </c>
      <c r="R171" s="2846" t="s">
        <v>5382</v>
      </c>
      <c r="S171" s="1850" t="s">
        <v>5383</v>
      </c>
      <c r="T171" s="2846" t="s">
        <v>5384</v>
      </c>
      <c r="U171" s="1850" t="s">
        <v>5385</v>
      </c>
      <c r="V171" s="2846" t="s">
        <v>5386</v>
      </c>
      <c r="W171" s="1850" t="s">
        <v>5387</v>
      </c>
      <c r="X171" s="2846" t="s">
        <v>5388</v>
      </c>
      <c r="Y171" s="1850" t="s">
        <v>5389</v>
      </c>
      <c r="Z171" s="2846" t="s">
        <v>5390</v>
      </c>
      <c r="AA171" s="1850" t="s">
        <v>5391</v>
      </c>
      <c r="AB171" s="2846" t="s">
        <v>5392</v>
      </c>
      <c r="AC171" s="1850" t="s">
        <v>5393</v>
      </c>
      <c r="AD171" s="3566" t="s">
        <v>5394</v>
      </c>
      <c r="AE171" s="2986" t="s">
        <v>5395</v>
      </c>
      <c r="AF171" s="3566" t="s">
        <v>5396</v>
      </c>
      <c r="AG171" s="2986" t="s">
        <v>5397</v>
      </c>
      <c r="AH171" s="3566" t="s">
        <v>5398</v>
      </c>
      <c r="AI171" s="2986" t="s">
        <v>5399</v>
      </c>
      <c r="AJ171" s="3566" t="s">
        <v>5400</v>
      </c>
      <c r="AK171" s="2986" t="s">
        <v>5401</v>
      </c>
      <c r="AL171" s="3566" t="s">
        <v>5402</v>
      </c>
      <c r="AM171" s="2986" t="s">
        <v>5403</v>
      </c>
      <c r="AN171" s="3566" t="s">
        <v>5404</v>
      </c>
      <c r="AO171" s="2986" t="s">
        <v>5405</v>
      </c>
      <c r="AP171" s="3566" t="s">
        <v>5406</v>
      </c>
      <c r="AQ171" s="2986" t="s">
        <v>5407</v>
      </c>
      <c r="AR171" s="4716" t="s">
        <v>5408</v>
      </c>
      <c r="AS171" s="3758" t="s">
        <v>5409</v>
      </c>
      <c r="AT171" s="2826" t="s">
        <v>5410</v>
      </c>
      <c r="AU171" s="2826" t="s">
        <v>5411</v>
      </c>
      <c r="AV171" s="2814" t="s">
        <v>5412</v>
      </c>
      <c r="AW171" s="3758" t="s">
        <v>5413</v>
      </c>
      <c r="AX171" s="2814" t="s">
        <v>5414</v>
      </c>
      <c r="AY171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1" s="165"/>
      <c r="BA171" s="199"/>
      <c r="BW171" s="1430"/>
      <c r="BX171" s="1430"/>
      <c r="CB171" s="1435" t="str">
        <f t="shared" si="112"/>
        <v xml:space="preserve">* El número de actividades en usuarios en situacion de discapacidad NO DEBE ser mayor al total. </v>
      </c>
      <c r="CC171" s="1435" t="str">
        <f t="shared" si="113"/>
        <v xml:space="preserve"> * El número de actividades en Niños, Niñas, Adolescentes y Jóvenes de la red SENAME NO DEBE ser mayor al total. </v>
      </c>
      <c r="CD171" s="1435" t="str">
        <f t="shared" si="108"/>
        <v xml:space="preserve"> * El número de actividades en Niños, Niñas, Adolescentes y Jóvenes de la red Mejor Niñez NO DEBE ser mayor al total. </v>
      </c>
      <c r="CE171" s="1435" t="str">
        <f t="shared" si="114"/>
        <v xml:space="preserve"> * El número de actividades en Población Migrante NO DEBE ser mayor al total. </v>
      </c>
      <c r="CF171" s="1435" t="str">
        <f t="shared" si="115"/>
        <v xml:space="preserve"> * El número de actividades en Pacientes Diabéticos en Control PSCV NO DEBE superar el total. </v>
      </c>
      <c r="DB171" s="1436">
        <f t="shared" si="116"/>
        <v>1</v>
      </c>
      <c r="DC171" s="1436">
        <f t="shared" si="109"/>
        <v>1</v>
      </c>
      <c r="DD171" s="1436">
        <f t="shared" si="110"/>
        <v>1</v>
      </c>
      <c r="DE171" s="1436">
        <f t="shared" si="111"/>
        <v>1</v>
      </c>
      <c r="DF171" s="1436">
        <f t="shared" si="117"/>
        <v>1</v>
      </c>
      <c r="DG171" s="1432"/>
      <c r="DH171" s="1432"/>
    </row>
    <row r="172" spans="1:112" ht="16.350000000000001" customHeight="1" x14ac:dyDescent="0.25">
      <c r="A172" s="7520" t="s">
        <v>5226</v>
      </c>
      <c r="B172" s="9743"/>
      <c r="C172" s="9743"/>
      <c r="D172" s="4535" t="s">
        <v>1110</v>
      </c>
      <c r="E172" s="3231" t="s">
        <v>5369</v>
      </c>
      <c r="F172" s="4706" t="s">
        <v>5370</v>
      </c>
      <c r="G172" s="4717" t="s">
        <v>5371</v>
      </c>
      <c r="H172" s="3564" t="s">
        <v>5372</v>
      </c>
      <c r="I172" s="2913" t="s">
        <v>5373</v>
      </c>
      <c r="J172" s="3564" t="s">
        <v>5374</v>
      </c>
      <c r="K172" s="2913" t="s">
        <v>5375</v>
      </c>
      <c r="L172" s="3564" t="s">
        <v>5376</v>
      </c>
      <c r="M172" s="2913" t="s">
        <v>5377</v>
      </c>
      <c r="N172" s="3564" t="s">
        <v>5378</v>
      </c>
      <c r="O172" s="2913" t="s">
        <v>5379</v>
      </c>
      <c r="P172" s="3564" t="s">
        <v>5380</v>
      </c>
      <c r="Q172" s="2913" t="s">
        <v>5381</v>
      </c>
      <c r="R172" s="3564" t="s">
        <v>5382</v>
      </c>
      <c r="S172" s="2913" t="s">
        <v>5383</v>
      </c>
      <c r="T172" s="3564" t="s">
        <v>5384</v>
      </c>
      <c r="U172" s="2913" t="s">
        <v>5385</v>
      </c>
      <c r="V172" s="3564" t="s">
        <v>5386</v>
      </c>
      <c r="W172" s="2913" t="s">
        <v>5387</v>
      </c>
      <c r="X172" s="3564" t="s">
        <v>5388</v>
      </c>
      <c r="Y172" s="2913" t="s">
        <v>5389</v>
      </c>
      <c r="Z172" s="3564" t="s">
        <v>5390</v>
      </c>
      <c r="AA172" s="2913" t="s">
        <v>5391</v>
      </c>
      <c r="AB172" s="3564" t="s">
        <v>5392</v>
      </c>
      <c r="AC172" s="2913" t="s">
        <v>5393</v>
      </c>
      <c r="AD172" s="4710" t="s">
        <v>5394</v>
      </c>
      <c r="AE172" s="3238" t="s">
        <v>5395</v>
      </c>
      <c r="AF172" s="4710" t="s">
        <v>5396</v>
      </c>
      <c r="AG172" s="3238" t="s">
        <v>5397</v>
      </c>
      <c r="AH172" s="4710" t="s">
        <v>5398</v>
      </c>
      <c r="AI172" s="3238" t="s">
        <v>5399</v>
      </c>
      <c r="AJ172" s="4710" t="s">
        <v>5400</v>
      </c>
      <c r="AK172" s="3238" t="s">
        <v>5401</v>
      </c>
      <c r="AL172" s="4710" t="s">
        <v>5402</v>
      </c>
      <c r="AM172" s="3238" t="s">
        <v>5403</v>
      </c>
      <c r="AN172" s="4710" t="s">
        <v>5404</v>
      </c>
      <c r="AO172" s="3238" t="s">
        <v>5405</v>
      </c>
      <c r="AP172" s="4710" t="s">
        <v>5406</v>
      </c>
      <c r="AQ172" s="3238" t="s">
        <v>5407</v>
      </c>
      <c r="AR172" s="1061" t="s">
        <v>5408</v>
      </c>
      <c r="AS172" s="3238" t="s">
        <v>5409</v>
      </c>
      <c r="AT172" s="1150" t="s">
        <v>5410</v>
      </c>
      <c r="AU172" s="1150" t="s">
        <v>5411</v>
      </c>
      <c r="AV172" s="1150" t="s">
        <v>5412</v>
      </c>
      <c r="AW172" s="1231" t="s">
        <v>5413</v>
      </c>
      <c r="AX172" s="3236" t="s">
        <v>5414</v>
      </c>
      <c r="AY172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2" s="165"/>
      <c r="BA172" s="199"/>
      <c r="BW172" s="1430"/>
      <c r="BX172" s="1430"/>
      <c r="CB172" s="1435" t="str">
        <f t="shared" si="112"/>
        <v xml:space="preserve">* El número de actividades en usuarios en situacion de discapacidad NO DEBE ser mayor al total. </v>
      </c>
      <c r="CC172" s="1435" t="str">
        <f t="shared" si="113"/>
        <v xml:space="preserve"> * El número de actividades en Niños, Niñas, Adolescentes y Jóvenes de la red SENAME NO DEBE ser mayor al total. </v>
      </c>
      <c r="CD172" s="1435" t="str">
        <f t="shared" si="108"/>
        <v xml:space="preserve"> * El número de actividades en Niños, Niñas, Adolescentes y Jóvenes de la red Mejor Niñez NO DEBE ser mayor al total. </v>
      </c>
      <c r="CE172" s="1435" t="str">
        <f t="shared" si="114"/>
        <v xml:space="preserve"> * El número de actividades en Población Migrante NO DEBE ser mayor al total. </v>
      </c>
      <c r="CF172" s="1435" t="str">
        <f t="shared" si="115"/>
        <v xml:space="preserve"> * El número de actividades en Pacientes Diabéticos en Control PSCV NO DEBE superar el total. </v>
      </c>
      <c r="DB172" s="1436">
        <f t="shared" si="116"/>
        <v>1</v>
      </c>
      <c r="DC172" s="1436">
        <f t="shared" si="109"/>
        <v>1</v>
      </c>
      <c r="DD172" s="1436">
        <f t="shared" si="110"/>
        <v>1</v>
      </c>
      <c r="DE172" s="1436">
        <f t="shared" si="111"/>
        <v>1</v>
      </c>
      <c r="DF172" s="1436">
        <f t="shared" si="117"/>
        <v>1</v>
      </c>
      <c r="DG172" s="1432"/>
      <c r="DH172" s="1432"/>
    </row>
    <row r="173" spans="1:112" ht="16.350000000000001" customHeight="1" x14ac:dyDescent="0.25">
      <c r="A173" s="7520" t="s">
        <v>5227</v>
      </c>
      <c r="B173" s="8627" t="s">
        <v>1109</v>
      </c>
      <c r="C173" s="8627" t="s">
        <v>1108</v>
      </c>
      <c r="D173" s="4718" t="s">
        <v>1093</v>
      </c>
      <c r="E173" s="4713" t="s">
        <v>5369</v>
      </c>
      <c r="F173" s="4693" t="s">
        <v>5370</v>
      </c>
      <c r="G173" s="4694" t="s">
        <v>5371</v>
      </c>
      <c r="H173" s="4696" t="s">
        <v>5372</v>
      </c>
      <c r="I173" s="4697" t="s">
        <v>5373</v>
      </c>
      <c r="J173" s="4696" t="s">
        <v>5374</v>
      </c>
      <c r="K173" s="4719" t="s">
        <v>5375</v>
      </c>
      <c r="L173" s="4696" t="s">
        <v>5376</v>
      </c>
      <c r="M173" s="4697" t="s">
        <v>5377</v>
      </c>
      <c r="N173" s="4696" t="s">
        <v>5378</v>
      </c>
      <c r="O173" s="4719" t="s">
        <v>5379</v>
      </c>
      <c r="P173" s="4696" t="s">
        <v>5380</v>
      </c>
      <c r="Q173" s="4697" t="s">
        <v>5381</v>
      </c>
      <c r="R173" s="4696" t="s">
        <v>5382</v>
      </c>
      <c r="S173" s="4719" t="s">
        <v>5383</v>
      </c>
      <c r="T173" s="4696" t="s">
        <v>5384</v>
      </c>
      <c r="U173" s="4697" t="s">
        <v>5385</v>
      </c>
      <c r="V173" s="4696" t="s">
        <v>5386</v>
      </c>
      <c r="W173" s="4719" t="s">
        <v>5387</v>
      </c>
      <c r="X173" s="4696" t="s">
        <v>5388</v>
      </c>
      <c r="Y173" s="4697" t="s">
        <v>5389</v>
      </c>
      <c r="Z173" s="4696" t="s">
        <v>5390</v>
      </c>
      <c r="AA173" s="4719" t="s">
        <v>5391</v>
      </c>
      <c r="AB173" s="4696" t="s">
        <v>5392</v>
      </c>
      <c r="AC173" s="4719" t="s">
        <v>5393</v>
      </c>
      <c r="AD173" s="4550" t="s">
        <v>5394</v>
      </c>
      <c r="AE173" s="4720" t="s">
        <v>5395</v>
      </c>
      <c r="AF173" s="4550" t="s">
        <v>5396</v>
      </c>
      <c r="AG173" s="4720" t="s">
        <v>5397</v>
      </c>
      <c r="AH173" s="4550" t="s">
        <v>5398</v>
      </c>
      <c r="AI173" s="4720" t="s">
        <v>5399</v>
      </c>
      <c r="AJ173" s="4550" t="s">
        <v>5400</v>
      </c>
      <c r="AK173" s="4720" t="s">
        <v>5401</v>
      </c>
      <c r="AL173" s="4550" t="s">
        <v>5402</v>
      </c>
      <c r="AM173" s="4720" t="s">
        <v>5403</v>
      </c>
      <c r="AN173" s="4550" t="s">
        <v>5404</v>
      </c>
      <c r="AO173" s="4720" t="s">
        <v>5405</v>
      </c>
      <c r="AP173" s="4550" t="s">
        <v>5406</v>
      </c>
      <c r="AQ173" s="4720" t="s">
        <v>5407</v>
      </c>
      <c r="AR173" s="4699" t="s">
        <v>5408</v>
      </c>
      <c r="AS173" s="3755" t="s">
        <v>5409</v>
      </c>
      <c r="AT173" s="3755" t="s">
        <v>5410</v>
      </c>
      <c r="AU173" s="3755" t="s">
        <v>5411</v>
      </c>
      <c r="AV173" s="6833" t="s">
        <v>5412</v>
      </c>
      <c r="AW173" s="4700" t="s">
        <v>5413</v>
      </c>
      <c r="AX173" s="2814" t="s">
        <v>5414</v>
      </c>
      <c r="AY173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3" s="165"/>
      <c r="BA173" s="199"/>
      <c r="BW173" s="1430"/>
      <c r="BX173" s="1430"/>
      <c r="CB173" s="1435" t="str">
        <f t="shared" si="112"/>
        <v xml:space="preserve">* El número de actividades en usuarios en situacion de discapacidad NO DEBE ser mayor al total. </v>
      </c>
      <c r="CC173" s="1435" t="str">
        <f t="shared" si="113"/>
        <v xml:space="preserve"> * El número de actividades en Niños, Niñas, Adolescentes y Jóvenes de la red SENAME NO DEBE ser mayor al total. </v>
      </c>
      <c r="CD173" s="1435" t="str">
        <f t="shared" si="108"/>
        <v xml:space="preserve"> * El número de actividades en Niños, Niñas, Adolescentes y Jóvenes de la red Mejor Niñez NO DEBE ser mayor al total. </v>
      </c>
      <c r="CE173" s="1435" t="str">
        <f t="shared" si="114"/>
        <v xml:space="preserve"> * El número de actividades en Población Migrante NO DEBE ser mayor al total. </v>
      </c>
      <c r="CF173" s="1435" t="str">
        <f t="shared" si="115"/>
        <v xml:space="preserve"> * El número de actividades en Pacientes Diabéticos en Control PSCV NO DEBE superar el total. </v>
      </c>
      <c r="DB173" s="1436">
        <f t="shared" si="116"/>
        <v>1</v>
      </c>
      <c r="DC173" s="1436">
        <f t="shared" si="109"/>
        <v>1</v>
      </c>
      <c r="DD173" s="1436">
        <f t="shared" si="110"/>
        <v>1</v>
      </c>
      <c r="DE173" s="1436">
        <f t="shared" si="111"/>
        <v>1</v>
      </c>
      <c r="DF173" s="1436">
        <f t="shared" si="117"/>
        <v>1</v>
      </c>
      <c r="DG173" s="1432"/>
      <c r="DH173" s="1432"/>
    </row>
    <row r="174" spans="1:112" ht="16.350000000000001" customHeight="1" x14ac:dyDescent="0.25">
      <c r="A174" s="7520" t="s">
        <v>5228</v>
      </c>
      <c r="B174" s="8705"/>
      <c r="C174" s="8705"/>
      <c r="D174" s="4715" t="s">
        <v>1107</v>
      </c>
      <c r="E174" s="4713" t="s">
        <v>5369</v>
      </c>
      <c r="F174" s="4701" t="s">
        <v>5370</v>
      </c>
      <c r="G174" s="4702" t="s">
        <v>5371</v>
      </c>
      <c r="H174" s="2846" t="s">
        <v>5372</v>
      </c>
      <c r="I174" s="1850" t="s">
        <v>5373</v>
      </c>
      <c r="J174" s="2846" t="s">
        <v>5374</v>
      </c>
      <c r="K174" s="3569" t="s">
        <v>5375</v>
      </c>
      <c r="L174" s="2846" t="s">
        <v>5376</v>
      </c>
      <c r="M174" s="1850" t="s">
        <v>5377</v>
      </c>
      <c r="N174" s="2846" t="s">
        <v>5378</v>
      </c>
      <c r="O174" s="3569" t="s">
        <v>5379</v>
      </c>
      <c r="P174" s="2846" t="s">
        <v>5380</v>
      </c>
      <c r="Q174" s="1850" t="s">
        <v>5381</v>
      </c>
      <c r="R174" s="2846" t="s">
        <v>5382</v>
      </c>
      <c r="S174" s="3569" t="s">
        <v>5383</v>
      </c>
      <c r="T174" s="2846" t="s">
        <v>5384</v>
      </c>
      <c r="U174" s="1850" t="s">
        <v>5385</v>
      </c>
      <c r="V174" s="2846" t="s">
        <v>5386</v>
      </c>
      <c r="W174" s="3569" t="s">
        <v>5387</v>
      </c>
      <c r="X174" s="2846" t="s">
        <v>5388</v>
      </c>
      <c r="Y174" s="1850" t="s">
        <v>5389</v>
      </c>
      <c r="Z174" s="2846" t="s">
        <v>5390</v>
      </c>
      <c r="AA174" s="3569" t="s">
        <v>5391</v>
      </c>
      <c r="AB174" s="2846" t="s">
        <v>5392</v>
      </c>
      <c r="AC174" s="3569" t="s">
        <v>5393</v>
      </c>
      <c r="AD174" s="2822" t="s">
        <v>5394</v>
      </c>
      <c r="AE174" s="2778" t="s">
        <v>5395</v>
      </c>
      <c r="AF174" s="2822" t="s">
        <v>5396</v>
      </c>
      <c r="AG174" s="2778" t="s">
        <v>5397</v>
      </c>
      <c r="AH174" s="2822" t="s">
        <v>5398</v>
      </c>
      <c r="AI174" s="2778" t="s">
        <v>5399</v>
      </c>
      <c r="AJ174" s="2822" t="s">
        <v>5400</v>
      </c>
      <c r="AK174" s="2778" t="s">
        <v>5401</v>
      </c>
      <c r="AL174" s="2822" t="s">
        <v>5402</v>
      </c>
      <c r="AM174" s="2778" t="s">
        <v>5403</v>
      </c>
      <c r="AN174" s="2822" t="s">
        <v>5404</v>
      </c>
      <c r="AO174" s="2778" t="s">
        <v>5405</v>
      </c>
      <c r="AP174" s="2822" t="s">
        <v>5406</v>
      </c>
      <c r="AQ174" s="2778" t="s">
        <v>5407</v>
      </c>
      <c r="AR174" s="4716" t="s">
        <v>5408</v>
      </c>
      <c r="AS174" s="2814" t="s">
        <v>5409</v>
      </c>
      <c r="AT174" s="2826" t="s">
        <v>5410</v>
      </c>
      <c r="AU174" s="2826" t="s">
        <v>5411</v>
      </c>
      <c r="AV174" s="2814" t="s">
        <v>5412</v>
      </c>
      <c r="AW174" s="3758" t="s">
        <v>5413</v>
      </c>
      <c r="AX174" s="2814" t="s">
        <v>5414</v>
      </c>
      <c r="AY174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4" s="165"/>
      <c r="BA174" s="199"/>
      <c r="BW174" s="1430"/>
      <c r="BX174" s="1430"/>
      <c r="CB174" s="1435" t="str">
        <f t="shared" si="112"/>
        <v xml:space="preserve">* El número de actividades en usuarios en situacion de discapacidad NO DEBE ser mayor al total. </v>
      </c>
      <c r="CC174" s="1435" t="str">
        <f t="shared" si="113"/>
        <v xml:space="preserve"> * El número de actividades en Niños, Niñas, Adolescentes y Jóvenes de la red SENAME NO DEBE ser mayor al total. </v>
      </c>
      <c r="CD174" s="1435" t="str">
        <f t="shared" si="108"/>
        <v xml:space="preserve"> * El número de actividades en Niños, Niñas, Adolescentes y Jóvenes de la red Mejor Niñez NO DEBE ser mayor al total. </v>
      </c>
      <c r="CE174" s="1435" t="str">
        <f t="shared" si="114"/>
        <v xml:space="preserve"> * El número de actividades en Población Migrante NO DEBE ser mayor al total. </v>
      </c>
      <c r="CF174" s="1435" t="str">
        <f t="shared" si="115"/>
        <v xml:space="preserve"> * El número de actividades en Pacientes Diabéticos en Control PSCV NO DEBE superar el total. </v>
      </c>
      <c r="DB174" s="1436">
        <f t="shared" si="116"/>
        <v>1</v>
      </c>
      <c r="DC174" s="1436">
        <f t="shared" si="109"/>
        <v>1</v>
      </c>
      <c r="DD174" s="1436">
        <f t="shared" si="110"/>
        <v>1</v>
      </c>
      <c r="DE174" s="1436">
        <f t="shared" si="111"/>
        <v>1</v>
      </c>
      <c r="DF174" s="1436">
        <f t="shared" si="117"/>
        <v>1</v>
      </c>
      <c r="DG174" s="1432"/>
      <c r="DH174" s="1432"/>
    </row>
    <row r="175" spans="1:112" ht="16.350000000000001" customHeight="1" x14ac:dyDescent="0.25">
      <c r="A175" s="7520" t="s">
        <v>5229</v>
      </c>
      <c r="B175" s="8705"/>
      <c r="C175" s="8705"/>
      <c r="D175" s="4721" t="s">
        <v>1106</v>
      </c>
      <c r="E175" s="4713" t="s">
        <v>5369</v>
      </c>
      <c r="F175" s="4701" t="s">
        <v>5370</v>
      </c>
      <c r="G175" s="4722" t="s">
        <v>5371</v>
      </c>
      <c r="H175" s="2846" t="s">
        <v>5372</v>
      </c>
      <c r="I175" s="1850" t="s">
        <v>5373</v>
      </c>
      <c r="J175" s="2846" t="s">
        <v>5374</v>
      </c>
      <c r="K175" s="3569" t="s">
        <v>5375</v>
      </c>
      <c r="L175" s="2846" t="s">
        <v>5376</v>
      </c>
      <c r="M175" s="1850" t="s">
        <v>5377</v>
      </c>
      <c r="N175" s="2846" t="s">
        <v>5378</v>
      </c>
      <c r="O175" s="3569" t="s">
        <v>5379</v>
      </c>
      <c r="P175" s="2846" t="s">
        <v>5380</v>
      </c>
      <c r="Q175" s="1850" t="s">
        <v>5381</v>
      </c>
      <c r="R175" s="2846" t="s">
        <v>5382</v>
      </c>
      <c r="S175" s="3569" t="s">
        <v>5383</v>
      </c>
      <c r="T175" s="2846" t="s">
        <v>5384</v>
      </c>
      <c r="U175" s="1850" t="s">
        <v>5385</v>
      </c>
      <c r="V175" s="2846" t="s">
        <v>5386</v>
      </c>
      <c r="W175" s="3569" t="s">
        <v>5387</v>
      </c>
      <c r="X175" s="2846" t="s">
        <v>5388</v>
      </c>
      <c r="Y175" s="1850" t="s">
        <v>5389</v>
      </c>
      <c r="Z175" s="2846" t="s">
        <v>5390</v>
      </c>
      <c r="AA175" s="3569" t="s">
        <v>5391</v>
      </c>
      <c r="AB175" s="2846" t="s">
        <v>5392</v>
      </c>
      <c r="AC175" s="3569" t="s">
        <v>5393</v>
      </c>
      <c r="AD175" s="2822" t="s">
        <v>5394</v>
      </c>
      <c r="AE175" s="2778" t="s">
        <v>5395</v>
      </c>
      <c r="AF175" s="2822" t="s">
        <v>5396</v>
      </c>
      <c r="AG175" s="2778" t="s">
        <v>5397</v>
      </c>
      <c r="AH175" s="2822" t="s">
        <v>5398</v>
      </c>
      <c r="AI175" s="2778" t="s">
        <v>5399</v>
      </c>
      <c r="AJ175" s="2822" t="s">
        <v>5400</v>
      </c>
      <c r="AK175" s="2778" t="s">
        <v>5401</v>
      </c>
      <c r="AL175" s="2822" t="s">
        <v>5402</v>
      </c>
      <c r="AM175" s="2778" t="s">
        <v>5403</v>
      </c>
      <c r="AN175" s="2822" t="s">
        <v>5404</v>
      </c>
      <c r="AO175" s="2778" t="s">
        <v>5405</v>
      </c>
      <c r="AP175" s="2822" t="s">
        <v>5406</v>
      </c>
      <c r="AQ175" s="2778" t="s">
        <v>5407</v>
      </c>
      <c r="AR175" s="4716" t="s">
        <v>5408</v>
      </c>
      <c r="AS175" s="4716" t="s">
        <v>5409</v>
      </c>
      <c r="AT175" s="2826" t="s">
        <v>5410</v>
      </c>
      <c r="AU175" s="2826" t="s">
        <v>5411</v>
      </c>
      <c r="AV175" s="2814" t="s">
        <v>5412</v>
      </c>
      <c r="AW175" s="4704" t="s">
        <v>5413</v>
      </c>
      <c r="AX175" s="2814" t="s">
        <v>5414</v>
      </c>
      <c r="AY175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5" s="165"/>
      <c r="BA175" s="199"/>
      <c r="BW175" s="1430"/>
      <c r="BX175" s="1430"/>
      <c r="CB175" s="1435" t="str">
        <f t="shared" si="112"/>
        <v xml:space="preserve">* El número de actividades en usuarios en situacion de discapacidad NO DEBE ser mayor al total. </v>
      </c>
      <c r="CC175" s="1435" t="str">
        <f t="shared" si="113"/>
        <v xml:space="preserve"> * El número de actividades en Niños, Niñas, Adolescentes y Jóvenes de la red SENAME NO DEBE ser mayor al total. </v>
      </c>
      <c r="CD175" s="1435" t="str">
        <f t="shared" si="108"/>
        <v xml:space="preserve"> * El número de actividades en Niños, Niñas, Adolescentes y Jóvenes de la red Mejor Niñez NO DEBE ser mayor al total. </v>
      </c>
      <c r="CE175" s="1435" t="str">
        <f t="shared" si="114"/>
        <v xml:space="preserve"> * El número de actividades en Población Migrante NO DEBE ser mayor al total. </v>
      </c>
      <c r="CF175" s="1435" t="str">
        <f t="shared" si="115"/>
        <v xml:space="preserve"> * El número de actividades en Pacientes Diabéticos en Control PSCV NO DEBE superar el total. </v>
      </c>
      <c r="DB175" s="1436">
        <f t="shared" si="116"/>
        <v>1</v>
      </c>
      <c r="DC175" s="1436">
        <f t="shared" si="109"/>
        <v>1</v>
      </c>
      <c r="DD175" s="1436">
        <f t="shared" si="110"/>
        <v>1</v>
      </c>
      <c r="DE175" s="1436">
        <f t="shared" si="111"/>
        <v>1</v>
      </c>
      <c r="DF175" s="1436">
        <f t="shared" si="117"/>
        <v>1</v>
      </c>
      <c r="DG175" s="1432"/>
      <c r="DH175" s="1432"/>
    </row>
    <row r="176" spans="1:112" ht="16.350000000000001" customHeight="1" x14ac:dyDescent="0.25">
      <c r="A176" s="7666" t="s">
        <v>5230</v>
      </c>
      <c r="B176" s="8705"/>
      <c r="C176" s="8705"/>
      <c r="D176" s="4535" t="s">
        <v>1036</v>
      </c>
      <c r="E176" s="4713" t="s">
        <v>5369</v>
      </c>
      <c r="F176" s="4701" t="s">
        <v>5370</v>
      </c>
      <c r="G176" s="4723" t="s">
        <v>5371</v>
      </c>
      <c r="H176" s="4599" t="s">
        <v>5372</v>
      </c>
      <c r="I176" s="2913" t="s">
        <v>5373</v>
      </c>
      <c r="J176" s="4599" t="s">
        <v>5374</v>
      </c>
      <c r="K176" s="3650" t="s">
        <v>5375</v>
      </c>
      <c r="L176" s="4599" t="s">
        <v>5376</v>
      </c>
      <c r="M176" s="2913" t="s">
        <v>5377</v>
      </c>
      <c r="N176" s="4599" t="s">
        <v>5378</v>
      </c>
      <c r="O176" s="3650" t="s">
        <v>5379</v>
      </c>
      <c r="P176" s="4599" t="s">
        <v>5380</v>
      </c>
      <c r="Q176" s="2913" t="s">
        <v>5381</v>
      </c>
      <c r="R176" s="4599" t="s">
        <v>5382</v>
      </c>
      <c r="S176" s="3650" t="s">
        <v>5383</v>
      </c>
      <c r="T176" s="4599" t="s">
        <v>5384</v>
      </c>
      <c r="U176" s="2913" t="s">
        <v>5385</v>
      </c>
      <c r="V176" s="4599" t="s">
        <v>5386</v>
      </c>
      <c r="W176" s="3650" t="s">
        <v>5387</v>
      </c>
      <c r="X176" s="4599" t="s">
        <v>5388</v>
      </c>
      <c r="Y176" s="2913" t="s">
        <v>5389</v>
      </c>
      <c r="Z176" s="4599" t="s">
        <v>5390</v>
      </c>
      <c r="AA176" s="3650" t="s">
        <v>5391</v>
      </c>
      <c r="AB176" s="4599" t="s">
        <v>5392</v>
      </c>
      <c r="AC176" s="3650" t="s">
        <v>5393</v>
      </c>
      <c r="AD176" s="3185" t="s">
        <v>5394</v>
      </c>
      <c r="AE176" s="1810" t="s">
        <v>5395</v>
      </c>
      <c r="AF176" s="3185" t="s">
        <v>5396</v>
      </c>
      <c r="AG176" s="1810" t="s">
        <v>5397</v>
      </c>
      <c r="AH176" s="3185" t="s">
        <v>5398</v>
      </c>
      <c r="AI176" s="1810" t="s">
        <v>5399</v>
      </c>
      <c r="AJ176" s="3185" t="s">
        <v>5400</v>
      </c>
      <c r="AK176" s="1810" t="s">
        <v>5401</v>
      </c>
      <c r="AL176" s="3185" t="s">
        <v>5402</v>
      </c>
      <c r="AM176" s="1810" t="s">
        <v>5403</v>
      </c>
      <c r="AN176" s="3185" t="s">
        <v>5404</v>
      </c>
      <c r="AO176" s="1810" t="s">
        <v>5405</v>
      </c>
      <c r="AP176" s="3185" t="s">
        <v>5406</v>
      </c>
      <c r="AQ176" s="1810" t="s">
        <v>5407</v>
      </c>
      <c r="AR176" s="2529" t="s">
        <v>5408</v>
      </c>
      <c r="AS176" s="2529" t="s">
        <v>5409</v>
      </c>
      <c r="AT176" s="3186" t="s">
        <v>5410</v>
      </c>
      <c r="AU176" s="3186" t="s">
        <v>5411</v>
      </c>
      <c r="AV176" s="1150" t="s">
        <v>5412</v>
      </c>
      <c r="AW176" s="4707" t="s">
        <v>5413</v>
      </c>
      <c r="AX176" s="1150" t="s">
        <v>5414</v>
      </c>
      <c r="AY176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6" s="165"/>
      <c r="BA176" s="199"/>
      <c r="BW176" s="1430"/>
      <c r="BX176" s="1430"/>
      <c r="CB176" s="1435" t="str">
        <f t="shared" si="112"/>
        <v xml:space="preserve">* El número de actividades en usuarios en situacion de discapacidad NO DEBE ser mayor al total. </v>
      </c>
      <c r="CC176" s="1435" t="str">
        <f t="shared" si="113"/>
        <v xml:space="preserve"> * El número de actividades en Niños, Niñas, Adolescentes y Jóvenes de la red SENAME NO DEBE ser mayor al total. </v>
      </c>
      <c r="CD176" s="1435" t="str">
        <f t="shared" si="108"/>
        <v xml:space="preserve"> * El número de actividades en Niños, Niñas, Adolescentes y Jóvenes de la red Mejor Niñez NO DEBE ser mayor al total. </v>
      </c>
      <c r="CE176" s="1435" t="str">
        <f t="shared" si="114"/>
        <v xml:space="preserve"> * El número de actividades en Población Migrante NO DEBE ser mayor al total. </v>
      </c>
      <c r="CF176" s="1435" t="str">
        <f t="shared" si="115"/>
        <v xml:space="preserve"> * El número de actividades en Pacientes Diabéticos en Control PSCV NO DEBE superar el total. </v>
      </c>
      <c r="DB176" s="1436">
        <f t="shared" si="116"/>
        <v>1</v>
      </c>
      <c r="DC176" s="1436">
        <f t="shared" si="109"/>
        <v>1</v>
      </c>
      <c r="DD176" s="1436">
        <f t="shared" si="110"/>
        <v>1</v>
      </c>
      <c r="DE176" s="1436">
        <f t="shared" si="111"/>
        <v>1</v>
      </c>
      <c r="DF176" s="1436">
        <f t="shared" si="117"/>
        <v>1</v>
      </c>
      <c r="DG176" s="1432"/>
      <c r="DH176" s="1432"/>
    </row>
    <row r="177" spans="1:112" ht="16.350000000000001" customHeight="1" x14ac:dyDescent="0.25">
      <c r="A177" s="7520" t="s">
        <v>5231</v>
      </c>
      <c r="B177" s="9743"/>
      <c r="C177" s="8705"/>
      <c r="D177" s="4721" t="s">
        <v>1105</v>
      </c>
      <c r="E177" s="3231" t="s">
        <v>5369</v>
      </c>
      <c r="F177" s="3231" t="s">
        <v>5370</v>
      </c>
      <c r="G177" s="4724" t="s">
        <v>5371</v>
      </c>
      <c r="H177" s="3235" t="s">
        <v>5372</v>
      </c>
      <c r="I177" s="2882" t="s">
        <v>5373</v>
      </c>
      <c r="J177" s="3235" t="s">
        <v>5374</v>
      </c>
      <c r="K177" s="3570" t="s">
        <v>5375</v>
      </c>
      <c r="L177" s="3235" t="s">
        <v>5376</v>
      </c>
      <c r="M177" s="2882" t="s">
        <v>5377</v>
      </c>
      <c r="N177" s="3235" t="s">
        <v>5378</v>
      </c>
      <c r="O177" s="3570" t="s">
        <v>5379</v>
      </c>
      <c r="P177" s="3235" t="s">
        <v>5380</v>
      </c>
      <c r="Q177" s="2882" t="s">
        <v>5381</v>
      </c>
      <c r="R177" s="3235" t="s">
        <v>5382</v>
      </c>
      <c r="S177" s="3570" t="s">
        <v>5383</v>
      </c>
      <c r="T177" s="3235" t="s">
        <v>5384</v>
      </c>
      <c r="U177" s="2882" t="s">
        <v>5385</v>
      </c>
      <c r="V177" s="3235" t="s">
        <v>5386</v>
      </c>
      <c r="W177" s="3570" t="s">
        <v>5387</v>
      </c>
      <c r="X177" s="3235" t="s">
        <v>5388</v>
      </c>
      <c r="Y177" s="2882" t="s">
        <v>5389</v>
      </c>
      <c r="Z177" s="3235" t="s">
        <v>5390</v>
      </c>
      <c r="AA177" s="3570" t="s">
        <v>5391</v>
      </c>
      <c r="AB177" s="3235" t="s">
        <v>5392</v>
      </c>
      <c r="AC177" s="3570" t="s">
        <v>5393</v>
      </c>
      <c r="AD177" s="3158" t="s">
        <v>5394</v>
      </c>
      <c r="AE177" s="4725" t="s">
        <v>5395</v>
      </c>
      <c r="AF177" s="3158" t="s">
        <v>5396</v>
      </c>
      <c r="AG177" s="4725" t="s">
        <v>5397</v>
      </c>
      <c r="AH177" s="3158" t="s">
        <v>5398</v>
      </c>
      <c r="AI177" s="4725" t="s">
        <v>5399</v>
      </c>
      <c r="AJ177" s="3158" t="s">
        <v>5400</v>
      </c>
      <c r="AK177" s="4725" t="s">
        <v>5401</v>
      </c>
      <c r="AL177" s="3158" t="s">
        <v>5402</v>
      </c>
      <c r="AM177" s="4725" t="s">
        <v>5403</v>
      </c>
      <c r="AN177" s="3158" t="s">
        <v>5404</v>
      </c>
      <c r="AO177" s="4725" t="s">
        <v>5405</v>
      </c>
      <c r="AP177" s="3158" t="s">
        <v>5406</v>
      </c>
      <c r="AQ177" s="4725" t="s">
        <v>5407</v>
      </c>
      <c r="AR177" s="2490" t="s">
        <v>5408</v>
      </c>
      <c r="AS177" s="2490" t="s">
        <v>5409</v>
      </c>
      <c r="AT177" s="3159" t="s">
        <v>5410</v>
      </c>
      <c r="AU177" s="3159" t="s">
        <v>5411</v>
      </c>
      <c r="AV177" s="3159" t="s">
        <v>5412</v>
      </c>
      <c r="AW177" s="4726" t="s">
        <v>5413</v>
      </c>
      <c r="AX177" s="3159" t="s">
        <v>5414</v>
      </c>
      <c r="AY177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7" s="165"/>
      <c r="BA177" s="199"/>
      <c r="BW177" s="1430"/>
      <c r="BX177" s="1430"/>
      <c r="CB177" s="1435" t="str">
        <f t="shared" si="112"/>
        <v xml:space="preserve">* El número de actividades en usuarios en situacion de discapacidad NO DEBE ser mayor al total. </v>
      </c>
      <c r="CC177" s="1435" t="str">
        <f t="shared" si="113"/>
        <v xml:space="preserve"> * El número de actividades en Niños, Niñas, Adolescentes y Jóvenes de la red SENAME NO DEBE ser mayor al total. </v>
      </c>
      <c r="CD177" s="1435" t="str">
        <f t="shared" si="108"/>
        <v xml:space="preserve"> * El número de actividades en Niños, Niñas, Adolescentes y Jóvenes de la red Mejor Niñez NO DEBE ser mayor al total. </v>
      </c>
      <c r="CE177" s="1435" t="str">
        <f t="shared" si="114"/>
        <v xml:space="preserve"> * El número de actividades en Población Migrante NO DEBE ser mayor al total. </v>
      </c>
      <c r="CF177" s="1435" t="str">
        <f t="shared" si="115"/>
        <v xml:space="preserve"> * El número de actividades en Pacientes Diabéticos en Control PSCV NO DEBE superar el total. </v>
      </c>
      <c r="DB177" s="1436">
        <f t="shared" si="116"/>
        <v>1</v>
      </c>
      <c r="DC177" s="1436">
        <f t="shared" si="109"/>
        <v>1</v>
      </c>
      <c r="DD177" s="1436">
        <f t="shared" si="110"/>
        <v>1</v>
      </c>
      <c r="DE177" s="1436">
        <f t="shared" si="111"/>
        <v>1</v>
      </c>
      <c r="DF177" s="1436">
        <f t="shared" si="117"/>
        <v>1</v>
      </c>
      <c r="DG177" s="1432"/>
      <c r="DH177" s="1432"/>
    </row>
    <row r="178" spans="1:112" ht="21.75" customHeight="1" x14ac:dyDescent="0.25">
      <c r="A178" s="7267"/>
      <c r="B178" s="9871" t="s">
        <v>1104</v>
      </c>
      <c r="C178" s="9822" t="s">
        <v>1103</v>
      </c>
      <c r="D178" s="4727" t="s">
        <v>1102</v>
      </c>
      <c r="E178" s="7100">
        <v>0</v>
      </c>
      <c r="F178" s="3571">
        <v>0</v>
      </c>
      <c r="G178" s="3572">
        <v>0</v>
      </c>
      <c r="H178" s="4728">
        <v>0</v>
      </c>
      <c r="I178" s="4729">
        <v>0</v>
      </c>
      <c r="J178" s="4728">
        <v>0</v>
      </c>
      <c r="K178" s="4729">
        <v>0</v>
      </c>
      <c r="L178" s="4728">
        <v>0</v>
      </c>
      <c r="M178" s="3573">
        <v>0</v>
      </c>
      <c r="N178" s="4728">
        <v>0</v>
      </c>
      <c r="O178" s="3574">
        <v>0</v>
      </c>
      <c r="P178" s="4730">
        <v>0</v>
      </c>
      <c r="Q178" s="4729">
        <v>0</v>
      </c>
      <c r="R178" s="4730">
        <v>0</v>
      </c>
      <c r="S178" s="4729">
        <v>0</v>
      </c>
      <c r="T178" s="4730">
        <v>0</v>
      </c>
      <c r="U178" s="4729">
        <v>0</v>
      </c>
      <c r="V178" s="4730">
        <v>0</v>
      </c>
      <c r="W178" s="4729">
        <v>0</v>
      </c>
      <c r="X178" s="4730">
        <v>0</v>
      </c>
      <c r="Y178" s="4729">
        <v>0</v>
      </c>
      <c r="Z178" s="4730">
        <v>0</v>
      </c>
      <c r="AA178" s="4729">
        <v>0</v>
      </c>
      <c r="AB178" s="4730">
        <v>0</v>
      </c>
      <c r="AC178" s="4729">
        <v>0</v>
      </c>
      <c r="AD178" s="4728">
        <v>0</v>
      </c>
      <c r="AE178" s="4729">
        <v>0</v>
      </c>
      <c r="AF178" s="4728">
        <v>0</v>
      </c>
      <c r="AG178" s="4729">
        <v>0</v>
      </c>
      <c r="AH178" s="4728">
        <v>0</v>
      </c>
      <c r="AI178" s="4729">
        <v>0</v>
      </c>
      <c r="AJ178" s="4728">
        <v>0</v>
      </c>
      <c r="AK178" s="4729">
        <v>0</v>
      </c>
      <c r="AL178" s="4728">
        <v>0</v>
      </c>
      <c r="AM178" s="4729">
        <v>0</v>
      </c>
      <c r="AN178" s="4728">
        <v>0</v>
      </c>
      <c r="AO178" s="4729">
        <v>0</v>
      </c>
      <c r="AP178" s="4728">
        <v>0</v>
      </c>
      <c r="AQ178" s="4729">
        <v>0</v>
      </c>
      <c r="AR178" s="3575">
        <v>0</v>
      </c>
      <c r="AS178" s="4729">
        <v>0</v>
      </c>
      <c r="AT178" s="4729">
        <v>0</v>
      </c>
      <c r="AU178" s="4729">
        <v>0</v>
      </c>
      <c r="AV178" s="4729">
        <v>0</v>
      </c>
      <c r="AW178" s="3576">
        <v>0</v>
      </c>
      <c r="AX178" s="4729" t="s">
        <v>5414</v>
      </c>
      <c r="AY178" s="1496"/>
      <c r="AZ178" s="1197"/>
      <c r="BA178" s="199"/>
      <c r="BY178" s="1430"/>
      <c r="BZ178" s="1430"/>
      <c r="CB178" s="1435"/>
      <c r="CC178" s="1435"/>
      <c r="CD178" s="1435"/>
      <c r="CE178" s="1435"/>
      <c r="CF178" s="1435"/>
      <c r="DB178" s="1436"/>
      <c r="DC178" s="1436"/>
      <c r="DD178" s="1436"/>
      <c r="DE178" s="1436"/>
      <c r="DF178" s="1436"/>
      <c r="DG178" s="1432"/>
      <c r="DH178" s="1432"/>
    </row>
    <row r="179" spans="1:112" ht="16.5" customHeight="1" x14ac:dyDescent="0.25">
      <c r="A179" s="7520" t="s">
        <v>5232</v>
      </c>
      <c r="B179" s="9872"/>
      <c r="C179" s="9823"/>
      <c r="D179" s="4727" t="s">
        <v>1101</v>
      </c>
      <c r="E179" s="4713" t="s">
        <v>5369</v>
      </c>
      <c r="F179" s="4713" t="s">
        <v>5370</v>
      </c>
      <c r="G179" s="4693" t="s">
        <v>5371</v>
      </c>
      <c r="H179" s="4500" t="s">
        <v>5372</v>
      </c>
      <c r="I179" s="4560" t="s">
        <v>5373</v>
      </c>
      <c r="J179" s="4550" t="s">
        <v>5374</v>
      </c>
      <c r="K179" s="3755" t="s">
        <v>5375</v>
      </c>
      <c r="L179" s="4550" t="s">
        <v>5376</v>
      </c>
      <c r="M179" s="4731" t="s">
        <v>5377</v>
      </c>
      <c r="N179" s="4550" t="s">
        <v>5378</v>
      </c>
      <c r="O179" s="4560" t="s">
        <v>5379</v>
      </c>
      <c r="P179" s="4550" t="s">
        <v>5380</v>
      </c>
      <c r="Q179" s="2814" t="s">
        <v>5381</v>
      </c>
      <c r="R179" s="4550" t="s">
        <v>5382</v>
      </c>
      <c r="S179" s="2814" t="s">
        <v>5383</v>
      </c>
      <c r="T179" s="4550" t="s">
        <v>5384</v>
      </c>
      <c r="U179" s="2814" t="s">
        <v>5385</v>
      </c>
      <c r="V179" s="4550" t="s">
        <v>5386</v>
      </c>
      <c r="W179" s="2814" t="s">
        <v>5387</v>
      </c>
      <c r="X179" s="4550" t="s">
        <v>5388</v>
      </c>
      <c r="Y179" s="2814" t="s">
        <v>5389</v>
      </c>
      <c r="Z179" s="4550" t="s">
        <v>5390</v>
      </c>
      <c r="AA179" s="2814" t="s">
        <v>5391</v>
      </c>
      <c r="AB179" s="3139" t="s">
        <v>5392</v>
      </c>
      <c r="AC179" s="2814" t="s">
        <v>5393</v>
      </c>
      <c r="AD179" s="3139" t="s">
        <v>5394</v>
      </c>
      <c r="AE179" s="2814" t="s">
        <v>5395</v>
      </c>
      <c r="AF179" s="3139" t="s">
        <v>5396</v>
      </c>
      <c r="AG179" s="2814" t="s">
        <v>5397</v>
      </c>
      <c r="AH179" s="3139" t="s">
        <v>5398</v>
      </c>
      <c r="AI179" s="2814" t="s">
        <v>5399</v>
      </c>
      <c r="AJ179" s="3139" t="s">
        <v>5400</v>
      </c>
      <c r="AK179" s="2814" t="s">
        <v>5401</v>
      </c>
      <c r="AL179" s="3139" t="s">
        <v>5402</v>
      </c>
      <c r="AM179" s="2814" t="s">
        <v>5403</v>
      </c>
      <c r="AN179" s="3139" t="s">
        <v>5404</v>
      </c>
      <c r="AO179" s="2814" t="s">
        <v>5405</v>
      </c>
      <c r="AP179" s="3139" t="s">
        <v>5406</v>
      </c>
      <c r="AQ179" s="2814" t="s">
        <v>5407</v>
      </c>
      <c r="AR179" s="2449" t="s">
        <v>5408</v>
      </c>
      <c r="AS179" s="2814" t="s">
        <v>5409</v>
      </c>
      <c r="AT179" s="2814" t="s">
        <v>5410</v>
      </c>
      <c r="AU179" s="2814" t="s">
        <v>5411</v>
      </c>
      <c r="AV179" s="2814" t="s">
        <v>5412</v>
      </c>
      <c r="AW179" s="3758" t="s">
        <v>5413</v>
      </c>
      <c r="AX179" s="2814" t="s">
        <v>5414</v>
      </c>
      <c r="AY179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79" s="1197"/>
      <c r="BA179" s="199"/>
      <c r="BY179" s="1430"/>
      <c r="BZ179" s="1430"/>
      <c r="CB179" s="1435" t="str">
        <f t="shared" ref="CB179:CB198" si="118">IF(DB179=1,"* El número de actividades en usuarios en situacion de discapacidad NO DEBE ser mayor al total. ","")</f>
        <v xml:space="preserve">* El número de actividades en usuarios en situacion de discapacidad NO DEBE ser mayor al total. </v>
      </c>
      <c r="CC179" s="1435" t="str">
        <f t="shared" ref="CC179:CC198" si="119">IF(DC179=1,"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79" s="1435" t="str">
        <f t="shared" si="108"/>
        <v xml:space="preserve"> * El número de actividades en Niños, Niñas, Adolescentes y Jóvenes de la red Mejor Niñez NO DEBE ser mayor al total. </v>
      </c>
      <c r="CE179" s="1435" t="str">
        <f t="shared" ref="CE179:CE198" si="120">IF(DE179=1," * El número de actividades en Población Migrante NO DEBE ser mayor al total. ","")</f>
        <v xml:space="preserve"> * El número de actividades en Población Migrante NO DEBE ser mayor al total. </v>
      </c>
      <c r="CF179" s="1435" t="str">
        <f t="shared" ref="CF179:CF198" si="121">IF(DF179=1," * El número de actividades en Pacientes Diabéticos en Control PSCV NO DEBE superar el total. ","")</f>
        <v xml:space="preserve"> * El número de actividades en Pacientes Diabéticos en Control PSCV NO DEBE superar el total. </v>
      </c>
      <c r="DB179" s="1436">
        <f t="shared" ref="DB179:DB198" si="122">IF($E179&lt;AS179,1,0)</f>
        <v>1</v>
      </c>
      <c r="DC179" s="1436">
        <f t="shared" si="109"/>
        <v>1</v>
      </c>
      <c r="DD179" s="1436">
        <f t="shared" si="110"/>
        <v>1</v>
      </c>
      <c r="DE179" s="1436">
        <f t="shared" si="111"/>
        <v>1</v>
      </c>
      <c r="DF179" s="1436">
        <f t="shared" ref="DF179:DF198" si="123">IF($E179&lt;AX179,1,0)</f>
        <v>1</v>
      </c>
      <c r="DG179" s="1432"/>
      <c r="DH179" s="1432"/>
    </row>
    <row r="180" spans="1:112" ht="27" customHeight="1" x14ac:dyDescent="0.25">
      <c r="A180" s="7520" t="s">
        <v>5233</v>
      </c>
      <c r="B180" s="9873"/>
      <c r="C180" s="9824"/>
      <c r="D180" s="4732" t="s">
        <v>1100</v>
      </c>
      <c r="E180" s="3231" t="s">
        <v>5369</v>
      </c>
      <c r="F180" s="3231" t="s">
        <v>5370</v>
      </c>
      <c r="G180" s="3231" t="s">
        <v>5371</v>
      </c>
      <c r="H180" s="2477" t="s">
        <v>5372</v>
      </c>
      <c r="I180" s="2821" t="s">
        <v>5373</v>
      </c>
      <c r="J180" s="3158" t="s">
        <v>5374</v>
      </c>
      <c r="K180" s="3159" t="s">
        <v>5375</v>
      </c>
      <c r="L180" s="3158" t="s">
        <v>5376</v>
      </c>
      <c r="M180" s="3423" t="s">
        <v>5377</v>
      </c>
      <c r="N180" s="3158" t="s">
        <v>5378</v>
      </c>
      <c r="O180" s="2821" t="s">
        <v>5379</v>
      </c>
      <c r="P180" s="3158" t="s">
        <v>5380</v>
      </c>
      <c r="Q180" s="3159" t="s">
        <v>5381</v>
      </c>
      <c r="R180" s="3158" t="s">
        <v>5382</v>
      </c>
      <c r="S180" s="3159" t="s">
        <v>5383</v>
      </c>
      <c r="T180" s="3158" t="s">
        <v>5384</v>
      </c>
      <c r="U180" s="3159" t="s">
        <v>5385</v>
      </c>
      <c r="V180" s="3158" t="s">
        <v>5386</v>
      </c>
      <c r="W180" s="3159" t="s">
        <v>5387</v>
      </c>
      <c r="X180" s="3158" t="s">
        <v>5388</v>
      </c>
      <c r="Y180" s="3159" t="s">
        <v>5389</v>
      </c>
      <c r="Z180" s="3158" t="s">
        <v>5390</v>
      </c>
      <c r="AA180" s="3159" t="s">
        <v>5391</v>
      </c>
      <c r="AB180" s="3158" t="s">
        <v>5392</v>
      </c>
      <c r="AC180" s="3159" t="s">
        <v>5393</v>
      </c>
      <c r="AD180" s="3158" t="s">
        <v>5394</v>
      </c>
      <c r="AE180" s="3159" t="s">
        <v>5395</v>
      </c>
      <c r="AF180" s="3158" t="s">
        <v>5396</v>
      </c>
      <c r="AG180" s="3159" t="s">
        <v>5397</v>
      </c>
      <c r="AH180" s="3158" t="s">
        <v>5398</v>
      </c>
      <c r="AI180" s="3159" t="s">
        <v>5399</v>
      </c>
      <c r="AJ180" s="3158" t="s">
        <v>5400</v>
      </c>
      <c r="AK180" s="3159" t="s">
        <v>5401</v>
      </c>
      <c r="AL180" s="3158" t="s">
        <v>5402</v>
      </c>
      <c r="AM180" s="3159" t="s">
        <v>5403</v>
      </c>
      <c r="AN180" s="3158" t="s">
        <v>5404</v>
      </c>
      <c r="AO180" s="3159" t="s">
        <v>5405</v>
      </c>
      <c r="AP180" s="3158" t="s">
        <v>5406</v>
      </c>
      <c r="AQ180" s="3159" t="s">
        <v>5407</v>
      </c>
      <c r="AR180" s="2490" t="s">
        <v>5408</v>
      </c>
      <c r="AS180" s="3159" t="s">
        <v>5409</v>
      </c>
      <c r="AT180" s="3159" t="s">
        <v>5410</v>
      </c>
      <c r="AU180" s="3159" t="s">
        <v>5411</v>
      </c>
      <c r="AV180" s="3159" t="s">
        <v>5412</v>
      </c>
      <c r="AW180" s="3236" t="s">
        <v>5413</v>
      </c>
      <c r="AX180" s="3159" t="s">
        <v>5414</v>
      </c>
      <c r="AY180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0" s="1197"/>
      <c r="BA180" s="199"/>
      <c r="BY180" s="1430"/>
      <c r="BZ180" s="1430"/>
      <c r="CB180" s="1435" t="str">
        <f t="shared" si="118"/>
        <v xml:space="preserve">* El número de actividades en usuarios en situacion de discapacidad NO DEBE ser mayor al total. </v>
      </c>
      <c r="CC180" s="1435" t="str">
        <f t="shared" si="119"/>
        <v xml:space="preserve"> * El número de actividades en Niños, Niñas, Adolescentes y Jóvenes de la red SENAME NO DEBE ser mayor al total. </v>
      </c>
      <c r="CD180" s="1435" t="str">
        <f t="shared" si="108"/>
        <v xml:space="preserve"> * El número de actividades en Niños, Niñas, Adolescentes y Jóvenes de la red Mejor Niñez NO DEBE ser mayor al total. </v>
      </c>
      <c r="CE180" s="1435" t="str">
        <f t="shared" si="120"/>
        <v xml:space="preserve"> * El número de actividades en Población Migrante NO DEBE ser mayor al total. </v>
      </c>
      <c r="CF180" s="1435" t="str">
        <f t="shared" si="121"/>
        <v xml:space="preserve"> * El número de actividades en Pacientes Diabéticos en Control PSCV NO DEBE superar el total. </v>
      </c>
      <c r="DB180" s="1436">
        <f t="shared" si="122"/>
        <v>1</v>
      </c>
      <c r="DC180" s="1436">
        <f t="shared" si="109"/>
        <v>1</v>
      </c>
      <c r="DD180" s="1436">
        <f t="shared" si="110"/>
        <v>1</v>
      </c>
      <c r="DE180" s="1436">
        <f t="shared" si="111"/>
        <v>1</v>
      </c>
      <c r="DF180" s="1436">
        <f t="shared" si="123"/>
        <v>1</v>
      </c>
      <c r="DG180" s="1432"/>
      <c r="DH180" s="1432"/>
    </row>
    <row r="181" spans="1:112" ht="16.350000000000001" customHeight="1" x14ac:dyDescent="0.25">
      <c r="A181" s="7520" t="s">
        <v>5234</v>
      </c>
      <c r="B181" s="9871" t="s">
        <v>1099</v>
      </c>
      <c r="C181" s="8627" t="s">
        <v>1095</v>
      </c>
      <c r="D181" s="4733" t="s">
        <v>1092</v>
      </c>
      <c r="E181" s="4713" t="s">
        <v>5369</v>
      </c>
      <c r="F181" s="4713" t="s">
        <v>5370</v>
      </c>
      <c r="G181" s="4713" t="s">
        <v>5371</v>
      </c>
      <c r="H181" s="4705" t="s">
        <v>5372</v>
      </c>
      <c r="I181" s="2778" t="s">
        <v>5373</v>
      </c>
      <c r="J181" s="4705" t="s">
        <v>5374</v>
      </c>
      <c r="K181" s="2778" t="s">
        <v>5375</v>
      </c>
      <c r="L181" s="4705" t="s">
        <v>5376</v>
      </c>
      <c r="M181" s="2778" t="s">
        <v>5377</v>
      </c>
      <c r="N181" s="4705" t="s">
        <v>5378</v>
      </c>
      <c r="O181" s="2778" t="s">
        <v>5379</v>
      </c>
      <c r="P181" s="4705" t="s">
        <v>5380</v>
      </c>
      <c r="Q181" s="2778" t="s">
        <v>5381</v>
      </c>
      <c r="R181" s="4705" t="s">
        <v>5382</v>
      </c>
      <c r="S181" s="2778" t="s">
        <v>5383</v>
      </c>
      <c r="T181" s="4705" t="s">
        <v>5384</v>
      </c>
      <c r="U181" s="2778" t="s">
        <v>5385</v>
      </c>
      <c r="V181" s="4705" t="s">
        <v>5386</v>
      </c>
      <c r="W181" s="2778" t="s">
        <v>5387</v>
      </c>
      <c r="X181" s="4705" t="s">
        <v>5388</v>
      </c>
      <c r="Y181" s="2778" t="s">
        <v>5389</v>
      </c>
      <c r="Z181" s="4705" t="s">
        <v>5390</v>
      </c>
      <c r="AA181" s="3569" t="s">
        <v>5391</v>
      </c>
      <c r="AB181" s="3139" t="s">
        <v>5392</v>
      </c>
      <c r="AC181" s="2814" t="s">
        <v>5393</v>
      </c>
      <c r="AD181" s="3139" t="s">
        <v>5394</v>
      </c>
      <c r="AE181" s="2814" t="s">
        <v>5395</v>
      </c>
      <c r="AF181" s="3139" t="s">
        <v>5396</v>
      </c>
      <c r="AG181" s="2814" t="s">
        <v>5397</v>
      </c>
      <c r="AH181" s="3139" t="s">
        <v>5398</v>
      </c>
      <c r="AI181" s="2814" t="s">
        <v>5399</v>
      </c>
      <c r="AJ181" s="3139" t="s">
        <v>5400</v>
      </c>
      <c r="AK181" s="2814" t="s">
        <v>5401</v>
      </c>
      <c r="AL181" s="3139" t="s">
        <v>5402</v>
      </c>
      <c r="AM181" s="2814" t="s">
        <v>5403</v>
      </c>
      <c r="AN181" s="3139" t="s">
        <v>5404</v>
      </c>
      <c r="AO181" s="2814" t="s">
        <v>5405</v>
      </c>
      <c r="AP181" s="3139" t="s">
        <v>5406</v>
      </c>
      <c r="AQ181" s="2814" t="s">
        <v>5407</v>
      </c>
      <c r="AR181" s="2449" t="s">
        <v>5408</v>
      </c>
      <c r="AS181" s="2986" t="s">
        <v>5409</v>
      </c>
      <c r="AT181" s="2814" t="s">
        <v>5410</v>
      </c>
      <c r="AU181" s="2814" t="s">
        <v>5411</v>
      </c>
      <c r="AV181" s="2814" t="s">
        <v>5412</v>
      </c>
      <c r="AW181" s="3758" t="s">
        <v>5413</v>
      </c>
      <c r="AX181" s="2814" t="s">
        <v>5414</v>
      </c>
      <c r="AY181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1" s="1197"/>
      <c r="BA181" s="199"/>
      <c r="BY181" s="1430"/>
      <c r="BZ181" s="1430"/>
      <c r="CB181" s="1435" t="str">
        <f t="shared" si="118"/>
        <v xml:space="preserve">* El número de actividades en usuarios en situacion de discapacidad NO DEBE ser mayor al total. </v>
      </c>
      <c r="CC181" s="1435" t="str">
        <f t="shared" si="119"/>
        <v xml:space="preserve"> * El número de actividades en Niños, Niñas, Adolescentes y Jóvenes de la red SENAME NO DEBE ser mayor al total. </v>
      </c>
      <c r="CD181" s="1435" t="str">
        <f t="shared" si="108"/>
        <v xml:space="preserve"> * El número de actividades en Niños, Niñas, Adolescentes y Jóvenes de la red Mejor Niñez NO DEBE ser mayor al total. </v>
      </c>
      <c r="CE181" s="1435" t="str">
        <f t="shared" si="120"/>
        <v xml:space="preserve"> * El número de actividades en Población Migrante NO DEBE ser mayor al total. </v>
      </c>
      <c r="CF181" s="1435" t="str">
        <f t="shared" si="121"/>
        <v xml:space="preserve"> * El número de actividades en Pacientes Diabéticos en Control PSCV NO DEBE superar el total. </v>
      </c>
      <c r="DB181" s="1436">
        <f t="shared" si="122"/>
        <v>1</v>
      </c>
      <c r="DC181" s="1436">
        <f t="shared" si="109"/>
        <v>1</v>
      </c>
      <c r="DD181" s="1436">
        <f t="shared" si="110"/>
        <v>1</v>
      </c>
      <c r="DE181" s="1436">
        <f t="shared" si="111"/>
        <v>1</v>
      </c>
      <c r="DF181" s="1436">
        <f t="shared" si="123"/>
        <v>1</v>
      </c>
      <c r="DG181" s="1432"/>
      <c r="DH181" s="1432"/>
    </row>
    <row r="182" spans="1:112" ht="16.350000000000001" customHeight="1" x14ac:dyDescent="0.25">
      <c r="A182" s="7520" t="s">
        <v>5235</v>
      </c>
      <c r="B182" s="9872"/>
      <c r="C182" s="8705"/>
      <c r="D182" s="4715" t="s">
        <v>2119</v>
      </c>
      <c r="E182" s="4734" t="s">
        <v>5369</v>
      </c>
      <c r="F182" s="4713" t="s">
        <v>5370</v>
      </c>
      <c r="G182" s="4713" t="s">
        <v>5371</v>
      </c>
      <c r="H182" s="4735" t="s">
        <v>5372</v>
      </c>
      <c r="I182" s="4736" t="s">
        <v>5373</v>
      </c>
      <c r="J182" s="4735" t="s">
        <v>5374</v>
      </c>
      <c r="K182" s="4736" t="s">
        <v>5375</v>
      </c>
      <c r="L182" s="4735" t="s">
        <v>5376</v>
      </c>
      <c r="M182" s="4736" t="s">
        <v>5377</v>
      </c>
      <c r="N182" s="4735" t="s">
        <v>5378</v>
      </c>
      <c r="O182" s="4736" t="s">
        <v>5379</v>
      </c>
      <c r="P182" s="4735" t="s">
        <v>5380</v>
      </c>
      <c r="Q182" s="4736" t="s">
        <v>5381</v>
      </c>
      <c r="R182" s="4735" t="s">
        <v>5382</v>
      </c>
      <c r="S182" s="4736" t="s">
        <v>5383</v>
      </c>
      <c r="T182" s="4735" t="s">
        <v>5384</v>
      </c>
      <c r="U182" s="4736" t="s">
        <v>5385</v>
      </c>
      <c r="V182" s="4735" t="s">
        <v>5386</v>
      </c>
      <c r="W182" s="4736" t="s">
        <v>5387</v>
      </c>
      <c r="X182" s="4735" t="s">
        <v>5388</v>
      </c>
      <c r="Y182" s="4736" t="s">
        <v>5389</v>
      </c>
      <c r="Z182" s="4735" t="s">
        <v>5390</v>
      </c>
      <c r="AA182" s="2549" t="s">
        <v>5391</v>
      </c>
      <c r="AB182" s="3297" t="s">
        <v>5392</v>
      </c>
      <c r="AC182" s="1150" t="s">
        <v>5393</v>
      </c>
      <c r="AD182" s="3297" t="s">
        <v>5394</v>
      </c>
      <c r="AE182" s="1150" t="s">
        <v>5395</v>
      </c>
      <c r="AF182" s="3297" t="s">
        <v>5396</v>
      </c>
      <c r="AG182" s="1150" t="s">
        <v>5397</v>
      </c>
      <c r="AH182" s="3297" t="s">
        <v>5398</v>
      </c>
      <c r="AI182" s="1150" t="s">
        <v>5399</v>
      </c>
      <c r="AJ182" s="3297" t="s">
        <v>5400</v>
      </c>
      <c r="AK182" s="1150" t="s">
        <v>5401</v>
      </c>
      <c r="AL182" s="3297" t="s">
        <v>5402</v>
      </c>
      <c r="AM182" s="1150" t="s">
        <v>5403</v>
      </c>
      <c r="AN182" s="3297" t="s">
        <v>5404</v>
      </c>
      <c r="AO182" s="1150" t="s">
        <v>5405</v>
      </c>
      <c r="AP182" s="3297" t="s">
        <v>5406</v>
      </c>
      <c r="AQ182" s="1150" t="s">
        <v>5407</v>
      </c>
      <c r="AR182" s="1061" t="s">
        <v>5408</v>
      </c>
      <c r="AS182" s="3238" t="s">
        <v>5409</v>
      </c>
      <c r="AT182" s="1150" t="s">
        <v>5410</v>
      </c>
      <c r="AU182" s="1150" t="s">
        <v>5411</v>
      </c>
      <c r="AV182" s="1150" t="s">
        <v>5412</v>
      </c>
      <c r="AW182" s="4737" t="s">
        <v>5413</v>
      </c>
      <c r="AX182" s="1150" t="s">
        <v>5414</v>
      </c>
      <c r="AY182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2" s="1197"/>
      <c r="BA182" s="199"/>
      <c r="BY182" s="1430"/>
      <c r="BZ182" s="1430"/>
      <c r="CB182" s="1435" t="str">
        <f t="shared" si="118"/>
        <v xml:space="preserve">* El número de actividades en usuarios en situacion de discapacidad NO DEBE ser mayor al total. </v>
      </c>
      <c r="CC182" s="1435" t="str">
        <f t="shared" si="119"/>
        <v xml:space="preserve"> * El número de actividades en Niños, Niñas, Adolescentes y Jóvenes de la red SENAME NO DEBE ser mayor al total. </v>
      </c>
      <c r="CD182" s="1435" t="str">
        <f t="shared" si="108"/>
        <v xml:space="preserve"> * El número de actividades en Niños, Niñas, Adolescentes y Jóvenes de la red Mejor Niñez NO DEBE ser mayor al total. </v>
      </c>
      <c r="CE182" s="1435" t="str">
        <f t="shared" si="120"/>
        <v xml:space="preserve"> * El número de actividades en Población Migrante NO DEBE ser mayor al total. </v>
      </c>
      <c r="CF182" s="1435" t="str">
        <f t="shared" si="121"/>
        <v xml:space="preserve"> * El número de actividades en Pacientes Diabéticos en Control PSCV NO DEBE superar el total. </v>
      </c>
      <c r="DB182" s="1436">
        <f t="shared" si="122"/>
        <v>1</v>
      </c>
      <c r="DC182" s="1436">
        <f t="shared" si="109"/>
        <v>1</v>
      </c>
      <c r="DD182" s="1436">
        <f t="shared" si="110"/>
        <v>1</v>
      </c>
      <c r="DE182" s="1436">
        <f t="shared" si="111"/>
        <v>1</v>
      </c>
      <c r="DF182" s="1436">
        <f t="shared" si="123"/>
        <v>1</v>
      </c>
      <c r="DG182" s="1432"/>
      <c r="DH182" s="1432"/>
    </row>
    <row r="183" spans="1:112" ht="16.350000000000001" customHeight="1" x14ac:dyDescent="0.25">
      <c r="A183" s="7520" t="s">
        <v>5236</v>
      </c>
      <c r="B183" s="9872"/>
      <c r="C183" s="9743"/>
      <c r="D183" s="4738" t="s">
        <v>2118</v>
      </c>
      <c r="E183" s="4734" t="s">
        <v>5369</v>
      </c>
      <c r="F183" s="3231" t="s">
        <v>5370</v>
      </c>
      <c r="G183" s="3231" t="s">
        <v>5371</v>
      </c>
      <c r="H183" s="4739" t="s">
        <v>5372</v>
      </c>
      <c r="I183" s="4740" t="s">
        <v>5373</v>
      </c>
      <c r="J183" s="4739" t="s">
        <v>5374</v>
      </c>
      <c r="K183" s="4740" t="s">
        <v>5375</v>
      </c>
      <c r="L183" s="4739" t="s">
        <v>5376</v>
      </c>
      <c r="M183" s="4740" t="s">
        <v>5377</v>
      </c>
      <c r="N183" s="4739" t="s">
        <v>5378</v>
      </c>
      <c r="O183" s="4740" t="s">
        <v>5379</v>
      </c>
      <c r="P183" s="4739" t="s">
        <v>5380</v>
      </c>
      <c r="Q183" s="4740" t="s">
        <v>5381</v>
      </c>
      <c r="R183" s="4739" t="s">
        <v>5382</v>
      </c>
      <c r="S183" s="4740" t="s">
        <v>5383</v>
      </c>
      <c r="T183" s="4739" t="s">
        <v>5384</v>
      </c>
      <c r="U183" s="4740" t="s">
        <v>5385</v>
      </c>
      <c r="V183" s="4739" t="s">
        <v>5386</v>
      </c>
      <c r="W183" s="4740" t="s">
        <v>5387</v>
      </c>
      <c r="X183" s="4739" t="s">
        <v>5388</v>
      </c>
      <c r="Y183" s="4740" t="s">
        <v>5389</v>
      </c>
      <c r="Z183" s="4739" t="s">
        <v>5390</v>
      </c>
      <c r="AA183" s="3577" t="s">
        <v>5391</v>
      </c>
      <c r="AB183" s="3158" t="s">
        <v>5392</v>
      </c>
      <c r="AC183" s="3159" t="s">
        <v>5393</v>
      </c>
      <c r="AD183" s="3158" t="s">
        <v>5394</v>
      </c>
      <c r="AE183" s="3159" t="s">
        <v>5395</v>
      </c>
      <c r="AF183" s="3158" t="s">
        <v>5396</v>
      </c>
      <c r="AG183" s="3159" t="s">
        <v>5397</v>
      </c>
      <c r="AH183" s="3158" t="s">
        <v>5398</v>
      </c>
      <c r="AI183" s="3159" t="s">
        <v>5399</v>
      </c>
      <c r="AJ183" s="3158" t="s">
        <v>5400</v>
      </c>
      <c r="AK183" s="3159" t="s">
        <v>5401</v>
      </c>
      <c r="AL183" s="3158" t="s">
        <v>5402</v>
      </c>
      <c r="AM183" s="3159" t="s">
        <v>5403</v>
      </c>
      <c r="AN183" s="3158" t="s">
        <v>5404</v>
      </c>
      <c r="AO183" s="3159" t="s">
        <v>5405</v>
      </c>
      <c r="AP183" s="3158" t="s">
        <v>5406</v>
      </c>
      <c r="AQ183" s="3159" t="s">
        <v>5407</v>
      </c>
      <c r="AR183" s="2490" t="s">
        <v>5408</v>
      </c>
      <c r="AS183" s="2821" t="s">
        <v>5409</v>
      </c>
      <c r="AT183" s="3159" t="s">
        <v>5410</v>
      </c>
      <c r="AU183" s="3159" t="s">
        <v>5411</v>
      </c>
      <c r="AV183" s="3159" t="s">
        <v>5412</v>
      </c>
      <c r="AW183" s="4726" t="s">
        <v>5413</v>
      </c>
      <c r="AX183" s="3159" t="s">
        <v>5414</v>
      </c>
      <c r="AY183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3" s="1197"/>
      <c r="BA183" s="199"/>
      <c r="BY183" s="1430"/>
      <c r="BZ183" s="1430"/>
      <c r="CB183" s="1435" t="str">
        <f t="shared" si="118"/>
        <v xml:space="preserve">* El número de actividades en usuarios en situacion de discapacidad NO DEBE ser mayor al total. </v>
      </c>
      <c r="CC183" s="1435" t="str">
        <f t="shared" si="119"/>
        <v xml:space="preserve"> * El número de actividades en Niños, Niñas, Adolescentes y Jóvenes de la red SENAME NO DEBE ser mayor al total. </v>
      </c>
      <c r="CD183" s="1435" t="str">
        <f t="shared" si="108"/>
        <v xml:space="preserve"> * El número de actividades en Niños, Niñas, Adolescentes y Jóvenes de la red Mejor Niñez NO DEBE ser mayor al total. </v>
      </c>
      <c r="CE183" s="1435" t="str">
        <f t="shared" si="120"/>
        <v xml:space="preserve"> * El número de actividades en Población Migrante NO DEBE ser mayor al total. </v>
      </c>
      <c r="CF183" s="1435" t="str">
        <f t="shared" si="121"/>
        <v xml:space="preserve"> * El número de actividades en Pacientes Diabéticos en Control PSCV NO DEBE superar el total. </v>
      </c>
      <c r="DB183" s="1436">
        <f t="shared" si="122"/>
        <v>1</v>
      </c>
      <c r="DC183" s="1436">
        <f t="shared" si="109"/>
        <v>1</v>
      </c>
      <c r="DD183" s="1436">
        <f t="shared" si="110"/>
        <v>1</v>
      </c>
      <c r="DE183" s="1436">
        <f t="shared" si="111"/>
        <v>1</v>
      </c>
      <c r="DF183" s="1436">
        <f t="shared" si="123"/>
        <v>1</v>
      </c>
      <c r="DG183" s="1432"/>
      <c r="DH183" s="1432"/>
    </row>
    <row r="184" spans="1:112" ht="16.350000000000001" customHeight="1" x14ac:dyDescent="0.25">
      <c r="A184" s="7520" t="s">
        <v>5237</v>
      </c>
      <c r="B184" s="9872"/>
      <c r="C184" s="9822" t="s">
        <v>1098</v>
      </c>
      <c r="D184" s="4727" t="s">
        <v>1092</v>
      </c>
      <c r="E184" s="4693" t="s">
        <v>5369</v>
      </c>
      <c r="F184" s="4713" t="s">
        <v>5370</v>
      </c>
      <c r="G184" s="4713" t="s">
        <v>5371</v>
      </c>
      <c r="H184" s="3578" t="s">
        <v>5372</v>
      </c>
      <c r="I184" s="4719" t="s">
        <v>5373</v>
      </c>
      <c r="J184" s="4705" t="s">
        <v>5374</v>
      </c>
      <c r="K184" s="4719" t="s">
        <v>5375</v>
      </c>
      <c r="L184" s="4705" t="s">
        <v>5376</v>
      </c>
      <c r="M184" s="4719" t="s">
        <v>5377</v>
      </c>
      <c r="N184" s="4705" t="s">
        <v>5378</v>
      </c>
      <c r="O184" s="4719" t="s">
        <v>5379</v>
      </c>
      <c r="P184" s="4705" t="s">
        <v>5380</v>
      </c>
      <c r="Q184" s="4719" t="s">
        <v>5381</v>
      </c>
      <c r="R184" s="4705" t="s">
        <v>5382</v>
      </c>
      <c r="S184" s="4719" t="s">
        <v>5383</v>
      </c>
      <c r="T184" s="4705" t="s">
        <v>5384</v>
      </c>
      <c r="U184" s="4719" t="s">
        <v>5385</v>
      </c>
      <c r="V184" s="4705" t="s">
        <v>5386</v>
      </c>
      <c r="W184" s="4719" t="s">
        <v>5387</v>
      </c>
      <c r="X184" s="4705" t="s">
        <v>5388</v>
      </c>
      <c r="Y184" s="4719" t="s">
        <v>5389</v>
      </c>
      <c r="Z184" s="4705" t="s">
        <v>5390</v>
      </c>
      <c r="AA184" s="3569" t="s">
        <v>5391</v>
      </c>
      <c r="AB184" s="3297" t="s">
        <v>5392</v>
      </c>
      <c r="AC184" s="1150" t="s">
        <v>5393</v>
      </c>
      <c r="AD184" s="3297" t="s">
        <v>5394</v>
      </c>
      <c r="AE184" s="1150" t="s">
        <v>5395</v>
      </c>
      <c r="AF184" s="3297" t="s">
        <v>5396</v>
      </c>
      <c r="AG184" s="1150" t="s">
        <v>5397</v>
      </c>
      <c r="AH184" s="3297" t="s">
        <v>5398</v>
      </c>
      <c r="AI184" s="1150" t="s">
        <v>5399</v>
      </c>
      <c r="AJ184" s="3297" t="s">
        <v>5400</v>
      </c>
      <c r="AK184" s="1150" t="s">
        <v>5401</v>
      </c>
      <c r="AL184" s="3297" t="s">
        <v>5402</v>
      </c>
      <c r="AM184" s="1150" t="s">
        <v>5403</v>
      </c>
      <c r="AN184" s="3297" t="s">
        <v>5404</v>
      </c>
      <c r="AO184" s="1150" t="s">
        <v>5405</v>
      </c>
      <c r="AP184" s="3297" t="s">
        <v>5406</v>
      </c>
      <c r="AQ184" s="1150" t="s">
        <v>5407</v>
      </c>
      <c r="AR184" s="1061" t="s">
        <v>5408</v>
      </c>
      <c r="AS184" s="3238" t="s">
        <v>5409</v>
      </c>
      <c r="AT184" s="1150" t="s">
        <v>5410</v>
      </c>
      <c r="AU184" s="1150" t="s">
        <v>5411</v>
      </c>
      <c r="AV184" s="1150" t="s">
        <v>5412</v>
      </c>
      <c r="AW184" s="1231" t="s">
        <v>5413</v>
      </c>
      <c r="AX184" s="1150" t="s">
        <v>5414</v>
      </c>
      <c r="AY184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4" s="1197"/>
      <c r="BA184" s="199"/>
      <c r="BY184" s="1430"/>
      <c r="BZ184" s="1430"/>
      <c r="CB184" s="1435" t="str">
        <f t="shared" si="118"/>
        <v xml:space="preserve">* El número de actividades en usuarios en situacion de discapacidad NO DEBE ser mayor al total. </v>
      </c>
      <c r="CC184" s="1435" t="str">
        <f t="shared" si="119"/>
        <v xml:space="preserve"> * El número de actividades en Niños, Niñas, Adolescentes y Jóvenes de la red SENAME NO DEBE ser mayor al total. </v>
      </c>
      <c r="CD184" s="1435" t="str">
        <f t="shared" si="108"/>
        <v xml:space="preserve"> * El número de actividades en Niños, Niñas, Adolescentes y Jóvenes de la red Mejor Niñez NO DEBE ser mayor al total. </v>
      </c>
      <c r="CE184" s="1435" t="str">
        <f t="shared" si="120"/>
        <v xml:space="preserve"> * El número de actividades en Población Migrante NO DEBE ser mayor al total. </v>
      </c>
      <c r="CF184" s="1435" t="str">
        <f t="shared" si="121"/>
        <v xml:space="preserve"> * El número de actividades en Pacientes Diabéticos en Control PSCV NO DEBE superar el total. </v>
      </c>
      <c r="DB184" s="1436">
        <f t="shared" si="122"/>
        <v>1</v>
      </c>
      <c r="DC184" s="1436">
        <f t="shared" si="109"/>
        <v>1</v>
      </c>
      <c r="DD184" s="1436">
        <f t="shared" si="110"/>
        <v>1</v>
      </c>
      <c r="DE184" s="1436">
        <f t="shared" si="111"/>
        <v>1</v>
      </c>
      <c r="DF184" s="1436">
        <f t="shared" si="123"/>
        <v>1</v>
      </c>
      <c r="DG184" s="1432"/>
      <c r="DH184" s="1432"/>
    </row>
    <row r="185" spans="1:112" ht="16.350000000000001" customHeight="1" x14ac:dyDescent="0.25">
      <c r="A185" s="7520" t="s">
        <v>5238</v>
      </c>
      <c r="B185" s="9872"/>
      <c r="C185" s="9824"/>
      <c r="D185" s="3480" t="s">
        <v>2120</v>
      </c>
      <c r="E185" s="3571" t="s">
        <v>5369</v>
      </c>
      <c r="F185" s="3231" t="s">
        <v>5370</v>
      </c>
      <c r="G185" s="3231" t="s">
        <v>5371</v>
      </c>
      <c r="H185" s="4739" t="s">
        <v>5372</v>
      </c>
      <c r="I185" s="4540" t="s">
        <v>5373</v>
      </c>
      <c r="J185" s="4739" t="s">
        <v>5374</v>
      </c>
      <c r="K185" s="4540" t="s">
        <v>5375</v>
      </c>
      <c r="L185" s="4739" t="s">
        <v>5376</v>
      </c>
      <c r="M185" s="4540" t="s">
        <v>5377</v>
      </c>
      <c r="N185" s="4739" t="s">
        <v>5378</v>
      </c>
      <c r="O185" s="4540" t="s">
        <v>5379</v>
      </c>
      <c r="P185" s="4739" t="s">
        <v>5380</v>
      </c>
      <c r="Q185" s="4540" t="s">
        <v>5381</v>
      </c>
      <c r="R185" s="4739" t="s">
        <v>5382</v>
      </c>
      <c r="S185" s="4540" t="s">
        <v>5383</v>
      </c>
      <c r="T185" s="4739" t="s">
        <v>5384</v>
      </c>
      <c r="U185" s="4540" t="s">
        <v>5385</v>
      </c>
      <c r="V185" s="4739" t="s">
        <v>5386</v>
      </c>
      <c r="W185" s="4540" t="s">
        <v>5387</v>
      </c>
      <c r="X185" s="4739" t="s">
        <v>5388</v>
      </c>
      <c r="Y185" s="4540" t="s">
        <v>5389</v>
      </c>
      <c r="Z185" s="4739" t="s">
        <v>5390</v>
      </c>
      <c r="AA185" s="3577" t="s">
        <v>5391</v>
      </c>
      <c r="AB185" s="3297" t="s">
        <v>5392</v>
      </c>
      <c r="AC185" s="1150" t="s">
        <v>5393</v>
      </c>
      <c r="AD185" s="3297" t="s">
        <v>5394</v>
      </c>
      <c r="AE185" s="1150" t="s">
        <v>5395</v>
      </c>
      <c r="AF185" s="3297" t="s">
        <v>5396</v>
      </c>
      <c r="AG185" s="1150" t="s">
        <v>5397</v>
      </c>
      <c r="AH185" s="3297" t="s">
        <v>5398</v>
      </c>
      <c r="AI185" s="1150" t="s">
        <v>5399</v>
      </c>
      <c r="AJ185" s="3297" t="s">
        <v>5400</v>
      </c>
      <c r="AK185" s="1150" t="s">
        <v>5401</v>
      </c>
      <c r="AL185" s="3297" t="s">
        <v>5402</v>
      </c>
      <c r="AM185" s="1150" t="s">
        <v>5403</v>
      </c>
      <c r="AN185" s="3297" t="s">
        <v>5404</v>
      </c>
      <c r="AO185" s="1150" t="s">
        <v>5405</v>
      </c>
      <c r="AP185" s="3297" t="s">
        <v>5406</v>
      </c>
      <c r="AQ185" s="1150" t="s">
        <v>5407</v>
      </c>
      <c r="AR185" s="1061" t="s">
        <v>5408</v>
      </c>
      <c r="AS185" s="3238" t="s">
        <v>5409</v>
      </c>
      <c r="AT185" s="1150" t="s">
        <v>5410</v>
      </c>
      <c r="AU185" s="1150" t="s">
        <v>5411</v>
      </c>
      <c r="AV185" s="1150" t="s">
        <v>5412</v>
      </c>
      <c r="AW185" s="4704" t="s">
        <v>5413</v>
      </c>
      <c r="AX185" s="1150" t="s">
        <v>5414</v>
      </c>
      <c r="AY185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5" s="1197"/>
      <c r="BA185" s="199"/>
      <c r="BY185" s="1430"/>
      <c r="BZ185" s="1430"/>
      <c r="CB185" s="1435" t="str">
        <f t="shared" si="118"/>
        <v xml:space="preserve">* El número de actividades en usuarios en situacion de discapacidad NO DEBE ser mayor al total. </v>
      </c>
      <c r="CC185" s="1435" t="str">
        <f t="shared" si="119"/>
        <v xml:space="preserve"> * El número de actividades en Niños, Niñas, Adolescentes y Jóvenes de la red SENAME NO DEBE ser mayor al total. </v>
      </c>
      <c r="CD185" s="1435" t="str">
        <f t="shared" si="108"/>
        <v xml:space="preserve"> * El número de actividades en Niños, Niñas, Adolescentes y Jóvenes de la red Mejor Niñez NO DEBE ser mayor al total. </v>
      </c>
      <c r="CE185" s="1435" t="str">
        <f t="shared" si="120"/>
        <v xml:space="preserve"> * El número de actividades en Población Migrante NO DEBE ser mayor al total. </v>
      </c>
      <c r="CF185" s="1435" t="str">
        <f t="shared" si="121"/>
        <v xml:space="preserve"> * El número de actividades en Pacientes Diabéticos en Control PSCV NO DEBE superar el total. </v>
      </c>
      <c r="DB185" s="1436">
        <f t="shared" si="122"/>
        <v>1</v>
      </c>
      <c r="DC185" s="1436">
        <f t="shared" si="109"/>
        <v>1</v>
      </c>
      <c r="DD185" s="1436">
        <f t="shared" si="110"/>
        <v>1</v>
      </c>
      <c r="DE185" s="1436">
        <f t="shared" si="111"/>
        <v>1</v>
      </c>
      <c r="DF185" s="1436">
        <f t="shared" si="123"/>
        <v>1</v>
      </c>
      <c r="DG185" s="1432"/>
      <c r="DH185" s="1432"/>
    </row>
    <row r="186" spans="1:112" ht="16.350000000000001" customHeight="1" x14ac:dyDescent="0.25">
      <c r="A186" s="7520" t="s">
        <v>5239</v>
      </c>
      <c r="B186" s="9872"/>
      <c r="C186" s="9783" t="s">
        <v>1093</v>
      </c>
      <c r="D186" s="4733" t="s">
        <v>1092</v>
      </c>
      <c r="E186" s="4713" t="s">
        <v>5369</v>
      </c>
      <c r="F186" s="4713" t="s">
        <v>5370</v>
      </c>
      <c r="G186" s="4713" t="s">
        <v>5371</v>
      </c>
      <c r="H186" s="3566" t="s">
        <v>5372</v>
      </c>
      <c r="I186" s="2778" t="s">
        <v>5373</v>
      </c>
      <c r="J186" s="3566" t="s">
        <v>5374</v>
      </c>
      <c r="K186" s="2778" t="s">
        <v>5375</v>
      </c>
      <c r="L186" s="3566" t="s">
        <v>5376</v>
      </c>
      <c r="M186" s="2778" t="s">
        <v>5377</v>
      </c>
      <c r="N186" s="3566" t="s">
        <v>5378</v>
      </c>
      <c r="O186" s="2778" t="s">
        <v>5379</v>
      </c>
      <c r="P186" s="3566" t="s">
        <v>5380</v>
      </c>
      <c r="Q186" s="2778" t="s">
        <v>5381</v>
      </c>
      <c r="R186" s="3566" t="s">
        <v>5382</v>
      </c>
      <c r="S186" s="2778" t="s">
        <v>5383</v>
      </c>
      <c r="T186" s="3566" t="s">
        <v>5384</v>
      </c>
      <c r="U186" s="2778" t="s">
        <v>5385</v>
      </c>
      <c r="V186" s="3566" t="s">
        <v>5386</v>
      </c>
      <c r="W186" s="2778" t="s">
        <v>5387</v>
      </c>
      <c r="X186" s="3566" t="s">
        <v>5388</v>
      </c>
      <c r="Y186" s="2778" t="s">
        <v>5389</v>
      </c>
      <c r="Z186" s="3566" t="s">
        <v>5390</v>
      </c>
      <c r="AA186" s="2778" t="s">
        <v>5391</v>
      </c>
      <c r="AB186" s="4698" t="s">
        <v>5392</v>
      </c>
      <c r="AC186" s="4720" t="s">
        <v>5393</v>
      </c>
      <c r="AD186" s="4550" t="s">
        <v>5394</v>
      </c>
      <c r="AE186" s="3755" t="s">
        <v>5395</v>
      </c>
      <c r="AF186" s="4550" t="s">
        <v>5396</v>
      </c>
      <c r="AG186" s="3755" t="s">
        <v>5397</v>
      </c>
      <c r="AH186" s="4550" t="s">
        <v>5398</v>
      </c>
      <c r="AI186" s="3755" t="s">
        <v>5399</v>
      </c>
      <c r="AJ186" s="4550" t="s">
        <v>5400</v>
      </c>
      <c r="AK186" s="3755" t="s">
        <v>5401</v>
      </c>
      <c r="AL186" s="4550" t="s">
        <v>5402</v>
      </c>
      <c r="AM186" s="3755" t="s">
        <v>5403</v>
      </c>
      <c r="AN186" s="4550" t="s">
        <v>5404</v>
      </c>
      <c r="AO186" s="3755" t="s">
        <v>5405</v>
      </c>
      <c r="AP186" s="4550" t="s">
        <v>5406</v>
      </c>
      <c r="AQ186" s="3755" t="s">
        <v>5407</v>
      </c>
      <c r="AR186" s="4699" t="s">
        <v>5408</v>
      </c>
      <c r="AS186" s="4560" t="s">
        <v>5409</v>
      </c>
      <c r="AT186" s="3755" t="s">
        <v>5410</v>
      </c>
      <c r="AU186" s="3755" t="s">
        <v>5411</v>
      </c>
      <c r="AV186" s="6833" t="s">
        <v>5412</v>
      </c>
      <c r="AW186" s="4666" t="s">
        <v>5413</v>
      </c>
      <c r="AX186" s="3755" t="s">
        <v>5414</v>
      </c>
      <c r="AY186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6" s="1197"/>
      <c r="BA186" s="199"/>
      <c r="BY186" s="1430"/>
      <c r="BZ186" s="1430"/>
      <c r="CB186" s="1435" t="str">
        <f t="shared" si="118"/>
        <v xml:space="preserve">* El número de actividades en usuarios en situacion de discapacidad NO DEBE ser mayor al total. </v>
      </c>
      <c r="CC186" s="1435" t="str">
        <f t="shared" si="119"/>
        <v xml:space="preserve"> * El número de actividades en Niños, Niñas, Adolescentes y Jóvenes de la red SENAME NO DEBE ser mayor al total. </v>
      </c>
      <c r="CD186" s="1435" t="str">
        <f t="shared" si="108"/>
        <v xml:space="preserve"> * El número de actividades en Niños, Niñas, Adolescentes y Jóvenes de la red Mejor Niñez NO DEBE ser mayor al total. </v>
      </c>
      <c r="CE186" s="1435" t="str">
        <f t="shared" si="120"/>
        <v xml:space="preserve"> * El número de actividades en Población Migrante NO DEBE ser mayor al total. </v>
      </c>
      <c r="CF186" s="1435" t="str">
        <f t="shared" si="121"/>
        <v xml:space="preserve"> * El número de actividades en Pacientes Diabéticos en Control PSCV NO DEBE superar el total. </v>
      </c>
      <c r="DB186" s="1436">
        <f t="shared" si="122"/>
        <v>1</v>
      </c>
      <c r="DC186" s="1436">
        <f t="shared" si="109"/>
        <v>1</v>
      </c>
      <c r="DD186" s="1436">
        <f t="shared" si="110"/>
        <v>1</v>
      </c>
      <c r="DE186" s="1436">
        <f t="shared" si="111"/>
        <v>1</v>
      </c>
      <c r="DF186" s="1436">
        <f t="shared" si="123"/>
        <v>1</v>
      </c>
      <c r="DG186" s="1432"/>
      <c r="DH186" s="1432"/>
    </row>
    <row r="187" spans="1:112" ht="16.350000000000001" customHeight="1" x14ac:dyDescent="0.25">
      <c r="A187" s="7520" t="s">
        <v>5240</v>
      </c>
      <c r="B187" s="9872"/>
      <c r="C187" s="8596"/>
      <c r="D187" s="4715" t="s">
        <v>2122</v>
      </c>
      <c r="E187" s="4734" t="s">
        <v>5369</v>
      </c>
      <c r="F187" s="4713" t="s">
        <v>5370</v>
      </c>
      <c r="G187" s="4713" t="s">
        <v>5371</v>
      </c>
      <c r="H187" s="4735" t="s">
        <v>5372</v>
      </c>
      <c r="I187" s="1810" t="s">
        <v>5373</v>
      </c>
      <c r="J187" s="4735" t="s">
        <v>5374</v>
      </c>
      <c r="K187" s="1810" t="s">
        <v>5375</v>
      </c>
      <c r="L187" s="4735" t="s">
        <v>5376</v>
      </c>
      <c r="M187" s="1810" t="s">
        <v>5377</v>
      </c>
      <c r="N187" s="4735" t="s">
        <v>5378</v>
      </c>
      <c r="O187" s="1810" t="s">
        <v>5379</v>
      </c>
      <c r="P187" s="4735" t="s">
        <v>5380</v>
      </c>
      <c r="Q187" s="1810" t="s">
        <v>5381</v>
      </c>
      <c r="R187" s="4735" t="s">
        <v>5382</v>
      </c>
      <c r="S187" s="1810" t="s">
        <v>5383</v>
      </c>
      <c r="T187" s="4735" t="s">
        <v>5384</v>
      </c>
      <c r="U187" s="1810" t="s">
        <v>5385</v>
      </c>
      <c r="V187" s="4735" t="s">
        <v>5386</v>
      </c>
      <c r="W187" s="1810" t="s">
        <v>5387</v>
      </c>
      <c r="X187" s="4735" t="s">
        <v>5388</v>
      </c>
      <c r="Y187" s="1810" t="s">
        <v>5389</v>
      </c>
      <c r="Z187" s="4735" t="s">
        <v>5390</v>
      </c>
      <c r="AA187" s="1810" t="s">
        <v>5391</v>
      </c>
      <c r="AB187" s="4735" t="s">
        <v>5392</v>
      </c>
      <c r="AC187" s="1810" t="s">
        <v>5393</v>
      </c>
      <c r="AD187" s="3297" t="s">
        <v>5394</v>
      </c>
      <c r="AE187" s="1150" t="s">
        <v>5395</v>
      </c>
      <c r="AF187" s="3297" t="s">
        <v>5396</v>
      </c>
      <c r="AG187" s="1150" t="s">
        <v>5397</v>
      </c>
      <c r="AH187" s="3297" t="s">
        <v>5398</v>
      </c>
      <c r="AI187" s="1150" t="s">
        <v>5399</v>
      </c>
      <c r="AJ187" s="3297" t="s">
        <v>5400</v>
      </c>
      <c r="AK187" s="1150" t="s">
        <v>5401</v>
      </c>
      <c r="AL187" s="3297" t="s">
        <v>5402</v>
      </c>
      <c r="AM187" s="1150" t="s">
        <v>5403</v>
      </c>
      <c r="AN187" s="3297" t="s">
        <v>5404</v>
      </c>
      <c r="AO187" s="1150" t="s">
        <v>5405</v>
      </c>
      <c r="AP187" s="3297" t="s">
        <v>5406</v>
      </c>
      <c r="AQ187" s="1150" t="s">
        <v>5407</v>
      </c>
      <c r="AR187" s="1061" t="s">
        <v>5408</v>
      </c>
      <c r="AS187" s="3238" t="s">
        <v>5409</v>
      </c>
      <c r="AT187" s="1150" t="s">
        <v>5410</v>
      </c>
      <c r="AU187" s="1150" t="s">
        <v>5411</v>
      </c>
      <c r="AV187" s="1150" t="s">
        <v>5412</v>
      </c>
      <c r="AW187" s="4707" t="s">
        <v>5413</v>
      </c>
      <c r="AX187" s="1150" t="s">
        <v>5414</v>
      </c>
      <c r="AY187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7" s="1197"/>
      <c r="BA187" s="199"/>
      <c r="BY187" s="1430"/>
      <c r="BZ187" s="1430"/>
      <c r="CB187" s="1435" t="str">
        <f t="shared" si="118"/>
        <v xml:space="preserve">* El número de actividades en usuarios en situacion de discapacidad NO DEBE ser mayor al total. </v>
      </c>
      <c r="CC187" s="1435" t="str">
        <f t="shared" si="119"/>
        <v xml:space="preserve"> * El número de actividades en Niños, Niñas, Adolescentes y Jóvenes de la red SENAME NO DEBE ser mayor al total. </v>
      </c>
      <c r="CD187" s="1435" t="str">
        <f t="shared" si="108"/>
        <v xml:space="preserve"> * El número de actividades en Niños, Niñas, Adolescentes y Jóvenes de la red Mejor Niñez NO DEBE ser mayor al total. </v>
      </c>
      <c r="CE187" s="1435" t="str">
        <f t="shared" si="120"/>
        <v xml:space="preserve"> * El número de actividades en Población Migrante NO DEBE ser mayor al total. </v>
      </c>
      <c r="CF187" s="1435" t="str">
        <f t="shared" si="121"/>
        <v xml:space="preserve"> * El número de actividades en Pacientes Diabéticos en Control PSCV NO DEBE superar el total. </v>
      </c>
      <c r="DB187" s="1436">
        <f t="shared" si="122"/>
        <v>1</v>
      </c>
      <c r="DC187" s="1436">
        <f t="shared" si="109"/>
        <v>1</v>
      </c>
      <c r="DD187" s="1436">
        <f t="shared" si="110"/>
        <v>1</v>
      </c>
      <c r="DE187" s="1436">
        <f t="shared" si="111"/>
        <v>1</v>
      </c>
      <c r="DF187" s="1436">
        <f t="shared" si="123"/>
        <v>1</v>
      </c>
      <c r="DG187" s="1432"/>
      <c r="DH187" s="1432"/>
    </row>
    <row r="188" spans="1:112" ht="16.350000000000001" customHeight="1" x14ac:dyDescent="0.25">
      <c r="A188" s="7520" t="s">
        <v>5241</v>
      </c>
      <c r="B188" s="9873"/>
      <c r="C188" s="9809"/>
      <c r="D188" s="3579" t="s">
        <v>2121</v>
      </c>
      <c r="E188" s="4734" t="s">
        <v>5369</v>
      </c>
      <c r="F188" s="3231" t="s">
        <v>5370</v>
      </c>
      <c r="G188" s="3231" t="s">
        <v>5371</v>
      </c>
      <c r="H188" s="4739" t="s">
        <v>5372</v>
      </c>
      <c r="I188" s="4741" t="s">
        <v>5373</v>
      </c>
      <c r="J188" s="4739" t="s">
        <v>5374</v>
      </c>
      <c r="K188" s="4741" t="s">
        <v>5375</v>
      </c>
      <c r="L188" s="4739" t="s">
        <v>5376</v>
      </c>
      <c r="M188" s="4741" t="s">
        <v>5377</v>
      </c>
      <c r="N188" s="4739" t="s">
        <v>5378</v>
      </c>
      <c r="O188" s="4741" t="s">
        <v>5379</v>
      </c>
      <c r="P188" s="4739" t="s">
        <v>5380</v>
      </c>
      <c r="Q188" s="4741" t="s">
        <v>5381</v>
      </c>
      <c r="R188" s="4739" t="s">
        <v>5382</v>
      </c>
      <c r="S188" s="4741" t="s">
        <v>5383</v>
      </c>
      <c r="T188" s="4739" t="s">
        <v>5384</v>
      </c>
      <c r="U188" s="4741" t="s">
        <v>5385</v>
      </c>
      <c r="V188" s="4739" t="s">
        <v>5386</v>
      </c>
      <c r="W188" s="4741" t="s">
        <v>5387</v>
      </c>
      <c r="X188" s="4739" t="s">
        <v>5388</v>
      </c>
      <c r="Y188" s="4741" t="s">
        <v>5389</v>
      </c>
      <c r="Z188" s="4739" t="s">
        <v>5390</v>
      </c>
      <c r="AA188" s="4741" t="s">
        <v>5391</v>
      </c>
      <c r="AB188" s="4739" t="s">
        <v>5392</v>
      </c>
      <c r="AC188" s="4741" t="s">
        <v>5393</v>
      </c>
      <c r="AD188" s="3158" t="s">
        <v>5394</v>
      </c>
      <c r="AE188" s="3159" t="s">
        <v>5395</v>
      </c>
      <c r="AF188" s="3158" t="s">
        <v>5396</v>
      </c>
      <c r="AG188" s="3159" t="s">
        <v>5397</v>
      </c>
      <c r="AH188" s="3158" t="s">
        <v>5398</v>
      </c>
      <c r="AI188" s="3159" t="s">
        <v>5399</v>
      </c>
      <c r="AJ188" s="3158" t="s">
        <v>5400</v>
      </c>
      <c r="AK188" s="3159" t="s">
        <v>5401</v>
      </c>
      <c r="AL188" s="3158" t="s">
        <v>5402</v>
      </c>
      <c r="AM188" s="3159" t="s">
        <v>5403</v>
      </c>
      <c r="AN188" s="3158" t="s">
        <v>5404</v>
      </c>
      <c r="AO188" s="3159" t="s">
        <v>5405</v>
      </c>
      <c r="AP188" s="3158" t="s">
        <v>5406</v>
      </c>
      <c r="AQ188" s="3159" t="s">
        <v>5407</v>
      </c>
      <c r="AR188" s="2490" t="s">
        <v>5408</v>
      </c>
      <c r="AS188" s="2821" t="s">
        <v>5409</v>
      </c>
      <c r="AT188" s="3159" t="s">
        <v>5410</v>
      </c>
      <c r="AU188" s="3159" t="s">
        <v>5411</v>
      </c>
      <c r="AV188" s="3159" t="s">
        <v>5412</v>
      </c>
      <c r="AW188" s="4726" t="s">
        <v>5413</v>
      </c>
      <c r="AX188" s="3159" t="s">
        <v>5414</v>
      </c>
      <c r="AY188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8" s="1197"/>
      <c r="BA188" s="199"/>
      <c r="BY188" s="1430"/>
      <c r="BZ188" s="1430"/>
      <c r="CB188" s="1435" t="str">
        <f t="shared" si="118"/>
        <v xml:space="preserve">* El número de actividades en usuarios en situacion de discapacidad NO DEBE ser mayor al total. </v>
      </c>
      <c r="CC188" s="1435" t="str">
        <f t="shared" si="119"/>
        <v xml:space="preserve"> * El número de actividades en Niños, Niñas, Adolescentes y Jóvenes de la red SENAME NO DEBE ser mayor al total. </v>
      </c>
      <c r="CD188" s="1435" t="str">
        <f t="shared" si="108"/>
        <v xml:space="preserve"> * El número de actividades en Niños, Niñas, Adolescentes y Jóvenes de la red Mejor Niñez NO DEBE ser mayor al total. </v>
      </c>
      <c r="CE188" s="1435" t="str">
        <f t="shared" si="120"/>
        <v xml:space="preserve"> * El número de actividades en Población Migrante NO DEBE ser mayor al total. </v>
      </c>
      <c r="CF188" s="1435" t="str">
        <f t="shared" si="121"/>
        <v xml:space="preserve"> * El número de actividades en Pacientes Diabéticos en Control PSCV NO DEBE superar el total. </v>
      </c>
      <c r="DB188" s="1436">
        <f t="shared" si="122"/>
        <v>1</v>
      </c>
      <c r="DC188" s="1436">
        <f t="shared" si="109"/>
        <v>1</v>
      </c>
      <c r="DD188" s="1436">
        <f t="shared" si="110"/>
        <v>1</v>
      </c>
      <c r="DE188" s="1436">
        <f t="shared" si="111"/>
        <v>1</v>
      </c>
      <c r="DF188" s="1436">
        <f t="shared" si="123"/>
        <v>1</v>
      </c>
      <c r="DG188" s="1432"/>
      <c r="DH188" s="1432"/>
    </row>
    <row r="189" spans="1:112" ht="16.350000000000001" customHeight="1" x14ac:dyDescent="0.25">
      <c r="A189" s="7520" t="s">
        <v>5242</v>
      </c>
      <c r="B189" s="8627" t="s">
        <v>1097</v>
      </c>
      <c r="C189" s="9810" t="s">
        <v>1096</v>
      </c>
      <c r="D189" s="9750"/>
      <c r="E189" s="4742" t="s">
        <v>5369</v>
      </c>
      <c r="F189" s="4742" t="s">
        <v>5370</v>
      </c>
      <c r="G189" s="4742" t="s">
        <v>5371</v>
      </c>
      <c r="H189" s="4604" t="s">
        <v>5372</v>
      </c>
      <c r="I189" s="4605" t="s">
        <v>5373</v>
      </c>
      <c r="J189" s="4604" t="s">
        <v>5374</v>
      </c>
      <c r="K189" s="4605" t="s">
        <v>5375</v>
      </c>
      <c r="L189" s="4604" t="s">
        <v>5376</v>
      </c>
      <c r="M189" s="4605" t="s">
        <v>5377</v>
      </c>
      <c r="N189" s="4604" t="s">
        <v>5378</v>
      </c>
      <c r="O189" s="4605" t="s">
        <v>5379</v>
      </c>
      <c r="P189" s="4604" t="s">
        <v>5380</v>
      </c>
      <c r="Q189" s="4605" t="s">
        <v>5381</v>
      </c>
      <c r="R189" s="4604" t="s">
        <v>5382</v>
      </c>
      <c r="S189" s="4605" t="s">
        <v>5383</v>
      </c>
      <c r="T189" s="4604" t="s">
        <v>5384</v>
      </c>
      <c r="U189" s="4605" t="s">
        <v>5385</v>
      </c>
      <c r="V189" s="4604" t="s">
        <v>5386</v>
      </c>
      <c r="W189" s="4605" t="s">
        <v>5387</v>
      </c>
      <c r="X189" s="4604" t="s">
        <v>5388</v>
      </c>
      <c r="Y189" s="4605" t="s">
        <v>5389</v>
      </c>
      <c r="Z189" s="4604" t="s">
        <v>5390</v>
      </c>
      <c r="AA189" s="4605" t="s">
        <v>5391</v>
      </c>
      <c r="AB189" s="4604" t="s">
        <v>5392</v>
      </c>
      <c r="AC189" s="4605" t="s">
        <v>5393</v>
      </c>
      <c r="AD189" s="4605" t="s">
        <v>5394</v>
      </c>
      <c r="AE189" s="4605" t="s">
        <v>5395</v>
      </c>
      <c r="AF189" s="4605" t="s">
        <v>5396</v>
      </c>
      <c r="AG189" s="4605" t="s">
        <v>5397</v>
      </c>
      <c r="AH189" s="4605" t="s">
        <v>5398</v>
      </c>
      <c r="AI189" s="4605" t="s">
        <v>5399</v>
      </c>
      <c r="AJ189" s="4605" t="s">
        <v>5400</v>
      </c>
      <c r="AK189" s="4605" t="s">
        <v>5401</v>
      </c>
      <c r="AL189" s="4743" t="s">
        <v>5402</v>
      </c>
      <c r="AM189" s="4744" t="s">
        <v>5403</v>
      </c>
      <c r="AN189" s="4604" t="s">
        <v>5404</v>
      </c>
      <c r="AO189" s="4605" t="s">
        <v>5405</v>
      </c>
      <c r="AP189" s="4604" t="s">
        <v>5406</v>
      </c>
      <c r="AQ189" s="4605" t="s">
        <v>5407</v>
      </c>
      <c r="AR189" s="4745" t="s">
        <v>5408</v>
      </c>
      <c r="AS189" s="4746" t="s">
        <v>5409</v>
      </c>
      <c r="AT189" s="4744" t="s">
        <v>5410</v>
      </c>
      <c r="AU189" s="4744" t="s">
        <v>5411</v>
      </c>
      <c r="AV189" s="6835" t="s">
        <v>5412</v>
      </c>
      <c r="AW189" s="4747" t="s">
        <v>5413</v>
      </c>
      <c r="AX189" s="4747" t="s">
        <v>5414</v>
      </c>
      <c r="AY189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89" s="1197"/>
      <c r="BA189" s="199"/>
      <c r="BY189" s="1430"/>
      <c r="BZ189" s="1430"/>
      <c r="CB189" s="1435" t="str">
        <f t="shared" si="118"/>
        <v xml:space="preserve">* El número de actividades en usuarios en situacion de discapacidad NO DEBE ser mayor al total. </v>
      </c>
      <c r="CC189" s="1435" t="str">
        <f t="shared" si="119"/>
        <v xml:space="preserve"> * El número de actividades en Niños, Niñas, Adolescentes y Jóvenes de la red SENAME NO DEBE ser mayor al total. </v>
      </c>
      <c r="CD189" s="1435" t="str">
        <f t="shared" si="108"/>
        <v xml:space="preserve"> * El número de actividades en Niños, Niñas, Adolescentes y Jóvenes de la red Mejor Niñez NO DEBE ser mayor al total. </v>
      </c>
      <c r="CE189" s="1435" t="str">
        <f t="shared" si="120"/>
        <v xml:space="preserve"> * El número de actividades en Población Migrante NO DEBE ser mayor al total. </v>
      </c>
      <c r="CF189" s="1435" t="str">
        <f t="shared" si="121"/>
        <v xml:space="preserve"> * El número de actividades en Pacientes Diabéticos en Control PSCV NO DEBE superar el total. </v>
      </c>
      <c r="DB189" s="1436">
        <f t="shared" si="122"/>
        <v>1</v>
      </c>
      <c r="DC189" s="1436">
        <f t="shared" si="109"/>
        <v>1</v>
      </c>
      <c r="DD189" s="1436">
        <f t="shared" si="110"/>
        <v>1</v>
      </c>
      <c r="DE189" s="1436">
        <f t="shared" si="111"/>
        <v>1</v>
      </c>
      <c r="DF189" s="1436">
        <f t="shared" si="123"/>
        <v>1</v>
      </c>
      <c r="DG189" s="1432"/>
      <c r="DH189" s="1432"/>
    </row>
    <row r="190" spans="1:112" ht="16.350000000000001" customHeight="1" x14ac:dyDescent="0.25">
      <c r="A190" s="7520" t="s">
        <v>5243</v>
      </c>
      <c r="B190" s="8705"/>
      <c r="C190" s="8705" t="s">
        <v>1095</v>
      </c>
      <c r="D190" s="4535" t="s">
        <v>1092</v>
      </c>
      <c r="E190" s="4693" t="s">
        <v>5369</v>
      </c>
      <c r="F190" s="4693" t="s">
        <v>5370</v>
      </c>
      <c r="G190" s="3580" t="s">
        <v>5371</v>
      </c>
      <c r="H190" s="3581" t="s">
        <v>5372</v>
      </c>
      <c r="I190" s="3582" t="s">
        <v>5373</v>
      </c>
      <c r="J190" s="3581" t="s">
        <v>5374</v>
      </c>
      <c r="K190" s="3582" t="s">
        <v>5375</v>
      </c>
      <c r="L190" s="3581" t="s">
        <v>5376</v>
      </c>
      <c r="M190" s="3582" t="s">
        <v>5377</v>
      </c>
      <c r="N190" s="3581" t="s">
        <v>5378</v>
      </c>
      <c r="O190" s="3582" t="s">
        <v>5379</v>
      </c>
      <c r="P190" s="3581" t="s">
        <v>5380</v>
      </c>
      <c r="Q190" s="3582" t="s">
        <v>5381</v>
      </c>
      <c r="R190" s="3581" t="s">
        <v>5382</v>
      </c>
      <c r="S190" s="3582" t="s">
        <v>5383</v>
      </c>
      <c r="T190" s="3581" t="s">
        <v>5384</v>
      </c>
      <c r="U190" s="3582" t="s">
        <v>5385</v>
      </c>
      <c r="V190" s="3581" t="s">
        <v>5386</v>
      </c>
      <c r="W190" s="3582" t="s">
        <v>5387</v>
      </c>
      <c r="X190" s="3581" t="s">
        <v>5388</v>
      </c>
      <c r="Y190" s="3582" t="s">
        <v>5389</v>
      </c>
      <c r="Z190" s="3581" t="s">
        <v>5390</v>
      </c>
      <c r="AA190" s="3582" t="s">
        <v>5391</v>
      </c>
      <c r="AB190" s="3581" t="s">
        <v>5392</v>
      </c>
      <c r="AC190" s="3582" t="s">
        <v>5393</v>
      </c>
      <c r="AD190" s="3582" t="s">
        <v>5394</v>
      </c>
      <c r="AE190" s="3582" t="s">
        <v>5395</v>
      </c>
      <c r="AF190" s="3582" t="s">
        <v>5396</v>
      </c>
      <c r="AG190" s="3582" t="s">
        <v>5397</v>
      </c>
      <c r="AH190" s="3582" t="s">
        <v>5398</v>
      </c>
      <c r="AI190" s="3582" t="s">
        <v>5399</v>
      </c>
      <c r="AJ190" s="3582" t="s">
        <v>5400</v>
      </c>
      <c r="AK190" s="3582" t="s">
        <v>5401</v>
      </c>
      <c r="AL190" s="3139" t="s">
        <v>5402</v>
      </c>
      <c r="AM190" s="2814" t="s">
        <v>5403</v>
      </c>
      <c r="AN190" s="3581" t="s">
        <v>5404</v>
      </c>
      <c r="AO190" s="3582" t="s">
        <v>5405</v>
      </c>
      <c r="AP190" s="3581" t="s">
        <v>5406</v>
      </c>
      <c r="AQ190" s="3582" t="s">
        <v>5407</v>
      </c>
      <c r="AR190" s="2449" t="s">
        <v>5408</v>
      </c>
      <c r="AS190" s="2986" t="s">
        <v>5409</v>
      </c>
      <c r="AT190" s="2814" t="s">
        <v>5410</v>
      </c>
      <c r="AU190" s="2814" t="s">
        <v>5411</v>
      </c>
      <c r="AV190" s="2814" t="s">
        <v>5412</v>
      </c>
      <c r="AW190" s="3758" t="s">
        <v>5413</v>
      </c>
      <c r="AX190" s="2814" t="s">
        <v>5414</v>
      </c>
      <c r="AY190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0" s="1197"/>
      <c r="BA190" s="199"/>
      <c r="BY190" s="1430"/>
      <c r="BZ190" s="1430"/>
      <c r="CB190" s="1435" t="str">
        <f t="shared" si="118"/>
        <v xml:space="preserve">* El número de actividades en usuarios en situacion de discapacidad NO DEBE ser mayor al total. </v>
      </c>
      <c r="CC190" s="1435" t="str">
        <f t="shared" si="119"/>
        <v xml:space="preserve"> * El número de actividades en Niños, Niñas, Adolescentes y Jóvenes de la red SENAME NO DEBE ser mayor al total. </v>
      </c>
      <c r="CD190" s="1435" t="str">
        <f t="shared" si="108"/>
        <v xml:space="preserve"> * El número de actividades en Niños, Niñas, Adolescentes y Jóvenes de la red Mejor Niñez NO DEBE ser mayor al total. </v>
      </c>
      <c r="CE190" s="1435" t="str">
        <f t="shared" si="120"/>
        <v xml:space="preserve"> * El número de actividades en Población Migrante NO DEBE ser mayor al total. </v>
      </c>
      <c r="CF190" s="1435" t="str">
        <f t="shared" si="121"/>
        <v xml:space="preserve"> * El número de actividades en Pacientes Diabéticos en Control PSCV NO DEBE superar el total. </v>
      </c>
      <c r="DB190" s="1436">
        <f t="shared" si="122"/>
        <v>1</v>
      </c>
      <c r="DC190" s="1436">
        <f t="shared" si="109"/>
        <v>1</v>
      </c>
      <c r="DD190" s="1436">
        <f t="shared" si="110"/>
        <v>1</v>
      </c>
      <c r="DE190" s="1436">
        <f t="shared" si="111"/>
        <v>1</v>
      </c>
      <c r="DF190" s="1436">
        <f t="shared" si="123"/>
        <v>1</v>
      </c>
      <c r="DG190" s="1432"/>
      <c r="DH190" s="1432"/>
    </row>
    <row r="191" spans="1:112" ht="16.350000000000001" customHeight="1" x14ac:dyDescent="0.25">
      <c r="A191" s="7520" t="s">
        <v>5244</v>
      </c>
      <c r="B191" s="8705"/>
      <c r="C191" s="8705"/>
      <c r="D191" s="3764" t="s">
        <v>1094</v>
      </c>
      <c r="E191" s="3231" t="s">
        <v>5369</v>
      </c>
      <c r="F191" s="3231" t="s">
        <v>5370</v>
      </c>
      <c r="G191" s="4748" t="s">
        <v>5371</v>
      </c>
      <c r="H191" s="4599" t="s">
        <v>5372</v>
      </c>
      <c r="I191" s="1672" t="s">
        <v>5373</v>
      </c>
      <c r="J191" s="4599" t="s">
        <v>5374</v>
      </c>
      <c r="K191" s="1672" t="s">
        <v>5375</v>
      </c>
      <c r="L191" s="4599" t="s">
        <v>5376</v>
      </c>
      <c r="M191" s="1672" t="s">
        <v>5377</v>
      </c>
      <c r="N191" s="4599" t="s">
        <v>5378</v>
      </c>
      <c r="O191" s="1672" t="s">
        <v>5379</v>
      </c>
      <c r="P191" s="4599" t="s">
        <v>5380</v>
      </c>
      <c r="Q191" s="1672" t="s">
        <v>5381</v>
      </c>
      <c r="R191" s="4599" t="s">
        <v>5382</v>
      </c>
      <c r="S191" s="1672" t="s">
        <v>5383</v>
      </c>
      <c r="T191" s="4599" t="s">
        <v>5384</v>
      </c>
      <c r="U191" s="1672" t="s">
        <v>5385</v>
      </c>
      <c r="V191" s="4599" t="s">
        <v>5386</v>
      </c>
      <c r="W191" s="1672" t="s">
        <v>5387</v>
      </c>
      <c r="X191" s="4599" t="s">
        <v>5388</v>
      </c>
      <c r="Y191" s="1672" t="s">
        <v>5389</v>
      </c>
      <c r="Z191" s="4599" t="s">
        <v>5390</v>
      </c>
      <c r="AA191" s="1672" t="s">
        <v>5391</v>
      </c>
      <c r="AB191" s="4599" t="s">
        <v>5392</v>
      </c>
      <c r="AC191" s="1672" t="s">
        <v>5393</v>
      </c>
      <c r="AD191" s="1672" t="s">
        <v>5394</v>
      </c>
      <c r="AE191" s="1672" t="s">
        <v>5395</v>
      </c>
      <c r="AF191" s="1672" t="s">
        <v>5396</v>
      </c>
      <c r="AG191" s="1672" t="s">
        <v>5397</v>
      </c>
      <c r="AH191" s="1672" t="s">
        <v>5398</v>
      </c>
      <c r="AI191" s="1672" t="s">
        <v>5399</v>
      </c>
      <c r="AJ191" s="1672" t="s">
        <v>5400</v>
      </c>
      <c r="AK191" s="1672" t="s">
        <v>5401</v>
      </c>
      <c r="AL191" s="3297" t="s">
        <v>5402</v>
      </c>
      <c r="AM191" s="1150" t="s">
        <v>5403</v>
      </c>
      <c r="AN191" s="3564" t="s">
        <v>5404</v>
      </c>
      <c r="AO191" s="1672" t="s">
        <v>5405</v>
      </c>
      <c r="AP191" s="3564" t="s">
        <v>5406</v>
      </c>
      <c r="AQ191" s="1672" t="s">
        <v>5407</v>
      </c>
      <c r="AR191" s="1061" t="s">
        <v>5408</v>
      </c>
      <c r="AS191" s="3238" t="s">
        <v>5409</v>
      </c>
      <c r="AT191" s="1150" t="s">
        <v>5410</v>
      </c>
      <c r="AU191" s="1150" t="s">
        <v>5411</v>
      </c>
      <c r="AV191" s="3236" t="s">
        <v>5412</v>
      </c>
      <c r="AW191" s="4726" t="s">
        <v>5413</v>
      </c>
      <c r="AX191" s="3236" t="s">
        <v>5414</v>
      </c>
      <c r="AY191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1" s="1197"/>
      <c r="BA191" s="199"/>
      <c r="BY191" s="1430"/>
      <c r="BZ191" s="1430"/>
      <c r="CB191" s="1435" t="str">
        <f t="shared" si="118"/>
        <v xml:space="preserve">* El número de actividades en usuarios en situacion de discapacidad NO DEBE ser mayor al total. </v>
      </c>
      <c r="CC191" s="1435" t="str">
        <f t="shared" si="119"/>
        <v xml:space="preserve"> * El número de actividades en Niños, Niñas, Adolescentes y Jóvenes de la red SENAME NO DEBE ser mayor al total. </v>
      </c>
      <c r="CD191" s="1435" t="str">
        <f t="shared" si="108"/>
        <v xml:space="preserve"> * El número de actividades en Niños, Niñas, Adolescentes y Jóvenes de la red Mejor Niñez NO DEBE ser mayor al total. </v>
      </c>
      <c r="CE191" s="1435" t="str">
        <f t="shared" si="120"/>
        <v xml:space="preserve"> * El número de actividades en Población Migrante NO DEBE ser mayor al total. </v>
      </c>
      <c r="CF191" s="1435" t="str">
        <f t="shared" si="121"/>
        <v xml:space="preserve"> * El número de actividades en Pacientes Diabéticos en Control PSCV NO DEBE superar el total. </v>
      </c>
      <c r="DB191" s="1436">
        <f t="shared" si="122"/>
        <v>1</v>
      </c>
      <c r="DC191" s="1436">
        <f t="shared" si="109"/>
        <v>1</v>
      </c>
      <c r="DD191" s="1436">
        <f t="shared" si="110"/>
        <v>1</v>
      </c>
      <c r="DE191" s="1436">
        <f t="shared" si="111"/>
        <v>1</v>
      </c>
      <c r="DF191" s="1436">
        <f t="shared" si="123"/>
        <v>1</v>
      </c>
      <c r="DG191" s="1432"/>
      <c r="DH191" s="1432"/>
    </row>
    <row r="192" spans="1:112" ht="16.350000000000001" customHeight="1" x14ac:dyDescent="0.25">
      <c r="A192" s="7520" t="s">
        <v>5245</v>
      </c>
      <c r="B192" s="8705"/>
      <c r="C192" s="8627" t="s">
        <v>1093</v>
      </c>
      <c r="D192" s="4733" t="s">
        <v>1092</v>
      </c>
      <c r="E192" s="4693" t="s">
        <v>5369</v>
      </c>
      <c r="F192" s="4713" t="s">
        <v>5370</v>
      </c>
      <c r="G192" s="3580" t="s">
        <v>5371</v>
      </c>
      <c r="H192" s="4696" t="s">
        <v>5372</v>
      </c>
      <c r="I192" s="4749" t="s">
        <v>5373</v>
      </c>
      <c r="J192" s="4696" t="s">
        <v>5374</v>
      </c>
      <c r="K192" s="4749" t="s">
        <v>5375</v>
      </c>
      <c r="L192" s="4696" t="s">
        <v>5376</v>
      </c>
      <c r="M192" s="4749" t="s">
        <v>5377</v>
      </c>
      <c r="N192" s="4696" t="s">
        <v>5378</v>
      </c>
      <c r="O192" s="4749" t="s">
        <v>5379</v>
      </c>
      <c r="P192" s="4696" t="s">
        <v>5380</v>
      </c>
      <c r="Q192" s="4749" t="s">
        <v>5381</v>
      </c>
      <c r="R192" s="4696" t="s">
        <v>5382</v>
      </c>
      <c r="S192" s="4749" t="s">
        <v>5383</v>
      </c>
      <c r="T192" s="4696" t="s">
        <v>5384</v>
      </c>
      <c r="U192" s="4749" t="s">
        <v>5385</v>
      </c>
      <c r="V192" s="4696" t="s">
        <v>5386</v>
      </c>
      <c r="W192" s="4749" t="s">
        <v>5387</v>
      </c>
      <c r="X192" s="4696" t="s">
        <v>5388</v>
      </c>
      <c r="Y192" s="4749" t="s">
        <v>5389</v>
      </c>
      <c r="Z192" s="4696" t="s">
        <v>5390</v>
      </c>
      <c r="AA192" s="4749" t="s">
        <v>5391</v>
      </c>
      <c r="AB192" s="4696" t="s">
        <v>5392</v>
      </c>
      <c r="AC192" s="4749" t="s">
        <v>5393</v>
      </c>
      <c r="AD192" s="4749" t="s">
        <v>5394</v>
      </c>
      <c r="AE192" s="4749" t="s">
        <v>5395</v>
      </c>
      <c r="AF192" s="4749" t="s">
        <v>5396</v>
      </c>
      <c r="AG192" s="4749" t="s">
        <v>5397</v>
      </c>
      <c r="AH192" s="4749" t="s">
        <v>5398</v>
      </c>
      <c r="AI192" s="4749" t="s">
        <v>5399</v>
      </c>
      <c r="AJ192" s="4749" t="s">
        <v>5400</v>
      </c>
      <c r="AK192" s="4749" t="s">
        <v>5401</v>
      </c>
      <c r="AL192" s="4550" t="s">
        <v>5402</v>
      </c>
      <c r="AM192" s="3755" t="s">
        <v>5403</v>
      </c>
      <c r="AN192" s="4696" t="s">
        <v>5404</v>
      </c>
      <c r="AO192" s="4749" t="s">
        <v>5405</v>
      </c>
      <c r="AP192" s="4696" t="s">
        <v>5406</v>
      </c>
      <c r="AQ192" s="4749" t="s">
        <v>5407</v>
      </c>
      <c r="AR192" s="4699" t="s">
        <v>5408</v>
      </c>
      <c r="AS192" s="4560" t="s">
        <v>5409</v>
      </c>
      <c r="AT192" s="3755" t="s">
        <v>5410</v>
      </c>
      <c r="AU192" s="3755" t="s">
        <v>5411</v>
      </c>
      <c r="AV192" s="2814" t="s">
        <v>5412</v>
      </c>
      <c r="AW192" s="3758" t="s">
        <v>5413</v>
      </c>
      <c r="AX192" s="3758" t="s">
        <v>5414</v>
      </c>
      <c r="AY192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2" s="1197"/>
      <c r="BA192" s="199"/>
      <c r="BY192" s="1430"/>
      <c r="BZ192" s="1430"/>
      <c r="CB192" s="1435" t="str">
        <f t="shared" si="118"/>
        <v xml:space="preserve">* El número de actividades en usuarios en situacion de discapacidad NO DEBE ser mayor al total. </v>
      </c>
      <c r="CC192" s="1435" t="str">
        <f t="shared" si="119"/>
        <v xml:space="preserve"> * El número de actividades en Niños, Niñas, Adolescentes y Jóvenes de la red SENAME NO DEBE ser mayor al total. </v>
      </c>
      <c r="CD192" s="1435" t="str">
        <f t="shared" si="108"/>
        <v xml:space="preserve"> * El número de actividades en Niños, Niñas, Adolescentes y Jóvenes de la red Mejor Niñez NO DEBE ser mayor al total. </v>
      </c>
      <c r="CE192" s="1435" t="str">
        <f t="shared" si="120"/>
        <v xml:space="preserve"> * El número de actividades en Población Migrante NO DEBE ser mayor al total. </v>
      </c>
      <c r="CF192" s="1435" t="str">
        <f t="shared" si="121"/>
        <v xml:space="preserve"> * El número de actividades en Pacientes Diabéticos en Control PSCV NO DEBE superar el total. </v>
      </c>
      <c r="DB192" s="1436">
        <f t="shared" si="122"/>
        <v>1</v>
      </c>
      <c r="DC192" s="1436">
        <f t="shared" si="109"/>
        <v>1</v>
      </c>
      <c r="DD192" s="1436">
        <f t="shared" si="110"/>
        <v>1</v>
      </c>
      <c r="DE192" s="1436">
        <f t="shared" si="111"/>
        <v>1</v>
      </c>
      <c r="DF192" s="1436">
        <f t="shared" si="123"/>
        <v>1</v>
      </c>
      <c r="DG192" s="1432"/>
      <c r="DH192" s="1432"/>
    </row>
    <row r="193" spans="1:112" ht="16.350000000000001" customHeight="1" x14ac:dyDescent="0.25">
      <c r="A193" s="7520" t="s">
        <v>5246</v>
      </c>
      <c r="B193" s="9743"/>
      <c r="C193" s="9743"/>
      <c r="D193" s="3250" t="s">
        <v>1091</v>
      </c>
      <c r="E193" s="3231" t="s">
        <v>5369</v>
      </c>
      <c r="F193" s="4713" t="s">
        <v>5370</v>
      </c>
      <c r="G193" s="3580" t="s">
        <v>5371</v>
      </c>
      <c r="H193" s="3235" t="s">
        <v>5372</v>
      </c>
      <c r="I193" s="3196" t="s">
        <v>5373</v>
      </c>
      <c r="J193" s="3235" t="s">
        <v>5374</v>
      </c>
      <c r="K193" s="3196" t="s">
        <v>5375</v>
      </c>
      <c r="L193" s="3235" t="s">
        <v>5376</v>
      </c>
      <c r="M193" s="3196" t="s">
        <v>5377</v>
      </c>
      <c r="N193" s="3235" t="s">
        <v>5378</v>
      </c>
      <c r="O193" s="3196" t="s">
        <v>5379</v>
      </c>
      <c r="P193" s="3235" t="s">
        <v>5380</v>
      </c>
      <c r="Q193" s="3196" t="s">
        <v>5381</v>
      </c>
      <c r="R193" s="3235" t="s">
        <v>5382</v>
      </c>
      <c r="S193" s="3196" t="s">
        <v>5383</v>
      </c>
      <c r="T193" s="3235" t="s">
        <v>5384</v>
      </c>
      <c r="U193" s="3196" t="s">
        <v>5385</v>
      </c>
      <c r="V193" s="3235" t="s">
        <v>5386</v>
      </c>
      <c r="W193" s="3196" t="s">
        <v>5387</v>
      </c>
      <c r="X193" s="3235" t="s">
        <v>5388</v>
      </c>
      <c r="Y193" s="3196" t="s">
        <v>5389</v>
      </c>
      <c r="Z193" s="3235" t="s">
        <v>5390</v>
      </c>
      <c r="AA193" s="3196" t="s">
        <v>5391</v>
      </c>
      <c r="AB193" s="3235" t="s">
        <v>5392</v>
      </c>
      <c r="AC193" s="3196" t="s">
        <v>5393</v>
      </c>
      <c r="AD193" s="3196" t="s">
        <v>5394</v>
      </c>
      <c r="AE193" s="3196" t="s">
        <v>5395</v>
      </c>
      <c r="AF193" s="3196" t="s">
        <v>5396</v>
      </c>
      <c r="AG193" s="3196" t="s">
        <v>5397</v>
      </c>
      <c r="AH193" s="3196" t="s">
        <v>5398</v>
      </c>
      <c r="AI193" s="3196" t="s">
        <v>5399</v>
      </c>
      <c r="AJ193" s="3196" t="s">
        <v>5400</v>
      </c>
      <c r="AK193" s="3196" t="s">
        <v>5401</v>
      </c>
      <c r="AL193" s="3037" t="s">
        <v>5402</v>
      </c>
      <c r="AM193" s="3306" t="s">
        <v>5403</v>
      </c>
      <c r="AN193" s="4750" t="s">
        <v>5404</v>
      </c>
      <c r="AO193" s="3196" t="s">
        <v>5405</v>
      </c>
      <c r="AP193" s="4750" t="s">
        <v>5406</v>
      </c>
      <c r="AQ193" s="3196" t="s">
        <v>5407</v>
      </c>
      <c r="AR193" s="3567" t="s">
        <v>5408</v>
      </c>
      <c r="AS193" s="3044" t="s">
        <v>5409</v>
      </c>
      <c r="AT193" s="3306" t="s">
        <v>5410</v>
      </c>
      <c r="AU193" s="3306" t="s">
        <v>5411</v>
      </c>
      <c r="AV193" s="6834" t="s">
        <v>5412</v>
      </c>
      <c r="AW193" s="4726" t="s">
        <v>5413</v>
      </c>
      <c r="AX193" s="3159" t="s">
        <v>5414</v>
      </c>
      <c r="AY193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3" s="1197"/>
      <c r="BA193" s="199"/>
      <c r="BY193" s="1430"/>
      <c r="BZ193" s="1430"/>
      <c r="CB193" s="1435" t="str">
        <f t="shared" si="118"/>
        <v xml:space="preserve">* El número de actividades en usuarios en situacion de discapacidad NO DEBE ser mayor al total. </v>
      </c>
      <c r="CC193" s="1435" t="str">
        <f t="shared" si="119"/>
        <v xml:space="preserve"> * El número de actividades en Niños, Niñas, Adolescentes y Jóvenes de la red SENAME NO DEBE ser mayor al total. </v>
      </c>
      <c r="CD193" s="1435" t="str">
        <f t="shared" si="108"/>
        <v xml:space="preserve"> * El número de actividades en Niños, Niñas, Adolescentes y Jóvenes de la red Mejor Niñez NO DEBE ser mayor al total. </v>
      </c>
      <c r="CE193" s="1435" t="str">
        <f t="shared" si="120"/>
        <v xml:space="preserve"> * El número de actividades en Población Migrante NO DEBE ser mayor al total. </v>
      </c>
      <c r="CF193" s="1435" t="str">
        <f t="shared" si="121"/>
        <v xml:space="preserve"> * El número de actividades en Pacientes Diabéticos en Control PSCV NO DEBE superar el total. </v>
      </c>
      <c r="DB193" s="1436">
        <f t="shared" si="122"/>
        <v>1</v>
      </c>
      <c r="DC193" s="1436">
        <f t="shared" si="109"/>
        <v>1</v>
      </c>
      <c r="DD193" s="1436">
        <f t="shared" si="110"/>
        <v>1</v>
      </c>
      <c r="DE193" s="1436">
        <f t="shared" si="111"/>
        <v>1</v>
      </c>
      <c r="DF193" s="1436">
        <f t="shared" si="123"/>
        <v>1</v>
      </c>
      <c r="DG193" s="1432"/>
      <c r="DH193" s="1432"/>
    </row>
    <row r="194" spans="1:112" ht="19.5" customHeight="1" x14ac:dyDescent="0.25">
      <c r="A194" s="7667" t="s">
        <v>5247</v>
      </c>
      <c r="B194" s="9868" t="s">
        <v>2562</v>
      </c>
      <c r="C194" s="9249" t="s">
        <v>2563</v>
      </c>
      <c r="D194" s="4751" t="s">
        <v>1090</v>
      </c>
      <c r="E194" s="4693" t="s">
        <v>5369</v>
      </c>
      <c r="F194" s="4693" t="s">
        <v>5370</v>
      </c>
      <c r="G194" s="4752" t="s">
        <v>5371</v>
      </c>
      <c r="H194" s="3566" t="s">
        <v>5372</v>
      </c>
      <c r="I194" s="2778" t="s">
        <v>5373</v>
      </c>
      <c r="J194" s="3566" t="s">
        <v>5374</v>
      </c>
      <c r="K194" s="2778" t="s">
        <v>5375</v>
      </c>
      <c r="L194" s="3566" t="s">
        <v>5376</v>
      </c>
      <c r="M194" s="2778" t="s">
        <v>5377</v>
      </c>
      <c r="N194" s="3566" t="s">
        <v>5378</v>
      </c>
      <c r="O194" s="2778" t="s">
        <v>5379</v>
      </c>
      <c r="P194" s="3566" t="s">
        <v>5380</v>
      </c>
      <c r="Q194" s="2778" t="s">
        <v>5381</v>
      </c>
      <c r="R194" s="3566" t="s">
        <v>5382</v>
      </c>
      <c r="S194" s="2778" t="s">
        <v>5383</v>
      </c>
      <c r="T194" s="3566" t="s">
        <v>5384</v>
      </c>
      <c r="U194" s="2778" t="s">
        <v>5385</v>
      </c>
      <c r="V194" s="3566" t="s">
        <v>5386</v>
      </c>
      <c r="W194" s="2778" t="s">
        <v>5387</v>
      </c>
      <c r="X194" s="3566" t="s">
        <v>5388</v>
      </c>
      <c r="Y194" s="2778" t="s">
        <v>5389</v>
      </c>
      <c r="Z194" s="3139" t="s">
        <v>5390</v>
      </c>
      <c r="AA194" s="2814" t="s">
        <v>5391</v>
      </c>
      <c r="AB194" s="3139" t="s">
        <v>5392</v>
      </c>
      <c r="AC194" s="2814" t="s">
        <v>5393</v>
      </c>
      <c r="AD194" s="3139" t="s">
        <v>5394</v>
      </c>
      <c r="AE194" s="2814" t="s">
        <v>5395</v>
      </c>
      <c r="AF194" s="3139" t="s">
        <v>5396</v>
      </c>
      <c r="AG194" s="2814" t="s">
        <v>5397</v>
      </c>
      <c r="AH194" s="3139" t="s">
        <v>5398</v>
      </c>
      <c r="AI194" s="2814" t="s">
        <v>5399</v>
      </c>
      <c r="AJ194" s="3139" t="s">
        <v>5400</v>
      </c>
      <c r="AK194" s="2814" t="s">
        <v>5401</v>
      </c>
      <c r="AL194" s="3139" t="s">
        <v>5402</v>
      </c>
      <c r="AM194" s="2814" t="s">
        <v>5403</v>
      </c>
      <c r="AN194" s="3139" t="s">
        <v>5404</v>
      </c>
      <c r="AO194" s="2814" t="s">
        <v>5405</v>
      </c>
      <c r="AP194" s="3139" t="s">
        <v>5406</v>
      </c>
      <c r="AQ194" s="2814" t="s">
        <v>5407</v>
      </c>
      <c r="AR194" s="2449" t="s">
        <v>5408</v>
      </c>
      <c r="AS194" s="2986" t="s">
        <v>5409</v>
      </c>
      <c r="AT194" s="2814" t="s">
        <v>5410</v>
      </c>
      <c r="AU194" s="2814" t="s">
        <v>5411</v>
      </c>
      <c r="AV194" s="2814" t="s">
        <v>5412</v>
      </c>
      <c r="AW194" s="3758" t="s">
        <v>5413</v>
      </c>
      <c r="AX194" s="2814" t="s">
        <v>5414</v>
      </c>
      <c r="AY194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4" s="1197"/>
      <c r="BA194" s="199"/>
      <c r="BY194" s="1430"/>
      <c r="BZ194" s="1430"/>
      <c r="CB194" s="1435" t="str">
        <f t="shared" si="118"/>
        <v xml:space="preserve">* El número de actividades en usuarios en situacion de discapacidad NO DEBE ser mayor al total. </v>
      </c>
      <c r="CC194" s="1435" t="str">
        <f t="shared" si="119"/>
        <v xml:space="preserve"> * El número de actividades en Niños, Niñas, Adolescentes y Jóvenes de la red SENAME NO DEBE ser mayor al total. </v>
      </c>
      <c r="CD194" s="1435" t="str">
        <f t="shared" si="108"/>
        <v xml:space="preserve"> * El número de actividades en Niños, Niñas, Adolescentes y Jóvenes de la red Mejor Niñez NO DEBE ser mayor al total. </v>
      </c>
      <c r="CE194" s="1435" t="str">
        <f t="shared" si="120"/>
        <v xml:space="preserve"> * El número de actividades en Población Migrante NO DEBE ser mayor al total. </v>
      </c>
      <c r="CF194" s="1435" t="str">
        <f t="shared" si="121"/>
        <v xml:space="preserve"> * El número de actividades en Pacientes Diabéticos en Control PSCV NO DEBE superar el total. </v>
      </c>
      <c r="DB194" s="1436">
        <f t="shared" si="122"/>
        <v>1</v>
      </c>
      <c r="DC194" s="1436">
        <f t="shared" si="109"/>
        <v>1</v>
      </c>
      <c r="DD194" s="1436">
        <f t="shared" si="110"/>
        <v>1</v>
      </c>
      <c r="DE194" s="1436">
        <f t="shared" si="111"/>
        <v>1</v>
      </c>
      <c r="DF194" s="1436">
        <f t="shared" si="123"/>
        <v>1</v>
      </c>
      <c r="DG194" s="1432"/>
      <c r="DH194" s="1432"/>
    </row>
    <row r="195" spans="1:112" ht="24.75" customHeight="1" x14ac:dyDescent="0.25">
      <c r="A195" s="7667" t="s">
        <v>5248</v>
      </c>
      <c r="B195" s="9869"/>
      <c r="C195" s="9062"/>
      <c r="D195" s="4753" t="s">
        <v>1089</v>
      </c>
      <c r="E195" s="4701" t="s">
        <v>5369</v>
      </c>
      <c r="F195" s="4701" t="s">
        <v>5370</v>
      </c>
      <c r="G195" s="4754" t="s">
        <v>5371</v>
      </c>
      <c r="H195" s="3583" t="s">
        <v>5372</v>
      </c>
      <c r="I195" s="1810" t="s">
        <v>5373</v>
      </c>
      <c r="J195" s="3583" t="s">
        <v>5374</v>
      </c>
      <c r="K195" s="1810" t="s">
        <v>5375</v>
      </c>
      <c r="L195" s="3583" t="s">
        <v>5376</v>
      </c>
      <c r="M195" s="1810" t="s">
        <v>5377</v>
      </c>
      <c r="N195" s="3583" t="s">
        <v>5378</v>
      </c>
      <c r="O195" s="1810" t="s">
        <v>5379</v>
      </c>
      <c r="P195" s="3583" t="s">
        <v>5380</v>
      </c>
      <c r="Q195" s="1810" t="s">
        <v>5381</v>
      </c>
      <c r="R195" s="3583" t="s">
        <v>5382</v>
      </c>
      <c r="S195" s="1810" t="s">
        <v>5383</v>
      </c>
      <c r="T195" s="3583" t="s">
        <v>5384</v>
      </c>
      <c r="U195" s="1810" t="s">
        <v>5385</v>
      </c>
      <c r="V195" s="3583" t="s">
        <v>5386</v>
      </c>
      <c r="W195" s="1810" t="s">
        <v>5387</v>
      </c>
      <c r="X195" s="3583" t="s">
        <v>5388</v>
      </c>
      <c r="Y195" s="1810" t="s">
        <v>5389</v>
      </c>
      <c r="Z195" s="3297" t="s">
        <v>5390</v>
      </c>
      <c r="AA195" s="1150" t="s">
        <v>5391</v>
      </c>
      <c r="AB195" s="3297" t="s">
        <v>5392</v>
      </c>
      <c r="AC195" s="1150" t="s">
        <v>5393</v>
      </c>
      <c r="AD195" s="3297" t="s">
        <v>5394</v>
      </c>
      <c r="AE195" s="1150" t="s">
        <v>5395</v>
      </c>
      <c r="AF195" s="3297" t="s">
        <v>5396</v>
      </c>
      <c r="AG195" s="1150" t="s">
        <v>5397</v>
      </c>
      <c r="AH195" s="3297" t="s">
        <v>5398</v>
      </c>
      <c r="AI195" s="1150" t="s">
        <v>5399</v>
      </c>
      <c r="AJ195" s="3297" t="s">
        <v>5400</v>
      </c>
      <c r="AK195" s="1150" t="s">
        <v>5401</v>
      </c>
      <c r="AL195" s="3297" t="s">
        <v>5402</v>
      </c>
      <c r="AM195" s="1150" t="s">
        <v>5403</v>
      </c>
      <c r="AN195" s="3297" t="s">
        <v>5404</v>
      </c>
      <c r="AO195" s="1150" t="s">
        <v>5405</v>
      </c>
      <c r="AP195" s="3297" t="s">
        <v>5406</v>
      </c>
      <c r="AQ195" s="1150" t="s">
        <v>5407</v>
      </c>
      <c r="AR195" s="1061" t="s">
        <v>5408</v>
      </c>
      <c r="AS195" s="3238" t="s">
        <v>5409</v>
      </c>
      <c r="AT195" s="1150" t="s">
        <v>5410</v>
      </c>
      <c r="AU195" s="1150" t="s">
        <v>5411</v>
      </c>
      <c r="AV195" s="1150" t="s">
        <v>5412</v>
      </c>
      <c r="AW195" s="1231" t="s">
        <v>5413</v>
      </c>
      <c r="AX195" s="1150" t="s">
        <v>5414</v>
      </c>
      <c r="AY195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5" s="1197"/>
      <c r="BA195" s="199"/>
      <c r="BY195" s="1430"/>
      <c r="BZ195" s="1430"/>
      <c r="CB195" s="1435" t="str">
        <f t="shared" si="118"/>
        <v xml:space="preserve">* El número de actividades en usuarios en situacion de discapacidad NO DEBE ser mayor al total. </v>
      </c>
      <c r="CC195" s="1435" t="str">
        <f t="shared" si="119"/>
        <v xml:space="preserve"> * El número de actividades en Niños, Niñas, Adolescentes y Jóvenes de la red SENAME NO DEBE ser mayor al total. </v>
      </c>
      <c r="CD195" s="1435" t="str">
        <f t="shared" si="108"/>
        <v xml:space="preserve"> * El número de actividades en Niños, Niñas, Adolescentes y Jóvenes de la red Mejor Niñez NO DEBE ser mayor al total. </v>
      </c>
      <c r="CE195" s="1435" t="str">
        <f t="shared" si="120"/>
        <v xml:space="preserve"> * El número de actividades en Población Migrante NO DEBE ser mayor al total. </v>
      </c>
      <c r="CF195" s="1435" t="str">
        <f t="shared" si="121"/>
        <v xml:space="preserve"> * El número de actividades en Pacientes Diabéticos en Control PSCV NO DEBE superar el total. </v>
      </c>
      <c r="DB195" s="1436">
        <f t="shared" si="122"/>
        <v>1</v>
      </c>
      <c r="DC195" s="1436">
        <f t="shared" si="109"/>
        <v>1</v>
      </c>
      <c r="DD195" s="1436">
        <f t="shared" si="110"/>
        <v>1</v>
      </c>
      <c r="DE195" s="1436">
        <f t="shared" si="111"/>
        <v>1</v>
      </c>
      <c r="DF195" s="1436">
        <f t="shared" si="123"/>
        <v>1</v>
      </c>
      <c r="DG195" s="1432"/>
      <c r="DH195" s="1432"/>
    </row>
    <row r="196" spans="1:112" ht="27" customHeight="1" x14ac:dyDescent="0.25">
      <c r="A196" s="7667" t="s">
        <v>5249</v>
      </c>
      <c r="B196" s="9870"/>
      <c r="C196" s="9250"/>
      <c r="D196" s="4755" t="s">
        <v>1088</v>
      </c>
      <c r="E196" s="3231" t="s">
        <v>5369</v>
      </c>
      <c r="F196" s="3231" t="s">
        <v>5370</v>
      </c>
      <c r="G196" s="4756" t="s">
        <v>5371</v>
      </c>
      <c r="H196" s="4739" t="s">
        <v>5372</v>
      </c>
      <c r="I196" s="4741" t="s">
        <v>5373</v>
      </c>
      <c r="J196" s="4739" t="s">
        <v>5374</v>
      </c>
      <c r="K196" s="4741" t="s">
        <v>5375</v>
      </c>
      <c r="L196" s="4739" t="s">
        <v>5376</v>
      </c>
      <c r="M196" s="4741" t="s">
        <v>5377</v>
      </c>
      <c r="N196" s="4739" t="s">
        <v>5378</v>
      </c>
      <c r="O196" s="4741" t="s">
        <v>5379</v>
      </c>
      <c r="P196" s="4739" t="s">
        <v>5380</v>
      </c>
      <c r="Q196" s="4741" t="s">
        <v>5381</v>
      </c>
      <c r="R196" s="4739" t="s">
        <v>5382</v>
      </c>
      <c r="S196" s="4741" t="s">
        <v>5383</v>
      </c>
      <c r="T196" s="4739" t="s">
        <v>5384</v>
      </c>
      <c r="U196" s="4741" t="s">
        <v>5385</v>
      </c>
      <c r="V196" s="4739" t="s">
        <v>5386</v>
      </c>
      <c r="W196" s="4741" t="s">
        <v>5387</v>
      </c>
      <c r="X196" s="4739" t="s">
        <v>5388</v>
      </c>
      <c r="Y196" s="4741" t="s">
        <v>5389</v>
      </c>
      <c r="Z196" s="3158" t="s">
        <v>5390</v>
      </c>
      <c r="AA196" s="3159" t="s">
        <v>5391</v>
      </c>
      <c r="AB196" s="3158" t="s">
        <v>5392</v>
      </c>
      <c r="AC196" s="3159" t="s">
        <v>5393</v>
      </c>
      <c r="AD196" s="3158" t="s">
        <v>5394</v>
      </c>
      <c r="AE196" s="3159" t="s">
        <v>5395</v>
      </c>
      <c r="AF196" s="3158" t="s">
        <v>5396</v>
      </c>
      <c r="AG196" s="3159" t="s">
        <v>5397</v>
      </c>
      <c r="AH196" s="3158" t="s">
        <v>5398</v>
      </c>
      <c r="AI196" s="3159" t="s">
        <v>5399</v>
      </c>
      <c r="AJ196" s="3158" t="s">
        <v>5400</v>
      </c>
      <c r="AK196" s="3159" t="s">
        <v>5401</v>
      </c>
      <c r="AL196" s="3158" t="s">
        <v>5402</v>
      </c>
      <c r="AM196" s="3159" t="s">
        <v>5403</v>
      </c>
      <c r="AN196" s="3158" t="s">
        <v>5404</v>
      </c>
      <c r="AO196" s="3159" t="s">
        <v>5405</v>
      </c>
      <c r="AP196" s="3158" t="s">
        <v>5406</v>
      </c>
      <c r="AQ196" s="3159" t="s">
        <v>5407</v>
      </c>
      <c r="AR196" s="2490" t="s">
        <v>5408</v>
      </c>
      <c r="AS196" s="3159" t="s">
        <v>5409</v>
      </c>
      <c r="AT196" s="3159" t="s">
        <v>5410</v>
      </c>
      <c r="AU196" s="3159" t="s">
        <v>5411</v>
      </c>
      <c r="AV196" s="3159" t="s">
        <v>5412</v>
      </c>
      <c r="AW196" s="3236" t="s">
        <v>5413</v>
      </c>
      <c r="AX196" s="3159" t="s">
        <v>5414</v>
      </c>
      <c r="AY196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6" s="1197"/>
      <c r="BA196" s="199"/>
      <c r="BY196" s="1430"/>
      <c r="BZ196" s="1430"/>
      <c r="CB196" s="1435" t="str">
        <f t="shared" si="118"/>
        <v xml:space="preserve">* El número de actividades en usuarios en situacion de discapacidad NO DEBE ser mayor al total. </v>
      </c>
      <c r="CC196" s="1435" t="str">
        <f t="shared" si="119"/>
        <v xml:space="preserve"> * El número de actividades en Niños, Niñas, Adolescentes y Jóvenes de la red SENAME NO DEBE ser mayor al total. </v>
      </c>
      <c r="CD196" s="1435" t="str">
        <f t="shared" si="108"/>
        <v xml:space="preserve"> * El número de actividades en Niños, Niñas, Adolescentes y Jóvenes de la red Mejor Niñez NO DEBE ser mayor al total. </v>
      </c>
      <c r="CE196" s="1435" t="str">
        <f t="shared" si="120"/>
        <v xml:space="preserve"> * El número de actividades en Población Migrante NO DEBE ser mayor al total. </v>
      </c>
      <c r="CF196" s="1435" t="str">
        <f t="shared" si="121"/>
        <v xml:space="preserve"> * El número de actividades en Pacientes Diabéticos en Control PSCV NO DEBE superar el total. </v>
      </c>
      <c r="DB196" s="1436">
        <f t="shared" si="122"/>
        <v>1</v>
      </c>
      <c r="DC196" s="1436">
        <f t="shared" si="109"/>
        <v>1</v>
      </c>
      <c r="DD196" s="1436">
        <f t="shared" si="110"/>
        <v>1</v>
      </c>
      <c r="DE196" s="1436">
        <f t="shared" si="111"/>
        <v>1</v>
      </c>
      <c r="DF196" s="1436">
        <f t="shared" si="123"/>
        <v>1</v>
      </c>
      <c r="DG196" s="1432"/>
      <c r="DH196" s="1432"/>
    </row>
    <row r="197" spans="1:112" ht="32.25" customHeight="1" x14ac:dyDescent="0.25">
      <c r="A197" s="7667" t="s">
        <v>5250</v>
      </c>
      <c r="B197" s="9872" t="s">
        <v>1087</v>
      </c>
      <c r="C197" s="8627" t="s">
        <v>1086</v>
      </c>
      <c r="D197" s="4757" t="s">
        <v>1085</v>
      </c>
      <c r="E197" s="4713" t="s">
        <v>5369</v>
      </c>
      <c r="F197" s="4713" t="s">
        <v>5370</v>
      </c>
      <c r="G197" s="3584" t="s">
        <v>5371</v>
      </c>
      <c r="H197" s="4696" t="s">
        <v>5372</v>
      </c>
      <c r="I197" s="4749" t="s">
        <v>5373</v>
      </c>
      <c r="J197" s="4696" t="s">
        <v>5374</v>
      </c>
      <c r="K197" s="4749" t="s">
        <v>5375</v>
      </c>
      <c r="L197" s="4696" t="s">
        <v>5376</v>
      </c>
      <c r="M197" s="4749" t="s">
        <v>5377</v>
      </c>
      <c r="N197" s="4696" t="s">
        <v>5378</v>
      </c>
      <c r="O197" s="4749" t="s">
        <v>5379</v>
      </c>
      <c r="P197" s="4696" t="s">
        <v>5380</v>
      </c>
      <c r="Q197" s="4749" t="s">
        <v>5381</v>
      </c>
      <c r="R197" s="4696" t="s">
        <v>5382</v>
      </c>
      <c r="S197" s="4749" t="s">
        <v>5383</v>
      </c>
      <c r="T197" s="4696" t="s">
        <v>5384</v>
      </c>
      <c r="U197" s="4749" t="s">
        <v>5385</v>
      </c>
      <c r="V197" s="4696" t="s">
        <v>5386</v>
      </c>
      <c r="W197" s="4749" t="s">
        <v>5387</v>
      </c>
      <c r="X197" s="4696" t="s">
        <v>5388</v>
      </c>
      <c r="Y197" s="4749" t="s">
        <v>5389</v>
      </c>
      <c r="Z197" s="4696" t="s">
        <v>5390</v>
      </c>
      <c r="AA197" s="4749" t="s">
        <v>5391</v>
      </c>
      <c r="AB197" s="4696" t="s">
        <v>5392</v>
      </c>
      <c r="AC197" s="4749" t="s">
        <v>5393</v>
      </c>
      <c r="AD197" s="4550" t="s">
        <v>5394</v>
      </c>
      <c r="AE197" s="3755" t="s">
        <v>5395</v>
      </c>
      <c r="AF197" s="4550" t="s">
        <v>5396</v>
      </c>
      <c r="AG197" s="3755" t="s">
        <v>5397</v>
      </c>
      <c r="AH197" s="4550" t="s">
        <v>5398</v>
      </c>
      <c r="AI197" s="3755" t="s">
        <v>5399</v>
      </c>
      <c r="AJ197" s="4550" t="s">
        <v>5400</v>
      </c>
      <c r="AK197" s="3755" t="s">
        <v>5401</v>
      </c>
      <c r="AL197" s="4550" t="s">
        <v>5402</v>
      </c>
      <c r="AM197" s="3755" t="s">
        <v>5403</v>
      </c>
      <c r="AN197" s="4550" t="s">
        <v>5404</v>
      </c>
      <c r="AO197" s="3755" t="s">
        <v>5405</v>
      </c>
      <c r="AP197" s="4550" t="s">
        <v>5406</v>
      </c>
      <c r="AQ197" s="3755" t="s">
        <v>5407</v>
      </c>
      <c r="AR197" s="4758" t="s">
        <v>5408</v>
      </c>
      <c r="AS197" s="3755" t="s">
        <v>5409</v>
      </c>
      <c r="AT197" s="3755" t="s">
        <v>5410</v>
      </c>
      <c r="AU197" s="3755" t="s">
        <v>5411</v>
      </c>
      <c r="AV197" s="6833" t="s">
        <v>5412</v>
      </c>
      <c r="AW197" s="4759" t="s">
        <v>5413</v>
      </c>
      <c r="AX197" s="3755" t="s">
        <v>5414</v>
      </c>
      <c r="AY197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7" s="1197"/>
      <c r="BA197" s="199"/>
      <c r="BY197" s="1430"/>
      <c r="BZ197" s="1430"/>
      <c r="CB197" s="1435" t="str">
        <f t="shared" si="118"/>
        <v xml:space="preserve">* El número de actividades en usuarios en situacion de discapacidad NO DEBE ser mayor al total. </v>
      </c>
      <c r="CC197" s="1435" t="str">
        <f t="shared" si="119"/>
        <v xml:space="preserve"> * El número de actividades en Niños, Niñas, Adolescentes y Jóvenes de la red SENAME NO DEBE ser mayor al total. </v>
      </c>
      <c r="CD197" s="1435" t="str">
        <f t="shared" si="108"/>
        <v xml:space="preserve"> * El número de actividades en Niños, Niñas, Adolescentes y Jóvenes de la red Mejor Niñez NO DEBE ser mayor al total. </v>
      </c>
      <c r="CE197" s="1435" t="str">
        <f t="shared" si="120"/>
        <v xml:space="preserve"> * El número de actividades en Población Migrante NO DEBE ser mayor al total. </v>
      </c>
      <c r="CF197" s="1435" t="str">
        <f t="shared" si="121"/>
        <v xml:space="preserve"> * El número de actividades en Pacientes Diabéticos en Control PSCV NO DEBE superar el total. </v>
      </c>
      <c r="DB197" s="1436">
        <f t="shared" si="122"/>
        <v>1</v>
      </c>
      <c r="DC197" s="1436">
        <f t="shared" si="109"/>
        <v>1</v>
      </c>
      <c r="DD197" s="1436">
        <f t="shared" si="110"/>
        <v>1</v>
      </c>
      <c r="DE197" s="1436">
        <f t="shared" si="111"/>
        <v>1</v>
      </c>
      <c r="DF197" s="1436">
        <f t="shared" si="123"/>
        <v>1</v>
      </c>
      <c r="DG197" s="1432"/>
      <c r="DH197" s="1432"/>
    </row>
    <row r="198" spans="1:112" ht="29.25" customHeight="1" x14ac:dyDescent="0.25">
      <c r="A198" s="7667" t="s">
        <v>5251</v>
      </c>
      <c r="B198" s="9873"/>
      <c r="C198" s="9743"/>
      <c r="D198" s="3228" t="s">
        <v>1084</v>
      </c>
      <c r="E198" s="3231" t="s">
        <v>5369</v>
      </c>
      <c r="F198" s="3231" t="s">
        <v>5370</v>
      </c>
      <c r="G198" s="4756" t="s">
        <v>5371</v>
      </c>
      <c r="H198" s="3235" t="s">
        <v>5372</v>
      </c>
      <c r="I198" s="3202" t="s">
        <v>5373</v>
      </c>
      <c r="J198" s="3235" t="s">
        <v>5374</v>
      </c>
      <c r="K198" s="3202" t="s">
        <v>5375</v>
      </c>
      <c r="L198" s="3235" t="s">
        <v>5376</v>
      </c>
      <c r="M198" s="3202" t="s">
        <v>5377</v>
      </c>
      <c r="N198" s="3235" t="s">
        <v>5378</v>
      </c>
      <c r="O198" s="3202" t="s">
        <v>5379</v>
      </c>
      <c r="P198" s="3235" t="s">
        <v>5380</v>
      </c>
      <c r="Q198" s="3202" t="s">
        <v>5381</v>
      </c>
      <c r="R198" s="3235" t="s">
        <v>5382</v>
      </c>
      <c r="S198" s="3202" t="s">
        <v>5383</v>
      </c>
      <c r="T198" s="3235" t="s">
        <v>5384</v>
      </c>
      <c r="U198" s="3202" t="s">
        <v>5385</v>
      </c>
      <c r="V198" s="3235" t="s">
        <v>5386</v>
      </c>
      <c r="W198" s="3202" t="s">
        <v>5387</v>
      </c>
      <c r="X198" s="3235" t="s">
        <v>5388</v>
      </c>
      <c r="Y198" s="3202" t="s">
        <v>5389</v>
      </c>
      <c r="Z198" s="3235" t="s">
        <v>5390</v>
      </c>
      <c r="AA198" s="3202" t="s">
        <v>5391</v>
      </c>
      <c r="AB198" s="3235" t="s">
        <v>5392</v>
      </c>
      <c r="AC198" s="3202" t="s">
        <v>5393</v>
      </c>
      <c r="AD198" s="3158" t="s">
        <v>5394</v>
      </c>
      <c r="AE198" s="3159" t="s">
        <v>5395</v>
      </c>
      <c r="AF198" s="3158" t="s">
        <v>5396</v>
      </c>
      <c r="AG198" s="3159" t="s">
        <v>5397</v>
      </c>
      <c r="AH198" s="3158" t="s">
        <v>5398</v>
      </c>
      <c r="AI198" s="3159" t="s">
        <v>5399</v>
      </c>
      <c r="AJ198" s="3158" t="s">
        <v>5400</v>
      </c>
      <c r="AK198" s="3159" t="s">
        <v>5401</v>
      </c>
      <c r="AL198" s="3158" t="s">
        <v>5402</v>
      </c>
      <c r="AM198" s="3159" t="s">
        <v>5403</v>
      </c>
      <c r="AN198" s="3158" t="s">
        <v>5404</v>
      </c>
      <c r="AO198" s="3159" t="s">
        <v>5405</v>
      </c>
      <c r="AP198" s="3158" t="s">
        <v>5406</v>
      </c>
      <c r="AQ198" s="3159" t="s">
        <v>5407</v>
      </c>
      <c r="AR198" s="3585" t="s">
        <v>5408</v>
      </c>
      <c r="AS198" s="3159" t="s">
        <v>5409</v>
      </c>
      <c r="AT198" s="3159" t="s">
        <v>5410</v>
      </c>
      <c r="AU198" s="3159" t="s">
        <v>5411</v>
      </c>
      <c r="AV198" s="3159" t="s">
        <v>5412</v>
      </c>
      <c r="AW198" s="4760" t="s">
        <v>5413</v>
      </c>
      <c r="AX198" s="3159" t="s">
        <v>5414</v>
      </c>
      <c r="AY198" s="1496" t="str">
        <f t="shared" si="107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Niños, Niñas, Adolescentes y Jóvenes de la red Mejor Niñez NO DEBE ser mayor al total.  * El número de actividades en Población Migrante NO DEBE ser mayor al total.  * El número de actividades en Pacientes Diabéticos en Control PSCV NO DEBE superar el total. </v>
      </c>
      <c r="AZ198" s="1197"/>
      <c r="BA198" s="199"/>
      <c r="BY198" s="1430"/>
      <c r="BZ198" s="1430"/>
      <c r="CB198" s="1435" t="str">
        <f t="shared" si="118"/>
        <v xml:space="preserve">* El número de actividades en usuarios en situacion de discapacidad NO DEBE ser mayor al total. </v>
      </c>
      <c r="CC198" s="1435" t="str">
        <f t="shared" si="119"/>
        <v xml:space="preserve"> * El número de actividades en Niños, Niñas, Adolescentes y Jóvenes de la red SENAME NO DEBE ser mayor al total. </v>
      </c>
      <c r="CD198" s="1435" t="str">
        <f t="shared" si="108"/>
        <v xml:space="preserve"> * El número de actividades en Niños, Niñas, Adolescentes y Jóvenes de la red Mejor Niñez NO DEBE ser mayor al total. </v>
      </c>
      <c r="CE198" s="1435" t="str">
        <f t="shared" si="120"/>
        <v xml:space="preserve"> * El número de actividades en Población Migrante NO DEBE ser mayor al total. </v>
      </c>
      <c r="CF198" s="1435" t="str">
        <f t="shared" si="121"/>
        <v xml:space="preserve"> * El número de actividades en Pacientes Diabéticos en Control PSCV NO DEBE superar el total. </v>
      </c>
      <c r="DB198" s="1436">
        <f t="shared" si="122"/>
        <v>1</v>
      </c>
      <c r="DC198" s="1436">
        <f t="shared" si="109"/>
        <v>1</v>
      </c>
      <c r="DD198" s="1436">
        <f t="shared" si="110"/>
        <v>1</v>
      </c>
      <c r="DE198" s="1436">
        <f t="shared" si="111"/>
        <v>1</v>
      </c>
      <c r="DF198" s="1436">
        <f t="shared" si="123"/>
        <v>1</v>
      </c>
      <c r="DG198" s="1432"/>
      <c r="DH198" s="1432"/>
    </row>
    <row r="199" spans="1:112" ht="37.5" customHeight="1" x14ac:dyDescent="0.25">
      <c r="B199" s="133" t="s">
        <v>1083</v>
      </c>
      <c r="C199" s="689"/>
      <c r="D199" s="689"/>
      <c r="E199" s="689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290"/>
      <c r="AA199" s="290"/>
      <c r="AB199" s="290"/>
      <c r="AC199" s="290"/>
      <c r="AD199" s="290"/>
      <c r="AE199" s="290"/>
      <c r="AF199" s="290"/>
      <c r="AG199" s="290"/>
      <c r="AH199" s="290"/>
      <c r="AI199" s="290"/>
      <c r="AJ199" s="290"/>
      <c r="AK199" s="290"/>
      <c r="AL199" s="290"/>
      <c r="BW199" s="1430"/>
      <c r="BX199" s="1430"/>
      <c r="DB199" s="1432"/>
      <c r="DC199" s="1432"/>
      <c r="DD199" s="1432"/>
      <c r="DE199" s="1432"/>
      <c r="DF199" s="1432"/>
      <c r="DG199" s="1432"/>
      <c r="DH199" s="1432"/>
    </row>
    <row r="200" spans="1:112" ht="30" customHeight="1" x14ac:dyDescent="0.25">
      <c r="B200" s="9762" t="s">
        <v>41</v>
      </c>
      <c r="C200" s="9046"/>
      <c r="D200" s="9678"/>
      <c r="E200" s="9783" t="s">
        <v>24</v>
      </c>
      <c r="F200" s="9533"/>
      <c r="G200" s="9575"/>
      <c r="H200" s="9740" t="s">
        <v>1063</v>
      </c>
      <c r="I200" s="9741"/>
      <c r="J200" s="9741"/>
      <c r="K200" s="9741"/>
      <c r="L200" s="9741"/>
      <c r="M200" s="9741"/>
      <c r="N200" s="9741"/>
      <c r="O200" s="9741"/>
      <c r="P200" s="9741"/>
      <c r="Q200" s="9741"/>
      <c r="R200" s="9741"/>
      <c r="S200" s="9741"/>
      <c r="T200" s="9741"/>
      <c r="U200" s="9741"/>
      <c r="V200" s="9741"/>
      <c r="W200" s="9741"/>
      <c r="X200" s="9741"/>
      <c r="Y200" s="9741"/>
      <c r="Z200" s="9741"/>
      <c r="AA200" s="9741"/>
      <c r="AB200" s="9741"/>
      <c r="AC200" s="9742"/>
      <c r="AD200" s="9878" t="s">
        <v>2553</v>
      </c>
      <c r="AE200" s="9791" t="s">
        <v>44</v>
      </c>
      <c r="AF200" s="9791" t="s">
        <v>1082</v>
      </c>
      <c r="AG200" s="9791" t="s">
        <v>1081</v>
      </c>
      <c r="AH200" s="9791" t="s">
        <v>1080</v>
      </c>
      <c r="BI200" s="1430"/>
      <c r="BJ200" s="1430"/>
      <c r="BK200" s="1438"/>
      <c r="BL200" s="1438"/>
      <c r="BM200" s="1438"/>
      <c r="DB200" s="1432"/>
      <c r="DC200" s="1432"/>
      <c r="DD200" s="1432"/>
      <c r="DE200" s="1432"/>
      <c r="DF200" s="1432"/>
      <c r="DG200" s="1432"/>
      <c r="DH200" s="1432"/>
    </row>
    <row r="201" spans="1:112" ht="32.1" customHeight="1" x14ac:dyDescent="0.25">
      <c r="B201" s="9667"/>
      <c r="C201" s="9696"/>
      <c r="D201" s="9737"/>
      <c r="E201" s="8596"/>
      <c r="F201" s="8560"/>
      <c r="G201" s="8581"/>
      <c r="H201" s="9745" t="s">
        <v>3662</v>
      </c>
      <c r="I201" s="9746"/>
      <c r="J201" s="9747" t="s">
        <v>1079</v>
      </c>
      <c r="K201" s="9748"/>
      <c r="L201" s="9749" t="s">
        <v>1078</v>
      </c>
      <c r="M201" s="9748"/>
      <c r="N201" s="9747" t="s">
        <v>3663</v>
      </c>
      <c r="O201" s="9748"/>
      <c r="P201" s="9747" t="s">
        <v>1077</v>
      </c>
      <c r="Q201" s="9748"/>
      <c r="R201" s="9747" t="s">
        <v>1076</v>
      </c>
      <c r="S201" s="9748"/>
      <c r="T201" s="9747" t="s">
        <v>1047</v>
      </c>
      <c r="U201" s="9748"/>
      <c r="V201" s="9747" t="s">
        <v>1046</v>
      </c>
      <c r="W201" s="9748"/>
      <c r="X201" s="9747" t="s">
        <v>3664</v>
      </c>
      <c r="Y201" s="9748"/>
      <c r="Z201" s="9747" t="s">
        <v>48</v>
      </c>
      <c r="AA201" s="9750"/>
      <c r="AB201" s="9747" t="s">
        <v>49</v>
      </c>
      <c r="AC201" s="9750"/>
      <c r="AD201" s="9879"/>
      <c r="AE201" s="9793"/>
      <c r="AF201" s="9793"/>
      <c r="AG201" s="9793"/>
      <c r="AH201" s="9793"/>
      <c r="BI201" s="1430"/>
      <c r="BJ201" s="1430"/>
      <c r="BK201" s="1438"/>
      <c r="BL201" s="1438"/>
      <c r="BM201" s="1438"/>
      <c r="DB201" s="1432"/>
      <c r="DC201" s="1432"/>
      <c r="DD201" s="1432"/>
      <c r="DE201" s="1432"/>
      <c r="DF201" s="1432"/>
      <c r="DG201" s="1432"/>
      <c r="DH201" s="1432"/>
    </row>
    <row r="202" spans="1:112" ht="16.350000000000001" customHeight="1" x14ac:dyDescent="0.25">
      <c r="B202" s="9763"/>
      <c r="C202" s="9738"/>
      <c r="D202" s="9739"/>
      <c r="E202" s="3670" t="s">
        <v>42</v>
      </c>
      <c r="F202" s="3671" t="s">
        <v>17</v>
      </c>
      <c r="G202" s="4545" t="s">
        <v>18</v>
      </c>
      <c r="H202" s="4575" t="s">
        <v>17</v>
      </c>
      <c r="I202" s="4545" t="s">
        <v>18</v>
      </c>
      <c r="J202" s="4575" t="s">
        <v>17</v>
      </c>
      <c r="K202" s="4545" t="s">
        <v>18</v>
      </c>
      <c r="L202" s="3673" t="s">
        <v>17</v>
      </c>
      <c r="M202" s="4545" t="s">
        <v>18</v>
      </c>
      <c r="N202" s="3673" t="s">
        <v>17</v>
      </c>
      <c r="O202" s="4545" t="s">
        <v>18</v>
      </c>
      <c r="P202" s="3673" t="s">
        <v>17</v>
      </c>
      <c r="Q202" s="4545" t="s">
        <v>18</v>
      </c>
      <c r="R202" s="3673" t="s">
        <v>17</v>
      </c>
      <c r="S202" s="4545" t="s">
        <v>18</v>
      </c>
      <c r="T202" s="3673" t="s">
        <v>17</v>
      </c>
      <c r="U202" s="4545" t="s">
        <v>18</v>
      </c>
      <c r="V202" s="3673" t="s">
        <v>17</v>
      </c>
      <c r="W202" s="4545" t="s">
        <v>18</v>
      </c>
      <c r="X202" s="3673" t="s">
        <v>17</v>
      </c>
      <c r="Y202" s="4545" t="s">
        <v>18</v>
      </c>
      <c r="Z202" s="3673" t="s">
        <v>17</v>
      </c>
      <c r="AA202" s="4545" t="s">
        <v>18</v>
      </c>
      <c r="AB202" s="3673" t="s">
        <v>17</v>
      </c>
      <c r="AC202" s="4545" t="s">
        <v>18</v>
      </c>
      <c r="AD202" s="9880"/>
      <c r="AE202" s="9795"/>
      <c r="AF202" s="9795"/>
      <c r="AG202" s="9795"/>
      <c r="AH202" s="9795"/>
      <c r="BM202" s="1438"/>
      <c r="DB202" s="1432"/>
      <c r="DC202" s="1432"/>
      <c r="DD202" s="1432"/>
      <c r="DE202" s="1432"/>
      <c r="DF202" s="1432"/>
      <c r="DG202" s="1432"/>
      <c r="DH202" s="1432"/>
    </row>
    <row r="203" spans="1:112" ht="16.350000000000001" customHeight="1" x14ac:dyDescent="0.25">
      <c r="A203" s="7520" t="s">
        <v>5252</v>
      </c>
      <c r="B203" s="9796" t="s">
        <v>1075</v>
      </c>
      <c r="C203" s="9797"/>
      <c r="D203" s="9798"/>
      <c r="E203" s="4761" t="s">
        <v>5369</v>
      </c>
      <c r="F203" s="4548" t="s">
        <v>5370</v>
      </c>
      <c r="G203" s="4762" t="s">
        <v>5371</v>
      </c>
      <c r="H203" s="4696" t="s">
        <v>5372</v>
      </c>
      <c r="I203" s="4749" t="s">
        <v>5373</v>
      </c>
      <c r="J203" s="4696" t="s">
        <v>5374</v>
      </c>
      <c r="K203" s="4749" t="s">
        <v>5375</v>
      </c>
      <c r="L203" s="4550" t="s">
        <v>5376</v>
      </c>
      <c r="M203" s="3755" t="s">
        <v>5377</v>
      </c>
      <c r="N203" s="4550" t="s">
        <v>5378</v>
      </c>
      <c r="O203" s="3755" t="s">
        <v>5379</v>
      </c>
      <c r="P203" s="4550" t="s">
        <v>5380</v>
      </c>
      <c r="Q203" s="3755" t="s">
        <v>5381</v>
      </c>
      <c r="R203" s="4550" t="s">
        <v>5382</v>
      </c>
      <c r="S203" s="3755" t="s">
        <v>5383</v>
      </c>
      <c r="T203" s="4550" t="s">
        <v>5384</v>
      </c>
      <c r="U203" s="3755" t="s">
        <v>5385</v>
      </c>
      <c r="V203" s="4763" t="s">
        <v>5386</v>
      </c>
      <c r="W203" s="4764" t="s">
        <v>5387</v>
      </c>
      <c r="X203" s="4763" t="s">
        <v>5388</v>
      </c>
      <c r="Y203" s="4764" t="s">
        <v>5389</v>
      </c>
      <c r="Z203" s="4763" t="s">
        <v>5390</v>
      </c>
      <c r="AA203" s="4764" t="s">
        <v>5391</v>
      </c>
      <c r="AB203" s="4763" t="s">
        <v>5392</v>
      </c>
      <c r="AC203" s="4765" t="s">
        <v>5393</v>
      </c>
      <c r="AD203" s="4699" t="s">
        <v>5394</v>
      </c>
      <c r="AE203" s="3735" t="s">
        <v>5395</v>
      </c>
      <c r="AF203" s="3755" t="s">
        <v>5396</v>
      </c>
      <c r="AG203" s="3755" t="s">
        <v>5397</v>
      </c>
      <c r="AH203" s="3755" t="s">
        <v>5398</v>
      </c>
      <c r="AI203" s="1496" t="str">
        <f>$CB203&amp;$CC203&amp;$CD203&amp;$CE203&amp;$CF203&amp;$CG203&amp;$CH203</f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M203" s="1438"/>
      <c r="CB203" s="1435" t="str">
        <f t="shared" ref="CB203:CB208" si="124">IF(DB203=1,"* El número de actividades en usuarios en situacion de discapacidad NO DEBE ser mayor al total. ","")</f>
        <v xml:space="preserve">* El número de actividades en usuarios en situacion de discapacidad NO DEBE ser mayor al total. </v>
      </c>
      <c r="CC203" s="1435" t="str">
        <f t="shared" ref="CC203:CC208" si="125">IF(DC203=1,"* El número de actividades en usuarios JUNJI NO DEBE ser mayor al total. ","")</f>
        <v xml:space="preserve">* El número de actividades en usuarios JUNJI NO DEBE ser mayor al total. </v>
      </c>
      <c r="CD203" s="1435" t="str">
        <f t="shared" ref="CD203:CD208" si="126">IF(DD203=1,"* El número de actividades en usuarios INTEGRA NO DEBE ser mayor al total. ","")</f>
        <v xml:space="preserve">* El número de actividades en usuarios INTEGRA NO DEBE ser mayor al total. </v>
      </c>
      <c r="CE203" s="1435" t="str">
        <f t="shared" ref="CE203:CE208" si="127">IF(DE203=1,"* El número de actividades en usuarios MINEDUC NO DEBE ser mayor al total. ","")</f>
        <v xml:space="preserve">* El número de actividades en usuarios MINEDUC NO DEBE ser mayor al total. </v>
      </c>
      <c r="CF203" s="1435" t="str">
        <f t="shared" ref="CF203:CF208" si="128">IF(DF203=1,"* El total de actividades de JUNJI, Integra y MINEDUC no puede superar el Total.","")</f>
        <v>* El total de actividades de JUNJI, Integra y MINEDUC no puede superar el Total.</v>
      </c>
      <c r="DB203" s="1436">
        <f>IF(E203&lt;AD203,1,0)</f>
        <v>1</v>
      </c>
      <c r="DC203" s="1436">
        <f>IF(E203&lt;AF203,1,0)</f>
        <v>1</v>
      </c>
      <c r="DD203" s="1436">
        <f>IF(E203&lt;AG203,1,0)</f>
        <v>1</v>
      </c>
      <c r="DE203" s="1436">
        <f>IF(E203&lt;AH203,1,0)</f>
        <v>1</v>
      </c>
      <c r="DF203" s="1436">
        <f>IF(E203&lt;AE203,1,0)</f>
        <v>1</v>
      </c>
      <c r="DG203" s="1432"/>
      <c r="DH203" s="1432"/>
    </row>
    <row r="204" spans="1:112" ht="16.350000000000001" customHeight="1" x14ac:dyDescent="0.25">
      <c r="A204" s="7520" t="s">
        <v>5253</v>
      </c>
      <c r="B204" s="9862" t="s">
        <v>1074</v>
      </c>
      <c r="C204" s="9874"/>
      <c r="D204" s="9863"/>
      <c r="E204" s="3247" t="s">
        <v>5369</v>
      </c>
      <c r="F204" s="4553" t="s">
        <v>5370</v>
      </c>
      <c r="G204" s="3768" t="s">
        <v>5371</v>
      </c>
      <c r="H204" s="3581" t="s">
        <v>5372</v>
      </c>
      <c r="I204" s="3582" t="s">
        <v>5373</v>
      </c>
      <c r="J204" s="3581" t="s">
        <v>5374</v>
      </c>
      <c r="K204" s="3582" t="s">
        <v>5375</v>
      </c>
      <c r="L204" s="3139" t="s">
        <v>5376</v>
      </c>
      <c r="M204" s="2814" t="s">
        <v>5377</v>
      </c>
      <c r="N204" s="3139" t="s">
        <v>5378</v>
      </c>
      <c r="O204" s="2814" t="s">
        <v>5379</v>
      </c>
      <c r="P204" s="3139" t="s">
        <v>5380</v>
      </c>
      <c r="Q204" s="2814" t="s">
        <v>5381</v>
      </c>
      <c r="R204" s="3139" t="s">
        <v>5382</v>
      </c>
      <c r="S204" s="2814" t="s">
        <v>5383</v>
      </c>
      <c r="T204" s="3139" t="s">
        <v>5384</v>
      </c>
      <c r="U204" s="2814" t="s">
        <v>5385</v>
      </c>
      <c r="V204" s="3586" t="s">
        <v>5386</v>
      </c>
      <c r="W204" s="3001" t="s">
        <v>5387</v>
      </c>
      <c r="X204" s="3586" t="s">
        <v>5388</v>
      </c>
      <c r="Y204" s="3001" t="s">
        <v>5389</v>
      </c>
      <c r="Z204" s="3586" t="s">
        <v>5390</v>
      </c>
      <c r="AA204" s="3001" t="s">
        <v>5391</v>
      </c>
      <c r="AB204" s="3586" t="s">
        <v>5392</v>
      </c>
      <c r="AC204" s="2066" t="s">
        <v>5393</v>
      </c>
      <c r="AD204" s="2449" t="s">
        <v>5394</v>
      </c>
      <c r="AE204" s="2922" t="s">
        <v>5395</v>
      </c>
      <c r="AF204" s="2814" t="s">
        <v>5396</v>
      </c>
      <c r="AG204" s="2814" t="s">
        <v>5397</v>
      </c>
      <c r="AH204" s="2814" t="s">
        <v>5398</v>
      </c>
      <c r="AI204" s="1496" t="str">
        <f>$CB204&amp;$CC204&amp;$CD204&amp;$CE204&amp;$CF204&amp;$CG204&amp;$CH204</f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M204" s="1438"/>
      <c r="CB204" s="1435" t="str">
        <f t="shared" si="124"/>
        <v xml:space="preserve">* El número de actividades en usuarios en situacion de discapacidad NO DEBE ser mayor al total. </v>
      </c>
      <c r="CC204" s="1435" t="str">
        <f t="shared" si="125"/>
        <v xml:space="preserve">* El número de actividades en usuarios JUNJI NO DEBE ser mayor al total. </v>
      </c>
      <c r="CD204" s="1435" t="str">
        <f t="shared" si="126"/>
        <v xml:space="preserve">* El número de actividades en usuarios INTEGRA NO DEBE ser mayor al total. </v>
      </c>
      <c r="CE204" s="1435" t="str">
        <f t="shared" si="127"/>
        <v xml:space="preserve">* El número de actividades en usuarios MINEDUC NO DEBE ser mayor al total. </v>
      </c>
      <c r="CF204" s="1435" t="str">
        <f t="shared" si="128"/>
        <v>* El total de actividades de JUNJI, Integra y MINEDUC no puede superar el Total.</v>
      </c>
      <c r="DB204" s="1436">
        <f>IF(E204&lt;AD204,1,0)</f>
        <v>1</v>
      </c>
      <c r="DC204" s="1436">
        <f>IF(E204&lt;AF204,1,0)</f>
        <v>1</v>
      </c>
      <c r="DD204" s="1436">
        <f>IF(E204&lt;AG204,1,0)</f>
        <v>1</v>
      </c>
      <c r="DE204" s="1436">
        <f>IF(E204&lt;AH204,1,0)</f>
        <v>1</v>
      </c>
      <c r="DF204" s="1436">
        <f>IF(E204&lt;AE204,1,0)</f>
        <v>1</v>
      </c>
      <c r="DG204" s="1432"/>
      <c r="DH204" s="1432"/>
    </row>
    <row r="205" spans="1:112" ht="16.350000000000001" customHeight="1" x14ac:dyDescent="0.25">
      <c r="A205" s="7520" t="s">
        <v>5254</v>
      </c>
      <c r="B205" s="9875" t="s">
        <v>1073</v>
      </c>
      <c r="C205" s="9876"/>
      <c r="D205" s="9877"/>
      <c r="E205" s="4766" t="s">
        <v>5369</v>
      </c>
      <c r="F205" s="4767" t="s">
        <v>5370</v>
      </c>
      <c r="G205" s="2930" t="s">
        <v>5371</v>
      </c>
      <c r="H205" s="3581" t="s">
        <v>5372</v>
      </c>
      <c r="I205" s="3582" t="s">
        <v>5373</v>
      </c>
      <c r="J205" s="3581" t="s">
        <v>5374</v>
      </c>
      <c r="K205" s="3582" t="s">
        <v>5375</v>
      </c>
      <c r="L205" s="3139" t="s">
        <v>5376</v>
      </c>
      <c r="M205" s="2814" t="s">
        <v>5377</v>
      </c>
      <c r="N205" s="3139" t="s">
        <v>5378</v>
      </c>
      <c r="O205" s="2814" t="s">
        <v>5379</v>
      </c>
      <c r="P205" s="3139" t="s">
        <v>5380</v>
      </c>
      <c r="Q205" s="2814" t="s">
        <v>5381</v>
      </c>
      <c r="R205" s="3139" t="s">
        <v>5382</v>
      </c>
      <c r="S205" s="2814" t="s">
        <v>5383</v>
      </c>
      <c r="T205" s="3139" t="s">
        <v>5384</v>
      </c>
      <c r="U205" s="2814" t="s">
        <v>5385</v>
      </c>
      <c r="V205" s="3586" t="s">
        <v>5386</v>
      </c>
      <c r="W205" s="3001" t="s">
        <v>5387</v>
      </c>
      <c r="X205" s="3586" t="s">
        <v>5388</v>
      </c>
      <c r="Y205" s="3001" t="s">
        <v>5389</v>
      </c>
      <c r="Z205" s="3586" t="s">
        <v>5390</v>
      </c>
      <c r="AA205" s="3001" t="s">
        <v>5391</v>
      </c>
      <c r="AB205" s="3586" t="s">
        <v>5392</v>
      </c>
      <c r="AC205" s="2066" t="s">
        <v>5393</v>
      </c>
      <c r="AD205" s="2449" t="s">
        <v>5394</v>
      </c>
      <c r="AE205" s="2922" t="s">
        <v>5395</v>
      </c>
      <c r="AF205" s="2814" t="s">
        <v>5396</v>
      </c>
      <c r="AG205" s="2814" t="s">
        <v>5397</v>
      </c>
      <c r="AH205" s="2814" t="s">
        <v>5398</v>
      </c>
      <c r="AI205" s="1496" t="str">
        <f>$CB205&amp;$CC205&amp;$CD205&amp;$CE205&amp;$CF205&amp;$CG205&amp;$CH205</f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M205" s="1438"/>
      <c r="CB205" s="1435" t="str">
        <f t="shared" si="124"/>
        <v xml:space="preserve">* El número de actividades en usuarios en situacion de discapacidad NO DEBE ser mayor al total. </v>
      </c>
      <c r="CC205" s="1435" t="str">
        <f t="shared" si="125"/>
        <v xml:space="preserve">* El número de actividades en usuarios JUNJI NO DEBE ser mayor al total. </v>
      </c>
      <c r="CD205" s="1435" t="str">
        <f t="shared" si="126"/>
        <v xml:space="preserve">* El número de actividades en usuarios INTEGRA NO DEBE ser mayor al total. </v>
      </c>
      <c r="CE205" s="1435" t="str">
        <f t="shared" si="127"/>
        <v xml:space="preserve">* El número de actividades en usuarios MINEDUC NO DEBE ser mayor al total. </v>
      </c>
      <c r="CF205" s="1435" t="str">
        <f t="shared" si="128"/>
        <v>* El total de actividades de JUNJI, Integra y MINEDUC no puede superar el Total.</v>
      </c>
      <c r="DB205" s="1436">
        <f>IF(E205&lt;AD205,1,0)</f>
        <v>1</v>
      </c>
      <c r="DC205" s="1436">
        <f>IF(E205&lt;AF205,1,0)</f>
        <v>1</v>
      </c>
      <c r="DD205" s="1436">
        <f>IF(E205&lt;AG205,1,0)</f>
        <v>1</v>
      </c>
      <c r="DE205" s="1436">
        <f>IF(E205&lt;AH205,1,0)</f>
        <v>1</v>
      </c>
      <c r="DF205" s="1436">
        <f>IF(E205&lt;AE205,1,0)</f>
        <v>1</v>
      </c>
      <c r="DG205" s="1432"/>
      <c r="DH205" s="1432"/>
    </row>
    <row r="206" spans="1:112" ht="16.350000000000001" customHeight="1" x14ac:dyDescent="0.25">
      <c r="A206" s="7520" t="s">
        <v>5255</v>
      </c>
      <c r="B206" s="9862" t="s">
        <v>1072</v>
      </c>
      <c r="C206" s="9874"/>
      <c r="D206" s="9863"/>
      <c r="E206" s="4766" t="s">
        <v>5369</v>
      </c>
      <c r="F206" s="4767" t="s">
        <v>5370</v>
      </c>
      <c r="G206" s="2931" t="s">
        <v>5371</v>
      </c>
      <c r="H206" s="2846" t="s">
        <v>5372</v>
      </c>
      <c r="I206" s="2843" t="s">
        <v>5373</v>
      </c>
      <c r="J206" s="2846" t="s">
        <v>5374</v>
      </c>
      <c r="K206" s="2843" t="s">
        <v>5375</v>
      </c>
      <c r="L206" s="2822" t="s">
        <v>5376</v>
      </c>
      <c r="M206" s="2826" t="s">
        <v>5377</v>
      </c>
      <c r="N206" s="2822" t="s">
        <v>5378</v>
      </c>
      <c r="O206" s="2826" t="s">
        <v>5379</v>
      </c>
      <c r="P206" s="2822" t="s">
        <v>5380</v>
      </c>
      <c r="Q206" s="2826" t="s">
        <v>5381</v>
      </c>
      <c r="R206" s="2822" t="s">
        <v>5382</v>
      </c>
      <c r="S206" s="2826" t="s">
        <v>5383</v>
      </c>
      <c r="T206" s="2822" t="s">
        <v>5384</v>
      </c>
      <c r="U206" s="2826" t="s">
        <v>5385</v>
      </c>
      <c r="V206" s="4768" t="s">
        <v>5386</v>
      </c>
      <c r="W206" s="3058" t="s">
        <v>5387</v>
      </c>
      <c r="X206" s="4768" t="s">
        <v>5388</v>
      </c>
      <c r="Y206" s="3058" t="s">
        <v>5389</v>
      </c>
      <c r="Z206" s="4768" t="s">
        <v>5390</v>
      </c>
      <c r="AA206" s="3058" t="s">
        <v>5391</v>
      </c>
      <c r="AB206" s="4768" t="s">
        <v>5392</v>
      </c>
      <c r="AC206" s="4769" t="s">
        <v>5393</v>
      </c>
      <c r="AD206" s="4716" t="s">
        <v>5394</v>
      </c>
      <c r="AE206" s="2922" t="s">
        <v>5395</v>
      </c>
      <c r="AF206" s="2826" t="s">
        <v>5396</v>
      </c>
      <c r="AG206" s="2826" t="s">
        <v>5397</v>
      </c>
      <c r="AH206" s="2826" t="s">
        <v>5398</v>
      </c>
      <c r="AI206" s="1496" t="str">
        <f>$CB206&amp;$CC206&amp;$CD206&amp;$CE206&amp;$CF206&amp;$CG206&amp;$CH206</f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M206" s="1438"/>
      <c r="CB206" s="1435" t="str">
        <f t="shared" si="124"/>
        <v xml:space="preserve">* El número de actividades en usuarios en situacion de discapacidad NO DEBE ser mayor al total. </v>
      </c>
      <c r="CC206" s="1435" t="str">
        <f t="shared" si="125"/>
        <v xml:space="preserve">* El número de actividades en usuarios JUNJI NO DEBE ser mayor al total. </v>
      </c>
      <c r="CD206" s="1435" t="str">
        <f t="shared" si="126"/>
        <v xml:space="preserve">* El número de actividades en usuarios INTEGRA NO DEBE ser mayor al total. </v>
      </c>
      <c r="CE206" s="1435" t="str">
        <f t="shared" si="127"/>
        <v xml:space="preserve">* El número de actividades en usuarios MINEDUC NO DEBE ser mayor al total. </v>
      </c>
      <c r="CF206" s="1435" t="str">
        <f t="shared" si="128"/>
        <v>* El total de actividades de JUNJI, Integra y MINEDUC no puede superar el Total.</v>
      </c>
      <c r="DB206" s="1436">
        <f>IF(E206&lt;AD206,1,0)</f>
        <v>1</v>
      </c>
      <c r="DC206" s="1436">
        <f>IF(E206&lt;AF206,1,0)</f>
        <v>1</v>
      </c>
      <c r="DD206" s="1436">
        <f>IF(E206&lt;AG206,1,0)</f>
        <v>1</v>
      </c>
      <c r="DE206" s="1436">
        <f>IF(E206&lt;AH206,1,0)</f>
        <v>1</v>
      </c>
      <c r="DF206" s="1436">
        <f>IF(E206&lt;AE206,1,0)</f>
        <v>1</v>
      </c>
      <c r="DG206" s="1432"/>
      <c r="DH206" s="1432"/>
    </row>
    <row r="207" spans="1:112" ht="16.350000000000001" customHeight="1" x14ac:dyDescent="0.25">
      <c r="A207" s="7520" t="s">
        <v>5256</v>
      </c>
      <c r="B207" s="9837" t="s">
        <v>1071</v>
      </c>
      <c r="C207" s="9838"/>
      <c r="D207" s="9838"/>
      <c r="E207" s="4770" t="s">
        <v>5369</v>
      </c>
      <c r="F207" s="4771" t="s">
        <v>5370</v>
      </c>
      <c r="G207" s="4772" t="s">
        <v>5371</v>
      </c>
      <c r="H207" s="3587" t="s">
        <v>5372</v>
      </c>
      <c r="I207" s="4600" t="s">
        <v>5373</v>
      </c>
      <c r="J207" s="4599" t="s">
        <v>5374</v>
      </c>
      <c r="K207" s="4600" t="s">
        <v>5375</v>
      </c>
      <c r="L207" s="4599" t="s">
        <v>5376</v>
      </c>
      <c r="M207" s="4600" t="s">
        <v>5377</v>
      </c>
      <c r="N207" s="4599" t="s">
        <v>5378</v>
      </c>
      <c r="O207" s="4600" t="s">
        <v>5379</v>
      </c>
      <c r="P207" s="4599" t="s">
        <v>5380</v>
      </c>
      <c r="Q207" s="4600" t="s">
        <v>5381</v>
      </c>
      <c r="R207" s="4599" t="s">
        <v>5382</v>
      </c>
      <c r="S207" s="4600" t="s">
        <v>5383</v>
      </c>
      <c r="T207" s="4599" t="s">
        <v>5384</v>
      </c>
      <c r="U207" s="4600" t="s">
        <v>5385</v>
      </c>
      <c r="V207" s="4599" t="s">
        <v>5386</v>
      </c>
      <c r="W207" s="4600" t="s">
        <v>5387</v>
      </c>
      <c r="X207" s="4599" t="s">
        <v>5388</v>
      </c>
      <c r="Y207" s="4600" t="s">
        <v>5389</v>
      </c>
      <c r="Z207" s="4599" t="s">
        <v>5390</v>
      </c>
      <c r="AA207" s="4600" t="s">
        <v>5391</v>
      </c>
      <c r="AB207" s="4599" t="s">
        <v>5392</v>
      </c>
      <c r="AC207" s="3588" t="s">
        <v>5393</v>
      </c>
      <c r="AD207" s="3589" t="s">
        <v>5394</v>
      </c>
      <c r="AE207" s="3300" t="s">
        <v>5395</v>
      </c>
      <c r="AF207" s="7188" t="s">
        <v>5396</v>
      </c>
      <c r="AG207" s="7188" t="s">
        <v>5397</v>
      </c>
      <c r="AH207" s="7188" t="s">
        <v>5398</v>
      </c>
      <c r="AI207" s="1496"/>
      <c r="BM207" s="1438"/>
      <c r="CB207" s="1435" t="str">
        <f t="shared" si="124"/>
        <v/>
      </c>
      <c r="CC207" s="1435" t="str">
        <f t="shared" si="125"/>
        <v/>
      </c>
      <c r="CD207" s="1435" t="str">
        <f t="shared" si="126"/>
        <v/>
      </c>
      <c r="CE207" s="1435" t="str">
        <f t="shared" si="127"/>
        <v/>
      </c>
      <c r="CF207" s="1435" t="str">
        <f t="shared" si="128"/>
        <v/>
      </c>
      <c r="DB207" s="1436"/>
      <c r="DC207" s="1436"/>
      <c r="DD207" s="1436"/>
      <c r="DE207" s="1436"/>
      <c r="DF207" s="1436"/>
      <c r="DG207" s="1432"/>
      <c r="DH207" s="1432"/>
    </row>
    <row r="208" spans="1:112" ht="16.350000000000001" customHeight="1" x14ac:dyDescent="0.25">
      <c r="A208" s="7520" t="s">
        <v>5257</v>
      </c>
      <c r="B208" s="9780" t="s">
        <v>2123</v>
      </c>
      <c r="C208" s="9780"/>
      <c r="D208" s="9780"/>
      <c r="E208" s="4773" t="s">
        <v>5369</v>
      </c>
      <c r="F208" s="4774" t="s">
        <v>5370</v>
      </c>
      <c r="G208" s="4775" t="s">
        <v>5371</v>
      </c>
      <c r="H208" s="3235" t="s">
        <v>5372</v>
      </c>
      <c r="I208" s="3202" t="s">
        <v>5373</v>
      </c>
      <c r="J208" s="3235" t="s">
        <v>5374</v>
      </c>
      <c r="K208" s="3202" t="s">
        <v>5375</v>
      </c>
      <c r="L208" s="3235" t="s">
        <v>5376</v>
      </c>
      <c r="M208" s="3202" t="s">
        <v>5377</v>
      </c>
      <c r="N208" s="3235" t="s">
        <v>5378</v>
      </c>
      <c r="O208" s="3202" t="s">
        <v>5379</v>
      </c>
      <c r="P208" s="3235" t="s">
        <v>5380</v>
      </c>
      <c r="Q208" s="3202" t="s">
        <v>5381</v>
      </c>
      <c r="R208" s="3235" t="s">
        <v>5382</v>
      </c>
      <c r="S208" s="3202" t="s">
        <v>5383</v>
      </c>
      <c r="T208" s="3235" t="s">
        <v>5384</v>
      </c>
      <c r="U208" s="3202" t="s">
        <v>5385</v>
      </c>
      <c r="V208" s="3235" t="s">
        <v>5386</v>
      </c>
      <c r="W208" s="3202" t="s">
        <v>5387</v>
      </c>
      <c r="X208" s="3235" t="s">
        <v>5388</v>
      </c>
      <c r="Y208" s="3202" t="s">
        <v>5389</v>
      </c>
      <c r="Z208" s="3235" t="s">
        <v>5390</v>
      </c>
      <c r="AA208" s="3202" t="s">
        <v>5391</v>
      </c>
      <c r="AB208" s="3235" t="s">
        <v>5392</v>
      </c>
      <c r="AC208" s="3590" t="s">
        <v>5393</v>
      </c>
      <c r="AD208" s="3591" t="s">
        <v>5394</v>
      </c>
      <c r="AE208" s="3233" t="s">
        <v>5395</v>
      </c>
      <c r="AF208" s="7189" t="s">
        <v>5396</v>
      </c>
      <c r="AG208" s="7189" t="s">
        <v>5397</v>
      </c>
      <c r="AH208" s="7189" t="s">
        <v>5398</v>
      </c>
      <c r="AI208" s="1496"/>
      <c r="BM208" s="1438"/>
      <c r="CB208" s="1435" t="str">
        <f t="shared" si="124"/>
        <v/>
      </c>
      <c r="CC208" s="1435" t="str">
        <f t="shared" si="125"/>
        <v/>
      </c>
      <c r="CD208" s="1435" t="str">
        <f t="shared" si="126"/>
        <v/>
      </c>
      <c r="CE208" s="1435" t="str">
        <f t="shared" si="127"/>
        <v/>
      </c>
      <c r="CF208" s="1435" t="str">
        <f t="shared" si="128"/>
        <v/>
      </c>
      <c r="DB208" s="1436"/>
      <c r="DC208" s="1436"/>
      <c r="DD208" s="1436"/>
      <c r="DE208" s="1436"/>
      <c r="DF208" s="1436"/>
      <c r="DG208" s="1432"/>
      <c r="DH208" s="1432"/>
    </row>
    <row r="209" spans="1:112" ht="28.5" customHeight="1" x14ac:dyDescent="0.25">
      <c r="B209" s="133" t="s">
        <v>1070</v>
      </c>
      <c r="C209" s="3592"/>
      <c r="D209" s="689"/>
      <c r="E209" s="214"/>
      <c r="F209" s="214"/>
      <c r="G209" s="239"/>
      <c r="H209" s="239"/>
      <c r="I209" s="239"/>
      <c r="J209" s="235"/>
      <c r="K209" s="3593"/>
      <c r="L209" s="3594"/>
      <c r="M209" s="235"/>
      <c r="N209" s="696"/>
      <c r="O209" s="696"/>
      <c r="AC209" s="290"/>
      <c r="AD209" s="290"/>
      <c r="AE209" s="290"/>
      <c r="AF209" s="290"/>
      <c r="AG209" s="290"/>
      <c r="AH209" s="290"/>
      <c r="AI209" s="290"/>
      <c r="AJ209" s="290"/>
      <c r="AK209" s="290"/>
      <c r="AL209" s="290"/>
      <c r="AM209" s="806"/>
      <c r="AN209" s="806"/>
      <c r="AO209" s="806"/>
      <c r="AP209" s="806"/>
      <c r="AQ209" s="806"/>
      <c r="AR209" s="806"/>
      <c r="AS209" s="806"/>
      <c r="AT209" s="290"/>
      <c r="AU209" s="290"/>
      <c r="BY209" s="165"/>
      <c r="BZ209" s="165"/>
      <c r="CB209" s="1435"/>
      <c r="CC209" s="1435"/>
      <c r="CD209" s="1435"/>
      <c r="CE209" s="1435"/>
      <c r="CF209" s="1435"/>
      <c r="CG209" s="1435"/>
      <c r="CH209" s="1435"/>
      <c r="DB209" s="1436"/>
      <c r="DC209" s="1436"/>
      <c r="DD209" s="1436"/>
      <c r="DE209" s="1436"/>
      <c r="DF209" s="1436"/>
      <c r="DG209" s="1436"/>
      <c r="DH209" s="1436"/>
    </row>
    <row r="210" spans="1:112" ht="16.350000000000001" customHeight="1" x14ac:dyDescent="0.25">
      <c r="B210" s="9762" t="s">
        <v>41</v>
      </c>
      <c r="C210" s="9046"/>
      <c r="D210" s="9678"/>
      <c r="E210" s="9783" t="s">
        <v>24</v>
      </c>
      <c r="F210" s="9533"/>
      <c r="G210" s="9881"/>
      <c r="H210" s="9883" t="s">
        <v>1063</v>
      </c>
      <c r="I210" s="9749"/>
      <c r="J210" s="9749"/>
      <c r="K210" s="9749"/>
      <c r="L210" s="9749"/>
      <c r="M210" s="9749"/>
      <c r="N210" s="9749"/>
      <c r="O210" s="9749"/>
      <c r="P210" s="9749"/>
      <c r="Q210" s="9749"/>
      <c r="R210" s="9749"/>
      <c r="S210" s="9749"/>
      <c r="T210" s="9749"/>
      <c r="U210" s="9749"/>
      <c r="V210" s="9749"/>
      <c r="W210" s="9749"/>
      <c r="X210" s="9749"/>
      <c r="Y210" s="9749"/>
      <c r="Z210" s="9749"/>
      <c r="AA210" s="9749"/>
      <c r="AB210" s="9749"/>
      <c r="AC210" s="9749"/>
      <c r="AD210" s="9749"/>
      <c r="AE210" s="9749"/>
      <c r="AF210" s="9749"/>
      <c r="AG210" s="9749"/>
      <c r="AH210" s="9749"/>
      <c r="AI210" s="9749"/>
      <c r="AJ210" s="9749"/>
      <c r="AK210" s="9749"/>
      <c r="AL210" s="9749"/>
      <c r="AM210" s="9749"/>
      <c r="AN210" s="9749"/>
      <c r="AO210" s="9749"/>
      <c r="AP210" s="9749"/>
      <c r="AQ210" s="9748"/>
      <c r="AR210" s="806"/>
      <c r="AS210" s="806"/>
      <c r="AT210" s="290"/>
      <c r="AU210" s="290"/>
      <c r="BY210" s="165"/>
      <c r="BZ210" s="165"/>
      <c r="CB210" s="1435"/>
      <c r="CC210" s="1435"/>
      <c r="CD210" s="1435"/>
      <c r="CE210" s="1435"/>
      <c r="CF210" s="1435"/>
      <c r="CG210" s="1435"/>
      <c r="CH210" s="1435"/>
      <c r="DB210" s="1436"/>
      <c r="DC210" s="1436"/>
      <c r="DD210" s="1436"/>
      <c r="DE210" s="1436"/>
      <c r="DF210" s="1436"/>
      <c r="DG210" s="1436"/>
      <c r="DH210" s="1436"/>
    </row>
    <row r="211" spans="1:112" ht="32.1" customHeight="1" x14ac:dyDescent="0.25">
      <c r="B211" s="9667"/>
      <c r="C211" s="9696"/>
      <c r="D211" s="9737"/>
      <c r="E211" s="9809"/>
      <c r="F211" s="9670"/>
      <c r="G211" s="9882"/>
      <c r="H211" s="9745" t="s">
        <v>3662</v>
      </c>
      <c r="I211" s="9746"/>
      <c r="J211" s="9747" t="s">
        <v>1079</v>
      </c>
      <c r="K211" s="9748"/>
      <c r="L211" s="9749" t="s">
        <v>1078</v>
      </c>
      <c r="M211" s="9748"/>
      <c r="N211" s="9747" t="s">
        <v>3663</v>
      </c>
      <c r="O211" s="9748"/>
      <c r="P211" s="9747" t="s">
        <v>1077</v>
      </c>
      <c r="Q211" s="9748"/>
      <c r="R211" s="9747" t="s">
        <v>1076</v>
      </c>
      <c r="S211" s="9748"/>
      <c r="T211" s="9747" t="s">
        <v>1047</v>
      </c>
      <c r="U211" s="9748"/>
      <c r="V211" s="9747" t="s">
        <v>1046</v>
      </c>
      <c r="W211" s="9748"/>
      <c r="X211" s="9747" t="s">
        <v>3664</v>
      </c>
      <c r="Y211" s="9748"/>
      <c r="Z211" s="9747" t="s">
        <v>48</v>
      </c>
      <c r="AA211" s="9750"/>
      <c r="AB211" s="9747" t="s">
        <v>49</v>
      </c>
      <c r="AC211" s="9750"/>
      <c r="AD211" s="9747" t="s">
        <v>3665</v>
      </c>
      <c r="AE211" s="9750"/>
      <c r="AF211" s="9747" t="s">
        <v>3666</v>
      </c>
      <c r="AG211" s="9750"/>
      <c r="AH211" s="9747" t="s">
        <v>3667</v>
      </c>
      <c r="AI211" s="9750"/>
      <c r="AJ211" s="9747" t="s">
        <v>3668</v>
      </c>
      <c r="AK211" s="9750"/>
      <c r="AL211" s="9747" t="s">
        <v>2132</v>
      </c>
      <c r="AM211" s="9750"/>
      <c r="AN211" s="9747" t="s">
        <v>2133</v>
      </c>
      <c r="AO211" s="9750"/>
      <c r="AP211" s="9747" t="s">
        <v>2131</v>
      </c>
      <c r="AQ211" s="9750"/>
      <c r="AR211" s="806"/>
      <c r="AS211" s="806"/>
      <c r="AT211" s="290"/>
      <c r="AU211" s="290"/>
      <c r="BW211" s="1430"/>
      <c r="BX211" s="1430"/>
      <c r="CB211" s="1435"/>
      <c r="CC211" s="1435"/>
      <c r="CD211" s="1435"/>
      <c r="CE211" s="1435"/>
      <c r="CF211" s="1435"/>
      <c r="CG211" s="1435"/>
      <c r="CH211" s="1435"/>
      <c r="DB211" s="1436"/>
      <c r="DC211" s="1436"/>
      <c r="DD211" s="1436"/>
      <c r="DE211" s="1436"/>
      <c r="DF211" s="1436"/>
      <c r="DG211" s="1436"/>
      <c r="DH211" s="1436"/>
    </row>
    <row r="212" spans="1:112" ht="16.350000000000001" customHeight="1" x14ac:dyDescent="0.25">
      <c r="B212" s="9763"/>
      <c r="C212" s="9738"/>
      <c r="D212" s="9739"/>
      <c r="E212" s="4776" t="s">
        <v>42</v>
      </c>
      <c r="F212" s="3752" t="s">
        <v>17</v>
      </c>
      <c r="G212" s="3595" t="s">
        <v>18</v>
      </c>
      <c r="H212" s="3673" t="s">
        <v>17</v>
      </c>
      <c r="I212" s="4545" t="s">
        <v>18</v>
      </c>
      <c r="J212" s="3673" t="s">
        <v>17</v>
      </c>
      <c r="K212" s="4545" t="s">
        <v>18</v>
      </c>
      <c r="L212" s="3673" t="s">
        <v>17</v>
      </c>
      <c r="M212" s="4545" t="s">
        <v>18</v>
      </c>
      <c r="N212" s="3673" t="s">
        <v>17</v>
      </c>
      <c r="O212" s="4545" t="s">
        <v>18</v>
      </c>
      <c r="P212" s="3673" t="s">
        <v>17</v>
      </c>
      <c r="Q212" s="4545" t="s">
        <v>18</v>
      </c>
      <c r="R212" s="3673" t="s">
        <v>17</v>
      </c>
      <c r="S212" s="4545" t="s">
        <v>18</v>
      </c>
      <c r="T212" s="3673" t="s">
        <v>17</v>
      </c>
      <c r="U212" s="4545" t="s">
        <v>18</v>
      </c>
      <c r="V212" s="3673" t="s">
        <v>17</v>
      </c>
      <c r="W212" s="4545" t="s">
        <v>18</v>
      </c>
      <c r="X212" s="3673" t="s">
        <v>17</v>
      </c>
      <c r="Y212" s="4545" t="s">
        <v>18</v>
      </c>
      <c r="Z212" s="3673" t="s">
        <v>17</v>
      </c>
      <c r="AA212" s="4545" t="s">
        <v>18</v>
      </c>
      <c r="AB212" s="3673" t="s">
        <v>17</v>
      </c>
      <c r="AC212" s="4545" t="s">
        <v>18</v>
      </c>
      <c r="AD212" s="3673" t="s">
        <v>17</v>
      </c>
      <c r="AE212" s="4545" t="s">
        <v>18</v>
      </c>
      <c r="AF212" s="3673" t="s">
        <v>17</v>
      </c>
      <c r="AG212" s="4545" t="s">
        <v>18</v>
      </c>
      <c r="AH212" s="3673" t="s">
        <v>17</v>
      </c>
      <c r="AI212" s="4545" t="s">
        <v>18</v>
      </c>
      <c r="AJ212" s="3673" t="s">
        <v>17</v>
      </c>
      <c r="AK212" s="4545" t="s">
        <v>18</v>
      </c>
      <c r="AL212" s="3673" t="s">
        <v>17</v>
      </c>
      <c r="AM212" s="4545" t="s">
        <v>18</v>
      </c>
      <c r="AN212" s="3673" t="s">
        <v>17</v>
      </c>
      <c r="AO212" s="4545" t="s">
        <v>18</v>
      </c>
      <c r="AP212" s="3673" t="s">
        <v>17</v>
      </c>
      <c r="AQ212" s="4545" t="s">
        <v>18</v>
      </c>
      <c r="BW212" s="1430"/>
      <c r="BX212" s="1430"/>
      <c r="CB212" s="1435"/>
      <c r="CC212" s="1435"/>
      <c r="CD212" s="1435"/>
      <c r="CE212" s="1435"/>
      <c r="CF212" s="1435"/>
      <c r="CG212" s="1435"/>
      <c r="CH212" s="1435"/>
      <c r="DB212" s="1436"/>
      <c r="DC212" s="1436"/>
      <c r="DD212" s="1436"/>
      <c r="DE212" s="1436"/>
      <c r="DF212" s="1436"/>
      <c r="DG212" s="1436"/>
      <c r="DH212" s="1436"/>
    </row>
    <row r="213" spans="1:112" ht="17.25" customHeight="1" x14ac:dyDescent="0.25">
      <c r="A213" s="7520" t="s">
        <v>5258</v>
      </c>
      <c r="B213" s="9766" t="s">
        <v>1069</v>
      </c>
      <c r="C213" s="9767"/>
      <c r="D213" s="9889"/>
      <c r="E213" s="4686" t="s">
        <v>5369</v>
      </c>
      <c r="F213" s="3735" t="s">
        <v>5370</v>
      </c>
      <c r="G213" s="7065" t="s">
        <v>5371</v>
      </c>
      <c r="H213" s="4777" t="s">
        <v>5372</v>
      </c>
      <c r="I213" s="4560" t="s">
        <v>5373</v>
      </c>
      <c r="J213" s="4500" t="s">
        <v>5374</v>
      </c>
      <c r="K213" s="4560" t="s">
        <v>5375</v>
      </c>
      <c r="L213" s="4500" t="s">
        <v>5376</v>
      </c>
      <c r="M213" s="4560" t="s">
        <v>5377</v>
      </c>
      <c r="N213" s="4500" t="s">
        <v>5378</v>
      </c>
      <c r="O213" s="4560" t="s">
        <v>5379</v>
      </c>
      <c r="P213" s="4500" t="s">
        <v>5380</v>
      </c>
      <c r="Q213" s="4560" t="s">
        <v>5381</v>
      </c>
      <c r="R213" s="4500" t="s">
        <v>5382</v>
      </c>
      <c r="S213" s="4560" t="s">
        <v>5383</v>
      </c>
      <c r="T213" s="4500" t="s">
        <v>5384</v>
      </c>
      <c r="U213" s="4560" t="s">
        <v>5385</v>
      </c>
      <c r="V213" s="4500" t="s">
        <v>5386</v>
      </c>
      <c r="W213" s="4560" t="s">
        <v>5387</v>
      </c>
      <c r="X213" s="4687" t="s">
        <v>5388</v>
      </c>
      <c r="Y213" s="4560" t="s">
        <v>5389</v>
      </c>
      <c r="Z213" s="4500" t="s">
        <v>5390</v>
      </c>
      <c r="AA213" s="4560" t="s">
        <v>5391</v>
      </c>
      <c r="AB213" s="4500" t="s">
        <v>5392</v>
      </c>
      <c r="AC213" s="4560" t="s">
        <v>5393</v>
      </c>
      <c r="AD213" s="4500" t="s">
        <v>5394</v>
      </c>
      <c r="AE213" s="4560" t="s">
        <v>5395</v>
      </c>
      <c r="AF213" s="4500" t="s">
        <v>5396</v>
      </c>
      <c r="AG213" s="4560" t="s">
        <v>5397</v>
      </c>
      <c r="AH213" s="4500" t="s">
        <v>5398</v>
      </c>
      <c r="AI213" s="4560" t="s">
        <v>5399</v>
      </c>
      <c r="AJ213" s="4500" t="s">
        <v>5400</v>
      </c>
      <c r="AK213" s="4560" t="s">
        <v>5401</v>
      </c>
      <c r="AL213" s="4687" t="s">
        <v>5402</v>
      </c>
      <c r="AM213" s="4560" t="s">
        <v>5403</v>
      </c>
      <c r="AN213" s="4500" t="s">
        <v>5404</v>
      </c>
      <c r="AO213" s="4560" t="s">
        <v>5405</v>
      </c>
      <c r="AP213" s="4500" t="s">
        <v>5406</v>
      </c>
      <c r="AQ213" s="4560" t="s">
        <v>5407</v>
      </c>
      <c r="BW213" s="1430"/>
      <c r="BX213" s="1430"/>
      <c r="CB213" s="1435"/>
      <c r="CC213" s="1435"/>
      <c r="CD213" s="1435"/>
      <c r="CE213" s="1435"/>
      <c r="CF213" s="1435"/>
      <c r="CG213" s="1435"/>
      <c r="CH213" s="1435"/>
      <c r="DB213" s="1436"/>
      <c r="DC213" s="1436"/>
      <c r="DD213" s="1436"/>
      <c r="DE213" s="1436"/>
      <c r="DF213" s="1436"/>
      <c r="DG213" s="1436"/>
      <c r="DH213" s="1436"/>
    </row>
    <row r="214" spans="1:112" ht="16.350000000000001" customHeight="1" x14ac:dyDescent="0.25">
      <c r="A214" s="7520" t="s">
        <v>5259</v>
      </c>
      <c r="B214" s="9772" t="s">
        <v>1068</v>
      </c>
      <c r="C214" s="9773"/>
      <c r="D214" s="9774"/>
      <c r="E214" s="2908" t="s">
        <v>5369</v>
      </c>
      <c r="F214" s="2922" t="s">
        <v>5370</v>
      </c>
      <c r="G214" s="7066" t="s">
        <v>5371</v>
      </c>
      <c r="H214" s="1858" t="s">
        <v>5372</v>
      </c>
      <c r="I214" s="1844" t="s">
        <v>5373</v>
      </c>
      <c r="J214" s="2852" t="s">
        <v>5374</v>
      </c>
      <c r="K214" s="1844" t="s">
        <v>5375</v>
      </c>
      <c r="L214" s="2852" t="s">
        <v>5376</v>
      </c>
      <c r="M214" s="1844" t="s">
        <v>5377</v>
      </c>
      <c r="N214" s="2852" t="s">
        <v>5378</v>
      </c>
      <c r="O214" s="1844" t="s">
        <v>5379</v>
      </c>
      <c r="P214" s="2852" t="s">
        <v>5380</v>
      </c>
      <c r="Q214" s="1844" t="s">
        <v>5381</v>
      </c>
      <c r="R214" s="2852" t="s">
        <v>5382</v>
      </c>
      <c r="S214" s="1844" t="s">
        <v>5383</v>
      </c>
      <c r="T214" s="2852" t="s">
        <v>5384</v>
      </c>
      <c r="U214" s="1844" t="s">
        <v>5385</v>
      </c>
      <c r="V214" s="2852" t="s">
        <v>5386</v>
      </c>
      <c r="W214" s="1844" t="s">
        <v>5387</v>
      </c>
      <c r="X214" s="2995" t="s">
        <v>5388</v>
      </c>
      <c r="Y214" s="1844" t="s">
        <v>5389</v>
      </c>
      <c r="Z214" s="2852" t="s">
        <v>5390</v>
      </c>
      <c r="AA214" s="1844" t="s">
        <v>5391</v>
      </c>
      <c r="AB214" s="2852" t="s">
        <v>5392</v>
      </c>
      <c r="AC214" s="1844" t="s">
        <v>5393</v>
      </c>
      <c r="AD214" s="2852" t="s">
        <v>5394</v>
      </c>
      <c r="AE214" s="1844" t="s">
        <v>5395</v>
      </c>
      <c r="AF214" s="2852" t="s">
        <v>5396</v>
      </c>
      <c r="AG214" s="1844" t="s">
        <v>5397</v>
      </c>
      <c r="AH214" s="2852" t="s">
        <v>5398</v>
      </c>
      <c r="AI214" s="1844" t="s">
        <v>5399</v>
      </c>
      <c r="AJ214" s="2852" t="s">
        <v>5400</v>
      </c>
      <c r="AK214" s="1844" t="s">
        <v>5401</v>
      </c>
      <c r="AL214" s="2995" t="s">
        <v>5402</v>
      </c>
      <c r="AM214" s="1844" t="s">
        <v>5403</v>
      </c>
      <c r="AN214" s="2852" t="s">
        <v>5404</v>
      </c>
      <c r="AO214" s="1844" t="s">
        <v>5405</v>
      </c>
      <c r="AP214" s="2852" t="s">
        <v>5406</v>
      </c>
      <c r="AQ214" s="1844" t="s">
        <v>5407</v>
      </c>
      <c r="BW214" s="1430"/>
      <c r="BX214" s="1430"/>
      <c r="CB214" s="1435"/>
      <c r="CC214" s="1435"/>
      <c r="CD214" s="1435"/>
      <c r="CE214" s="1435"/>
      <c r="CF214" s="1435"/>
      <c r="CG214" s="1435"/>
      <c r="CH214" s="1435"/>
      <c r="DB214" s="1436"/>
      <c r="DC214" s="1436"/>
      <c r="DD214" s="1436"/>
      <c r="DE214" s="1436"/>
      <c r="DF214" s="1436"/>
      <c r="DG214" s="1436"/>
      <c r="DH214" s="1436"/>
    </row>
    <row r="215" spans="1:112" ht="16.350000000000001" customHeight="1" x14ac:dyDescent="0.25">
      <c r="A215" s="7520" t="s">
        <v>5260</v>
      </c>
      <c r="B215" s="9769" t="s">
        <v>1067</v>
      </c>
      <c r="C215" s="9770"/>
      <c r="D215" s="9771"/>
      <c r="E215" s="2908" t="s">
        <v>5369</v>
      </c>
      <c r="F215" s="2922" t="s">
        <v>5370</v>
      </c>
      <c r="G215" s="7066" t="s">
        <v>5371</v>
      </c>
      <c r="H215" s="1858" t="s">
        <v>5372</v>
      </c>
      <c r="I215" s="1844" t="s">
        <v>5373</v>
      </c>
      <c r="J215" s="2852" t="s">
        <v>5374</v>
      </c>
      <c r="K215" s="1844" t="s">
        <v>5375</v>
      </c>
      <c r="L215" s="2852" t="s">
        <v>5376</v>
      </c>
      <c r="M215" s="1844" t="s">
        <v>5377</v>
      </c>
      <c r="N215" s="2852" t="s">
        <v>5378</v>
      </c>
      <c r="O215" s="1844" t="s">
        <v>5379</v>
      </c>
      <c r="P215" s="2852" t="s">
        <v>5380</v>
      </c>
      <c r="Q215" s="1844" t="s">
        <v>5381</v>
      </c>
      <c r="R215" s="2852" t="s">
        <v>5382</v>
      </c>
      <c r="S215" s="1844" t="s">
        <v>5383</v>
      </c>
      <c r="T215" s="2852" t="s">
        <v>5384</v>
      </c>
      <c r="U215" s="1844" t="s">
        <v>5385</v>
      </c>
      <c r="V215" s="2852" t="s">
        <v>5386</v>
      </c>
      <c r="W215" s="1844" t="s">
        <v>5387</v>
      </c>
      <c r="X215" s="2995" t="s">
        <v>5388</v>
      </c>
      <c r="Y215" s="1844" t="s">
        <v>5389</v>
      </c>
      <c r="Z215" s="2852" t="s">
        <v>5390</v>
      </c>
      <c r="AA215" s="1844" t="s">
        <v>5391</v>
      </c>
      <c r="AB215" s="2852" t="s">
        <v>5392</v>
      </c>
      <c r="AC215" s="1844" t="s">
        <v>5393</v>
      </c>
      <c r="AD215" s="2852" t="s">
        <v>5394</v>
      </c>
      <c r="AE215" s="1844" t="s">
        <v>5395</v>
      </c>
      <c r="AF215" s="2852" t="s">
        <v>5396</v>
      </c>
      <c r="AG215" s="1844" t="s">
        <v>5397</v>
      </c>
      <c r="AH215" s="2852" t="s">
        <v>5398</v>
      </c>
      <c r="AI215" s="1844" t="s">
        <v>5399</v>
      </c>
      <c r="AJ215" s="2852" t="s">
        <v>5400</v>
      </c>
      <c r="AK215" s="1844" t="s">
        <v>5401</v>
      </c>
      <c r="AL215" s="2995" t="s">
        <v>5402</v>
      </c>
      <c r="AM215" s="1844" t="s">
        <v>5403</v>
      </c>
      <c r="AN215" s="2852" t="s">
        <v>5404</v>
      </c>
      <c r="AO215" s="1844" t="s">
        <v>5405</v>
      </c>
      <c r="AP215" s="2852" t="s">
        <v>5406</v>
      </c>
      <c r="AQ215" s="1844" t="s">
        <v>5407</v>
      </c>
      <c r="BW215" s="1430"/>
      <c r="BX215" s="1430"/>
      <c r="CB215" s="1435"/>
      <c r="CC215" s="1435"/>
      <c r="CD215" s="1435"/>
      <c r="CE215" s="1435"/>
      <c r="CF215" s="1435"/>
      <c r="CG215" s="1435"/>
      <c r="CH215" s="1435"/>
      <c r="DB215" s="1436"/>
      <c r="DC215" s="1436"/>
      <c r="DD215" s="1436"/>
      <c r="DE215" s="1436"/>
      <c r="DF215" s="1436"/>
      <c r="DG215" s="1436"/>
      <c r="DH215" s="1436"/>
    </row>
    <row r="216" spans="1:112" ht="16.350000000000001" customHeight="1" x14ac:dyDescent="0.25">
      <c r="A216" s="7665" t="s">
        <v>5261</v>
      </c>
      <c r="B216" s="9890" t="s">
        <v>1066</v>
      </c>
      <c r="C216" s="9890"/>
      <c r="D216" s="9817"/>
      <c r="E216" s="4778" t="s">
        <v>5369</v>
      </c>
      <c r="F216" s="3233" t="s">
        <v>5370</v>
      </c>
      <c r="G216" s="7067" t="s">
        <v>5371</v>
      </c>
      <c r="H216" s="2829" t="s">
        <v>5372</v>
      </c>
      <c r="I216" s="2821" t="s">
        <v>5373</v>
      </c>
      <c r="J216" s="2477" t="s">
        <v>5374</v>
      </c>
      <c r="K216" s="2821" t="s">
        <v>5375</v>
      </c>
      <c r="L216" s="2477" t="s">
        <v>5376</v>
      </c>
      <c r="M216" s="2821" t="s">
        <v>5377</v>
      </c>
      <c r="N216" s="2477" t="s">
        <v>5378</v>
      </c>
      <c r="O216" s="2821" t="s">
        <v>5379</v>
      </c>
      <c r="P216" s="2477" t="s">
        <v>5380</v>
      </c>
      <c r="Q216" s="2821" t="s">
        <v>5381</v>
      </c>
      <c r="R216" s="2477" t="s">
        <v>5382</v>
      </c>
      <c r="S216" s="2821" t="s">
        <v>5383</v>
      </c>
      <c r="T216" s="2477" t="s">
        <v>5384</v>
      </c>
      <c r="U216" s="2821" t="s">
        <v>5385</v>
      </c>
      <c r="V216" s="2477" t="s">
        <v>5386</v>
      </c>
      <c r="W216" s="2821" t="s">
        <v>5387</v>
      </c>
      <c r="X216" s="2828" t="s">
        <v>5388</v>
      </c>
      <c r="Y216" s="2821" t="s">
        <v>5389</v>
      </c>
      <c r="Z216" s="2477" t="s">
        <v>5390</v>
      </c>
      <c r="AA216" s="2821" t="s">
        <v>5391</v>
      </c>
      <c r="AB216" s="2477" t="s">
        <v>5392</v>
      </c>
      <c r="AC216" s="2821" t="s">
        <v>5393</v>
      </c>
      <c r="AD216" s="2477" t="s">
        <v>5394</v>
      </c>
      <c r="AE216" s="2821" t="s">
        <v>5395</v>
      </c>
      <c r="AF216" s="2477" t="s">
        <v>5396</v>
      </c>
      <c r="AG216" s="2821" t="s">
        <v>5397</v>
      </c>
      <c r="AH216" s="2477" t="s">
        <v>5398</v>
      </c>
      <c r="AI216" s="2821" t="s">
        <v>5399</v>
      </c>
      <c r="AJ216" s="2477" t="s">
        <v>5400</v>
      </c>
      <c r="AK216" s="2821" t="s">
        <v>5401</v>
      </c>
      <c r="AL216" s="2828" t="s">
        <v>5402</v>
      </c>
      <c r="AM216" s="2821" t="s">
        <v>5403</v>
      </c>
      <c r="AN216" s="2477" t="s">
        <v>5404</v>
      </c>
      <c r="AO216" s="2821" t="s">
        <v>5405</v>
      </c>
      <c r="AP216" s="2477" t="s">
        <v>5406</v>
      </c>
      <c r="AQ216" s="2821" t="s">
        <v>5407</v>
      </c>
      <c r="BW216" s="1430"/>
      <c r="BX216" s="1430"/>
      <c r="CB216" s="1435"/>
      <c r="CC216" s="1435"/>
      <c r="CD216" s="1435"/>
      <c r="CE216" s="1435"/>
      <c r="CF216" s="1435"/>
      <c r="CG216" s="1435"/>
      <c r="CH216" s="1435"/>
      <c r="DB216" s="1436"/>
      <c r="DC216" s="1436"/>
      <c r="DD216" s="1436"/>
      <c r="DE216" s="1436"/>
      <c r="DF216" s="1436"/>
      <c r="DG216" s="1436"/>
      <c r="DH216" s="1436"/>
    </row>
    <row r="217" spans="1:112" ht="27.75" customHeight="1" x14ac:dyDescent="0.25">
      <c r="B217" s="133" t="s">
        <v>2055</v>
      </c>
      <c r="C217" s="1235"/>
      <c r="D217" s="1235"/>
      <c r="E217" s="801"/>
      <c r="F217" s="801"/>
      <c r="G217" s="801"/>
      <c r="H217" s="3596"/>
      <c r="I217" s="3596"/>
      <c r="J217" s="3596"/>
      <c r="K217" s="3597"/>
      <c r="L217" s="3598"/>
      <c r="M217" s="3596"/>
      <c r="N217" s="3598"/>
      <c r="O217" s="3599"/>
      <c r="P217" s="290"/>
      <c r="Q217" s="290"/>
      <c r="R217" s="290"/>
      <c r="S217" s="290"/>
      <c r="T217" s="290"/>
      <c r="U217" s="290"/>
      <c r="V217" s="290"/>
      <c r="W217" s="290"/>
      <c r="X217" s="290"/>
      <c r="BW217" s="1430"/>
      <c r="BX217" s="1430"/>
      <c r="CB217" s="1435"/>
      <c r="CC217" s="1435"/>
      <c r="CD217" s="1435"/>
      <c r="CE217" s="1435"/>
      <c r="CF217" s="1435"/>
      <c r="CG217" s="1435"/>
      <c r="CH217" s="1435"/>
      <c r="DB217" s="1436"/>
      <c r="DC217" s="1436"/>
      <c r="DD217" s="1436"/>
      <c r="DE217" s="1436"/>
      <c r="DF217" s="1436"/>
      <c r="DG217" s="1436"/>
      <c r="DH217" s="1436"/>
    </row>
    <row r="218" spans="1:112" s="199" customFormat="1" ht="16.350000000000001" customHeight="1" x14ac:dyDescent="0.25">
      <c r="B218" s="9790" t="s">
        <v>1065</v>
      </c>
      <c r="C218" s="9891"/>
      <c r="D218" s="9791"/>
      <c r="E218" s="9783" t="s">
        <v>1064</v>
      </c>
      <c r="F218" s="9533"/>
      <c r="G218" s="9575"/>
      <c r="H218" s="9747" t="s">
        <v>1063</v>
      </c>
      <c r="I218" s="9749"/>
      <c r="J218" s="9749"/>
      <c r="K218" s="9749"/>
      <c r="L218" s="9749"/>
      <c r="M218" s="9749"/>
      <c r="N218" s="9749"/>
      <c r="O218" s="9749"/>
      <c r="P218" s="9749"/>
      <c r="Q218" s="9749"/>
      <c r="R218" s="9749"/>
      <c r="S218" s="9749"/>
      <c r="T218" s="9749"/>
      <c r="U218" s="9749"/>
      <c r="V218" s="9749"/>
      <c r="W218" s="9749"/>
      <c r="X218" s="9749"/>
      <c r="Y218" s="9749"/>
      <c r="Z218" s="9749"/>
      <c r="AA218" s="9749"/>
      <c r="AB218" s="9749"/>
      <c r="AC218" s="9749"/>
      <c r="AD218" s="9749"/>
      <c r="AE218" s="9749"/>
      <c r="AF218" s="9749"/>
      <c r="AG218" s="9749"/>
      <c r="AH218" s="9749"/>
      <c r="AI218" s="9749"/>
      <c r="AJ218" s="9749"/>
      <c r="AK218" s="9749"/>
      <c r="AL218" s="9749"/>
      <c r="AM218" s="9749"/>
      <c r="AN218" s="9749"/>
      <c r="AO218" s="9786"/>
      <c r="AP218" s="9894" t="s">
        <v>112</v>
      </c>
      <c r="AQ218" s="9897" t="s">
        <v>2537</v>
      </c>
      <c r="AR218" s="9899" t="s">
        <v>1062</v>
      </c>
      <c r="AS218" s="9900"/>
      <c r="AT218" s="8918" t="s">
        <v>2516</v>
      </c>
      <c r="AU218" s="9884" t="s">
        <v>1738</v>
      </c>
      <c r="AV218" s="9884" t="s">
        <v>3735</v>
      </c>
      <c r="AW218" s="9963" t="s">
        <v>2553</v>
      </c>
      <c r="AX218" s="9954" t="s">
        <v>3673</v>
      </c>
      <c r="AY218" s="9900" t="s">
        <v>361</v>
      </c>
      <c r="BA218" s="1495"/>
      <c r="BB218" s="1495"/>
      <c r="BC218" s="1495"/>
      <c r="BD218" s="3600"/>
      <c r="BF218" s="3600"/>
      <c r="BH218" s="1495"/>
      <c r="BI218" s="1495"/>
      <c r="BJ218" s="1495"/>
      <c r="BK218" s="1495"/>
      <c r="BL218" s="1495"/>
      <c r="BM218" s="1495"/>
      <c r="BN218" s="1495"/>
      <c r="BO218" s="3600"/>
      <c r="BQ218" s="1495"/>
      <c r="BR218" s="1495"/>
      <c r="BS218" s="1495"/>
      <c r="BT218" s="1495"/>
      <c r="BU218" s="3600"/>
      <c r="BV218" s="3543"/>
      <c r="BW218" s="3601"/>
      <c r="BX218" s="1438"/>
      <c r="BY218" s="3602"/>
      <c r="BZ218" s="1438"/>
      <c r="CB218" s="1435"/>
      <c r="CC218" s="1435"/>
      <c r="CD218" s="1435"/>
      <c r="CE218" s="1435"/>
      <c r="CF218" s="1435"/>
      <c r="CG218" s="1435"/>
      <c r="CH218" s="1435"/>
      <c r="CP218" s="1429"/>
      <c r="CQ218" s="1429"/>
      <c r="CR218" s="1429"/>
      <c r="CS218" s="1429"/>
      <c r="CT218" s="1429"/>
      <c r="CU218" s="1429"/>
      <c r="DB218" s="1436"/>
      <c r="DC218" s="1436"/>
      <c r="DD218" s="1436"/>
      <c r="DE218" s="1436"/>
      <c r="DF218" s="1436"/>
      <c r="DG218" s="1436"/>
      <c r="DH218" s="1436"/>
    </row>
    <row r="219" spans="1:112" ht="32.1" customHeight="1" x14ac:dyDescent="0.25">
      <c r="B219" s="9792"/>
      <c r="C219" s="9892"/>
      <c r="D219" s="9793"/>
      <c r="E219" s="9809"/>
      <c r="F219" s="9670"/>
      <c r="G219" s="8953"/>
      <c r="H219" s="9745" t="s">
        <v>3670</v>
      </c>
      <c r="I219" s="9746"/>
      <c r="J219" s="9749" t="s">
        <v>1078</v>
      </c>
      <c r="K219" s="9748"/>
      <c r="L219" s="9747" t="s">
        <v>3663</v>
      </c>
      <c r="M219" s="9748"/>
      <c r="N219" s="9747" t="s">
        <v>1077</v>
      </c>
      <c r="O219" s="9748"/>
      <c r="P219" s="9747" t="s">
        <v>1076</v>
      </c>
      <c r="Q219" s="9748"/>
      <c r="R219" s="9747" t="s">
        <v>1047</v>
      </c>
      <c r="S219" s="9748"/>
      <c r="T219" s="9747" t="s">
        <v>1046</v>
      </c>
      <c r="U219" s="9748"/>
      <c r="V219" s="9747" t="s">
        <v>3664</v>
      </c>
      <c r="W219" s="9748"/>
      <c r="X219" s="9747" t="s">
        <v>48</v>
      </c>
      <c r="Y219" s="9750"/>
      <c r="Z219" s="9747" t="s">
        <v>49</v>
      </c>
      <c r="AA219" s="9750"/>
      <c r="AB219" s="9747" t="s">
        <v>3665</v>
      </c>
      <c r="AC219" s="9750"/>
      <c r="AD219" s="9747" t="s">
        <v>3666</v>
      </c>
      <c r="AE219" s="9750"/>
      <c r="AF219" s="9747" t="s">
        <v>3667</v>
      </c>
      <c r="AG219" s="9750"/>
      <c r="AH219" s="9747" t="s">
        <v>3668</v>
      </c>
      <c r="AI219" s="9750"/>
      <c r="AJ219" s="9747" t="s">
        <v>2132</v>
      </c>
      <c r="AK219" s="9750"/>
      <c r="AL219" s="9747" t="s">
        <v>2133</v>
      </c>
      <c r="AM219" s="9750"/>
      <c r="AN219" s="9747" t="s">
        <v>2131</v>
      </c>
      <c r="AO219" s="9750"/>
      <c r="AP219" s="9895"/>
      <c r="AQ219" s="9898"/>
      <c r="AR219" s="8925" t="s">
        <v>1061</v>
      </c>
      <c r="AS219" s="9887" t="s">
        <v>1060</v>
      </c>
      <c r="AT219" s="9901"/>
      <c r="AU219" s="9885"/>
      <c r="AV219" s="9885"/>
      <c r="AW219" s="9955"/>
      <c r="AX219" s="9955"/>
      <c r="AY219" s="9900"/>
      <c r="BV219" s="1430"/>
      <c r="BW219" s="1430"/>
      <c r="BX219" s="1438"/>
      <c r="CB219" s="1435"/>
      <c r="CC219" s="1435"/>
      <c r="CD219" s="1435"/>
      <c r="CE219" s="1435"/>
      <c r="CF219" s="1435"/>
      <c r="CG219" s="1435"/>
      <c r="CH219" s="1435"/>
      <c r="DB219" s="1436"/>
      <c r="DC219" s="1436"/>
      <c r="DD219" s="1436"/>
      <c r="DE219" s="1436"/>
      <c r="DF219" s="1436"/>
      <c r="DG219" s="1436"/>
      <c r="DH219" s="1436"/>
    </row>
    <row r="220" spans="1:112" ht="25.35" customHeight="1" x14ac:dyDescent="0.25">
      <c r="B220" s="9794"/>
      <c r="C220" s="9893"/>
      <c r="D220" s="9795"/>
      <c r="E220" s="4522" t="s">
        <v>42</v>
      </c>
      <c r="F220" s="4779" t="s">
        <v>17</v>
      </c>
      <c r="G220" s="3259" t="s">
        <v>18</v>
      </c>
      <c r="H220" s="3673" t="s">
        <v>17</v>
      </c>
      <c r="I220" s="4545" t="s">
        <v>18</v>
      </c>
      <c r="J220" s="3673" t="s">
        <v>17</v>
      </c>
      <c r="K220" s="4545" t="s">
        <v>18</v>
      </c>
      <c r="L220" s="3673" t="s">
        <v>17</v>
      </c>
      <c r="M220" s="4545" t="s">
        <v>18</v>
      </c>
      <c r="N220" s="3673" t="s">
        <v>17</v>
      </c>
      <c r="O220" s="4545" t="s">
        <v>18</v>
      </c>
      <c r="P220" s="3673" t="s">
        <v>17</v>
      </c>
      <c r="Q220" s="4545" t="s">
        <v>18</v>
      </c>
      <c r="R220" s="3673" t="s">
        <v>17</v>
      </c>
      <c r="S220" s="4545" t="s">
        <v>18</v>
      </c>
      <c r="T220" s="3673" t="s">
        <v>17</v>
      </c>
      <c r="U220" s="4545" t="s">
        <v>18</v>
      </c>
      <c r="V220" s="3673" t="s">
        <v>17</v>
      </c>
      <c r="W220" s="4545" t="s">
        <v>18</v>
      </c>
      <c r="X220" s="3673" t="s">
        <v>17</v>
      </c>
      <c r="Y220" s="4545" t="s">
        <v>18</v>
      </c>
      <c r="Z220" s="3673" t="s">
        <v>17</v>
      </c>
      <c r="AA220" s="4545" t="s">
        <v>18</v>
      </c>
      <c r="AB220" s="3673" t="s">
        <v>17</v>
      </c>
      <c r="AC220" s="4545" t="s">
        <v>18</v>
      </c>
      <c r="AD220" s="3673" t="s">
        <v>17</v>
      </c>
      <c r="AE220" s="4545" t="s">
        <v>18</v>
      </c>
      <c r="AF220" s="3673" t="s">
        <v>17</v>
      </c>
      <c r="AG220" s="4545" t="s">
        <v>18</v>
      </c>
      <c r="AH220" s="3673" t="s">
        <v>17</v>
      </c>
      <c r="AI220" s="4545" t="s">
        <v>18</v>
      </c>
      <c r="AJ220" s="3673" t="s">
        <v>17</v>
      </c>
      <c r="AK220" s="4545" t="s">
        <v>18</v>
      </c>
      <c r="AL220" s="3673" t="s">
        <v>17</v>
      </c>
      <c r="AM220" s="4545" t="s">
        <v>18</v>
      </c>
      <c r="AN220" s="3673" t="s">
        <v>17</v>
      </c>
      <c r="AO220" s="4545" t="s">
        <v>18</v>
      </c>
      <c r="AP220" s="9896"/>
      <c r="AQ220" s="8921"/>
      <c r="AR220" s="9902"/>
      <c r="AS220" s="9888"/>
      <c r="AT220" s="8919"/>
      <c r="AU220" s="9886"/>
      <c r="AV220" s="9886"/>
      <c r="AW220" s="9964"/>
      <c r="AX220" s="9956"/>
      <c r="AY220" s="9900"/>
      <c r="BV220" s="1430"/>
      <c r="BW220" s="1430"/>
      <c r="BX220" s="1438"/>
      <c r="CB220" s="1435"/>
      <c r="CC220" s="1435"/>
      <c r="CD220" s="1435"/>
      <c r="CE220" s="1435"/>
      <c r="CF220" s="1435"/>
      <c r="CG220" s="1435"/>
      <c r="CH220" s="1435"/>
      <c r="DB220" s="1436"/>
      <c r="DC220" s="1436"/>
      <c r="DD220" s="1436"/>
      <c r="DE220" s="1436"/>
      <c r="DF220" s="1436"/>
      <c r="DG220" s="1436"/>
      <c r="DH220" s="1436"/>
    </row>
    <row r="221" spans="1:112" ht="16.350000000000001" customHeight="1" x14ac:dyDescent="0.25">
      <c r="A221" s="7520" t="s">
        <v>5262</v>
      </c>
      <c r="B221" s="9905" t="s">
        <v>1040</v>
      </c>
      <c r="C221" s="9907" t="s">
        <v>2552</v>
      </c>
      <c r="D221" s="9908"/>
      <c r="E221" s="4780" t="s">
        <v>5369</v>
      </c>
      <c r="F221" s="4781" t="s">
        <v>5370</v>
      </c>
      <c r="G221" s="4782" t="s">
        <v>5371</v>
      </c>
      <c r="H221" s="4783" t="s">
        <v>5372</v>
      </c>
      <c r="I221" s="4784" t="s">
        <v>5373</v>
      </c>
      <c r="J221" s="4785" t="s">
        <v>5374</v>
      </c>
      <c r="K221" s="4784" t="s">
        <v>5375</v>
      </c>
      <c r="L221" s="4785" t="s">
        <v>5376</v>
      </c>
      <c r="M221" s="4784" t="s">
        <v>5377</v>
      </c>
      <c r="N221" s="4785" t="s">
        <v>5378</v>
      </c>
      <c r="O221" s="4784" t="s">
        <v>5379</v>
      </c>
      <c r="P221" s="4785" t="s">
        <v>5380</v>
      </c>
      <c r="Q221" s="4784" t="s">
        <v>5381</v>
      </c>
      <c r="R221" s="4785" t="s">
        <v>5382</v>
      </c>
      <c r="S221" s="4784" t="s">
        <v>5383</v>
      </c>
      <c r="T221" s="4785" t="s">
        <v>5384</v>
      </c>
      <c r="U221" s="4784" t="s">
        <v>5385</v>
      </c>
      <c r="V221" s="4785" t="s">
        <v>5386</v>
      </c>
      <c r="W221" s="4786" t="s">
        <v>5387</v>
      </c>
      <c r="X221" s="4785" t="s">
        <v>5388</v>
      </c>
      <c r="Y221" s="4786" t="s">
        <v>5389</v>
      </c>
      <c r="Z221" s="4785" t="s">
        <v>5390</v>
      </c>
      <c r="AA221" s="4786" t="s">
        <v>5391</v>
      </c>
      <c r="AB221" s="4785" t="s">
        <v>5392</v>
      </c>
      <c r="AC221" s="4786" t="s">
        <v>5393</v>
      </c>
      <c r="AD221" s="4785" t="s">
        <v>5394</v>
      </c>
      <c r="AE221" s="4786" t="s">
        <v>5395</v>
      </c>
      <c r="AF221" s="4785" t="s">
        <v>5396</v>
      </c>
      <c r="AG221" s="4786" t="s">
        <v>5397</v>
      </c>
      <c r="AH221" s="4785" t="s">
        <v>5398</v>
      </c>
      <c r="AI221" s="4786" t="s">
        <v>5399</v>
      </c>
      <c r="AJ221" s="4785" t="s">
        <v>5400</v>
      </c>
      <c r="AK221" s="4786" t="s">
        <v>5401</v>
      </c>
      <c r="AL221" s="4785" t="s">
        <v>5402</v>
      </c>
      <c r="AM221" s="4786" t="s">
        <v>5403</v>
      </c>
      <c r="AN221" s="4785" t="s">
        <v>5404</v>
      </c>
      <c r="AO221" s="4786" t="s">
        <v>5405</v>
      </c>
      <c r="AP221" s="4787" t="s">
        <v>5406</v>
      </c>
      <c r="AQ221" s="4788" t="s">
        <v>5407</v>
      </c>
      <c r="AR221" s="4789" t="s">
        <v>5408</v>
      </c>
      <c r="AS221" s="1820" t="s">
        <v>5409</v>
      </c>
      <c r="AT221" s="1820" t="s">
        <v>5410</v>
      </c>
      <c r="AU221" s="4785" t="s">
        <v>5411</v>
      </c>
      <c r="AV221" s="4785" t="s">
        <v>5412</v>
      </c>
      <c r="AW221" s="4790" t="s">
        <v>5413</v>
      </c>
      <c r="AX221" s="4790" t="s">
        <v>5414</v>
      </c>
      <c r="AY221" s="4786" t="s">
        <v>5415</v>
      </c>
      <c r="AZ221" s="4900" t="e">
        <f t="shared" ref="AZ221:AZ252" si="129">$CB221&amp;$CC221&amp;$CD221&amp;$CE221&amp;$CF221&amp;$CG221&amp;$CH221</f>
        <v>#VALUE!</v>
      </c>
      <c r="BV221" s="1430"/>
      <c r="BW221" s="1430"/>
      <c r="BX221" s="1438"/>
      <c r="CB221" s="1435" t="e">
        <f t="shared" ref="CB221:CB252" si="130">IF(DB221=1,"* El número de pacientes de 60 años NO DEBE Ser mayor a lo registrado en el grupo Etario 60-64 años. ","")</f>
        <v>#VALUE!</v>
      </c>
      <c r="CC221" s="1435" t="str">
        <f>IF(DC221=1,"* La consulta pertinente según Protocolo de Referencia NO DEBE ser mayor al Total registrado. ","")</f>
        <v xml:space="preserve">* La consulta pertinente según Protocolo de Referencia NO DEBE ser mayor al Total registrado. </v>
      </c>
      <c r="CD221" s="1435" t="str">
        <f t="shared" ref="CD221:CD252" si="131">IF(DD221=1,"* La consulta pertinente según condición clínica NO DEBE ser mayor al Total registrado. ","")</f>
        <v xml:space="preserve">* La consulta pertinente según condición clínica NO DEBE ser mayor al Total registrado. </v>
      </c>
      <c r="CE221" s="1435" t="str">
        <f t="shared" ref="CE221:CE246" si="132">IF(AND(E221&lt;&gt;0,AP221=""),"* Recuerde que las Embarazadas deben ser incluídas en el ingreso por rango Etario (Digite CEROS si no tiene). ",IF(G221&lt;AP221,"* Las Embarazadas NO DEBEN ser mayor al total de Mujeres. ",""))</f>
        <v xml:space="preserve">* Las Embarazadas NO DEBEN ser mayor al total de Mujeres. </v>
      </c>
      <c r="CF221" s="1435" t="str">
        <f t="shared" ref="CF221:CF252" si="133">IF(AND($E221&lt;&gt;0,AW221=""),"* No olvide digitar la columna Usuarios en Situación de Discapacidad (Digite CEROS si no tiene). ",IF($E221&lt;AW221,"* Los Usuarios en Situación de Discapacidad NO DEBEN ser mayor al total. ",""))</f>
        <v xml:space="preserve">* Los Usuarios en Situación de Discapacidad NO DEBEN ser mayor al total. </v>
      </c>
      <c r="CG221" s="1435"/>
      <c r="CH221" s="1435" t="str">
        <f t="shared" ref="CH221:CH252" si="134">IF(AND($E221&lt;&gt;0,AY221=""),"* No olvide digitar la columna Migrantes (Digite CEROS si no tiene). ",IF($E221&lt;AY221,"* Los Migrantes NO DEBEN ser mayor al total. ",""))</f>
        <v xml:space="preserve">* Los Migrantes NO DEBEN ser mayor al total. </v>
      </c>
      <c r="DB221" s="1436" t="e">
        <f t="shared" ref="DB221:DB240" si="135">IF((AJ221+AK221)&lt;AQ221,1,0)</f>
        <v>#VALUE!</v>
      </c>
      <c r="DC221" s="1436">
        <f>IF(E221&lt;AR221,1,0)</f>
        <v>1</v>
      </c>
      <c r="DD221" s="1436">
        <f>IF(E221&lt;AS221,1,0)</f>
        <v>1</v>
      </c>
      <c r="DE221" s="1436">
        <f t="shared" ref="DE221:DE246" si="136">IF(AND(E221&lt;&gt;0,AP221=""),1,IF(G221&lt;AP221,1,0))</f>
        <v>1</v>
      </c>
      <c r="DF221" s="1436">
        <f t="shared" ref="DF221:DF252" si="137">IF(AND($E221&lt;&gt;0,AW221=""),1,IF($E221&lt;AW221,1,0))</f>
        <v>1</v>
      </c>
      <c r="DG221" s="1436"/>
      <c r="DH221" s="1436">
        <f t="shared" ref="DH221:DH252" si="138">IF(AND($E221&lt;&gt;0,AY221=""),1,IF($E221&lt;AY221,1,0))</f>
        <v>1</v>
      </c>
    </row>
    <row r="222" spans="1:112" ht="16.350000000000001" customHeight="1" x14ac:dyDescent="0.25">
      <c r="A222" s="7520" t="s">
        <v>5263</v>
      </c>
      <c r="B222" s="9906"/>
      <c r="C222" s="9909" t="s">
        <v>2269</v>
      </c>
      <c r="D222" s="9910"/>
      <c r="E222" s="4791" t="s">
        <v>5369</v>
      </c>
      <c r="F222" s="4792" t="s">
        <v>5370</v>
      </c>
      <c r="G222" s="4793" t="s">
        <v>5371</v>
      </c>
      <c r="H222" s="3241" t="s">
        <v>5372</v>
      </c>
      <c r="I222" s="3603" t="s">
        <v>5373</v>
      </c>
      <c r="J222" s="3604" t="s">
        <v>5374</v>
      </c>
      <c r="K222" s="3603" t="s">
        <v>5375</v>
      </c>
      <c r="L222" s="3604" t="s">
        <v>5376</v>
      </c>
      <c r="M222" s="3603" t="s">
        <v>5377</v>
      </c>
      <c r="N222" s="3604" t="s">
        <v>5378</v>
      </c>
      <c r="O222" s="3603" t="s">
        <v>5379</v>
      </c>
      <c r="P222" s="3604" t="s">
        <v>5380</v>
      </c>
      <c r="Q222" s="3603" t="s">
        <v>5381</v>
      </c>
      <c r="R222" s="3604" t="s">
        <v>5382</v>
      </c>
      <c r="S222" s="3603" t="s">
        <v>5383</v>
      </c>
      <c r="T222" s="3604" t="s">
        <v>5384</v>
      </c>
      <c r="U222" s="3603" t="s">
        <v>5385</v>
      </c>
      <c r="V222" s="3604" t="s">
        <v>5386</v>
      </c>
      <c r="W222" s="3122" t="s">
        <v>5387</v>
      </c>
      <c r="X222" s="3604" t="s">
        <v>5388</v>
      </c>
      <c r="Y222" s="3122" t="s">
        <v>5389</v>
      </c>
      <c r="Z222" s="3604" t="s">
        <v>5390</v>
      </c>
      <c r="AA222" s="3122" t="s">
        <v>5391</v>
      </c>
      <c r="AB222" s="3604" t="s">
        <v>5392</v>
      </c>
      <c r="AC222" s="3122" t="s">
        <v>5393</v>
      </c>
      <c r="AD222" s="3604" t="s">
        <v>5394</v>
      </c>
      <c r="AE222" s="3122" t="s">
        <v>5395</v>
      </c>
      <c r="AF222" s="3604" t="s">
        <v>5396</v>
      </c>
      <c r="AG222" s="3122" t="s">
        <v>5397</v>
      </c>
      <c r="AH222" s="3604" t="s">
        <v>5398</v>
      </c>
      <c r="AI222" s="3122" t="s">
        <v>5399</v>
      </c>
      <c r="AJ222" s="3604" t="s">
        <v>5400</v>
      </c>
      <c r="AK222" s="3122" t="s">
        <v>5401</v>
      </c>
      <c r="AL222" s="3604" t="s">
        <v>5402</v>
      </c>
      <c r="AM222" s="3122" t="s">
        <v>5403</v>
      </c>
      <c r="AN222" s="3604" t="s">
        <v>5404</v>
      </c>
      <c r="AO222" s="3122" t="s">
        <v>5405</v>
      </c>
      <c r="AP222" s="3605" t="s">
        <v>5406</v>
      </c>
      <c r="AQ222" s="3606" t="s">
        <v>5407</v>
      </c>
      <c r="AR222" s="4789" t="s">
        <v>5408</v>
      </c>
      <c r="AS222" s="1820" t="s">
        <v>5409</v>
      </c>
      <c r="AT222" s="1820" t="s">
        <v>5410</v>
      </c>
      <c r="AU222" s="3604" t="s">
        <v>5411</v>
      </c>
      <c r="AV222" s="3604" t="s">
        <v>5412</v>
      </c>
      <c r="AW222" s="4794" t="s">
        <v>5413</v>
      </c>
      <c r="AX222" s="4794" t="s">
        <v>5414</v>
      </c>
      <c r="AY222" s="3122" t="s">
        <v>5415</v>
      </c>
      <c r="AZ222" s="4900" t="e">
        <f t="shared" si="129"/>
        <v>#VALUE!</v>
      </c>
      <c r="BV222" s="1430"/>
      <c r="BW222" s="1430"/>
      <c r="BX222" s="1438"/>
      <c r="CB222" s="1435" t="e">
        <f t="shared" si="130"/>
        <v>#VALUE!</v>
      </c>
      <c r="CC222" s="1435" t="str">
        <f>IF(DC222=1,"* La consulta pertinente según Protocolo de Referencia NO DEBE ser mayor al Total registrado. ","")</f>
        <v xml:space="preserve">* La consulta pertinente según Protocolo de Referencia NO DEBE ser mayor al Total registrado. </v>
      </c>
      <c r="CD222" s="1435" t="str">
        <f t="shared" si="131"/>
        <v xml:space="preserve">* La consulta pertinente según condición clínica NO DEBE ser mayor al Total registrado. </v>
      </c>
      <c r="CE222" s="1435" t="str">
        <f t="shared" si="132"/>
        <v xml:space="preserve">* Las Embarazadas NO DEBEN ser mayor al total de Mujeres. </v>
      </c>
      <c r="CF222" s="1435" t="str">
        <f t="shared" si="133"/>
        <v xml:space="preserve">* Los Usuarios en Situación de Discapacidad NO DEBEN ser mayor al total. </v>
      </c>
      <c r="CG222" s="1435"/>
      <c r="CH222" s="1435" t="str">
        <f t="shared" si="134"/>
        <v xml:space="preserve">* Los Migrantes NO DEBEN ser mayor al total. </v>
      </c>
      <c r="DB222" s="1436" t="e">
        <f t="shared" si="135"/>
        <v>#VALUE!</v>
      </c>
      <c r="DC222" s="1436">
        <f>IF(E222&lt;AR222,1,0)</f>
        <v>1</v>
      </c>
      <c r="DD222" s="1436">
        <f>IF(E222&lt;AS222,1,0)</f>
        <v>1</v>
      </c>
      <c r="DE222" s="1436">
        <f t="shared" si="136"/>
        <v>1</v>
      </c>
      <c r="DF222" s="1436">
        <f t="shared" si="137"/>
        <v>1</v>
      </c>
      <c r="DG222" s="1436"/>
      <c r="DH222" s="1436">
        <f t="shared" si="138"/>
        <v>1</v>
      </c>
    </row>
    <row r="223" spans="1:112" ht="16.350000000000001" customHeight="1" x14ac:dyDescent="0.25">
      <c r="A223" s="7520" t="s">
        <v>5264</v>
      </c>
      <c r="B223" s="8705" t="s">
        <v>1059</v>
      </c>
      <c r="C223" s="9903" t="s">
        <v>1054</v>
      </c>
      <c r="D223" s="9903"/>
      <c r="E223" s="3247" t="s">
        <v>5369</v>
      </c>
      <c r="F223" s="3485" t="s">
        <v>5370</v>
      </c>
      <c r="G223" s="4795" t="s">
        <v>5371</v>
      </c>
      <c r="H223" s="3508" t="s">
        <v>5372</v>
      </c>
      <c r="I223" s="3607" t="s">
        <v>5373</v>
      </c>
      <c r="J223" s="4796" t="s">
        <v>5374</v>
      </c>
      <c r="K223" s="3607" t="s">
        <v>5375</v>
      </c>
      <c r="L223" s="4796" t="s">
        <v>5376</v>
      </c>
      <c r="M223" s="3607" t="s">
        <v>5377</v>
      </c>
      <c r="N223" s="4796" t="s">
        <v>5378</v>
      </c>
      <c r="O223" s="3607" t="s">
        <v>5379</v>
      </c>
      <c r="P223" s="4796" t="s">
        <v>5380</v>
      </c>
      <c r="Q223" s="3607" t="s">
        <v>5381</v>
      </c>
      <c r="R223" s="4796" t="s">
        <v>5382</v>
      </c>
      <c r="S223" s="3607" t="s">
        <v>5383</v>
      </c>
      <c r="T223" s="4796" t="s">
        <v>5384</v>
      </c>
      <c r="U223" s="3607" t="s">
        <v>5385</v>
      </c>
      <c r="V223" s="4796" t="s">
        <v>5386</v>
      </c>
      <c r="W223" s="2925" t="s">
        <v>5387</v>
      </c>
      <c r="X223" s="4796" t="s">
        <v>5388</v>
      </c>
      <c r="Y223" s="2925" t="s">
        <v>5389</v>
      </c>
      <c r="Z223" s="4796" t="s">
        <v>5390</v>
      </c>
      <c r="AA223" s="2925" t="s">
        <v>5391</v>
      </c>
      <c r="AB223" s="4796" t="s">
        <v>5392</v>
      </c>
      <c r="AC223" s="2925" t="s">
        <v>5393</v>
      </c>
      <c r="AD223" s="4796" t="s">
        <v>5394</v>
      </c>
      <c r="AE223" s="2925" t="s">
        <v>5395</v>
      </c>
      <c r="AF223" s="4796" t="s">
        <v>5396</v>
      </c>
      <c r="AG223" s="2925" t="s">
        <v>5397</v>
      </c>
      <c r="AH223" s="4796" t="s">
        <v>5398</v>
      </c>
      <c r="AI223" s="2925" t="s">
        <v>5399</v>
      </c>
      <c r="AJ223" s="4796" t="s">
        <v>5400</v>
      </c>
      <c r="AK223" s="2925" t="s">
        <v>5401</v>
      </c>
      <c r="AL223" s="4796" t="s">
        <v>5402</v>
      </c>
      <c r="AM223" s="2925" t="s">
        <v>5403</v>
      </c>
      <c r="AN223" s="4796" t="s">
        <v>5404</v>
      </c>
      <c r="AO223" s="2925" t="s">
        <v>5405</v>
      </c>
      <c r="AP223" s="3608" t="s">
        <v>5406</v>
      </c>
      <c r="AQ223" s="1814" t="s">
        <v>5407</v>
      </c>
      <c r="AR223" s="3508" t="s">
        <v>5408</v>
      </c>
      <c r="AS223" s="1814" t="s">
        <v>5409</v>
      </c>
      <c r="AT223" s="4783" t="s">
        <v>5410</v>
      </c>
      <c r="AU223" s="4796" t="s">
        <v>5411</v>
      </c>
      <c r="AV223" s="4796" t="s">
        <v>5412</v>
      </c>
      <c r="AW223" s="3609" t="s">
        <v>5413</v>
      </c>
      <c r="AX223" s="3609" t="s">
        <v>5414</v>
      </c>
      <c r="AY223" s="3607" t="s">
        <v>5415</v>
      </c>
      <c r="AZ223" s="4900" t="e">
        <f t="shared" si="129"/>
        <v>#VALUE!</v>
      </c>
      <c r="BV223" s="1430"/>
      <c r="BW223" s="1430"/>
      <c r="BX223" s="1438"/>
      <c r="CB223" s="1435" t="e">
        <f t="shared" si="130"/>
        <v>#VALUE!</v>
      </c>
      <c r="CC223" s="1435" t="str">
        <f>IF(DC223=1,"* La consulta pertinente según Protocolo de Referencia NO DEBE ser mayor al Total registrado. ","")</f>
        <v xml:space="preserve">* La consulta pertinente según Protocolo de Referencia NO DEBE ser mayor al Total registrado. </v>
      </c>
      <c r="CD223" s="1435" t="str">
        <f t="shared" si="131"/>
        <v xml:space="preserve">* La consulta pertinente según condición clínica NO DEBE ser mayor al Total registrado. </v>
      </c>
      <c r="CE223" s="1435" t="str">
        <f t="shared" si="132"/>
        <v xml:space="preserve">* Las Embarazadas NO DEBEN ser mayor al total de Mujeres. </v>
      </c>
      <c r="CF223" s="1435" t="str">
        <f t="shared" si="133"/>
        <v xml:space="preserve">* Los Usuarios en Situación de Discapacidad NO DEBEN ser mayor al total. </v>
      </c>
      <c r="CG223" s="1435"/>
      <c r="CH223" s="1435" t="str">
        <f t="shared" si="134"/>
        <v xml:space="preserve">* Los Migrantes NO DEBEN ser mayor al total. </v>
      </c>
      <c r="DB223" s="1436" t="e">
        <f t="shared" si="135"/>
        <v>#VALUE!</v>
      </c>
      <c r="DC223" s="1436">
        <f>IF(E223&lt;AR223,1,0)</f>
        <v>1</v>
      </c>
      <c r="DD223" s="1436">
        <f>IF(E223&lt;AS223,1,0)</f>
        <v>1</v>
      </c>
      <c r="DE223" s="1436">
        <f t="shared" si="136"/>
        <v>1</v>
      </c>
      <c r="DF223" s="1436">
        <f t="shared" si="137"/>
        <v>1</v>
      </c>
      <c r="DG223" s="1436"/>
      <c r="DH223" s="1436">
        <f t="shared" si="138"/>
        <v>1</v>
      </c>
    </row>
    <row r="224" spans="1:112" ht="16.350000000000001" customHeight="1" x14ac:dyDescent="0.25">
      <c r="A224" s="7520" t="s">
        <v>5265</v>
      </c>
      <c r="B224" s="8705"/>
      <c r="C224" s="9835" t="s">
        <v>1053</v>
      </c>
      <c r="D224" s="9835"/>
      <c r="E224" s="4766" t="s">
        <v>5369</v>
      </c>
      <c r="F224" s="3062" t="s">
        <v>5370</v>
      </c>
      <c r="G224" s="4797" t="s">
        <v>5371</v>
      </c>
      <c r="H224" s="4798" t="s">
        <v>5372</v>
      </c>
      <c r="I224" s="1816" t="s">
        <v>5373</v>
      </c>
      <c r="J224" s="4799" t="s">
        <v>5374</v>
      </c>
      <c r="K224" s="1816" t="s">
        <v>5375</v>
      </c>
      <c r="L224" s="4799" t="s">
        <v>5376</v>
      </c>
      <c r="M224" s="1816" t="s">
        <v>5377</v>
      </c>
      <c r="N224" s="4799" t="s">
        <v>5378</v>
      </c>
      <c r="O224" s="1816" t="s">
        <v>5379</v>
      </c>
      <c r="P224" s="4799" t="s">
        <v>5380</v>
      </c>
      <c r="Q224" s="1816" t="s">
        <v>5381</v>
      </c>
      <c r="R224" s="4799" t="s">
        <v>5382</v>
      </c>
      <c r="S224" s="1816" t="s">
        <v>5383</v>
      </c>
      <c r="T224" s="4799" t="s">
        <v>5384</v>
      </c>
      <c r="U224" s="1816" t="s">
        <v>5385</v>
      </c>
      <c r="V224" s="4799" t="s">
        <v>5386</v>
      </c>
      <c r="W224" s="2926" t="s">
        <v>5387</v>
      </c>
      <c r="X224" s="4799" t="s">
        <v>5388</v>
      </c>
      <c r="Y224" s="2926" t="s">
        <v>5389</v>
      </c>
      <c r="Z224" s="4799" t="s">
        <v>5390</v>
      </c>
      <c r="AA224" s="2926" t="s">
        <v>5391</v>
      </c>
      <c r="AB224" s="4799" t="s">
        <v>5392</v>
      </c>
      <c r="AC224" s="2926" t="s">
        <v>5393</v>
      </c>
      <c r="AD224" s="4799" t="s">
        <v>5394</v>
      </c>
      <c r="AE224" s="2926" t="s">
        <v>5395</v>
      </c>
      <c r="AF224" s="4799" t="s">
        <v>5396</v>
      </c>
      <c r="AG224" s="2926" t="s">
        <v>5397</v>
      </c>
      <c r="AH224" s="4799" t="s">
        <v>5398</v>
      </c>
      <c r="AI224" s="2926" t="s">
        <v>5399</v>
      </c>
      <c r="AJ224" s="4799" t="s">
        <v>5400</v>
      </c>
      <c r="AK224" s="2926" t="s">
        <v>5401</v>
      </c>
      <c r="AL224" s="4799" t="s">
        <v>5402</v>
      </c>
      <c r="AM224" s="2926" t="s">
        <v>5403</v>
      </c>
      <c r="AN224" s="4799" t="s">
        <v>5404</v>
      </c>
      <c r="AO224" s="2926" t="s">
        <v>5405</v>
      </c>
      <c r="AP224" s="1818" t="s">
        <v>5406</v>
      </c>
      <c r="AQ224" s="1819" t="s">
        <v>5407</v>
      </c>
      <c r="AR224" s="4789" t="s">
        <v>5408</v>
      </c>
      <c r="AS224" s="1820" t="s">
        <v>5409</v>
      </c>
      <c r="AT224" s="3508" t="s">
        <v>5410</v>
      </c>
      <c r="AU224" s="4799" t="s">
        <v>5411</v>
      </c>
      <c r="AV224" s="4799" t="s">
        <v>5412</v>
      </c>
      <c r="AW224" s="4800" t="s">
        <v>5413</v>
      </c>
      <c r="AX224" s="4800" t="s">
        <v>5414</v>
      </c>
      <c r="AY224" s="1816" t="s">
        <v>5415</v>
      </c>
      <c r="AZ224" s="4900" t="e">
        <f t="shared" si="129"/>
        <v>#VALUE!</v>
      </c>
      <c r="BV224" s="1430"/>
      <c r="BW224" s="1430"/>
      <c r="BX224" s="1438"/>
      <c r="CB224" s="1435" t="e">
        <f t="shared" si="130"/>
        <v>#VALUE!</v>
      </c>
      <c r="CC224" s="1435"/>
      <c r="CD224" s="1435" t="str">
        <f t="shared" si="131"/>
        <v/>
      </c>
      <c r="CE224" s="1435" t="str">
        <f t="shared" si="132"/>
        <v xml:space="preserve">* Las Embarazadas NO DEBEN ser mayor al total de Mujeres. </v>
      </c>
      <c r="CF224" s="1435" t="str">
        <f t="shared" si="133"/>
        <v xml:space="preserve">* Los Usuarios en Situación de Discapacidad NO DEBEN ser mayor al total. </v>
      </c>
      <c r="CG224" s="1435"/>
      <c r="CH224" s="1435" t="str">
        <f t="shared" si="134"/>
        <v xml:space="preserve">* Los Migrantes NO DEBEN ser mayor al total. </v>
      </c>
      <c r="DB224" s="1436" t="e">
        <f t="shared" si="135"/>
        <v>#VALUE!</v>
      </c>
      <c r="DC224" s="1436"/>
      <c r="DD224" s="1436"/>
      <c r="DE224" s="1436">
        <f t="shared" si="136"/>
        <v>1</v>
      </c>
      <c r="DF224" s="1436">
        <f t="shared" si="137"/>
        <v>1</v>
      </c>
      <c r="DG224" s="1436"/>
      <c r="DH224" s="1436">
        <f t="shared" si="138"/>
        <v>1</v>
      </c>
    </row>
    <row r="225" spans="1:112" ht="16.350000000000001" customHeight="1" x14ac:dyDescent="0.25">
      <c r="A225" s="7520" t="s">
        <v>5266</v>
      </c>
      <c r="B225" s="8705"/>
      <c r="C225" s="9835" t="s">
        <v>1052</v>
      </c>
      <c r="D225" s="9835"/>
      <c r="E225" s="4766" t="s">
        <v>5369</v>
      </c>
      <c r="F225" s="3062" t="s">
        <v>5370</v>
      </c>
      <c r="G225" s="4797" t="s">
        <v>5371</v>
      </c>
      <c r="H225" s="4798" t="s">
        <v>5372</v>
      </c>
      <c r="I225" s="1816" t="s">
        <v>5373</v>
      </c>
      <c r="J225" s="4799" t="s">
        <v>5374</v>
      </c>
      <c r="K225" s="1816" t="s">
        <v>5375</v>
      </c>
      <c r="L225" s="4799" t="s">
        <v>5376</v>
      </c>
      <c r="M225" s="1816" t="s">
        <v>5377</v>
      </c>
      <c r="N225" s="4799" t="s">
        <v>5378</v>
      </c>
      <c r="O225" s="1816" t="s">
        <v>5379</v>
      </c>
      <c r="P225" s="4799" t="s">
        <v>5380</v>
      </c>
      <c r="Q225" s="1816" t="s">
        <v>5381</v>
      </c>
      <c r="R225" s="4799" t="s">
        <v>5382</v>
      </c>
      <c r="S225" s="1816" t="s">
        <v>5383</v>
      </c>
      <c r="T225" s="4799" t="s">
        <v>5384</v>
      </c>
      <c r="U225" s="1816" t="s">
        <v>5385</v>
      </c>
      <c r="V225" s="4799" t="s">
        <v>5386</v>
      </c>
      <c r="W225" s="2926" t="s">
        <v>5387</v>
      </c>
      <c r="X225" s="4799" t="s">
        <v>5388</v>
      </c>
      <c r="Y225" s="2926" t="s">
        <v>5389</v>
      </c>
      <c r="Z225" s="4799" t="s">
        <v>5390</v>
      </c>
      <c r="AA225" s="2926" t="s">
        <v>5391</v>
      </c>
      <c r="AB225" s="4799" t="s">
        <v>5392</v>
      </c>
      <c r="AC225" s="2926" t="s">
        <v>5393</v>
      </c>
      <c r="AD225" s="4799" t="s">
        <v>5394</v>
      </c>
      <c r="AE225" s="2926" t="s">
        <v>5395</v>
      </c>
      <c r="AF225" s="4799" t="s">
        <v>5396</v>
      </c>
      <c r="AG225" s="2926" t="s">
        <v>5397</v>
      </c>
      <c r="AH225" s="4799" t="s">
        <v>5398</v>
      </c>
      <c r="AI225" s="2926" t="s">
        <v>5399</v>
      </c>
      <c r="AJ225" s="4799" t="s">
        <v>5400</v>
      </c>
      <c r="AK225" s="2926" t="s">
        <v>5401</v>
      </c>
      <c r="AL225" s="4799" t="s">
        <v>5402</v>
      </c>
      <c r="AM225" s="2926" t="s">
        <v>5403</v>
      </c>
      <c r="AN225" s="4799" t="s">
        <v>5404</v>
      </c>
      <c r="AO225" s="2926" t="s">
        <v>5405</v>
      </c>
      <c r="AP225" s="1818" t="s">
        <v>5406</v>
      </c>
      <c r="AQ225" s="1819" t="s">
        <v>5407</v>
      </c>
      <c r="AR225" s="4789" t="s">
        <v>5408</v>
      </c>
      <c r="AS225" s="1820" t="s">
        <v>5409</v>
      </c>
      <c r="AT225" s="1820" t="s">
        <v>5410</v>
      </c>
      <c r="AU225" s="4799" t="s">
        <v>5411</v>
      </c>
      <c r="AV225" s="4799" t="s">
        <v>5412</v>
      </c>
      <c r="AW225" s="4800" t="s">
        <v>5413</v>
      </c>
      <c r="AX225" s="4800" t="s">
        <v>5414</v>
      </c>
      <c r="AY225" s="1816" t="s">
        <v>5415</v>
      </c>
      <c r="AZ225" s="4900" t="e">
        <f t="shared" si="129"/>
        <v>#VALUE!</v>
      </c>
      <c r="BV225" s="1430"/>
      <c r="BW225" s="1430"/>
      <c r="BX225" s="1438"/>
      <c r="CB225" s="1435" t="e">
        <f t="shared" si="130"/>
        <v>#VALUE!</v>
      </c>
      <c r="CC225" s="1435"/>
      <c r="CD225" s="1435" t="str">
        <f t="shared" si="131"/>
        <v/>
      </c>
      <c r="CE225" s="1435" t="str">
        <f t="shared" si="132"/>
        <v xml:space="preserve">* Las Embarazadas NO DEBEN ser mayor al total de Mujeres. </v>
      </c>
      <c r="CF225" s="1435" t="str">
        <f t="shared" si="133"/>
        <v xml:space="preserve">* Los Usuarios en Situación de Discapacidad NO DEBEN ser mayor al total. </v>
      </c>
      <c r="CG225" s="1435"/>
      <c r="CH225" s="1435" t="str">
        <f t="shared" si="134"/>
        <v xml:space="preserve">* Los Migrantes NO DEBEN ser mayor al total. </v>
      </c>
      <c r="DB225" s="1436" t="e">
        <f t="shared" si="135"/>
        <v>#VALUE!</v>
      </c>
      <c r="DC225" s="1436"/>
      <c r="DD225" s="1436"/>
      <c r="DE225" s="1436">
        <f t="shared" si="136"/>
        <v>1</v>
      </c>
      <c r="DF225" s="1436">
        <f t="shared" si="137"/>
        <v>1</v>
      </c>
      <c r="DG225" s="1436"/>
      <c r="DH225" s="1436">
        <f t="shared" si="138"/>
        <v>1</v>
      </c>
    </row>
    <row r="226" spans="1:112" ht="16.350000000000001" customHeight="1" x14ac:dyDescent="0.25">
      <c r="A226" s="7520" t="s">
        <v>5267</v>
      </c>
      <c r="B226" s="8705"/>
      <c r="C226" s="9862" t="s">
        <v>1051</v>
      </c>
      <c r="D226" s="9863"/>
      <c r="E226" s="4766" t="s">
        <v>5369</v>
      </c>
      <c r="F226" s="3062" t="s">
        <v>5370</v>
      </c>
      <c r="G226" s="4797" t="s">
        <v>5371</v>
      </c>
      <c r="H226" s="4801" t="s">
        <v>5372</v>
      </c>
      <c r="I226" s="3610" t="s">
        <v>5373</v>
      </c>
      <c r="J226" s="3611" t="s">
        <v>5374</v>
      </c>
      <c r="K226" s="3610" t="s">
        <v>5375</v>
      </c>
      <c r="L226" s="3611" t="s">
        <v>5376</v>
      </c>
      <c r="M226" s="3610" t="s">
        <v>5377</v>
      </c>
      <c r="N226" s="3611" t="s">
        <v>5378</v>
      </c>
      <c r="O226" s="3610" t="s">
        <v>5379</v>
      </c>
      <c r="P226" s="3611" t="s">
        <v>5380</v>
      </c>
      <c r="Q226" s="3610" t="s">
        <v>5381</v>
      </c>
      <c r="R226" s="3611" t="s">
        <v>5382</v>
      </c>
      <c r="S226" s="3610" t="s">
        <v>5383</v>
      </c>
      <c r="T226" s="3611" t="s">
        <v>5384</v>
      </c>
      <c r="U226" s="3610" t="s">
        <v>5385</v>
      </c>
      <c r="V226" s="3611" t="s">
        <v>5386</v>
      </c>
      <c r="W226" s="4802" t="s">
        <v>5387</v>
      </c>
      <c r="X226" s="3611" t="s">
        <v>5388</v>
      </c>
      <c r="Y226" s="4802" t="s">
        <v>5389</v>
      </c>
      <c r="Z226" s="3611" t="s">
        <v>5390</v>
      </c>
      <c r="AA226" s="4802" t="s">
        <v>5391</v>
      </c>
      <c r="AB226" s="3611" t="s">
        <v>5392</v>
      </c>
      <c r="AC226" s="4802" t="s">
        <v>5393</v>
      </c>
      <c r="AD226" s="3611" t="s">
        <v>5394</v>
      </c>
      <c r="AE226" s="4802" t="s">
        <v>5395</v>
      </c>
      <c r="AF226" s="3611" t="s">
        <v>5396</v>
      </c>
      <c r="AG226" s="4802" t="s">
        <v>5397</v>
      </c>
      <c r="AH226" s="3611" t="s">
        <v>5398</v>
      </c>
      <c r="AI226" s="4802" t="s">
        <v>5399</v>
      </c>
      <c r="AJ226" s="3611" t="s">
        <v>5400</v>
      </c>
      <c r="AK226" s="4802" t="s">
        <v>5401</v>
      </c>
      <c r="AL226" s="3611" t="s">
        <v>5402</v>
      </c>
      <c r="AM226" s="4802" t="s">
        <v>5403</v>
      </c>
      <c r="AN226" s="3611" t="s">
        <v>5404</v>
      </c>
      <c r="AO226" s="4802" t="s">
        <v>5405</v>
      </c>
      <c r="AP226" s="3612" t="s">
        <v>5406</v>
      </c>
      <c r="AQ226" s="3613" t="s">
        <v>5407</v>
      </c>
      <c r="AR226" s="4803" t="s">
        <v>5408</v>
      </c>
      <c r="AS226" s="3614" t="s">
        <v>5409</v>
      </c>
      <c r="AT226" s="3614" t="s">
        <v>5410</v>
      </c>
      <c r="AU226" s="3611" t="s">
        <v>5411</v>
      </c>
      <c r="AV226" s="3611" t="s">
        <v>5412</v>
      </c>
      <c r="AW226" s="4804" t="s">
        <v>5413</v>
      </c>
      <c r="AX226" s="4804" t="s">
        <v>5414</v>
      </c>
      <c r="AY226" s="3610" t="s">
        <v>5415</v>
      </c>
      <c r="AZ226" s="4900" t="e">
        <f t="shared" si="129"/>
        <v>#VALUE!</v>
      </c>
      <c r="BV226" s="1430"/>
      <c r="BW226" s="1430"/>
      <c r="BX226" s="1438"/>
      <c r="CB226" s="1435" t="e">
        <f t="shared" si="130"/>
        <v>#VALUE!</v>
      </c>
      <c r="CC226" s="1435"/>
      <c r="CD226" s="1435" t="str">
        <f t="shared" si="131"/>
        <v/>
      </c>
      <c r="CE226" s="1435" t="str">
        <f t="shared" si="132"/>
        <v xml:space="preserve">* Las Embarazadas NO DEBEN ser mayor al total de Mujeres. </v>
      </c>
      <c r="CF226" s="1435" t="str">
        <f t="shared" si="133"/>
        <v xml:space="preserve">* Los Usuarios en Situación de Discapacidad NO DEBEN ser mayor al total. </v>
      </c>
      <c r="CG226" s="1435"/>
      <c r="CH226" s="1435" t="str">
        <f t="shared" si="134"/>
        <v xml:space="preserve">* Los Migrantes NO DEBEN ser mayor al total. </v>
      </c>
      <c r="DB226" s="1436" t="e">
        <f t="shared" si="135"/>
        <v>#VALUE!</v>
      </c>
      <c r="DC226" s="1436"/>
      <c r="DD226" s="1436"/>
      <c r="DE226" s="1436">
        <f t="shared" si="136"/>
        <v>1</v>
      </c>
      <c r="DF226" s="1436">
        <f t="shared" si="137"/>
        <v>1</v>
      </c>
      <c r="DG226" s="1436"/>
      <c r="DH226" s="1436">
        <f t="shared" si="138"/>
        <v>1</v>
      </c>
    </row>
    <row r="227" spans="1:112" ht="16.350000000000001" customHeight="1" x14ac:dyDescent="0.25">
      <c r="A227" s="7520" t="s">
        <v>5268</v>
      </c>
      <c r="B227" s="8705"/>
      <c r="C227" s="9862" t="s">
        <v>2140</v>
      </c>
      <c r="D227" s="9863"/>
      <c r="E227" s="4766" t="s">
        <v>5369</v>
      </c>
      <c r="F227" s="3062" t="s">
        <v>5370</v>
      </c>
      <c r="G227" s="4797" t="s">
        <v>5371</v>
      </c>
      <c r="H227" s="4801" t="s">
        <v>5372</v>
      </c>
      <c r="I227" s="3610" t="s">
        <v>5373</v>
      </c>
      <c r="J227" s="3611" t="s">
        <v>5374</v>
      </c>
      <c r="K227" s="3610" t="s">
        <v>5375</v>
      </c>
      <c r="L227" s="3611" t="s">
        <v>5376</v>
      </c>
      <c r="M227" s="3610" t="s">
        <v>5377</v>
      </c>
      <c r="N227" s="3611" t="s">
        <v>5378</v>
      </c>
      <c r="O227" s="3610" t="s">
        <v>5379</v>
      </c>
      <c r="P227" s="3611" t="s">
        <v>5380</v>
      </c>
      <c r="Q227" s="3610" t="s">
        <v>5381</v>
      </c>
      <c r="R227" s="3611" t="s">
        <v>5382</v>
      </c>
      <c r="S227" s="3610" t="s">
        <v>5383</v>
      </c>
      <c r="T227" s="3611" t="s">
        <v>5384</v>
      </c>
      <c r="U227" s="3610" t="s">
        <v>5385</v>
      </c>
      <c r="V227" s="3611" t="s">
        <v>5386</v>
      </c>
      <c r="W227" s="4802" t="s">
        <v>5387</v>
      </c>
      <c r="X227" s="3611" t="s">
        <v>5388</v>
      </c>
      <c r="Y227" s="4802" t="s">
        <v>5389</v>
      </c>
      <c r="Z227" s="3611" t="s">
        <v>5390</v>
      </c>
      <c r="AA227" s="4802" t="s">
        <v>5391</v>
      </c>
      <c r="AB227" s="3611" t="s">
        <v>5392</v>
      </c>
      <c r="AC227" s="4802" t="s">
        <v>5393</v>
      </c>
      <c r="AD227" s="3611" t="s">
        <v>5394</v>
      </c>
      <c r="AE227" s="4802" t="s">
        <v>5395</v>
      </c>
      <c r="AF227" s="3611" t="s">
        <v>5396</v>
      </c>
      <c r="AG227" s="4802" t="s">
        <v>5397</v>
      </c>
      <c r="AH227" s="3611" t="s">
        <v>5398</v>
      </c>
      <c r="AI227" s="4802" t="s">
        <v>5399</v>
      </c>
      <c r="AJ227" s="3611" t="s">
        <v>5400</v>
      </c>
      <c r="AK227" s="4802" t="s">
        <v>5401</v>
      </c>
      <c r="AL227" s="3611" t="s">
        <v>5402</v>
      </c>
      <c r="AM227" s="4802" t="s">
        <v>5403</v>
      </c>
      <c r="AN227" s="3611" t="s">
        <v>5404</v>
      </c>
      <c r="AO227" s="4802" t="s">
        <v>5405</v>
      </c>
      <c r="AP227" s="3612" t="s">
        <v>5406</v>
      </c>
      <c r="AQ227" s="3613" t="s">
        <v>5407</v>
      </c>
      <c r="AR227" s="4803" t="s">
        <v>5408</v>
      </c>
      <c r="AS227" s="3614" t="s">
        <v>5409</v>
      </c>
      <c r="AT227" s="3614" t="s">
        <v>5410</v>
      </c>
      <c r="AU227" s="3611" t="s">
        <v>5411</v>
      </c>
      <c r="AV227" s="3611" t="s">
        <v>5412</v>
      </c>
      <c r="AW227" s="4804" t="s">
        <v>5413</v>
      </c>
      <c r="AX227" s="4804" t="s">
        <v>5414</v>
      </c>
      <c r="AY227" s="3610" t="s">
        <v>5415</v>
      </c>
      <c r="AZ227" s="4900" t="e">
        <f t="shared" si="129"/>
        <v>#VALUE!</v>
      </c>
      <c r="BV227" s="1430"/>
      <c r="BW227" s="1430"/>
      <c r="BX227" s="1438"/>
      <c r="CB227" s="1435" t="e">
        <f t="shared" si="130"/>
        <v>#VALUE!</v>
      </c>
      <c r="CC227" s="1435"/>
      <c r="CD227" s="1435" t="str">
        <f t="shared" si="131"/>
        <v/>
      </c>
      <c r="CE227" s="1435" t="str">
        <f t="shared" si="132"/>
        <v xml:space="preserve">* Las Embarazadas NO DEBEN ser mayor al total de Mujeres. </v>
      </c>
      <c r="CF227" s="1435" t="str">
        <f t="shared" si="133"/>
        <v xml:space="preserve">* Los Usuarios en Situación de Discapacidad NO DEBEN ser mayor al total. </v>
      </c>
      <c r="CG227" s="1435"/>
      <c r="CH227" s="1435" t="str">
        <f t="shared" si="134"/>
        <v xml:space="preserve">* Los Migrantes NO DEBEN ser mayor al total. </v>
      </c>
      <c r="DB227" s="1436" t="e">
        <f t="shared" si="135"/>
        <v>#VALUE!</v>
      </c>
      <c r="DC227" s="1436"/>
      <c r="DD227" s="1436"/>
      <c r="DE227" s="1436">
        <f t="shared" si="136"/>
        <v>1</v>
      </c>
      <c r="DF227" s="1436">
        <f t="shared" si="137"/>
        <v>1</v>
      </c>
      <c r="DG227" s="1436"/>
      <c r="DH227" s="1436">
        <f t="shared" si="138"/>
        <v>1</v>
      </c>
    </row>
    <row r="228" spans="1:112" ht="16.350000000000001" customHeight="1" x14ac:dyDescent="0.25">
      <c r="A228" s="7520" t="s">
        <v>5269</v>
      </c>
      <c r="B228" s="9743"/>
      <c r="C228" s="9904" t="s">
        <v>1050</v>
      </c>
      <c r="D228" s="9904"/>
      <c r="E228" s="4805" t="s">
        <v>5369</v>
      </c>
      <c r="F228" s="4806" t="s">
        <v>5370</v>
      </c>
      <c r="G228" s="3615" t="s">
        <v>5371</v>
      </c>
      <c r="H228" s="8202" t="s">
        <v>5372</v>
      </c>
      <c r="I228" s="8202" t="s">
        <v>5373</v>
      </c>
      <c r="J228" s="3604" t="s">
        <v>5374</v>
      </c>
      <c r="K228" s="3603" t="s">
        <v>5375</v>
      </c>
      <c r="L228" s="3604" t="s">
        <v>5376</v>
      </c>
      <c r="M228" s="3603" t="s">
        <v>5377</v>
      </c>
      <c r="N228" s="3604" t="s">
        <v>5378</v>
      </c>
      <c r="O228" s="3603" t="s">
        <v>5379</v>
      </c>
      <c r="P228" s="3604" t="s">
        <v>5380</v>
      </c>
      <c r="Q228" s="3603" t="s">
        <v>5381</v>
      </c>
      <c r="R228" s="3604" t="s">
        <v>5382</v>
      </c>
      <c r="S228" s="3603" t="s">
        <v>5383</v>
      </c>
      <c r="T228" s="3604" t="s">
        <v>5384</v>
      </c>
      <c r="U228" s="3603" t="s">
        <v>5385</v>
      </c>
      <c r="V228" s="3604" t="s">
        <v>5386</v>
      </c>
      <c r="W228" s="3122" t="s">
        <v>5387</v>
      </c>
      <c r="X228" s="3604" t="s">
        <v>5388</v>
      </c>
      <c r="Y228" s="3122" t="s">
        <v>5389</v>
      </c>
      <c r="Z228" s="3604" t="s">
        <v>5390</v>
      </c>
      <c r="AA228" s="3122" t="s">
        <v>5391</v>
      </c>
      <c r="AB228" s="3604" t="s">
        <v>5392</v>
      </c>
      <c r="AC228" s="3122" t="s">
        <v>5393</v>
      </c>
      <c r="AD228" s="3604" t="s">
        <v>5394</v>
      </c>
      <c r="AE228" s="3122" t="s">
        <v>5395</v>
      </c>
      <c r="AF228" s="3604" t="s">
        <v>5396</v>
      </c>
      <c r="AG228" s="3122" t="s">
        <v>5397</v>
      </c>
      <c r="AH228" s="3604" t="s">
        <v>5398</v>
      </c>
      <c r="AI228" s="3122" t="s">
        <v>5399</v>
      </c>
      <c r="AJ228" s="3604" t="s">
        <v>5400</v>
      </c>
      <c r="AK228" s="3122" t="s">
        <v>5401</v>
      </c>
      <c r="AL228" s="3604" t="s">
        <v>5402</v>
      </c>
      <c r="AM228" s="3122" t="s">
        <v>5403</v>
      </c>
      <c r="AN228" s="3604" t="s">
        <v>5404</v>
      </c>
      <c r="AO228" s="3122" t="s">
        <v>5405</v>
      </c>
      <c r="AP228" s="3605" t="s">
        <v>5406</v>
      </c>
      <c r="AQ228" s="3606" t="s">
        <v>5407</v>
      </c>
      <c r="AR228" s="4807" t="s">
        <v>5409</v>
      </c>
      <c r="AS228" s="3616" t="s">
        <v>5409</v>
      </c>
      <c r="AT228" s="3616" t="s">
        <v>5410</v>
      </c>
      <c r="AU228" s="3604" t="s">
        <v>5411</v>
      </c>
      <c r="AV228" s="3604" t="s">
        <v>5412</v>
      </c>
      <c r="AW228" s="4794" t="s">
        <v>5413</v>
      </c>
      <c r="AX228" s="4794" t="s">
        <v>5414</v>
      </c>
      <c r="AY228" s="3603" t="s">
        <v>5415</v>
      </c>
      <c r="AZ228" s="4900" t="e">
        <f t="shared" si="129"/>
        <v>#VALUE!</v>
      </c>
      <c r="BV228" s="1430"/>
      <c r="BW228" s="1430"/>
      <c r="BX228" s="1438"/>
      <c r="CB228" s="1435" t="e">
        <f t="shared" si="130"/>
        <v>#VALUE!</v>
      </c>
      <c r="CC228" s="1435"/>
      <c r="CD228" s="1435" t="str">
        <f t="shared" si="131"/>
        <v/>
      </c>
      <c r="CE228" s="1435" t="str">
        <f t="shared" si="132"/>
        <v xml:space="preserve">* Las Embarazadas NO DEBEN ser mayor al total de Mujeres. </v>
      </c>
      <c r="CF228" s="1435" t="str">
        <f t="shared" si="133"/>
        <v xml:space="preserve">* Los Usuarios en Situación de Discapacidad NO DEBEN ser mayor al total. </v>
      </c>
      <c r="CG228" s="1435"/>
      <c r="CH228" s="1435" t="str">
        <f t="shared" si="134"/>
        <v xml:space="preserve">* Los Migrantes NO DEBEN ser mayor al total. </v>
      </c>
      <c r="DB228" s="1436" t="e">
        <f t="shared" si="135"/>
        <v>#VALUE!</v>
      </c>
      <c r="DC228" s="1436"/>
      <c r="DD228" s="1436"/>
      <c r="DE228" s="1436">
        <f t="shared" si="136"/>
        <v>1</v>
      </c>
      <c r="DF228" s="1436">
        <f t="shared" si="137"/>
        <v>1</v>
      </c>
      <c r="DG228" s="1436"/>
      <c r="DH228" s="1436">
        <f t="shared" si="138"/>
        <v>1</v>
      </c>
    </row>
    <row r="229" spans="1:112" ht="16.350000000000001" customHeight="1" x14ac:dyDescent="0.25">
      <c r="A229" s="7520" t="s">
        <v>5270</v>
      </c>
      <c r="B229" s="8627" t="s">
        <v>1027</v>
      </c>
      <c r="C229" s="9903" t="s">
        <v>1054</v>
      </c>
      <c r="D229" s="9903"/>
      <c r="E229" s="4761" t="s">
        <v>5369</v>
      </c>
      <c r="F229" s="4808" t="s">
        <v>5370</v>
      </c>
      <c r="G229" s="4809" t="s">
        <v>5371</v>
      </c>
      <c r="H229" s="4783" t="s">
        <v>5372</v>
      </c>
      <c r="I229" s="4784" t="s">
        <v>5373</v>
      </c>
      <c r="J229" s="4785" t="s">
        <v>5374</v>
      </c>
      <c r="K229" s="4784" t="s">
        <v>5375</v>
      </c>
      <c r="L229" s="4785" t="s">
        <v>5376</v>
      </c>
      <c r="M229" s="4784" t="s">
        <v>5377</v>
      </c>
      <c r="N229" s="4785" t="s">
        <v>5378</v>
      </c>
      <c r="O229" s="4784" t="s">
        <v>5379</v>
      </c>
      <c r="P229" s="4785" t="s">
        <v>5380</v>
      </c>
      <c r="Q229" s="4784" t="s">
        <v>5381</v>
      </c>
      <c r="R229" s="4785" t="s">
        <v>5382</v>
      </c>
      <c r="S229" s="4784" t="s">
        <v>5383</v>
      </c>
      <c r="T229" s="4785" t="s">
        <v>5384</v>
      </c>
      <c r="U229" s="4784" t="s">
        <v>5385</v>
      </c>
      <c r="V229" s="4785" t="s">
        <v>5386</v>
      </c>
      <c r="W229" s="4786" t="s">
        <v>5387</v>
      </c>
      <c r="X229" s="4785" t="s">
        <v>5388</v>
      </c>
      <c r="Y229" s="4786" t="s">
        <v>5389</v>
      </c>
      <c r="Z229" s="4785" t="s">
        <v>5390</v>
      </c>
      <c r="AA229" s="4786" t="s">
        <v>5391</v>
      </c>
      <c r="AB229" s="4785" t="s">
        <v>5392</v>
      </c>
      <c r="AC229" s="4786" t="s">
        <v>5393</v>
      </c>
      <c r="AD229" s="4785" t="s">
        <v>5394</v>
      </c>
      <c r="AE229" s="4786" t="s">
        <v>5395</v>
      </c>
      <c r="AF229" s="4785" t="s">
        <v>5396</v>
      </c>
      <c r="AG229" s="4786" t="s">
        <v>5397</v>
      </c>
      <c r="AH229" s="4785" t="s">
        <v>5398</v>
      </c>
      <c r="AI229" s="4786" t="s">
        <v>5399</v>
      </c>
      <c r="AJ229" s="4785" t="s">
        <v>5400</v>
      </c>
      <c r="AK229" s="4786" t="s">
        <v>5401</v>
      </c>
      <c r="AL229" s="4785" t="s">
        <v>5402</v>
      </c>
      <c r="AM229" s="4786" t="s">
        <v>5403</v>
      </c>
      <c r="AN229" s="4785" t="s">
        <v>5404</v>
      </c>
      <c r="AO229" s="4786" t="s">
        <v>5405</v>
      </c>
      <c r="AP229" s="3608" t="s">
        <v>5406</v>
      </c>
      <c r="AQ229" s="1814" t="s">
        <v>5407</v>
      </c>
      <c r="AR229" s="4783" t="s">
        <v>5408</v>
      </c>
      <c r="AS229" s="3609" t="s">
        <v>5409</v>
      </c>
      <c r="AT229" s="4783" t="s">
        <v>5410</v>
      </c>
      <c r="AU229" s="4796" t="s">
        <v>5411</v>
      </c>
      <c r="AV229" s="4796" t="s">
        <v>5412</v>
      </c>
      <c r="AW229" s="3609" t="s">
        <v>5413</v>
      </c>
      <c r="AX229" s="3609" t="s">
        <v>5414</v>
      </c>
      <c r="AY229" s="3607" t="s">
        <v>5415</v>
      </c>
      <c r="AZ229" s="4900" t="e">
        <f t="shared" si="129"/>
        <v>#VALUE!</v>
      </c>
      <c r="BV229" s="1430"/>
      <c r="BW229" s="1430"/>
      <c r="BX229" s="1438"/>
      <c r="CB229" s="1435" t="e">
        <f t="shared" si="130"/>
        <v>#VALUE!</v>
      </c>
      <c r="CC229" s="1435" t="str">
        <f>IF(DC229=1,"* La consulta pertinente según Protocolo de Referencia NO DEBE ser mayor al Total registrado. ","")</f>
        <v xml:space="preserve">* La consulta pertinente según Protocolo de Referencia NO DEBE ser mayor al Total registrado. </v>
      </c>
      <c r="CD229" s="1435" t="str">
        <f t="shared" si="131"/>
        <v xml:space="preserve">* La consulta pertinente según condición clínica NO DEBE ser mayor al Total registrado. </v>
      </c>
      <c r="CE229" s="1435" t="str">
        <f t="shared" si="132"/>
        <v xml:space="preserve">* Las Embarazadas NO DEBEN ser mayor al total de Mujeres. </v>
      </c>
      <c r="CF229" s="1435" t="str">
        <f t="shared" si="133"/>
        <v xml:space="preserve">* Los Usuarios en Situación de Discapacidad NO DEBEN ser mayor al total. </v>
      </c>
      <c r="CG229" s="1435"/>
      <c r="CH229" s="1435" t="str">
        <f t="shared" si="134"/>
        <v xml:space="preserve">* Los Migrantes NO DEBEN ser mayor al total. </v>
      </c>
      <c r="DB229" s="1436" t="e">
        <f t="shared" si="135"/>
        <v>#VALUE!</v>
      </c>
      <c r="DC229" s="1436">
        <f>IF(E229&lt;AR229,1,0)</f>
        <v>1</v>
      </c>
      <c r="DD229" s="1436">
        <f>IF(E229&lt;AS229,1,0)</f>
        <v>1</v>
      </c>
      <c r="DE229" s="1436">
        <f t="shared" si="136"/>
        <v>1</v>
      </c>
      <c r="DF229" s="1436">
        <f t="shared" si="137"/>
        <v>1</v>
      </c>
      <c r="DG229" s="1436"/>
      <c r="DH229" s="1436">
        <f t="shared" si="138"/>
        <v>1</v>
      </c>
    </row>
    <row r="230" spans="1:112" ht="16.350000000000001" customHeight="1" x14ac:dyDescent="0.25">
      <c r="A230" s="7520" t="s">
        <v>5271</v>
      </c>
      <c r="B230" s="8705"/>
      <c r="C230" s="9835" t="s">
        <v>1053</v>
      </c>
      <c r="D230" s="9835"/>
      <c r="E230" s="4766" t="s">
        <v>5369</v>
      </c>
      <c r="F230" s="3062" t="s">
        <v>5370</v>
      </c>
      <c r="G230" s="4797" t="s">
        <v>5371</v>
      </c>
      <c r="H230" s="4798" t="s">
        <v>5372</v>
      </c>
      <c r="I230" s="1816" t="s">
        <v>5373</v>
      </c>
      <c r="J230" s="4799" t="s">
        <v>5374</v>
      </c>
      <c r="K230" s="1816" t="s">
        <v>5375</v>
      </c>
      <c r="L230" s="4799" t="s">
        <v>5376</v>
      </c>
      <c r="M230" s="1816" t="s">
        <v>5377</v>
      </c>
      <c r="N230" s="4799" t="s">
        <v>5378</v>
      </c>
      <c r="O230" s="1816" t="s">
        <v>5379</v>
      </c>
      <c r="P230" s="4799" t="s">
        <v>5380</v>
      </c>
      <c r="Q230" s="1816" t="s">
        <v>5381</v>
      </c>
      <c r="R230" s="4799" t="s">
        <v>5382</v>
      </c>
      <c r="S230" s="1816" t="s">
        <v>5383</v>
      </c>
      <c r="T230" s="4799" t="s">
        <v>5384</v>
      </c>
      <c r="U230" s="1816" t="s">
        <v>5385</v>
      </c>
      <c r="V230" s="4799" t="s">
        <v>5386</v>
      </c>
      <c r="W230" s="2926" t="s">
        <v>5387</v>
      </c>
      <c r="X230" s="4799" t="s">
        <v>5388</v>
      </c>
      <c r="Y230" s="2926" t="s">
        <v>5389</v>
      </c>
      <c r="Z230" s="4799" t="s">
        <v>5390</v>
      </c>
      <c r="AA230" s="2926" t="s">
        <v>5391</v>
      </c>
      <c r="AB230" s="4799" t="s">
        <v>5392</v>
      </c>
      <c r="AC230" s="2926" t="s">
        <v>5393</v>
      </c>
      <c r="AD230" s="4799" t="s">
        <v>5394</v>
      </c>
      <c r="AE230" s="2926" t="s">
        <v>5395</v>
      </c>
      <c r="AF230" s="4799" t="s">
        <v>5396</v>
      </c>
      <c r="AG230" s="2926" t="s">
        <v>5397</v>
      </c>
      <c r="AH230" s="4799" t="s">
        <v>5398</v>
      </c>
      <c r="AI230" s="2926" t="s">
        <v>5399</v>
      </c>
      <c r="AJ230" s="4799" t="s">
        <v>5400</v>
      </c>
      <c r="AK230" s="2926" t="s">
        <v>5401</v>
      </c>
      <c r="AL230" s="4799" t="s">
        <v>5402</v>
      </c>
      <c r="AM230" s="2926" t="s">
        <v>5403</v>
      </c>
      <c r="AN230" s="4799" t="s">
        <v>5404</v>
      </c>
      <c r="AO230" s="2926" t="s">
        <v>5405</v>
      </c>
      <c r="AP230" s="1818" t="s">
        <v>5406</v>
      </c>
      <c r="AQ230" s="1819" t="s">
        <v>5407</v>
      </c>
      <c r="AR230" s="4789" t="s">
        <v>5408</v>
      </c>
      <c r="AS230" s="4810" t="s">
        <v>5409</v>
      </c>
      <c r="AT230" s="3508" t="s">
        <v>5410</v>
      </c>
      <c r="AU230" s="4799" t="s">
        <v>5411</v>
      </c>
      <c r="AV230" s="4799" t="s">
        <v>5412</v>
      </c>
      <c r="AW230" s="4800" t="s">
        <v>5413</v>
      </c>
      <c r="AX230" s="4800" t="s">
        <v>5414</v>
      </c>
      <c r="AY230" s="1816" t="s">
        <v>5415</v>
      </c>
      <c r="AZ230" s="4900" t="e">
        <f t="shared" si="129"/>
        <v>#VALUE!</v>
      </c>
      <c r="BV230" s="1430"/>
      <c r="BW230" s="1430"/>
      <c r="BX230" s="1438"/>
      <c r="CB230" s="1435" t="e">
        <f t="shared" si="130"/>
        <v>#VALUE!</v>
      </c>
      <c r="CC230" s="1435"/>
      <c r="CD230" s="1435" t="str">
        <f t="shared" si="131"/>
        <v/>
      </c>
      <c r="CE230" s="1435" t="str">
        <f t="shared" si="132"/>
        <v xml:space="preserve">* Las Embarazadas NO DEBEN ser mayor al total de Mujeres. </v>
      </c>
      <c r="CF230" s="1435" t="str">
        <f t="shared" si="133"/>
        <v xml:space="preserve">* Los Usuarios en Situación de Discapacidad NO DEBEN ser mayor al total. </v>
      </c>
      <c r="CG230" s="1435"/>
      <c r="CH230" s="1435" t="str">
        <f t="shared" si="134"/>
        <v xml:space="preserve">* Los Migrantes NO DEBEN ser mayor al total. </v>
      </c>
      <c r="DB230" s="1436" t="e">
        <f t="shared" si="135"/>
        <v>#VALUE!</v>
      </c>
      <c r="DC230" s="1436"/>
      <c r="DD230" s="1436"/>
      <c r="DE230" s="1436">
        <f t="shared" si="136"/>
        <v>1</v>
      </c>
      <c r="DF230" s="1436">
        <f t="shared" si="137"/>
        <v>1</v>
      </c>
      <c r="DG230" s="1436"/>
      <c r="DH230" s="1436">
        <f t="shared" si="138"/>
        <v>1</v>
      </c>
    </row>
    <row r="231" spans="1:112" ht="16.350000000000001" customHeight="1" x14ac:dyDescent="0.25">
      <c r="A231" s="7520" t="s">
        <v>5272</v>
      </c>
      <c r="B231" s="8705"/>
      <c r="C231" s="9835" t="s">
        <v>1052</v>
      </c>
      <c r="D231" s="9835"/>
      <c r="E231" s="4766" t="s">
        <v>5369</v>
      </c>
      <c r="F231" s="3062" t="s">
        <v>5370</v>
      </c>
      <c r="G231" s="4797" t="s">
        <v>5371</v>
      </c>
      <c r="H231" s="4798" t="s">
        <v>5372</v>
      </c>
      <c r="I231" s="1816" t="s">
        <v>5373</v>
      </c>
      <c r="J231" s="4799" t="s">
        <v>5374</v>
      </c>
      <c r="K231" s="1816" t="s">
        <v>5375</v>
      </c>
      <c r="L231" s="4799" t="s">
        <v>5376</v>
      </c>
      <c r="M231" s="1816" t="s">
        <v>5377</v>
      </c>
      <c r="N231" s="4799" t="s">
        <v>5378</v>
      </c>
      <c r="O231" s="1816" t="s">
        <v>5379</v>
      </c>
      <c r="P231" s="4799" t="s">
        <v>5380</v>
      </c>
      <c r="Q231" s="1816" t="s">
        <v>5381</v>
      </c>
      <c r="R231" s="4799" t="s">
        <v>5382</v>
      </c>
      <c r="S231" s="1816" t="s">
        <v>5383</v>
      </c>
      <c r="T231" s="4799" t="s">
        <v>5384</v>
      </c>
      <c r="U231" s="1816" t="s">
        <v>5385</v>
      </c>
      <c r="V231" s="4799" t="s">
        <v>5386</v>
      </c>
      <c r="W231" s="2926" t="s">
        <v>5387</v>
      </c>
      <c r="X231" s="4799" t="s">
        <v>5388</v>
      </c>
      <c r="Y231" s="2926" t="s">
        <v>5389</v>
      </c>
      <c r="Z231" s="4799" t="s">
        <v>5390</v>
      </c>
      <c r="AA231" s="2926" t="s">
        <v>5391</v>
      </c>
      <c r="AB231" s="4799" t="s">
        <v>5392</v>
      </c>
      <c r="AC231" s="2926" t="s">
        <v>5393</v>
      </c>
      <c r="AD231" s="4799" t="s">
        <v>5394</v>
      </c>
      <c r="AE231" s="2926" t="s">
        <v>5395</v>
      </c>
      <c r="AF231" s="4799" t="s">
        <v>5396</v>
      </c>
      <c r="AG231" s="2926" t="s">
        <v>5397</v>
      </c>
      <c r="AH231" s="4799" t="s">
        <v>5398</v>
      </c>
      <c r="AI231" s="2926" t="s">
        <v>5399</v>
      </c>
      <c r="AJ231" s="4799" t="s">
        <v>5400</v>
      </c>
      <c r="AK231" s="2926" t="s">
        <v>5401</v>
      </c>
      <c r="AL231" s="4799" t="s">
        <v>5402</v>
      </c>
      <c r="AM231" s="2926" t="s">
        <v>5403</v>
      </c>
      <c r="AN231" s="4799" t="s">
        <v>5404</v>
      </c>
      <c r="AO231" s="2926" t="s">
        <v>5405</v>
      </c>
      <c r="AP231" s="1818" t="s">
        <v>5406</v>
      </c>
      <c r="AQ231" s="1819" t="s">
        <v>5407</v>
      </c>
      <c r="AR231" s="4789" t="s">
        <v>5408</v>
      </c>
      <c r="AS231" s="4810" t="s">
        <v>5409</v>
      </c>
      <c r="AT231" s="4810" t="s">
        <v>5410</v>
      </c>
      <c r="AU231" s="4799" t="s">
        <v>5411</v>
      </c>
      <c r="AV231" s="4799" t="s">
        <v>5412</v>
      </c>
      <c r="AW231" s="4800" t="s">
        <v>5413</v>
      </c>
      <c r="AX231" s="4800" t="s">
        <v>5414</v>
      </c>
      <c r="AY231" s="1816" t="s">
        <v>5415</v>
      </c>
      <c r="AZ231" s="4900" t="e">
        <f t="shared" si="129"/>
        <v>#VALUE!</v>
      </c>
      <c r="BV231" s="1430"/>
      <c r="BW231" s="1430"/>
      <c r="BX231" s="1438"/>
      <c r="CB231" s="1435" t="e">
        <f t="shared" si="130"/>
        <v>#VALUE!</v>
      </c>
      <c r="CC231" s="1435"/>
      <c r="CD231" s="1435" t="str">
        <f t="shared" si="131"/>
        <v/>
      </c>
      <c r="CE231" s="1435" t="str">
        <f t="shared" si="132"/>
        <v xml:space="preserve">* Las Embarazadas NO DEBEN ser mayor al total de Mujeres. </v>
      </c>
      <c r="CF231" s="1435" t="str">
        <f t="shared" si="133"/>
        <v xml:space="preserve">* Los Usuarios en Situación de Discapacidad NO DEBEN ser mayor al total. </v>
      </c>
      <c r="CG231" s="1435"/>
      <c r="CH231" s="1435" t="str">
        <f t="shared" si="134"/>
        <v xml:space="preserve">* Los Migrantes NO DEBEN ser mayor al total. </v>
      </c>
      <c r="DB231" s="1436" t="e">
        <f t="shared" si="135"/>
        <v>#VALUE!</v>
      </c>
      <c r="DC231" s="1436"/>
      <c r="DD231" s="1436"/>
      <c r="DE231" s="1436">
        <f t="shared" si="136"/>
        <v>1</v>
      </c>
      <c r="DF231" s="1436">
        <f t="shared" si="137"/>
        <v>1</v>
      </c>
      <c r="DG231" s="1436"/>
      <c r="DH231" s="1436">
        <f t="shared" si="138"/>
        <v>1</v>
      </c>
    </row>
    <row r="232" spans="1:112" ht="16.350000000000001" customHeight="1" x14ac:dyDescent="0.25">
      <c r="A232" s="7520" t="s">
        <v>5273</v>
      </c>
      <c r="B232" s="8705"/>
      <c r="C232" s="9862" t="s">
        <v>1051</v>
      </c>
      <c r="D232" s="9863"/>
      <c r="E232" s="4766" t="s">
        <v>5369</v>
      </c>
      <c r="F232" s="3062" t="s">
        <v>5370</v>
      </c>
      <c r="G232" s="4797" t="s">
        <v>5371</v>
      </c>
      <c r="H232" s="4801" t="s">
        <v>5372</v>
      </c>
      <c r="I232" s="3610" t="s">
        <v>5373</v>
      </c>
      <c r="J232" s="3611" t="s">
        <v>5374</v>
      </c>
      <c r="K232" s="3610" t="s">
        <v>5375</v>
      </c>
      <c r="L232" s="3611" t="s">
        <v>5376</v>
      </c>
      <c r="M232" s="3610" t="s">
        <v>5377</v>
      </c>
      <c r="N232" s="3611" t="s">
        <v>5378</v>
      </c>
      <c r="O232" s="3610" t="s">
        <v>5379</v>
      </c>
      <c r="P232" s="3611" t="s">
        <v>5380</v>
      </c>
      <c r="Q232" s="3610" t="s">
        <v>5381</v>
      </c>
      <c r="R232" s="3611" t="s">
        <v>5382</v>
      </c>
      <c r="S232" s="3610" t="s">
        <v>5383</v>
      </c>
      <c r="T232" s="3611" t="s">
        <v>5384</v>
      </c>
      <c r="U232" s="3610" t="s">
        <v>5385</v>
      </c>
      <c r="V232" s="3611" t="s">
        <v>5386</v>
      </c>
      <c r="W232" s="4802" t="s">
        <v>5387</v>
      </c>
      <c r="X232" s="3611" t="s">
        <v>5388</v>
      </c>
      <c r="Y232" s="4802" t="s">
        <v>5389</v>
      </c>
      <c r="Z232" s="3611" t="s">
        <v>5390</v>
      </c>
      <c r="AA232" s="4802" t="s">
        <v>5391</v>
      </c>
      <c r="AB232" s="3611" t="s">
        <v>5392</v>
      </c>
      <c r="AC232" s="4802" t="s">
        <v>5393</v>
      </c>
      <c r="AD232" s="3611" t="s">
        <v>5394</v>
      </c>
      <c r="AE232" s="4802" t="s">
        <v>5395</v>
      </c>
      <c r="AF232" s="3611" t="s">
        <v>5396</v>
      </c>
      <c r="AG232" s="4802" t="s">
        <v>5397</v>
      </c>
      <c r="AH232" s="3611" t="s">
        <v>5398</v>
      </c>
      <c r="AI232" s="4802" t="s">
        <v>5399</v>
      </c>
      <c r="AJ232" s="3611" t="s">
        <v>5400</v>
      </c>
      <c r="AK232" s="4802" t="s">
        <v>5401</v>
      </c>
      <c r="AL232" s="3611" t="s">
        <v>5402</v>
      </c>
      <c r="AM232" s="4802" t="s">
        <v>5403</v>
      </c>
      <c r="AN232" s="3611" t="s">
        <v>5404</v>
      </c>
      <c r="AO232" s="4802" t="s">
        <v>5405</v>
      </c>
      <c r="AP232" s="3612" t="s">
        <v>5406</v>
      </c>
      <c r="AQ232" s="3613" t="s">
        <v>5407</v>
      </c>
      <c r="AR232" s="4789" t="s">
        <v>5408</v>
      </c>
      <c r="AS232" s="4810" t="s">
        <v>5409</v>
      </c>
      <c r="AT232" s="4810" t="s">
        <v>5410</v>
      </c>
      <c r="AU232" s="3611" t="s">
        <v>5411</v>
      </c>
      <c r="AV232" s="3611" t="s">
        <v>5412</v>
      </c>
      <c r="AW232" s="4804" t="s">
        <v>5413</v>
      </c>
      <c r="AX232" s="4804" t="s">
        <v>5414</v>
      </c>
      <c r="AY232" s="3610" t="s">
        <v>5415</v>
      </c>
      <c r="AZ232" s="4900" t="e">
        <f t="shared" si="129"/>
        <v>#VALUE!</v>
      </c>
      <c r="BV232" s="1430"/>
      <c r="BW232" s="1430"/>
      <c r="BX232" s="1438"/>
      <c r="CB232" s="1435" t="e">
        <f t="shared" si="130"/>
        <v>#VALUE!</v>
      </c>
      <c r="CC232" s="1435"/>
      <c r="CD232" s="1435" t="str">
        <f t="shared" si="131"/>
        <v/>
      </c>
      <c r="CE232" s="1435" t="str">
        <f t="shared" si="132"/>
        <v xml:space="preserve">* Las Embarazadas NO DEBEN ser mayor al total de Mujeres. </v>
      </c>
      <c r="CF232" s="1435" t="str">
        <f t="shared" si="133"/>
        <v xml:space="preserve">* Los Usuarios en Situación de Discapacidad NO DEBEN ser mayor al total. </v>
      </c>
      <c r="CG232" s="1435"/>
      <c r="CH232" s="1435" t="str">
        <f t="shared" si="134"/>
        <v xml:space="preserve">* Los Migrantes NO DEBEN ser mayor al total. </v>
      </c>
      <c r="DB232" s="1436" t="e">
        <f t="shared" si="135"/>
        <v>#VALUE!</v>
      </c>
      <c r="DC232" s="1436"/>
      <c r="DD232" s="1436"/>
      <c r="DE232" s="1436">
        <f t="shared" si="136"/>
        <v>1</v>
      </c>
      <c r="DF232" s="1436">
        <f t="shared" si="137"/>
        <v>1</v>
      </c>
      <c r="DG232" s="1436"/>
      <c r="DH232" s="1436">
        <f t="shared" si="138"/>
        <v>1</v>
      </c>
    </row>
    <row r="233" spans="1:112" ht="16.350000000000001" customHeight="1" x14ac:dyDescent="0.25">
      <c r="A233" s="7520" t="s">
        <v>5274</v>
      </c>
      <c r="B233" s="8705"/>
      <c r="C233" s="9862" t="s">
        <v>2140</v>
      </c>
      <c r="D233" s="9863"/>
      <c r="E233" s="4766" t="s">
        <v>5369</v>
      </c>
      <c r="F233" s="3062" t="s">
        <v>5370</v>
      </c>
      <c r="G233" s="4797" t="s">
        <v>5371</v>
      </c>
      <c r="H233" s="4801" t="s">
        <v>5372</v>
      </c>
      <c r="I233" s="3610" t="s">
        <v>5373</v>
      </c>
      <c r="J233" s="3611" t="s">
        <v>5374</v>
      </c>
      <c r="K233" s="3610" t="s">
        <v>5375</v>
      </c>
      <c r="L233" s="3611" t="s">
        <v>5376</v>
      </c>
      <c r="M233" s="3610" t="s">
        <v>5377</v>
      </c>
      <c r="N233" s="3611" t="s">
        <v>5378</v>
      </c>
      <c r="O233" s="3610" t="s">
        <v>5379</v>
      </c>
      <c r="P233" s="3611" t="s">
        <v>5380</v>
      </c>
      <c r="Q233" s="3610" t="s">
        <v>5381</v>
      </c>
      <c r="R233" s="3611" t="s">
        <v>5382</v>
      </c>
      <c r="S233" s="3610" t="s">
        <v>5383</v>
      </c>
      <c r="T233" s="3611" t="s">
        <v>5384</v>
      </c>
      <c r="U233" s="3610" t="s">
        <v>5385</v>
      </c>
      <c r="V233" s="3611" t="s">
        <v>5386</v>
      </c>
      <c r="W233" s="4802" t="s">
        <v>5387</v>
      </c>
      <c r="X233" s="3611" t="s">
        <v>5388</v>
      </c>
      <c r="Y233" s="4802" t="s">
        <v>5389</v>
      </c>
      <c r="Z233" s="3611" t="s">
        <v>5390</v>
      </c>
      <c r="AA233" s="4802" t="s">
        <v>5391</v>
      </c>
      <c r="AB233" s="3611" t="s">
        <v>5392</v>
      </c>
      <c r="AC233" s="4802" t="s">
        <v>5393</v>
      </c>
      <c r="AD233" s="3611" t="s">
        <v>5394</v>
      </c>
      <c r="AE233" s="4802" t="s">
        <v>5395</v>
      </c>
      <c r="AF233" s="3611" t="s">
        <v>5396</v>
      </c>
      <c r="AG233" s="4802" t="s">
        <v>5397</v>
      </c>
      <c r="AH233" s="3611" t="s">
        <v>5398</v>
      </c>
      <c r="AI233" s="4802" t="s">
        <v>5399</v>
      </c>
      <c r="AJ233" s="3611" t="s">
        <v>5400</v>
      </c>
      <c r="AK233" s="4802" t="s">
        <v>5401</v>
      </c>
      <c r="AL233" s="3611" t="s">
        <v>5402</v>
      </c>
      <c r="AM233" s="4802" t="s">
        <v>5403</v>
      </c>
      <c r="AN233" s="3611" t="s">
        <v>5404</v>
      </c>
      <c r="AO233" s="4802" t="s">
        <v>5405</v>
      </c>
      <c r="AP233" s="3612" t="s">
        <v>5406</v>
      </c>
      <c r="AQ233" s="3613" t="s">
        <v>5407</v>
      </c>
      <c r="AR233" s="4803" t="s">
        <v>5408</v>
      </c>
      <c r="AS233" s="3614" t="s">
        <v>5409</v>
      </c>
      <c r="AT233" s="3614" t="s">
        <v>5410</v>
      </c>
      <c r="AU233" s="3611" t="s">
        <v>5411</v>
      </c>
      <c r="AV233" s="3611" t="s">
        <v>5412</v>
      </c>
      <c r="AW233" s="4804" t="s">
        <v>5413</v>
      </c>
      <c r="AX233" s="4804" t="s">
        <v>5414</v>
      </c>
      <c r="AY233" s="3610" t="s">
        <v>5415</v>
      </c>
      <c r="AZ233" s="4900" t="e">
        <f t="shared" si="129"/>
        <v>#VALUE!</v>
      </c>
      <c r="BV233" s="1430"/>
      <c r="BW233" s="1430"/>
      <c r="BX233" s="1438"/>
      <c r="CB233" s="1435" t="e">
        <f t="shared" si="130"/>
        <v>#VALUE!</v>
      </c>
      <c r="CC233" s="1435"/>
      <c r="CD233" s="1435" t="str">
        <f t="shared" si="131"/>
        <v/>
      </c>
      <c r="CE233" s="1435" t="str">
        <f t="shared" si="132"/>
        <v xml:space="preserve">* Las Embarazadas NO DEBEN ser mayor al total de Mujeres. </v>
      </c>
      <c r="CF233" s="1435" t="str">
        <f t="shared" si="133"/>
        <v xml:space="preserve">* Los Usuarios en Situación de Discapacidad NO DEBEN ser mayor al total. </v>
      </c>
      <c r="CG233" s="1435"/>
      <c r="CH233" s="1435" t="str">
        <f t="shared" si="134"/>
        <v xml:space="preserve">* Los Migrantes NO DEBEN ser mayor al total. </v>
      </c>
      <c r="DB233" s="1436" t="e">
        <f t="shared" si="135"/>
        <v>#VALUE!</v>
      </c>
      <c r="DC233" s="1436"/>
      <c r="DD233" s="1436"/>
      <c r="DE233" s="1436">
        <f t="shared" si="136"/>
        <v>1</v>
      </c>
      <c r="DF233" s="1436">
        <f t="shared" si="137"/>
        <v>1</v>
      </c>
      <c r="DG233" s="1436"/>
      <c r="DH233" s="1436">
        <f t="shared" si="138"/>
        <v>1</v>
      </c>
    </row>
    <row r="234" spans="1:112" ht="16.350000000000001" customHeight="1" x14ac:dyDescent="0.25">
      <c r="A234" s="7520" t="s">
        <v>5275</v>
      </c>
      <c r="B234" s="9743"/>
      <c r="C234" s="9904" t="s">
        <v>1050</v>
      </c>
      <c r="D234" s="9904"/>
      <c r="E234" s="4805" t="s">
        <v>5369</v>
      </c>
      <c r="F234" s="4806" t="s">
        <v>5370</v>
      </c>
      <c r="G234" s="3615" t="s">
        <v>5371</v>
      </c>
      <c r="H234" s="8202" t="s">
        <v>5372</v>
      </c>
      <c r="I234" s="8202" t="s">
        <v>5373</v>
      </c>
      <c r="J234" s="3604" t="s">
        <v>5374</v>
      </c>
      <c r="K234" s="3603" t="s">
        <v>5375</v>
      </c>
      <c r="L234" s="3604" t="s">
        <v>5376</v>
      </c>
      <c r="M234" s="3603" t="s">
        <v>5377</v>
      </c>
      <c r="N234" s="3604" t="s">
        <v>5378</v>
      </c>
      <c r="O234" s="3603" t="s">
        <v>5379</v>
      </c>
      <c r="P234" s="3604" t="s">
        <v>5380</v>
      </c>
      <c r="Q234" s="3603" t="s">
        <v>5381</v>
      </c>
      <c r="R234" s="3604" t="s">
        <v>5382</v>
      </c>
      <c r="S234" s="3603" t="s">
        <v>5383</v>
      </c>
      <c r="T234" s="3604" t="s">
        <v>5384</v>
      </c>
      <c r="U234" s="3603" t="s">
        <v>5385</v>
      </c>
      <c r="V234" s="3604" t="s">
        <v>5386</v>
      </c>
      <c r="W234" s="3122" t="s">
        <v>5387</v>
      </c>
      <c r="X234" s="3604" t="s">
        <v>5388</v>
      </c>
      <c r="Y234" s="3122" t="s">
        <v>5389</v>
      </c>
      <c r="Z234" s="3604" t="s">
        <v>5390</v>
      </c>
      <c r="AA234" s="3122" t="s">
        <v>5391</v>
      </c>
      <c r="AB234" s="3604" t="s">
        <v>5392</v>
      </c>
      <c r="AC234" s="3122" t="s">
        <v>5393</v>
      </c>
      <c r="AD234" s="3604" t="s">
        <v>5394</v>
      </c>
      <c r="AE234" s="3122" t="s">
        <v>5395</v>
      </c>
      <c r="AF234" s="3604" t="s">
        <v>5396</v>
      </c>
      <c r="AG234" s="3122" t="s">
        <v>5397</v>
      </c>
      <c r="AH234" s="3604" t="s">
        <v>5398</v>
      </c>
      <c r="AI234" s="3122" t="s">
        <v>5399</v>
      </c>
      <c r="AJ234" s="3604" t="s">
        <v>5400</v>
      </c>
      <c r="AK234" s="3122" t="s">
        <v>5401</v>
      </c>
      <c r="AL234" s="3604" t="s">
        <v>5402</v>
      </c>
      <c r="AM234" s="3122" t="s">
        <v>5403</v>
      </c>
      <c r="AN234" s="3604" t="s">
        <v>5404</v>
      </c>
      <c r="AO234" s="3122" t="s">
        <v>5405</v>
      </c>
      <c r="AP234" s="3605" t="s">
        <v>5406</v>
      </c>
      <c r="AQ234" s="3606" t="s">
        <v>5407</v>
      </c>
      <c r="AR234" s="4807" t="s">
        <v>5408</v>
      </c>
      <c r="AS234" s="3616" t="s">
        <v>5409</v>
      </c>
      <c r="AT234" s="3616" t="s">
        <v>5410</v>
      </c>
      <c r="AU234" s="3604" t="s">
        <v>5411</v>
      </c>
      <c r="AV234" s="3604" t="s">
        <v>5412</v>
      </c>
      <c r="AW234" s="4794" t="s">
        <v>5413</v>
      </c>
      <c r="AX234" s="4794" t="s">
        <v>5414</v>
      </c>
      <c r="AY234" s="3603" t="s">
        <v>5415</v>
      </c>
      <c r="AZ234" s="4900" t="e">
        <f t="shared" si="129"/>
        <v>#VALUE!</v>
      </c>
      <c r="BV234" s="1430"/>
      <c r="BW234" s="1430"/>
      <c r="BX234" s="1438"/>
      <c r="CB234" s="1435" t="e">
        <f t="shared" si="130"/>
        <v>#VALUE!</v>
      </c>
      <c r="CC234" s="1435"/>
      <c r="CD234" s="1435" t="str">
        <f t="shared" si="131"/>
        <v/>
      </c>
      <c r="CE234" s="1435" t="str">
        <f t="shared" si="132"/>
        <v xml:space="preserve">* Las Embarazadas NO DEBEN ser mayor al total de Mujeres. </v>
      </c>
      <c r="CF234" s="1435" t="str">
        <f t="shared" si="133"/>
        <v xml:space="preserve">* Los Usuarios en Situación de Discapacidad NO DEBEN ser mayor al total. </v>
      </c>
      <c r="CG234" s="1435"/>
      <c r="CH234" s="1435" t="str">
        <f t="shared" si="134"/>
        <v xml:space="preserve">* Los Migrantes NO DEBEN ser mayor al total. </v>
      </c>
      <c r="DB234" s="1436" t="e">
        <f t="shared" si="135"/>
        <v>#VALUE!</v>
      </c>
      <c r="DC234" s="1436"/>
      <c r="DD234" s="1436"/>
      <c r="DE234" s="1436">
        <f t="shared" si="136"/>
        <v>1</v>
      </c>
      <c r="DF234" s="1436">
        <f t="shared" si="137"/>
        <v>1</v>
      </c>
      <c r="DG234" s="1436"/>
      <c r="DH234" s="1436">
        <f t="shared" si="138"/>
        <v>1</v>
      </c>
    </row>
    <row r="235" spans="1:112" ht="16.350000000000001" customHeight="1" x14ac:dyDescent="0.25">
      <c r="A235" s="7520" t="s">
        <v>5276</v>
      </c>
      <c r="B235" s="8627" t="s">
        <v>1036</v>
      </c>
      <c r="C235" s="9903" t="s">
        <v>1054</v>
      </c>
      <c r="D235" s="9903"/>
      <c r="E235" s="4761" t="s">
        <v>5369</v>
      </c>
      <c r="F235" s="4808" t="s">
        <v>5370</v>
      </c>
      <c r="G235" s="4809" t="s">
        <v>5371</v>
      </c>
      <c r="H235" s="4783" t="s">
        <v>5372</v>
      </c>
      <c r="I235" s="4784" t="s">
        <v>5373</v>
      </c>
      <c r="J235" s="4785" t="s">
        <v>5374</v>
      </c>
      <c r="K235" s="4784" t="s">
        <v>5375</v>
      </c>
      <c r="L235" s="4785" t="s">
        <v>5376</v>
      </c>
      <c r="M235" s="4784" t="s">
        <v>5377</v>
      </c>
      <c r="N235" s="4785" t="s">
        <v>5378</v>
      </c>
      <c r="O235" s="4784" t="s">
        <v>5379</v>
      </c>
      <c r="P235" s="4785" t="s">
        <v>5380</v>
      </c>
      <c r="Q235" s="4784" t="s">
        <v>5381</v>
      </c>
      <c r="R235" s="4785" t="s">
        <v>5382</v>
      </c>
      <c r="S235" s="4784" t="s">
        <v>5383</v>
      </c>
      <c r="T235" s="4785" t="s">
        <v>5384</v>
      </c>
      <c r="U235" s="4784" t="s">
        <v>5385</v>
      </c>
      <c r="V235" s="4785" t="s">
        <v>5386</v>
      </c>
      <c r="W235" s="4786" t="s">
        <v>5387</v>
      </c>
      <c r="X235" s="4785" t="s">
        <v>5388</v>
      </c>
      <c r="Y235" s="4786" t="s">
        <v>5389</v>
      </c>
      <c r="Z235" s="4785" t="s">
        <v>5390</v>
      </c>
      <c r="AA235" s="4786" t="s">
        <v>5391</v>
      </c>
      <c r="AB235" s="4785" t="s">
        <v>5392</v>
      </c>
      <c r="AC235" s="4786" t="s">
        <v>5393</v>
      </c>
      <c r="AD235" s="4785" t="s">
        <v>5394</v>
      </c>
      <c r="AE235" s="4786" t="s">
        <v>5395</v>
      </c>
      <c r="AF235" s="4785" t="s">
        <v>5396</v>
      </c>
      <c r="AG235" s="4786" t="s">
        <v>5397</v>
      </c>
      <c r="AH235" s="4785" t="s">
        <v>5398</v>
      </c>
      <c r="AI235" s="4786" t="s">
        <v>5399</v>
      </c>
      <c r="AJ235" s="4785" t="s">
        <v>5400</v>
      </c>
      <c r="AK235" s="4786" t="s">
        <v>5401</v>
      </c>
      <c r="AL235" s="4785" t="s">
        <v>5402</v>
      </c>
      <c r="AM235" s="4786" t="s">
        <v>5403</v>
      </c>
      <c r="AN235" s="4785" t="s">
        <v>5404</v>
      </c>
      <c r="AO235" s="4786" t="s">
        <v>5405</v>
      </c>
      <c r="AP235" s="3608" t="s">
        <v>5406</v>
      </c>
      <c r="AQ235" s="1814" t="s">
        <v>5407</v>
      </c>
      <c r="AR235" s="4783" t="s">
        <v>5408</v>
      </c>
      <c r="AS235" s="3609" t="s">
        <v>5409</v>
      </c>
      <c r="AT235" s="4783" t="s">
        <v>5410</v>
      </c>
      <c r="AU235" s="4796" t="s">
        <v>5411</v>
      </c>
      <c r="AV235" s="4796" t="s">
        <v>5412</v>
      </c>
      <c r="AW235" s="3609" t="s">
        <v>5413</v>
      </c>
      <c r="AX235" s="3609" t="s">
        <v>5414</v>
      </c>
      <c r="AY235" s="3607" t="s">
        <v>5415</v>
      </c>
      <c r="AZ235" s="4900" t="e">
        <f t="shared" si="129"/>
        <v>#VALUE!</v>
      </c>
      <c r="BV235" s="1430"/>
      <c r="BW235" s="1430"/>
      <c r="BX235" s="1438"/>
      <c r="CB235" s="1435" t="e">
        <f t="shared" si="130"/>
        <v>#VALUE!</v>
      </c>
      <c r="CC235" s="1435" t="str">
        <f>IF(DC235=1,"* La consulta pertinente según Protocolo de Referencia NO DEBE ser mayor al Total registrado. ","")</f>
        <v xml:space="preserve">* La consulta pertinente según Protocolo de Referencia NO DEBE ser mayor al Total registrado. </v>
      </c>
      <c r="CD235" s="1435" t="str">
        <f t="shared" si="131"/>
        <v xml:space="preserve">* La consulta pertinente según condición clínica NO DEBE ser mayor al Total registrado. </v>
      </c>
      <c r="CE235" s="1435" t="str">
        <f t="shared" si="132"/>
        <v xml:space="preserve">* Las Embarazadas NO DEBEN ser mayor al total de Mujeres. </v>
      </c>
      <c r="CF235" s="1435" t="str">
        <f t="shared" si="133"/>
        <v xml:space="preserve">* Los Usuarios en Situación de Discapacidad NO DEBEN ser mayor al total. </v>
      </c>
      <c r="CG235" s="1435"/>
      <c r="CH235" s="1435" t="str">
        <f t="shared" si="134"/>
        <v xml:space="preserve">* Los Migrantes NO DEBEN ser mayor al total. </v>
      </c>
      <c r="DB235" s="1436" t="e">
        <f t="shared" si="135"/>
        <v>#VALUE!</v>
      </c>
      <c r="DC235" s="1436">
        <f>IF(E235&lt;AR235,1,0)</f>
        <v>1</v>
      </c>
      <c r="DD235" s="1436">
        <f>IF(E235&lt;AS235,1,0)</f>
        <v>1</v>
      </c>
      <c r="DE235" s="1436">
        <f t="shared" si="136"/>
        <v>1</v>
      </c>
      <c r="DF235" s="1436">
        <f t="shared" si="137"/>
        <v>1</v>
      </c>
      <c r="DG235" s="1436"/>
      <c r="DH235" s="1436">
        <f t="shared" si="138"/>
        <v>1</v>
      </c>
    </row>
    <row r="236" spans="1:112" ht="16.350000000000001" customHeight="1" x14ac:dyDescent="0.25">
      <c r="A236" s="7520" t="s">
        <v>5277</v>
      </c>
      <c r="B236" s="8705"/>
      <c r="C236" s="9835" t="s">
        <v>1053</v>
      </c>
      <c r="D236" s="9835"/>
      <c r="E236" s="4766" t="s">
        <v>5369</v>
      </c>
      <c r="F236" s="3062" t="s">
        <v>5370</v>
      </c>
      <c r="G236" s="4797" t="s">
        <v>5371</v>
      </c>
      <c r="H236" s="4798" t="s">
        <v>5372</v>
      </c>
      <c r="I236" s="1816" t="s">
        <v>5373</v>
      </c>
      <c r="J236" s="4799" t="s">
        <v>5374</v>
      </c>
      <c r="K236" s="1816" t="s">
        <v>5375</v>
      </c>
      <c r="L236" s="4799" t="s">
        <v>5376</v>
      </c>
      <c r="M236" s="1816" t="s">
        <v>5377</v>
      </c>
      <c r="N236" s="4799" t="s">
        <v>5378</v>
      </c>
      <c r="O236" s="1816" t="s">
        <v>5379</v>
      </c>
      <c r="P236" s="4799" t="s">
        <v>5380</v>
      </c>
      <c r="Q236" s="1816" t="s">
        <v>5381</v>
      </c>
      <c r="R236" s="4799" t="s">
        <v>5382</v>
      </c>
      <c r="S236" s="1816" t="s">
        <v>5383</v>
      </c>
      <c r="T236" s="4799" t="s">
        <v>5384</v>
      </c>
      <c r="U236" s="1816" t="s">
        <v>5385</v>
      </c>
      <c r="V236" s="4799" t="s">
        <v>5386</v>
      </c>
      <c r="W236" s="2926" t="s">
        <v>5387</v>
      </c>
      <c r="X236" s="4799" t="s">
        <v>5388</v>
      </c>
      <c r="Y236" s="2926" t="s">
        <v>5389</v>
      </c>
      <c r="Z236" s="4799" t="s">
        <v>5390</v>
      </c>
      <c r="AA236" s="2926" t="s">
        <v>5391</v>
      </c>
      <c r="AB236" s="4799" t="s">
        <v>5392</v>
      </c>
      <c r="AC236" s="2926" t="s">
        <v>5393</v>
      </c>
      <c r="AD236" s="4799" t="s">
        <v>5394</v>
      </c>
      <c r="AE236" s="2926" t="s">
        <v>5395</v>
      </c>
      <c r="AF236" s="4799" t="s">
        <v>5396</v>
      </c>
      <c r="AG236" s="2926" t="s">
        <v>5397</v>
      </c>
      <c r="AH236" s="4799" t="s">
        <v>5398</v>
      </c>
      <c r="AI236" s="2926" t="s">
        <v>5399</v>
      </c>
      <c r="AJ236" s="4799" t="s">
        <v>5400</v>
      </c>
      <c r="AK236" s="2926" t="s">
        <v>5401</v>
      </c>
      <c r="AL236" s="4799" t="s">
        <v>5402</v>
      </c>
      <c r="AM236" s="2926" t="s">
        <v>5403</v>
      </c>
      <c r="AN236" s="4799" t="s">
        <v>5404</v>
      </c>
      <c r="AO236" s="2926" t="s">
        <v>5405</v>
      </c>
      <c r="AP236" s="1818" t="s">
        <v>5406</v>
      </c>
      <c r="AQ236" s="1819" t="s">
        <v>5407</v>
      </c>
      <c r="AR236" s="4789" t="s">
        <v>5408</v>
      </c>
      <c r="AS236" s="4810" t="s">
        <v>5409</v>
      </c>
      <c r="AT236" s="3508" t="s">
        <v>5410</v>
      </c>
      <c r="AU236" s="4799" t="s">
        <v>5411</v>
      </c>
      <c r="AV236" s="4799" t="s">
        <v>5412</v>
      </c>
      <c r="AW236" s="4800" t="s">
        <v>5413</v>
      </c>
      <c r="AX236" s="4800" t="s">
        <v>5414</v>
      </c>
      <c r="AY236" s="1816" t="s">
        <v>5415</v>
      </c>
      <c r="AZ236" s="4900" t="e">
        <f t="shared" si="129"/>
        <v>#VALUE!</v>
      </c>
      <c r="BV236" s="1430"/>
      <c r="BW236" s="1430"/>
      <c r="BX236" s="1438"/>
      <c r="CB236" s="1435" t="e">
        <f t="shared" si="130"/>
        <v>#VALUE!</v>
      </c>
      <c r="CC236" s="1435"/>
      <c r="CD236" s="1435" t="str">
        <f t="shared" si="131"/>
        <v/>
      </c>
      <c r="CE236" s="1435" t="str">
        <f t="shared" si="132"/>
        <v xml:space="preserve">* Las Embarazadas NO DEBEN ser mayor al total de Mujeres. </v>
      </c>
      <c r="CF236" s="1435" t="str">
        <f t="shared" si="133"/>
        <v xml:space="preserve">* Los Usuarios en Situación de Discapacidad NO DEBEN ser mayor al total. </v>
      </c>
      <c r="CG236" s="1435"/>
      <c r="CH236" s="1435" t="str">
        <f t="shared" si="134"/>
        <v xml:space="preserve">* Los Migrantes NO DEBEN ser mayor al total. </v>
      </c>
      <c r="DB236" s="1436" t="e">
        <f t="shared" si="135"/>
        <v>#VALUE!</v>
      </c>
      <c r="DC236" s="1436"/>
      <c r="DD236" s="1436"/>
      <c r="DE236" s="1436">
        <f t="shared" si="136"/>
        <v>1</v>
      </c>
      <c r="DF236" s="1436">
        <f t="shared" si="137"/>
        <v>1</v>
      </c>
      <c r="DG236" s="1436"/>
      <c r="DH236" s="1436">
        <f t="shared" si="138"/>
        <v>1</v>
      </c>
    </row>
    <row r="237" spans="1:112" ht="16.350000000000001" customHeight="1" x14ac:dyDescent="0.25">
      <c r="A237" s="7520" t="s">
        <v>5278</v>
      </c>
      <c r="B237" s="8705"/>
      <c r="C237" s="9862" t="s">
        <v>1052</v>
      </c>
      <c r="D237" s="9863"/>
      <c r="E237" s="4766" t="s">
        <v>5369</v>
      </c>
      <c r="F237" s="3062" t="s">
        <v>5370</v>
      </c>
      <c r="G237" s="4797" t="s">
        <v>5371</v>
      </c>
      <c r="H237" s="4798" t="s">
        <v>5372</v>
      </c>
      <c r="I237" s="1816" t="s">
        <v>5373</v>
      </c>
      <c r="J237" s="4799" t="s">
        <v>5374</v>
      </c>
      <c r="K237" s="1816" t="s">
        <v>5375</v>
      </c>
      <c r="L237" s="4799" t="s">
        <v>5376</v>
      </c>
      <c r="M237" s="1816" t="s">
        <v>5377</v>
      </c>
      <c r="N237" s="4799" t="s">
        <v>5378</v>
      </c>
      <c r="O237" s="1816" t="s">
        <v>5379</v>
      </c>
      <c r="P237" s="4799" t="s">
        <v>5380</v>
      </c>
      <c r="Q237" s="1816" t="s">
        <v>5381</v>
      </c>
      <c r="R237" s="4799" t="s">
        <v>5382</v>
      </c>
      <c r="S237" s="1816" t="s">
        <v>5383</v>
      </c>
      <c r="T237" s="4799" t="s">
        <v>5384</v>
      </c>
      <c r="U237" s="1816" t="s">
        <v>5385</v>
      </c>
      <c r="V237" s="4799" t="s">
        <v>5386</v>
      </c>
      <c r="W237" s="2926" t="s">
        <v>5387</v>
      </c>
      <c r="X237" s="4799" t="s">
        <v>5388</v>
      </c>
      <c r="Y237" s="2926" t="s">
        <v>5389</v>
      </c>
      <c r="Z237" s="4799" t="s">
        <v>5390</v>
      </c>
      <c r="AA237" s="2926" t="s">
        <v>5391</v>
      </c>
      <c r="AB237" s="4799" t="s">
        <v>5392</v>
      </c>
      <c r="AC237" s="2926" t="s">
        <v>5393</v>
      </c>
      <c r="AD237" s="4799" t="s">
        <v>5394</v>
      </c>
      <c r="AE237" s="2926" t="s">
        <v>5395</v>
      </c>
      <c r="AF237" s="4799" t="s">
        <v>5396</v>
      </c>
      <c r="AG237" s="2926" t="s">
        <v>5397</v>
      </c>
      <c r="AH237" s="4799" t="s">
        <v>5398</v>
      </c>
      <c r="AI237" s="2926" t="s">
        <v>5399</v>
      </c>
      <c r="AJ237" s="4799" t="s">
        <v>5400</v>
      </c>
      <c r="AK237" s="2926" t="s">
        <v>5401</v>
      </c>
      <c r="AL237" s="4799" t="s">
        <v>5402</v>
      </c>
      <c r="AM237" s="2926" t="s">
        <v>5403</v>
      </c>
      <c r="AN237" s="4799" t="s">
        <v>5404</v>
      </c>
      <c r="AO237" s="2926" t="s">
        <v>5405</v>
      </c>
      <c r="AP237" s="1818" t="s">
        <v>5406</v>
      </c>
      <c r="AQ237" s="1819" t="s">
        <v>5407</v>
      </c>
      <c r="AR237" s="4789" t="s">
        <v>5408</v>
      </c>
      <c r="AS237" s="4810" t="s">
        <v>5409</v>
      </c>
      <c r="AT237" s="4810" t="s">
        <v>5410</v>
      </c>
      <c r="AU237" s="4799" t="s">
        <v>5411</v>
      </c>
      <c r="AV237" s="4799" t="s">
        <v>5412</v>
      </c>
      <c r="AW237" s="4800" t="s">
        <v>5413</v>
      </c>
      <c r="AX237" s="4800" t="s">
        <v>5414</v>
      </c>
      <c r="AY237" s="1816" t="s">
        <v>5415</v>
      </c>
      <c r="AZ237" s="4900" t="e">
        <f t="shared" si="129"/>
        <v>#VALUE!</v>
      </c>
      <c r="BV237" s="1430"/>
      <c r="BW237" s="1430"/>
      <c r="BX237" s="1438"/>
      <c r="CB237" s="1435" t="e">
        <f t="shared" si="130"/>
        <v>#VALUE!</v>
      </c>
      <c r="CC237" s="1435"/>
      <c r="CD237" s="1435" t="str">
        <f t="shared" si="131"/>
        <v/>
      </c>
      <c r="CE237" s="1435" t="str">
        <f t="shared" si="132"/>
        <v xml:space="preserve">* Las Embarazadas NO DEBEN ser mayor al total de Mujeres. </v>
      </c>
      <c r="CF237" s="1435" t="str">
        <f t="shared" si="133"/>
        <v xml:space="preserve">* Los Usuarios en Situación de Discapacidad NO DEBEN ser mayor al total. </v>
      </c>
      <c r="CG237" s="1435"/>
      <c r="CH237" s="1435" t="str">
        <f t="shared" si="134"/>
        <v xml:space="preserve">* Los Migrantes NO DEBEN ser mayor al total. </v>
      </c>
      <c r="DB237" s="1436" t="e">
        <f t="shared" si="135"/>
        <v>#VALUE!</v>
      </c>
      <c r="DC237" s="1436"/>
      <c r="DD237" s="1436"/>
      <c r="DE237" s="1436">
        <f t="shared" si="136"/>
        <v>1</v>
      </c>
      <c r="DF237" s="1436">
        <f t="shared" si="137"/>
        <v>1</v>
      </c>
      <c r="DG237" s="1436"/>
      <c r="DH237" s="1436">
        <f t="shared" si="138"/>
        <v>1</v>
      </c>
    </row>
    <row r="238" spans="1:112" ht="16.350000000000001" customHeight="1" x14ac:dyDescent="0.25">
      <c r="A238" s="7520" t="s">
        <v>5279</v>
      </c>
      <c r="B238" s="8705"/>
      <c r="C238" s="9835" t="s">
        <v>1051</v>
      </c>
      <c r="D238" s="9835"/>
      <c r="E238" s="4766" t="s">
        <v>5369</v>
      </c>
      <c r="F238" s="3062" t="s">
        <v>5370</v>
      </c>
      <c r="G238" s="4797" t="s">
        <v>5371</v>
      </c>
      <c r="H238" s="4801" t="s">
        <v>5372</v>
      </c>
      <c r="I238" s="3610" t="s">
        <v>5373</v>
      </c>
      <c r="J238" s="3611" t="s">
        <v>5374</v>
      </c>
      <c r="K238" s="3610" t="s">
        <v>5375</v>
      </c>
      <c r="L238" s="3611" t="s">
        <v>5376</v>
      </c>
      <c r="M238" s="3610" t="s">
        <v>5377</v>
      </c>
      <c r="N238" s="3611" t="s">
        <v>5378</v>
      </c>
      <c r="O238" s="3610" t="s">
        <v>5379</v>
      </c>
      <c r="P238" s="3611" t="s">
        <v>5380</v>
      </c>
      <c r="Q238" s="3610" t="s">
        <v>5381</v>
      </c>
      <c r="R238" s="3611" t="s">
        <v>5382</v>
      </c>
      <c r="S238" s="3610" t="s">
        <v>5383</v>
      </c>
      <c r="T238" s="3611" t="s">
        <v>5384</v>
      </c>
      <c r="U238" s="3610" t="s">
        <v>5385</v>
      </c>
      <c r="V238" s="3611" t="s">
        <v>5386</v>
      </c>
      <c r="W238" s="4802" t="s">
        <v>5387</v>
      </c>
      <c r="X238" s="3611" t="s">
        <v>5388</v>
      </c>
      <c r="Y238" s="4802" t="s">
        <v>5389</v>
      </c>
      <c r="Z238" s="3611" t="s">
        <v>5390</v>
      </c>
      <c r="AA238" s="4802" t="s">
        <v>5391</v>
      </c>
      <c r="AB238" s="3611" t="s">
        <v>5392</v>
      </c>
      <c r="AC238" s="4802" t="s">
        <v>5393</v>
      </c>
      <c r="AD238" s="3611" t="s">
        <v>5394</v>
      </c>
      <c r="AE238" s="4802" t="s">
        <v>5395</v>
      </c>
      <c r="AF238" s="3611" t="s">
        <v>5396</v>
      </c>
      <c r="AG238" s="4802" t="s">
        <v>5397</v>
      </c>
      <c r="AH238" s="3611" t="s">
        <v>5398</v>
      </c>
      <c r="AI238" s="4802" t="s">
        <v>5399</v>
      </c>
      <c r="AJ238" s="3611" t="s">
        <v>5400</v>
      </c>
      <c r="AK238" s="4802" t="s">
        <v>5401</v>
      </c>
      <c r="AL238" s="3611" t="s">
        <v>5402</v>
      </c>
      <c r="AM238" s="4802" t="s">
        <v>5403</v>
      </c>
      <c r="AN238" s="3611" t="s">
        <v>5404</v>
      </c>
      <c r="AO238" s="4802" t="s">
        <v>5405</v>
      </c>
      <c r="AP238" s="3612" t="s">
        <v>5406</v>
      </c>
      <c r="AQ238" s="3613" t="s">
        <v>5407</v>
      </c>
      <c r="AR238" s="4789" t="s">
        <v>5408</v>
      </c>
      <c r="AS238" s="4810" t="s">
        <v>5409</v>
      </c>
      <c r="AT238" s="4810" t="s">
        <v>5410</v>
      </c>
      <c r="AU238" s="3611" t="s">
        <v>5411</v>
      </c>
      <c r="AV238" s="3611" t="s">
        <v>5412</v>
      </c>
      <c r="AW238" s="4804" t="s">
        <v>5413</v>
      </c>
      <c r="AX238" s="4804" t="s">
        <v>5414</v>
      </c>
      <c r="AY238" s="3610" t="s">
        <v>5415</v>
      </c>
      <c r="AZ238" s="4900" t="e">
        <f t="shared" si="129"/>
        <v>#VALUE!</v>
      </c>
      <c r="BV238" s="1430"/>
      <c r="BW238" s="1430"/>
      <c r="BX238" s="1438"/>
      <c r="CB238" s="1435" t="e">
        <f t="shared" si="130"/>
        <v>#VALUE!</v>
      </c>
      <c r="CC238" s="1435"/>
      <c r="CD238" s="1435" t="str">
        <f t="shared" si="131"/>
        <v/>
      </c>
      <c r="CE238" s="1435" t="str">
        <f t="shared" si="132"/>
        <v xml:space="preserve">* Las Embarazadas NO DEBEN ser mayor al total de Mujeres. </v>
      </c>
      <c r="CF238" s="1435" t="str">
        <f t="shared" si="133"/>
        <v xml:space="preserve">* Los Usuarios en Situación de Discapacidad NO DEBEN ser mayor al total. </v>
      </c>
      <c r="CG238" s="1435"/>
      <c r="CH238" s="1435" t="str">
        <f t="shared" si="134"/>
        <v xml:space="preserve">* Los Migrantes NO DEBEN ser mayor al total. </v>
      </c>
      <c r="DB238" s="1436" t="e">
        <f t="shared" si="135"/>
        <v>#VALUE!</v>
      </c>
      <c r="DC238" s="1436"/>
      <c r="DD238" s="1436"/>
      <c r="DE238" s="1436">
        <f t="shared" si="136"/>
        <v>1</v>
      </c>
      <c r="DF238" s="1436">
        <f t="shared" si="137"/>
        <v>1</v>
      </c>
      <c r="DG238" s="1436"/>
      <c r="DH238" s="1436">
        <f t="shared" si="138"/>
        <v>1</v>
      </c>
    </row>
    <row r="239" spans="1:112" ht="16.350000000000001" customHeight="1" x14ac:dyDescent="0.25">
      <c r="A239" s="7520" t="s">
        <v>5280</v>
      </c>
      <c r="B239" s="8705"/>
      <c r="C239" s="9862" t="s">
        <v>2140</v>
      </c>
      <c r="D239" s="9863"/>
      <c r="E239" s="4766" t="s">
        <v>5369</v>
      </c>
      <c r="F239" s="3062" t="s">
        <v>5370</v>
      </c>
      <c r="G239" s="4797" t="s">
        <v>5371</v>
      </c>
      <c r="H239" s="4801" t="s">
        <v>5372</v>
      </c>
      <c r="I239" s="3610" t="s">
        <v>5373</v>
      </c>
      <c r="J239" s="3611" t="s">
        <v>5374</v>
      </c>
      <c r="K239" s="3610" t="s">
        <v>5375</v>
      </c>
      <c r="L239" s="3611" t="s">
        <v>5376</v>
      </c>
      <c r="M239" s="3610" t="s">
        <v>5377</v>
      </c>
      <c r="N239" s="3611" t="s">
        <v>5378</v>
      </c>
      <c r="O239" s="3610" t="s">
        <v>5379</v>
      </c>
      <c r="P239" s="3611" t="s">
        <v>5380</v>
      </c>
      <c r="Q239" s="3610" t="s">
        <v>5381</v>
      </c>
      <c r="R239" s="3611" t="s">
        <v>5382</v>
      </c>
      <c r="S239" s="3610" t="s">
        <v>5383</v>
      </c>
      <c r="T239" s="3611" t="s">
        <v>5384</v>
      </c>
      <c r="U239" s="3610" t="s">
        <v>5385</v>
      </c>
      <c r="V239" s="3611" t="s">
        <v>5386</v>
      </c>
      <c r="W239" s="4802" t="s">
        <v>5387</v>
      </c>
      <c r="X239" s="3611" t="s">
        <v>5388</v>
      </c>
      <c r="Y239" s="4802" t="s">
        <v>5389</v>
      </c>
      <c r="Z239" s="3611" t="s">
        <v>5390</v>
      </c>
      <c r="AA239" s="4802" t="s">
        <v>5391</v>
      </c>
      <c r="AB239" s="3611" t="s">
        <v>5392</v>
      </c>
      <c r="AC239" s="4802" t="s">
        <v>5393</v>
      </c>
      <c r="AD239" s="3611" t="s">
        <v>5394</v>
      </c>
      <c r="AE239" s="4802" t="s">
        <v>5395</v>
      </c>
      <c r="AF239" s="3611" t="s">
        <v>5396</v>
      </c>
      <c r="AG239" s="4802" t="s">
        <v>5397</v>
      </c>
      <c r="AH239" s="3611" t="s">
        <v>5398</v>
      </c>
      <c r="AI239" s="4802" t="s">
        <v>5399</v>
      </c>
      <c r="AJ239" s="3611" t="s">
        <v>5400</v>
      </c>
      <c r="AK239" s="4802" t="s">
        <v>5401</v>
      </c>
      <c r="AL239" s="3611" t="s">
        <v>5402</v>
      </c>
      <c r="AM239" s="4802" t="s">
        <v>5403</v>
      </c>
      <c r="AN239" s="3611" t="s">
        <v>5404</v>
      </c>
      <c r="AO239" s="4802" t="s">
        <v>5405</v>
      </c>
      <c r="AP239" s="3612" t="s">
        <v>5406</v>
      </c>
      <c r="AQ239" s="3613" t="s">
        <v>5407</v>
      </c>
      <c r="AR239" s="4803" t="s">
        <v>5408</v>
      </c>
      <c r="AS239" s="3614" t="s">
        <v>5409</v>
      </c>
      <c r="AT239" s="3614" t="s">
        <v>5410</v>
      </c>
      <c r="AU239" s="3611" t="s">
        <v>5411</v>
      </c>
      <c r="AV239" s="3611" t="s">
        <v>5412</v>
      </c>
      <c r="AW239" s="4804" t="s">
        <v>5413</v>
      </c>
      <c r="AX239" s="4804" t="s">
        <v>5414</v>
      </c>
      <c r="AY239" s="3610" t="s">
        <v>5415</v>
      </c>
      <c r="AZ239" s="4900" t="e">
        <f t="shared" si="129"/>
        <v>#VALUE!</v>
      </c>
      <c r="BV239" s="1430"/>
      <c r="BW239" s="1430"/>
      <c r="BX239" s="1438"/>
      <c r="CB239" s="1435" t="e">
        <f t="shared" si="130"/>
        <v>#VALUE!</v>
      </c>
      <c r="CC239" s="1435"/>
      <c r="CD239" s="1435" t="str">
        <f t="shared" si="131"/>
        <v/>
      </c>
      <c r="CE239" s="1435" t="str">
        <f t="shared" si="132"/>
        <v xml:space="preserve">* Las Embarazadas NO DEBEN ser mayor al total de Mujeres. </v>
      </c>
      <c r="CF239" s="1435" t="str">
        <f t="shared" si="133"/>
        <v xml:space="preserve">* Los Usuarios en Situación de Discapacidad NO DEBEN ser mayor al total. </v>
      </c>
      <c r="CG239" s="1435"/>
      <c r="CH239" s="1435" t="str">
        <f t="shared" si="134"/>
        <v xml:space="preserve">* Los Migrantes NO DEBEN ser mayor al total. </v>
      </c>
      <c r="DB239" s="1436" t="e">
        <f t="shared" si="135"/>
        <v>#VALUE!</v>
      </c>
      <c r="DC239" s="1436"/>
      <c r="DD239" s="1436"/>
      <c r="DE239" s="1436">
        <f t="shared" si="136"/>
        <v>1</v>
      </c>
      <c r="DF239" s="1436">
        <f t="shared" si="137"/>
        <v>1</v>
      </c>
      <c r="DG239" s="1436"/>
      <c r="DH239" s="1436">
        <f t="shared" si="138"/>
        <v>1</v>
      </c>
    </row>
    <row r="240" spans="1:112" ht="16.350000000000001" customHeight="1" x14ac:dyDescent="0.25">
      <c r="A240" s="7520" t="s">
        <v>5281</v>
      </c>
      <c r="B240" s="9743"/>
      <c r="C240" s="9911" t="s">
        <v>1050</v>
      </c>
      <c r="D240" s="9911"/>
      <c r="E240" s="4805" t="s">
        <v>5369</v>
      </c>
      <c r="F240" s="4806" t="s">
        <v>5370</v>
      </c>
      <c r="G240" s="3615" t="s">
        <v>5371</v>
      </c>
      <c r="H240" s="8202" t="s">
        <v>5372</v>
      </c>
      <c r="I240" s="8202" t="s">
        <v>5373</v>
      </c>
      <c r="J240" s="3604" t="s">
        <v>5374</v>
      </c>
      <c r="K240" s="3603" t="s">
        <v>5375</v>
      </c>
      <c r="L240" s="3604" t="s">
        <v>5376</v>
      </c>
      <c r="M240" s="3603" t="s">
        <v>5377</v>
      </c>
      <c r="N240" s="3604" t="s">
        <v>5378</v>
      </c>
      <c r="O240" s="3603" t="s">
        <v>5379</v>
      </c>
      <c r="P240" s="3604" t="s">
        <v>5380</v>
      </c>
      <c r="Q240" s="3603" t="s">
        <v>5381</v>
      </c>
      <c r="R240" s="3604" t="s">
        <v>5382</v>
      </c>
      <c r="S240" s="3603" t="s">
        <v>5383</v>
      </c>
      <c r="T240" s="3604" t="s">
        <v>5384</v>
      </c>
      <c r="U240" s="3603" t="s">
        <v>5385</v>
      </c>
      <c r="V240" s="3604" t="s">
        <v>5386</v>
      </c>
      <c r="W240" s="3122" t="s">
        <v>5387</v>
      </c>
      <c r="X240" s="3604" t="s">
        <v>5388</v>
      </c>
      <c r="Y240" s="3122" t="s">
        <v>5389</v>
      </c>
      <c r="Z240" s="3604" t="s">
        <v>5390</v>
      </c>
      <c r="AA240" s="3122" t="s">
        <v>5391</v>
      </c>
      <c r="AB240" s="3604" t="s">
        <v>5392</v>
      </c>
      <c r="AC240" s="3122" t="s">
        <v>5393</v>
      </c>
      <c r="AD240" s="3604" t="s">
        <v>5394</v>
      </c>
      <c r="AE240" s="3122" t="s">
        <v>5395</v>
      </c>
      <c r="AF240" s="3604" t="s">
        <v>5396</v>
      </c>
      <c r="AG240" s="3122" t="s">
        <v>5397</v>
      </c>
      <c r="AH240" s="3604" t="s">
        <v>5398</v>
      </c>
      <c r="AI240" s="3122" t="s">
        <v>5399</v>
      </c>
      <c r="AJ240" s="3604" t="s">
        <v>5400</v>
      </c>
      <c r="AK240" s="3122" t="s">
        <v>5401</v>
      </c>
      <c r="AL240" s="3604" t="s">
        <v>5402</v>
      </c>
      <c r="AM240" s="3122" t="s">
        <v>5403</v>
      </c>
      <c r="AN240" s="3604" t="s">
        <v>5404</v>
      </c>
      <c r="AO240" s="3122" t="s">
        <v>5405</v>
      </c>
      <c r="AP240" s="3605" t="s">
        <v>5406</v>
      </c>
      <c r="AQ240" s="3606" t="s">
        <v>5407</v>
      </c>
      <c r="AR240" s="4807" t="s">
        <v>5408</v>
      </c>
      <c r="AS240" s="3616" t="s">
        <v>5409</v>
      </c>
      <c r="AT240" s="3616" t="s">
        <v>5410</v>
      </c>
      <c r="AU240" s="3604" t="s">
        <v>5411</v>
      </c>
      <c r="AV240" s="3604" t="s">
        <v>5412</v>
      </c>
      <c r="AW240" s="4794" t="s">
        <v>5413</v>
      </c>
      <c r="AX240" s="4794" t="s">
        <v>5414</v>
      </c>
      <c r="AY240" s="3603" t="s">
        <v>5415</v>
      </c>
      <c r="AZ240" s="4900" t="e">
        <f t="shared" si="129"/>
        <v>#VALUE!</v>
      </c>
      <c r="BV240" s="1430"/>
      <c r="BW240" s="1430"/>
      <c r="BX240" s="1438"/>
      <c r="CB240" s="1435" t="e">
        <f t="shared" si="130"/>
        <v>#VALUE!</v>
      </c>
      <c r="CC240" s="1435"/>
      <c r="CD240" s="1435" t="str">
        <f t="shared" si="131"/>
        <v/>
      </c>
      <c r="CE240" s="1435" t="str">
        <f t="shared" si="132"/>
        <v xml:space="preserve">* Las Embarazadas NO DEBEN ser mayor al total de Mujeres. </v>
      </c>
      <c r="CF240" s="1435" t="str">
        <f t="shared" si="133"/>
        <v xml:space="preserve">* Los Usuarios en Situación de Discapacidad NO DEBEN ser mayor al total. </v>
      </c>
      <c r="CG240" s="1435"/>
      <c r="CH240" s="1435" t="str">
        <f t="shared" si="134"/>
        <v xml:space="preserve">* Los Migrantes NO DEBEN ser mayor al total. </v>
      </c>
      <c r="DB240" s="1436" t="e">
        <f t="shared" si="135"/>
        <v>#VALUE!</v>
      </c>
      <c r="DC240" s="1436"/>
      <c r="DD240" s="1436"/>
      <c r="DE240" s="1436">
        <f t="shared" si="136"/>
        <v>1</v>
      </c>
      <c r="DF240" s="1436">
        <f t="shared" si="137"/>
        <v>1</v>
      </c>
      <c r="DG240" s="1436"/>
      <c r="DH240" s="1436">
        <f t="shared" si="138"/>
        <v>1</v>
      </c>
    </row>
    <row r="241" spans="1:112" ht="16.350000000000001" customHeight="1" x14ac:dyDescent="0.25">
      <c r="A241" s="7520" t="s">
        <v>5282</v>
      </c>
      <c r="B241" s="8627" t="s">
        <v>1033</v>
      </c>
      <c r="C241" s="9903" t="s">
        <v>1054</v>
      </c>
      <c r="D241" s="9903"/>
      <c r="E241" s="4761" t="s">
        <v>5369</v>
      </c>
      <c r="F241" s="4808" t="s">
        <v>5370</v>
      </c>
      <c r="G241" s="4809" t="s">
        <v>5371</v>
      </c>
      <c r="H241" s="4783" t="s">
        <v>5372</v>
      </c>
      <c r="I241" s="4784" t="s">
        <v>5373</v>
      </c>
      <c r="J241" s="4785" t="s">
        <v>5374</v>
      </c>
      <c r="K241" s="4784" t="s">
        <v>5375</v>
      </c>
      <c r="L241" s="4785" t="s">
        <v>5376</v>
      </c>
      <c r="M241" s="4784" t="s">
        <v>5377</v>
      </c>
      <c r="N241" s="4785" t="s">
        <v>5378</v>
      </c>
      <c r="O241" s="4784" t="s">
        <v>5379</v>
      </c>
      <c r="P241" s="4785" t="s">
        <v>5380</v>
      </c>
      <c r="Q241" s="4784" t="s">
        <v>5381</v>
      </c>
      <c r="R241" s="4785" t="s">
        <v>5382</v>
      </c>
      <c r="S241" s="4784" t="s">
        <v>5383</v>
      </c>
      <c r="T241" s="4785" t="s">
        <v>5384</v>
      </c>
      <c r="U241" s="4784" t="s">
        <v>5385</v>
      </c>
      <c r="V241" s="4785" t="s">
        <v>5386</v>
      </c>
      <c r="W241" s="4784" t="s">
        <v>5387</v>
      </c>
      <c r="X241" s="4785" t="s">
        <v>5388</v>
      </c>
      <c r="Y241" s="4784" t="s">
        <v>5389</v>
      </c>
      <c r="Z241" s="4785" t="s">
        <v>5390</v>
      </c>
      <c r="AA241" s="4784" t="s">
        <v>5391</v>
      </c>
      <c r="AB241" s="4785" t="s">
        <v>5392</v>
      </c>
      <c r="AC241" s="4784" t="s">
        <v>5393</v>
      </c>
      <c r="AD241" s="4785" t="s">
        <v>5394</v>
      </c>
      <c r="AE241" s="4784" t="s">
        <v>5395</v>
      </c>
      <c r="AF241" s="4785" t="s">
        <v>5396</v>
      </c>
      <c r="AG241" s="4784" t="s">
        <v>5397</v>
      </c>
      <c r="AH241" s="4785" t="s">
        <v>5398</v>
      </c>
      <c r="AI241" s="4784" t="s">
        <v>5399</v>
      </c>
      <c r="AJ241" s="4785" t="s">
        <v>5400</v>
      </c>
      <c r="AK241" s="4784" t="s">
        <v>5401</v>
      </c>
      <c r="AL241" s="4785" t="s">
        <v>5402</v>
      </c>
      <c r="AM241" s="4784" t="s">
        <v>5403</v>
      </c>
      <c r="AN241" s="4785" t="s">
        <v>5404</v>
      </c>
      <c r="AO241" s="4784" t="s">
        <v>5405</v>
      </c>
      <c r="AP241" s="4787" t="s">
        <v>5406</v>
      </c>
      <c r="AQ241" s="4811" t="s">
        <v>5407</v>
      </c>
      <c r="AR241" s="4783" t="s">
        <v>5408</v>
      </c>
      <c r="AS241" s="3609" t="s">
        <v>5409</v>
      </c>
      <c r="AT241" s="4783" t="s">
        <v>5410</v>
      </c>
      <c r="AU241" s="4796" t="s">
        <v>5411</v>
      </c>
      <c r="AV241" s="4796" t="s">
        <v>5412</v>
      </c>
      <c r="AW241" s="3609" t="s">
        <v>5413</v>
      </c>
      <c r="AX241" s="3609" t="s">
        <v>5414</v>
      </c>
      <c r="AY241" s="3607" t="s">
        <v>5415</v>
      </c>
      <c r="AZ241" s="4900" t="str">
        <f t="shared" si="129"/>
        <v xml:space="preserve">* La consulta pertinente según Protocolo de Referencia NO DEBE ser mayor al Total registrado. * La consulta pertinente según condición clínica NO DEBE ser mayor al Total registrado. * Las Embarazadas NO DEBEN ser mayor al total de Mujeres. * Los Usuarios en Situación de Discapacidad NO DEBEN ser mayor al total. * Los Migrantes NO DEBEN ser mayor al total. </v>
      </c>
      <c r="BV241" s="1430"/>
      <c r="BW241" s="1430"/>
      <c r="BX241" s="1438"/>
      <c r="CB241" s="1435" t="str">
        <f t="shared" si="130"/>
        <v/>
      </c>
      <c r="CC241" s="1435" t="str">
        <f>IF(DC241=1,"* La consulta pertinente según Protocolo de Referencia NO DEBE ser mayor al Total registrado. ","")</f>
        <v xml:space="preserve">* La consulta pertinente según Protocolo de Referencia NO DEBE ser mayor al Total registrado. </v>
      </c>
      <c r="CD241" s="1435" t="str">
        <f t="shared" si="131"/>
        <v xml:space="preserve">* La consulta pertinente según condición clínica NO DEBE ser mayor al Total registrado. </v>
      </c>
      <c r="CE241" s="1435" t="str">
        <f t="shared" si="132"/>
        <v xml:space="preserve">* Las Embarazadas NO DEBEN ser mayor al total de Mujeres. </v>
      </c>
      <c r="CF241" s="1435" t="str">
        <f t="shared" si="133"/>
        <v xml:space="preserve">* Los Usuarios en Situación de Discapacidad NO DEBEN ser mayor al total. </v>
      </c>
      <c r="CG241" s="1435"/>
      <c r="CH241" s="1435" t="str">
        <f t="shared" si="134"/>
        <v xml:space="preserve">* Los Migrantes NO DEBEN ser mayor al total. </v>
      </c>
      <c r="DB241" s="1436"/>
      <c r="DC241" s="1436">
        <f>IF(E241&lt;AR241,1,0)</f>
        <v>1</v>
      </c>
      <c r="DD241" s="1436">
        <f>IF(E241&lt;AS241,1,0)</f>
        <v>1</v>
      </c>
      <c r="DE241" s="1436">
        <f t="shared" si="136"/>
        <v>1</v>
      </c>
      <c r="DF241" s="1436">
        <f t="shared" si="137"/>
        <v>1</v>
      </c>
      <c r="DG241" s="1436"/>
      <c r="DH241" s="1436">
        <f t="shared" si="138"/>
        <v>1</v>
      </c>
    </row>
    <row r="242" spans="1:112" ht="16.350000000000001" customHeight="1" x14ac:dyDescent="0.25">
      <c r="A242" s="7520" t="s">
        <v>5283</v>
      </c>
      <c r="B242" s="8705"/>
      <c r="C242" s="9835" t="s">
        <v>1053</v>
      </c>
      <c r="D242" s="9835"/>
      <c r="E242" s="4766" t="s">
        <v>5369</v>
      </c>
      <c r="F242" s="3062" t="s">
        <v>5370</v>
      </c>
      <c r="G242" s="4797" t="s">
        <v>5371</v>
      </c>
      <c r="H242" s="4798" t="s">
        <v>5372</v>
      </c>
      <c r="I242" s="1816" t="s">
        <v>5373</v>
      </c>
      <c r="J242" s="4799" t="s">
        <v>5374</v>
      </c>
      <c r="K242" s="1816" t="s">
        <v>5375</v>
      </c>
      <c r="L242" s="4799" t="s">
        <v>5376</v>
      </c>
      <c r="M242" s="1816" t="s">
        <v>5377</v>
      </c>
      <c r="N242" s="4799" t="s">
        <v>5378</v>
      </c>
      <c r="O242" s="1816" t="s">
        <v>5379</v>
      </c>
      <c r="P242" s="4799" t="s">
        <v>5380</v>
      </c>
      <c r="Q242" s="1816" t="s">
        <v>5381</v>
      </c>
      <c r="R242" s="4799" t="s">
        <v>5382</v>
      </c>
      <c r="S242" s="1816" t="s">
        <v>5383</v>
      </c>
      <c r="T242" s="4799" t="s">
        <v>5384</v>
      </c>
      <c r="U242" s="1816" t="s">
        <v>5385</v>
      </c>
      <c r="V242" s="4799" t="s">
        <v>5386</v>
      </c>
      <c r="W242" s="1816" t="s">
        <v>5387</v>
      </c>
      <c r="X242" s="4799" t="s">
        <v>5388</v>
      </c>
      <c r="Y242" s="1816" t="s">
        <v>5389</v>
      </c>
      <c r="Z242" s="4799" t="s">
        <v>5390</v>
      </c>
      <c r="AA242" s="1816" t="s">
        <v>5391</v>
      </c>
      <c r="AB242" s="4799" t="s">
        <v>5392</v>
      </c>
      <c r="AC242" s="1816" t="s">
        <v>5393</v>
      </c>
      <c r="AD242" s="4799" t="s">
        <v>5394</v>
      </c>
      <c r="AE242" s="1816" t="s">
        <v>5395</v>
      </c>
      <c r="AF242" s="4799" t="s">
        <v>5396</v>
      </c>
      <c r="AG242" s="1816" t="s">
        <v>5397</v>
      </c>
      <c r="AH242" s="4799" t="s">
        <v>5398</v>
      </c>
      <c r="AI242" s="1816" t="s">
        <v>5399</v>
      </c>
      <c r="AJ242" s="4799" t="s">
        <v>5400</v>
      </c>
      <c r="AK242" s="1816" t="s">
        <v>5401</v>
      </c>
      <c r="AL242" s="4799" t="s">
        <v>5402</v>
      </c>
      <c r="AM242" s="1816" t="s">
        <v>5403</v>
      </c>
      <c r="AN242" s="4799" t="s">
        <v>5404</v>
      </c>
      <c r="AO242" s="1816" t="s">
        <v>5405</v>
      </c>
      <c r="AP242" s="1818" t="s">
        <v>5406</v>
      </c>
      <c r="AQ242" s="1822" t="s">
        <v>5407</v>
      </c>
      <c r="AR242" s="4789" t="s">
        <v>5408</v>
      </c>
      <c r="AS242" s="4810" t="s">
        <v>5409</v>
      </c>
      <c r="AT242" s="3508" t="s">
        <v>5410</v>
      </c>
      <c r="AU242" s="4799" t="s">
        <v>5411</v>
      </c>
      <c r="AV242" s="4799" t="s">
        <v>5412</v>
      </c>
      <c r="AW242" s="4800" t="s">
        <v>5413</v>
      </c>
      <c r="AX242" s="4800" t="s">
        <v>5414</v>
      </c>
      <c r="AY242" s="1816" t="s">
        <v>5415</v>
      </c>
      <c r="AZ242" s="4900" t="str">
        <f t="shared" si="129"/>
        <v xml:space="preserve">* Las Embarazadas NO DEBEN ser mayor al total de Mujeres. * Los Usuarios en Situación de Discapacidad NO DEBEN ser mayor al total. * Los Migrantes NO DEBEN ser mayor al total. </v>
      </c>
      <c r="BV242" s="1430"/>
      <c r="BW242" s="1430"/>
      <c r="BX242" s="1438"/>
      <c r="CB242" s="1435" t="str">
        <f t="shared" si="130"/>
        <v/>
      </c>
      <c r="CC242" s="1435"/>
      <c r="CD242" s="1435" t="str">
        <f t="shared" si="131"/>
        <v/>
      </c>
      <c r="CE242" s="1435" t="str">
        <f t="shared" si="132"/>
        <v xml:space="preserve">* Las Embarazadas NO DEBEN ser mayor al total de Mujeres. </v>
      </c>
      <c r="CF242" s="1435" t="str">
        <f t="shared" si="133"/>
        <v xml:space="preserve">* Los Usuarios en Situación de Discapacidad NO DEBEN ser mayor al total. </v>
      </c>
      <c r="CG242" s="1435"/>
      <c r="CH242" s="1435" t="str">
        <f t="shared" si="134"/>
        <v xml:space="preserve">* Los Migrantes NO DEBEN ser mayor al total. </v>
      </c>
      <c r="DB242" s="1436"/>
      <c r="DC242" s="1436"/>
      <c r="DD242" s="1436"/>
      <c r="DE242" s="1436">
        <f t="shared" si="136"/>
        <v>1</v>
      </c>
      <c r="DF242" s="1436">
        <f t="shared" si="137"/>
        <v>1</v>
      </c>
      <c r="DG242" s="1436"/>
      <c r="DH242" s="1436">
        <f t="shared" si="138"/>
        <v>1</v>
      </c>
    </row>
    <row r="243" spans="1:112" ht="16.350000000000001" customHeight="1" x14ac:dyDescent="0.25">
      <c r="A243" s="7520" t="s">
        <v>5284</v>
      </c>
      <c r="B243" s="8705"/>
      <c r="C243" s="9835" t="s">
        <v>1052</v>
      </c>
      <c r="D243" s="9835"/>
      <c r="E243" s="4766" t="s">
        <v>5369</v>
      </c>
      <c r="F243" s="3062" t="s">
        <v>5370</v>
      </c>
      <c r="G243" s="4797" t="s">
        <v>5371</v>
      </c>
      <c r="H243" s="4798" t="s">
        <v>5372</v>
      </c>
      <c r="I243" s="1816" t="s">
        <v>5373</v>
      </c>
      <c r="J243" s="4799" t="s">
        <v>5374</v>
      </c>
      <c r="K243" s="1816" t="s">
        <v>5375</v>
      </c>
      <c r="L243" s="4799" t="s">
        <v>5376</v>
      </c>
      <c r="M243" s="1816" t="s">
        <v>5377</v>
      </c>
      <c r="N243" s="4799" t="s">
        <v>5378</v>
      </c>
      <c r="O243" s="1816" t="s">
        <v>5379</v>
      </c>
      <c r="P243" s="4799" t="s">
        <v>5380</v>
      </c>
      <c r="Q243" s="1816" t="s">
        <v>5381</v>
      </c>
      <c r="R243" s="4799" t="s">
        <v>5382</v>
      </c>
      <c r="S243" s="1816" t="s">
        <v>5383</v>
      </c>
      <c r="T243" s="4799" t="s">
        <v>5384</v>
      </c>
      <c r="U243" s="1816" t="s">
        <v>5385</v>
      </c>
      <c r="V243" s="4799" t="s">
        <v>5386</v>
      </c>
      <c r="W243" s="1816" t="s">
        <v>5387</v>
      </c>
      <c r="X243" s="4799" t="s">
        <v>5388</v>
      </c>
      <c r="Y243" s="1816" t="s">
        <v>5389</v>
      </c>
      <c r="Z243" s="4799" t="s">
        <v>5390</v>
      </c>
      <c r="AA243" s="1816" t="s">
        <v>5391</v>
      </c>
      <c r="AB243" s="4799" t="s">
        <v>5392</v>
      </c>
      <c r="AC243" s="1816" t="s">
        <v>5393</v>
      </c>
      <c r="AD243" s="4799" t="s">
        <v>5394</v>
      </c>
      <c r="AE243" s="1816" t="s">
        <v>5395</v>
      </c>
      <c r="AF243" s="4799" t="s">
        <v>5396</v>
      </c>
      <c r="AG243" s="1816" t="s">
        <v>5397</v>
      </c>
      <c r="AH243" s="4799" t="s">
        <v>5398</v>
      </c>
      <c r="AI243" s="1816" t="s">
        <v>5399</v>
      </c>
      <c r="AJ243" s="4799" t="s">
        <v>5400</v>
      </c>
      <c r="AK243" s="1816" t="s">
        <v>5401</v>
      </c>
      <c r="AL243" s="4799" t="s">
        <v>5402</v>
      </c>
      <c r="AM243" s="1816" t="s">
        <v>5403</v>
      </c>
      <c r="AN243" s="4799" t="s">
        <v>5404</v>
      </c>
      <c r="AO243" s="1816" t="s">
        <v>5405</v>
      </c>
      <c r="AP243" s="1818" t="s">
        <v>5406</v>
      </c>
      <c r="AQ243" s="1822" t="s">
        <v>5407</v>
      </c>
      <c r="AR243" s="4789" t="s">
        <v>5408</v>
      </c>
      <c r="AS243" s="4810" t="s">
        <v>5409</v>
      </c>
      <c r="AT243" s="4810" t="s">
        <v>5410</v>
      </c>
      <c r="AU243" s="4799" t="s">
        <v>5411</v>
      </c>
      <c r="AV243" s="4799" t="s">
        <v>5412</v>
      </c>
      <c r="AW243" s="4800" t="s">
        <v>5413</v>
      </c>
      <c r="AX243" s="4800" t="s">
        <v>5414</v>
      </c>
      <c r="AY243" s="1816" t="s">
        <v>5415</v>
      </c>
      <c r="AZ243" s="4900" t="str">
        <f t="shared" si="129"/>
        <v xml:space="preserve">* Las Embarazadas NO DEBEN ser mayor al total de Mujeres. * Los Usuarios en Situación de Discapacidad NO DEBEN ser mayor al total. * Los Migrantes NO DEBEN ser mayor al total. </v>
      </c>
      <c r="BV243" s="1430"/>
      <c r="BW243" s="1430"/>
      <c r="BX243" s="1438"/>
      <c r="CB243" s="1435" t="str">
        <f t="shared" si="130"/>
        <v/>
      </c>
      <c r="CC243" s="1435"/>
      <c r="CD243" s="1435" t="str">
        <f t="shared" si="131"/>
        <v/>
      </c>
      <c r="CE243" s="1435" t="str">
        <f t="shared" si="132"/>
        <v xml:space="preserve">* Las Embarazadas NO DEBEN ser mayor al total de Mujeres. </v>
      </c>
      <c r="CF243" s="1435" t="str">
        <f t="shared" si="133"/>
        <v xml:space="preserve">* Los Usuarios en Situación de Discapacidad NO DEBEN ser mayor al total. </v>
      </c>
      <c r="CG243" s="1435"/>
      <c r="CH243" s="1435" t="str">
        <f t="shared" si="134"/>
        <v xml:space="preserve">* Los Migrantes NO DEBEN ser mayor al total. </v>
      </c>
      <c r="DB243" s="1436"/>
      <c r="DC243" s="1436"/>
      <c r="DD243" s="1436"/>
      <c r="DE243" s="1436">
        <f t="shared" si="136"/>
        <v>1</v>
      </c>
      <c r="DF243" s="1436">
        <f t="shared" si="137"/>
        <v>1</v>
      </c>
      <c r="DG243" s="1436"/>
      <c r="DH243" s="1436">
        <f t="shared" si="138"/>
        <v>1</v>
      </c>
    </row>
    <row r="244" spans="1:112" ht="16.350000000000001" customHeight="1" x14ac:dyDescent="0.25">
      <c r="A244" s="7520" t="s">
        <v>5285</v>
      </c>
      <c r="B244" s="8705"/>
      <c r="C244" s="9835" t="s">
        <v>1051</v>
      </c>
      <c r="D244" s="9835"/>
      <c r="E244" s="4766" t="s">
        <v>5369</v>
      </c>
      <c r="F244" s="3062" t="s">
        <v>5370</v>
      </c>
      <c r="G244" s="4797" t="s">
        <v>5371</v>
      </c>
      <c r="H244" s="4801" t="s">
        <v>5372</v>
      </c>
      <c r="I244" s="3610" t="s">
        <v>5373</v>
      </c>
      <c r="J244" s="3611" t="s">
        <v>5374</v>
      </c>
      <c r="K244" s="3610" t="s">
        <v>5375</v>
      </c>
      <c r="L244" s="3611" t="s">
        <v>5376</v>
      </c>
      <c r="M244" s="3610" t="s">
        <v>5377</v>
      </c>
      <c r="N244" s="3611" t="s">
        <v>5378</v>
      </c>
      <c r="O244" s="3610" t="s">
        <v>5379</v>
      </c>
      <c r="P244" s="3611" t="s">
        <v>5380</v>
      </c>
      <c r="Q244" s="3610" t="s">
        <v>5381</v>
      </c>
      <c r="R244" s="3611" t="s">
        <v>5382</v>
      </c>
      <c r="S244" s="3610" t="s">
        <v>5383</v>
      </c>
      <c r="T244" s="3611" t="s">
        <v>5384</v>
      </c>
      <c r="U244" s="3610" t="s">
        <v>5385</v>
      </c>
      <c r="V244" s="3611" t="s">
        <v>5386</v>
      </c>
      <c r="W244" s="3610" t="s">
        <v>5387</v>
      </c>
      <c r="X244" s="3611" t="s">
        <v>5388</v>
      </c>
      <c r="Y244" s="3610" t="s">
        <v>5389</v>
      </c>
      <c r="Z244" s="3611" t="s">
        <v>5390</v>
      </c>
      <c r="AA244" s="3610" t="s">
        <v>5391</v>
      </c>
      <c r="AB244" s="3611" t="s">
        <v>5392</v>
      </c>
      <c r="AC244" s="3610" t="s">
        <v>5393</v>
      </c>
      <c r="AD244" s="3611" t="s">
        <v>5394</v>
      </c>
      <c r="AE244" s="3610" t="s">
        <v>5395</v>
      </c>
      <c r="AF244" s="3611" t="s">
        <v>5396</v>
      </c>
      <c r="AG244" s="3610" t="s">
        <v>5397</v>
      </c>
      <c r="AH244" s="3611" t="s">
        <v>5398</v>
      </c>
      <c r="AI244" s="3610" t="s">
        <v>5399</v>
      </c>
      <c r="AJ244" s="3611" t="s">
        <v>5400</v>
      </c>
      <c r="AK244" s="3610" t="s">
        <v>5401</v>
      </c>
      <c r="AL244" s="3611" t="s">
        <v>5402</v>
      </c>
      <c r="AM244" s="3610" t="s">
        <v>5403</v>
      </c>
      <c r="AN244" s="3611" t="s">
        <v>5404</v>
      </c>
      <c r="AO244" s="3610" t="s">
        <v>5405</v>
      </c>
      <c r="AP244" s="1818" t="s">
        <v>5406</v>
      </c>
      <c r="AQ244" s="1822" t="s">
        <v>5407</v>
      </c>
      <c r="AR244" s="4789" t="s">
        <v>5408</v>
      </c>
      <c r="AS244" s="4810" t="s">
        <v>5409</v>
      </c>
      <c r="AT244" s="4810" t="s">
        <v>5410</v>
      </c>
      <c r="AU244" s="3611" t="s">
        <v>5411</v>
      </c>
      <c r="AV244" s="3611" t="s">
        <v>5412</v>
      </c>
      <c r="AW244" s="4804" t="s">
        <v>5413</v>
      </c>
      <c r="AX244" s="4804" t="s">
        <v>5414</v>
      </c>
      <c r="AY244" s="3610" t="s">
        <v>5415</v>
      </c>
      <c r="AZ244" s="4900" t="str">
        <f t="shared" si="129"/>
        <v xml:space="preserve">* Las Embarazadas NO DEBEN ser mayor al total de Mujeres. * Los Usuarios en Situación de Discapacidad NO DEBEN ser mayor al total. * Los Migrantes NO DEBEN ser mayor al total. </v>
      </c>
      <c r="BV244" s="1430"/>
      <c r="BW244" s="1430"/>
      <c r="BX244" s="1438"/>
      <c r="CB244" s="1435" t="str">
        <f t="shared" si="130"/>
        <v/>
      </c>
      <c r="CC244" s="1435"/>
      <c r="CD244" s="1435" t="str">
        <f t="shared" si="131"/>
        <v/>
      </c>
      <c r="CE244" s="1435" t="str">
        <f t="shared" si="132"/>
        <v xml:space="preserve">* Las Embarazadas NO DEBEN ser mayor al total de Mujeres. </v>
      </c>
      <c r="CF244" s="1435" t="str">
        <f t="shared" si="133"/>
        <v xml:space="preserve">* Los Usuarios en Situación de Discapacidad NO DEBEN ser mayor al total. </v>
      </c>
      <c r="CG244" s="1435"/>
      <c r="CH244" s="1435" t="str">
        <f t="shared" si="134"/>
        <v xml:space="preserve">* Los Migrantes NO DEBEN ser mayor al total. </v>
      </c>
      <c r="DB244" s="1436"/>
      <c r="DC244" s="1436"/>
      <c r="DD244" s="1436"/>
      <c r="DE244" s="1436">
        <f t="shared" si="136"/>
        <v>1</v>
      </c>
      <c r="DF244" s="1436">
        <f t="shared" si="137"/>
        <v>1</v>
      </c>
      <c r="DG244" s="1436"/>
      <c r="DH244" s="1436">
        <f t="shared" si="138"/>
        <v>1</v>
      </c>
    </row>
    <row r="245" spans="1:112" ht="16.350000000000001" customHeight="1" x14ac:dyDescent="0.25">
      <c r="A245" s="7520" t="s">
        <v>5286</v>
      </c>
      <c r="B245" s="8705"/>
      <c r="C245" s="9862" t="s">
        <v>2140</v>
      </c>
      <c r="D245" s="9863"/>
      <c r="E245" s="4766" t="s">
        <v>5369</v>
      </c>
      <c r="F245" s="3062" t="s">
        <v>5370</v>
      </c>
      <c r="G245" s="4797" t="s">
        <v>5371</v>
      </c>
      <c r="H245" s="4801" t="s">
        <v>5372</v>
      </c>
      <c r="I245" s="3610" t="s">
        <v>5373</v>
      </c>
      <c r="J245" s="3611" t="s">
        <v>5374</v>
      </c>
      <c r="K245" s="3610" t="s">
        <v>5375</v>
      </c>
      <c r="L245" s="3611" t="s">
        <v>5376</v>
      </c>
      <c r="M245" s="3610" t="s">
        <v>5377</v>
      </c>
      <c r="N245" s="3611" t="s">
        <v>5378</v>
      </c>
      <c r="O245" s="3610" t="s">
        <v>5379</v>
      </c>
      <c r="P245" s="3611" t="s">
        <v>5380</v>
      </c>
      <c r="Q245" s="3610" t="s">
        <v>5381</v>
      </c>
      <c r="R245" s="3611" t="s">
        <v>5382</v>
      </c>
      <c r="S245" s="3610" t="s">
        <v>5383</v>
      </c>
      <c r="T245" s="3611" t="s">
        <v>5384</v>
      </c>
      <c r="U245" s="3610" t="s">
        <v>5385</v>
      </c>
      <c r="V245" s="3611" t="s">
        <v>5386</v>
      </c>
      <c r="W245" s="3610" t="s">
        <v>5387</v>
      </c>
      <c r="X245" s="3611" t="s">
        <v>5388</v>
      </c>
      <c r="Y245" s="3610" t="s">
        <v>5389</v>
      </c>
      <c r="Z245" s="3611" t="s">
        <v>5390</v>
      </c>
      <c r="AA245" s="3610" t="s">
        <v>5391</v>
      </c>
      <c r="AB245" s="3611" t="s">
        <v>5392</v>
      </c>
      <c r="AC245" s="3610" t="s">
        <v>5393</v>
      </c>
      <c r="AD245" s="3611" t="s">
        <v>5394</v>
      </c>
      <c r="AE245" s="3610" t="s">
        <v>5395</v>
      </c>
      <c r="AF245" s="3611" t="s">
        <v>5396</v>
      </c>
      <c r="AG245" s="3610" t="s">
        <v>5397</v>
      </c>
      <c r="AH245" s="3611" t="s">
        <v>5398</v>
      </c>
      <c r="AI245" s="3610" t="s">
        <v>5399</v>
      </c>
      <c r="AJ245" s="3611" t="s">
        <v>5400</v>
      </c>
      <c r="AK245" s="3610" t="s">
        <v>5401</v>
      </c>
      <c r="AL245" s="3611" t="s">
        <v>5402</v>
      </c>
      <c r="AM245" s="3610" t="s">
        <v>5403</v>
      </c>
      <c r="AN245" s="3611" t="s">
        <v>5404</v>
      </c>
      <c r="AO245" s="3610" t="s">
        <v>5405</v>
      </c>
      <c r="AP245" s="3612" t="s">
        <v>5406</v>
      </c>
      <c r="AQ245" s="1822" t="s">
        <v>5407</v>
      </c>
      <c r="AR245" s="4789" t="s">
        <v>5408</v>
      </c>
      <c r="AS245" s="1823" t="s">
        <v>5409</v>
      </c>
      <c r="AT245" s="3614" t="s">
        <v>5410</v>
      </c>
      <c r="AU245" s="3611" t="s">
        <v>5411</v>
      </c>
      <c r="AV245" s="3611" t="s">
        <v>5412</v>
      </c>
      <c r="AW245" s="4804" t="s">
        <v>5413</v>
      </c>
      <c r="AX245" s="4804" t="s">
        <v>5414</v>
      </c>
      <c r="AY245" s="3610" t="s">
        <v>5415</v>
      </c>
      <c r="AZ245" s="4900" t="str">
        <f t="shared" si="129"/>
        <v xml:space="preserve">* Las Embarazadas NO DEBEN ser mayor al total de Mujeres. * Los Usuarios en Situación de Discapacidad NO DEBEN ser mayor al total. * Los Migrantes NO DEBEN ser mayor al total. </v>
      </c>
      <c r="BV245" s="1430"/>
      <c r="BW245" s="1430"/>
      <c r="BX245" s="1438"/>
      <c r="CB245" s="1435" t="str">
        <f t="shared" si="130"/>
        <v/>
      </c>
      <c r="CC245" s="1435"/>
      <c r="CD245" s="1435" t="str">
        <f t="shared" si="131"/>
        <v/>
      </c>
      <c r="CE245" s="1435" t="str">
        <f t="shared" si="132"/>
        <v xml:space="preserve">* Las Embarazadas NO DEBEN ser mayor al total de Mujeres. </v>
      </c>
      <c r="CF245" s="1435" t="str">
        <f t="shared" si="133"/>
        <v xml:space="preserve">* Los Usuarios en Situación de Discapacidad NO DEBEN ser mayor al total. </v>
      </c>
      <c r="CG245" s="1435"/>
      <c r="CH245" s="1435" t="str">
        <f t="shared" si="134"/>
        <v xml:space="preserve">* Los Migrantes NO DEBEN ser mayor al total. </v>
      </c>
      <c r="DB245" s="1436"/>
      <c r="DC245" s="1436"/>
      <c r="DD245" s="1436"/>
      <c r="DE245" s="1436">
        <f t="shared" si="136"/>
        <v>1</v>
      </c>
      <c r="DF245" s="1436">
        <f t="shared" si="137"/>
        <v>1</v>
      </c>
      <c r="DG245" s="1436"/>
      <c r="DH245" s="1436">
        <f t="shared" si="138"/>
        <v>1</v>
      </c>
    </row>
    <row r="246" spans="1:112" ht="16.350000000000001" customHeight="1" x14ac:dyDescent="0.25">
      <c r="A246" s="7520" t="s">
        <v>5287</v>
      </c>
      <c r="B246" s="9743"/>
      <c r="C246" s="9911" t="s">
        <v>1050</v>
      </c>
      <c r="D246" s="9911"/>
      <c r="E246" s="4805" t="s">
        <v>5369</v>
      </c>
      <c r="F246" s="4806" t="s">
        <v>5370</v>
      </c>
      <c r="G246" s="3615" t="s">
        <v>5371</v>
      </c>
      <c r="H246" s="8202" t="s">
        <v>5372</v>
      </c>
      <c r="I246" s="8202" t="s">
        <v>5373</v>
      </c>
      <c r="J246" s="3604" t="s">
        <v>5374</v>
      </c>
      <c r="K246" s="3603" t="s">
        <v>5375</v>
      </c>
      <c r="L246" s="3604" t="s">
        <v>5376</v>
      </c>
      <c r="M246" s="3603" t="s">
        <v>5377</v>
      </c>
      <c r="N246" s="3604" t="s">
        <v>5378</v>
      </c>
      <c r="O246" s="3603" t="s">
        <v>5379</v>
      </c>
      <c r="P246" s="3604" t="s">
        <v>5380</v>
      </c>
      <c r="Q246" s="3603" t="s">
        <v>5381</v>
      </c>
      <c r="R246" s="3604" t="s">
        <v>5382</v>
      </c>
      <c r="S246" s="3603" t="s">
        <v>5383</v>
      </c>
      <c r="T246" s="3604" t="s">
        <v>5384</v>
      </c>
      <c r="U246" s="3603" t="s">
        <v>5385</v>
      </c>
      <c r="V246" s="3604" t="s">
        <v>5386</v>
      </c>
      <c r="W246" s="3603" t="s">
        <v>5387</v>
      </c>
      <c r="X246" s="3604" t="s">
        <v>5388</v>
      </c>
      <c r="Y246" s="3603" t="s">
        <v>5389</v>
      </c>
      <c r="Z246" s="3604" t="s">
        <v>5390</v>
      </c>
      <c r="AA246" s="3603" t="s">
        <v>5391</v>
      </c>
      <c r="AB246" s="3604" t="s">
        <v>5392</v>
      </c>
      <c r="AC246" s="3603" t="s">
        <v>5393</v>
      </c>
      <c r="AD246" s="3604" t="s">
        <v>5394</v>
      </c>
      <c r="AE246" s="3603" t="s">
        <v>5395</v>
      </c>
      <c r="AF246" s="3604" t="s">
        <v>5396</v>
      </c>
      <c r="AG246" s="3603" t="s">
        <v>5397</v>
      </c>
      <c r="AH246" s="3604" t="s">
        <v>5398</v>
      </c>
      <c r="AI246" s="3603" t="s">
        <v>5399</v>
      </c>
      <c r="AJ246" s="3604" t="s">
        <v>5400</v>
      </c>
      <c r="AK246" s="3603" t="s">
        <v>5401</v>
      </c>
      <c r="AL246" s="3604" t="s">
        <v>5402</v>
      </c>
      <c r="AM246" s="3603" t="s">
        <v>5403</v>
      </c>
      <c r="AN246" s="3604" t="s">
        <v>5404</v>
      </c>
      <c r="AO246" s="3603" t="s">
        <v>5405</v>
      </c>
      <c r="AP246" s="3605" t="s">
        <v>5406</v>
      </c>
      <c r="AQ246" s="3616" t="s">
        <v>5407</v>
      </c>
      <c r="AR246" s="4807" t="s">
        <v>5408</v>
      </c>
      <c r="AS246" s="2907" t="s">
        <v>5409</v>
      </c>
      <c r="AT246" s="3616" t="s">
        <v>5410</v>
      </c>
      <c r="AU246" s="3604" t="s">
        <v>5411</v>
      </c>
      <c r="AV246" s="3604" t="s">
        <v>5412</v>
      </c>
      <c r="AW246" s="4794" t="s">
        <v>5413</v>
      </c>
      <c r="AX246" s="4794" t="s">
        <v>5414</v>
      </c>
      <c r="AY246" s="3603" t="s">
        <v>5415</v>
      </c>
      <c r="AZ246" s="4900" t="str">
        <f t="shared" si="129"/>
        <v xml:space="preserve">* Las Embarazadas NO DEBEN ser mayor al total de Mujeres. * Los Usuarios en Situación de Discapacidad NO DEBEN ser mayor al total. * Los Migrantes NO DEBEN ser mayor al total. </v>
      </c>
      <c r="BV246" s="1430"/>
      <c r="BW246" s="1430"/>
      <c r="BX246" s="1438"/>
      <c r="CB246" s="1435" t="str">
        <f t="shared" si="130"/>
        <v/>
      </c>
      <c r="CC246" s="1435"/>
      <c r="CD246" s="1435" t="str">
        <f t="shared" si="131"/>
        <v/>
      </c>
      <c r="CE246" s="1435" t="str">
        <f t="shared" si="132"/>
        <v xml:space="preserve">* Las Embarazadas NO DEBEN ser mayor al total de Mujeres. </v>
      </c>
      <c r="CF246" s="1435" t="str">
        <f t="shared" si="133"/>
        <v xml:space="preserve">* Los Usuarios en Situación de Discapacidad NO DEBEN ser mayor al total. </v>
      </c>
      <c r="CG246" s="1435"/>
      <c r="CH246" s="1435" t="str">
        <f t="shared" si="134"/>
        <v xml:space="preserve">* Los Migrantes NO DEBEN ser mayor al total. </v>
      </c>
      <c r="DB246" s="1436"/>
      <c r="DC246" s="1436"/>
      <c r="DD246" s="1436"/>
      <c r="DE246" s="1436">
        <f t="shared" si="136"/>
        <v>1</v>
      </c>
      <c r="DF246" s="1436">
        <f t="shared" si="137"/>
        <v>1</v>
      </c>
      <c r="DG246" s="1436"/>
      <c r="DH246" s="1436">
        <f t="shared" si="138"/>
        <v>1</v>
      </c>
    </row>
    <row r="247" spans="1:112" ht="16.350000000000001" customHeight="1" x14ac:dyDescent="0.25">
      <c r="A247" s="7520" t="s">
        <v>5288</v>
      </c>
      <c r="B247" s="8627" t="s">
        <v>2103</v>
      </c>
      <c r="C247" s="9903" t="s">
        <v>1054</v>
      </c>
      <c r="D247" s="9903"/>
      <c r="E247" s="4761" t="s">
        <v>5369</v>
      </c>
      <c r="F247" s="4808" t="s">
        <v>5370</v>
      </c>
      <c r="G247" s="4809" t="s">
        <v>5371</v>
      </c>
      <c r="H247" s="3508" t="s">
        <v>5372</v>
      </c>
      <c r="I247" s="3607" t="s">
        <v>5373</v>
      </c>
      <c r="J247" s="4796" t="s">
        <v>5374</v>
      </c>
      <c r="K247" s="3607" t="s">
        <v>5375</v>
      </c>
      <c r="L247" s="4796" t="s">
        <v>5376</v>
      </c>
      <c r="M247" s="3607" t="s">
        <v>5377</v>
      </c>
      <c r="N247" s="4796" t="s">
        <v>5378</v>
      </c>
      <c r="O247" s="3607" t="s">
        <v>5379</v>
      </c>
      <c r="P247" s="4796" t="s">
        <v>5380</v>
      </c>
      <c r="Q247" s="3607" t="s">
        <v>5381</v>
      </c>
      <c r="R247" s="4796" t="s">
        <v>5382</v>
      </c>
      <c r="S247" s="3607" t="s">
        <v>5383</v>
      </c>
      <c r="T247" s="4796" t="s">
        <v>5384</v>
      </c>
      <c r="U247" s="3607" t="s">
        <v>5385</v>
      </c>
      <c r="V247" s="4796" t="s">
        <v>5386</v>
      </c>
      <c r="W247" s="2925" t="s">
        <v>5387</v>
      </c>
      <c r="X247" s="4796" t="s">
        <v>5388</v>
      </c>
      <c r="Y247" s="2925" t="s">
        <v>5389</v>
      </c>
      <c r="Z247" s="4785" t="s">
        <v>5390</v>
      </c>
      <c r="AA247" s="4786" t="s">
        <v>5391</v>
      </c>
      <c r="AB247" s="4785" t="s">
        <v>5392</v>
      </c>
      <c r="AC247" s="4786" t="s">
        <v>5393</v>
      </c>
      <c r="AD247" s="4785" t="s">
        <v>5394</v>
      </c>
      <c r="AE247" s="4786" t="s">
        <v>5395</v>
      </c>
      <c r="AF247" s="4785" t="s">
        <v>5396</v>
      </c>
      <c r="AG247" s="4786" t="s">
        <v>5397</v>
      </c>
      <c r="AH247" s="4785" t="s">
        <v>5398</v>
      </c>
      <c r="AI247" s="4786" t="s">
        <v>5399</v>
      </c>
      <c r="AJ247" s="4785" t="s">
        <v>5400</v>
      </c>
      <c r="AK247" s="4786" t="s">
        <v>5401</v>
      </c>
      <c r="AL247" s="4785" t="s">
        <v>5402</v>
      </c>
      <c r="AM247" s="4786" t="s">
        <v>5403</v>
      </c>
      <c r="AN247" s="4785" t="s">
        <v>5404</v>
      </c>
      <c r="AO247" s="4786" t="s">
        <v>5405</v>
      </c>
      <c r="AP247" s="4812" t="s">
        <v>5406</v>
      </c>
      <c r="AQ247" s="4811" t="s">
        <v>5407</v>
      </c>
      <c r="AR247" s="4783" t="s">
        <v>5408</v>
      </c>
      <c r="AS247" s="3609" t="s">
        <v>5409</v>
      </c>
      <c r="AT247" s="4783" t="s">
        <v>5410</v>
      </c>
      <c r="AU247" s="4796" t="s">
        <v>5411</v>
      </c>
      <c r="AV247" s="4796" t="s">
        <v>5412</v>
      </c>
      <c r="AW247" s="3609" t="s">
        <v>5413</v>
      </c>
      <c r="AX247" s="3609" t="s">
        <v>5414</v>
      </c>
      <c r="AY247" s="3607" t="s">
        <v>5415</v>
      </c>
      <c r="AZ247" s="4900" t="str">
        <f t="shared" si="129"/>
        <v xml:space="preserve">* La consulta pertinente según Protocolo de Referencia NO DEBE ser mayor al Total registrado. * La consulta pertinente según condición clínica NO DEBE ser mayor al Total registrado. * Los Usuarios en Situación de Discapacidad NO DEBEN ser mayor al total. * Los Migrantes NO DEBEN ser mayor al total. </v>
      </c>
      <c r="BV247" s="1430"/>
      <c r="BW247" s="1430"/>
      <c r="BX247" s="1438"/>
      <c r="CB247" s="1435" t="str">
        <f t="shared" si="130"/>
        <v/>
      </c>
      <c r="CC247" s="1435" t="str">
        <f>IF(DC247=1,"* La consulta pertinente según Protocolo de Referencia NO DEBE ser mayor al Total registrado. ","")</f>
        <v xml:space="preserve">* La consulta pertinente según Protocolo de Referencia NO DEBE ser mayor al Total registrado. </v>
      </c>
      <c r="CD247" s="1435" t="str">
        <f t="shared" si="131"/>
        <v xml:space="preserve">* La consulta pertinente según condición clínica NO DEBE ser mayor al Total registrado. </v>
      </c>
      <c r="CE247" s="1435"/>
      <c r="CF247" s="1435" t="str">
        <f t="shared" si="133"/>
        <v xml:space="preserve">* Los Usuarios en Situación de Discapacidad NO DEBEN ser mayor al total. </v>
      </c>
      <c r="CG247" s="1435"/>
      <c r="CH247" s="1435" t="str">
        <f t="shared" si="134"/>
        <v xml:space="preserve">* Los Migrantes NO DEBEN ser mayor al total. </v>
      </c>
      <c r="DB247" s="1436"/>
      <c r="DC247" s="1436">
        <f>IF(E247&lt;AR247,1,0)</f>
        <v>1</v>
      </c>
      <c r="DD247" s="1436">
        <f>IF(E247&lt;AS247,1,0)</f>
        <v>1</v>
      </c>
      <c r="DE247" s="1436"/>
      <c r="DF247" s="1436">
        <f t="shared" si="137"/>
        <v>1</v>
      </c>
      <c r="DG247" s="1436"/>
      <c r="DH247" s="1436">
        <f t="shared" si="138"/>
        <v>1</v>
      </c>
    </row>
    <row r="248" spans="1:112" ht="16.350000000000001" customHeight="1" x14ac:dyDescent="0.25">
      <c r="A248" s="7520" t="s">
        <v>5289</v>
      </c>
      <c r="B248" s="8705"/>
      <c r="C248" s="9835" t="s">
        <v>1053</v>
      </c>
      <c r="D248" s="9835"/>
      <c r="E248" s="4766" t="s">
        <v>5369</v>
      </c>
      <c r="F248" s="3062" t="s">
        <v>5370</v>
      </c>
      <c r="G248" s="4797" t="s">
        <v>5371</v>
      </c>
      <c r="H248" s="4798" t="s">
        <v>5372</v>
      </c>
      <c r="I248" s="1816" t="s">
        <v>5373</v>
      </c>
      <c r="J248" s="4799" t="s">
        <v>5374</v>
      </c>
      <c r="K248" s="1816" t="s">
        <v>5375</v>
      </c>
      <c r="L248" s="4799" t="s">
        <v>5376</v>
      </c>
      <c r="M248" s="1816" t="s">
        <v>5377</v>
      </c>
      <c r="N248" s="4799" t="s">
        <v>5378</v>
      </c>
      <c r="O248" s="1816" t="s">
        <v>5379</v>
      </c>
      <c r="P248" s="4799" t="s">
        <v>5380</v>
      </c>
      <c r="Q248" s="1816" t="s">
        <v>5381</v>
      </c>
      <c r="R248" s="4799" t="s">
        <v>5382</v>
      </c>
      <c r="S248" s="1816" t="s">
        <v>5383</v>
      </c>
      <c r="T248" s="4799" t="s">
        <v>5384</v>
      </c>
      <c r="U248" s="1816" t="s">
        <v>5385</v>
      </c>
      <c r="V248" s="4799" t="s">
        <v>5386</v>
      </c>
      <c r="W248" s="2926" t="s">
        <v>5387</v>
      </c>
      <c r="X248" s="4799" t="s">
        <v>5388</v>
      </c>
      <c r="Y248" s="2926" t="s">
        <v>5389</v>
      </c>
      <c r="Z248" s="4799" t="s">
        <v>5390</v>
      </c>
      <c r="AA248" s="2926" t="s">
        <v>5391</v>
      </c>
      <c r="AB248" s="4799" t="s">
        <v>5392</v>
      </c>
      <c r="AC248" s="2926" t="s">
        <v>5393</v>
      </c>
      <c r="AD248" s="4799" t="s">
        <v>5394</v>
      </c>
      <c r="AE248" s="2926" t="s">
        <v>5395</v>
      </c>
      <c r="AF248" s="4799" t="s">
        <v>5396</v>
      </c>
      <c r="AG248" s="2926" t="s">
        <v>5397</v>
      </c>
      <c r="AH248" s="4799" t="s">
        <v>5398</v>
      </c>
      <c r="AI248" s="2926" t="s">
        <v>5399</v>
      </c>
      <c r="AJ248" s="4799" t="s">
        <v>5400</v>
      </c>
      <c r="AK248" s="2926" t="s">
        <v>5401</v>
      </c>
      <c r="AL248" s="4799" t="s">
        <v>5402</v>
      </c>
      <c r="AM248" s="2926" t="s">
        <v>5403</v>
      </c>
      <c r="AN248" s="4799" t="s">
        <v>5404</v>
      </c>
      <c r="AO248" s="2926" t="s">
        <v>5405</v>
      </c>
      <c r="AP248" s="1824" t="s">
        <v>5406</v>
      </c>
      <c r="AQ248" s="1822" t="s">
        <v>5407</v>
      </c>
      <c r="AR248" s="4789" t="s">
        <v>5408</v>
      </c>
      <c r="AS248" s="4810" t="s">
        <v>5409</v>
      </c>
      <c r="AT248" s="3508" t="s">
        <v>5410</v>
      </c>
      <c r="AU248" s="4799" t="s">
        <v>5411</v>
      </c>
      <c r="AV248" s="4799" t="s">
        <v>5412</v>
      </c>
      <c r="AW248" s="4800" t="s">
        <v>5413</v>
      </c>
      <c r="AX248" s="4800" t="s">
        <v>5414</v>
      </c>
      <c r="AY248" s="1816" t="s">
        <v>5415</v>
      </c>
      <c r="AZ248" s="4900" t="str">
        <f t="shared" si="129"/>
        <v xml:space="preserve">* Los Usuarios en Situación de Discapacidad NO DEBEN ser mayor al total. * Los Migrantes NO DEBEN ser mayor al total. </v>
      </c>
      <c r="BV248" s="1430"/>
      <c r="BW248" s="1430"/>
      <c r="BX248" s="1438"/>
      <c r="CB248" s="1435" t="str">
        <f t="shared" si="130"/>
        <v/>
      </c>
      <c r="CC248" s="1435"/>
      <c r="CD248" s="1435" t="str">
        <f t="shared" si="131"/>
        <v/>
      </c>
      <c r="CE248" s="1435"/>
      <c r="CF248" s="1435" t="str">
        <f t="shared" si="133"/>
        <v xml:space="preserve">* Los Usuarios en Situación de Discapacidad NO DEBEN ser mayor al total. </v>
      </c>
      <c r="CG248" s="1435"/>
      <c r="CH248" s="1435" t="str">
        <f t="shared" si="134"/>
        <v xml:space="preserve">* Los Migrantes NO DEBEN ser mayor al total. </v>
      </c>
      <c r="DB248" s="1436"/>
      <c r="DC248" s="1436"/>
      <c r="DD248" s="1436"/>
      <c r="DE248" s="1436"/>
      <c r="DF248" s="1436">
        <f t="shared" si="137"/>
        <v>1</v>
      </c>
      <c r="DG248" s="1436"/>
      <c r="DH248" s="1436">
        <f t="shared" si="138"/>
        <v>1</v>
      </c>
    </row>
    <row r="249" spans="1:112" ht="16.350000000000001" customHeight="1" x14ac:dyDescent="0.25">
      <c r="A249" s="7520" t="s">
        <v>5290</v>
      </c>
      <c r="B249" s="8705"/>
      <c r="C249" s="9835" t="s">
        <v>1052</v>
      </c>
      <c r="D249" s="9835"/>
      <c r="E249" s="4766" t="s">
        <v>5369</v>
      </c>
      <c r="F249" s="3062" t="s">
        <v>5370</v>
      </c>
      <c r="G249" s="4797" t="s">
        <v>5371</v>
      </c>
      <c r="H249" s="4798" t="s">
        <v>5372</v>
      </c>
      <c r="I249" s="1816" t="s">
        <v>5373</v>
      </c>
      <c r="J249" s="4799" t="s">
        <v>5374</v>
      </c>
      <c r="K249" s="1816" t="s">
        <v>5375</v>
      </c>
      <c r="L249" s="4799" t="s">
        <v>5376</v>
      </c>
      <c r="M249" s="1816" t="s">
        <v>5377</v>
      </c>
      <c r="N249" s="4799" t="s">
        <v>5378</v>
      </c>
      <c r="O249" s="1816" t="s">
        <v>5379</v>
      </c>
      <c r="P249" s="4799" t="s">
        <v>5380</v>
      </c>
      <c r="Q249" s="1816" t="s">
        <v>5381</v>
      </c>
      <c r="R249" s="4799" t="s">
        <v>5382</v>
      </c>
      <c r="S249" s="1816" t="s">
        <v>5383</v>
      </c>
      <c r="T249" s="4799" t="s">
        <v>5384</v>
      </c>
      <c r="U249" s="1816" t="s">
        <v>5385</v>
      </c>
      <c r="V249" s="4799" t="s">
        <v>5386</v>
      </c>
      <c r="W249" s="2926" t="s">
        <v>5387</v>
      </c>
      <c r="X249" s="4799" t="s">
        <v>5388</v>
      </c>
      <c r="Y249" s="2926" t="s">
        <v>5389</v>
      </c>
      <c r="Z249" s="4799" t="s">
        <v>5390</v>
      </c>
      <c r="AA249" s="2926" t="s">
        <v>5391</v>
      </c>
      <c r="AB249" s="4799" t="s">
        <v>5392</v>
      </c>
      <c r="AC249" s="2926" t="s">
        <v>5393</v>
      </c>
      <c r="AD249" s="4799" t="s">
        <v>5394</v>
      </c>
      <c r="AE249" s="2926" t="s">
        <v>5395</v>
      </c>
      <c r="AF249" s="4799" t="s">
        <v>5396</v>
      </c>
      <c r="AG249" s="2926" t="s">
        <v>5397</v>
      </c>
      <c r="AH249" s="4799" t="s">
        <v>5398</v>
      </c>
      <c r="AI249" s="2926" t="s">
        <v>5399</v>
      </c>
      <c r="AJ249" s="4799" t="s">
        <v>5400</v>
      </c>
      <c r="AK249" s="2926" t="s">
        <v>5401</v>
      </c>
      <c r="AL249" s="4799" t="s">
        <v>5402</v>
      </c>
      <c r="AM249" s="2926" t="s">
        <v>5403</v>
      </c>
      <c r="AN249" s="4799" t="s">
        <v>5404</v>
      </c>
      <c r="AO249" s="2926" t="s">
        <v>5405</v>
      </c>
      <c r="AP249" s="1824" t="s">
        <v>5406</v>
      </c>
      <c r="AQ249" s="1822" t="s">
        <v>5407</v>
      </c>
      <c r="AR249" s="4789" t="s">
        <v>5408</v>
      </c>
      <c r="AS249" s="4810" t="s">
        <v>5409</v>
      </c>
      <c r="AT249" s="4810" t="s">
        <v>5410</v>
      </c>
      <c r="AU249" s="4799" t="s">
        <v>5411</v>
      </c>
      <c r="AV249" s="4799" t="s">
        <v>5412</v>
      </c>
      <c r="AW249" s="4800" t="s">
        <v>5413</v>
      </c>
      <c r="AX249" s="4800" t="s">
        <v>5414</v>
      </c>
      <c r="AY249" s="1816" t="s">
        <v>5415</v>
      </c>
      <c r="AZ249" s="4900" t="str">
        <f t="shared" si="129"/>
        <v xml:space="preserve">* Los Usuarios en Situación de Discapacidad NO DEBEN ser mayor al total. * Los Migrantes NO DEBEN ser mayor al total. </v>
      </c>
      <c r="BV249" s="1430"/>
      <c r="BW249" s="1430"/>
      <c r="BX249" s="1438"/>
      <c r="CB249" s="1435" t="str">
        <f t="shared" si="130"/>
        <v/>
      </c>
      <c r="CC249" s="1435"/>
      <c r="CD249" s="1435" t="str">
        <f t="shared" si="131"/>
        <v/>
      </c>
      <c r="CE249" s="1435"/>
      <c r="CF249" s="1435" t="str">
        <f t="shared" si="133"/>
        <v xml:space="preserve">* Los Usuarios en Situación de Discapacidad NO DEBEN ser mayor al total. </v>
      </c>
      <c r="CG249" s="1435"/>
      <c r="CH249" s="1435" t="str">
        <f t="shared" si="134"/>
        <v xml:space="preserve">* Los Migrantes NO DEBEN ser mayor al total. </v>
      </c>
      <c r="DB249" s="1436"/>
      <c r="DC249" s="1436"/>
      <c r="DD249" s="1436"/>
      <c r="DE249" s="1436"/>
      <c r="DF249" s="1436">
        <f t="shared" si="137"/>
        <v>1</v>
      </c>
      <c r="DG249" s="1436"/>
      <c r="DH249" s="1436">
        <f t="shared" si="138"/>
        <v>1</v>
      </c>
    </row>
    <row r="250" spans="1:112" ht="16.350000000000001" customHeight="1" x14ac:dyDescent="0.25">
      <c r="A250" s="7520" t="s">
        <v>5291</v>
      </c>
      <c r="B250" s="8705"/>
      <c r="C250" s="9835" t="s">
        <v>1051</v>
      </c>
      <c r="D250" s="9835"/>
      <c r="E250" s="4766" t="s">
        <v>5369</v>
      </c>
      <c r="F250" s="3062" t="s">
        <v>5370</v>
      </c>
      <c r="G250" s="4797" t="s">
        <v>5371</v>
      </c>
      <c r="H250" s="4801" t="s">
        <v>5372</v>
      </c>
      <c r="I250" s="3610" t="s">
        <v>5373</v>
      </c>
      <c r="J250" s="3611" t="s">
        <v>5374</v>
      </c>
      <c r="K250" s="3610" t="s">
        <v>5375</v>
      </c>
      <c r="L250" s="3611" t="s">
        <v>5376</v>
      </c>
      <c r="M250" s="3610" t="s">
        <v>5377</v>
      </c>
      <c r="N250" s="3611" t="s">
        <v>5378</v>
      </c>
      <c r="O250" s="3610" t="s">
        <v>5379</v>
      </c>
      <c r="P250" s="3611" t="s">
        <v>5380</v>
      </c>
      <c r="Q250" s="3610" t="s">
        <v>5381</v>
      </c>
      <c r="R250" s="3611" t="s">
        <v>5382</v>
      </c>
      <c r="S250" s="3610" t="s">
        <v>5383</v>
      </c>
      <c r="T250" s="3611" t="s">
        <v>5384</v>
      </c>
      <c r="U250" s="3610" t="s">
        <v>5385</v>
      </c>
      <c r="V250" s="3611" t="s">
        <v>5386</v>
      </c>
      <c r="W250" s="4802" t="s">
        <v>5387</v>
      </c>
      <c r="X250" s="3611" t="s">
        <v>5388</v>
      </c>
      <c r="Y250" s="4802" t="s">
        <v>5389</v>
      </c>
      <c r="Z250" s="3611" t="s">
        <v>5390</v>
      </c>
      <c r="AA250" s="4802" t="s">
        <v>5391</v>
      </c>
      <c r="AB250" s="3611" t="s">
        <v>5392</v>
      </c>
      <c r="AC250" s="4802" t="s">
        <v>5393</v>
      </c>
      <c r="AD250" s="3611" t="s">
        <v>5394</v>
      </c>
      <c r="AE250" s="4802" t="s">
        <v>5395</v>
      </c>
      <c r="AF250" s="3611" t="s">
        <v>5396</v>
      </c>
      <c r="AG250" s="4802" t="s">
        <v>5397</v>
      </c>
      <c r="AH250" s="3611" t="s">
        <v>5398</v>
      </c>
      <c r="AI250" s="4802" t="s">
        <v>5399</v>
      </c>
      <c r="AJ250" s="3611" t="s">
        <v>5400</v>
      </c>
      <c r="AK250" s="4802" t="s">
        <v>5401</v>
      </c>
      <c r="AL250" s="3611" t="s">
        <v>5402</v>
      </c>
      <c r="AM250" s="4802" t="s">
        <v>5403</v>
      </c>
      <c r="AN250" s="3611" t="s">
        <v>5404</v>
      </c>
      <c r="AO250" s="4802" t="s">
        <v>5405</v>
      </c>
      <c r="AP250" s="1824" t="s">
        <v>5406</v>
      </c>
      <c r="AQ250" s="1822" t="s">
        <v>5407</v>
      </c>
      <c r="AR250" s="4789" t="s">
        <v>5408</v>
      </c>
      <c r="AS250" s="4810" t="s">
        <v>5409</v>
      </c>
      <c r="AT250" s="4810" t="s">
        <v>5410</v>
      </c>
      <c r="AU250" s="3611" t="s">
        <v>5411</v>
      </c>
      <c r="AV250" s="3611" t="s">
        <v>5412</v>
      </c>
      <c r="AW250" s="4804" t="s">
        <v>5413</v>
      </c>
      <c r="AX250" s="4804" t="s">
        <v>5414</v>
      </c>
      <c r="AY250" s="3610" t="s">
        <v>5415</v>
      </c>
      <c r="AZ250" s="4900" t="str">
        <f t="shared" si="129"/>
        <v xml:space="preserve">* Los Usuarios en Situación de Discapacidad NO DEBEN ser mayor al total. * Los Migrantes NO DEBEN ser mayor al total. </v>
      </c>
      <c r="BV250" s="1430"/>
      <c r="BW250" s="1430"/>
      <c r="BX250" s="1438"/>
      <c r="CB250" s="1435" t="str">
        <f t="shared" si="130"/>
        <v/>
      </c>
      <c r="CC250" s="1435"/>
      <c r="CD250" s="1435" t="str">
        <f t="shared" si="131"/>
        <v/>
      </c>
      <c r="CE250" s="1435"/>
      <c r="CF250" s="1435" t="str">
        <f t="shared" si="133"/>
        <v xml:space="preserve">* Los Usuarios en Situación de Discapacidad NO DEBEN ser mayor al total. </v>
      </c>
      <c r="CG250" s="1435"/>
      <c r="CH250" s="1435" t="str">
        <f t="shared" si="134"/>
        <v xml:space="preserve">* Los Migrantes NO DEBEN ser mayor al total. </v>
      </c>
      <c r="DB250" s="1436"/>
      <c r="DC250" s="1436"/>
      <c r="DD250" s="1436"/>
      <c r="DE250" s="1436"/>
      <c r="DF250" s="1436">
        <f t="shared" si="137"/>
        <v>1</v>
      </c>
      <c r="DG250" s="1436"/>
      <c r="DH250" s="1436">
        <f t="shared" si="138"/>
        <v>1</v>
      </c>
    </row>
    <row r="251" spans="1:112" ht="16.350000000000001" customHeight="1" x14ac:dyDescent="0.25">
      <c r="A251" s="7520" t="s">
        <v>5090</v>
      </c>
      <c r="B251" s="8705"/>
      <c r="C251" s="9862" t="s">
        <v>2140</v>
      </c>
      <c r="D251" s="9863"/>
      <c r="E251" s="4766" t="s">
        <v>5369</v>
      </c>
      <c r="F251" s="3062" t="s">
        <v>5370</v>
      </c>
      <c r="G251" s="4797" t="s">
        <v>5371</v>
      </c>
      <c r="H251" s="4801" t="s">
        <v>5372</v>
      </c>
      <c r="I251" s="3610" t="s">
        <v>5373</v>
      </c>
      <c r="J251" s="3611" t="s">
        <v>5374</v>
      </c>
      <c r="K251" s="3610" t="s">
        <v>5375</v>
      </c>
      <c r="L251" s="3611" t="s">
        <v>5376</v>
      </c>
      <c r="M251" s="3610" t="s">
        <v>5377</v>
      </c>
      <c r="N251" s="3611" t="s">
        <v>5378</v>
      </c>
      <c r="O251" s="3610" t="s">
        <v>5379</v>
      </c>
      <c r="P251" s="3611" t="s">
        <v>5380</v>
      </c>
      <c r="Q251" s="3610" t="s">
        <v>5381</v>
      </c>
      <c r="R251" s="3611" t="s">
        <v>5382</v>
      </c>
      <c r="S251" s="3610" t="s">
        <v>5383</v>
      </c>
      <c r="T251" s="3611" t="s">
        <v>5384</v>
      </c>
      <c r="U251" s="3610" t="s">
        <v>5385</v>
      </c>
      <c r="V251" s="3611" t="s">
        <v>5386</v>
      </c>
      <c r="W251" s="4802" t="s">
        <v>5387</v>
      </c>
      <c r="X251" s="3611" t="s">
        <v>5388</v>
      </c>
      <c r="Y251" s="4802" t="s">
        <v>5389</v>
      </c>
      <c r="Z251" s="3611" t="s">
        <v>5390</v>
      </c>
      <c r="AA251" s="4802" t="s">
        <v>5391</v>
      </c>
      <c r="AB251" s="3611" t="s">
        <v>5392</v>
      </c>
      <c r="AC251" s="4802" t="s">
        <v>5393</v>
      </c>
      <c r="AD251" s="3611" t="s">
        <v>5394</v>
      </c>
      <c r="AE251" s="4802" t="s">
        <v>5395</v>
      </c>
      <c r="AF251" s="3611" t="s">
        <v>5396</v>
      </c>
      <c r="AG251" s="4802" t="s">
        <v>5397</v>
      </c>
      <c r="AH251" s="3611" t="s">
        <v>5398</v>
      </c>
      <c r="AI251" s="4802" t="s">
        <v>5399</v>
      </c>
      <c r="AJ251" s="3611" t="s">
        <v>5400</v>
      </c>
      <c r="AK251" s="4802" t="s">
        <v>5401</v>
      </c>
      <c r="AL251" s="3611" t="s">
        <v>5402</v>
      </c>
      <c r="AM251" s="4802" t="s">
        <v>5403</v>
      </c>
      <c r="AN251" s="3611" t="s">
        <v>5404</v>
      </c>
      <c r="AO251" s="4802" t="s">
        <v>5405</v>
      </c>
      <c r="AP251" s="1824" t="s">
        <v>5406</v>
      </c>
      <c r="AQ251" s="1822" t="s">
        <v>5407</v>
      </c>
      <c r="AR251" s="4789" t="s">
        <v>5408</v>
      </c>
      <c r="AS251" s="1823" t="s">
        <v>5409</v>
      </c>
      <c r="AT251" s="3614" t="s">
        <v>5410</v>
      </c>
      <c r="AU251" s="3611" t="s">
        <v>5411</v>
      </c>
      <c r="AV251" s="3611" t="s">
        <v>5412</v>
      </c>
      <c r="AW251" s="4804" t="s">
        <v>5413</v>
      </c>
      <c r="AX251" s="4804" t="s">
        <v>5414</v>
      </c>
      <c r="AY251" s="3610" t="s">
        <v>5415</v>
      </c>
      <c r="AZ251" s="4900" t="str">
        <f t="shared" si="129"/>
        <v xml:space="preserve">* Los Usuarios en Situación de Discapacidad NO DEBEN ser mayor al total. * Los Migrantes NO DEBEN ser mayor al total. </v>
      </c>
      <c r="BV251" s="1430"/>
      <c r="BW251" s="1430"/>
      <c r="BX251" s="1438"/>
      <c r="CB251" s="1435" t="str">
        <f t="shared" si="130"/>
        <v/>
      </c>
      <c r="CC251" s="1435"/>
      <c r="CD251" s="1435" t="str">
        <f t="shared" si="131"/>
        <v/>
      </c>
      <c r="CE251" s="1435"/>
      <c r="CF251" s="1435" t="str">
        <f t="shared" si="133"/>
        <v xml:space="preserve">* Los Usuarios en Situación de Discapacidad NO DEBEN ser mayor al total. </v>
      </c>
      <c r="CG251" s="1435"/>
      <c r="CH251" s="1435" t="str">
        <f t="shared" si="134"/>
        <v xml:space="preserve">* Los Migrantes NO DEBEN ser mayor al total. </v>
      </c>
      <c r="DB251" s="1436"/>
      <c r="DC251" s="1436"/>
      <c r="DD251" s="1436"/>
      <c r="DE251" s="1436"/>
      <c r="DF251" s="1436">
        <f t="shared" si="137"/>
        <v>1</v>
      </c>
      <c r="DG251" s="1436"/>
      <c r="DH251" s="1436">
        <f t="shared" si="138"/>
        <v>1</v>
      </c>
    </row>
    <row r="252" spans="1:112" ht="16.350000000000001" customHeight="1" x14ac:dyDescent="0.25">
      <c r="A252" s="7520" t="s">
        <v>5292</v>
      </c>
      <c r="B252" s="9743"/>
      <c r="C252" s="9911" t="s">
        <v>1050</v>
      </c>
      <c r="D252" s="9911"/>
      <c r="E252" s="4805" t="s">
        <v>5369</v>
      </c>
      <c r="F252" s="4806" t="s">
        <v>5370</v>
      </c>
      <c r="G252" s="4806" t="s">
        <v>5371</v>
      </c>
      <c r="H252" s="3241" t="s">
        <v>5372</v>
      </c>
      <c r="I252" s="3603" t="s">
        <v>5373</v>
      </c>
      <c r="J252" s="3604" t="s">
        <v>5374</v>
      </c>
      <c r="K252" s="3603" t="s">
        <v>5375</v>
      </c>
      <c r="L252" s="3604" t="s">
        <v>5376</v>
      </c>
      <c r="M252" s="3603" t="s">
        <v>5377</v>
      </c>
      <c r="N252" s="3604" t="s">
        <v>5378</v>
      </c>
      <c r="O252" s="3603" t="s">
        <v>5379</v>
      </c>
      <c r="P252" s="3604" t="s">
        <v>5380</v>
      </c>
      <c r="Q252" s="3603" t="s">
        <v>5381</v>
      </c>
      <c r="R252" s="3604" t="s">
        <v>5382</v>
      </c>
      <c r="S252" s="3603" t="s">
        <v>5383</v>
      </c>
      <c r="T252" s="3604" t="s">
        <v>5384</v>
      </c>
      <c r="U252" s="3603" t="s">
        <v>5385</v>
      </c>
      <c r="V252" s="3604" t="s">
        <v>5386</v>
      </c>
      <c r="W252" s="3122" t="s">
        <v>5387</v>
      </c>
      <c r="X252" s="3604" t="s">
        <v>5388</v>
      </c>
      <c r="Y252" s="3122" t="s">
        <v>5389</v>
      </c>
      <c r="Z252" s="3604" t="s">
        <v>5390</v>
      </c>
      <c r="AA252" s="3122" t="s">
        <v>5391</v>
      </c>
      <c r="AB252" s="3604" t="s">
        <v>5392</v>
      </c>
      <c r="AC252" s="3122" t="s">
        <v>5393</v>
      </c>
      <c r="AD252" s="3604" t="s">
        <v>5394</v>
      </c>
      <c r="AE252" s="3122" t="s">
        <v>5395</v>
      </c>
      <c r="AF252" s="3604" t="s">
        <v>5396</v>
      </c>
      <c r="AG252" s="3122" t="s">
        <v>5397</v>
      </c>
      <c r="AH252" s="3604" t="s">
        <v>5398</v>
      </c>
      <c r="AI252" s="3122" t="s">
        <v>5399</v>
      </c>
      <c r="AJ252" s="3604" t="s">
        <v>5400</v>
      </c>
      <c r="AK252" s="3122" t="s">
        <v>5401</v>
      </c>
      <c r="AL252" s="3604" t="s">
        <v>5402</v>
      </c>
      <c r="AM252" s="3122" t="s">
        <v>5403</v>
      </c>
      <c r="AN252" s="3604" t="s">
        <v>5404</v>
      </c>
      <c r="AO252" s="3122" t="s">
        <v>5405</v>
      </c>
      <c r="AP252" s="3618" t="s">
        <v>5406</v>
      </c>
      <c r="AQ252" s="3616" t="s">
        <v>5407</v>
      </c>
      <c r="AR252" s="4807" t="s">
        <v>5408</v>
      </c>
      <c r="AS252" s="2907" t="s">
        <v>5409</v>
      </c>
      <c r="AT252" s="3616" t="s">
        <v>5410</v>
      </c>
      <c r="AU252" s="3604" t="s">
        <v>5411</v>
      </c>
      <c r="AV252" s="3604" t="s">
        <v>5412</v>
      </c>
      <c r="AW252" s="4794" t="s">
        <v>5413</v>
      </c>
      <c r="AX252" s="4794" t="s">
        <v>5414</v>
      </c>
      <c r="AY252" s="3603" t="s">
        <v>5415</v>
      </c>
      <c r="AZ252" s="4900" t="str">
        <f t="shared" si="129"/>
        <v xml:space="preserve">* Los Usuarios en Situación de Discapacidad NO DEBEN ser mayor al total. * Los Migrantes NO DEBEN ser mayor al total. </v>
      </c>
      <c r="BV252" s="1430"/>
      <c r="BW252" s="1430"/>
      <c r="BX252" s="1438"/>
      <c r="CB252" s="1435" t="str">
        <f t="shared" si="130"/>
        <v/>
      </c>
      <c r="CC252" s="1435"/>
      <c r="CD252" s="1435" t="str">
        <f t="shared" si="131"/>
        <v/>
      </c>
      <c r="CE252" s="1435"/>
      <c r="CF252" s="1435" t="str">
        <f t="shared" si="133"/>
        <v xml:space="preserve">* Los Usuarios en Situación de Discapacidad NO DEBEN ser mayor al total. </v>
      </c>
      <c r="CG252" s="1435"/>
      <c r="CH252" s="1435" t="str">
        <f t="shared" si="134"/>
        <v xml:space="preserve">* Los Migrantes NO DEBEN ser mayor al total. </v>
      </c>
      <c r="DB252" s="1436"/>
      <c r="DC252" s="1436"/>
      <c r="DD252" s="1436"/>
      <c r="DE252" s="1436"/>
      <c r="DF252" s="1436">
        <f t="shared" si="137"/>
        <v>1</v>
      </c>
      <c r="DG252" s="1436"/>
      <c r="DH252" s="1436">
        <f t="shared" si="138"/>
        <v>1</v>
      </c>
    </row>
    <row r="253" spans="1:112" ht="16.350000000000001" customHeight="1" x14ac:dyDescent="0.25">
      <c r="A253" s="7520" t="s">
        <v>5293</v>
      </c>
      <c r="B253" s="9822" t="s">
        <v>1058</v>
      </c>
      <c r="C253" s="9903" t="s">
        <v>1054</v>
      </c>
      <c r="D253" s="9903"/>
      <c r="E253" s="4761" t="s">
        <v>5369</v>
      </c>
      <c r="F253" s="4808" t="s">
        <v>5370</v>
      </c>
      <c r="G253" s="4795" t="s">
        <v>5371</v>
      </c>
      <c r="H253" s="3508" t="s">
        <v>5372</v>
      </c>
      <c r="I253" s="3607" t="s">
        <v>5373</v>
      </c>
      <c r="J253" s="4796" t="s">
        <v>5374</v>
      </c>
      <c r="K253" s="3607" t="s">
        <v>5375</v>
      </c>
      <c r="L253" s="4796" t="s">
        <v>5376</v>
      </c>
      <c r="M253" s="3607" t="s">
        <v>5377</v>
      </c>
      <c r="N253" s="4796" t="s">
        <v>5378</v>
      </c>
      <c r="O253" s="3607" t="s">
        <v>5379</v>
      </c>
      <c r="P253" s="4796" t="s">
        <v>5380</v>
      </c>
      <c r="Q253" s="3607" t="s">
        <v>5381</v>
      </c>
      <c r="R253" s="4796" t="s">
        <v>5382</v>
      </c>
      <c r="S253" s="3607" t="s">
        <v>5383</v>
      </c>
      <c r="T253" s="4796" t="s">
        <v>5384</v>
      </c>
      <c r="U253" s="3607" t="s">
        <v>5385</v>
      </c>
      <c r="V253" s="4796" t="s">
        <v>5386</v>
      </c>
      <c r="W253" s="2925" t="s">
        <v>5387</v>
      </c>
      <c r="X253" s="4796" t="s">
        <v>5388</v>
      </c>
      <c r="Y253" s="2925" t="s">
        <v>5389</v>
      </c>
      <c r="Z253" s="4796" t="s">
        <v>5390</v>
      </c>
      <c r="AA253" s="2925" t="s">
        <v>5391</v>
      </c>
      <c r="AB253" s="4796" t="s">
        <v>5392</v>
      </c>
      <c r="AC253" s="2925" t="s">
        <v>5393</v>
      </c>
      <c r="AD253" s="4796" t="s">
        <v>5394</v>
      </c>
      <c r="AE253" s="2925" t="s">
        <v>5395</v>
      </c>
      <c r="AF253" s="4796" t="s">
        <v>5396</v>
      </c>
      <c r="AG253" s="2925" t="s">
        <v>5397</v>
      </c>
      <c r="AH253" s="4796" t="s">
        <v>5398</v>
      </c>
      <c r="AI253" s="4786" t="s">
        <v>5399</v>
      </c>
      <c r="AJ253" s="4785" t="s">
        <v>5400</v>
      </c>
      <c r="AK253" s="4786" t="s">
        <v>5401</v>
      </c>
      <c r="AL253" s="4785" t="s">
        <v>5402</v>
      </c>
      <c r="AM253" s="4786" t="s">
        <v>5403</v>
      </c>
      <c r="AN253" s="4785" t="s">
        <v>5404</v>
      </c>
      <c r="AO253" s="4786" t="s">
        <v>5405</v>
      </c>
      <c r="AP253" s="4813" t="s">
        <v>5406</v>
      </c>
      <c r="AQ253" s="4814" t="s">
        <v>5407</v>
      </c>
      <c r="AR253" s="4783" t="s">
        <v>5408</v>
      </c>
      <c r="AS253" s="3609" t="s">
        <v>5409</v>
      </c>
      <c r="AT253" s="4783" t="s">
        <v>5410</v>
      </c>
      <c r="AU253" s="4796" t="s">
        <v>5411</v>
      </c>
      <c r="AV253" s="4796" t="s">
        <v>5412</v>
      </c>
      <c r="AW253" s="3609" t="s">
        <v>5413</v>
      </c>
      <c r="AX253" s="3609" t="s">
        <v>5414</v>
      </c>
      <c r="AY253" s="3607" t="s">
        <v>5415</v>
      </c>
      <c r="AZ253" s="4900" t="str">
        <f t="shared" ref="AZ253:AZ284" si="139">$CB253&amp;$CC253&amp;$CD253&amp;$CE253&amp;$CF253&amp;$CG253&amp;$CH253</f>
        <v xml:space="preserve">* La consulta pertinente según Protocolo de Referencia NO DEBE ser mayor al Total registrado. * La consulta pertinente según condición clínica NO DEBE ser mayor al Total registrado. * Los Usuarios en Situación de Discapacidad NO DEBEN ser mayor al total. * Los Migrantes NO DEBEN ser mayor al total. </v>
      </c>
      <c r="BV253" s="1430"/>
      <c r="BW253" s="1430"/>
      <c r="BX253" s="1438"/>
      <c r="CB253" s="1435" t="str">
        <f t="shared" ref="CB253:CB284" si="140">IF(DB253=1,"* El número de pacientes de 60 años NO DEBE Ser mayor a lo registrado en el grupo Etario 60-64 años. ","")</f>
        <v/>
      </c>
      <c r="CC253" s="1435" t="str">
        <f>IF(DC253=1,"* La consulta pertinente según Protocolo de Referencia NO DEBE ser mayor al Total registrado. ","")</f>
        <v xml:space="preserve">* La consulta pertinente según Protocolo de Referencia NO DEBE ser mayor al Total registrado. </v>
      </c>
      <c r="CD253" s="1435" t="str">
        <f t="shared" ref="CD253:CD284" si="141">IF(DD253=1,"* La consulta pertinente según condición clínica NO DEBE ser mayor al Total registrado. ","")</f>
        <v xml:space="preserve">* La consulta pertinente según condición clínica NO DEBE ser mayor al Total registrado. </v>
      </c>
      <c r="CE253" s="1435"/>
      <c r="CF253" s="1435" t="str">
        <f t="shared" ref="CF253:CF284" si="142">IF(AND($E253&lt;&gt;0,AW253=""),"* No olvide digitar la columna Usuarios en Situación de Discapacidad (Digite CEROS si no tiene). ",IF($E253&lt;AW253,"* Los Usuarios en Situación de Discapacidad NO DEBEN ser mayor al total. ",""))</f>
        <v xml:space="preserve">* Los Usuarios en Situación de Discapacidad NO DEBEN ser mayor al total. </v>
      </c>
      <c r="CG253" s="1435"/>
      <c r="CH253" s="1435" t="str">
        <f t="shared" ref="CH253:CH284" si="143">IF(AND($E253&lt;&gt;0,AY253=""),"* No olvide digitar la columna Migrantes (Digite CEROS si no tiene). ",IF($E253&lt;AY253,"* Los Migrantes NO DEBEN ser mayor al total. ",""))</f>
        <v xml:space="preserve">* Los Migrantes NO DEBEN ser mayor al total. </v>
      </c>
      <c r="DB253" s="1436"/>
      <c r="DC253" s="1436">
        <f>IF(E253&lt;AR253,1,0)</f>
        <v>1</v>
      </c>
      <c r="DD253" s="1436">
        <f>IF(E253&lt;AS253,1,0)</f>
        <v>1</v>
      </c>
      <c r="DE253" s="1436"/>
      <c r="DF253" s="1436">
        <f t="shared" ref="DF253:DF284" si="144">IF(AND($E253&lt;&gt;0,AW253=""),1,IF($E253&lt;AW253,1,0))</f>
        <v>1</v>
      </c>
      <c r="DG253" s="1436"/>
      <c r="DH253" s="1436">
        <f t="shared" ref="DH253:DH284" si="145">IF(AND($E253&lt;&gt;0,AY253=""),1,IF($E253&lt;AY253,1,0))</f>
        <v>1</v>
      </c>
    </row>
    <row r="254" spans="1:112" ht="16.350000000000001" customHeight="1" x14ac:dyDescent="0.25">
      <c r="A254" s="7520" t="s">
        <v>5294</v>
      </c>
      <c r="B254" s="9823"/>
      <c r="C254" s="9835" t="s">
        <v>1053</v>
      </c>
      <c r="D254" s="9835"/>
      <c r="E254" s="4766" t="s">
        <v>5369</v>
      </c>
      <c r="F254" s="3062" t="s">
        <v>5370</v>
      </c>
      <c r="G254" s="4797" t="s">
        <v>5371</v>
      </c>
      <c r="H254" s="4798" t="s">
        <v>5372</v>
      </c>
      <c r="I254" s="1816" t="s">
        <v>5373</v>
      </c>
      <c r="J254" s="4799" t="s">
        <v>5374</v>
      </c>
      <c r="K254" s="1816" t="s">
        <v>5375</v>
      </c>
      <c r="L254" s="4799" t="s">
        <v>5376</v>
      </c>
      <c r="M254" s="1816" t="s">
        <v>5377</v>
      </c>
      <c r="N254" s="4799" t="s">
        <v>5378</v>
      </c>
      <c r="O254" s="1816" t="s">
        <v>5379</v>
      </c>
      <c r="P254" s="4799" t="s">
        <v>5380</v>
      </c>
      <c r="Q254" s="1816" t="s">
        <v>5381</v>
      </c>
      <c r="R254" s="4799" t="s">
        <v>5382</v>
      </c>
      <c r="S254" s="1816" t="s">
        <v>5383</v>
      </c>
      <c r="T254" s="4799" t="s">
        <v>5384</v>
      </c>
      <c r="U254" s="1816" t="s">
        <v>5385</v>
      </c>
      <c r="V254" s="4799" t="s">
        <v>5386</v>
      </c>
      <c r="W254" s="2926" t="s">
        <v>5387</v>
      </c>
      <c r="X254" s="4799" t="s">
        <v>5388</v>
      </c>
      <c r="Y254" s="2926" t="s">
        <v>5389</v>
      </c>
      <c r="Z254" s="4799" t="s">
        <v>5390</v>
      </c>
      <c r="AA254" s="2926" t="s">
        <v>5391</v>
      </c>
      <c r="AB254" s="4799" t="s">
        <v>5392</v>
      </c>
      <c r="AC254" s="2926" t="s">
        <v>5393</v>
      </c>
      <c r="AD254" s="4799" t="s">
        <v>5394</v>
      </c>
      <c r="AE254" s="2926" t="s">
        <v>5395</v>
      </c>
      <c r="AF254" s="4799" t="s">
        <v>5396</v>
      </c>
      <c r="AG254" s="2926" t="s">
        <v>5397</v>
      </c>
      <c r="AH254" s="4799" t="s">
        <v>5398</v>
      </c>
      <c r="AI254" s="2926" t="s">
        <v>5399</v>
      </c>
      <c r="AJ254" s="4799" t="s">
        <v>5400</v>
      </c>
      <c r="AK254" s="2926" t="s">
        <v>5401</v>
      </c>
      <c r="AL254" s="4799" t="s">
        <v>5402</v>
      </c>
      <c r="AM254" s="2926" t="s">
        <v>5403</v>
      </c>
      <c r="AN254" s="4799" t="s">
        <v>5404</v>
      </c>
      <c r="AO254" s="2926" t="s">
        <v>5405</v>
      </c>
      <c r="AP254" s="1825" t="s">
        <v>5406</v>
      </c>
      <c r="AQ254" s="1820" t="s">
        <v>5407</v>
      </c>
      <c r="AR254" s="4789" t="s">
        <v>5408</v>
      </c>
      <c r="AS254" s="4810" t="s">
        <v>5409</v>
      </c>
      <c r="AT254" s="3508" t="s">
        <v>5410</v>
      </c>
      <c r="AU254" s="4799" t="s">
        <v>5411</v>
      </c>
      <c r="AV254" s="4799" t="s">
        <v>5412</v>
      </c>
      <c r="AW254" s="4800" t="s">
        <v>5413</v>
      </c>
      <c r="AX254" s="4800" t="s">
        <v>5414</v>
      </c>
      <c r="AY254" s="1816" t="s">
        <v>5415</v>
      </c>
      <c r="AZ254" s="4900" t="str">
        <f t="shared" si="139"/>
        <v xml:space="preserve">* Los Usuarios en Situación de Discapacidad NO DEBEN ser mayor al total. * Los Migrantes NO DEBEN ser mayor al total. </v>
      </c>
      <c r="BV254" s="1430"/>
      <c r="BW254" s="1430"/>
      <c r="BX254" s="1438"/>
      <c r="CB254" s="1435" t="str">
        <f t="shared" si="140"/>
        <v/>
      </c>
      <c r="CC254" s="1435"/>
      <c r="CD254" s="1435" t="str">
        <f t="shared" si="141"/>
        <v/>
      </c>
      <c r="CE254" s="1435"/>
      <c r="CF254" s="1435" t="str">
        <f t="shared" si="142"/>
        <v xml:space="preserve">* Los Usuarios en Situación de Discapacidad NO DEBEN ser mayor al total. </v>
      </c>
      <c r="CG254" s="1435"/>
      <c r="CH254" s="1435" t="str">
        <f t="shared" si="143"/>
        <v xml:space="preserve">* Los Migrantes NO DEBEN ser mayor al total. </v>
      </c>
      <c r="DB254" s="1436"/>
      <c r="DC254" s="1436"/>
      <c r="DD254" s="1436"/>
      <c r="DE254" s="1436"/>
      <c r="DF254" s="1436">
        <f t="shared" si="144"/>
        <v>1</v>
      </c>
      <c r="DG254" s="1436"/>
      <c r="DH254" s="1436">
        <f t="shared" si="145"/>
        <v>1</v>
      </c>
    </row>
    <row r="255" spans="1:112" ht="16.350000000000001" customHeight="1" x14ac:dyDescent="0.25">
      <c r="A255" s="7520" t="s">
        <v>5295</v>
      </c>
      <c r="B255" s="9823"/>
      <c r="C255" s="9835" t="s">
        <v>1052</v>
      </c>
      <c r="D255" s="9835"/>
      <c r="E255" s="4766" t="s">
        <v>5369</v>
      </c>
      <c r="F255" s="3062" t="s">
        <v>5370</v>
      </c>
      <c r="G255" s="4797" t="s">
        <v>5371</v>
      </c>
      <c r="H255" s="4798" t="s">
        <v>5372</v>
      </c>
      <c r="I255" s="1816" t="s">
        <v>5373</v>
      </c>
      <c r="J255" s="4799" t="s">
        <v>5374</v>
      </c>
      <c r="K255" s="1816" t="s">
        <v>5375</v>
      </c>
      <c r="L255" s="4799" t="s">
        <v>5376</v>
      </c>
      <c r="M255" s="1816" t="s">
        <v>5377</v>
      </c>
      <c r="N255" s="4799" t="s">
        <v>5378</v>
      </c>
      <c r="O255" s="1816" t="s">
        <v>5379</v>
      </c>
      <c r="P255" s="4799" t="s">
        <v>5380</v>
      </c>
      <c r="Q255" s="1816" t="s">
        <v>5381</v>
      </c>
      <c r="R255" s="4799" t="s">
        <v>5382</v>
      </c>
      <c r="S255" s="1816" t="s">
        <v>5383</v>
      </c>
      <c r="T255" s="4799" t="s">
        <v>5384</v>
      </c>
      <c r="U255" s="1816" t="s">
        <v>5385</v>
      </c>
      <c r="V255" s="4799" t="s">
        <v>5386</v>
      </c>
      <c r="W255" s="2926" t="s">
        <v>5387</v>
      </c>
      <c r="X255" s="4799" t="s">
        <v>5388</v>
      </c>
      <c r="Y255" s="2926" t="s">
        <v>5389</v>
      </c>
      <c r="Z255" s="4799" t="s">
        <v>5390</v>
      </c>
      <c r="AA255" s="2926" t="s">
        <v>5391</v>
      </c>
      <c r="AB255" s="4799" t="s">
        <v>5392</v>
      </c>
      <c r="AC255" s="2926" t="s">
        <v>5393</v>
      </c>
      <c r="AD255" s="4799" t="s">
        <v>5394</v>
      </c>
      <c r="AE255" s="2926" t="s">
        <v>5395</v>
      </c>
      <c r="AF255" s="4799" t="s">
        <v>5396</v>
      </c>
      <c r="AG255" s="2926" t="s">
        <v>5397</v>
      </c>
      <c r="AH255" s="4799" t="s">
        <v>5398</v>
      </c>
      <c r="AI255" s="2926" t="s">
        <v>5399</v>
      </c>
      <c r="AJ255" s="4799" t="s">
        <v>5400</v>
      </c>
      <c r="AK255" s="2926" t="s">
        <v>5401</v>
      </c>
      <c r="AL255" s="4799" t="s">
        <v>5402</v>
      </c>
      <c r="AM255" s="2926" t="s">
        <v>5403</v>
      </c>
      <c r="AN255" s="4799" t="s">
        <v>5404</v>
      </c>
      <c r="AO255" s="2926" t="s">
        <v>5405</v>
      </c>
      <c r="AP255" s="1825" t="s">
        <v>5406</v>
      </c>
      <c r="AQ255" s="1820" t="s">
        <v>5407</v>
      </c>
      <c r="AR255" s="4789" t="s">
        <v>5408</v>
      </c>
      <c r="AS255" s="4810" t="s">
        <v>5409</v>
      </c>
      <c r="AT255" s="4810" t="s">
        <v>5410</v>
      </c>
      <c r="AU255" s="4799" t="s">
        <v>5411</v>
      </c>
      <c r="AV255" s="4799" t="s">
        <v>5412</v>
      </c>
      <c r="AW255" s="4800" t="s">
        <v>5413</v>
      </c>
      <c r="AX255" s="4800" t="s">
        <v>5414</v>
      </c>
      <c r="AY255" s="1816" t="s">
        <v>5415</v>
      </c>
      <c r="AZ255" s="4900" t="str">
        <f t="shared" si="139"/>
        <v xml:space="preserve">* Los Usuarios en Situación de Discapacidad NO DEBEN ser mayor al total. * Los Migrantes NO DEBEN ser mayor al total. </v>
      </c>
      <c r="BV255" s="1430"/>
      <c r="BW255" s="1430"/>
      <c r="BX255" s="1438"/>
      <c r="CB255" s="1435" t="str">
        <f t="shared" si="140"/>
        <v/>
      </c>
      <c r="CC255" s="1435"/>
      <c r="CD255" s="1435" t="str">
        <f t="shared" si="141"/>
        <v/>
      </c>
      <c r="CE255" s="1435"/>
      <c r="CF255" s="1435" t="str">
        <f t="shared" si="142"/>
        <v xml:space="preserve">* Los Usuarios en Situación de Discapacidad NO DEBEN ser mayor al total. </v>
      </c>
      <c r="CG255" s="1435"/>
      <c r="CH255" s="1435" t="str">
        <f t="shared" si="143"/>
        <v xml:space="preserve">* Los Migrantes NO DEBEN ser mayor al total. </v>
      </c>
      <c r="DB255" s="1436"/>
      <c r="DC255" s="1436"/>
      <c r="DD255" s="1436"/>
      <c r="DE255" s="1436"/>
      <c r="DF255" s="1436">
        <f t="shared" si="144"/>
        <v>1</v>
      </c>
      <c r="DG255" s="1436"/>
      <c r="DH255" s="1436">
        <f t="shared" si="145"/>
        <v>1</v>
      </c>
    </row>
    <row r="256" spans="1:112" ht="16.350000000000001" customHeight="1" x14ac:dyDescent="0.25">
      <c r="A256" s="7520" t="s">
        <v>5296</v>
      </c>
      <c r="B256" s="9823"/>
      <c r="C256" s="9835" t="s">
        <v>1051</v>
      </c>
      <c r="D256" s="9835"/>
      <c r="E256" s="4766" t="s">
        <v>5369</v>
      </c>
      <c r="F256" s="3062" t="s">
        <v>5370</v>
      </c>
      <c r="G256" s="4797" t="s">
        <v>5371</v>
      </c>
      <c r="H256" s="4801" t="s">
        <v>5372</v>
      </c>
      <c r="I256" s="3610" t="s">
        <v>5373</v>
      </c>
      <c r="J256" s="3611" t="s">
        <v>5374</v>
      </c>
      <c r="K256" s="3610" t="s">
        <v>5375</v>
      </c>
      <c r="L256" s="3611" t="s">
        <v>5376</v>
      </c>
      <c r="M256" s="3610" t="s">
        <v>5377</v>
      </c>
      <c r="N256" s="3611" t="s">
        <v>5378</v>
      </c>
      <c r="O256" s="3610" t="s">
        <v>5379</v>
      </c>
      <c r="P256" s="3611" t="s">
        <v>5380</v>
      </c>
      <c r="Q256" s="3610" t="s">
        <v>5381</v>
      </c>
      <c r="R256" s="3611" t="s">
        <v>5382</v>
      </c>
      <c r="S256" s="3610" t="s">
        <v>5383</v>
      </c>
      <c r="T256" s="3611" t="s">
        <v>5384</v>
      </c>
      <c r="U256" s="3610" t="s">
        <v>5385</v>
      </c>
      <c r="V256" s="3611" t="s">
        <v>5386</v>
      </c>
      <c r="W256" s="4802" t="s">
        <v>5387</v>
      </c>
      <c r="X256" s="3611" t="s">
        <v>5388</v>
      </c>
      <c r="Y256" s="4802" t="s">
        <v>5389</v>
      </c>
      <c r="Z256" s="4799" t="s">
        <v>5390</v>
      </c>
      <c r="AA256" s="2926" t="s">
        <v>5391</v>
      </c>
      <c r="AB256" s="4799" t="s">
        <v>5392</v>
      </c>
      <c r="AC256" s="2926" t="s">
        <v>5393</v>
      </c>
      <c r="AD256" s="4799" t="s">
        <v>5394</v>
      </c>
      <c r="AE256" s="2926" t="s">
        <v>5395</v>
      </c>
      <c r="AF256" s="4799" t="s">
        <v>5396</v>
      </c>
      <c r="AG256" s="2926" t="s">
        <v>5397</v>
      </c>
      <c r="AH256" s="4799" t="s">
        <v>5398</v>
      </c>
      <c r="AI256" s="2926" t="s">
        <v>5399</v>
      </c>
      <c r="AJ256" s="4799" t="s">
        <v>5400</v>
      </c>
      <c r="AK256" s="2926" t="s">
        <v>5401</v>
      </c>
      <c r="AL256" s="4799" t="s">
        <v>5402</v>
      </c>
      <c r="AM256" s="2926" t="s">
        <v>5403</v>
      </c>
      <c r="AN256" s="4799" t="s">
        <v>5404</v>
      </c>
      <c r="AO256" s="2926" t="s">
        <v>5405</v>
      </c>
      <c r="AP256" s="1825" t="s">
        <v>5406</v>
      </c>
      <c r="AQ256" s="1820" t="s">
        <v>5407</v>
      </c>
      <c r="AR256" s="4789" t="s">
        <v>5408</v>
      </c>
      <c r="AS256" s="4810" t="s">
        <v>5409</v>
      </c>
      <c r="AT256" s="4810" t="s">
        <v>5410</v>
      </c>
      <c r="AU256" s="4799" t="s">
        <v>5411</v>
      </c>
      <c r="AV256" s="4799" t="s">
        <v>5412</v>
      </c>
      <c r="AW256" s="4800" t="s">
        <v>5413</v>
      </c>
      <c r="AX256" s="4800" t="s">
        <v>5414</v>
      </c>
      <c r="AY256" s="1816" t="s">
        <v>5415</v>
      </c>
      <c r="AZ256" s="4900" t="str">
        <f t="shared" si="139"/>
        <v xml:space="preserve">* Los Usuarios en Situación de Discapacidad NO DEBEN ser mayor al total. * Los Migrantes NO DEBEN ser mayor al total. </v>
      </c>
      <c r="BV256" s="1430"/>
      <c r="BW256" s="1430"/>
      <c r="BX256" s="1438"/>
      <c r="CB256" s="1435" t="str">
        <f t="shared" si="140"/>
        <v/>
      </c>
      <c r="CC256" s="1435"/>
      <c r="CD256" s="1435" t="str">
        <f t="shared" si="141"/>
        <v/>
      </c>
      <c r="CE256" s="1435"/>
      <c r="CF256" s="1435" t="str">
        <f t="shared" si="142"/>
        <v xml:space="preserve">* Los Usuarios en Situación de Discapacidad NO DEBEN ser mayor al total. </v>
      </c>
      <c r="CG256" s="1435"/>
      <c r="CH256" s="1435" t="str">
        <f t="shared" si="143"/>
        <v xml:space="preserve">* Los Migrantes NO DEBEN ser mayor al total. </v>
      </c>
      <c r="DB256" s="1436"/>
      <c r="DC256" s="1436"/>
      <c r="DD256" s="1436"/>
      <c r="DE256" s="1436"/>
      <c r="DF256" s="1436">
        <f t="shared" si="144"/>
        <v>1</v>
      </c>
      <c r="DG256" s="1436"/>
      <c r="DH256" s="1436">
        <f t="shared" si="145"/>
        <v>1</v>
      </c>
    </row>
    <row r="257" spans="1:112" ht="16.350000000000001" customHeight="1" x14ac:dyDescent="0.25">
      <c r="A257" s="7520" t="s">
        <v>5091</v>
      </c>
      <c r="B257" s="9823"/>
      <c r="C257" s="9862" t="s">
        <v>2140</v>
      </c>
      <c r="D257" s="9863"/>
      <c r="E257" s="4766" t="s">
        <v>5369</v>
      </c>
      <c r="F257" s="3062" t="s">
        <v>5370</v>
      </c>
      <c r="G257" s="4797" t="s">
        <v>5371</v>
      </c>
      <c r="H257" s="4801" t="s">
        <v>5372</v>
      </c>
      <c r="I257" s="3610" t="s">
        <v>5373</v>
      </c>
      <c r="J257" s="3611" t="s">
        <v>5374</v>
      </c>
      <c r="K257" s="3610" t="s">
        <v>5375</v>
      </c>
      <c r="L257" s="3611" t="s">
        <v>5376</v>
      </c>
      <c r="M257" s="3610" t="s">
        <v>5377</v>
      </c>
      <c r="N257" s="3611" t="s">
        <v>5378</v>
      </c>
      <c r="O257" s="3610" t="s">
        <v>5379</v>
      </c>
      <c r="P257" s="3611" t="s">
        <v>5380</v>
      </c>
      <c r="Q257" s="3610" t="s">
        <v>5381</v>
      </c>
      <c r="R257" s="3611" t="s">
        <v>5382</v>
      </c>
      <c r="S257" s="3610" t="s">
        <v>5383</v>
      </c>
      <c r="T257" s="3611" t="s">
        <v>5384</v>
      </c>
      <c r="U257" s="3610" t="s">
        <v>5385</v>
      </c>
      <c r="V257" s="3611" t="s">
        <v>5386</v>
      </c>
      <c r="W257" s="4802" t="s">
        <v>5387</v>
      </c>
      <c r="X257" s="3611" t="s">
        <v>5388</v>
      </c>
      <c r="Y257" s="4802" t="s">
        <v>5389</v>
      </c>
      <c r="Z257" s="4799" t="s">
        <v>5390</v>
      </c>
      <c r="AA257" s="2926" t="s">
        <v>5391</v>
      </c>
      <c r="AB257" s="4799" t="s">
        <v>5392</v>
      </c>
      <c r="AC257" s="2926" t="s">
        <v>5393</v>
      </c>
      <c r="AD257" s="4799" t="s">
        <v>5394</v>
      </c>
      <c r="AE257" s="2926" t="s">
        <v>5395</v>
      </c>
      <c r="AF257" s="4799" t="s">
        <v>5396</v>
      </c>
      <c r="AG257" s="2926" t="s">
        <v>5397</v>
      </c>
      <c r="AH257" s="4799" t="s">
        <v>5398</v>
      </c>
      <c r="AI257" s="2926" t="s">
        <v>5399</v>
      </c>
      <c r="AJ257" s="4799" t="s">
        <v>5400</v>
      </c>
      <c r="AK257" s="2926" t="s">
        <v>5401</v>
      </c>
      <c r="AL257" s="4799" t="s">
        <v>5402</v>
      </c>
      <c r="AM257" s="2926" t="s">
        <v>5403</v>
      </c>
      <c r="AN257" s="4799" t="s">
        <v>5404</v>
      </c>
      <c r="AO257" s="2926" t="s">
        <v>5405</v>
      </c>
      <c r="AP257" s="1825" t="s">
        <v>5406</v>
      </c>
      <c r="AQ257" s="1820" t="s">
        <v>5407</v>
      </c>
      <c r="AR257" s="4789" t="s">
        <v>5408</v>
      </c>
      <c r="AS257" s="4810" t="s">
        <v>5409</v>
      </c>
      <c r="AT257" s="3614" t="s">
        <v>5410</v>
      </c>
      <c r="AU257" s="4799" t="s">
        <v>5411</v>
      </c>
      <c r="AV257" s="4799" t="s">
        <v>5412</v>
      </c>
      <c r="AW257" s="4800" t="s">
        <v>5413</v>
      </c>
      <c r="AX257" s="4800" t="s">
        <v>5414</v>
      </c>
      <c r="AY257" s="1816" t="s">
        <v>5415</v>
      </c>
      <c r="AZ257" s="4900" t="str">
        <f t="shared" si="139"/>
        <v xml:space="preserve">* Los Usuarios en Situación de Discapacidad NO DEBEN ser mayor al total. * Los Migrantes NO DEBEN ser mayor al total. </v>
      </c>
      <c r="BV257" s="1430"/>
      <c r="BW257" s="1430"/>
      <c r="BX257" s="1438"/>
      <c r="CB257" s="1435" t="str">
        <f t="shared" si="140"/>
        <v/>
      </c>
      <c r="CC257" s="1435"/>
      <c r="CD257" s="1435" t="str">
        <f t="shared" si="141"/>
        <v/>
      </c>
      <c r="CE257" s="1435"/>
      <c r="CF257" s="1435" t="str">
        <f t="shared" si="142"/>
        <v xml:space="preserve">* Los Usuarios en Situación de Discapacidad NO DEBEN ser mayor al total. </v>
      </c>
      <c r="CG257" s="1435"/>
      <c r="CH257" s="1435" t="str">
        <f t="shared" si="143"/>
        <v xml:space="preserve">* Los Migrantes NO DEBEN ser mayor al total. </v>
      </c>
      <c r="DB257" s="1436"/>
      <c r="DC257" s="1436"/>
      <c r="DD257" s="1436"/>
      <c r="DE257" s="1436"/>
      <c r="DF257" s="1436">
        <f t="shared" si="144"/>
        <v>1</v>
      </c>
      <c r="DG257" s="1436"/>
      <c r="DH257" s="1436">
        <f t="shared" si="145"/>
        <v>1</v>
      </c>
    </row>
    <row r="258" spans="1:112" ht="16.350000000000001" customHeight="1" x14ac:dyDescent="0.25">
      <c r="A258" s="7520" t="s">
        <v>5297</v>
      </c>
      <c r="B258" s="9824"/>
      <c r="C258" s="9911" t="s">
        <v>1050</v>
      </c>
      <c r="D258" s="9911"/>
      <c r="E258" s="4815" t="s">
        <v>5369</v>
      </c>
      <c r="F258" s="3619" t="s">
        <v>5370</v>
      </c>
      <c r="G258" s="3620" t="s">
        <v>5371</v>
      </c>
      <c r="H258" s="3241" t="s">
        <v>5372</v>
      </c>
      <c r="I258" s="3603" t="s">
        <v>5373</v>
      </c>
      <c r="J258" s="3604" t="s">
        <v>5374</v>
      </c>
      <c r="K258" s="3603" t="s">
        <v>5375</v>
      </c>
      <c r="L258" s="3604" t="s">
        <v>5376</v>
      </c>
      <c r="M258" s="3603" t="s">
        <v>5377</v>
      </c>
      <c r="N258" s="3604" t="s">
        <v>5378</v>
      </c>
      <c r="O258" s="3603" t="s">
        <v>5379</v>
      </c>
      <c r="P258" s="3604" t="s">
        <v>5380</v>
      </c>
      <c r="Q258" s="3603" t="s">
        <v>5381</v>
      </c>
      <c r="R258" s="3604" t="s">
        <v>5382</v>
      </c>
      <c r="S258" s="3603" t="s">
        <v>5383</v>
      </c>
      <c r="T258" s="3604" t="s">
        <v>5384</v>
      </c>
      <c r="U258" s="3603" t="s">
        <v>5385</v>
      </c>
      <c r="V258" s="3604" t="s">
        <v>5386</v>
      </c>
      <c r="W258" s="3122" t="s">
        <v>5387</v>
      </c>
      <c r="X258" s="3604" t="s">
        <v>5388</v>
      </c>
      <c r="Y258" s="3122" t="s">
        <v>5389</v>
      </c>
      <c r="Z258" s="3604" t="s">
        <v>5390</v>
      </c>
      <c r="AA258" s="3122" t="s">
        <v>5391</v>
      </c>
      <c r="AB258" s="3604" t="s">
        <v>5392</v>
      </c>
      <c r="AC258" s="3122" t="s">
        <v>5393</v>
      </c>
      <c r="AD258" s="3621" t="s">
        <v>5394</v>
      </c>
      <c r="AE258" s="4816" t="s">
        <v>5395</v>
      </c>
      <c r="AF258" s="3621" t="s">
        <v>5396</v>
      </c>
      <c r="AG258" s="4816" t="s">
        <v>5397</v>
      </c>
      <c r="AH258" s="3621" t="s">
        <v>5398</v>
      </c>
      <c r="AI258" s="4816" t="s">
        <v>5399</v>
      </c>
      <c r="AJ258" s="3621" t="s">
        <v>5400</v>
      </c>
      <c r="AK258" s="4816" t="s">
        <v>5401</v>
      </c>
      <c r="AL258" s="3621" t="s">
        <v>5402</v>
      </c>
      <c r="AM258" s="4816" t="s">
        <v>5403</v>
      </c>
      <c r="AN258" s="3621" t="s">
        <v>5404</v>
      </c>
      <c r="AO258" s="4816" t="s">
        <v>5405</v>
      </c>
      <c r="AP258" s="3622" t="s">
        <v>5406</v>
      </c>
      <c r="AQ258" s="3623" t="s">
        <v>5407</v>
      </c>
      <c r="AR258" s="4817" t="s">
        <v>5408</v>
      </c>
      <c r="AS258" s="3624" t="s">
        <v>5409</v>
      </c>
      <c r="AT258" s="3616" t="s">
        <v>5410</v>
      </c>
      <c r="AU258" s="3621" t="s">
        <v>5411</v>
      </c>
      <c r="AV258" s="3621" t="s">
        <v>5412</v>
      </c>
      <c r="AW258" s="3625" t="s">
        <v>5413</v>
      </c>
      <c r="AX258" s="3625" t="s">
        <v>5414</v>
      </c>
      <c r="AY258" s="3626" t="s">
        <v>5415</v>
      </c>
      <c r="AZ258" s="4900" t="str">
        <f t="shared" si="139"/>
        <v xml:space="preserve">* Los Usuarios en Situación de Discapacidad NO DEBEN ser mayor al total. * Los Migrantes NO DEBEN ser mayor al total. </v>
      </c>
      <c r="BV258" s="1430"/>
      <c r="BW258" s="1430"/>
      <c r="BX258" s="1438"/>
      <c r="CB258" s="1435" t="str">
        <f t="shared" si="140"/>
        <v/>
      </c>
      <c r="CC258" s="1435"/>
      <c r="CD258" s="1435" t="str">
        <f t="shared" si="141"/>
        <v/>
      </c>
      <c r="CE258" s="1435"/>
      <c r="CF258" s="1435" t="str">
        <f t="shared" si="142"/>
        <v xml:space="preserve">* Los Usuarios en Situación de Discapacidad NO DEBEN ser mayor al total. </v>
      </c>
      <c r="CG258" s="1435"/>
      <c r="CH258" s="1435" t="str">
        <f t="shared" si="143"/>
        <v xml:space="preserve">* Los Migrantes NO DEBEN ser mayor al total. </v>
      </c>
      <c r="DB258" s="1436"/>
      <c r="DC258" s="1436"/>
      <c r="DD258" s="1436"/>
      <c r="DE258" s="1436"/>
      <c r="DF258" s="1436">
        <f t="shared" si="144"/>
        <v>1</v>
      </c>
      <c r="DG258" s="1436"/>
      <c r="DH258" s="1436">
        <f t="shared" si="145"/>
        <v>1</v>
      </c>
    </row>
    <row r="259" spans="1:112" ht="16.350000000000001" customHeight="1" x14ac:dyDescent="0.25">
      <c r="A259" s="7520" t="s">
        <v>5298</v>
      </c>
      <c r="B259" s="8627" t="s">
        <v>1032</v>
      </c>
      <c r="C259" s="9903" t="s">
        <v>1054</v>
      </c>
      <c r="D259" s="9903"/>
      <c r="E259" s="3247" t="s">
        <v>5369</v>
      </c>
      <c r="F259" s="3485" t="s">
        <v>5370</v>
      </c>
      <c r="G259" s="4795" t="s">
        <v>5371</v>
      </c>
      <c r="H259" s="3508" t="s">
        <v>5372</v>
      </c>
      <c r="I259" s="3607" t="s">
        <v>5373</v>
      </c>
      <c r="J259" s="4796" t="s">
        <v>5374</v>
      </c>
      <c r="K259" s="3607" t="s">
        <v>5375</v>
      </c>
      <c r="L259" s="4796" t="s">
        <v>5376</v>
      </c>
      <c r="M259" s="3607" t="s">
        <v>5377</v>
      </c>
      <c r="N259" s="4796" t="s">
        <v>5378</v>
      </c>
      <c r="O259" s="3607" t="s">
        <v>5379</v>
      </c>
      <c r="P259" s="4796" t="s">
        <v>5380</v>
      </c>
      <c r="Q259" s="3607" t="s">
        <v>5381</v>
      </c>
      <c r="R259" s="4796" t="s">
        <v>5382</v>
      </c>
      <c r="S259" s="3607" t="s">
        <v>5383</v>
      </c>
      <c r="T259" s="4796" t="s">
        <v>5384</v>
      </c>
      <c r="U259" s="3607" t="s">
        <v>5385</v>
      </c>
      <c r="V259" s="4796" t="s">
        <v>5386</v>
      </c>
      <c r="W259" s="2925" t="s">
        <v>5387</v>
      </c>
      <c r="X259" s="4796" t="s">
        <v>5388</v>
      </c>
      <c r="Y259" s="2925" t="s">
        <v>5389</v>
      </c>
      <c r="Z259" s="4796" t="s">
        <v>5390</v>
      </c>
      <c r="AA259" s="2925" t="s">
        <v>5391</v>
      </c>
      <c r="AB259" s="4796" t="s">
        <v>5392</v>
      </c>
      <c r="AC259" s="2925" t="s">
        <v>5393</v>
      </c>
      <c r="AD259" s="4796" t="s">
        <v>5394</v>
      </c>
      <c r="AE259" s="2925" t="s">
        <v>5395</v>
      </c>
      <c r="AF259" s="4796" t="s">
        <v>5396</v>
      </c>
      <c r="AG259" s="2925" t="s">
        <v>5397</v>
      </c>
      <c r="AH259" s="4796" t="s">
        <v>5398</v>
      </c>
      <c r="AI259" s="2925" t="s">
        <v>5399</v>
      </c>
      <c r="AJ259" s="4796" t="s">
        <v>5400</v>
      </c>
      <c r="AK259" s="2925" t="s">
        <v>5401</v>
      </c>
      <c r="AL259" s="4796" t="s">
        <v>5402</v>
      </c>
      <c r="AM259" s="2925" t="s">
        <v>5403</v>
      </c>
      <c r="AN259" s="4796" t="s">
        <v>5404</v>
      </c>
      <c r="AO259" s="2925" t="s">
        <v>5405</v>
      </c>
      <c r="AP259" s="3608" t="s">
        <v>5406</v>
      </c>
      <c r="AQ259" s="1814" t="s">
        <v>5407</v>
      </c>
      <c r="AR259" s="3508" t="s">
        <v>5408</v>
      </c>
      <c r="AS259" s="3609" t="s">
        <v>5409</v>
      </c>
      <c r="AT259" s="4783" t="s">
        <v>5410</v>
      </c>
      <c r="AU259" s="4796" t="s">
        <v>5411</v>
      </c>
      <c r="AV259" s="4796" t="s">
        <v>5412</v>
      </c>
      <c r="AW259" s="3609" t="s">
        <v>5413</v>
      </c>
      <c r="AX259" s="3609" t="s">
        <v>5414</v>
      </c>
      <c r="AY259" s="3607" t="s">
        <v>5415</v>
      </c>
      <c r="AZ259" s="4900" t="e">
        <f t="shared" si="139"/>
        <v>#VALUE!</v>
      </c>
      <c r="BV259" s="1430"/>
      <c r="BW259" s="1430"/>
      <c r="BX259" s="1438"/>
      <c r="CB259" s="1435" t="e">
        <f t="shared" si="140"/>
        <v>#VALUE!</v>
      </c>
      <c r="CC259" s="1435" t="str">
        <f t="shared" ref="CC259:CC300" si="146">IF(DC259=1,"* La consulta pertinente según Protocolo de Referencia NO DEBE ser mayor al Total registrado. ","")</f>
        <v xml:space="preserve">* La consulta pertinente según Protocolo de Referencia NO DEBE ser mayor al Total registrado. </v>
      </c>
      <c r="CD259" s="1435" t="str">
        <f t="shared" si="141"/>
        <v xml:space="preserve">* La consulta pertinente según condición clínica NO DEBE ser mayor al Total registrado. </v>
      </c>
      <c r="CE259" s="1435" t="str">
        <f t="shared" ref="CE259:CE300" si="147">IF(AND(E259&lt;&gt;0,AP259=""),"* Recuerde que las Embarazadas deben ser incluídas en el ingreso por rango Etario (Digite CEROS si no tiene). ",IF(G259&lt;AP259,"* Las Embarazadas NO DEBEN ser mayor al total de Mujeres. ",""))</f>
        <v xml:space="preserve">* Las Embarazadas NO DEBEN ser mayor al total de Mujeres. </v>
      </c>
      <c r="CF259" s="1435" t="str">
        <f t="shared" si="142"/>
        <v xml:space="preserve">* Los Usuarios en Situación de Discapacidad NO DEBEN ser mayor al total. </v>
      </c>
      <c r="CG259" s="1435"/>
      <c r="CH259" s="1435" t="str">
        <f t="shared" si="143"/>
        <v xml:space="preserve">* Los Migrantes NO DEBEN ser mayor al total. </v>
      </c>
      <c r="DB259" s="1436" t="e">
        <f t="shared" ref="DB259:DB300" si="148">IF((AJ259+AK259)&lt;AQ259,1,0)</f>
        <v>#VALUE!</v>
      </c>
      <c r="DC259" s="1436">
        <f>IF(E259&lt;AR259,1,0)</f>
        <v>1</v>
      </c>
      <c r="DD259" s="1436">
        <f>IF(E259&lt;AS259,1,0)</f>
        <v>1</v>
      </c>
      <c r="DE259" s="1436">
        <f t="shared" ref="DE259:DE300" si="149">IF(AND(E259&lt;&gt;0,AP259=""),1,IF(G259&lt;AP259,1,0))</f>
        <v>1</v>
      </c>
      <c r="DF259" s="1436">
        <f t="shared" si="144"/>
        <v>1</v>
      </c>
      <c r="DG259" s="1436"/>
      <c r="DH259" s="1436">
        <f t="shared" si="145"/>
        <v>1</v>
      </c>
    </row>
    <row r="260" spans="1:112" ht="16.350000000000001" customHeight="1" x14ac:dyDescent="0.25">
      <c r="A260" s="7520" t="s">
        <v>5299</v>
      </c>
      <c r="B260" s="8705"/>
      <c r="C260" s="9835" t="s">
        <v>1053</v>
      </c>
      <c r="D260" s="9835"/>
      <c r="E260" s="4766" t="s">
        <v>5369</v>
      </c>
      <c r="F260" s="3062" t="s">
        <v>5370</v>
      </c>
      <c r="G260" s="4797" t="s">
        <v>5371</v>
      </c>
      <c r="H260" s="4798" t="s">
        <v>5372</v>
      </c>
      <c r="I260" s="1816" t="s">
        <v>5373</v>
      </c>
      <c r="J260" s="4799" t="s">
        <v>5374</v>
      </c>
      <c r="K260" s="1816" t="s">
        <v>5375</v>
      </c>
      <c r="L260" s="4799" t="s">
        <v>5376</v>
      </c>
      <c r="M260" s="1816" t="s">
        <v>5377</v>
      </c>
      <c r="N260" s="4799" t="s">
        <v>5378</v>
      </c>
      <c r="O260" s="1816" t="s">
        <v>5379</v>
      </c>
      <c r="P260" s="4799" t="s">
        <v>5380</v>
      </c>
      <c r="Q260" s="1816" t="s">
        <v>5381</v>
      </c>
      <c r="R260" s="4799" t="s">
        <v>5382</v>
      </c>
      <c r="S260" s="1816" t="s">
        <v>5383</v>
      </c>
      <c r="T260" s="4799" t="s">
        <v>5384</v>
      </c>
      <c r="U260" s="1816" t="s">
        <v>5385</v>
      </c>
      <c r="V260" s="4799" t="s">
        <v>5386</v>
      </c>
      <c r="W260" s="2926" t="s">
        <v>5387</v>
      </c>
      <c r="X260" s="4799" t="s">
        <v>5388</v>
      </c>
      <c r="Y260" s="2926" t="s">
        <v>5389</v>
      </c>
      <c r="Z260" s="4799" t="s">
        <v>5390</v>
      </c>
      <c r="AA260" s="2926" t="s">
        <v>5391</v>
      </c>
      <c r="AB260" s="4799" t="s">
        <v>5392</v>
      </c>
      <c r="AC260" s="2926" t="s">
        <v>5393</v>
      </c>
      <c r="AD260" s="4799" t="s">
        <v>5394</v>
      </c>
      <c r="AE260" s="2926" t="s">
        <v>5395</v>
      </c>
      <c r="AF260" s="4799" t="s">
        <v>5396</v>
      </c>
      <c r="AG260" s="2926" t="s">
        <v>5397</v>
      </c>
      <c r="AH260" s="4799" t="s">
        <v>5398</v>
      </c>
      <c r="AI260" s="2926" t="s">
        <v>5399</v>
      </c>
      <c r="AJ260" s="4799" t="s">
        <v>5400</v>
      </c>
      <c r="AK260" s="2926" t="s">
        <v>5401</v>
      </c>
      <c r="AL260" s="4799" t="s">
        <v>5402</v>
      </c>
      <c r="AM260" s="2926" t="s">
        <v>5403</v>
      </c>
      <c r="AN260" s="4799" t="s">
        <v>5404</v>
      </c>
      <c r="AO260" s="2926" t="s">
        <v>5405</v>
      </c>
      <c r="AP260" s="1818" t="s">
        <v>5406</v>
      </c>
      <c r="AQ260" s="1819" t="s">
        <v>5407</v>
      </c>
      <c r="AR260" s="4789" t="s">
        <v>5408</v>
      </c>
      <c r="AS260" s="4810" t="s">
        <v>5409</v>
      </c>
      <c r="AT260" s="3508" t="s">
        <v>5410</v>
      </c>
      <c r="AU260" s="4799" t="s">
        <v>5411</v>
      </c>
      <c r="AV260" s="4799" t="s">
        <v>5412</v>
      </c>
      <c r="AW260" s="4800" t="s">
        <v>5413</v>
      </c>
      <c r="AX260" s="4800" t="s">
        <v>5414</v>
      </c>
      <c r="AY260" s="1816" t="s">
        <v>5415</v>
      </c>
      <c r="AZ260" s="4900" t="e">
        <f t="shared" si="139"/>
        <v>#VALUE!</v>
      </c>
      <c r="BV260" s="1430"/>
      <c r="BW260" s="1430"/>
      <c r="BX260" s="1438"/>
      <c r="CB260" s="1435" t="e">
        <f t="shared" si="140"/>
        <v>#VALUE!</v>
      </c>
      <c r="CC260" s="1435" t="str">
        <f t="shared" si="146"/>
        <v/>
      </c>
      <c r="CD260" s="1435" t="str">
        <f t="shared" si="141"/>
        <v/>
      </c>
      <c r="CE260" s="1435" t="str">
        <f t="shared" si="147"/>
        <v xml:space="preserve">* Las Embarazadas NO DEBEN ser mayor al total de Mujeres. </v>
      </c>
      <c r="CF260" s="1435" t="str">
        <f t="shared" si="142"/>
        <v xml:space="preserve">* Los Usuarios en Situación de Discapacidad NO DEBEN ser mayor al total. </v>
      </c>
      <c r="CG260" s="1435"/>
      <c r="CH260" s="1435" t="str">
        <f t="shared" si="143"/>
        <v xml:space="preserve">* Los Migrantes NO DEBEN ser mayor al total. </v>
      </c>
      <c r="DB260" s="1436" t="e">
        <f t="shared" si="148"/>
        <v>#VALUE!</v>
      </c>
      <c r="DC260" s="1436"/>
      <c r="DD260" s="1436"/>
      <c r="DE260" s="1436">
        <f t="shared" si="149"/>
        <v>1</v>
      </c>
      <c r="DF260" s="1436">
        <f t="shared" si="144"/>
        <v>1</v>
      </c>
      <c r="DG260" s="1436"/>
      <c r="DH260" s="1436">
        <f t="shared" si="145"/>
        <v>1</v>
      </c>
    </row>
    <row r="261" spans="1:112" ht="16.350000000000001" customHeight="1" x14ac:dyDescent="0.25">
      <c r="A261" s="7520" t="s">
        <v>5300</v>
      </c>
      <c r="B261" s="8705"/>
      <c r="C261" s="9835" t="s">
        <v>1052</v>
      </c>
      <c r="D261" s="9835"/>
      <c r="E261" s="4766" t="s">
        <v>5369</v>
      </c>
      <c r="F261" s="3062" t="s">
        <v>5370</v>
      </c>
      <c r="G261" s="4797" t="s">
        <v>5371</v>
      </c>
      <c r="H261" s="4798" t="s">
        <v>5372</v>
      </c>
      <c r="I261" s="1816" t="s">
        <v>5373</v>
      </c>
      <c r="J261" s="4799" t="s">
        <v>5374</v>
      </c>
      <c r="K261" s="1816" t="s">
        <v>5375</v>
      </c>
      <c r="L261" s="4799" t="s">
        <v>5376</v>
      </c>
      <c r="M261" s="1816" t="s">
        <v>5377</v>
      </c>
      <c r="N261" s="4799" t="s">
        <v>5378</v>
      </c>
      <c r="O261" s="1816" t="s">
        <v>5379</v>
      </c>
      <c r="P261" s="4799" t="s">
        <v>5380</v>
      </c>
      <c r="Q261" s="1816" t="s">
        <v>5381</v>
      </c>
      <c r="R261" s="4799" t="s">
        <v>5382</v>
      </c>
      <c r="S261" s="1816" t="s">
        <v>5383</v>
      </c>
      <c r="T261" s="4799" t="s">
        <v>5384</v>
      </c>
      <c r="U261" s="1816" t="s">
        <v>5385</v>
      </c>
      <c r="V261" s="4799" t="s">
        <v>5386</v>
      </c>
      <c r="W261" s="2926" t="s">
        <v>5387</v>
      </c>
      <c r="X261" s="4799" t="s">
        <v>5388</v>
      </c>
      <c r="Y261" s="2926" t="s">
        <v>5389</v>
      </c>
      <c r="Z261" s="4799" t="s">
        <v>5390</v>
      </c>
      <c r="AA261" s="2926" t="s">
        <v>5391</v>
      </c>
      <c r="AB261" s="4799" t="s">
        <v>5392</v>
      </c>
      <c r="AC261" s="2926" t="s">
        <v>5393</v>
      </c>
      <c r="AD261" s="4799" t="s">
        <v>5394</v>
      </c>
      <c r="AE261" s="2926" t="s">
        <v>5395</v>
      </c>
      <c r="AF261" s="4799" t="s">
        <v>5396</v>
      </c>
      <c r="AG261" s="2926" t="s">
        <v>5397</v>
      </c>
      <c r="AH261" s="4799" t="s">
        <v>5398</v>
      </c>
      <c r="AI261" s="2926" t="s">
        <v>5399</v>
      </c>
      <c r="AJ261" s="4799" t="s">
        <v>5400</v>
      </c>
      <c r="AK261" s="2926" t="s">
        <v>5401</v>
      </c>
      <c r="AL261" s="4799" t="s">
        <v>5402</v>
      </c>
      <c r="AM261" s="2926" t="s">
        <v>5403</v>
      </c>
      <c r="AN261" s="4799" t="s">
        <v>5404</v>
      </c>
      <c r="AO261" s="2926" t="s">
        <v>5405</v>
      </c>
      <c r="AP261" s="1818" t="s">
        <v>5406</v>
      </c>
      <c r="AQ261" s="1819" t="s">
        <v>5407</v>
      </c>
      <c r="AR261" s="4789" t="s">
        <v>5408</v>
      </c>
      <c r="AS261" s="4810" t="s">
        <v>5409</v>
      </c>
      <c r="AT261" s="4810" t="s">
        <v>5410</v>
      </c>
      <c r="AU261" s="4799" t="s">
        <v>5411</v>
      </c>
      <c r="AV261" s="4799" t="s">
        <v>5412</v>
      </c>
      <c r="AW261" s="4800" t="s">
        <v>5413</v>
      </c>
      <c r="AX261" s="4800" t="s">
        <v>5414</v>
      </c>
      <c r="AY261" s="1816" t="s">
        <v>5415</v>
      </c>
      <c r="AZ261" s="4900" t="e">
        <f t="shared" si="139"/>
        <v>#VALUE!</v>
      </c>
      <c r="BV261" s="1430"/>
      <c r="BW261" s="1430"/>
      <c r="BX261" s="1438"/>
      <c r="CB261" s="1435" t="e">
        <f t="shared" si="140"/>
        <v>#VALUE!</v>
      </c>
      <c r="CC261" s="1435" t="str">
        <f t="shared" si="146"/>
        <v/>
      </c>
      <c r="CD261" s="1435" t="str">
        <f t="shared" si="141"/>
        <v/>
      </c>
      <c r="CE261" s="1435" t="str">
        <f t="shared" si="147"/>
        <v xml:space="preserve">* Las Embarazadas NO DEBEN ser mayor al total de Mujeres. </v>
      </c>
      <c r="CF261" s="1435" t="str">
        <f t="shared" si="142"/>
        <v xml:space="preserve">* Los Usuarios en Situación de Discapacidad NO DEBEN ser mayor al total. </v>
      </c>
      <c r="CG261" s="1435"/>
      <c r="CH261" s="1435" t="str">
        <f t="shared" si="143"/>
        <v xml:space="preserve">* Los Migrantes NO DEBEN ser mayor al total. </v>
      </c>
      <c r="DB261" s="1436" t="e">
        <f t="shared" si="148"/>
        <v>#VALUE!</v>
      </c>
      <c r="DC261" s="1436"/>
      <c r="DD261" s="1436"/>
      <c r="DE261" s="1436">
        <f t="shared" si="149"/>
        <v>1</v>
      </c>
      <c r="DF261" s="1436">
        <f t="shared" si="144"/>
        <v>1</v>
      </c>
      <c r="DG261" s="1436"/>
      <c r="DH261" s="1436">
        <f t="shared" si="145"/>
        <v>1</v>
      </c>
    </row>
    <row r="262" spans="1:112" ht="16.350000000000001" customHeight="1" x14ac:dyDescent="0.25">
      <c r="A262" s="7520" t="s">
        <v>5301</v>
      </c>
      <c r="B262" s="8705"/>
      <c r="C262" s="9947" t="s">
        <v>1051</v>
      </c>
      <c r="D262" s="9947"/>
      <c r="E262" s="4766" t="s">
        <v>5369</v>
      </c>
      <c r="F262" s="3062" t="s">
        <v>5370</v>
      </c>
      <c r="G262" s="4797" t="s">
        <v>5371</v>
      </c>
      <c r="H262" s="4801" t="s">
        <v>5372</v>
      </c>
      <c r="I262" s="3610" t="s">
        <v>5373</v>
      </c>
      <c r="J262" s="3611" t="s">
        <v>5374</v>
      </c>
      <c r="K262" s="3610" t="s">
        <v>5375</v>
      </c>
      <c r="L262" s="3611" t="s">
        <v>5376</v>
      </c>
      <c r="M262" s="3610" t="s">
        <v>5377</v>
      </c>
      <c r="N262" s="3611" t="s">
        <v>5378</v>
      </c>
      <c r="O262" s="3610" t="s">
        <v>5379</v>
      </c>
      <c r="P262" s="3611" t="s">
        <v>5380</v>
      </c>
      <c r="Q262" s="3610" t="s">
        <v>5381</v>
      </c>
      <c r="R262" s="3611" t="s">
        <v>5382</v>
      </c>
      <c r="S262" s="3610" t="s">
        <v>5383</v>
      </c>
      <c r="T262" s="3611" t="s">
        <v>5384</v>
      </c>
      <c r="U262" s="3610" t="s">
        <v>5385</v>
      </c>
      <c r="V262" s="3611" t="s">
        <v>5386</v>
      </c>
      <c r="W262" s="4802" t="s">
        <v>5387</v>
      </c>
      <c r="X262" s="3611" t="s">
        <v>5388</v>
      </c>
      <c r="Y262" s="4802" t="s">
        <v>5389</v>
      </c>
      <c r="Z262" s="3611" t="s">
        <v>5390</v>
      </c>
      <c r="AA262" s="4802" t="s">
        <v>5391</v>
      </c>
      <c r="AB262" s="3611" t="s">
        <v>5392</v>
      </c>
      <c r="AC262" s="4802" t="s">
        <v>5393</v>
      </c>
      <c r="AD262" s="3611" t="s">
        <v>5394</v>
      </c>
      <c r="AE262" s="4802" t="s">
        <v>5395</v>
      </c>
      <c r="AF262" s="3611" t="s">
        <v>5396</v>
      </c>
      <c r="AG262" s="4802" t="s">
        <v>5397</v>
      </c>
      <c r="AH262" s="3611" t="s">
        <v>5398</v>
      </c>
      <c r="AI262" s="4802" t="s">
        <v>5399</v>
      </c>
      <c r="AJ262" s="3611" t="s">
        <v>5400</v>
      </c>
      <c r="AK262" s="4802" t="s">
        <v>5401</v>
      </c>
      <c r="AL262" s="3611" t="s">
        <v>5402</v>
      </c>
      <c r="AM262" s="4802" t="s">
        <v>5403</v>
      </c>
      <c r="AN262" s="3611" t="s">
        <v>5404</v>
      </c>
      <c r="AO262" s="4802" t="s">
        <v>5405</v>
      </c>
      <c r="AP262" s="3612" t="s">
        <v>5406</v>
      </c>
      <c r="AQ262" s="3613" t="s">
        <v>5407</v>
      </c>
      <c r="AR262" s="4803" t="s">
        <v>5408</v>
      </c>
      <c r="AS262" s="4818" t="s">
        <v>5409</v>
      </c>
      <c r="AT262" s="4810" t="s">
        <v>5410</v>
      </c>
      <c r="AU262" s="3611" t="s">
        <v>5411</v>
      </c>
      <c r="AV262" s="3611" t="s">
        <v>5412</v>
      </c>
      <c r="AW262" s="4804" t="s">
        <v>5413</v>
      </c>
      <c r="AX262" s="4804" t="s">
        <v>5414</v>
      </c>
      <c r="AY262" s="3610" t="s">
        <v>5415</v>
      </c>
      <c r="AZ262" s="4900" t="e">
        <f t="shared" si="139"/>
        <v>#VALUE!</v>
      </c>
      <c r="BV262" s="1430"/>
      <c r="BW262" s="1430"/>
      <c r="BX262" s="1438"/>
      <c r="CB262" s="1435" t="e">
        <f t="shared" si="140"/>
        <v>#VALUE!</v>
      </c>
      <c r="CC262" s="1435" t="str">
        <f t="shared" si="146"/>
        <v/>
      </c>
      <c r="CD262" s="1435" t="str">
        <f t="shared" si="141"/>
        <v/>
      </c>
      <c r="CE262" s="1435" t="str">
        <f t="shared" si="147"/>
        <v xml:space="preserve">* Las Embarazadas NO DEBEN ser mayor al total de Mujeres. </v>
      </c>
      <c r="CF262" s="1435" t="str">
        <f t="shared" si="142"/>
        <v xml:space="preserve">* Los Usuarios en Situación de Discapacidad NO DEBEN ser mayor al total. </v>
      </c>
      <c r="CG262" s="1435"/>
      <c r="CH262" s="1435" t="str">
        <f t="shared" si="143"/>
        <v xml:space="preserve">* Los Migrantes NO DEBEN ser mayor al total. </v>
      </c>
      <c r="DB262" s="1436" t="e">
        <f t="shared" si="148"/>
        <v>#VALUE!</v>
      </c>
      <c r="DC262" s="1436"/>
      <c r="DD262" s="1436"/>
      <c r="DE262" s="1436">
        <f t="shared" si="149"/>
        <v>1</v>
      </c>
      <c r="DF262" s="1436">
        <f t="shared" si="144"/>
        <v>1</v>
      </c>
      <c r="DG262" s="1436"/>
      <c r="DH262" s="1436">
        <f t="shared" si="145"/>
        <v>1</v>
      </c>
    </row>
    <row r="263" spans="1:112" ht="16.350000000000001" customHeight="1" x14ac:dyDescent="0.25">
      <c r="A263" s="7520" t="s">
        <v>5092</v>
      </c>
      <c r="B263" s="8705"/>
      <c r="C263" s="9862" t="s">
        <v>2140</v>
      </c>
      <c r="D263" s="9863"/>
      <c r="E263" s="4766" t="s">
        <v>5369</v>
      </c>
      <c r="F263" s="3062" t="s">
        <v>5370</v>
      </c>
      <c r="G263" s="4797" t="s">
        <v>5371</v>
      </c>
      <c r="H263" s="4801" t="s">
        <v>5372</v>
      </c>
      <c r="I263" s="3610" t="s">
        <v>5373</v>
      </c>
      <c r="J263" s="3611" t="s">
        <v>5374</v>
      </c>
      <c r="K263" s="3610" t="s">
        <v>5375</v>
      </c>
      <c r="L263" s="3611" t="s">
        <v>5376</v>
      </c>
      <c r="M263" s="3610" t="s">
        <v>5377</v>
      </c>
      <c r="N263" s="3611" t="s">
        <v>5378</v>
      </c>
      <c r="O263" s="3610" t="s">
        <v>5379</v>
      </c>
      <c r="P263" s="3611" t="s">
        <v>5380</v>
      </c>
      <c r="Q263" s="3610" t="s">
        <v>5381</v>
      </c>
      <c r="R263" s="3611" t="s">
        <v>5382</v>
      </c>
      <c r="S263" s="3610" t="s">
        <v>5383</v>
      </c>
      <c r="T263" s="3611" t="s">
        <v>5384</v>
      </c>
      <c r="U263" s="3610" t="s">
        <v>5385</v>
      </c>
      <c r="V263" s="3611" t="s">
        <v>5386</v>
      </c>
      <c r="W263" s="4802" t="s">
        <v>5387</v>
      </c>
      <c r="X263" s="3611" t="s">
        <v>5388</v>
      </c>
      <c r="Y263" s="4802" t="s">
        <v>5389</v>
      </c>
      <c r="Z263" s="3611" t="s">
        <v>5390</v>
      </c>
      <c r="AA263" s="4802" t="s">
        <v>5391</v>
      </c>
      <c r="AB263" s="3611" t="s">
        <v>5392</v>
      </c>
      <c r="AC263" s="4802" t="s">
        <v>5393</v>
      </c>
      <c r="AD263" s="3611" t="s">
        <v>5394</v>
      </c>
      <c r="AE263" s="4802" t="s">
        <v>5395</v>
      </c>
      <c r="AF263" s="3611" t="s">
        <v>5396</v>
      </c>
      <c r="AG263" s="4802" t="s">
        <v>5397</v>
      </c>
      <c r="AH263" s="3611" t="s">
        <v>5398</v>
      </c>
      <c r="AI263" s="4802" t="s">
        <v>5399</v>
      </c>
      <c r="AJ263" s="3611" t="s">
        <v>5400</v>
      </c>
      <c r="AK263" s="4802" t="s">
        <v>5401</v>
      </c>
      <c r="AL263" s="3611" t="s">
        <v>5402</v>
      </c>
      <c r="AM263" s="4802" t="s">
        <v>5403</v>
      </c>
      <c r="AN263" s="3611" t="s">
        <v>5404</v>
      </c>
      <c r="AO263" s="4802" t="s">
        <v>5405</v>
      </c>
      <c r="AP263" s="3612" t="s">
        <v>5406</v>
      </c>
      <c r="AQ263" s="3613" t="s">
        <v>5407</v>
      </c>
      <c r="AR263" s="4803" t="s">
        <v>5408</v>
      </c>
      <c r="AS263" s="4818" t="s">
        <v>5409</v>
      </c>
      <c r="AT263" s="3614" t="s">
        <v>5410</v>
      </c>
      <c r="AU263" s="3611" t="s">
        <v>5411</v>
      </c>
      <c r="AV263" s="3611" t="s">
        <v>5412</v>
      </c>
      <c r="AW263" s="4804" t="s">
        <v>5413</v>
      </c>
      <c r="AX263" s="4804" t="s">
        <v>5414</v>
      </c>
      <c r="AY263" s="3610" t="s">
        <v>5415</v>
      </c>
      <c r="AZ263" s="4900" t="e">
        <f t="shared" si="139"/>
        <v>#VALUE!</v>
      </c>
      <c r="BV263" s="1430"/>
      <c r="BW263" s="1430"/>
      <c r="BX263" s="1438"/>
      <c r="CB263" s="1435" t="e">
        <f t="shared" si="140"/>
        <v>#VALUE!</v>
      </c>
      <c r="CC263" s="1435" t="str">
        <f t="shared" si="146"/>
        <v/>
      </c>
      <c r="CD263" s="1435" t="str">
        <f t="shared" si="141"/>
        <v/>
      </c>
      <c r="CE263" s="1435" t="str">
        <f t="shared" si="147"/>
        <v xml:space="preserve">* Las Embarazadas NO DEBEN ser mayor al total de Mujeres. </v>
      </c>
      <c r="CF263" s="1435" t="str">
        <f t="shared" si="142"/>
        <v xml:space="preserve">* Los Usuarios en Situación de Discapacidad NO DEBEN ser mayor al total. </v>
      </c>
      <c r="CG263" s="1435"/>
      <c r="CH263" s="1435" t="str">
        <f t="shared" si="143"/>
        <v xml:space="preserve">* Los Migrantes NO DEBEN ser mayor al total. </v>
      </c>
      <c r="DB263" s="1436" t="e">
        <f t="shared" si="148"/>
        <v>#VALUE!</v>
      </c>
      <c r="DC263" s="1436"/>
      <c r="DD263" s="1436"/>
      <c r="DE263" s="1436">
        <f t="shared" si="149"/>
        <v>1</v>
      </c>
      <c r="DF263" s="1436">
        <f t="shared" si="144"/>
        <v>1</v>
      </c>
      <c r="DG263" s="1436"/>
      <c r="DH263" s="1436">
        <f t="shared" si="145"/>
        <v>1</v>
      </c>
    </row>
    <row r="264" spans="1:112" ht="16.350000000000001" customHeight="1" x14ac:dyDescent="0.25">
      <c r="A264" s="7520" t="s">
        <v>5302</v>
      </c>
      <c r="B264" s="9743"/>
      <c r="C264" s="9904" t="s">
        <v>1050</v>
      </c>
      <c r="D264" s="9904"/>
      <c r="E264" s="3248" t="s">
        <v>5369</v>
      </c>
      <c r="F264" s="4819" t="s">
        <v>5370</v>
      </c>
      <c r="G264" s="3617" t="s">
        <v>5371</v>
      </c>
      <c r="H264" s="4801" t="s">
        <v>5372</v>
      </c>
      <c r="I264" s="3610" t="s">
        <v>5373</v>
      </c>
      <c r="J264" s="3611" t="s">
        <v>5374</v>
      </c>
      <c r="K264" s="3610" t="s">
        <v>5375</v>
      </c>
      <c r="L264" s="3611" t="s">
        <v>5376</v>
      </c>
      <c r="M264" s="3610" t="s">
        <v>5377</v>
      </c>
      <c r="N264" s="3611" t="s">
        <v>5378</v>
      </c>
      <c r="O264" s="3610" t="s">
        <v>5379</v>
      </c>
      <c r="P264" s="3611" t="s">
        <v>5380</v>
      </c>
      <c r="Q264" s="3610" t="s">
        <v>5381</v>
      </c>
      <c r="R264" s="3611" t="s">
        <v>5382</v>
      </c>
      <c r="S264" s="3610" t="s">
        <v>5383</v>
      </c>
      <c r="T264" s="3611" t="s">
        <v>5384</v>
      </c>
      <c r="U264" s="3610" t="s">
        <v>5385</v>
      </c>
      <c r="V264" s="3611" t="s">
        <v>5386</v>
      </c>
      <c r="W264" s="4802" t="s">
        <v>5387</v>
      </c>
      <c r="X264" s="3611" t="s">
        <v>5388</v>
      </c>
      <c r="Y264" s="4802" t="s">
        <v>5389</v>
      </c>
      <c r="Z264" s="3611" t="s">
        <v>5390</v>
      </c>
      <c r="AA264" s="4802" t="s">
        <v>5391</v>
      </c>
      <c r="AB264" s="3611" t="s">
        <v>5392</v>
      </c>
      <c r="AC264" s="4802" t="s">
        <v>5393</v>
      </c>
      <c r="AD264" s="3611" t="s">
        <v>5394</v>
      </c>
      <c r="AE264" s="4802" t="s">
        <v>5395</v>
      </c>
      <c r="AF264" s="3611" t="s">
        <v>5396</v>
      </c>
      <c r="AG264" s="4802" t="s">
        <v>5397</v>
      </c>
      <c r="AH264" s="3611" t="s">
        <v>5398</v>
      </c>
      <c r="AI264" s="4802" t="s">
        <v>5399</v>
      </c>
      <c r="AJ264" s="3611" t="s">
        <v>5400</v>
      </c>
      <c r="AK264" s="4802" t="s">
        <v>5401</v>
      </c>
      <c r="AL264" s="3611" t="s">
        <v>5402</v>
      </c>
      <c r="AM264" s="4802" t="s">
        <v>5403</v>
      </c>
      <c r="AN264" s="3611" t="s">
        <v>5404</v>
      </c>
      <c r="AO264" s="4802" t="s">
        <v>5405</v>
      </c>
      <c r="AP264" s="3605" t="s">
        <v>5406</v>
      </c>
      <c r="AQ264" s="3606" t="s">
        <v>5407</v>
      </c>
      <c r="AR264" s="4807" t="s">
        <v>5408</v>
      </c>
      <c r="AS264" s="4820" t="s">
        <v>5409</v>
      </c>
      <c r="AT264" s="3616" t="s">
        <v>5410</v>
      </c>
      <c r="AU264" s="3604" t="s">
        <v>5411</v>
      </c>
      <c r="AV264" s="3604" t="s">
        <v>5412</v>
      </c>
      <c r="AW264" s="4794" t="s">
        <v>5413</v>
      </c>
      <c r="AX264" s="4794" t="s">
        <v>5414</v>
      </c>
      <c r="AY264" s="3603" t="s">
        <v>5415</v>
      </c>
      <c r="AZ264" s="4900" t="e">
        <f t="shared" si="139"/>
        <v>#VALUE!</v>
      </c>
      <c r="BV264" s="1430"/>
      <c r="BW264" s="1430"/>
      <c r="BX264" s="1438"/>
      <c r="CB264" s="1435" t="e">
        <f t="shared" si="140"/>
        <v>#VALUE!</v>
      </c>
      <c r="CC264" s="1435" t="str">
        <f t="shared" si="146"/>
        <v/>
      </c>
      <c r="CD264" s="1435" t="str">
        <f t="shared" si="141"/>
        <v/>
      </c>
      <c r="CE264" s="1435" t="str">
        <f t="shared" si="147"/>
        <v xml:space="preserve">* Las Embarazadas NO DEBEN ser mayor al total de Mujeres. </v>
      </c>
      <c r="CF264" s="1435" t="str">
        <f t="shared" si="142"/>
        <v xml:space="preserve">* Los Usuarios en Situación de Discapacidad NO DEBEN ser mayor al total. </v>
      </c>
      <c r="CG264" s="1435"/>
      <c r="CH264" s="1435" t="str">
        <f t="shared" si="143"/>
        <v xml:space="preserve">* Los Migrantes NO DEBEN ser mayor al total. </v>
      </c>
      <c r="DB264" s="1436" t="e">
        <f t="shared" si="148"/>
        <v>#VALUE!</v>
      </c>
      <c r="DC264" s="1436"/>
      <c r="DD264" s="1436"/>
      <c r="DE264" s="1436">
        <f t="shared" si="149"/>
        <v>1</v>
      </c>
      <c r="DF264" s="1436">
        <f t="shared" si="144"/>
        <v>1</v>
      </c>
      <c r="DG264" s="1436"/>
      <c r="DH264" s="1436">
        <f t="shared" si="145"/>
        <v>1</v>
      </c>
    </row>
    <row r="265" spans="1:112" ht="16.350000000000001" customHeight="1" x14ac:dyDescent="0.25">
      <c r="A265" s="7520" t="s">
        <v>5303</v>
      </c>
      <c r="B265" s="8627" t="s">
        <v>1057</v>
      </c>
      <c r="C265" s="9903" t="s">
        <v>1054</v>
      </c>
      <c r="D265" s="9903"/>
      <c r="E265" s="4761" t="s">
        <v>5369</v>
      </c>
      <c r="F265" s="4808" t="s">
        <v>5370</v>
      </c>
      <c r="G265" s="4809" t="s">
        <v>5371</v>
      </c>
      <c r="H265" s="4821" t="s">
        <v>5372</v>
      </c>
      <c r="I265" s="4822" t="s">
        <v>5373</v>
      </c>
      <c r="J265" s="4823" t="s">
        <v>5374</v>
      </c>
      <c r="K265" s="4822" t="s">
        <v>5375</v>
      </c>
      <c r="L265" s="4823" t="s">
        <v>5376</v>
      </c>
      <c r="M265" s="4822" t="s">
        <v>5377</v>
      </c>
      <c r="N265" s="4824" t="s">
        <v>5378</v>
      </c>
      <c r="O265" s="4825" t="s">
        <v>5379</v>
      </c>
      <c r="P265" s="4826" t="s">
        <v>5380</v>
      </c>
      <c r="Q265" s="4825" t="s">
        <v>5381</v>
      </c>
      <c r="R265" s="4823" t="s">
        <v>5382</v>
      </c>
      <c r="S265" s="4822" t="s">
        <v>5383</v>
      </c>
      <c r="T265" s="4823" t="s">
        <v>5384</v>
      </c>
      <c r="U265" s="4822" t="s">
        <v>5385</v>
      </c>
      <c r="V265" s="4824" t="s">
        <v>5386</v>
      </c>
      <c r="W265" s="4825" t="s">
        <v>5387</v>
      </c>
      <c r="X265" s="4826" t="s">
        <v>5388</v>
      </c>
      <c r="Y265" s="4825" t="s">
        <v>5389</v>
      </c>
      <c r="Z265" s="4785" t="s">
        <v>5390</v>
      </c>
      <c r="AA265" s="4786" t="s">
        <v>5391</v>
      </c>
      <c r="AB265" s="4785" t="s">
        <v>5392</v>
      </c>
      <c r="AC265" s="4786" t="s">
        <v>5393</v>
      </c>
      <c r="AD265" s="4785" t="s">
        <v>5394</v>
      </c>
      <c r="AE265" s="4786" t="s">
        <v>5395</v>
      </c>
      <c r="AF265" s="4785" t="s">
        <v>5396</v>
      </c>
      <c r="AG265" s="4786" t="s">
        <v>5397</v>
      </c>
      <c r="AH265" s="4785" t="s">
        <v>5398</v>
      </c>
      <c r="AI265" s="4786" t="s">
        <v>5399</v>
      </c>
      <c r="AJ265" s="4785" t="s">
        <v>5400</v>
      </c>
      <c r="AK265" s="4786" t="s">
        <v>5401</v>
      </c>
      <c r="AL265" s="4785" t="s">
        <v>5402</v>
      </c>
      <c r="AM265" s="4786" t="s">
        <v>5403</v>
      </c>
      <c r="AN265" s="4785" t="s">
        <v>5404</v>
      </c>
      <c r="AO265" s="4786" t="s">
        <v>5405</v>
      </c>
      <c r="AP265" s="3608" t="s">
        <v>5406</v>
      </c>
      <c r="AQ265" s="1814" t="s">
        <v>5407</v>
      </c>
      <c r="AR265" s="4783" t="s">
        <v>5408</v>
      </c>
      <c r="AS265" s="3609" t="s">
        <v>5409</v>
      </c>
      <c r="AT265" s="4783" t="s">
        <v>5410</v>
      </c>
      <c r="AU265" s="4796" t="s">
        <v>5411</v>
      </c>
      <c r="AV265" s="4796" t="s">
        <v>5412</v>
      </c>
      <c r="AW265" s="3609" t="s">
        <v>5413</v>
      </c>
      <c r="AX265" s="3609" t="s">
        <v>5414</v>
      </c>
      <c r="AY265" s="3607" t="s">
        <v>5415</v>
      </c>
      <c r="AZ265" s="4900" t="e">
        <f t="shared" si="139"/>
        <v>#VALUE!</v>
      </c>
      <c r="BV265" s="1430"/>
      <c r="BW265" s="1430"/>
      <c r="BX265" s="1438"/>
      <c r="CB265" s="1435" t="e">
        <f t="shared" si="140"/>
        <v>#VALUE!</v>
      </c>
      <c r="CC265" s="1435" t="str">
        <f t="shared" si="146"/>
        <v xml:space="preserve">* La consulta pertinente según Protocolo de Referencia NO DEBE ser mayor al Total registrado. </v>
      </c>
      <c r="CD265" s="1435" t="str">
        <f t="shared" si="141"/>
        <v xml:space="preserve">* La consulta pertinente según condición clínica NO DEBE ser mayor al Total registrado. </v>
      </c>
      <c r="CE265" s="1435" t="str">
        <f t="shared" si="147"/>
        <v xml:space="preserve">* Las Embarazadas NO DEBEN ser mayor al total de Mujeres. </v>
      </c>
      <c r="CF265" s="1435" t="str">
        <f t="shared" si="142"/>
        <v xml:space="preserve">* Los Usuarios en Situación de Discapacidad NO DEBEN ser mayor al total. </v>
      </c>
      <c r="CG265" s="1435"/>
      <c r="CH265" s="1435" t="str">
        <f t="shared" si="143"/>
        <v xml:space="preserve">* Los Migrantes NO DEBEN ser mayor al total. </v>
      </c>
      <c r="DB265" s="1436" t="e">
        <f t="shared" si="148"/>
        <v>#VALUE!</v>
      </c>
      <c r="DC265" s="1436">
        <f>IF(E265&lt;AR265,1,0)</f>
        <v>1</v>
      </c>
      <c r="DD265" s="1436">
        <f>IF(E265&lt;AS265,1,0)</f>
        <v>1</v>
      </c>
      <c r="DE265" s="1436">
        <f t="shared" si="149"/>
        <v>1</v>
      </c>
      <c r="DF265" s="1436">
        <f t="shared" si="144"/>
        <v>1</v>
      </c>
      <c r="DG265" s="1436"/>
      <c r="DH265" s="1436">
        <f t="shared" si="145"/>
        <v>1</v>
      </c>
    </row>
    <row r="266" spans="1:112" ht="16.350000000000001" customHeight="1" x14ac:dyDescent="0.25">
      <c r="A266" s="7520" t="s">
        <v>5304</v>
      </c>
      <c r="B266" s="8705"/>
      <c r="C266" s="9835" t="s">
        <v>1053</v>
      </c>
      <c r="D266" s="9835"/>
      <c r="E266" s="4766" t="s">
        <v>5369</v>
      </c>
      <c r="F266" s="4827" t="s">
        <v>5370</v>
      </c>
      <c r="G266" s="4828" t="s">
        <v>5371</v>
      </c>
      <c r="H266" s="4829" t="s">
        <v>5372</v>
      </c>
      <c r="I266" s="1826" t="s">
        <v>5373</v>
      </c>
      <c r="J266" s="4830" t="s">
        <v>5374</v>
      </c>
      <c r="K266" s="1826" t="s">
        <v>5375</v>
      </c>
      <c r="L266" s="4830" t="s">
        <v>5376</v>
      </c>
      <c r="M266" s="1826" t="s">
        <v>5377</v>
      </c>
      <c r="N266" s="4831" t="s">
        <v>5378</v>
      </c>
      <c r="O266" s="1823" t="s">
        <v>5379</v>
      </c>
      <c r="P266" s="4831" t="s">
        <v>5380</v>
      </c>
      <c r="Q266" s="1823" t="s">
        <v>5381</v>
      </c>
      <c r="R266" s="4830" t="s">
        <v>5382</v>
      </c>
      <c r="S266" s="1826" t="s">
        <v>5383</v>
      </c>
      <c r="T266" s="4830" t="s">
        <v>5384</v>
      </c>
      <c r="U266" s="1826" t="s">
        <v>5385</v>
      </c>
      <c r="V266" s="4831" t="s">
        <v>5386</v>
      </c>
      <c r="W266" s="1823" t="s">
        <v>5387</v>
      </c>
      <c r="X266" s="4831" t="s">
        <v>5388</v>
      </c>
      <c r="Y266" s="1823" t="s">
        <v>5389</v>
      </c>
      <c r="Z266" s="4799" t="s">
        <v>5390</v>
      </c>
      <c r="AA266" s="2926" t="s">
        <v>5391</v>
      </c>
      <c r="AB266" s="4799" t="s">
        <v>5392</v>
      </c>
      <c r="AC266" s="2926" t="s">
        <v>5393</v>
      </c>
      <c r="AD266" s="4799" t="s">
        <v>5394</v>
      </c>
      <c r="AE266" s="2926" t="s">
        <v>5395</v>
      </c>
      <c r="AF266" s="4799" t="s">
        <v>5396</v>
      </c>
      <c r="AG266" s="2926" t="s">
        <v>5397</v>
      </c>
      <c r="AH266" s="4799" t="s">
        <v>5398</v>
      </c>
      <c r="AI266" s="2926" t="s">
        <v>5399</v>
      </c>
      <c r="AJ266" s="4799" t="s">
        <v>5400</v>
      </c>
      <c r="AK266" s="2926" t="s">
        <v>5401</v>
      </c>
      <c r="AL266" s="4799" t="s">
        <v>5402</v>
      </c>
      <c r="AM266" s="2926" t="s">
        <v>5403</v>
      </c>
      <c r="AN266" s="4799" t="s">
        <v>5404</v>
      </c>
      <c r="AO266" s="2926" t="s">
        <v>5405</v>
      </c>
      <c r="AP266" s="1818" t="s">
        <v>5406</v>
      </c>
      <c r="AQ266" s="1819" t="s">
        <v>5407</v>
      </c>
      <c r="AR266" s="4789" t="s">
        <v>5408</v>
      </c>
      <c r="AS266" s="4810" t="s">
        <v>5409</v>
      </c>
      <c r="AT266" s="3508" t="s">
        <v>5410</v>
      </c>
      <c r="AU266" s="4799" t="s">
        <v>5411</v>
      </c>
      <c r="AV266" s="4799" t="s">
        <v>5412</v>
      </c>
      <c r="AW266" s="4800" t="s">
        <v>5413</v>
      </c>
      <c r="AX266" s="4800" t="s">
        <v>5414</v>
      </c>
      <c r="AY266" s="1816" t="s">
        <v>5415</v>
      </c>
      <c r="AZ266" s="4900" t="e">
        <f t="shared" si="139"/>
        <v>#VALUE!</v>
      </c>
      <c r="BV266" s="1430"/>
      <c r="BW266" s="1430"/>
      <c r="BX266" s="1438"/>
      <c r="CB266" s="1435" t="e">
        <f t="shared" si="140"/>
        <v>#VALUE!</v>
      </c>
      <c r="CC266" s="1435" t="str">
        <f t="shared" si="146"/>
        <v/>
      </c>
      <c r="CD266" s="1435" t="str">
        <f t="shared" si="141"/>
        <v/>
      </c>
      <c r="CE266" s="1435" t="str">
        <f t="shared" si="147"/>
        <v xml:space="preserve">* Las Embarazadas NO DEBEN ser mayor al total de Mujeres. </v>
      </c>
      <c r="CF266" s="1435" t="str">
        <f t="shared" si="142"/>
        <v xml:space="preserve">* Los Usuarios en Situación de Discapacidad NO DEBEN ser mayor al total. </v>
      </c>
      <c r="CG266" s="1435"/>
      <c r="CH266" s="1435" t="str">
        <f t="shared" si="143"/>
        <v xml:space="preserve">* Los Migrantes NO DEBEN ser mayor al total. </v>
      </c>
      <c r="DB266" s="1436" t="e">
        <f t="shared" si="148"/>
        <v>#VALUE!</v>
      </c>
      <c r="DC266" s="1436"/>
      <c r="DD266" s="1436"/>
      <c r="DE266" s="1436">
        <f t="shared" si="149"/>
        <v>1</v>
      </c>
      <c r="DF266" s="1436">
        <f t="shared" si="144"/>
        <v>1</v>
      </c>
      <c r="DG266" s="1436"/>
      <c r="DH266" s="1436">
        <f t="shared" si="145"/>
        <v>1</v>
      </c>
    </row>
    <row r="267" spans="1:112" ht="16.350000000000001" customHeight="1" x14ac:dyDescent="0.25">
      <c r="A267" s="7520" t="s">
        <v>5305</v>
      </c>
      <c r="B267" s="8705"/>
      <c r="C267" s="9835" t="s">
        <v>1052</v>
      </c>
      <c r="D267" s="9835"/>
      <c r="E267" s="4766" t="s">
        <v>5369</v>
      </c>
      <c r="F267" s="4827" t="s">
        <v>5370</v>
      </c>
      <c r="G267" s="4828" t="s">
        <v>5371</v>
      </c>
      <c r="H267" s="4829" t="s">
        <v>5372</v>
      </c>
      <c r="I267" s="1826" t="s">
        <v>5373</v>
      </c>
      <c r="J267" s="4830" t="s">
        <v>5374</v>
      </c>
      <c r="K267" s="1826" t="s">
        <v>5375</v>
      </c>
      <c r="L267" s="4830" t="s">
        <v>5376</v>
      </c>
      <c r="M267" s="1826" t="s">
        <v>5377</v>
      </c>
      <c r="N267" s="4831" t="s">
        <v>5378</v>
      </c>
      <c r="O267" s="1823" t="s">
        <v>5379</v>
      </c>
      <c r="P267" s="4831" t="s">
        <v>5380</v>
      </c>
      <c r="Q267" s="1823" t="s">
        <v>5381</v>
      </c>
      <c r="R267" s="4830" t="s">
        <v>5382</v>
      </c>
      <c r="S267" s="1826" t="s">
        <v>5383</v>
      </c>
      <c r="T267" s="4830" t="s">
        <v>5384</v>
      </c>
      <c r="U267" s="1826" t="s">
        <v>5385</v>
      </c>
      <c r="V267" s="4831" t="s">
        <v>5386</v>
      </c>
      <c r="W267" s="1823" t="s">
        <v>5387</v>
      </c>
      <c r="X267" s="4831" t="s">
        <v>5388</v>
      </c>
      <c r="Y267" s="1823" t="s">
        <v>5389</v>
      </c>
      <c r="Z267" s="4799" t="s">
        <v>5390</v>
      </c>
      <c r="AA267" s="2926" t="s">
        <v>5391</v>
      </c>
      <c r="AB267" s="4799" t="s">
        <v>5392</v>
      </c>
      <c r="AC267" s="2926" t="s">
        <v>5393</v>
      </c>
      <c r="AD267" s="4799" t="s">
        <v>5394</v>
      </c>
      <c r="AE267" s="2926" t="s">
        <v>5395</v>
      </c>
      <c r="AF267" s="4799" t="s">
        <v>5396</v>
      </c>
      <c r="AG267" s="2926" t="s">
        <v>5397</v>
      </c>
      <c r="AH267" s="4799" t="s">
        <v>5398</v>
      </c>
      <c r="AI267" s="2926" t="s">
        <v>5399</v>
      </c>
      <c r="AJ267" s="4799" t="s">
        <v>5400</v>
      </c>
      <c r="AK267" s="2926" t="s">
        <v>5401</v>
      </c>
      <c r="AL267" s="4799" t="s">
        <v>5402</v>
      </c>
      <c r="AM267" s="2926" t="s">
        <v>5403</v>
      </c>
      <c r="AN267" s="4799" t="s">
        <v>5404</v>
      </c>
      <c r="AO267" s="2926" t="s">
        <v>5405</v>
      </c>
      <c r="AP267" s="1818" t="s">
        <v>5406</v>
      </c>
      <c r="AQ267" s="1819" t="s">
        <v>5407</v>
      </c>
      <c r="AR267" s="4789" t="s">
        <v>5408</v>
      </c>
      <c r="AS267" s="4810" t="s">
        <v>5409</v>
      </c>
      <c r="AT267" s="4810" t="s">
        <v>5410</v>
      </c>
      <c r="AU267" s="4799" t="s">
        <v>5411</v>
      </c>
      <c r="AV267" s="4799" t="s">
        <v>5412</v>
      </c>
      <c r="AW267" s="4800" t="s">
        <v>5413</v>
      </c>
      <c r="AX267" s="4800" t="s">
        <v>5414</v>
      </c>
      <c r="AY267" s="1816" t="s">
        <v>5415</v>
      </c>
      <c r="AZ267" s="4900" t="e">
        <f t="shared" si="139"/>
        <v>#VALUE!</v>
      </c>
      <c r="BV267" s="1430"/>
      <c r="BW267" s="1430"/>
      <c r="BX267" s="1438"/>
      <c r="CB267" s="1435" t="e">
        <f t="shared" si="140"/>
        <v>#VALUE!</v>
      </c>
      <c r="CC267" s="1435" t="str">
        <f t="shared" si="146"/>
        <v/>
      </c>
      <c r="CD267" s="1435" t="str">
        <f t="shared" si="141"/>
        <v/>
      </c>
      <c r="CE267" s="1435" t="str">
        <f t="shared" si="147"/>
        <v xml:space="preserve">* Las Embarazadas NO DEBEN ser mayor al total de Mujeres. </v>
      </c>
      <c r="CF267" s="1435" t="str">
        <f t="shared" si="142"/>
        <v xml:space="preserve">* Los Usuarios en Situación de Discapacidad NO DEBEN ser mayor al total. </v>
      </c>
      <c r="CG267" s="1435"/>
      <c r="CH267" s="1435" t="str">
        <f t="shared" si="143"/>
        <v xml:space="preserve">* Los Migrantes NO DEBEN ser mayor al total. </v>
      </c>
      <c r="DB267" s="1436" t="e">
        <f t="shared" si="148"/>
        <v>#VALUE!</v>
      </c>
      <c r="DC267" s="1436"/>
      <c r="DD267" s="1436"/>
      <c r="DE267" s="1436">
        <f t="shared" si="149"/>
        <v>1</v>
      </c>
      <c r="DF267" s="1436">
        <f t="shared" si="144"/>
        <v>1</v>
      </c>
      <c r="DG267" s="1436"/>
      <c r="DH267" s="1436">
        <f t="shared" si="145"/>
        <v>1</v>
      </c>
    </row>
    <row r="268" spans="1:112" ht="16.350000000000001" customHeight="1" x14ac:dyDescent="0.25">
      <c r="A268" s="7520" t="s">
        <v>5306</v>
      </c>
      <c r="B268" s="8705"/>
      <c r="C268" s="9835" t="s">
        <v>1051</v>
      </c>
      <c r="D268" s="9835"/>
      <c r="E268" s="4766" t="s">
        <v>5369</v>
      </c>
      <c r="F268" s="4827" t="s">
        <v>5370</v>
      </c>
      <c r="G268" s="4828" t="s">
        <v>5371</v>
      </c>
      <c r="H268" s="4832" t="s">
        <v>5372</v>
      </c>
      <c r="I268" s="3627" t="s">
        <v>5373</v>
      </c>
      <c r="J268" s="3628" t="s">
        <v>5374</v>
      </c>
      <c r="K268" s="3627" t="s">
        <v>5375</v>
      </c>
      <c r="L268" s="3628" t="s">
        <v>5376</v>
      </c>
      <c r="M268" s="3627" t="s">
        <v>5377</v>
      </c>
      <c r="N268" s="4789" t="s">
        <v>5378</v>
      </c>
      <c r="O268" s="1823" t="s">
        <v>5379</v>
      </c>
      <c r="P268" s="4789" t="s">
        <v>5380</v>
      </c>
      <c r="Q268" s="1823" t="s">
        <v>5381</v>
      </c>
      <c r="R268" s="3628" t="s">
        <v>5382</v>
      </c>
      <c r="S268" s="3627" t="s">
        <v>5383</v>
      </c>
      <c r="T268" s="3628" t="s">
        <v>5384</v>
      </c>
      <c r="U268" s="3627" t="s">
        <v>5385</v>
      </c>
      <c r="V268" s="4789" t="s">
        <v>5386</v>
      </c>
      <c r="W268" s="1823" t="s">
        <v>5387</v>
      </c>
      <c r="X268" s="4789" t="s">
        <v>5388</v>
      </c>
      <c r="Y268" s="1823" t="s">
        <v>5389</v>
      </c>
      <c r="Z268" s="3611" t="s">
        <v>5390</v>
      </c>
      <c r="AA268" s="4802" t="s">
        <v>5391</v>
      </c>
      <c r="AB268" s="3611" t="s">
        <v>5392</v>
      </c>
      <c r="AC268" s="4802" t="s">
        <v>5393</v>
      </c>
      <c r="AD268" s="3611" t="s">
        <v>5394</v>
      </c>
      <c r="AE268" s="4802" t="s">
        <v>5395</v>
      </c>
      <c r="AF268" s="3611" t="s">
        <v>5396</v>
      </c>
      <c r="AG268" s="4802" t="s">
        <v>5397</v>
      </c>
      <c r="AH268" s="3611" t="s">
        <v>5398</v>
      </c>
      <c r="AI268" s="4802" t="s">
        <v>5399</v>
      </c>
      <c r="AJ268" s="3611" t="s">
        <v>5400</v>
      </c>
      <c r="AK268" s="4802" t="s">
        <v>5401</v>
      </c>
      <c r="AL268" s="3611" t="s">
        <v>5402</v>
      </c>
      <c r="AM268" s="4802" t="s">
        <v>5403</v>
      </c>
      <c r="AN268" s="3611" t="s">
        <v>5404</v>
      </c>
      <c r="AO268" s="4802" t="s">
        <v>5405</v>
      </c>
      <c r="AP268" s="3612" t="s">
        <v>5406</v>
      </c>
      <c r="AQ268" s="3613" t="s">
        <v>5407</v>
      </c>
      <c r="AR268" s="4789" t="s">
        <v>5408</v>
      </c>
      <c r="AS268" s="4810" t="s">
        <v>5409</v>
      </c>
      <c r="AT268" s="4810" t="s">
        <v>5410</v>
      </c>
      <c r="AU268" s="3611" t="s">
        <v>5411</v>
      </c>
      <c r="AV268" s="3611" t="s">
        <v>5412</v>
      </c>
      <c r="AW268" s="4804" t="s">
        <v>5413</v>
      </c>
      <c r="AX268" s="4804" t="s">
        <v>5414</v>
      </c>
      <c r="AY268" s="3610" t="s">
        <v>5415</v>
      </c>
      <c r="AZ268" s="4900" t="e">
        <f t="shared" si="139"/>
        <v>#VALUE!</v>
      </c>
      <c r="BV268" s="1430"/>
      <c r="BW268" s="1430"/>
      <c r="BX268" s="1438"/>
      <c r="CB268" s="1435" t="e">
        <f t="shared" si="140"/>
        <v>#VALUE!</v>
      </c>
      <c r="CC268" s="1435" t="str">
        <f t="shared" si="146"/>
        <v/>
      </c>
      <c r="CD268" s="1435" t="str">
        <f t="shared" si="141"/>
        <v/>
      </c>
      <c r="CE268" s="1435" t="str">
        <f t="shared" si="147"/>
        <v xml:space="preserve">* Las Embarazadas NO DEBEN ser mayor al total de Mujeres. </v>
      </c>
      <c r="CF268" s="1435" t="str">
        <f t="shared" si="142"/>
        <v xml:space="preserve">* Los Usuarios en Situación de Discapacidad NO DEBEN ser mayor al total. </v>
      </c>
      <c r="CG268" s="1435"/>
      <c r="CH268" s="1435" t="str">
        <f t="shared" si="143"/>
        <v xml:space="preserve">* Los Migrantes NO DEBEN ser mayor al total. </v>
      </c>
      <c r="DB268" s="1436" t="e">
        <f t="shared" si="148"/>
        <v>#VALUE!</v>
      </c>
      <c r="DC268" s="1436"/>
      <c r="DD268" s="1436"/>
      <c r="DE268" s="1436">
        <f t="shared" si="149"/>
        <v>1</v>
      </c>
      <c r="DF268" s="1436">
        <f t="shared" si="144"/>
        <v>1</v>
      </c>
      <c r="DG268" s="1436"/>
      <c r="DH268" s="1436">
        <f t="shared" si="145"/>
        <v>1</v>
      </c>
    </row>
    <row r="269" spans="1:112" ht="16.350000000000001" customHeight="1" x14ac:dyDescent="0.25">
      <c r="A269" s="7520" t="s">
        <v>5093</v>
      </c>
      <c r="B269" s="8705"/>
      <c r="C269" s="9862" t="s">
        <v>2140</v>
      </c>
      <c r="D269" s="9863"/>
      <c r="E269" s="4766" t="s">
        <v>5369</v>
      </c>
      <c r="F269" s="4827" t="s">
        <v>5370</v>
      </c>
      <c r="G269" s="4828" t="s">
        <v>5371</v>
      </c>
      <c r="H269" s="4832" t="s">
        <v>5372</v>
      </c>
      <c r="I269" s="3627" t="s">
        <v>5373</v>
      </c>
      <c r="J269" s="3628" t="s">
        <v>5374</v>
      </c>
      <c r="K269" s="3627" t="s">
        <v>5375</v>
      </c>
      <c r="L269" s="3628" t="s">
        <v>5376</v>
      </c>
      <c r="M269" s="3627" t="s">
        <v>5377</v>
      </c>
      <c r="N269" s="4803" t="s">
        <v>5378</v>
      </c>
      <c r="O269" s="2906" t="s">
        <v>5379</v>
      </c>
      <c r="P269" s="4803" t="s">
        <v>5380</v>
      </c>
      <c r="Q269" s="2906" t="s">
        <v>5381</v>
      </c>
      <c r="R269" s="3628" t="s">
        <v>5382</v>
      </c>
      <c r="S269" s="3627" t="s">
        <v>5383</v>
      </c>
      <c r="T269" s="3628" t="s">
        <v>5384</v>
      </c>
      <c r="U269" s="3627" t="s">
        <v>5385</v>
      </c>
      <c r="V269" s="4803" t="s">
        <v>5386</v>
      </c>
      <c r="W269" s="2906" t="s">
        <v>5387</v>
      </c>
      <c r="X269" s="4803" t="s">
        <v>5388</v>
      </c>
      <c r="Y269" s="2906" t="s">
        <v>5389</v>
      </c>
      <c r="Z269" s="3611" t="s">
        <v>5390</v>
      </c>
      <c r="AA269" s="4802" t="s">
        <v>5391</v>
      </c>
      <c r="AB269" s="3611" t="s">
        <v>5392</v>
      </c>
      <c r="AC269" s="4802" t="s">
        <v>5393</v>
      </c>
      <c r="AD269" s="3611" t="s">
        <v>5394</v>
      </c>
      <c r="AE269" s="4802" t="s">
        <v>5395</v>
      </c>
      <c r="AF269" s="3611" t="s">
        <v>5396</v>
      </c>
      <c r="AG269" s="4802" t="s">
        <v>5397</v>
      </c>
      <c r="AH269" s="3611" t="s">
        <v>5398</v>
      </c>
      <c r="AI269" s="4802" t="s">
        <v>5399</v>
      </c>
      <c r="AJ269" s="3611" t="s">
        <v>5400</v>
      </c>
      <c r="AK269" s="4802" t="s">
        <v>5401</v>
      </c>
      <c r="AL269" s="3611" t="s">
        <v>5402</v>
      </c>
      <c r="AM269" s="4802" t="s">
        <v>5403</v>
      </c>
      <c r="AN269" s="3611" t="s">
        <v>5404</v>
      </c>
      <c r="AO269" s="4802" t="s">
        <v>5405</v>
      </c>
      <c r="AP269" s="3612" t="s">
        <v>5406</v>
      </c>
      <c r="AQ269" s="3613" t="s">
        <v>5407</v>
      </c>
      <c r="AR269" s="4803" t="s">
        <v>5408</v>
      </c>
      <c r="AS269" s="4818" t="s">
        <v>5409</v>
      </c>
      <c r="AT269" s="3614" t="s">
        <v>5410</v>
      </c>
      <c r="AU269" s="3611" t="s">
        <v>5411</v>
      </c>
      <c r="AV269" s="3611" t="s">
        <v>5412</v>
      </c>
      <c r="AW269" s="4804" t="s">
        <v>5413</v>
      </c>
      <c r="AX269" s="4804" t="s">
        <v>5414</v>
      </c>
      <c r="AY269" s="3610" t="s">
        <v>5415</v>
      </c>
      <c r="AZ269" s="4900" t="e">
        <f t="shared" si="139"/>
        <v>#VALUE!</v>
      </c>
      <c r="BV269" s="1430"/>
      <c r="BW269" s="1430"/>
      <c r="BX269" s="1438"/>
      <c r="CB269" s="1435" t="e">
        <f t="shared" si="140"/>
        <v>#VALUE!</v>
      </c>
      <c r="CC269" s="1435" t="str">
        <f t="shared" si="146"/>
        <v/>
      </c>
      <c r="CD269" s="1435" t="str">
        <f t="shared" si="141"/>
        <v/>
      </c>
      <c r="CE269" s="1435" t="str">
        <f t="shared" si="147"/>
        <v xml:space="preserve">* Las Embarazadas NO DEBEN ser mayor al total de Mujeres. </v>
      </c>
      <c r="CF269" s="1435" t="str">
        <f t="shared" si="142"/>
        <v xml:space="preserve">* Los Usuarios en Situación de Discapacidad NO DEBEN ser mayor al total. </v>
      </c>
      <c r="CG269" s="1435"/>
      <c r="CH269" s="1435" t="str">
        <f t="shared" si="143"/>
        <v xml:space="preserve">* Los Migrantes NO DEBEN ser mayor al total. </v>
      </c>
      <c r="DB269" s="1436" t="e">
        <f t="shared" si="148"/>
        <v>#VALUE!</v>
      </c>
      <c r="DC269" s="1436"/>
      <c r="DD269" s="1436"/>
      <c r="DE269" s="1436">
        <f t="shared" si="149"/>
        <v>1</v>
      </c>
      <c r="DF269" s="1436">
        <f t="shared" si="144"/>
        <v>1</v>
      </c>
      <c r="DG269" s="1436"/>
      <c r="DH269" s="1436">
        <f t="shared" si="145"/>
        <v>1</v>
      </c>
    </row>
    <row r="270" spans="1:112" ht="16.350000000000001" customHeight="1" x14ac:dyDescent="0.25">
      <c r="A270" s="7520" t="s">
        <v>5307</v>
      </c>
      <c r="B270" s="9743"/>
      <c r="C270" s="9911" t="s">
        <v>1050</v>
      </c>
      <c r="D270" s="9911"/>
      <c r="E270" s="4805" t="s">
        <v>5369</v>
      </c>
      <c r="F270" s="4833" t="s">
        <v>5370</v>
      </c>
      <c r="G270" s="4834" t="s">
        <v>5371</v>
      </c>
      <c r="H270" s="4835" t="s">
        <v>5372</v>
      </c>
      <c r="I270" s="3629" t="s">
        <v>5373</v>
      </c>
      <c r="J270" s="3630" t="s">
        <v>5374</v>
      </c>
      <c r="K270" s="3629" t="s">
        <v>5375</v>
      </c>
      <c r="L270" s="3630" t="s">
        <v>5376</v>
      </c>
      <c r="M270" s="3629" t="s">
        <v>5377</v>
      </c>
      <c r="N270" s="4835" t="s">
        <v>5378</v>
      </c>
      <c r="O270" s="3629" t="s">
        <v>5379</v>
      </c>
      <c r="P270" s="4835" t="s">
        <v>5380</v>
      </c>
      <c r="Q270" s="3629" t="s">
        <v>5381</v>
      </c>
      <c r="R270" s="3630" t="s">
        <v>5382</v>
      </c>
      <c r="S270" s="3629" t="s">
        <v>5383</v>
      </c>
      <c r="T270" s="3630" t="s">
        <v>5384</v>
      </c>
      <c r="U270" s="3629" t="s">
        <v>5385</v>
      </c>
      <c r="V270" s="4835" t="s">
        <v>5386</v>
      </c>
      <c r="W270" s="3629" t="s">
        <v>5387</v>
      </c>
      <c r="X270" s="4835" t="s">
        <v>5388</v>
      </c>
      <c r="Y270" s="3629" t="s">
        <v>5389</v>
      </c>
      <c r="Z270" s="3604" t="s">
        <v>5390</v>
      </c>
      <c r="AA270" s="3122" t="s">
        <v>5391</v>
      </c>
      <c r="AB270" s="3604" t="s">
        <v>5392</v>
      </c>
      <c r="AC270" s="3122" t="s">
        <v>5393</v>
      </c>
      <c r="AD270" s="3604" t="s">
        <v>5394</v>
      </c>
      <c r="AE270" s="3122" t="s">
        <v>5395</v>
      </c>
      <c r="AF270" s="3604" t="s">
        <v>5396</v>
      </c>
      <c r="AG270" s="3122" t="s">
        <v>5397</v>
      </c>
      <c r="AH270" s="3604" t="s">
        <v>5398</v>
      </c>
      <c r="AI270" s="3122" t="s">
        <v>5399</v>
      </c>
      <c r="AJ270" s="3604" t="s">
        <v>5400</v>
      </c>
      <c r="AK270" s="3122" t="s">
        <v>5401</v>
      </c>
      <c r="AL270" s="3604" t="s">
        <v>5402</v>
      </c>
      <c r="AM270" s="3122" t="s">
        <v>5403</v>
      </c>
      <c r="AN270" s="3604" t="s">
        <v>5404</v>
      </c>
      <c r="AO270" s="3122" t="s">
        <v>5405</v>
      </c>
      <c r="AP270" s="3605" t="s">
        <v>5406</v>
      </c>
      <c r="AQ270" s="3606" t="s">
        <v>5407</v>
      </c>
      <c r="AR270" s="4807" t="s">
        <v>5408</v>
      </c>
      <c r="AS270" s="4820" t="s">
        <v>5409</v>
      </c>
      <c r="AT270" s="3616" t="s">
        <v>5410</v>
      </c>
      <c r="AU270" s="3604" t="s">
        <v>5411</v>
      </c>
      <c r="AV270" s="3604" t="s">
        <v>5412</v>
      </c>
      <c r="AW270" s="4794" t="s">
        <v>5413</v>
      </c>
      <c r="AX270" s="4794" t="s">
        <v>5414</v>
      </c>
      <c r="AY270" s="3603" t="s">
        <v>5415</v>
      </c>
      <c r="AZ270" s="4900" t="e">
        <f t="shared" si="139"/>
        <v>#VALUE!</v>
      </c>
      <c r="BV270" s="1430"/>
      <c r="BW270" s="1430"/>
      <c r="BX270" s="1438"/>
      <c r="CB270" s="1435" t="e">
        <f t="shared" si="140"/>
        <v>#VALUE!</v>
      </c>
      <c r="CC270" s="1435" t="str">
        <f t="shared" si="146"/>
        <v/>
      </c>
      <c r="CD270" s="1435" t="str">
        <f t="shared" si="141"/>
        <v/>
      </c>
      <c r="CE270" s="1435" t="str">
        <f t="shared" si="147"/>
        <v xml:space="preserve">* Las Embarazadas NO DEBEN ser mayor al total de Mujeres. </v>
      </c>
      <c r="CF270" s="1435" t="str">
        <f t="shared" si="142"/>
        <v xml:space="preserve">* Los Usuarios en Situación de Discapacidad NO DEBEN ser mayor al total. </v>
      </c>
      <c r="CG270" s="1435"/>
      <c r="CH270" s="1435" t="str">
        <f t="shared" si="143"/>
        <v xml:space="preserve">* Los Migrantes NO DEBEN ser mayor al total. </v>
      </c>
      <c r="DB270" s="1436" t="e">
        <f t="shared" si="148"/>
        <v>#VALUE!</v>
      </c>
      <c r="DC270" s="1436"/>
      <c r="DD270" s="1436"/>
      <c r="DE270" s="1436">
        <f t="shared" si="149"/>
        <v>1</v>
      </c>
      <c r="DF270" s="1436">
        <f t="shared" si="144"/>
        <v>1</v>
      </c>
      <c r="DG270" s="1436"/>
      <c r="DH270" s="1436">
        <f t="shared" si="145"/>
        <v>1</v>
      </c>
    </row>
    <row r="271" spans="1:112" ht="16.350000000000001" customHeight="1" x14ac:dyDescent="0.25">
      <c r="A271" s="7520" t="s">
        <v>5308</v>
      </c>
      <c r="B271" s="8627" t="s">
        <v>1056</v>
      </c>
      <c r="C271" s="9903" t="s">
        <v>1054</v>
      </c>
      <c r="D271" s="9903"/>
      <c r="E271" s="3247" t="s">
        <v>5369</v>
      </c>
      <c r="F271" s="4836" t="s">
        <v>5370</v>
      </c>
      <c r="G271" s="4837" t="s">
        <v>5371</v>
      </c>
      <c r="H271" s="3631" t="s">
        <v>5372</v>
      </c>
      <c r="I271" s="3632" t="s">
        <v>5373</v>
      </c>
      <c r="J271" s="4838" t="s">
        <v>5374</v>
      </c>
      <c r="K271" s="3632" t="s">
        <v>5375</v>
      </c>
      <c r="L271" s="4838" t="s">
        <v>5376</v>
      </c>
      <c r="M271" s="3632" t="s">
        <v>5377</v>
      </c>
      <c r="N271" s="4839" t="s">
        <v>5378</v>
      </c>
      <c r="O271" s="3633" t="s">
        <v>5379</v>
      </c>
      <c r="P271" s="4839" t="s">
        <v>5380</v>
      </c>
      <c r="Q271" s="3633" t="s">
        <v>5381</v>
      </c>
      <c r="R271" s="4838" t="s">
        <v>5382</v>
      </c>
      <c r="S271" s="3632" t="s">
        <v>5383</v>
      </c>
      <c r="T271" s="4838" t="s">
        <v>5384</v>
      </c>
      <c r="U271" s="3632" t="s">
        <v>5385</v>
      </c>
      <c r="V271" s="4839" t="s">
        <v>5386</v>
      </c>
      <c r="W271" s="3633" t="s">
        <v>5387</v>
      </c>
      <c r="X271" s="4839" t="s">
        <v>5388</v>
      </c>
      <c r="Y271" s="3633" t="s">
        <v>5389</v>
      </c>
      <c r="Z271" s="4796" t="s">
        <v>5390</v>
      </c>
      <c r="AA271" s="2925" t="s">
        <v>5391</v>
      </c>
      <c r="AB271" s="4796" t="s">
        <v>5392</v>
      </c>
      <c r="AC271" s="2925" t="s">
        <v>5393</v>
      </c>
      <c r="AD271" s="4796" t="s">
        <v>5394</v>
      </c>
      <c r="AE271" s="2925" t="s">
        <v>5395</v>
      </c>
      <c r="AF271" s="4796" t="s">
        <v>5396</v>
      </c>
      <c r="AG271" s="2925" t="s">
        <v>5397</v>
      </c>
      <c r="AH271" s="4796" t="s">
        <v>5398</v>
      </c>
      <c r="AI271" s="2925" t="s">
        <v>5399</v>
      </c>
      <c r="AJ271" s="4796" t="s">
        <v>5400</v>
      </c>
      <c r="AK271" s="2925" t="s">
        <v>5401</v>
      </c>
      <c r="AL271" s="4796" t="s">
        <v>5402</v>
      </c>
      <c r="AM271" s="2925" t="s">
        <v>5403</v>
      </c>
      <c r="AN271" s="4796" t="s">
        <v>5404</v>
      </c>
      <c r="AO271" s="2925" t="s">
        <v>5405</v>
      </c>
      <c r="AP271" s="3608" t="s">
        <v>5406</v>
      </c>
      <c r="AQ271" s="1814" t="s">
        <v>5407</v>
      </c>
      <c r="AR271" s="3508" t="s">
        <v>5408</v>
      </c>
      <c r="AS271" s="3609" t="s">
        <v>5409</v>
      </c>
      <c r="AT271" s="4783" t="s">
        <v>5410</v>
      </c>
      <c r="AU271" s="4796" t="s">
        <v>5411</v>
      </c>
      <c r="AV271" s="4796" t="s">
        <v>5412</v>
      </c>
      <c r="AW271" s="3609" t="s">
        <v>5413</v>
      </c>
      <c r="AX271" s="3609" t="s">
        <v>5414</v>
      </c>
      <c r="AY271" s="3607" t="s">
        <v>5415</v>
      </c>
      <c r="AZ271" s="4900" t="e">
        <f t="shared" si="139"/>
        <v>#VALUE!</v>
      </c>
      <c r="BV271" s="1430"/>
      <c r="BW271" s="1430"/>
      <c r="BX271" s="1438"/>
      <c r="CB271" s="1435" t="e">
        <f t="shared" si="140"/>
        <v>#VALUE!</v>
      </c>
      <c r="CC271" s="1435" t="str">
        <f t="shared" si="146"/>
        <v xml:space="preserve">* La consulta pertinente según Protocolo de Referencia NO DEBE ser mayor al Total registrado. </v>
      </c>
      <c r="CD271" s="1435" t="str">
        <f t="shared" si="141"/>
        <v xml:space="preserve">* La consulta pertinente según condición clínica NO DEBE ser mayor al Total registrado. </v>
      </c>
      <c r="CE271" s="1435" t="str">
        <f t="shared" si="147"/>
        <v xml:space="preserve">* Las Embarazadas NO DEBEN ser mayor al total de Mujeres. </v>
      </c>
      <c r="CF271" s="1435" t="str">
        <f t="shared" si="142"/>
        <v xml:space="preserve">* Los Usuarios en Situación de Discapacidad NO DEBEN ser mayor al total. </v>
      </c>
      <c r="CG271" s="1435"/>
      <c r="CH271" s="1435" t="str">
        <f t="shared" si="143"/>
        <v xml:space="preserve">* Los Migrantes NO DEBEN ser mayor al total. </v>
      </c>
      <c r="DB271" s="1436" t="e">
        <f t="shared" si="148"/>
        <v>#VALUE!</v>
      </c>
      <c r="DC271" s="1436">
        <f>IF(E271&lt;AR271,1,0)</f>
        <v>1</v>
      </c>
      <c r="DD271" s="1436">
        <f>IF(E271&lt;AS271,1,0)</f>
        <v>1</v>
      </c>
      <c r="DE271" s="1436">
        <f t="shared" si="149"/>
        <v>1</v>
      </c>
      <c r="DF271" s="1436">
        <f t="shared" si="144"/>
        <v>1</v>
      </c>
      <c r="DG271" s="1436"/>
      <c r="DH271" s="1436">
        <f t="shared" si="145"/>
        <v>1</v>
      </c>
    </row>
    <row r="272" spans="1:112" ht="16.350000000000001" customHeight="1" x14ac:dyDescent="0.25">
      <c r="A272" s="7520" t="s">
        <v>5309</v>
      </c>
      <c r="B272" s="8705"/>
      <c r="C272" s="9835" t="s">
        <v>1053</v>
      </c>
      <c r="D272" s="9835"/>
      <c r="E272" s="4766" t="s">
        <v>5369</v>
      </c>
      <c r="F272" s="4827" t="s">
        <v>5370</v>
      </c>
      <c r="G272" s="4828" t="s">
        <v>5371</v>
      </c>
      <c r="H272" s="4829" t="s">
        <v>5372</v>
      </c>
      <c r="I272" s="1826" t="s">
        <v>5373</v>
      </c>
      <c r="J272" s="4830" t="s">
        <v>5374</v>
      </c>
      <c r="K272" s="1826" t="s">
        <v>5375</v>
      </c>
      <c r="L272" s="4830" t="s">
        <v>5376</v>
      </c>
      <c r="M272" s="1826" t="s">
        <v>5377</v>
      </c>
      <c r="N272" s="4831" t="s">
        <v>5378</v>
      </c>
      <c r="O272" s="1823" t="s">
        <v>5379</v>
      </c>
      <c r="P272" s="4831" t="s">
        <v>5380</v>
      </c>
      <c r="Q272" s="1823" t="s">
        <v>5381</v>
      </c>
      <c r="R272" s="4830" t="s">
        <v>5382</v>
      </c>
      <c r="S272" s="1826" t="s">
        <v>5383</v>
      </c>
      <c r="T272" s="4830" t="s">
        <v>5384</v>
      </c>
      <c r="U272" s="1826" t="s">
        <v>5385</v>
      </c>
      <c r="V272" s="4831" t="s">
        <v>5386</v>
      </c>
      <c r="W272" s="1823" t="s">
        <v>5387</v>
      </c>
      <c r="X272" s="4831" t="s">
        <v>5388</v>
      </c>
      <c r="Y272" s="1823" t="s">
        <v>5389</v>
      </c>
      <c r="Z272" s="4799" t="s">
        <v>5390</v>
      </c>
      <c r="AA272" s="2926" t="s">
        <v>5391</v>
      </c>
      <c r="AB272" s="4799" t="s">
        <v>5392</v>
      </c>
      <c r="AC272" s="2926" t="s">
        <v>5393</v>
      </c>
      <c r="AD272" s="4799" t="s">
        <v>5394</v>
      </c>
      <c r="AE272" s="2926" t="s">
        <v>5395</v>
      </c>
      <c r="AF272" s="4799" t="s">
        <v>5396</v>
      </c>
      <c r="AG272" s="2926" t="s">
        <v>5397</v>
      </c>
      <c r="AH272" s="4799" t="s">
        <v>5398</v>
      </c>
      <c r="AI272" s="2926" t="s">
        <v>5399</v>
      </c>
      <c r="AJ272" s="4799" t="s">
        <v>5400</v>
      </c>
      <c r="AK272" s="2926" t="s">
        <v>5401</v>
      </c>
      <c r="AL272" s="4799" t="s">
        <v>5402</v>
      </c>
      <c r="AM272" s="2926" t="s">
        <v>5403</v>
      </c>
      <c r="AN272" s="4799" t="s">
        <v>5404</v>
      </c>
      <c r="AO272" s="2926" t="s">
        <v>5405</v>
      </c>
      <c r="AP272" s="1818" t="s">
        <v>5406</v>
      </c>
      <c r="AQ272" s="1819" t="s">
        <v>5407</v>
      </c>
      <c r="AR272" s="4789" t="s">
        <v>5408</v>
      </c>
      <c r="AS272" s="4810" t="s">
        <v>5409</v>
      </c>
      <c r="AT272" s="3508" t="s">
        <v>5410</v>
      </c>
      <c r="AU272" s="4799" t="s">
        <v>5411</v>
      </c>
      <c r="AV272" s="4799" t="s">
        <v>5412</v>
      </c>
      <c r="AW272" s="4800" t="s">
        <v>5413</v>
      </c>
      <c r="AX272" s="4800" t="s">
        <v>5414</v>
      </c>
      <c r="AY272" s="1816" t="s">
        <v>5415</v>
      </c>
      <c r="AZ272" s="4900" t="e">
        <f t="shared" si="139"/>
        <v>#VALUE!</v>
      </c>
      <c r="BV272" s="1430"/>
      <c r="BW272" s="1430"/>
      <c r="BX272" s="1438"/>
      <c r="CB272" s="1435" t="e">
        <f t="shared" si="140"/>
        <v>#VALUE!</v>
      </c>
      <c r="CC272" s="1435" t="str">
        <f t="shared" si="146"/>
        <v/>
      </c>
      <c r="CD272" s="1435" t="str">
        <f t="shared" si="141"/>
        <v/>
      </c>
      <c r="CE272" s="1435" t="str">
        <f t="shared" si="147"/>
        <v xml:space="preserve">* Las Embarazadas NO DEBEN ser mayor al total de Mujeres. </v>
      </c>
      <c r="CF272" s="1435" t="str">
        <f t="shared" si="142"/>
        <v xml:space="preserve">* Los Usuarios en Situación de Discapacidad NO DEBEN ser mayor al total. </v>
      </c>
      <c r="CG272" s="1435"/>
      <c r="CH272" s="1435" t="str">
        <f t="shared" si="143"/>
        <v xml:space="preserve">* Los Migrantes NO DEBEN ser mayor al total. </v>
      </c>
      <c r="DB272" s="1436" t="e">
        <f t="shared" si="148"/>
        <v>#VALUE!</v>
      </c>
      <c r="DC272" s="1436"/>
      <c r="DD272" s="1436"/>
      <c r="DE272" s="1436">
        <f t="shared" si="149"/>
        <v>1</v>
      </c>
      <c r="DF272" s="1436">
        <f t="shared" si="144"/>
        <v>1</v>
      </c>
      <c r="DG272" s="1436"/>
      <c r="DH272" s="1436">
        <f t="shared" si="145"/>
        <v>1</v>
      </c>
    </row>
    <row r="273" spans="1:112" ht="16.350000000000001" customHeight="1" x14ac:dyDescent="0.25">
      <c r="A273" s="7520" t="s">
        <v>5310</v>
      </c>
      <c r="B273" s="8705"/>
      <c r="C273" s="9835" t="s">
        <v>1052</v>
      </c>
      <c r="D273" s="9835"/>
      <c r="E273" s="4766" t="s">
        <v>5369</v>
      </c>
      <c r="F273" s="4827" t="s">
        <v>5370</v>
      </c>
      <c r="G273" s="4828" t="s">
        <v>5371</v>
      </c>
      <c r="H273" s="4829" t="s">
        <v>5372</v>
      </c>
      <c r="I273" s="1826" t="s">
        <v>5373</v>
      </c>
      <c r="J273" s="4830" t="s">
        <v>5374</v>
      </c>
      <c r="K273" s="1826" t="s">
        <v>5375</v>
      </c>
      <c r="L273" s="4830" t="s">
        <v>5376</v>
      </c>
      <c r="M273" s="1826" t="s">
        <v>5377</v>
      </c>
      <c r="N273" s="4831" t="s">
        <v>5378</v>
      </c>
      <c r="O273" s="1823" t="s">
        <v>5379</v>
      </c>
      <c r="P273" s="4831" t="s">
        <v>5380</v>
      </c>
      <c r="Q273" s="1823" t="s">
        <v>5381</v>
      </c>
      <c r="R273" s="4830" t="s">
        <v>5382</v>
      </c>
      <c r="S273" s="1826" t="s">
        <v>5383</v>
      </c>
      <c r="T273" s="4830" t="s">
        <v>5384</v>
      </c>
      <c r="U273" s="1826" t="s">
        <v>5385</v>
      </c>
      <c r="V273" s="4831" t="s">
        <v>5386</v>
      </c>
      <c r="W273" s="1823" t="s">
        <v>5387</v>
      </c>
      <c r="X273" s="4831" t="s">
        <v>5388</v>
      </c>
      <c r="Y273" s="1823" t="s">
        <v>5389</v>
      </c>
      <c r="Z273" s="4799" t="s">
        <v>5390</v>
      </c>
      <c r="AA273" s="2926" t="s">
        <v>5391</v>
      </c>
      <c r="AB273" s="4799" t="s">
        <v>5392</v>
      </c>
      <c r="AC273" s="2926" t="s">
        <v>5393</v>
      </c>
      <c r="AD273" s="4799" t="s">
        <v>5394</v>
      </c>
      <c r="AE273" s="2926" t="s">
        <v>5395</v>
      </c>
      <c r="AF273" s="4799" t="s">
        <v>5396</v>
      </c>
      <c r="AG273" s="2926" t="s">
        <v>5397</v>
      </c>
      <c r="AH273" s="4799" t="s">
        <v>5398</v>
      </c>
      <c r="AI273" s="2926" t="s">
        <v>5399</v>
      </c>
      <c r="AJ273" s="4799" t="s">
        <v>5400</v>
      </c>
      <c r="AK273" s="2926" t="s">
        <v>5401</v>
      </c>
      <c r="AL273" s="4799" t="s">
        <v>5402</v>
      </c>
      <c r="AM273" s="2926" t="s">
        <v>5403</v>
      </c>
      <c r="AN273" s="4799" t="s">
        <v>5404</v>
      </c>
      <c r="AO273" s="2926" t="s">
        <v>5405</v>
      </c>
      <c r="AP273" s="1818" t="s">
        <v>5406</v>
      </c>
      <c r="AQ273" s="1819" t="s">
        <v>5407</v>
      </c>
      <c r="AR273" s="4789" t="s">
        <v>5408</v>
      </c>
      <c r="AS273" s="4810" t="s">
        <v>5409</v>
      </c>
      <c r="AT273" s="4810" t="s">
        <v>5410</v>
      </c>
      <c r="AU273" s="4799" t="s">
        <v>5411</v>
      </c>
      <c r="AV273" s="4799" t="s">
        <v>5412</v>
      </c>
      <c r="AW273" s="4800" t="s">
        <v>5413</v>
      </c>
      <c r="AX273" s="4800" t="s">
        <v>5414</v>
      </c>
      <c r="AY273" s="1816" t="s">
        <v>5415</v>
      </c>
      <c r="AZ273" s="4900" t="e">
        <f t="shared" si="139"/>
        <v>#VALUE!</v>
      </c>
      <c r="BV273" s="1430"/>
      <c r="BW273" s="1430"/>
      <c r="BX273" s="1438"/>
      <c r="CB273" s="1435" t="e">
        <f t="shared" si="140"/>
        <v>#VALUE!</v>
      </c>
      <c r="CC273" s="1435" t="str">
        <f t="shared" si="146"/>
        <v/>
      </c>
      <c r="CD273" s="1435" t="str">
        <f t="shared" si="141"/>
        <v/>
      </c>
      <c r="CE273" s="1435" t="str">
        <f t="shared" si="147"/>
        <v xml:space="preserve">* Las Embarazadas NO DEBEN ser mayor al total de Mujeres. </v>
      </c>
      <c r="CF273" s="1435" t="str">
        <f t="shared" si="142"/>
        <v xml:space="preserve">* Los Usuarios en Situación de Discapacidad NO DEBEN ser mayor al total. </v>
      </c>
      <c r="CG273" s="1435"/>
      <c r="CH273" s="1435" t="str">
        <f t="shared" si="143"/>
        <v xml:space="preserve">* Los Migrantes NO DEBEN ser mayor al total. </v>
      </c>
      <c r="DB273" s="1436" t="e">
        <f t="shared" si="148"/>
        <v>#VALUE!</v>
      </c>
      <c r="DC273" s="1436"/>
      <c r="DD273" s="1436"/>
      <c r="DE273" s="1436">
        <f t="shared" si="149"/>
        <v>1</v>
      </c>
      <c r="DF273" s="1436">
        <f t="shared" si="144"/>
        <v>1</v>
      </c>
      <c r="DG273" s="1436"/>
      <c r="DH273" s="1436">
        <f t="shared" si="145"/>
        <v>1</v>
      </c>
    </row>
    <row r="274" spans="1:112" ht="16.350000000000001" customHeight="1" x14ac:dyDescent="0.25">
      <c r="A274" s="7520" t="s">
        <v>5311</v>
      </c>
      <c r="B274" s="8705"/>
      <c r="C274" s="9835" t="s">
        <v>1051</v>
      </c>
      <c r="D274" s="9835"/>
      <c r="E274" s="4766" t="s">
        <v>5369</v>
      </c>
      <c r="F274" s="4827" t="s">
        <v>5370</v>
      </c>
      <c r="G274" s="4828" t="s">
        <v>5371</v>
      </c>
      <c r="H274" s="4832" t="s">
        <v>5372</v>
      </c>
      <c r="I274" s="3627" t="s">
        <v>5373</v>
      </c>
      <c r="J274" s="3628" t="s">
        <v>5374</v>
      </c>
      <c r="K274" s="3627" t="s">
        <v>5375</v>
      </c>
      <c r="L274" s="3628" t="s">
        <v>5376</v>
      </c>
      <c r="M274" s="3627" t="s">
        <v>5377</v>
      </c>
      <c r="N274" s="4789" t="s">
        <v>5378</v>
      </c>
      <c r="O274" s="1823" t="s">
        <v>5379</v>
      </c>
      <c r="P274" s="4789" t="s">
        <v>5380</v>
      </c>
      <c r="Q274" s="1823" t="s">
        <v>5381</v>
      </c>
      <c r="R274" s="3628" t="s">
        <v>5382</v>
      </c>
      <c r="S274" s="3627" t="s">
        <v>5383</v>
      </c>
      <c r="T274" s="3628" t="s">
        <v>5384</v>
      </c>
      <c r="U274" s="3627" t="s">
        <v>5385</v>
      </c>
      <c r="V274" s="4789" t="s">
        <v>5386</v>
      </c>
      <c r="W274" s="1823" t="s">
        <v>5387</v>
      </c>
      <c r="X274" s="4789" t="s">
        <v>5388</v>
      </c>
      <c r="Y274" s="1823" t="s">
        <v>5389</v>
      </c>
      <c r="Z274" s="3611" t="s">
        <v>5390</v>
      </c>
      <c r="AA274" s="4802" t="s">
        <v>5391</v>
      </c>
      <c r="AB274" s="3611" t="s">
        <v>5392</v>
      </c>
      <c r="AC274" s="4802" t="s">
        <v>5393</v>
      </c>
      <c r="AD274" s="3611" t="s">
        <v>5394</v>
      </c>
      <c r="AE274" s="4802" t="s">
        <v>5395</v>
      </c>
      <c r="AF274" s="3611" t="s">
        <v>5396</v>
      </c>
      <c r="AG274" s="4802" t="s">
        <v>5397</v>
      </c>
      <c r="AH274" s="3611" t="s">
        <v>5398</v>
      </c>
      <c r="AI274" s="4802" t="s">
        <v>5399</v>
      </c>
      <c r="AJ274" s="3611" t="s">
        <v>5400</v>
      </c>
      <c r="AK274" s="4802" t="s">
        <v>5401</v>
      </c>
      <c r="AL274" s="3611" t="s">
        <v>5402</v>
      </c>
      <c r="AM274" s="4802" t="s">
        <v>5403</v>
      </c>
      <c r="AN274" s="3611" t="s">
        <v>5404</v>
      </c>
      <c r="AO274" s="4802" t="s">
        <v>5405</v>
      </c>
      <c r="AP274" s="3612" t="s">
        <v>5406</v>
      </c>
      <c r="AQ274" s="3613" t="s">
        <v>5407</v>
      </c>
      <c r="AR274" s="4789" t="s">
        <v>5408</v>
      </c>
      <c r="AS274" s="4810" t="s">
        <v>5409</v>
      </c>
      <c r="AT274" s="4810" t="s">
        <v>5410</v>
      </c>
      <c r="AU274" s="3611" t="s">
        <v>5411</v>
      </c>
      <c r="AV274" s="3611" t="s">
        <v>5412</v>
      </c>
      <c r="AW274" s="4804" t="s">
        <v>5413</v>
      </c>
      <c r="AX274" s="4804" t="s">
        <v>5414</v>
      </c>
      <c r="AY274" s="3610" t="s">
        <v>5415</v>
      </c>
      <c r="AZ274" s="4900" t="e">
        <f t="shared" si="139"/>
        <v>#VALUE!</v>
      </c>
      <c r="BV274" s="1430"/>
      <c r="BW274" s="1430"/>
      <c r="BX274" s="1438"/>
      <c r="CB274" s="1435" t="e">
        <f t="shared" si="140"/>
        <v>#VALUE!</v>
      </c>
      <c r="CC274" s="1435" t="str">
        <f t="shared" si="146"/>
        <v/>
      </c>
      <c r="CD274" s="1435" t="str">
        <f t="shared" si="141"/>
        <v/>
      </c>
      <c r="CE274" s="1435" t="str">
        <f t="shared" si="147"/>
        <v xml:space="preserve">* Las Embarazadas NO DEBEN ser mayor al total de Mujeres. </v>
      </c>
      <c r="CF274" s="1435" t="str">
        <f t="shared" si="142"/>
        <v xml:space="preserve">* Los Usuarios en Situación de Discapacidad NO DEBEN ser mayor al total. </v>
      </c>
      <c r="CG274" s="1435"/>
      <c r="CH274" s="1435" t="str">
        <f t="shared" si="143"/>
        <v xml:space="preserve">* Los Migrantes NO DEBEN ser mayor al total. </v>
      </c>
      <c r="DB274" s="1436" t="e">
        <f t="shared" si="148"/>
        <v>#VALUE!</v>
      </c>
      <c r="DC274" s="1436"/>
      <c r="DD274" s="1436"/>
      <c r="DE274" s="1436">
        <f t="shared" si="149"/>
        <v>1</v>
      </c>
      <c r="DF274" s="1436">
        <f t="shared" si="144"/>
        <v>1</v>
      </c>
      <c r="DG274" s="1436"/>
      <c r="DH274" s="1436">
        <f t="shared" si="145"/>
        <v>1</v>
      </c>
    </row>
    <row r="275" spans="1:112" ht="16.350000000000001" customHeight="1" x14ac:dyDescent="0.25">
      <c r="A275" s="7520" t="s">
        <v>5094</v>
      </c>
      <c r="B275" s="8705"/>
      <c r="C275" s="9862" t="s">
        <v>2140</v>
      </c>
      <c r="D275" s="9863"/>
      <c r="E275" s="4766" t="s">
        <v>5369</v>
      </c>
      <c r="F275" s="4827" t="s">
        <v>5370</v>
      </c>
      <c r="G275" s="4828" t="s">
        <v>5371</v>
      </c>
      <c r="H275" s="4832" t="s">
        <v>5372</v>
      </c>
      <c r="I275" s="3627" t="s">
        <v>5373</v>
      </c>
      <c r="J275" s="3628" t="s">
        <v>5374</v>
      </c>
      <c r="K275" s="3627" t="s">
        <v>5375</v>
      </c>
      <c r="L275" s="3628" t="s">
        <v>5376</v>
      </c>
      <c r="M275" s="3627" t="s">
        <v>5377</v>
      </c>
      <c r="N275" s="4803" t="s">
        <v>5378</v>
      </c>
      <c r="O275" s="2906" t="s">
        <v>5379</v>
      </c>
      <c r="P275" s="4803" t="s">
        <v>5380</v>
      </c>
      <c r="Q275" s="2906" t="s">
        <v>5381</v>
      </c>
      <c r="R275" s="3628" t="s">
        <v>5382</v>
      </c>
      <c r="S275" s="3627" t="s">
        <v>5383</v>
      </c>
      <c r="T275" s="3628" t="s">
        <v>5384</v>
      </c>
      <c r="U275" s="3627" t="s">
        <v>5385</v>
      </c>
      <c r="V275" s="4803" t="s">
        <v>5386</v>
      </c>
      <c r="W275" s="2906" t="s">
        <v>5387</v>
      </c>
      <c r="X275" s="4803" t="s">
        <v>5388</v>
      </c>
      <c r="Y275" s="2906" t="s">
        <v>5389</v>
      </c>
      <c r="Z275" s="3611" t="s">
        <v>5390</v>
      </c>
      <c r="AA275" s="4802" t="s">
        <v>5391</v>
      </c>
      <c r="AB275" s="3611" t="s">
        <v>5392</v>
      </c>
      <c r="AC275" s="4802" t="s">
        <v>5393</v>
      </c>
      <c r="AD275" s="3611" t="s">
        <v>5394</v>
      </c>
      <c r="AE275" s="4802" t="s">
        <v>5395</v>
      </c>
      <c r="AF275" s="3611" t="s">
        <v>5396</v>
      </c>
      <c r="AG275" s="4802" t="s">
        <v>5397</v>
      </c>
      <c r="AH275" s="3611" t="s">
        <v>5398</v>
      </c>
      <c r="AI275" s="4802" t="s">
        <v>5399</v>
      </c>
      <c r="AJ275" s="3611" t="s">
        <v>5400</v>
      </c>
      <c r="AK275" s="4802" t="s">
        <v>5401</v>
      </c>
      <c r="AL275" s="3611" t="s">
        <v>5402</v>
      </c>
      <c r="AM275" s="4802" t="s">
        <v>5403</v>
      </c>
      <c r="AN275" s="3611" t="s">
        <v>5404</v>
      </c>
      <c r="AO275" s="4802" t="s">
        <v>5405</v>
      </c>
      <c r="AP275" s="3612" t="s">
        <v>5406</v>
      </c>
      <c r="AQ275" s="3613" t="s">
        <v>5407</v>
      </c>
      <c r="AR275" s="4803" t="s">
        <v>5408</v>
      </c>
      <c r="AS275" s="4818" t="s">
        <v>5409</v>
      </c>
      <c r="AT275" s="3614" t="s">
        <v>5410</v>
      </c>
      <c r="AU275" s="3611" t="s">
        <v>5411</v>
      </c>
      <c r="AV275" s="3611" t="s">
        <v>5412</v>
      </c>
      <c r="AW275" s="4804" t="s">
        <v>5413</v>
      </c>
      <c r="AX275" s="4804" t="s">
        <v>5414</v>
      </c>
      <c r="AY275" s="3610" t="s">
        <v>5415</v>
      </c>
      <c r="AZ275" s="4900" t="e">
        <f t="shared" si="139"/>
        <v>#VALUE!</v>
      </c>
      <c r="BV275" s="1430"/>
      <c r="BW275" s="1430"/>
      <c r="BX275" s="1438"/>
      <c r="CB275" s="1435" t="e">
        <f t="shared" si="140"/>
        <v>#VALUE!</v>
      </c>
      <c r="CC275" s="1435" t="str">
        <f t="shared" si="146"/>
        <v/>
      </c>
      <c r="CD275" s="1435" t="str">
        <f t="shared" si="141"/>
        <v/>
      </c>
      <c r="CE275" s="1435" t="str">
        <f t="shared" si="147"/>
        <v xml:space="preserve">* Las Embarazadas NO DEBEN ser mayor al total de Mujeres. </v>
      </c>
      <c r="CF275" s="1435" t="str">
        <f t="shared" si="142"/>
        <v xml:space="preserve">* Los Usuarios en Situación de Discapacidad NO DEBEN ser mayor al total. </v>
      </c>
      <c r="CG275" s="1435"/>
      <c r="CH275" s="1435" t="str">
        <f t="shared" si="143"/>
        <v xml:space="preserve">* Los Migrantes NO DEBEN ser mayor al total. </v>
      </c>
      <c r="DB275" s="1436" t="e">
        <f t="shared" si="148"/>
        <v>#VALUE!</v>
      </c>
      <c r="DC275" s="1436"/>
      <c r="DD275" s="1436"/>
      <c r="DE275" s="1436">
        <f t="shared" si="149"/>
        <v>1</v>
      </c>
      <c r="DF275" s="1436">
        <f t="shared" si="144"/>
        <v>1</v>
      </c>
      <c r="DG275" s="1436"/>
      <c r="DH275" s="1436">
        <f t="shared" si="145"/>
        <v>1</v>
      </c>
    </row>
    <row r="276" spans="1:112" ht="16.350000000000001" customHeight="1" x14ac:dyDescent="0.25">
      <c r="A276" s="7520" t="s">
        <v>5312</v>
      </c>
      <c r="B276" s="9743"/>
      <c r="C276" s="9911" t="s">
        <v>1050</v>
      </c>
      <c r="D276" s="9911"/>
      <c r="E276" s="4805" t="s">
        <v>5369</v>
      </c>
      <c r="F276" s="4833" t="s">
        <v>5370</v>
      </c>
      <c r="G276" s="4834" t="s">
        <v>5371</v>
      </c>
      <c r="H276" s="4835" t="s">
        <v>5372</v>
      </c>
      <c r="I276" s="3629" t="s">
        <v>5373</v>
      </c>
      <c r="J276" s="3630" t="s">
        <v>5374</v>
      </c>
      <c r="K276" s="3629" t="s">
        <v>5375</v>
      </c>
      <c r="L276" s="3630" t="s">
        <v>5376</v>
      </c>
      <c r="M276" s="3629" t="s">
        <v>5377</v>
      </c>
      <c r="N276" s="4835" t="s">
        <v>5378</v>
      </c>
      <c r="O276" s="3629" t="s">
        <v>5379</v>
      </c>
      <c r="P276" s="4835" t="s">
        <v>5380</v>
      </c>
      <c r="Q276" s="3629" t="s">
        <v>5381</v>
      </c>
      <c r="R276" s="3630" t="s">
        <v>5382</v>
      </c>
      <c r="S276" s="3629" t="s">
        <v>5383</v>
      </c>
      <c r="T276" s="3630" t="s">
        <v>5384</v>
      </c>
      <c r="U276" s="3629" t="s">
        <v>5385</v>
      </c>
      <c r="V276" s="4835" t="s">
        <v>5386</v>
      </c>
      <c r="W276" s="3629" t="s">
        <v>5387</v>
      </c>
      <c r="X276" s="4835" t="s">
        <v>5388</v>
      </c>
      <c r="Y276" s="3629" t="s">
        <v>5389</v>
      </c>
      <c r="Z276" s="3604" t="s">
        <v>5390</v>
      </c>
      <c r="AA276" s="3122" t="s">
        <v>5391</v>
      </c>
      <c r="AB276" s="3604" t="s">
        <v>5392</v>
      </c>
      <c r="AC276" s="3122" t="s">
        <v>5393</v>
      </c>
      <c r="AD276" s="3604" t="s">
        <v>5394</v>
      </c>
      <c r="AE276" s="3122" t="s">
        <v>5395</v>
      </c>
      <c r="AF276" s="3604" t="s">
        <v>5396</v>
      </c>
      <c r="AG276" s="3122" t="s">
        <v>5397</v>
      </c>
      <c r="AH276" s="3604" t="s">
        <v>5398</v>
      </c>
      <c r="AI276" s="3122" t="s">
        <v>5399</v>
      </c>
      <c r="AJ276" s="3604" t="s">
        <v>5400</v>
      </c>
      <c r="AK276" s="3122" t="s">
        <v>5401</v>
      </c>
      <c r="AL276" s="3604" t="s">
        <v>5402</v>
      </c>
      <c r="AM276" s="3122" t="s">
        <v>5403</v>
      </c>
      <c r="AN276" s="3604" t="s">
        <v>5404</v>
      </c>
      <c r="AO276" s="3122" t="s">
        <v>5405</v>
      </c>
      <c r="AP276" s="3605" t="s">
        <v>5406</v>
      </c>
      <c r="AQ276" s="3606" t="s">
        <v>5407</v>
      </c>
      <c r="AR276" s="4807" t="s">
        <v>5408</v>
      </c>
      <c r="AS276" s="4820" t="s">
        <v>5409</v>
      </c>
      <c r="AT276" s="3616" t="s">
        <v>5410</v>
      </c>
      <c r="AU276" s="3604" t="s">
        <v>5411</v>
      </c>
      <c r="AV276" s="3604" t="s">
        <v>5412</v>
      </c>
      <c r="AW276" s="4794" t="s">
        <v>5413</v>
      </c>
      <c r="AX276" s="4794" t="s">
        <v>5414</v>
      </c>
      <c r="AY276" s="3603" t="s">
        <v>5415</v>
      </c>
      <c r="AZ276" s="4900" t="e">
        <f t="shared" si="139"/>
        <v>#VALUE!</v>
      </c>
      <c r="BV276" s="1430"/>
      <c r="BW276" s="1430"/>
      <c r="BX276" s="1438"/>
      <c r="CB276" s="1435" t="e">
        <f t="shared" si="140"/>
        <v>#VALUE!</v>
      </c>
      <c r="CC276" s="1435" t="str">
        <f t="shared" si="146"/>
        <v/>
      </c>
      <c r="CD276" s="1435" t="str">
        <f t="shared" si="141"/>
        <v/>
      </c>
      <c r="CE276" s="1435" t="str">
        <f t="shared" si="147"/>
        <v xml:space="preserve">* Las Embarazadas NO DEBEN ser mayor al total de Mujeres. </v>
      </c>
      <c r="CF276" s="1435" t="str">
        <f t="shared" si="142"/>
        <v xml:space="preserve">* Los Usuarios en Situación de Discapacidad NO DEBEN ser mayor al total. </v>
      </c>
      <c r="CG276" s="1435"/>
      <c r="CH276" s="1435" t="str">
        <f t="shared" si="143"/>
        <v xml:space="preserve">* Los Migrantes NO DEBEN ser mayor al total. </v>
      </c>
      <c r="DB276" s="1436" t="e">
        <f t="shared" si="148"/>
        <v>#VALUE!</v>
      </c>
      <c r="DC276" s="1436"/>
      <c r="DD276" s="1436"/>
      <c r="DE276" s="1436">
        <f t="shared" si="149"/>
        <v>1</v>
      </c>
      <c r="DF276" s="1436">
        <f t="shared" si="144"/>
        <v>1</v>
      </c>
      <c r="DG276" s="1436"/>
      <c r="DH276" s="1436">
        <f t="shared" si="145"/>
        <v>1</v>
      </c>
    </row>
    <row r="277" spans="1:112" ht="16.350000000000001" customHeight="1" x14ac:dyDescent="0.25">
      <c r="A277" s="7520" t="s">
        <v>5313</v>
      </c>
      <c r="B277" s="9965" t="s">
        <v>1055</v>
      </c>
      <c r="C277" s="9903" t="s">
        <v>1054</v>
      </c>
      <c r="D277" s="9903"/>
      <c r="E277" s="3247" t="s">
        <v>5369</v>
      </c>
      <c r="F277" s="4836" t="s">
        <v>5370</v>
      </c>
      <c r="G277" s="4837" t="s">
        <v>5371</v>
      </c>
      <c r="H277" s="3634" t="s">
        <v>5372</v>
      </c>
      <c r="I277" s="3633" t="s">
        <v>5373</v>
      </c>
      <c r="J277" s="4839" t="s">
        <v>5374</v>
      </c>
      <c r="K277" s="3633" t="s">
        <v>5375</v>
      </c>
      <c r="L277" s="4839" t="s">
        <v>5376</v>
      </c>
      <c r="M277" s="3633" t="s">
        <v>5377</v>
      </c>
      <c r="N277" s="4839" t="s">
        <v>5378</v>
      </c>
      <c r="O277" s="3633" t="s">
        <v>5379</v>
      </c>
      <c r="P277" s="4839" t="s">
        <v>5380</v>
      </c>
      <c r="Q277" s="3633" t="s">
        <v>5381</v>
      </c>
      <c r="R277" s="4839" t="s">
        <v>5382</v>
      </c>
      <c r="S277" s="3633" t="s">
        <v>5383</v>
      </c>
      <c r="T277" s="4839" t="s">
        <v>5384</v>
      </c>
      <c r="U277" s="3633" t="s">
        <v>5385</v>
      </c>
      <c r="V277" s="4839" t="s">
        <v>5386</v>
      </c>
      <c r="W277" s="3633" t="s">
        <v>5387</v>
      </c>
      <c r="X277" s="4839" t="s">
        <v>5388</v>
      </c>
      <c r="Y277" s="3633" t="s">
        <v>5389</v>
      </c>
      <c r="Z277" s="4796" t="s">
        <v>5390</v>
      </c>
      <c r="AA277" s="2925" t="s">
        <v>5391</v>
      </c>
      <c r="AB277" s="4796" t="s">
        <v>5392</v>
      </c>
      <c r="AC277" s="2925" t="s">
        <v>5393</v>
      </c>
      <c r="AD277" s="4796" t="s">
        <v>5394</v>
      </c>
      <c r="AE277" s="2925" t="s">
        <v>5395</v>
      </c>
      <c r="AF277" s="4796" t="s">
        <v>5396</v>
      </c>
      <c r="AG277" s="2925" t="s">
        <v>5397</v>
      </c>
      <c r="AH277" s="4796" t="s">
        <v>5398</v>
      </c>
      <c r="AI277" s="2925" t="s">
        <v>5399</v>
      </c>
      <c r="AJ277" s="4796" t="s">
        <v>5400</v>
      </c>
      <c r="AK277" s="2925" t="s">
        <v>5401</v>
      </c>
      <c r="AL277" s="4796" t="s">
        <v>5402</v>
      </c>
      <c r="AM277" s="2925" t="s">
        <v>5403</v>
      </c>
      <c r="AN277" s="4796" t="s">
        <v>5404</v>
      </c>
      <c r="AO277" s="2925" t="s">
        <v>5405</v>
      </c>
      <c r="AP277" s="3608" t="s">
        <v>5406</v>
      </c>
      <c r="AQ277" s="1814" t="s">
        <v>5407</v>
      </c>
      <c r="AR277" s="3508" t="s">
        <v>5408</v>
      </c>
      <c r="AS277" s="3609" t="s">
        <v>5409</v>
      </c>
      <c r="AT277" s="4783" t="s">
        <v>5410</v>
      </c>
      <c r="AU277" s="4796" t="s">
        <v>5411</v>
      </c>
      <c r="AV277" s="4796" t="s">
        <v>5412</v>
      </c>
      <c r="AW277" s="3609" t="s">
        <v>5413</v>
      </c>
      <c r="AX277" s="3609" t="s">
        <v>5414</v>
      </c>
      <c r="AY277" s="3607" t="s">
        <v>5415</v>
      </c>
      <c r="AZ277" s="4900" t="e">
        <f t="shared" si="139"/>
        <v>#VALUE!</v>
      </c>
      <c r="BV277" s="1430"/>
      <c r="BW277" s="1430"/>
      <c r="BX277" s="1438"/>
      <c r="CB277" s="1435" t="e">
        <f t="shared" si="140"/>
        <v>#VALUE!</v>
      </c>
      <c r="CC277" s="1435" t="str">
        <f t="shared" si="146"/>
        <v xml:space="preserve">* La consulta pertinente según Protocolo de Referencia NO DEBE ser mayor al Total registrado. </v>
      </c>
      <c r="CD277" s="1435" t="str">
        <f t="shared" si="141"/>
        <v xml:space="preserve">* La consulta pertinente según condición clínica NO DEBE ser mayor al Total registrado. </v>
      </c>
      <c r="CE277" s="1435" t="str">
        <f t="shared" si="147"/>
        <v xml:space="preserve">* Las Embarazadas NO DEBEN ser mayor al total de Mujeres. </v>
      </c>
      <c r="CF277" s="1435" t="str">
        <f t="shared" si="142"/>
        <v xml:space="preserve">* Los Usuarios en Situación de Discapacidad NO DEBEN ser mayor al total. </v>
      </c>
      <c r="CG277" s="1435"/>
      <c r="CH277" s="1435" t="str">
        <f t="shared" si="143"/>
        <v xml:space="preserve">* Los Migrantes NO DEBEN ser mayor al total. </v>
      </c>
      <c r="DB277" s="1436" t="e">
        <f t="shared" si="148"/>
        <v>#VALUE!</v>
      </c>
      <c r="DC277" s="1436">
        <f>IF(E277&lt;AR277,1,0)</f>
        <v>1</v>
      </c>
      <c r="DD277" s="1436">
        <f>IF(E277&lt;AS277,1,0)</f>
        <v>1</v>
      </c>
      <c r="DE277" s="1436">
        <f t="shared" si="149"/>
        <v>1</v>
      </c>
      <c r="DF277" s="1436">
        <f t="shared" si="144"/>
        <v>1</v>
      </c>
      <c r="DG277" s="1436"/>
      <c r="DH277" s="1436">
        <f t="shared" si="145"/>
        <v>1</v>
      </c>
    </row>
    <row r="278" spans="1:112" ht="16.350000000000001" customHeight="1" x14ac:dyDescent="0.25">
      <c r="A278" s="7520" t="s">
        <v>5314</v>
      </c>
      <c r="B278" s="9823"/>
      <c r="C278" s="9835" t="s">
        <v>1053</v>
      </c>
      <c r="D278" s="9835"/>
      <c r="E278" s="4766" t="s">
        <v>5369</v>
      </c>
      <c r="F278" s="4827" t="s">
        <v>5370</v>
      </c>
      <c r="G278" s="4828" t="s">
        <v>5371</v>
      </c>
      <c r="H278" s="4789" t="s">
        <v>5372</v>
      </c>
      <c r="I278" s="1823" t="s">
        <v>5373</v>
      </c>
      <c r="J278" s="4831" t="s">
        <v>5374</v>
      </c>
      <c r="K278" s="1823" t="s">
        <v>5375</v>
      </c>
      <c r="L278" s="4831" t="s">
        <v>5376</v>
      </c>
      <c r="M278" s="1823" t="s">
        <v>5377</v>
      </c>
      <c r="N278" s="4831" t="s">
        <v>5378</v>
      </c>
      <c r="O278" s="1823" t="s">
        <v>5379</v>
      </c>
      <c r="P278" s="4831" t="s">
        <v>5380</v>
      </c>
      <c r="Q278" s="1823" t="s">
        <v>5381</v>
      </c>
      <c r="R278" s="4831" t="s">
        <v>5382</v>
      </c>
      <c r="S278" s="1823" t="s">
        <v>5383</v>
      </c>
      <c r="T278" s="4831" t="s">
        <v>5384</v>
      </c>
      <c r="U278" s="1823" t="s">
        <v>5385</v>
      </c>
      <c r="V278" s="4831" t="s">
        <v>5386</v>
      </c>
      <c r="W278" s="1823" t="s">
        <v>5387</v>
      </c>
      <c r="X278" s="4831" t="s">
        <v>5388</v>
      </c>
      <c r="Y278" s="1823" t="s">
        <v>5389</v>
      </c>
      <c r="Z278" s="4799" t="s">
        <v>5390</v>
      </c>
      <c r="AA278" s="2926" t="s">
        <v>5391</v>
      </c>
      <c r="AB278" s="4799" t="s">
        <v>5392</v>
      </c>
      <c r="AC278" s="2926" t="s">
        <v>5393</v>
      </c>
      <c r="AD278" s="4799" t="s">
        <v>5394</v>
      </c>
      <c r="AE278" s="2926" t="s">
        <v>5395</v>
      </c>
      <c r="AF278" s="4799" t="s">
        <v>5396</v>
      </c>
      <c r="AG278" s="2926" t="s">
        <v>5397</v>
      </c>
      <c r="AH278" s="4799" t="s">
        <v>5398</v>
      </c>
      <c r="AI278" s="2926" t="s">
        <v>5399</v>
      </c>
      <c r="AJ278" s="4799" t="s">
        <v>5400</v>
      </c>
      <c r="AK278" s="2926" t="s">
        <v>5401</v>
      </c>
      <c r="AL278" s="4799" t="s">
        <v>5402</v>
      </c>
      <c r="AM278" s="2926" t="s">
        <v>5403</v>
      </c>
      <c r="AN278" s="4799" t="s">
        <v>5404</v>
      </c>
      <c r="AO278" s="2926" t="s">
        <v>5405</v>
      </c>
      <c r="AP278" s="1818" t="s">
        <v>5406</v>
      </c>
      <c r="AQ278" s="1819" t="s">
        <v>5407</v>
      </c>
      <c r="AR278" s="4789" t="s">
        <v>5408</v>
      </c>
      <c r="AS278" s="4810" t="s">
        <v>5409</v>
      </c>
      <c r="AT278" s="3508" t="s">
        <v>5410</v>
      </c>
      <c r="AU278" s="4799" t="s">
        <v>5411</v>
      </c>
      <c r="AV278" s="4799" t="s">
        <v>5412</v>
      </c>
      <c r="AW278" s="4800" t="s">
        <v>5413</v>
      </c>
      <c r="AX278" s="4800" t="s">
        <v>5414</v>
      </c>
      <c r="AY278" s="1816" t="s">
        <v>5415</v>
      </c>
      <c r="AZ278" s="4900" t="e">
        <f t="shared" si="139"/>
        <v>#VALUE!</v>
      </c>
      <c r="BV278" s="1430"/>
      <c r="BW278" s="1430"/>
      <c r="BX278" s="1438"/>
      <c r="CB278" s="1435" t="e">
        <f t="shared" si="140"/>
        <v>#VALUE!</v>
      </c>
      <c r="CC278" s="1435" t="str">
        <f t="shared" si="146"/>
        <v/>
      </c>
      <c r="CD278" s="1435" t="str">
        <f t="shared" si="141"/>
        <v/>
      </c>
      <c r="CE278" s="1435" t="str">
        <f t="shared" si="147"/>
        <v xml:space="preserve">* Las Embarazadas NO DEBEN ser mayor al total de Mujeres. </v>
      </c>
      <c r="CF278" s="1435" t="str">
        <f t="shared" si="142"/>
        <v xml:space="preserve">* Los Usuarios en Situación de Discapacidad NO DEBEN ser mayor al total. </v>
      </c>
      <c r="CG278" s="1435"/>
      <c r="CH278" s="1435" t="str">
        <f t="shared" si="143"/>
        <v xml:space="preserve">* Los Migrantes NO DEBEN ser mayor al total. </v>
      </c>
      <c r="DB278" s="1436" t="e">
        <f t="shared" si="148"/>
        <v>#VALUE!</v>
      </c>
      <c r="DC278" s="1436"/>
      <c r="DD278" s="1436"/>
      <c r="DE278" s="1436">
        <f t="shared" si="149"/>
        <v>1</v>
      </c>
      <c r="DF278" s="1436">
        <f t="shared" si="144"/>
        <v>1</v>
      </c>
      <c r="DG278" s="1436"/>
      <c r="DH278" s="1436">
        <f t="shared" si="145"/>
        <v>1</v>
      </c>
    </row>
    <row r="279" spans="1:112" ht="16.350000000000001" customHeight="1" x14ac:dyDescent="0.25">
      <c r="A279" s="7520" t="s">
        <v>5315</v>
      </c>
      <c r="B279" s="9823"/>
      <c r="C279" s="9835" t="s">
        <v>1052</v>
      </c>
      <c r="D279" s="9835"/>
      <c r="E279" s="4766" t="s">
        <v>5369</v>
      </c>
      <c r="F279" s="4827" t="s">
        <v>5370</v>
      </c>
      <c r="G279" s="4828" t="s">
        <v>5371</v>
      </c>
      <c r="H279" s="4789" t="s">
        <v>5372</v>
      </c>
      <c r="I279" s="1823" t="s">
        <v>5373</v>
      </c>
      <c r="J279" s="4831" t="s">
        <v>5374</v>
      </c>
      <c r="K279" s="1823" t="s">
        <v>5375</v>
      </c>
      <c r="L279" s="4831" t="s">
        <v>5376</v>
      </c>
      <c r="M279" s="1823" t="s">
        <v>5377</v>
      </c>
      <c r="N279" s="4831" t="s">
        <v>5378</v>
      </c>
      <c r="O279" s="1823" t="s">
        <v>5379</v>
      </c>
      <c r="P279" s="4831" t="s">
        <v>5380</v>
      </c>
      <c r="Q279" s="1823" t="s">
        <v>5381</v>
      </c>
      <c r="R279" s="4831" t="s">
        <v>5382</v>
      </c>
      <c r="S279" s="1823" t="s">
        <v>5383</v>
      </c>
      <c r="T279" s="4831" t="s">
        <v>5384</v>
      </c>
      <c r="U279" s="1823" t="s">
        <v>5385</v>
      </c>
      <c r="V279" s="4831" t="s">
        <v>5386</v>
      </c>
      <c r="W279" s="1823" t="s">
        <v>5387</v>
      </c>
      <c r="X279" s="4831" t="s">
        <v>5388</v>
      </c>
      <c r="Y279" s="1823" t="s">
        <v>5389</v>
      </c>
      <c r="Z279" s="4799" t="s">
        <v>5390</v>
      </c>
      <c r="AA279" s="2926" t="s">
        <v>5391</v>
      </c>
      <c r="AB279" s="4799" t="s">
        <v>5392</v>
      </c>
      <c r="AC279" s="2926" t="s">
        <v>5393</v>
      </c>
      <c r="AD279" s="4799" t="s">
        <v>5394</v>
      </c>
      <c r="AE279" s="2926" t="s">
        <v>5395</v>
      </c>
      <c r="AF279" s="4799" t="s">
        <v>5396</v>
      </c>
      <c r="AG279" s="2926" t="s">
        <v>5397</v>
      </c>
      <c r="AH279" s="4799" t="s">
        <v>5398</v>
      </c>
      <c r="AI279" s="2926" t="s">
        <v>5399</v>
      </c>
      <c r="AJ279" s="4799" t="s">
        <v>5400</v>
      </c>
      <c r="AK279" s="2926" t="s">
        <v>5401</v>
      </c>
      <c r="AL279" s="4799" t="s">
        <v>5402</v>
      </c>
      <c r="AM279" s="2926" t="s">
        <v>5403</v>
      </c>
      <c r="AN279" s="4799" t="s">
        <v>5404</v>
      </c>
      <c r="AO279" s="2926" t="s">
        <v>5405</v>
      </c>
      <c r="AP279" s="1818" t="s">
        <v>5406</v>
      </c>
      <c r="AQ279" s="1819" t="s">
        <v>5407</v>
      </c>
      <c r="AR279" s="4789" t="s">
        <v>5408</v>
      </c>
      <c r="AS279" s="4810" t="s">
        <v>5409</v>
      </c>
      <c r="AT279" s="4810" t="s">
        <v>5410</v>
      </c>
      <c r="AU279" s="4799" t="s">
        <v>5411</v>
      </c>
      <c r="AV279" s="4799" t="s">
        <v>5412</v>
      </c>
      <c r="AW279" s="4800" t="s">
        <v>5413</v>
      </c>
      <c r="AX279" s="4800" t="s">
        <v>5414</v>
      </c>
      <c r="AY279" s="1816" t="s">
        <v>5415</v>
      </c>
      <c r="AZ279" s="4900" t="e">
        <f t="shared" si="139"/>
        <v>#VALUE!</v>
      </c>
      <c r="BV279" s="1430"/>
      <c r="BW279" s="1430"/>
      <c r="BX279" s="1438"/>
      <c r="CB279" s="1435" t="e">
        <f t="shared" si="140"/>
        <v>#VALUE!</v>
      </c>
      <c r="CC279" s="1435" t="str">
        <f t="shared" si="146"/>
        <v/>
      </c>
      <c r="CD279" s="1435" t="str">
        <f t="shared" si="141"/>
        <v/>
      </c>
      <c r="CE279" s="1435" t="str">
        <f t="shared" si="147"/>
        <v xml:space="preserve">* Las Embarazadas NO DEBEN ser mayor al total de Mujeres. </v>
      </c>
      <c r="CF279" s="1435" t="str">
        <f t="shared" si="142"/>
        <v xml:space="preserve">* Los Usuarios en Situación de Discapacidad NO DEBEN ser mayor al total. </v>
      </c>
      <c r="CG279" s="1435"/>
      <c r="CH279" s="1435" t="str">
        <f t="shared" si="143"/>
        <v xml:space="preserve">* Los Migrantes NO DEBEN ser mayor al total. </v>
      </c>
      <c r="DB279" s="1436" t="e">
        <f t="shared" si="148"/>
        <v>#VALUE!</v>
      </c>
      <c r="DC279" s="1436"/>
      <c r="DD279" s="1436"/>
      <c r="DE279" s="1436">
        <f t="shared" si="149"/>
        <v>1</v>
      </c>
      <c r="DF279" s="1436">
        <f t="shared" si="144"/>
        <v>1</v>
      </c>
      <c r="DG279" s="1436"/>
      <c r="DH279" s="1436">
        <f t="shared" si="145"/>
        <v>1</v>
      </c>
    </row>
    <row r="280" spans="1:112" ht="16.350000000000001" customHeight="1" x14ac:dyDescent="0.25">
      <c r="A280" s="7520" t="s">
        <v>5316</v>
      </c>
      <c r="B280" s="9823"/>
      <c r="C280" s="9835" t="s">
        <v>1051</v>
      </c>
      <c r="D280" s="9835"/>
      <c r="E280" s="4766" t="s">
        <v>5369</v>
      </c>
      <c r="F280" s="4840" t="s">
        <v>5370</v>
      </c>
      <c r="G280" s="4841" t="s">
        <v>5371</v>
      </c>
      <c r="H280" s="4789" t="s">
        <v>5372</v>
      </c>
      <c r="I280" s="1823" t="s">
        <v>5373</v>
      </c>
      <c r="J280" s="4831" t="s">
        <v>5374</v>
      </c>
      <c r="K280" s="1823" t="s">
        <v>5375</v>
      </c>
      <c r="L280" s="4831" t="s">
        <v>5376</v>
      </c>
      <c r="M280" s="1823" t="s">
        <v>5377</v>
      </c>
      <c r="N280" s="4831" t="s">
        <v>5378</v>
      </c>
      <c r="O280" s="1823" t="s">
        <v>5379</v>
      </c>
      <c r="P280" s="4831" t="s">
        <v>5380</v>
      </c>
      <c r="Q280" s="1823" t="s">
        <v>5381</v>
      </c>
      <c r="R280" s="4831" t="s">
        <v>5382</v>
      </c>
      <c r="S280" s="1823" t="s">
        <v>5383</v>
      </c>
      <c r="T280" s="4831" t="s">
        <v>5384</v>
      </c>
      <c r="U280" s="1823" t="s">
        <v>5385</v>
      </c>
      <c r="V280" s="4831" t="s">
        <v>5386</v>
      </c>
      <c r="W280" s="1823" t="s">
        <v>5387</v>
      </c>
      <c r="X280" s="4831" t="s">
        <v>5388</v>
      </c>
      <c r="Y280" s="1823" t="s">
        <v>5389</v>
      </c>
      <c r="Z280" s="4799" t="s">
        <v>5390</v>
      </c>
      <c r="AA280" s="2926" t="s">
        <v>5391</v>
      </c>
      <c r="AB280" s="4799" t="s">
        <v>5392</v>
      </c>
      <c r="AC280" s="2926" t="s">
        <v>5393</v>
      </c>
      <c r="AD280" s="4799" t="s">
        <v>5394</v>
      </c>
      <c r="AE280" s="2926" t="s">
        <v>5395</v>
      </c>
      <c r="AF280" s="4799" t="s">
        <v>5396</v>
      </c>
      <c r="AG280" s="2926" t="s">
        <v>5397</v>
      </c>
      <c r="AH280" s="4799" t="s">
        <v>5398</v>
      </c>
      <c r="AI280" s="2926" t="s">
        <v>5399</v>
      </c>
      <c r="AJ280" s="4799" t="s">
        <v>5400</v>
      </c>
      <c r="AK280" s="2926" t="s">
        <v>5401</v>
      </c>
      <c r="AL280" s="4799" t="s">
        <v>5402</v>
      </c>
      <c r="AM280" s="2926" t="s">
        <v>5403</v>
      </c>
      <c r="AN280" s="4799" t="s">
        <v>5404</v>
      </c>
      <c r="AO280" s="2926" t="s">
        <v>5405</v>
      </c>
      <c r="AP280" s="3612" t="s">
        <v>5406</v>
      </c>
      <c r="AQ280" s="3613" t="s">
        <v>5407</v>
      </c>
      <c r="AR280" s="4789" t="s">
        <v>5408</v>
      </c>
      <c r="AS280" s="4810" t="s">
        <v>5409</v>
      </c>
      <c r="AT280" s="4810" t="s">
        <v>5410</v>
      </c>
      <c r="AU280" s="3611" t="s">
        <v>5411</v>
      </c>
      <c r="AV280" s="3611" t="s">
        <v>5412</v>
      </c>
      <c r="AW280" s="4804" t="s">
        <v>5413</v>
      </c>
      <c r="AX280" s="4804" t="s">
        <v>5414</v>
      </c>
      <c r="AY280" s="3610" t="s">
        <v>5415</v>
      </c>
      <c r="AZ280" s="4900" t="e">
        <f t="shared" si="139"/>
        <v>#VALUE!</v>
      </c>
      <c r="BV280" s="1430"/>
      <c r="BW280" s="1430"/>
      <c r="BX280" s="1438"/>
      <c r="CB280" s="1435" t="e">
        <f t="shared" si="140"/>
        <v>#VALUE!</v>
      </c>
      <c r="CC280" s="1435" t="str">
        <f t="shared" si="146"/>
        <v/>
      </c>
      <c r="CD280" s="1435" t="str">
        <f t="shared" si="141"/>
        <v/>
      </c>
      <c r="CE280" s="1435" t="str">
        <f t="shared" si="147"/>
        <v xml:space="preserve">* Las Embarazadas NO DEBEN ser mayor al total de Mujeres. </v>
      </c>
      <c r="CF280" s="1435" t="str">
        <f t="shared" si="142"/>
        <v xml:space="preserve">* Los Usuarios en Situación de Discapacidad NO DEBEN ser mayor al total. </v>
      </c>
      <c r="CG280" s="1435"/>
      <c r="CH280" s="1435" t="str">
        <f t="shared" si="143"/>
        <v xml:space="preserve">* Los Migrantes NO DEBEN ser mayor al total. </v>
      </c>
      <c r="DB280" s="1436" t="e">
        <f t="shared" si="148"/>
        <v>#VALUE!</v>
      </c>
      <c r="DC280" s="1436"/>
      <c r="DD280" s="1436"/>
      <c r="DE280" s="1436">
        <f t="shared" si="149"/>
        <v>1</v>
      </c>
      <c r="DF280" s="1436">
        <f t="shared" si="144"/>
        <v>1</v>
      </c>
      <c r="DG280" s="1436"/>
      <c r="DH280" s="1436">
        <f t="shared" si="145"/>
        <v>1</v>
      </c>
    </row>
    <row r="281" spans="1:112" ht="16.350000000000001" customHeight="1" x14ac:dyDescent="0.25">
      <c r="A281" s="7520" t="s">
        <v>5095</v>
      </c>
      <c r="B281" s="9823"/>
      <c r="C281" s="9862" t="s">
        <v>2140</v>
      </c>
      <c r="D281" s="9863"/>
      <c r="E281" s="4766" t="s">
        <v>5369</v>
      </c>
      <c r="F281" s="4840" t="s">
        <v>5370</v>
      </c>
      <c r="G281" s="4841" t="s">
        <v>5371</v>
      </c>
      <c r="H281" s="3635" t="s">
        <v>5372</v>
      </c>
      <c r="I281" s="3636" t="s">
        <v>5373</v>
      </c>
      <c r="J281" s="3637" t="s">
        <v>5374</v>
      </c>
      <c r="K281" s="3636" t="s">
        <v>5375</v>
      </c>
      <c r="L281" s="3637" t="s">
        <v>5376</v>
      </c>
      <c r="M281" s="3636" t="s">
        <v>5377</v>
      </c>
      <c r="N281" s="3637" t="s">
        <v>5378</v>
      </c>
      <c r="O281" s="3636" t="s">
        <v>5379</v>
      </c>
      <c r="P281" s="3637" t="s">
        <v>5380</v>
      </c>
      <c r="Q281" s="3636" t="s">
        <v>5381</v>
      </c>
      <c r="R281" s="3637" t="s">
        <v>5382</v>
      </c>
      <c r="S281" s="3636" t="s">
        <v>5383</v>
      </c>
      <c r="T281" s="3637" t="s">
        <v>5384</v>
      </c>
      <c r="U281" s="3636" t="s">
        <v>5385</v>
      </c>
      <c r="V281" s="3637" t="s">
        <v>5386</v>
      </c>
      <c r="W281" s="3636" t="s">
        <v>5387</v>
      </c>
      <c r="X281" s="3637" t="s">
        <v>5388</v>
      </c>
      <c r="Y281" s="3636" t="s">
        <v>5389</v>
      </c>
      <c r="Z281" s="3611" t="s">
        <v>5390</v>
      </c>
      <c r="AA281" s="4802" t="s">
        <v>5391</v>
      </c>
      <c r="AB281" s="3611" t="s">
        <v>5392</v>
      </c>
      <c r="AC281" s="4802" t="s">
        <v>5393</v>
      </c>
      <c r="AD281" s="3611" t="s">
        <v>5394</v>
      </c>
      <c r="AE281" s="4802" t="s">
        <v>5395</v>
      </c>
      <c r="AF281" s="3611" t="s">
        <v>5396</v>
      </c>
      <c r="AG281" s="4802" t="s">
        <v>5397</v>
      </c>
      <c r="AH281" s="3611" t="s">
        <v>5398</v>
      </c>
      <c r="AI281" s="4802" t="s">
        <v>5399</v>
      </c>
      <c r="AJ281" s="3611" t="s">
        <v>5400</v>
      </c>
      <c r="AK281" s="4802" t="s">
        <v>5401</v>
      </c>
      <c r="AL281" s="3611" t="s">
        <v>5402</v>
      </c>
      <c r="AM281" s="4802" t="s">
        <v>5403</v>
      </c>
      <c r="AN281" s="3611" t="s">
        <v>5404</v>
      </c>
      <c r="AO281" s="4802" t="s">
        <v>5405</v>
      </c>
      <c r="AP281" s="3612" t="s">
        <v>5406</v>
      </c>
      <c r="AQ281" s="3613" t="s">
        <v>5407</v>
      </c>
      <c r="AR281" s="4803" t="s">
        <v>5408</v>
      </c>
      <c r="AS281" s="4818" t="s">
        <v>5409</v>
      </c>
      <c r="AT281" s="3614" t="s">
        <v>5410</v>
      </c>
      <c r="AU281" s="3611" t="s">
        <v>5411</v>
      </c>
      <c r="AV281" s="3611" t="s">
        <v>5412</v>
      </c>
      <c r="AW281" s="4804" t="s">
        <v>5413</v>
      </c>
      <c r="AX281" s="4804" t="s">
        <v>5414</v>
      </c>
      <c r="AY281" s="3610" t="s">
        <v>5415</v>
      </c>
      <c r="AZ281" s="4900" t="e">
        <f t="shared" si="139"/>
        <v>#VALUE!</v>
      </c>
      <c r="BV281" s="1430"/>
      <c r="BW281" s="1430"/>
      <c r="BX281" s="1438"/>
      <c r="CB281" s="1435" t="e">
        <f t="shared" si="140"/>
        <v>#VALUE!</v>
      </c>
      <c r="CC281" s="1435" t="str">
        <f t="shared" si="146"/>
        <v/>
      </c>
      <c r="CD281" s="1435" t="str">
        <f t="shared" si="141"/>
        <v/>
      </c>
      <c r="CE281" s="1435" t="str">
        <f t="shared" si="147"/>
        <v xml:space="preserve">* Las Embarazadas NO DEBEN ser mayor al total de Mujeres. </v>
      </c>
      <c r="CF281" s="1435" t="str">
        <f t="shared" si="142"/>
        <v xml:space="preserve">* Los Usuarios en Situación de Discapacidad NO DEBEN ser mayor al total. </v>
      </c>
      <c r="CG281" s="1435"/>
      <c r="CH281" s="1435" t="str">
        <f t="shared" si="143"/>
        <v xml:space="preserve">* Los Migrantes NO DEBEN ser mayor al total. </v>
      </c>
      <c r="DB281" s="1436" t="e">
        <f t="shared" si="148"/>
        <v>#VALUE!</v>
      </c>
      <c r="DC281" s="1436"/>
      <c r="DD281" s="1436"/>
      <c r="DE281" s="1436">
        <f t="shared" si="149"/>
        <v>1</v>
      </c>
      <c r="DF281" s="1436">
        <f t="shared" si="144"/>
        <v>1</v>
      </c>
      <c r="DG281" s="1436"/>
      <c r="DH281" s="1436">
        <f t="shared" si="145"/>
        <v>1</v>
      </c>
    </row>
    <row r="282" spans="1:112" ht="16.350000000000001" customHeight="1" x14ac:dyDescent="0.25">
      <c r="A282" s="7520" t="s">
        <v>5317</v>
      </c>
      <c r="B282" s="9824"/>
      <c r="C282" s="9911" t="s">
        <v>1050</v>
      </c>
      <c r="D282" s="9911"/>
      <c r="E282" s="4815" t="s">
        <v>5369</v>
      </c>
      <c r="F282" s="3619" t="s">
        <v>5370</v>
      </c>
      <c r="G282" s="3638" t="s">
        <v>5371</v>
      </c>
      <c r="H282" s="4817" t="s">
        <v>5372</v>
      </c>
      <c r="I282" s="3639" t="s">
        <v>5373</v>
      </c>
      <c r="J282" s="3640" t="s">
        <v>5374</v>
      </c>
      <c r="K282" s="3639" t="s">
        <v>5375</v>
      </c>
      <c r="L282" s="3640" t="s">
        <v>5376</v>
      </c>
      <c r="M282" s="3639" t="s">
        <v>5377</v>
      </c>
      <c r="N282" s="3640" t="s">
        <v>5378</v>
      </c>
      <c r="O282" s="3639" t="s">
        <v>5379</v>
      </c>
      <c r="P282" s="3640" t="s">
        <v>5380</v>
      </c>
      <c r="Q282" s="3639" t="s">
        <v>5381</v>
      </c>
      <c r="R282" s="3640" t="s">
        <v>5382</v>
      </c>
      <c r="S282" s="3639" t="s">
        <v>5383</v>
      </c>
      <c r="T282" s="3640" t="s">
        <v>5384</v>
      </c>
      <c r="U282" s="3639" t="s">
        <v>5385</v>
      </c>
      <c r="V282" s="3640" t="s">
        <v>5386</v>
      </c>
      <c r="W282" s="3639" t="s">
        <v>5387</v>
      </c>
      <c r="X282" s="3640" t="s">
        <v>5388</v>
      </c>
      <c r="Y282" s="3639" t="s">
        <v>5389</v>
      </c>
      <c r="Z282" s="3604" t="s">
        <v>5390</v>
      </c>
      <c r="AA282" s="3122" t="s">
        <v>5391</v>
      </c>
      <c r="AB282" s="3604" t="s">
        <v>5392</v>
      </c>
      <c r="AC282" s="3122" t="s">
        <v>5393</v>
      </c>
      <c r="AD282" s="3604" t="s">
        <v>5394</v>
      </c>
      <c r="AE282" s="3122" t="s">
        <v>5395</v>
      </c>
      <c r="AF282" s="3604" t="s">
        <v>5396</v>
      </c>
      <c r="AG282" s="3122" t="s">
        <v>5397</v>
      </c>
      <c r="AH282" s="3604" t="s">
        <v>5398</v>
      </c>
      <c r="AI282" s="3122" t="s">
        <v>5399</v>
      </c>
      <c r="AJ282" s="3604" t="s">
        <v>5400</v>
      </c>
      <c r="AK282" s="3122" t="s">
        <v>5401</v>
      </c>
      <c r="AL282" s="3604" t="s">
        <v>5402</v>
      </c>
      <c r="AM282" s="3122" t="s">
        <v>5403</v>
      </c>
      <c r="AN282" s="3604" t="s">
        <v>5404</v>
      </c>
      <c r="AO282" s="3122" t="s">
        <v>5405</v>
      </c>
      <c r="AP282" s="3605" t="s">
        <v>5406</v>
      </c>
      <c r="AQ282" s="3606" t="s">
        <v>5407</v>
      </c>
      <c r="AR282" s="4807" t="s">
        <v>5408</v>
      </c>
      <c r="AS282" s="4820" t="s">
        <v>5409</v>
      </c>
      <c r="AT282" s="3616" t="s">
        <v>5410</v>
      </c>
      <c r="AU282" s="3604" t="s">
        <v>5411</v>
      </c>
      <c r="AV282" s="3604" t="s">
        <v>5412</v>
      </c>
      <c r="AW282" s="4794" t="s">
        <v>5413</v>
      </c>
      <c r="AX282" s="4794" t="s">
        <v>5414</v>
      </c>
      <c r="AY282" s="3603" t="s">
        <v>5415</v>
      </c>
      <c r="AZ282" s="4900" t="e">
        <f t="shared" si="139"/>
        <v>#VALUE!</v>
      </c>
      <c r="BV282" s="1430"/>
      <c r="BW282" s="1430"/>
      <c r="BX282" s="1438"/>
      <c r="CB282" s="1435" t="e">
        <f t="shared" si="140"/>
        <v>#VALUE!</v>
      </c>
      <c r="CC282" s="1435" t="str">
        <f t="shared" si="146"/>
        <v/>
      </c>
      <c r="CD282" s="1435" t="str">
        <f t="shared" si="141"/>
        <v/>
      </c>
      <c r="CE282" s="1435" t="str">
        <f t="shared" si="147"/>
        <v xml:space="preserve">* Las Embarazadas NO DEBEN ser mayor al total de Mujeres. </v>
      </c>
      <c r="CF282" s="1435" t="str">
        <f t="shared" si="142"/>
        <v xml:space="preserve">* Los Usuarios en Situación de Discapacidad NO DEBEN ser mayor al total. </v>
      </c>
      <c r="CG282" s="1435"/>
      <c r="CH282" s="1435" t="str">
        <f t="shared" si="143"/>
        <v xml:space="preserve">* Los Migrantes NO DEBEN ser mayor al total. </v>
      </c>
      <c r="DB282" s="1436" t="e">
        <f t="shared" si="148"/>
        <v>#VALUE!</v>
      </c>
      <c r="DC282" s="1436"/>
      <c r="DD282" s="1436"/>
      <c r="DE282" s="1436">
        <f t="shared" si="149"/>
        <v>1</v>
      </c>
      <c r="DF282" s="1436">
        <f t="shared" si="144"/>
        <v>1</v>
      </c>
      <c r="DG282" s="1436"/>
      <c r="DH282" s="1436">
        <f t="shared" si="145"/>
        <v>1</v>
      </c>
    </row>
    <row r="283" spans="1:112" ht="16.350000000000001" customHeight="1" x14ac:dyDescent="0.25">
      <c r="A283" s="7520" t="s">
        <v>5318</v>
      </c>
      <c r="B283" s="9944" t="s">
        <v>1028</v>
      </c>
      <c r="C283" s="9903" t="s">
        <v>1054</v>
      </c>
      <c r="D283" s="9903"/>
      <c r="E283" s="3247" t="s">
        <v>5369</v>
      </c>
      <c r="F283" s="3485" t="s">
        <v>5370</v>
      </c>
      <c r="G283" s="4795" t="s">
        <v>5371</v>
      </c>
      <c r="H283" s="3508" t="s">
        <v>5372</v>
      </c>
      <c r="I283" s="3607" t="s">
        <v>5373</v>
      </c>
      <c r="J283" s="4796" t="s">
        <v>5374</v>
      </c>
      <c r="K283" s="3607" t="s">
        <v>5375</v>
      </c>
      <c r="L283" s="4796" t="s">
        <v>5376</v>
      </c>
      <c r="M283" s="3607" t="s">
        <v>5377</v>
      </c>
      <c r="N283" s="4796" t="s">
        <v>5378</v>
      </c>
      <c r="O283" s="3607" t="s">
        <v>5379</v>
      </c>
      <c r="P283" s="4796" t="s">
        <v>5380</v>
      </c>
      <c r="Q283" s="3607" t="s">
        <v>5381</v>
      </c>
      <c r="R283" s="4796" t="s">
        <v>5382</v>
      </c>
      <c r="S283" s="3607" t="s">
        <v>5383</v>
      </c>
      <c r="T283" s="4796" t="s">
        <v>5384</v>
      </c>
      <c r="U283" s="3607" t="s">
        <v>5385</v>
      </c>
      <c r="V283" s="4796" t="s">
        <v>5386</v>
      </c>
      <c r="W283" s="2925" t="s">
        <v>5387</v>
      </c>
      <c r="X283" s="4796" t="s">
        <v>5388</v>
      </c>
      <c r="Y283" s="2925" t="s">
        <v>5389</v>
      </c>
      <c r="Z283" s="4796" t="s">
        <v>5390</v>
      </c>
      <c r="AA283" s="2925" t="s">
        <v>5391</v>
      </c>
      <c r="AB283" s="4796" t="s">
        <v>5392</v>
      </c>
      <c r="AC283" s="2925" t="s">
        <v>5393</v>
      </c>
      <c r="AD283" s="4796" t="s">
        <v>5394</v>
      </c>
      <c r="AE283" s="2925" t="s">
        <v>5395</v>
      </c>
      <c r="AF283" s="4796" t="s">
        <v>5396</v>
      </c>
      <c r="AG283" s="2925" t="s">
        <v>5397</v>
      </c>
      <c r="AH283" s="4796" t="s">
        <v>5398</v>
      </c>
      <c r="AI283" s="2925" t="s">
        <v>5399</v>
      </c>
      <c r="AJ283" s="4796" t="s">
        <v>5400</v>
      </c>
      <c r="AK283" s="2925" t="s">
        <v>5401</v>
      </c>
      <c r="AL283" s="4796" t="s">
        <v>5402</v>
      </c>
      <c r="AM283" s="2925" t="s">
        <v>5403</v>
      </c>
      <c r="AN283" s="4796" t="s">
        <v>5404</v>
      </c>
      <c r="AO283" s="2925" t="s">
        <v>5405</v>
      </c>
      <c r="AP283" s="3608" t="s">
        <v>5406</v>
      </c>
      <c r="AQ283" s="1814" t="s">
        <v>5407</v>
      </c>
      <c r="AR283" s="3508" t="s">
        <v>5408</v>
      </c>
      <c r="AS283" s="3609" t="s">
        <v>5409</v>
      </c>
      <c r="AT283" s="4783" t="s">
        <v>5410</v>
      </c>
      <c r="AU283" s="4796" t="s">
        <v>5411</v>
      </c>
      <c r="AV283" s="4796" t="s">
        <v>5412</v>
      </c>
      <c r="AW283" s="3609" t="s">
        <v>5413</v>
      </c>
      <c r="AX283" s="3609" t="s">
        <v>5414</v>
      </c>
      <c r="AY283" s="3607" t="s">
        <v>5415</v>
      </c>
      <c r="AZ283" s="4900" t="e">
        <f t="shared" si="139"/>
        <v>#VALUE!</v>
      </c>
      <c r="BV283" s="1430"/>
      <c r="BW283" s="1430"/>
      <c r="BX283" s="1438"/>
      <c r="CB283" s="1435" t="e">
        <f t="shared" si="140"/>
        <v>#VALUE!</v>
      </c>
      <c r="CC283" s="1435" t="str">
        <f t="shared" si="146"/>
        <v xml:space="preserve">* La consulta pertinente según Protocolo de Referencia NO DEBE ser mayor al Total registrado. </v>
      </c>
      <c r="CD283" s="1435" t="str">
        <f t="shared" si="141"/>
        <v xml:space="preserve">* La consulta pertinente según condición clínica NO DEBE ser mayor al Total registrado. </v>
      </c>
      <c r="CE283" s="1435" t="str">
        <f t="shared" si="147"/>
        <v xml:space="preserve">* Las Embarazadas NO DEBEN ser mayor al total de Mujeres. </v>
      </c>
      <c r="CF283" s="1435" t="str">
        <f t="shared" si="142"/>
        <v xml:space="preserve">* Los Usuarios en Situación de Discapacidad NO DEBEN ser mayor al total. </v>
      </c>
      <c r="CG283" s="1435"/>
      <c r="CH283" s="1435" t="str">
        <f t="shared" si="143"/>
        <v xml:space="preserve">* Los Migrantes NO DEBEN ser mayor al total. </v>
      </c>
      <c r="DB283" s="1436" t="e">
        <f t="shared" si="148"/>
        <v>#VALUE!</v>
      </c>
      <c r="DC283" s="1436">
        <f>IF(E283&lt;AR283,1,0)</f>
        <v>1</v>
      </c>
      <c r="DD283" s="1436">
        <f>IF(E283&lt;AS283,1,0)</f>
        <v>1</v>
      </c>
      <c r="DE283" s="1436">
        <f t="shared" si="149"/>
        <v>1</v>
      </c>
      <c r="DF283" s="1436">
        <f t="shared" si="144"/>
        <v>1</v>
      </c>
      <c r="DG283" s="1436"/>
      <c r="DH283" s="1436">
        <f t="shared" si="145"/>
        <v>1</v>
      </c>
    </row>
    <row r="284" spans="1:112" ht="16.350000000000001" customHeight="1" x14ac:dyDescent="0.25">
      <c r="A284" s="7520" t="s">
        <v>5319</v>
      </c>
      <c r="B284" s="8705"/>
      <c r="C284" s="9835" t="s">
        <v>1053</v>
      </c>
      <c r="D284" s="9835"/>
      <c r="E284" s="4766" t="s">
        <v>5369</v>
      </c>
      <c r="F284" s="3062" t="s">
        <v>5370</v>
      </c>
      <c r="G284" s="4797" t="s">
        <v>5371</v>
      </c>
      <c r="H284" s="4798" t="s">
        <v>5372</v>
      </c>
      <c r="I284" s="1816" t="s">
        <v>5373</v>
      </c>
      <c r="J284" s="4799" t="s">
        <v>5374</v>
      </c>
      <c r="K284" s="1816" t="s">
        <v>5375</v>
      </c>
      <c r="L284" s="4799" t="s">
        <v>5376</v>
      </c>
      <c r="M284" s="1816" t="s">
        <v>5377</v>
      </c>
      <c r="N284" s="4799" t="s">
        <v>5378</v>
      </c>
      <c r="O284" s="1816" t="s">
        <v>5379</v>
      </c>
      <c r="P284" s="4799" t="s">
        <v>5380</v>
      </c>
      <c r="Q284" s="1816" t="s">
        <v>5381</v>
      </c>
      <c r="R284" s="4799" t="s">
        <v>5382</v>
      </c>
      <c r="S284" s="1816" t="s">
        <v>5383</v>
      </c>
      <c r="T284" s="4799" t="s">
        <v>5384</v>
      </c>
      <c r="U284" s="1816" t="s">
        <v>5385</v>
      </c>
      <c r="V284" s="4799" t="s">
        <v>5386</v>
      </c>
      <c r="W284" s="2926" t="s">
        <v>5387</v>
      </c>
      <c r="X284" s="4799" t="s">
        <v>5388</v>
      </c>
      <c r="Y284" s="2926" t="s">
        <v>5389</v>
      </c>
      <c r="Z284" s="4799" t="s">
        <v>5390</v>
      </c>
      <c r="AA284" s="2926" t="s">
        <v>5391</v>
      </c>
      <c r="AB284" s="4799" t="s">
        <v>5392</v>
      </c>
      <c r="AC284" s="2926" t="s">
        <v>5393</v>
      </c>
      <c r="AD284" s="4799" t="s">
        <v>5394</v>
      </c>
      <c r="AE284" s="2926" t="s">
        <v>5395</v>
      </c>
      <c r="AF284" s="4799" t="s">
        <v>5396</v>
      </c>
      <c r="AG284" s="2926" t="s">
        <v>5397</v>
      </c>
      <c r="AH284" s="4799" t="s">
        <v>5398</v>
      </c>
      <c r="AI284" s="2926" t="s">
        <v>5399</v>
      </c>
      <c r="AJ284" s="4799" t="s">
        <v>5400</v>
      </c>
      <c r="AK284" s="2926" t="s">
        <v>5401</v>
      </c>
      <c r="AL284" s="4799" t="s">
        <v>5402</v>
      </c>
      <c r="AM284" s="2926" t="s">
        <v>5403</v>
      </c>
      <c r="AN284" s="4799" t="s">
        <v>5404</v>
      </c>
      <c r="AO284" s="2926" t="s">
        <v>5405</v>
      </c>
      <c r="AP284" s="1818" t="s">
        <v>5406</v>
      </c>
      <c r="AQ284" s="1819" t="s">
        <v>5407</v>
      </c>
      <c r="AR284" s="4789" t="s">
        <v>5408</v>
      </c>
      <c r="AS284" s="4810" t="s">
        <v>5409</v>
      </c>
      <c r="AT284" s="3508" t="s">
        <v>5410</v>
      </c>
      <c r="AU284" s="4799" t="s">
        <v>5411</v>
      </c>
      <c r="AV284" s="4799" t="s">
        <v>5412</v>
      </c>
      <c r="AW284" s="4800" t="s">
        <v>5413</v>
      </c>
      <c r="AX284" s="4800" t="s">
        <v>5414</v>
      </c>
      <c r="AY284" s="1816" t="s">
        <v>5415</v>
      </c>
      <c r="AZ284" s="4900" t="e">
        <f t="shared" si="139"/>
        <v>#VALUE!</v>
      </c>
      <c r="BV284" s="1430"/>
      <c r="BW284" s="1430"/>
      <c r="BX284" s="1438"/>
      <c r="CB284" s="1435" t="e">
        <f t="shared" si="140"/>
        <v>#VALUE!</v>
      </c>
      <c r="CC284" s="1435" t="str">
        <f t="shared" si="146"/>
        <v/>
      </c>
      <c r="CD284" s="1435" t="str">
        <f t="shared" si="141"/>
        <v/>
      </c>
      <c r="CE284" s="1435" t="str">
        <f t="shared" si="147"/>
        <v xml:space="preserve">* Las Embarazadas NO DEBEN ser mayor al total de Mujeres. </v>
      </c>
      <c r="CF284" s="1435" t="str">
        <f t="shared" si="142"/>
        <v xml:space="preserve">* Los Usuarios en Situación de Discapacidad NO DEBEN ser mayor al total. </v>
      </c>
      <c r="CG284" s="1435"/>
      <c r="CH284" s="1435" t="str">
        <f t="shared" si="143"/>
        <v xml:space="preserve">* Los Migrantes NO DEBEN ser mayor al total. </v>
      </c>
      <c r="DB284" s="1436" t="e">
        <f t="shared" si="148"/>
        <v>#VALUE!</v>
      </c>
      <c r="DC284" s="1436"/>
      <c r="DD284" s="1436"/>
      <c r="DE284" s="1436">
        <f t="shared" si="149"/>
        <v>1</v>
      </c>
      <c r="DF284" s="1436">
        <f t="shared" si="144"/>
        <v>1</v>
      </c>
      <c r="DG284" s="1436"/>
      <c r="DH284" s="1436">
        <f t="shared" si="145"/>
        <v>1</v>
      </c>
    </row>
    <row r="285" spans="1:112" ht="16.350000000000001" customHeight="1" x14ac:dyDescent="0.25">
      <c r="A285" s="7520" t="s">
        <v>5320</v>
      </c>
      <c r="B285" s="8705"/>
      <c r="C285" s="9835" t="s">
        <v>1052</v>
      </c>
      <c r="D285" s="9835"/>
      <c r="E285" s="4766" t="s">
        <v>5369</v>
      </c>
      <c r="F285" s="3062" t="s">
        <v>5370</v>
      </c>
      <c r="G285" s="4797" t="s">
        <v>5371</v>
      </c>
      <c r="H285" s="4798" t="s">
        <v>5372</v>
      </c>
      <c r="I285" s="1816" t="s">
        <v>5373</v>
      </c>
      <c r="J285" s="4799" t="s">
        <v>5374</v>
      </c>
      <c r="K285" s="1816" t="s">
        <v>5375</v>
      </c>
      <c r="L285" s="4799" t="s">
        <v>5376</v>
      </c>
      <c r="M285" s="1816" t="s">
        <v>5377</v>
      </c>
      <c r="N285" s="4799" t="s">
        <v>5378</v>
      </c>
      <c r="O285" s="1816" t="s">
        <v>5379</v>
      </c>
      <c r="P285" s="4799" t="s">
        <v>5380</v>
      </c>
      <c r="Q285" s="1816" t="s">
        <v>5381</v>
      </c>
      <c r="R285" s="4799" t="s">
        <v>5382</v>
      </c>
      <c r="S285" s="1816" t="s">
        <v>5383</v>
      </c>
      <c r="T285" s="4799" t="s">
        <v>5384</v>
      </c>
      <c r="U285" s="1816" t="s">
        <v>5385</v>
      </c>
      <c r="V285" s="4799" t="s">
        <v>5386</v>
      </c>
      <c r="W285" s="2926" t="s">
        <v>5387</v>
      </c>
      <c r="X285" s="4799" t="s">
        <v>5388</v>
      </c>
      <c r="Y285" s="2926" t="s">
        <v>5389</v>
      </c>
      <c r="Z285" s="4799" t="s">
        <v>5390</v>
      </c>
      <c r="AA285" s="2926" t="s">
        <v>5391</v>
      </c>
      <c r="AB285" s="4799" t="s">
        <v>5392</v>
      </c>
      <c r="AC285" s="2926" t="s">
        <v>5393</v>
      </c>
      <c r="AD285" s="4799" t="s">
        <v>5394</v>
      </c>
      <c r="AE285" s="2926" t="s">
        <v>5395</v>
      </c>
      <c r="AF285" s="4799" t="s">
        <v>5396</v>
      </c>
      <c r="AG285" s="2926" t="s">
        <v>5397</v>
      </c>
      <c r="AH285" s="4799" t="s">
        <v>5398</v>
      </c>
      <c r="AI285" s="2926" t="s">
        <v>5399</v>
      </c>
      <c r="AJ285" s="4799" t="s">
        <v>5400</v>
      </c>
      <c r="AK285" s="2926" t="s">
        <v>5401</v>
      </c>
      <c r="AL285" s="4799" t="s">
        <v>5402</v>
      </c>
      <c r="AM285" s="2926" t="s">
        <v>5403</v>
      </c>
      <c r="AN285" s="4799" t="s">
        <v>5404</v>
      </c>
      <c r="AO285" s="2926" t="s">
        <v>5405</v>
      </c>
      <c r="AP285" s="1818" t="s">
        <v>5406</v>
      </c>
      <c r="AQ285" s="1819" t="s">
        <v>5407</v>
      </c>
      <c r="AR285" s="4789" t="s">
        <v>5408</v>
      </c>
      <c r="AS285" s="4810" t="s">
        <v>5409</v>
      </c>
      <c r="AT285" s="4810" t="s">
        <v>5410</v>
      </c>
      <c r="AU285" s="4799" t="s">
        <v>5411</v>
      </c>
      <c r="AV285" s="4799" t="s">
        <v>5412</v>
      </c>
      <c r="AW285" s="4800" t="s">
        <v>5413</v>
      </c>
      <c r="AX285" s="4800" t="s">
        <v>5414</v>
      </c>
      <c r="AY285" s="1816" t="s">
        <v>5415</v>
      </c>
      <c r="AZ285" s="4900" t="e">
        <f t="shared" ref="AZ285:AZ300" si="150">$CB285&amp;$CC285&amp;$CD285&amp;$CE285&amp;$CF285&amp;$CG285&amp;$CH285</f>
        <v>#VALUE!</v>
      </c>
      <c r="BV285" s="1430"/>
      <c r="BW285" s="1430"/>
      <c r="BX285" s="1438"/>
      <c r="CB285" s="1435" t="e">
        <f t="shared" ref="CB285:CB300" si="151">IF(DB285=1,"* El número de pacientes de 60 años NO DEBE Ser mayor a lo registrado en el grupo Etario 60-64 años. ","")</f>
        <v>#VALUE!</v>
      </c>
      <c r="CC285" s="1435" t="str">
        <f t="shared" si="146"/>
        <v/>
      </c>
      <c r="CD285" s="1435" t="str">
        <f t="shared" ref="CD285:CD300" si="152">IF(DD285=1,"* La consulta pertinente según condición clínica NO DEBE ser mayor al Total registrado. ","")</f>
        <v/>
      </c>
      <c r="CE285" s="1435" t="str">
        <f t="shared" si="147"/>
        <v xml:space="preserve">* Las Embarazadas NO DEBEN ser mayor al total de Mujeres. </v>
      </c>
      <c r="CF285" s="1435" t="str">
        <f t="shared" ref="CF285:CF300" si="153">IF(AND($E285&lt;&gt;0,AW285=""),"* No olvide digitar la columna Usuarios en Situación de Discapacidad (Digite CEROS si no tiene). ",IF($E285&lt;AW285,"* Los Usuarios en Situación de Discapacidad NO DEBEN ser mayor al total. ",""))</f>
        <v xml:space="preserve">* Los Usuarios en Situación de Discapacidad NO DEBEN ser mayor al total. </v>
      </c>
      <c r="CG285" s="1435"/>
      <c r="CH285" s="1435" t="str">
        <f t="shared" ref="CH285:CH300" si="154">IF(AND($E285&lt;&gt;0,AY285=""),"* No olvide digitar la columna Migrantes (Digite CEROS si no tiene). ",IF($E285&lt;AY285,"* Los Migrantes NO DEBEN ser mayor al total. ",""))</f>
        <v xml:space="preserve">* Los Migrantes NO DEBEN ser mayor al total. </v>
      </c>
      <c r="DB285" s="1436" t="e">
        <f t="shared" si="148"/>
        <v>#VALUE!</v>
      </c>
      <c r="DC285" s="1436"/>
      <c r="DD285" s="1436"/>
      <c r="DE285" s="1436">
        <f t="shared" si="149"/>
        <v>1</v>
      </c>
      <c r="DF285" s="1436">
        <f t="shared" ref="DF285:DF300" si="155">IF(AND($E285&lt;&gt;0,AW285=""),1,IF($E285&lt;AW285,1,0))</f>
        <v>1</v>
      </c>
      <c r="DG285" s="1436"/>
      <c r="DH285" s="1436">
        <f t="shared" ref="DH285:DH300" si="156">IF(AND($E285&lt;&gt;0,AY285=""),1,IF($E285&lt;AY285,1,0))</f>
        <v>1</v>
      </c>
    </row>
    <row r="286" spans="1:112" ht="16.350000000000001" customHeight="1" x14ac:dyDescent="0.25">
      <c r="A286" s="7520" t="s">
        <v>5321</v>
      </c>
      <c r="B286" s="8705"/>
      <c r="C286" s="9835" t="s">
        <v>1051</v>
      </c>
      <c r="D286" s="9835"/>
      <c r="E286" s="4766" t="s">
        <v>5369</v>
      </c>
      <c r="F286" s="3062" t="s">
        <v>5370</v>
      </c>
      <c r="G286" s="4797" t="s">
        <v>5371</v>
      </c>
      <c r="H286" s="4801" t="s">
        <v>5372</v>
      </c>
      <c r="I286" s="3610" t="s">
        <v>5373</v>
      </c>
      <c r="J286" s="3611" t="s">
        <v>5374</v>
      </c>
      <c r="K286" s="3610" t="s">
        <v>5375</v>
      </c>
      <c r="L286" s="3611" t="s">
        <v>5376</v>
      </c>
      <c r="M286" s="3610" t="s">
        <v>5377</v>
      </c>
      <c r="N286" s="3611" t="s">
        <v>5378</v>
      </c>
      <c r="O286" s="3610" t="s">
        <v>5379</v>
      </c>
      <c r="P286" s="3611" t="s">
        <v>5380</v>
      </c>
      <c r="Q286" s="3610" t="s">
        <v>5381</v>
      </c>
      <c r="R286" s="3611" t="s">
        <v>5382</v>
      </c>
      <c r="S286" s="3610" t="s">
        <v>5383</v>
      </c>
      <c r="T286" s="3611" t="s">
        <v>5384</v>
      </c>
      <c r="U286" s="3610" t="s">
        <v>5385</v>
      </c>
      <c r="V286" s="3611" t="s">
        <v>5386</v>
      </c>
      <c r="W286" s="4802" t="s">
        <v>5387</v>
      </c>
      <c r="X286" s="3611" t="s">
        <v>5388</v>
      </c>
      <c r="Y286" s="4802" t="s">
        <v>5389</v>
      </c>
      <c r="Z286" s="3611" t="s">
        <v>5390</v>
      </c>
      <c r="AA286" s="4802" t="s">
        <v>5391</v>
      </c>
      <c r="AB286" s="3611" t="s">
        <v>5392</v>
      </c>
      <c r="AC286" s="4802" t="s">
        <v>5393</v>
      </c>
      <c r="AD286" s="3611" t="s">
        <v>5394</v>
      </c>
      <c r="AE286" s="4802" t="s">
        <v>5395</v>
      </c>
      <c r="AF286" s="3611" t="s">
        <v>5396</v>
      </c>
      <c r="AG286" s="4802" t="s">
        <v>5397</v>
      </c>
      <c r="AH286" s="3611" t="s">
        <v>5398</v>
      </c>
      <c r="AI286" s="4802" t="s">
        <v>5399</v>
      </c>
      <c r="AJ286" s="3611" t="s">
        <v>5400</v>
      </c>
      <c r="AK286" s="4802" t="s">
        <v>5401</v>
      </c>
      <c r="AL286" s="3611" t="s">
        <v>5402</v>
      </c>
      <c r="AM286" s="4802" t="s">
        <v>5403</v>
      </c>
      <c r="AN286" s="3611" t="s">
        <v>5404</v>
      </c>
      <c r="AO286" s="4802" t="s">
        <v>5405</v>
      </c>
      <c r="AP286" s="3612" t="s">
        <v>5406</v>
      </c>
      <c r="AQ286" s="3613" t="s">
        <v>5407</v>
      </c>
      <c r="AR286" s="4789" t="s">
        <v>5408</v>
      </c>
      <c r="AS286" s="4810" t="s">
        <v>5409</v>
      </c>
      <c r="AT286" s="4810" t="s">
        <v>5410</v>
      </c>
      <c r="AU286" s="3611" t="s">
        <v>5411</v>
      </c>
      <c r="AV286" s="3611" t="s">
        <v>5412</v>
      </c>
      <c r="AW286" s="4804" t="s">
        <v>5413</v>
      </c>
      <c r="AX286" s="4804" t="s">
        <v>5414</v>
      </c>
      <c r="AY286" s="3610" t="s">
        <v>5415</v>
      </c>
      <c r="AZ286" s="4900" t="e">
        <f t="shared" si="150"/>
        <v>#VALUE!</v>
      </c>
      <c r="BV286" s="1430"/>
      <c r="BW286" s="1430"/>
      <c r="BX286" s="1438"/>
      <c r="CB286" s="1435" t="e">
        <f t="shared" si="151"/>
        <v>#VALUE!</v>
      </c>
      <c r="CC286" s="1435" t="str">
        <f t="shared" si="146"/>
        <v/>
      </c>
      <c r="CD286" s="1435" t="str">
        <f t="shared" si="152"/>
        <v/>
      </c>
      <c r="CE286" s="1435" t="str">
        <f t="shared" si="147"/>
        <v xml:space="preserve">* Las Embarazadas NO DEBEN ser mayor al total de Mujeres. </v>
      </c>
      <c r="CF286" s="1435" t="str">
        <f t="shared" si="153"/>
        <v xml:space="preserve">* Los Usuarios en Situación de Discapacidad NO DEBEN ser mayor al total. </v>
      </c>
      <c r="CG286" s="1435"/>
      <c r="CH286" s="1435" t="str">
        <f t="shared" si="154"/>
        <v xml:space="preserve">* Los Migrantes NO DEBEN ser mayor al total. </v>
      </c>
      <c r="DB286" s="1436" t="e">
        <f t="shared" si="148"/>
        <v>#VALUE!</v>
      </c>
      <c r="DC286" s="1436"/>
      <c r="DD286" s="1436"/>
      <c r="DE286" s="1436">
        <f t="shared" si="149"/>
        <v>1</v>
      </c>
      <c r="DF286" s="1436">
        <f t="shared" si="155"/>
        <v>1</v>
      </c>
      <c r="DG286" s="1436"/>
      <c r="DH286" s="1436">
        <f t="shared" si="156"/>
        <v>1</v>
      </c>
    </row>
    <row r="287" spans="1:112" ht="16.350000000000001" customHeight="1" x14ac:dyDescent="0.25">
      <c r="A287" s="7520" t="s">
        <v>5096</v>
      </c>
      <c r="B287" s="8705"/>
      <c r="C287" s="9862" t="s">
        <v>2140</v>
      </c>
      <c r="D287" s="9863"/>
      <c r="E287" s="4766" t="s">
        <v>5369</v>
      </c>
      <c r="F287" s="3062" t="s">
        <v>5370</v>
      </c>
      <c r="G287" s="4797" t="s">
        <v>5371</v>
      </c>
      <c r="H287" s="4801" t="s">
        <v>5372</v>
      </c>
      <c r="I287" s="3610" t="s">
        <v>5373</v>
      </c>
      <c r="J287" s="3611" t="s">
        <v>5374</v>
      </c>
      <c r="K287" s="3610" t="s">
        <v>5375</v>
      </c>
      <c r="L287" s="3611" t="s">
        <v>5376</v>
      </c>
      <c r="M287" s="3610" t="s">
        <v>5377</v>
      </c>
      <c r="N287" s="3611" t="s">
        <v>5378</v>
      </c>
      <c r="O287" s="3610" t="s">
        <v>5379</v>
      </c>
      <c r="P287" s="3611" t="s">
        <v>5380</v>
      </c>
      <c r="Q287" s="3610" t="s">
        <v>5381</v>
      </c>
      <c r="R287" s="3611" t="s">
        <v>5382</v>
      </c>
      <c r="S287" s="3610" t="s">
        <v>5383</v>
      </c>
      <c r="T287" s="3611" t="s">
        <v>5384</v>
      </c>
      <c r="U287" s="3610" t="s">
        <v>5385</v>
      </c>
      <c r="V287" s="3611" t="s">
        <v>5386</v>
      </c>
      <c r="W287" s="4802" t="s">
        <v>5387</v>
      </c>
      <c r="X287" s="3611" t="s">
        <v>5388</v>
      </c>
      <c r="Y287" s="4802" t="s">
        <v>5389</v>
      </c>
      <c r="Z287" s="3611" t="s">
        <v>5390</v>
      </c>
      <c r="AA287" s="4802" t="s">
        <v>5391</v>
      </c>
      <c r="AB287" s="3611" t="s">
        <v>5392</v>
      </c>
      <c r="AC287" s="4802" t="s">
        <v>5393</v>
      </c>
      <c r="AD287" s="3611" t="s">
        <v>5394</v>
      </c>
      <c r="AE287" s="4802" t="s">
        <v>5395</v>
      </c>
      <c r="AF287" s="3611" t="s">
        <v>5396</v>
      </c>
      <c r="AG287" s="4802" t="s">
        <v>5397</v>
      </c>
      <c r="AH287" s="3611" t="s">
        <v>5398</v>
      </c>
      <c r="AI287" s="4802" t="s">
        <v>5399</v>
      </c>
      <c r="AJ287" s="3611" t="s">
        <v>5400</v>
      </c>
      <c r="AK287" s="4802" t="s">
        <v>5401</v>
      </c>
      <c r="AL287" s="3611" t="s">
        <v>5402</v>
      </c>
      <c r="AM287" s="4802" t="s">
        <v>5403</v>
      </c>
      <c r="AN287" s="3611" t="s">
        <v>5404</v>
      </c>
      <c r="AO287" s="4802" t="s">
        <v>5405</v>
      </c>
      <c r="AP287" s="3612" t="s">
        <v>5406</v>
      </c>
      <c r="AQ287" s="3613" t="s">
        <v>5407</v>
      </c>
      <c r="AR287" s="4803" t="s">
        <v>5408</v>
      </c>
      <c r="AS287" s="4818" t="s">
        <v>5409</v>
      </c>
      <c r="AT287" s="3614" t="s">
        <v>5410</v>
      </c>
      <c r="AU287" s="3611" t="s">
        <v>5411</v>
      </c>
      <c r="AV287" s="3611" t="s">
        <v>5412</v>
      </c>
      <c r="AW287" s="4804" t="s">
        <v>5413</v>
      </c>
      <c r="AX287" s="4804" t="s">
        <v>5414</v>
      </c>
      <c r="AY287" s="3610" t="s">
        <v>5415</v>
      </c>
      <c r="AZ287" s="4900" t="e">
        <f t="shared" si="150"/>
        <v>#VALUE!</v>
      </c>
      <c r="BV287" s="1430"/>
      <c r="BW287" s="1430"/>
      <c r="BX287" s="1438"/>
      <c r="CB287" s="1435" t="e">
        <f t="shared" si="151"/>
        <v>#VALUE!</v>
      </c>
      <c r="CC287" s="1435" t="str">
        <f t="shared" si="146"/>
        <v/>
      </c>
      <c r="CD287" s="1435" t="str">
        <f t="shared" si="152"/>
        <v/>
      </c>
      <c r="CE287" s="1435" t="str">
        <f t="shared" si="147"/>
        <v xml:space="preserve">* Las Embarazadas NO DEBEN ser mayor al total de Mujeres. </v>
      </c>
      <c r="CF287" s="1435" t="str">
        <f t="shared" si="153"/>
        <v xml:space="preserve">* Los Usuarios en Situación de Discapacidad NO DEBEN ser mayor al total. </v>
      </c>
      <c r="CG287" s="1435"/>
      <c r="CH287" s="1435" t="str">
        <f t="shared" si="154"/>
        <v xml:space="preserve">* Los Migrantes NO DEBEN ser mayor al total. </v>
      </c>
      <c r="DB287" s="1436" t="e">
        <f t="shared" si="148"/>
        <v>#VALUE!</v>
      </c>
      <c r="DC287" s="1436"/>
      <c r="DD287" s="1436"/>
      <c r="DE287" s="1436">
        <f t="shared" si="149"/>
        <v>1</v>
      </c>
      <c r="DF287" s="1436">
        <f t="shared" si="155"/>
        <v>1</v>
      </c>
      <c r="DG287" s="1436"/>
      <c r="DH287" s="1436">
        <f t="shared" si="156"/>
        <v>1</v>
      </c>
    </row>
    <row r="288" spans="1:112" ht="16.350000000000001" customHeight="1" x14ac:dyDescent="0.25">
      <c r="A288" s="7520" t="s">
        <v>5322</v>
      </c>
      <c r="B288" s="9743"/>
      <c r="C288" s="9911" t="s">
        <v>1050</v>
      </c>
      <c r="D288" s="9911"/>
      <c r="E288" s="4805" t="s">
        <v>5369</v>
      </c>
      <c r="F288" s="4806" t="s">
        <v>5370</v>
      </c>
      <c r="G288" s="3615" t="s">
        <v>5371</v>
      </c>
      <c r="H288" s="3241" t="s">
        <v>5372</v>
      </c>
      <c r="I288" s="3603" t="s">
        <v>5373</v>
      </c>
      <c r="J288" s="3604" t="s">
        <v>5374</v>
      </c>
      <c r="K288" s="3603" t="s">
        <v>5375</v>
      </c>
      <c r="L288" s="3604" t="s">
        <v>5376</v>
      </c>
      <c r="M288" s="3603" t="s">
        <v>5377</v>
      </c>
      <c r="N288" s="3604" t="s">
        <v>5378</v>
      </c>
      <c r="O288" s="3603" t="s">
        <v>5379</v>
      </c>
      <c r="P288" s="3604" t="s">
        <v>5380</v>
      </c>
      <c r="Q288" s="3603" t="s">
        <v>5381</v>
      </c>
      <c r="R288" s="3604" t="s">
        <v>5382</v>
      </c>
      <c r="S288" s="3603" t="s">
        <v>5383</v>
      </c>
      <c r="T288" s="3604" t="s">
        <v>5384</v>
      </c>
      <c r="U288" s="3603" t="s">
        <v>5385</v>
      </c>
      <c r="V288" s="3604" t="s">
        <v>5386</v>
      </c>
      <c r="W288" s="3122" t="s">
        <v>5387</v>
      </c>
      <c r="X288" s="3604" t="s">
        <v>5388</v>
      </c>
      <c r="Y288" s="3122" t="s">
        <v>5389</v>
      </c>
      <c r="Z288" s="3604" t="s">
        <v>5390</v>
      </c>
      <c r="AA288" s="3122" t="s">
        <v>5391</v>
      </c>
      <c r="AB288" s="3604" t="s">
        <v>5392</v>
      </c>
      <c r="AC288" s="3122" t="s">
        <v>5393</v>
      </c>
      <c r="AD288" s="3604" t="s">
        <v>5394</v>
      </c>
      <c r="AE288" s="3122" t="s">
        <v>5395</v>
      </c>
      <c r="AF288" s="3604" t="s">
        <v>5396</v>
      </c>
      <c r="AG288" s="3122" t="s">
        <v>5397</v>
      </c>
      <c r="AH288" s="3604" t="s">
        <v>5398</v>
      </c>
      <c r="AI288" s="3122" t="s">
        <v>5399</v>
      </c>
      <c r="AJ288" s="3604" t="s">
        <v>5400</v>
      </c>
      <c r="AK288" s="3122" t="s">
        <v>5401</v>
      </c>
      <c r="AL288" s="3604" t="s">
        <v>5402</v>
      </c>
      <c r="AM288" s="3122" t="s">
        <v>5403</v>
      </c>
      <c r="AN288" s="3604" t="s">
        <v>5404</v>
      </c>
      <c r="AO288" s="3122" t="s">
        <v>5405</v>
      </c>
      <c r="AP288" s="3605" t="s">
        <v>5406</v>
      </c>
      <c r="AQ288" s="3606" t="s">
        <v>5407</v>
      </c>
      <c r="AR288" s="4807" t="s">
        <v>5408</v>
      </c>
      <c r="AS288" s="4820" t="s">
        <v>5409</v>
      </c>
      <c r="AT288" s="3616" t="s">
        <v>5410</v>
      </c>
      <c r="AU288" s="3604" t="s">
        <v>5411</v>
      </c>
      <c r="AV288" s="3604" t="s">
        <v>5412</v>
      </c>
      <c r="AW288" s="4794" t="s">
        <v>5413</v>
      </c>
      <c r="AX288" s="4794" t="s">
        <v>5414</v>
      </c>
      <c r="AY288" s="3603" t="s">
        <v>5415</v>
      </c>
      <c r="AZ288" s="4900" t="e">
        <f t="shared" si="150"/>
        <v>#VALUE!</v>
      </c>
      <c r="BV288" s="1430"/>
      <c r="BW288" s="1430"/>
      <c r="BX288" s="1438"/>
      <c r="CB288" s="1435" t="e">
        <f t="shared" si="151"/>
        <v>#VALUE!</v>
      </c>
      <c r="CC288" s="1435" t="str">
        <f t="shared" si="146"/>
        <v/>
      </c>
      <c r="CD288" s="1435" t="str">
        <f t="shared" si="152"/>
        <v/>
      </c>
      <c r="CE288" s="1435" t="str">
        <f t="shared" si="147"/>
        <v xml:space="preserve">* Las Embarazadas NO DEBEN ser mayor al total de Mujeres. </v>
      </c>
      <c r="CF288" s="1435" t="str">
        <f t="shared" si="153"/>
        <v xml:space="preserve">* Los Usuarios en Situación de Discapacidad NO DEBEN ser mayor al total. </v>
      </c>
      <c r="CG288" s="1435"/>
      <c r="CH288" s="1435" t="str">
        <f t="shared" si="154"/>
        <v xml:space="preserve">* Los Migrantes NO DEBEN ser mayor al total. </v>
      </c>
      <c r="DB288" s="1436" t="e">
        <f t="shared" si="148"/>
        <v>#VALUE!</v>
      </c>
      <c r="DC288" s="1436"/>
      <c r="DD288" s="1436"/>
      <c r="DE288" s="1436">
        <f t="shared" si="149"/>
        <v>1</v>
      </c>
      <c r="DF288" s="1436">
        <f t="shared" si="155"/>
        <v>1</v>
      </c>
      <c r="DG288" s="1436"/>
      <c r="DH288" s="1436">
        <f t="shared" si="156"/>
        <v>1</v>
      </c>
    </row>
    <row r="289" spans="1:112" ht="16.350000000000001" customHeight="1" x14ac:dyDescent="0.25">
      <c r="A289" s="7520" t="s">
        <v>5323</v>
      </c>
      <c r="B289" s="9944" t="s">
        <v>1029</v>
      </c>
      <c r="C289" s="9945" t="s">
        <v>1054</v>
      </c>
      <c r="D289" s="9946"/>
      <c r="E289" s="3247" t="s">
        <v>5369</v>
      </c>
      <c r="F289" s="3485" t="s">
        <v>5370</v>
      </c>
      <c r="G289" s="4795" t="s">
        <v>5371</v>
      </c>
      <c r="H289" s="3508" t="s">
        <v>5372</v>
      </c>
      <c r="I289" s="3607" t="s">
        <v>5373</v>
      </c>
      <c r="J289" s="4796" t="s">
        <v>5374</v>
      </c>
      <c r="K289" s="3607" t="s">
        <v>5375</v>
      </c>
      <c r="L289" s="4796" t="s">
        <v>5376</v>
      </c>
      <c r="M289" s="3607" t="s">
        <v>5377</v>
      </c>
      <c r="N289" s="4796" t="s">
        <v>5378</v>
      </c>
      <c r="O289" s="3607" t="s">
        <v>5379</v>
      </c>
      <c r="P289" s="4796" t="s">
        <v>5380</v>
      </c>
      <c r="Q289" s="3607" t="s">
        <v>5381</v>
      </c>
      <c r="R289" s="4796" t="s">
        <v>5382</v>
      </c>
      <c r="S289" s="3607" t="s">
        <v>5383</v>
      </c>
      <c r="T289" s="4796" t="s">
        <v>5384</v>
      </c>
      <c r="U289" s="3607" t="s">
        <v>5385</v>
      </c>
      <c r="V289" s="4796" t="s">
        <v>5386</v>
      </c>
      <c r="W289" s="2925" t="s">
        <v>5387</v>
      </c>
      <c r="X289" s="4796" t="s">
        <v>5388</v>
      </c>
      <c r="Y289" s="2925" t="s">
        <v>5389</v>
      </c>
      <c r="Z289" s="4796" t="s">
        <v>5390</v>
      </c>
      <c r="AA289" s="2925" t="s">
        <v>5391</v>
      </c>
      <c r="AB289" s="4796" t="s">
        <v>5392</v>
      </c>
      <c r="AC289" s="2925" t="s">
        <v>5393</v>
      </c>
      <c r="AD289" s="4796" t="s">
        <v>5394</v>
      </c>
      <c r="AE289" s="2925" t="s">
        <v>5395</v>
      </c>
      <c r="AF289" s="4796" t="s">
        <v>5396</v>
      </c>
      <c r="AG289" s="2925" t="s">
        <v>5397</v>
      </c>
      <c r="AH289" s="4796" t="s">
        <v>5398</v>
      </c>
      <c r="AI289" s="2925" t="s">
        <v>5399</v>
      </c>
      <c r="AJ289" s="4796" t="s">
        <v>5400</v>
      </c>
      <c r="AK289" s="2925" t="s">
        <v>5401</v>
      </c>
      <c r="AL289" s="4796" t="s">
        <v>5402</v>
      </c>
      <c r="AM289" s="2925" t="s">
        <v>5403</v>
      </c>
      <c r="AN289" s="4796" t="s">
        <v>5404</v>
      </c>
      <c r="AO289" s="2925" t="s">
        <v>5405</v>
      </c>
      <c r="AP289" s="3608" t="s">
        <v>5406</v>
      </c>
      <c r="AQ289" s="1814" t="s">
        <v>5407</v>
      </c>
      <c r="AR289" s="3508" t="s">
        <v>5408</v>
      </c>
      <c r="AS289" s="3609" t="s">
        <v>5409</v>
      </c>
      <c r="AT289" s="4842" t="s">
        <v>5410</v>
      </c>
      <c r="AU289" s="4796" t="s">
        <v>5411</v>
      </c>
      <c r="AV289" s="4796" t="s">
        <v>5412</v>
      </c>
      <c r="AW289" s="3609" t="s">
        <v>5413</v>
      </c>
      <c r="AX289" s="3609" t="s">
        <v>5414</v>
      </c>
      <c r="AY289" s="3607" t="s">
        <v>5415</v>
      </c>
      <c r="AZ289" s="4900" t="e">
        <f t="shared" si="150"/>
        <v>#VALUE!</v>
      </c>
      <c r="BV289" s="1430"/>
      <c r="BW289" s="1430"/>
      <c r="BX289" s="1438"/>
      <c r="CB289" s="1435" t="e">
        <f t="shared" si="151"/>
        <v>#VALUE!</v>
      </c>
      <c r="CC289" s="1435" t="str">
        <f t="shared" si="146"/>
        <v xml:space="preserve">* La consulta pertinente según Protocolo de Referencia NO DEBE ser mayor al Total registrado. </v>
      </c>
      <c r="CD289" s="1435" t="str">
        <f t="shared" si="152"/>
        <v xml:space="preserve">* La consulta pertinente según condición clínica NO DEBE ser mayor al Total registrado. </v>
      </c>
      <c r="CE289" s="1435" t="str">
        <f t="shared" si="147"/>
        <v xml:space="preserve">* Las Embarazadas NO DEBEN ser mayor al total de Mujeres. </v>
      </c>
      <c r="CF289" s="1435" t="str">
        <f t="shared" si="153"/>
        <v xml:space="preserve">* Los Usuarios en Situación de Discapacidad NO DEBEN ser mayor al total. </v>
      </c>
      <c r="CG289" s="1435"/>
      <c r="CH289" s="1435" t="str">
        <f t="shared" si="154"/>
        <v xml:space="preserve">* Los Migrantes NO DEBEN ser mayor al total. </v>
      </c>
      <c r="DB289" s="1436" t="e">
        <f t="shared" si="148"/>
        <v>#VALUE!</v>
      </c>
      <c r="DC289" s="1436">
        <f>IF(E289&lt;AR289,1,0)</f>
        <v>1</v>
      </c>
      <c r="DD289" s="1436">
        <f>IF(E289&lt;AS289,1,0)</f>
        <v>1</v>
      </c>
      <c r="DE289" s="1436">
        <f t="shared" si="149"/>
        <v>1</v>
      </c>
      <c r="DF289" s="1436">
        <f t="shared" si="155"/>
        <v>1</v>
      </c>
      <c r="DG289" s="1436"/>
      <c r="DH289" s="1436">
        <f t="shared" si="156"/>
        <v>1</v>
      </c>
    </row>
    <row r="290" spans="1:112" ht="16.350000000000001" customHeight="1" x14ac:dyDescent="0.25">
      <c r="A290" s="7520" t="s">
        <v>5324</v>
      </c>
      <c r="B290" s="8705"/>
      <c r="C290" s="9835" t="s">
        <v>1053</v>
      </c>
      <c r="D290" s="9835"/>
      <c r="E290" s="4766" t="s">
        <v>5369</v>
      </c>
      <c r="F290" s="3062" t="s">
        <v>5370</v>
      </c>
      <c r="G290" s="4797" t="s">
        <v>5371</v>
      </c>
      <c r="H290" s="4798" t="s">
        <v>5372</v>
      </c>
      <c r="I290" s="1816" t="s">
        <v>5373</v>
      </c>
      <c r="J290" s="4799" t="s">
        <v>5374</v>
      </c>
      <c r="K290" s="1816" t="s">
        <v>5375</v>
      </c>
      <c r="L290" s="4799" t="s">
        <v>5376</v>
      </c>
      <c r="M290" s="1816" t="s">
        <v>5377</v>
      </c>
      <c r="N290" s="4799" t="s">
        <v>5378</v>
      </c>
      <c r="O290" s="1816" t="s">
        <v>5379</v>
      </c>
      <c r="P290" s="4799" t="s">
        <v>5380</v>
      </c>
      <c r="Q290" s="1816" t="s">
        <v>5381</v>
      </c>
      <c r="R290" s="4799" t="s">
        <v>5382</v>
      </c>
      <c r="S290" s="1816" t="s">
        <v>5383</v>
      </c>
      <c r="T290" s="4799" t="s">
        <v>5384</v>
      </c>
      <c r="U290" s="1816" t="s">
        <v>5385</v>
      </c>
      <c r="V290" s="4799" t="s">
        <v>5386</v>
      </c>
      <c r="W290" s="2926" t="s">
        <v>5387</v>
      </c>
      <c r="X290" s="4799" t="s">
        <v>5388</v>
      </c>
      <c r="Y290" s="2926" t="s">
        <v>5389</v>
      </c>
      <c r="Z290" s="4799" t="s">
        <v>5390</v>
      </c>
      <c r="AA290" s="2926" t="s">
        <v>5391</v>
      </c>
      <c r="AB290" s="4799" t="s">
        <v>5392</v>
      </c>
      <c r="AC290" s="2926" t="s">
        <v>5393</v>
      </c>
      <c r="AD290" s="4799" t="s">
        <v>5394</v>
      </c>
      <c r="AE290" s="2926" t="s">
        <v>5395</v>
      </c>
      <c r="AF290" s="4799" t="s">
        <v>5396</v>
      </c>
      <c r="AG290" s="2926" t="s">
        <v>5397</v>
      </c>
      <c r="AH290" s="4799" t="s">
        <v>5398</v>
      </c>
      <c r="AI290" s="2926" t="s">
        <v>5399</v>
      </c>
      <c r="AJ290" s="4799" t="s">
        <v>5400</v>
      </c>
      <c r="AK290" s="2926" t="s">
        <v>5401</v>
      </c>
      <c r="AL290" s="4799" t="s">
        <v>5402</v>
      </c>
      <c r="AM290" s="2926" t="s">
        <v>5403</v>
      </c>
      <c r="AN290" s="4799" t="s">
        <v>5404</v>
      </c>
      <c r="AO290" s="2926" t="s">
        <v>5405</v>
      </c>
      <c r="AP290" s="1818" t="s">
        <v>5406</v>
      </c>
      <c r="AQ290" s="1819" t="s">
        <v>5407</v>
      </c>
      <c r="AR290" s="4789" t="s">
        <v>5408</v>
      </c>
      <c r="AS290" s="4810" t="s">
        <v>5409</v>
      </c>
      <c r="AT290" s="3508" t="s">
        <v>5410</v>
      </c>
      <c r="AU290" s="4799" t="s">
        <v>5411</v>
      </c>
      <c r="AV290" s="4799" t="s">
        <v>5412</v>
      </c>
      <c r="AW290" s="4800" t="s">
        <v>5413</v>
      </c>
      <c r="AX290" s="4800" t="s">
        <v>5414</v>
      </c>
      <c r="AY290" s="1816" t="s">
        <v>5415</v>
      </c>
      <c r="AZ290" s="4900" t="e">
        <f t="shared" si="150"/>
        <v>#VALUE!</v>
      </c>
      <c r="BV290" s="1430"/>
      <c r="BW290" s="1430"/>
      <c r="BX290" s="1438"/>
      <c r="CB290" s="1435" t="e">
        <f t="shared" si="151"/>
        <v>#VALUE!</v>
      </c>
      <c r="CC290" s="1435" t="str">
        <f t="shared" si="146"/>
        <v/>
      </c>
      <c r="CD290" s="1435" t="str">
        <f t="shared" si="152"/>
        <v/>
      </c>
      <c r="CE290" s="1435" t="str">
        <f t="shared" si="147"/>
        <v xml:space="preserve">* Las Embarazadas NO DEBEN ser mayor al total de Mujeres. </v>
      </c>
      <c r="CF290" s="1435" t="str">
        <f t="shared" si="153"/>
        <v xml:space="preserve">* Los Usuarios en Situación de Discapacidad NO DEBEN ser mayor al total. </v>
      </c>
      <c r="CG290" s="1435"/>
      <c r="CH290" s="1435" t="str">
        <f t="shared" si="154"/>
        <v xml:space="preserve">* Los Migrantes NO DEBEN ser mayor al total. </v>
      </c>
      <c r="DB290" s="1436" t="e">
        <f t="shared" si="148"/>
        <v>#VALUE!</v>
      </c>
      <c r="DC290" s="1436"/>
      <c r="DD290" s="1436"/>
      <c r="DE290" s="1436">
        <f t="shared" si="149"/>
        <v>1</v>
      </c>
      <c r="DF290" s="1436">
        <f t="shared" si="155"/>
        <v>1</v>
      </c>
      <c r="DG290" s="1436"/>
      <c r="DH290" s="1436">
        <f t="shared" si="156"/>
        <v>1</v>
      </c>
    </row>
    <row r="291" spans="1:112" ht="16.350000000000001" customHeight="1" x14ac:dyDescent="0.25">
      <c r="A291" s="7520" t="s">
        <v>5325</v>
      </c>
      <c r="B291" s="8705"/>
      <c r="C291" s="9835" t="s">
        <v>1052</v>
      </c>
      <c r="D291" s="9835"/>
      <c r="E291" s="4766" t="s">
        <v>5369</v>
      </c>
      <c r="F291" s="3062" t="s">
        <v>5370</v>
      </c>
      <c r="G291" s="4797" t="s">
        <v>5371</v>
      </c>
      <c r="H291" s="4798" t="s">
        <v>5372</v>
      </c>
      <c r="I291" s="1816" t="s">
        <v>5373</v>
      </c>
      <c r="J291" s="4799" t="s">
        <v>5374</v>
      </c>
      <c r="K291" s="1816" t="s">
        <v>5375</v>
      </c>
      <c r="L291" s="4799" t="s">
        <v>5376</v>
      </c>
      <c r="M291" s="1816" t="s">
        <v>5377</v>
      </c>
      <c r="N291" s="4799" t="s">
        <v>5378</v>
      </c>
      <c r="O291" s="1816" t="s">
        <v>5379</v>
      </c>
      <c r="P291" s="4799" t="s">
        <v>5380</v>
      </c>
      <c r="Q291" s="1816" t="s">
        <v>5381</v>
      </c>
      <c r="R291" s="4799" t="s">
        <v>5382</v>
      </c>
      <c r="S291" s="1816" t="s">
        <v>5383</v>
      </c>
      <c r="T291" s="4799" t="s">
        <v>5384</v>
      </c>
      <c r="U291" s="1816" t="s">
        <v>5385</v>
      </c>
      <c r="V291" s="4799" t="s">
        <v>5386</v>
      </c>
      <c r="W291" s="2926" t="s">
        <v>5387</v>
      </c>
      <c r="X291" s="4799" t="s">
        <v>5388</v>
      </c>
      <c r="Y291" s="2926" t="s">
        <v>5389</v>
      </c>
      <c r="Z291" s="4799" t="s">
        <v>5390</v>
      </c>
      <c r="AA291" s="2926" t="s">
        <v>5391</v>
      </c>
      <c r="AB291" s="4799" t="s">
        <v>5392</v>
      </c>
      <c r="AC291" s="2926" t="s">
        <v>5393</v>
      </c>
      <c r="AD291" s="4799" t="s">
        <v>5394</v>
      </c>
      <c r="AE291" s="2926" t="s">
        <v>5395</v>
      </c>
      <c r="AF291" s="4799" t="s">
        <v>5396</v>
      </c>
      <c r="AG291" s="2926" t="s">
        <v>5397</v>
      </c>
      <c r="AH291" s="4799" t="s">
        <v>5398</v>
      </c>
      <c r="AI291" s="2926" t="s">
        <v>5399</v>
      </c>
      <c r="AJ291" s="4799" t="s">
        <v>5400</v>
      </c>
      <c r="AK291" s="2926" t="s">
        <v>5401</v>
      </c>
      <c r="AL291" s="4799" t="s">
        <v>5402</v>
      </c>
      <c r="AM291" s="2926" t="s">
        <v>5403</v>
      </c>
      <c r="AN291" s="4799" t="s">
        <v>5404</v>
      </c>
      <c r="AO291" s="2926" t="s">
        <v>5405</v>
      </c>
      <c r="AP291" s="1818" t="s">
        <v>5406</v>
      </c>
      <c r="AQ291" s="1819" t="s">
        <v>5407</v>
      </c>
      <c r="AR291" s="4789" t="s">
        <v>5408</v>
      </c>
      <c r="AS291" s="4810" t="s">
        <v>5409</v>
      </c>
      <c r="AT291" s="4810" t="s">
        <v>5410</v>
      </c>
      <c r="AU291" s="4799" t="s">
        <v>5411</v>
      </c>
      <c r="AV291" s="4799" t="s">
        <v>5412</v>
      </c>
      <c r="AW291" s="4800" t="s">
        <v>5413</v>
      </c>
      <c r="AX291" s="4800" t="s">
        <v>5414</v>
      </c>
      <c r="AY291" s="1816" t="s">
        <v>5415</v>
      </c>
      <c r="AZ291" s="4900" t="e">
        <f t="shared" si="150"/>
        <v>#VALUE!</v>
      </c>
      <c r="BV291" s="1430"/>
      <c r="BW291" s="1430"/>
      <c r="BX291" s="1438"/>
      <c r="CB291" s="1435" t="e">
        <f t="shared" si="151"/>
        <v>#VALUE!</v>
      </c>
      <c r="CC291" s="1435" t="str">
        <f t="shared" si="146"/>
        <v/>
      </c>
      <c r="CD291" s="1435" t="str">
        <f t="shared" si="152"/>
        <v/>
      </c>
      <c r="CE291" s="1435" t="str">
        <f t="shared" si="147"/>
        <v xml:space="preserve">* Las Embarazadas NO DEBEN ser mayor al total de Mujeres. </v>
      </c>
      <c r="CF291" s="1435" t="str">
        <f t="shared" si="153"/>
        <v xml:space="preserve">* Los Usuarios en Situación de Discapacidad NO DEBEN ser mayor al total. </v>
      </c>
      <c r="CG291" s="1435"/>
      <c r="CH291" s="1435" t="str">
        <f t="shared" si="154"/>
        <v xml:space="preserve">* Los Migrantes NO DEBEN ser mayor al total. </v>
      </c>
      <c r="DB291" s="1436" t="e">
        <f t="shared" si="148"/>
        <v>#VALUE!</v>
      </c>
      <c r="DC291" s="1436"/>
      <c r="DD291" s="1436"/>
      <c r="DE291" s="1436">
        <f t="shared" si="149"/>
        <v>1</v>
      </c>
      <c r="DF291" s="1436">
        <f t="shared" si="155"/>
        <v>1</v>
      </c>
      <c r="DG291" s="1436"/>
      <c r="DH291" s="1436">
        <f t="shared" si="156"/>
        <v>1</v>
      </c>
    </row>
    <row r="292" spans="1:112" ht="16.350000000000001" customHeight="1" x14ac:dyDescent="0.25">
      <c r="A292" s="7520" t="s">
        <v>5326</v>
      </c>
      <c r="B292" s="8705"/>
      <c r="C292" s="9835" t="s">
        <v>1051</v>
      </c>
      <c r="D292" s="9835"/>
      <c r="E292" s="4766" t="s">
        <v>5369</v>
      </c>
      <c r="F292" s="3062" t="s">
        <v>5370</v>
      </c>
      <c r="G292" s="4797" t="s">
        <v>5371</v>
      </c>
      <c r="H292" s="4801" t="s">
        <v>5372</v>
      </c>
      <c r="I292" s="3610" t="s">
        <v>5373</v>
      </c>
      <c r="J292" s="3611" t="s">
        <v>5374</v>
      </c>
      <c r="K292" s="3610" t="s">
        <v>5375</v>
      </c>
      <c r="L292" s="3611" t="s">
        <v>5376</v>
      </c>
      <c r="M292" s="3610" t="s">
        <v>5377</v>
      </c>
      <c r="N292" s="3611" t="s">
        <v>5378</v>
      </c>
      <c r="O292" s="3610" t="s">
        <v>5379</v>
      </c>
      <c r="P292" s="3611" t="s">
        <v>5380</v>
      </c>
      <c r="Q292" s="3610" t="s">
        <v>5381</v>
      </c>
      <c r="R292" s="3611" t="s">
        <v>5382</v>
      </c>
      <c r="S292" s="3610" t="s">
        <v>5383</v>
      </c>
      <c r="T292" s="3611" t="s">
        <v>5384</v>
      </c>
      <c r="U292" s="3610" t="s">
        <v>5385</v>
      </c>
      <c r="V292" s="3611" t="s">
        <v>5386</v>
      </c>
      <c r="W292" s="4802" t="s">
        <v>5387</v>
      </c>
      <c r="X292" s="3611" t="s">
        <v>5388</v>
      </c>
      <c r="Y292" s="4802" t="s">
        <v>5389</v>
      </c>
      <c r="Z292" s="3611" t="s">
        <v>5390</v>
      </c>
      <c r="AA292" s="4802" t="s">
        <v>5391</v>
      </c>
      <c r="AB292" s="3611" t="s">
        <v>5392</v>
      </c>
      <c r="AC292" s="4802" t="s">
        <v>5393</v>
      </c>
      <c r="AD292" s="3611" t="s">
        <v>5394</v>
      </c>
      <c r="AE292" s="4802" t="s">
        <v>5395</v>
      </c>
      <c r="AF292" s="3611" t="s">
        <v>5396</v>
      </c>
      <c r="AG292" s="4802" t="s">
        <v>5397</v>
      </c>
      <c r="AH292" s="3611" t="s">
        <v>5398</v>
      </c>
      <c r="AI292" s="4802" t="s">
        <v>5399</v>
      </c>
      <c r="AJ292" s="3611" t="s">
        <v>5400</v>
      </c>
      <c r="AK292" s="4802" t="s">
        <v>5401</v>
      </c>
      <c r="AL292" s="3611" t="s">
        <v>5402</v>
      </c>
      <c r="AM292" s="4802" t="s">
        <v>5403</v>
      </c>
      <c r="AN292" s="3611" t="s">
        <v>5404</v>
      </c>
      <c r="AO292" s="4802" t="s">
        <v>5405</v>
      </c>
      <c r="AP292" s="3612" t="s">
        <v>5406</v>
      </c>
      <c r="AQ292" s="3613" t="s">
        <v>5407</v>
      </c>
      <c r="AR292" s="4789" t="s">
        <v>5408</v>
      </c>
      <c r="AS292" s="4810" t="s">
        <v>5409</v>
      </c>
      <c r="AT292" s="4810" t="s">
        <v>5410</v>
      </c>
      <c r="AU292" s="3611" t="s">
        <v>5411</v>
      </c>
      <c r="AV292" s="3611" t="s">
        <v>5412</v>
      </c>
      <c r="AW292" s="4804" t="s">
        <v>5413</v>
      </c>
      <c r="AX292" s="4804" t="s">
        <v>5414</v>
      </c>
      <c r="AY292" s="3610" t="s">
        <v>5415</v>
      </c>
      <c r="AZ292" s="4900" t="e">
        <f t="shared" si="150"/>
        <v>#VALUE!</v>
      </c>
      <c r="BV292" s="1430"/>
      <c r="BW292" s="1430"/>
      <c r="BX292" s="1438"/>
      <c r="CB292" s="1435" t="e">
        <f t="shared" si="151"/>
        <v>#VALUE!</v>
      </c>
      <c r="CC292" s="1435" t="str">
        <f t="shared" si="146"/>
        <v/>
      </c>
      <c r="CD292" s="1435" t="str">
        <f t="shared" si="152"/>
        <v/>
      </c>
      <c r="CE292" s="1435" t="str">
        <f t="shared" si="147"/>
        <v xml:space="preserve">* Las Embarazadas NO DEBEN ser mayor al total de Mujeres. </v>
      </c>
      <c r="CF292" s="1435" t="str">
        <f t="shared" si="153"/>
        <v xml:space="preserve">* Los Usuarios en Situación de Discapacidad NO DEBEN ser mayor al total. </v>
      </c>
      <c r="CG292" s="1435"/>
      <c r="CH292" s="1435" t="str">
        <f t="shared" si="154"/>
        <v xml:space="preserve">* Los Migrantes NO DEBEN ser mayor al total. </v>
      </c>
      <c r="DB292" s="1436" t="e">
        <f t="shared" si="148"/>
        <v>#VALUE!</v>
      </c>
      <c r="DC292" s="1436"/>
      <c r="DD292" s="1436"/>
      <c r="DE292" s="1436">
        <f t="shared" si="149"/>
        <v>1</v>
      </c>
      <c r="DF292" s="1436">
        <f t="shared" si="155"/>
        <v>1</v>
      </c>
      <c r="DG292" s="1436"/>
      <c r="DH292" s="1436">
        <f t="shared" si="156"/>
        <v>1</v>
      </c>
    </row>
    <row r="293" spans="1:112" ht="16.350000000000001" customHeight="1" x14ac:dyDescent="0.25">
      <c r="A293" s="7520" t="s">
        <v>5097</v>
      </c>
      <c r="B293" s="8705"/>
      <c r="C293" s="9862" t="s">
        <v>2140</v>
      </c>
      <c r="D293" s="9863"/>
      <c r="E293" s="4766" t="s">
        <v>5369</v>
      </c>
      <c r="F293" s="3062" t="s">
        <v>5370</v>
      </c>
      <c r="G293" s="4797" t="s">
        <v>5371</v>
      </c>
      <c r="H293" s="4801" t="s">
        <v>5372</v>
      </c>
      <c r="I293" s="3610" t="s">
        <v>5373</v>
      </c>
      <c r="J293" s="3611" t="s">
        <v>5374</v>
      </c>
      <c r="K293" s="3610" t="s">
        <v>5375</v>
      </c>
      <c r="L293" s="3611" t="s">
        <v>5376</v>
      </c>
      <c r="M293" s="3610" t="s">
        <v>5377</v>
      </c>
      <c r="N293" s="3611" t="s">
        <v>5378</v>
      </c>
      <c r="O293" s="3610" t="s">
        <v>5379</v>
      </c>
      <c r="P293" s="3611" t="s">
        <v>5380</v>
      </c>
      <c r="Q293" s="3610" t="s">
        <v>5381</v>
      </c>
      <c r="R293" s="3611" t="s">
        <v>5382</v>
      </c>
      <c r="S293" s="3610" t="s">
        <v>5383</v>
      </c>
      <c r="T293" s="3611" t="s">
        <v>5384</v>
      </c>
      <c r="U293" s="3610" t="s">
        <v>5385</v>
      </c>
      <c r="V293" s="3611" t="s">
        <v>5386</v>
      </c>
      <c r="W293" s="4802" t="s">
        <v>5387</v>
      </c>
      <c r="X293" s="3611" t="s">
        <v>5388</v>
      </c>
      <c r="Y293" s="4802" t="s">
        <v>5389</v>
      </c>
      <c r="Z293" s="3611" t="s">
        <v>5390</v>
      </c>
      <c r="AA293" s="4802" t="s">
        <v>5391</v>
      </c>
      <c r="AB293" s="3611" t="s">
        <v>5392</v>
      </c>
      <c r="AC293" s="4802" t="s">
        <v>5393</v>
      </c>
      <c r="AD293" s="3611" t="s">
        <v>5394</v>
      </c>
      <c r="AE293" s="4802" t="s">
        <v>5395</v>
      </c>
      <c r="AF293" s="3611" t="s">
        <v>5396</v>
      </c>
      <c r="AG293" s="4802" t="s">
        <v>5397</v>
      </c>
      <c r="AH293" s="3611" t="s">
        <v>5398</v>
      </c>
      <c r="AI293" s="4802" t="s">
        <v>5399</v>
      </c>
      <c r="AJ293" s="3611" t="s">
        <v>5400</v>
      </c>
      <c r="AK293" s="4802" t="s">
        <v>5401</v>
      </c>
      <c r="AL293" s="3611" t="s">
        <v>5402</v>
      </c>
      <c r="AM293" s="4802" t="s">
        <v>5403</v>
      </c>
      <c r="AN293" s="3611" t="s">
        <v>5404</v>
      </c>
      <c r="AO293" s="4802" t="s">
        <v>5405</v>
      </c>
      <c r="AP293" s="3612" t="s">
        <v>5406</v>
      </c>
      <c r="AQ293" s="3613" t="s">
        <v>5407</v>
      </c>
      <c r="AR293" s="4803" t="s">
        <v>5408</v>
      </c>
      <c r="AS293" s="4818" t="s">
        <v>5409</v>
      </c>
      <c r="AT293" s="3614" t="s">
        <v>5410</v>
      </c>
      <c r="AU293" s="3611" t="s">
        <v>5411</v>
      </c>
      <c r="AV293" s="3611" t="s">
        <v>5412</v>
      </c>
      <c r="AW293" s="4804" t="s">
        <v>5413</v>
      </c>
      <c r="AX293" s="4804" t="s">
        <v>5414</v>
      </c>
      <c r="AY293" s="3610" t="s">
        <v>5415</v>
      </c>
      <c r="AZ293" s="4900" t="e">
        <f t="shared" si="150"/>
        <v>#VALUE!</v>
      </c>
      <c r="BV293" s="1430"/>
      <c r="BW293" s="1430"/>
      <c r="BX293" s="1438"/>
      <c r="CB293" s="1435" t="e">
        <f t="shared" si="151"/>
        <v>#VALUE!</v>
      </c>
      <c r="CC293" s="1435" t="str">
        <f t="shared" si="146"/>
        <v/>
      </c>
      <c r="CD293" s="1435" t="str">
        <f t="shared" si="152"/>
        <v/>
      </c>
      <c r="CE293" s="1435" t="str">
        <f t="shared" si="147"/>
        <v xml:space="preserve">* Las Embarazadas NO DEBEN ser mayor al total de Mujeres. </v>
      </c>
      <c r="CF293" s="1435" t="str">
        <f t="shared" si="153"/>
        <v xml:space="preserve">* Los Usuarios en Situación de Discapacidad NO DEBEN ser mayor al total. </v>
      </c>
      <c r="CG293" s="1435"/>
      <c r="CH293" s="1435" t="str">
        <f t="shared" si="154"/>
        <v xml:space="preserve">* Los Migrantes NO DEBEN ser mayor al total. </v>
      </c>
      <c r="DB293" s="1436" t="e">
        <f t="shared" si="148"/>
        <v>#VALUE!</v>
      </c>
      <c r="DC293" s="1436"/>
      <c r="DD293" s="1436"/>
      <c r="DE293" s="1436">
        <f t="shared" si="149"/>
        <v>1</v>
      </c>
      <c r="DF293" s="1436">
        <f t="shared" si="155"/>
        <v>1</v>
      </c>
      <c r="DG293" s="1436"/>
      <c r="DH293" s="1436">
        <f t="shared" si="156"/>
        <v>1</v>
      </c>
    </row>
    <row r="294" spans="1:112" ht="16.350000000000001" customHeight="1" x14ac:dyDescent="0.25">
      <c r="A294" s="7520" t="s">
        <v>5327</v>
      </c>
      <c r="B294" s="9743"/>
      <c r="C294" s="9911" t="s">
        <v>1050</v>
      </c>
      <c r="D294" s="9911"/>
      <c r="E294" s="4805" t="s">
        <v>5369</v>
      </c>
      <c r="F294" s="4806" t="s">
        <v>5370</v>
      </c>
      <c r="G294" s="3615" t="s">
        <v>5371</v>
      </c>
      <c r="H294" s="3241" t="s">
        <v>5372</v>
      </c>
      <c r="I294" s="3603" t="s">
        <v>5373</v>
      </c>
      <c r="J294" s="3604" t="s">
        <v>5374</v>
      </c>
      <c r="K294" s="3603" t="s">
        <v>5375</v>
      </c>
      <c r="L294" s="3604" t="s">
        <v>5376</v>
      </c>
      <c r="M294" s="3603" t="s">
        <v>5377</v>
      </c>
      <c r="N294" s="3604" t="s">
        <v>5378</v>
      </c>
      <c r="O294" s="3603" t="s">
        <v>5379</v>
      </c>
      <c r="P294" s="3604" t="s">
        <v>5380</v>
      </c>
      <c r="Q294" s="3603" t="s">
        <v>5381</v>
      </c>
      <c r="R294" s="3604" t="s">
        <v>5382</v>
      </c>
      <c r="S294" s="3603" t="s">
        <v>5383</v>
      </c>
      <c r="T294" s="3604" t="s">
        <v>5384</v>
      </c>
      <c r="U294" s="3603" t="s">
        <v>5385</v>
      </c>
      <c r="V294" s="3604" t="s">
        <v>5386</v>
      </c>
      <c r="W294" s="3122" t="s">
        <v>5387</v>
      </c>
      <c r="X294" s="3604" t="s">
        <v>5388</v>
      </c>
      <c r="Y294" s="3122" t="s">
        <v>5389</v>
      </c>
      <c r="Z294" s="3604" t="s">
        <v>5390</v>
      </c>
      <c r="AA294" s="3122" t="s">
        <v>5391</v>
      </c>
      <c r="AB294" s="3604" t="s">
        <v>5392</v>
      </c>
      <c r="AC294" s="3122" t="s">
        <v>5393</v>
      </c>
      <c r="AD294" s="3604" t="s">
        <v>5394</v>
      </c>
      <c r="AE294" s="3122" t="s">
        <v>5395</v>
      </c>
      <c r="AF294" s="3604" t="s">
        <v>5396</v>
      </c>
      <c r="AG294" s="3122" t="s">
        <v>5397</v>
      </c>
      <c r="AH294" s="3604" t="s">
        <v>5398</v>
      </c>
      <c r="AI294" s="3122" t="s">
        <v>5399</v>
      </c>
      <c r="AJ294" s="3604" t="s">
        <v>5400</v>
      </c>
      <c r="AK294" s="3122" t="s">
        <v>5401</v>
      </c>
      <c r="AL294" s="3604" t="s">
        <v>5402</v>
      </c>
      <c r="AM294" s="3122" t="s">
        <v>5403</v>
      </c>
      <c r="AN294" s="3604" t="s">
        <v>5404</v>
      </c>
      <c r="AO294" s="3122" t="s">
        <v>5405</v>
      </c>
      <c r="AP294" s="3605" t="s">
        <v>5406</v>
      </c>
      <c r="AQ294" s="3606" t="s">
        <v>5407</v>
      </c>
      <c r="AR294" s="4807" t="s">
        <v>5408</v>
      </c>
      <c r="AS294" s="4820" t="s">
        <v>5409</v>
      </c>
      <c r="AT294" s="3616" t="s">
        <v>5410</v>
      </c>
      <c r="AU294" s="3604" t="s">
        <v>5411</v>
      </c>
      <c r="AV294" s="3604" t="s">
        <v>5412</v>
      </c>
      <c r="AW294" s="4794" t="s">
        <v>5413</v>
      </c>
      <c r="AX294" s="4794" t="s">
        <v>5414</v>
      </c>
      <c r="AY294" s="3603" t="s">
        <v>5415</v>
      </c>
      <c r="AZ294" s="4900" t="e">
        <f t="shared" si="150"/>
        <v>#VALUE!</v>
      </c>
      <c r="BV294" s="1430"/>
      <c r="BW294" s="1430"/>
      <c r="BX294" s="1438"/>
      <c r="CB294" s="1435" t="e">
        <f t="shared" si="151"/>
        <v>#VALUE!</v>
      </c>
      <c r="CC294" s="1435" t="str">
        <f t="shared" si="146"/>
        <v/>
      </c>
      <c r="CD294" s="1435" t="str">
        <f t="shared" si="152"/>
        <v/>
      </c>
      <c r="CE294" s="1435" t="str">
        <f t="shared" si="147"/>
        <v xml:space="preserve">* Las Embarazadas NO DEBEN ser mayor al total de Mujeres. </v>
      </c>
      <c r="CF294" s="1435" t="str">
        <f t="shared" si="153"/>
        <v xml:space="preserve">* Los Usuarios en Situación de Discapacidad NO DEBEN ser mayor al total. </v>
      </c>
      <c r="CG294" s="1435"/>
      <c r="CH294" s="1435" t="str">
        <f t="shared" si="154"/>
        <v xml:space="preserve">* Los Migrantes NO DEBEN ser mayor al total. </v>
      </c>
      <c r="DB294" s="1436" t="e">
        <f t="shared" si="148"/>
        <v>#VALUE!</v>
      </c>
      <c r="DC294" s="1436"/>
      <c r="DD294" s="1436"/>
      <c r="DE294" s="1436">
        <f t="shared" si="149"/>
        <v>1</v>
      </c>
      <c r="DF294" s="1436">
        <f t="shared" si="155"/>
        <v>1</v>
      </c>
      <c r="DG294" s="1436"/>
      <c r="DH294" s="1436">
        <f t="shared" si="156"/>
        <v>1</v>
      </c>
    </row>
    <row r="295" spans="1:112" ht="16.350000000000001" customHeight="1" x14ac:dyDescent="0.25">
      <c r="A295" s="7665" t="s">
        <v>5328</v>
      </c>
      <c r="B295" s="9938" t="s">
        <v>1030</v>
      </c>
      <c r="C295" s="9940" t="s">
        <v>1054</v>
      </c>
      <c r="D295" s="9940"/>
      <c r="E295" s="7068" t="s">
        <v>5369</v>
      </c>
      <c r="F295" s="4843" t="s">
        <v>5370</v>
      </c>
      <c r="G295" s="4844" t="s">
        <v>5371</v>
      </c>
      <c r="H295" s="4845" t="s">
        <v>5372</v>
      </c>
      <c r="I295" s="4846" t="s">
        <v>5373</v>
      </c>
      <c r="J295" s="4847" t="s">
        <v>5374</v>
      </c>
      <c r="K295" s="4846" t="s">
        <v>5375</v>
      </c>
      <c r="L295" s="4847" t="s">
        <v>5376</v>
      </c>
      <c r="M295" s="4846" t="s">
        <v>5377</v>
      </c>
      <c r="N295" s="4847" t="s">
        <v>5378</v>
      </c>
      <c r="O295" s="4846" t="s">
        <v>5379</v>
      </c>
      <c r="P295" s="4847" t="s">
        <v>5380</v>
      </c>
      <c r="Q295" s="4846" t="s">
        <v>5381</v>
      </c>
      <c r="R295" s="4847" t="s">
        <v>5382</v>
      </c>
      <c r="S295" s="4846" t="s">
        <v>5383</v>
      </c>
      <c r="T295" s="4847" t="s">
        <v>5384</v>
      </c>
      <c r="U295" s="4846" t="s">
        <v>5385</v>
      </c>
      <c r="V295" s="4847" t="s">
        <v>5386</v>
      </c>
      <c r="W295" s="4848" t="s">
        <v>5387</v>
      </c>
      <c r="X295" s="4847" t="s">
        <v>5388</v>
      </c>
      <c r="Y295" s="4848" t="s">
        <v>5389</v>
      </c>
      <c r="Z295" s="4847" t="s">
        <v>5390</v>
      </c>
      <c r="AA295" s="4848" t="s">
        <v>5391</v>
      </c>
      <c r="AB295" s="4847" t="s">
        <v>5392</v>
      </c>
      <c r="AC295" s="4848" t="s">
        <v>5393</v>
      </c>
      <c r="AD295" s="4847" t="s">
        <v>5394</v>
      </c>
      <c r="AE295" s="4848" t="s">
        <v>5395</v>
      </c>
      <c r="AF295" s="4847" t="s">
        <v>5396</v>
      </c>
      <c r="AG295" s="4848" t="s">
        <v>5397</v>
      </c>
      <c r="AH295" s="4847" t="s">
        <v>5398</v>
      </c>
      <c r="AI295" s="4848" t="s">
        <v>5399</v>
      </c>
      <c r="AJ295" s="4847" t="s">
        <v>5400</v>
      </c>
      <c r="AK295" s="4848" t="s">
        <v>5401</v>
      </c>
      <c r="AL295" s="4847" t="s">
        <v>5402</v>
      </c>
      <c r="AM295" s="4848" t="s">
        <v>5403</v>
      </c>
      <c r="AN295" s="4845" t="s">
        <v>5404</v>
      </c>
      <c r="AO295" s="4849" t="s">
        <v>5405</v>
      </c>
      <c r="AP295" s="4847" t="s">
        <v>5406</v>
      </c>
      <c r="AQ295" s="4850" t="s">
        <v>5407</v>
      </c>
      <c r="AR295" s="4845" t="s">
        <v>5408</v>
      </c>
      <c r="AS295" s="4851" t="s">
        <v>5409</v>
      </c>
      <c r="AT295" s="4842" t="s">
        <v>5410</v>
      </c>
      <c r="AU295" s="4852" t="s">
        <v>5411</v>
      </c>
      <c r="AV295" s="4852" t="s">
        <v>5412</v>
      </c>
      <c r="AW295" s="3125" t="s">
        <v>5413</v>
      </c>
      <c r="AX295" s="3125" t="s">
        <v>5414</v>
      </c>
      <c r="AY295" s="4853" t="s">
        <v>5415</v>
      </c>
      <c r="AZ295" s="4900" t="e">
        <f t="shared" si="150"/>
        <v>#VALUE!</v>
      </c>
      <c r="BV295" s="1430"/>
      <c r="BW295" s="1430"/>
      <c r="BX295" s="1438"/>
      <c r="CB295" s="1435" t="e">
        <f t="shared" si="151"/>
        <v>#VALUE!</v>
      </c>
      <c r="CC295" s="1435" t="str">
        <f t="shared" si="146"/>
        <v xml:space="preserve">* La consulta pertinente según Protocolo de Referencia NO DEBE ser mayor al Total registrado. </v>
      </c>
      <c r="CD295" s="1435" t="str">
        <f t="shared" si="152"/>
        <v xml:space="preserve">* La consulta pertinente según condición clínica NO DEBE ser mayor al Total registrado. </v>
      </c>
      <c r="CE295" s="1435" t="str">
        <f t="shared" si="147"/>
        <v xml:space="preserve">* Las Embarazadas NO DEBEN ser mayor al total de Mujeres. </v>
      </c>
      <c r="CF295" s="1435" t="str">
        <f t="shared" si="153"/>
        <v xml:space="preserve">* Los Usuarios en Situación de Discapacidad NO DEBEN ser mayor al total. </v>
      </c>
      <c r="CG295" s="1435"/>
      <c r="CH295" s="1435" t="str">
        <f t="shared" si="154"/>
        <v xml:space="preserve">* Los Migrantes NO DEBEN ser mayor al total. </v>
      </c>
      <c r="DB295" s="1436" t="e">
        <f t="shared" si="148"/>
        <v>#VALUE!</v>
      </c>
      <c r="DC295" s="1436">
        <f>IF(E295&lt;AR295,1,0)</f>
        <v>1</v>
      </c>
      <c r="DD295" s="1436">
        <f>IF(E295&lt;AS295,1,0)</f>
        <v>1</v>
      </c>
      <c r="DE295" s="1436">
        <f t="shared" si="149"/>
        <v>1</v>
      </c>
      <c r="DF295" s="1436">
        <f t="shared" si="155"/>
        <v>1</v>
      </c>
      <c r="DG295" s="1436"/>
      <c r="DH295" s="1436">
        <f t="shared" si="156"/>
        <v>1</v>
      </c>
    </row>
    <row r="296" spans="1:112" ht="16.350000000000001" customHeight="1" x14ac:dyDescent="0.25">
      <c r="A296" s="7665" t="s">
        <v>5329</v>
      </c>
      <c r="B296" s="8581"/>
      <c r="C296" s="9835" t="s">
        <v>1053</v>
      </c>
      <c r="D296" s="9835"/>
      <c r="E296" s="3061" t="s">
        <v>5369</v>
      </c>
      <c r="F296" s="4854" t="s">
        <v>5370</v>
      </c>
      <c r="G296" s="4855" t="s">
        <v>5371</v>
      </c>
      <c r="H296" s="4856" t="s">
        <v>5372</v>
      </c>
      <c r="I296" s="4857" t="s">
        <v>5373</v>
      </c>
      <c r="J296" s="4858" t="s">
        <v>5374</v>
      </c>
      <c r="K296" s="4857" t="s">
        <v>5375</v>
      </c>
      <c r="L296" s="4858" t="s">
        <v>5376</v>
      </c>
      <c r="M296" s="4857" t="s">
        <v>5377</v>
      </c>
      <c r="N296" s="4858" t="s">
        <v>5378</v>
      </c>
      <c r="O296" s="4857" t="s">
        <v>5379</v>
      </c>
      <c r="P296" s="4858" t="s">
        <v>5380</v>
      </c>
      <c r="Q296" s="4857" t="s">
        <v>5381</v>
      </c>
      <c r="R296" s="4858" t="s">
        <v>5382</v>
      </c>
      <c r="S296" s="4857" t="s">
        <v>5383</v>
      </c>
      <c r="T296" s="4858" t="s">
        <v>5384</v>
      </c>
      <c r="U296" s="4857" t="s">
        <v>5385</v>
      </c>
      <c r="V296" s="4858" t="s">
        <v>5386</v>
      </c>
      <c r="W296" s="4859" t="s">
        <v>5387</v>
      </c>
      <c r="X296" s="4858" t="s">
        <v>5388</v>
      </c>
      <c r="Y296" s="4859" t="s">
        <v>5389</v>
      </c>
      <c r="Z296" s="4858" t="s">
        <v>5390</v>
      </c>
      <c r="AA296" s="4859" t="s">
        <v>5391</v>
      </c>
      <c r="AB296" s="4858" t="s">
        <v>5392</v>
      </c>
      <c r="AC296" s="4859" t="s">
        <v>5393</v>
      </c>
      <c r="AD296" s="4858" t="s">
        <v>5394</v>
      </c>
      <c r="AE296" s="4859" t="s">
        <v>5395</v>
      </c>
      <c r="AF296" s="4858" t="s">
        <v>5396</v>
      </c>
      <c r="AG296" s="4859" t="s">
        <v>5397</v>
      </c>
      <c r="AH296" s="4858" t="s">
        <v>5398</v>
      </c>
      <c r="AI296" s="4859" t="s">
        <v>5399</v>
      </c>
      <c r="AJ296" s="4858" t="s">
        <v>5400</v>
      </c>
      <c r="AK296" s="4859" t="s">
        <v>5401</v>
      </c>
      <c r="AL296" s="4858" t="s">
        <v>5402</v>
      </c>
      <c r="AM296" s="4859" t="s">
        <v>5403</v>
      </c>
      <c r="AN296" s="4856" t="s">
        <v>5404</v>
      </c>
      <c r="AO296" s="4860" t="s">
        <v>5405</v>
      </c>
      <c r="AP296" s="4858" t="s">
        <v>5406</v>
      </c>
      <c r="AQ296" s="4861" t="s">
        <v>5407</v>
      </c>
      <c r="AR296" s="4789" t="s">
        <v>5408</v>
      </c>
      <c r="AS296" s="4810" t="s">
        <v>5409</v>
      </c>
      <c r="AT296" s="3508" t="s">
        <v>5410</v>
      </c>
      <c r="AU296" s="4799" t="s">
        <v>5411</v>
      </c>
      <c r="AV296" s="4799" t="s">
        <v>5412</v>
      </c>
      <c r="AW296" s="4800" t="s">
        <v>5413</v>
      </c>
      <c r="AX296" s="4800" t="s">
        <v>5414</v>
      </c>
      <c r="AY296" s="1816" t="s">
        <v>5415</v>
      </c>
      <c r="AZ296" s="4900" t="e">
        <f t="shared" si="150"/>
        <v>#VALUE!</v>
      </c>
      <c r="BV296" s="1430"/>
      <c r="BW296" s="1430"/>
      <c r="BX296" s="1438"/>
      <c r="CB296" s="1435" t="e">
        <f t="shared" si="151"/>
        <v>#VALUE!</v>
      </c>
      <c r="CC296" s="1435" t="str">
        <f t="shared" si="146"/>
        <v/>
      </c>
      <c r="CD296" s="1435" t="str">
        <f t="shared" si="152"/>
        <v/>
      </c>
      <c r="CE296" s="1435" t="str">
        <f t="shared" si="147"/>
        <v xml:space="preserve">* Las Embarazadas NO DEBEN ser mayor al total de Mujeres. </v>
      </c>
      <c r="CF296" s="1435" t="str">
        <f t="shared" si="153"/>
        <v xml:space="preserve">* Los Usuarios en Situación de Discapacidad NO DEBEN ser mayor al total. </v>
      </c>
      <c r="CG296" s="1435"/>
      <c r="CH296" s="1435" t="str">
        <f t="shared" si="154"/>
        <v xml:space="preserve">* Los Migrantes NO DEBEN ser mayor al total. </v>
      </c>
      <c r="DB296" s="1436" t="e">
        <f t="shared" si="148"/>
        <v>#VALUE!</v>
      </c>
      <c r="DC296" s="1436"/>
      <c r="DD296" s="1436"/>
      <c r="DE296" s="1436">
        <f t="shared" si="149"/>
        <v>1</v>
      </c>
      <c r="DF296" s="1436">
        <f t="shared" si="155"/>
        <v>1</v>
      </c>
      <c r="DG296" s="1436"/>
      <c r="DH296" s="1436">
        <f t="shared" si="156"/>
        <v>1</v>
      </c>
    </row>
    <row r="297" spans="1:112" ht="16.350000000000001" customHeight="1" x14ac:dyDescent="0.25">
      <c r="A297" s="7665" t="s">
        <v>5330</v>
      </c>
      <c r="B297" s="8581"/>
      <c r="C297" s="9918" t="s">
        <v>1052</v>
      </c>
      <c r="D297" s="9919"/>
      <c r="E297" s="3061" t="s">
        <v>5369</v>
      </c>
      <c r="F297" s="4854" t="s">
        <v>5370</v>
      </c>
      <c r="G297" s="4855" t="s">
        <v>5371</v>
      </c>
      <c r="H297" s="4856" t="s">
        <v>5372</v>
      </c>
      <c r="I297" s="4857" t="s">
        <v>5373</v>
      </c>
      <c r="J297" s="4858" t="s">
        <v>5374</v>
      </c>
      <c r="K297" s="4857" t="s">
        <v>5375</v>
      </c>
      <c r="L297" s="4858" t="s">
        <v>5376</v>
      </c>
      <c r="M297" s="4857" t="s">
        <v>5377</v>
      </c>
      <c r="N297" s="4858" t="s">
        <v>5378</v>
      </c>
      <c r="O297" s="4857" t="s">
        <v>5379</v>
      </c>
      <c r="P297" s="4858" t="s">
        <v>5380</v>
      </c>
      <c r="Q297" s="4857" t="s">
        <v>5381</v>
      </c>
      <c r="R297" s="4858" t="s">
        <v>5382</v>
      </c>
      <c r="S297" s="4857" t="s">
        <v>5383</v>
      </c>
      <c r="T297" s="4858" t="s">
        <v>5384</v>
      </c>
      <c r="U297" s="4857" t="s">
        <v>5385</v>
      </c>
      <c r="V297" s="4858" t="s">
        <v>5386</v>
      </c>
      <c r="W297" s="4859" t="s">
        <v>5387</v>
      </c>
      <c r="X297" s="4858" t="s">
        <v>5388</v>
      </c>
      <c r="Y297" s="4859" t="s">
        <v>5389</v>
      </c>
      <c r="Z297" s="4858" t="s">
        <v>5390</v>
      </c>
      <c r="AA297" s="4859" t="s">
        <v>5391</v>
      </c>
      <c r="AB297" s="4858" t="s">
        <v>5392</v>
      </c>
      <c r="AC297" s="4859" t="s">
        <v>5393</v>
      </c>
      <c r="AD297" s="4858" t="s">
        <v>5394</v>
      </c>
      <c r="AE297" s="4859" t="s">
        <v>5395</v>
      </c>
      <c r="AF297" s="4858" t="s">
        <v>5396</v>
      </c>
      <c r="AG297" s="4859" t="s">
        <v>5397</v>
      </c>
      <c r="AH297" s="4858" t="s">
        <v>5398</v>
      </c>
      <c r="AI297" s="4859" t="s">
        <v>5399</v>
      </c>
      <c r="AJ297" s="4858" t="s">
        <v>5400</v>
      </c>
      <c r="AK297" s="4859" t="s">
        <v>5401</v>
      </c>
      <c r="AL297" s="4858" t="s">
        <v>5402</v>
      </c>
      <c r="AM297" s="4859" t="s">
        <v>5403</v>
      </c>
      <c r="AN297" s="4856" t="s">
        <v>5404</v>
      </c>
      <c r="AO297" s="4860" t="s">
        <v>5405</v>
      </c>
      <c r="AP297" s="4858" t="s">
        <v>5406</v>
      </c>
      <c r="AQ297" s="4861" t="s">
        <v>5407</v>
      </c>
      <c r="AR297" s="4789" t="s">
        <v>5408</v>
      </c>
      <c r="AS297" s="4810" t="s">
        <v>5409</v>
      </c>
      <c r="AT297" s="4810" t="s">
        <v>5410</v>
      </c>
      <c r="AU297" s="4799" t="s">
        <v>5411</v>
      </c>
      <c r="AV297" s="4799" t="s">
        <v>5412</v>
      </c>
      <c r="AW297" s="4800" t="s">
        <v>5413</v>
      </c>
      <c r="AX297" s="4800" t="s">
        <v>5414</v>
      </c>
      <c r="AY297" s="1816" t="s">
        <v>5415</v>
      </c>
      <c r="AZ297" s="4900" t="e">
        <f t="shared" si="150"/>
        <v>#VALUE!</v>
      </c>
      <c r="BV297" s="1430"/>
      <c r="BW297" s="1430"/>
      <c r="BX297" s="1438"/>
      <c r="CB297" s="1435" t="e">
        <f t="shared" si="151"/>
        <v>#VALUE!</v>
      </c>
      <c r="CC297" s="1435" t="str">
        <f t="shared" si="146"/>
        <v/>
      </c>
      <c r="CD297" s="1435" t="str">
        <f t="shared" si="152"/>
        <v/>
      </c>
      <c r="CE297" s="1435" t="str">
        <f t="shared" si="147"/>
        <v xml:space="preserve">* Las Embarazadas NO DEBEN ser mayor al total de Mujeres. </v>
      </c>
      <c r="CF297" s="1435" t="str">
        <f t="shared" si="153"/>
        <v xml:space="preserve">* Los Usuarios en Situación de Discapacidad NO DEBEN ser mayor al total. </v>
      </c>
      <c r="CG297" s="1435"/>
      <c r="CH297" s="1435" t="str">
        <f t="shared" si="154"/>
        <v xml:space="preserve">* Los Migrantes NO DEBEN ser mayor al total. </v>
      </c>
      <c r="DB297" s="1436" t="e">
        <f t="shared" si="148"/>
        <v>#VALUE!</v>
      </c>
      <c r="DC297" s="1436"/>
      <c r="DD297" s="1436"/>
      <c r="DE297" s="1436">
        <f t="shared" si="149"/>
        <v>1</v>
      </c>
      <c r="DF297" s="1436">
        <f t="shared" si="155"/>
        <v>1</v>
      </c>
      <c r="DG297" s="1436"/>
      <c r="DH297" s="1436">
        <f t="shared" si="156"/>
        <v>1</v>
      </c>
    </row>
    <row r="298" spans="1:112" ht="16.350000000000001" customHeight="1" x14ac:dyDescent="0.25">
      <c r="A298" s="7665" t="s">
        <v>5331</v>
      </c>
      <c r="B298" s="8581"/>
      <c r="C298" s="9941" t="s">
        <v>1051</v>
      </c>
      <c r="D298" s="9942"/>
      <c r="E298" s="3061" t="s">
        <v>5369</v>
      </c>
      <c r="F298" s="4854" t="s">
        <v>5370</v>
      </c>
      <c r="G298" s="4855" t="s">
        <v>5371</v>
      </c>
      <c r="H298" s="4862" t="s">
        <v>5372</v>
      </c>
      <c r="I298" s="4863" t="s">
        <v>5373</v>
      </c>
      <c r="J298" s="4864" t="s">
        <v>5374</v>
      </c>
      <c r="K298" s="4863" t="s">
        <v>5375</v>
      </c>
      <c r="L298" s="4864" t="s">
        <v>5376</v>
      </c>
      <c r="M298" s="4863" t="s">
        <v>5377</v>
      </c>
      <c r="N298" s="4864" t="s">
        <v>5378</v>
      </c>
      <c r="O298" s="4863" t="s">
        <v>5379</v>
      </c>
      <c r="P298" s="4864" t="s">
        <v>5380</v>
      </c>
      <c r="Q298" s="4863" t="s">
        <v>5381</v>
      </c>
      <c r="R298" s="4864" t="s">
        <v>5382</v>
      </c>
      <c r="S298" s="4863" t="s">
        <v>5383</v>
      </c>
      <c r="T298" s="4864" t="s">
        <v>5384</v>
      </c>
      <c r="U298" s="4863" t="s">
        <v>5385</v>
      </c>
      <c r="V298" s="4864" t="s">
        <v>5386</v>
      </c>
      <c r="W298" s="4863" t="s">
        <v>5387</v>
      </c>
      <c r="X298" s="4864" t="s">
        <v>5388</v>
      </c>
      <c r="Y298" s="4863" t="s">
        <v>5389</v>
      </c>
      <c r="Z298" s="4864" t="s">
        <v>5390</v>
      </c>
      <c r="AA298" s="4863" t="s">
        <v>5391</v>
      </c>
      <c r="AB298" s="4864" t="s">
        <v>5392</v>
      </c>
      <c r="AC298" s="4863" t="s">
        <v>5393</v>
      </c>
      <c r="AD298" s="4864" t="s">
        <v>5394</v>
      </c>
      <c r="AE298" s="4863" t="s">
        <v>5395</v>
      </c>
      <c r="AF298" s="4864" t="s">
        <v>5396</v>
      </c>
      <c r="AG298" s="4863" t="s">
        <v>5397</v>
      </c>
      <c r="AH298" s="4864" t="s">
        <v>5398</v>
      </c>
      <c r="AI298" s="4863" t="s">
        <v>5399</v>
      </c>
      <c r="AJ298" s="4864" t="s">
        <v>5400</v>
      </c>
      <c r="AK298" s="4863" t="s">
        <v>5401</v>
      </c>
      <c r="AL298" s="4864" t="s">
        <v>5402</v>
      </c>
      <c r="AM298" s="4863" t="s">
        <v>5403</v>
      </c>
      <c r="AN298" s="4862" t="s">
        <v>5404</v>
      </c>
      <c r="AO298" s="4865" t="s">
        <v>5405</v>
      </c>
      <c r="AP298" s="4866" t="s">
        <v>5406</v>
      </c>
      <c r="AQ298" s="4867" t="s">
        <v>5407</v>
      </c>
      <c r="AR298" s="4789" t="s">
        <v>5408</v>
      </c>
      <c r="AS298" s="4810" t="s">
        <v>5409</v>
      </c>
      <c r="AT298" s="4810" t="s">
        <v>5410</v>
      </c>
      <c r="AU298" s="4866" t="s">
        <v>5411</v>
      </c>
      <c r="AV298" s="4866" t="s">
        <v>5412</v>
      </c>
      <c r="AW298" s="4868" t="s">
        <v>5413</v>
      </c>
      <c r="AX298" s="4868" t="s">
        <v>5414</v>
      </c>
      <c r="AY298" s="4869" t="s">
        <v>5415</v>
      </c>
      <c r="AZ298" s="4900" t="e">
        <f t="shared" si="150"/>
        <v>#VALUE!</v>
      </c>
      <c r="BV298" s="1430"/>
      <c r="BW298" s="1430"/>
      <c r="BX298" s="1438"/>
      <c r="CB298" s="1435" t="e">
        <f t="shared" si="151"/>
        <v>#VALUE!</v>
      </c>
      <c r="CC298" s="1435" t="str">
        <f t="shared" si="146"/>
        <v/>
      </c>
      <c r="CD298" s="1435" t="str">
        <f t="shared" si="152"/>
        <v/>
      </c>
      <c r="CE298" s="1435" t="str">
        <f t="shared" si="147"/>
        <v xml:space="preserve">* Las Embarazadas NO DEBEN ser mayor al total de Mujeres. </v>
      </c>
      <c r="CF298" s="1435" t="str">
        <f t="shared" si="153"/>
        <v xml:space="preserve">* Los Usuarios en Situación de Discapacidad NO DEBEN ser mayor al total. </v>
      </c>
      <c r="CG298" s="1435"/>
      <c r="CH298" s="1435" t="str">
        <f t="shared" si="154"/>
        <v xml:space="preserve">* Los Migrantes NO DEBEN ser mayor al total. </v>
      </c>
      <c r="DB298" s="1436" t="e">
        <f t="shared" si="148"/>
        <v>#VALUE!</v>
      </c>
      <c r="DC298" s="1436"/>
      <c r="DD298" s="1436"/>
      <c r="DE298" s="1436">
        <f t="shared" si="149"/>
        <v>1</v>
      </c>
      <c r="DF298" s="1436">
        <f t="shared" si="155"/>
        <v>1</v>
      </c>
      <c r="DG298" s="1436"/>
      <c r="DH298" s="1436">
        <f t="shared" si="156"/>
        <v>1</v>
      </c>
    </row>
    <row r="299" spans="1:112" ht="16.350000000000001" customHeight="1" x14ac:dyDescent="0.25">
      <c r="A299" s="7665" t="s">
        <v>5098</v>
      </c>
      <c r="B299" s="8581"/>
      <c r="C299" s="9862" t="s">
        <v>2140</v>
      </c>
      <c r="D299" s="9863"/>
      <c r="E299" s="3061" t="s">
        <v>5369</v>
      </c>
      <c r="F299" s="4854" t="s">
        <v>5370</v>
      </c>
      <c r="G299" s="4855" t="s">
        <v>5371</v>
      </c>
      <c r="H299" s="4862" t="s">
        <v>5372</v>
      </c>
      <c r="I299" s="4863" t="s">
        <v>5373</v>
      </c>
      <c r="J299" s="4864" t="s">
        <v>5374</v>
      </c>
      <c r="K299" s="4863" t="s">
        <v>5375</v>
      </c>
      <c r="L299" s="4864" t="s">
        <v>5376</v>
      </c>
      <c r="M299" s="4863" t="s">
        <v>5377</v>
      </c>
      <c r="N299" s="4864" t="s">
        <v>5378</v>
      </c>
      <c r="O299" s="4863" t="s">
        <v>5379</v>
      </c>
      <c r="P299" s="4864" t="s">
        <v>5380</v>
      </c>
      <c r="Q299" s="4863" t="s">
        <v>5381</v>
      </c>
      <c r="R299" s="4864" t="s">
        <v>5382</v>
      </c>
      <c r="S299" s="4863" t="s">
        <v>5383</v>
      </c>
      <c r="T299" s="4864" t="s">
        <v>5384</v>
      </c>
      <c r="U299" s="4863" t="s">
        <v>5385</v>
      </c>
      <c r="V299" s="4864" t="s">
        <v>5386</v>
      </c>
      <c r="W299" s="4863" t="s">
        <v>5387</v>
      </c>
      <c r="X299" s="4864" t="s">
        <v>5388</v>
      </c>
      <c r="Y299" s="4863" t="s">
        <v>5389</v>
      </c>
      <c r="Z299" s="4864" t="s">
        <v>5390</v>
      </c>
      <c r="AA299" s="4863" t="s">
        <v>5391</v>
      </c>
      <c r="AB299" s="4864" t="s">
        <v>5392</v>
      </c>
      <c r="AC299" s="4863" t="s">
        <v>5393</v>
      </c>
      <c r="AD299" s="4864" t="s">
        <v>5394</v>
      </c>
      <c r="AE299" s="4863" t="s">
        <v>5395</v>
      </c>
      <c r="AF299" s="4864" t="s">
        <v>5396</v>
      </c>
      <c r="AG299" s="4863" t="s">
        <v>5397</v>
      </c>
      <c r="AH299" s="4864" t="s">
        <v>5398</v>
      </c>
      <c r="AI299" s="4863" t="s">
        <v>5399</v>
      </c>
      <c r="AJ299" s="4864" t="s">
        <v>5400</v>
      </c>
      <c r="AK299" s="4863" t="s">
        <v>5401</v>
      </c>
      <c r="AL299" s="4864" t="s">
        <v>5402</v>
      </c>
      <c r="AM299" s="4863" t="s">
        <v>5403</v>
      </c>
      <c r="AN299" s="4862" t="s">
        <v>5404</v>
      </c>
      <c r="AO299" s="4865" t="s">
        <v>5405</v>
      </c>
      <c r="AP299" s="2065" t="s">
        <v>5406</v>
      </c>
      <c r="AQ299" s="3641" t="s">
        <v>5407</v>
      </c>
      <c r="AR299" s="4803" t="s">
        <v>5408</v>
      </c>
      <c r="AS299" s="4818" t="s">
        <v>5409</v>
      </c>
      <c r="AT299" s="3614" t="s">
        <v>5410</v>
      </c>
      <c r="AU299" s="2065" t="s">
        <v>5411</v>
      </c>
      <c r="AV299" s="2065" t="s">
        <v>5412</v>
      </c>
      <c r="AW299" s="3642" t="s">
        <v>5413</v>
      </c>
      <c r="AX299" s="3642" t="s">
        <v>5414</v>
      </c>
      <c r="AY299" s="3643" t="s">
        <v>5415</v>
      </c>
      <c r="AZ299" s="4900" t="e">
        <f t="shared" si="150"/>
        <v>#VALUE!</v>
      </c>
      <c r="BV299" s="1430"/>
      <c r="BW299" s="1430"/>
      <c r="BX299" s="1438"/>
      <c r="CB299" s="1435" t="e">
        <f t="shared" si="151"/>
        <v>#VALUE!</v>
      </c>
      <c r="CC299" s="1435" t="str">
        <f t="shared" si="146"/>
        <v/>
      </c>
      <c r="CD299" s="1435" t="str">
        <f t="shared" si="152"/>
        <v/>
      </c>
      <c r="CE299" s="1435" t="str">
        <f t="shared" si="147"/>
        <v xml:space="preserve">* Las Embarazadas NO DEBEN ser mayor al total de Mujeres. </v>
      </c>
      <c r="CF299" s="1435" t="str">
        <f t="shared" si="153"/>
        <v xml:space="preserve">* Los Usuarios en Situación de Discapacidad NO DEBEN ser mayor al total. </v>
      </c>
      <c r="CG299" s="1435"/>
      <c r="CH299" s="1435" t="str">
        <f t="shared" si="154"/>
        <v xml:space="preserve">* Los Migrantes NO DEBEN ser mayor al total. </v>
      </c>
      <c r="DB299" s="1436" t="e">
        <f t="shared" si="148"/>
        <v>#VALUE!</v>
      </c>
      <c r="DC299" s="1436"/>
      <c r="DD299" s="1436"/>
      <c r="DE299" s="1436">
        <f t="shared" si="149"/>
        <v>1</v>
      </c>
      <c r="DF299" s="1436">
        <f t="shared" si="155"/>
        <v>1</v>
      </c>
      <c r="DG299" s="1436"/>
      <c r="DH299" s="1436">
        <f t="shared" si="156"/>
        <v>1</v>
      </c>
    </row>
    <row r="300" spans="1:112" ht="16.350000000000001" customHeight="1" thickBot="1" x14ac:dyDescent="0.3">
      <c r="A300" s="7665" t="s">
        <v>5332</v>
      </c>
      <c r="B300" s="9939"/>
      <c r="C300" s="9943" t="s">
        <v>1050</v>
      </c>
      <c r="D300" s="9943"/>
      <c r="E300" s="669" t="s">
        <v>5369</v>
      </c>
      <c r="F300" s="4870" t="s">
        <v>5370</v>
      </c>
      <c r="G300" s="4871" t="s">
        <v>5371</v>
      </c>
      <c r="H300" s="4872" t="s">
        <v>5372</v>
      </c>
      <c r="I300" s="4873" t="s">
        <v>5373</v>
      </c>
      <c r="J300" s="4874" t="s">
        <v>5374</v>
      </c>
      <c r="K300" s="4873" t="s">
        <v>5375</v>
      </c>
      <c r="L300" s="4874" t="s">
        <v>5376</v>
      </c>
      <c r="M300" s="4873" t="s">
        <v>5377</v>
      </c>
      <c r="N300" s="4874" t="s">
        <v>5378</v>
      </c>
      <c r="O300" s="4873" t="s">
        <v>5379</v>
      </c>
      <c r="P300" s="4874" t="s">
        <v>5380</v>
      </c>
      <c r="Q300" s="4873" t="s">
        <v>5381</v>
      </c>
      <c r="R300" s="4874" t="s">
        <v>5382</v>
      </c>
      <c r="S300" s="4873" t="s">
        <v>5383</v>
      </c>
      <c r="T300" s="4874" t="s">
        <v>5384</v>
      </c>
      <c r="U300" s="4873" t="s">
        <v>5385</v>
      </c>
      <c r="V300" s="4872" t="s">
        <v>5386</v>
      </c>
      <c r="W300" s="4873" t="s">
        <v>5387</v>
      </c>
      <c r="X300" s="4872" t="s">
        <v>5388</v>
      </c>
      <c r="Y300" s="4873" t="s">
        <v>5389</v>
      </c>
      <c r="Z300" s="4872" t="s">
        <v>5390</v>
      </c>
      <c r="AA300" s="4873" t="s">
        <v>5391</v>
      </c>
      <c r="AB300" s="4872" t="s">
        <v>5392</v>
      </c>
      <c r="AC300" s="4873" t="s">
        <v>5393</v>
      </c>
      <c r="AD300" s="4872" t="s">
        <v>5394</v>
      </c>
      <c r="AE300" s="4873" t="s">
        <v>5395</v>
      </c>
      <c r="AF300" s="4872" t="s">
        <v>5396</v>
      </c>
      <c r="AG300" s="4873" t="s">
        <v>5397</v>
      </c>
      <c r="AH300" s="4872" t="s">
        <v>5398</v>
      </c>
      <c r="AI300" s="4873" t="s">
        <v>5399</v>
      </c>
      <c r="AJ300" s="4872" t="s">
        <v>5400</v>
      </c>
      <c r="AK300" s="4873" t="s">
        <v>5401</v>
      </c>
      <c r="AL300" s="4872" t="s">
        <v>5402</v>
      </c>
      <c r="AM300" s="4873" t="s">
        <v>5403</v>
      </c>
      <c r="AN300" s="4872" t="s">
        <v>5404</v>
      </c>
      <c r="AO300" s="4875" t="s">
        <v>5405</v>
      </c>
      <c r="AP300" s="4876" t="s">
        <v>5406</v>
      </c>
      <c r="AQ300" s="4877" t="s">
        <v>5407</v>
      </c>
      <c r="AR300" s="4878" t="s">
        <v>5408</v>
      </c>
      <c r="AS300" s="4879" t="s">
        <v>5409</v>
      </c>
      <c r="AT300" s="3616" t="s">
        <v>5410</v>
      </c>
      <c r="AU300" s="4876" t="s">
        <v>5411</v>
      </c>
      <c r="AV300" s="4876" t="s">
        <v>5412</v>
      </c>
      <c r="AW300" s="4880" t="s">
        <v>5413</v>
      </c>
      <c r="AX300" s="4880" t="s">
        <v>5414</v>
      </c>
      <c r="AY300" s="4881" t="s">
        <v>5415</v>
      </c>
      <c r="AZ300" s="4900" t="e">
        <f t="shared" si="150"/>
        <v>#VALUE!</v>
      </c>
      <c r="BV300" s="1430"/>
      <c r="BW300" s="1430"/>
      <c r="BX300" s="1438"/>
      <c r="CB300" s="1435" t="e">
        <f t="shared" si="151"/>
        <v>#VALUE!</v>
      </c>
      <c r="CC300" s="1435" t="str">
        <f t="shared" si="146"/>
        <v/>
      </c>
      <c r="CD300" s="1435" t="str">
        <f t="shared" si="152"/>
        <v/>
      </c>
      <c r="CE300" s="1435" t="str">
        <f t="shared" si="147"/>
        <v xml:space="preserve">* Las Embarazadas NO DEBEN ser mayor al total de Mujeres. </v>
      </c>
      <c r="CF300" s="1435" t="str">
        <f t="shared" si="153"/>
        <v xml:space="preserve">* Los Usuarios en Situación de Discapacidad NO DEBEN ser mayor al total. </v>
      </c>
      <c r="CG300" s="1435"/>
      <c r="CH300" s="1435" t="str">
        <f t="shared" si="154"/>
        <v xml:space="preserve">* Los Migrantes NO DEBEN ser mayor al total. </v>
      </c>
      <c r="DB300" s="1436" t="e">
        <f t="shared" si="148"/>
        <v>#VALUE!</v>
      </c>
      <c r="DC300" s="1436"/>
      <c r="DD300" s="1436"/>
      <c r="DE300" s="1436">
        <f t="shared" si="149"/>
        <v>1</v>
      </c>
      <c r="DF300" s="1436">
        <f t="shared" si="155"/>
        <v>1</v>
      </c>
      <c r="DG300" s="1436"/>
      <c r="DH300" s="1436">
        <f t="shared" si="156"/>
        <v>1</v>
      </c>
    </row>
    <row r="301" spans="1:112" ht="16.350000000000001" customHeight="1" thickTop="1" x14ac:dyDescent="0.25">
      <c r="A301" s="7267"/>
      <c r="B301" s="9916" t="s">
        <v>24</v>
      </c>
      <c r="C301" s="9903" t="s">
        <v>1054</v>
      </c>
      <c r="D301" s="9903"/>
      <c r="E301" s="3247" t="e">
        <f t="shared" ref="E301:E306" si="157">SUM(F301+G301)</f>
        <v>#VALUE!</v>
      </c>
      <c r="F301" s="3644" t="e">
        <f t="shared" ref="F301:G306" si="158">SUM(H301+J301+L301+N301+P301+R301+T301+V301+X301+Z301+AB301+AD301+AF301+AH301+AJ301+AL301+AN301)</f>
        <v>#VALUE!</v>
      </c>
      <c r="G301" s="3645" t="e">
        <f t="shared" si="158"/>
        <v>#VALUE!</v>
      </c>
      <c r="H301" s="1827" t="e">
        <f t="shared" ref="H301:I305" si="159">+H223+H229+H235+H241+H247+H253+H259+H283+H289+H295</f>
        <v>#VALUE!</v>
      </c>
      <c r="I301" s="1828" t="e">
        <f t="shared" si="159"/>
        <v>#VALUE!</v>
      </c>
      <c r="J301" s="1827" t="e">
        <f t="shared" ref="H301:K306" si="160">+J223+J229+J235+J241+J247+J253+J259+J283+J289+J295</f>
        <v>#VALUE!</v>
      </c>
      <c r="K301" s="1828" t="e">
        <f t="shared" si="160"/>
        <v>#VALUE!</v>
      </c>
      <c r="L301" s="1828" t="e">
        <f t="shared" ref="L301:Y301" si="161">+L223+L229+L235+L241+L247+L253+L259+L283+L289+L295</f>
        <v>#VALUE!</v>
      </c>
      <c r="M301" s="1828" t="e">
        <f t="shared" si="161"/>
        <v>#VALUE!</v>
      </c>
      <c r="N301" s="1828" t="e">
        <f t="shared" si="161"/>
        <v>#VALUE!</v>
      </c>
      <c r="O301" s="1828" t="e">
        <f t="shared" si="161"/>
        <v>#VALUE!</v>
      </c>
      <c r="P301" s="1828" t="e">
        <f t="shared" si="161"/>
        <v>#VALUE!</v>
      </c>
      <c r="Q301" s="1828" t="e">
        <f t="shared" si="161"/>
        <v>#VALUE!</v>
      </c>
      <c r="R301" s="1828" t="e">
        <f t="shared" si="161"/>
        <v>#VALUE!</v>
      </c>
      <c r="S301" s="1828" t="e">
        <f t="shared" si="161"/>
        <v>#VALUE!</v>
      </c>
      <c r="T301" s="1828" t="e">
        <f t="shared" si="161"/>
        <v>#VALUE!</v>
      </c>
      <c r="U301" s="1828" t="e">
        <f t="shared" si="161"/>
        <v>#VALUE!</v>
      </c>
      <c r="V301" s="1828" t="e">
        <f t="shared" si="161"/>
        <v>#VALUE!</v>
      </c>
      <c r="W301" s="1828" t="e">
        <f t="shared" si="161"/>
        <v>#VALUE!</v>
      </c>
      <c r="X301" s="1828" t="e">
        <f t="shared" si="161"/>
        <v>#VALUE!</v>
      </c>
      <c r="Y301" s="1828" t="e">
        <f t="shared" si="161"/>
        <v>#VALUE!</v>
      </c>
      <c r="Z301" s="1827" t="e">
        <f>+Z223+Z229+Z235+Z241+Z247+Z253+Z259+Z265+Z271+Z277+Z283+Z289+Z295</f>
        <v>#VALUE!</v>
      </c>
      <c r="AA301" s="1827" t="e">
        <f t="shared" ref="AA301:AI301" si="162">+AA223+AA229+AA235+AA241+AA247+AA253+AA259+AA265+AA271+AA277+AA283+AA289+AA295</f>
        <v>#VALUE!</v>
      </c>
      <c r="AB301" s="1827" t="e">
        <f t="shared" si="162"/>
        <v>#VALUE!</v>
      </c>
      <c r="AC301" s="1827" t="e">
        <f t="shared" si="162"/>
        <v>#VALUE!</v>
      </c>
      <c r="AD301" s="1827" t="e">
        <f t="shared" si="162"/>
        <v>#VALUE!</v>
      </c>
      <c r="AE301" s="1827" t="e">
        <f t="shared" si="162"/>
        <v>#VALUE!</v>
      </c>
      <c r="AF301" s="1827" t="e">
        <f t="shared" si="162"/>
        <v>#VALUE!</v>
      </c>
      <c r="AG301" s="1827" t="e">
        <f t="shared" si="162"/>
        <v>#VALUE!</v>
      </c>
      <c r="AH301" s="1827" t="e">
        <f t="shared" si="162"/>
        <v>#VALUE!</v>
      </c>
      <c r="AI301" s="1827" t="e">
        <f t="shared" si="162"/>
        <v>#VALUE!</v>
      </c>
      <c r="AJ301" s="1827" t="e">
        <f t="shared" ref="AJ301:AO304" si="163">+AJ223+AJ229+AJ235+AJ241+AJ247+AJ253+AJ259+AJ265+AJ271+AJ277+AJ283+AJ289+AJ295</f>
        <v>#VALUE!</v>
      </c>
      <c r="AK301" s="1827" t="e">
        <f t="shared" si="163"/>
        <v>#VALUE!</v>
      </c>
      <c r="AL301" s="1827" t="e">
        <f t="shared" si="163"/>
        <v>#VALUE!</v>
      </c>
      <c r="AM301" s="1827" t="e">
        <f t="shared" si="163"/>
        <v>#VALUE!</v>
      </c>
      <c r="AN301" s="1827" t="e">
        <f t="shared" si="163"/>
        <v>#VALUE!</v>
      </c>
      <c r="AO301" s="1827" t="e">
        <f t="shared" si="163"/>
        <v>#VALUE!</v>
      </c>
      <c r="AP301" s="2064" t="e">
        <f t="shared" ref="AP301:AP306" si="164">+AP223+AP229+AP235+AP241+AP259+AP265+AP271+AP277+AP283+AP289+AP295</f>
        <v>#VALUE!</v>
      </c>
      <c r="AQ301" s="1829" t="e">
        <f>+AQ223+AQ229+AQ235+AQ259+AQ265+AQ271+AQ277+AQ283+AQ289+AQ295</f>
        <v>#VALUE!</v>
      </c>
      <c r="AR301" s="3247" t="e">
        <f>SUM(AR223+AR229+AR235+AR241+AR247+AR253+AR259+AR265+AR271+AR277+AR283+AR289+AR295)</f>
        <v>#VALUE!</v>
      </c>
      <c r="AS301" s="4882" t="e">
        <f>SUM(AS223+AS229+AS235+AS241+AS247+AS253+AS259+AS265+AS271+AS277+AS283+AS289+AS295)</f>
        <v>#VALUE!</v>
      </c>
      <c r="AT301" s="1827" t="e">
        <f t="shared" ref="AT301:AY302" si="165">+AT223+AT229+AT235+AT241+AT247+AT253+AT259+AT265+AT271+AT277+AT283+AT289+AT295</f>
        <v>#VALUE!</v>
      </c>
      <c r="AU301" s="2064" t="e">
        <f t="shared" si="165"/>
        <v>#VALUE!</v>
      </c>
      <c r="AV301" s="2064" t="e">
        <f t="shared" si="165"/>
        <v>#VALUE!</v>
      </c>
      <c r="AW301" s="2064" t="e">
        <f t="shared" si="165"/>
        <v>#VALUE!</v>
      </c>
      <c r="AX301" s="2064" t="e">
        <f t="shared" si="165"/>
        <v>#VALUE!</v>
      </c>
      <c r="AY301" s="2064" t="e">
        <f t="shared" si="165"/>
        <v>#VALUE!</v>
      </c>
      <c r="BV301" s="1430"/>
      <c r="BW301" s="1430"/>
      <c r="BX301" s="1438"/>
      <c r="CB301" s="1435"/>
      <c r="CC301" s="1435"/>
      <c r="CD301" s="1435"/>
      <c r="CE301" s="1435"/>
      <c r="CF301" s="1435"/>
      <c r="CG301" s="1435"/>
      <c r="CH301" s="1435"/>
      <c r="DB301" s="1436"/>
      <c r="DC301" s="1436"/>
      <c r="DD301" s="1436"/>
      <c r="DE301" s="1436"/>
      <c r="DF301" s="1436"/>
      <c r="DG301" s="1436"/>
      <c r="DH301" s="1436"/>
    </row>
    <row r="302" spans="1:112" ht="16.350000000000001" customHeight="1" x14ac:dyDescent="0.25">
      <c r="A302" s="7267"/>
      <c r="B302" s="9916"/>
      <c r="C302" s="9835" t="s">
        <v>1053</v>
      </c>
      <c r="D302" s="9835"/>
      <c r="E302" s="3247" t="e">
        <f t="shared" si="157"/>
        <v>#VALUE!</v>
      </c>
      <c r="F302" s="3644" t="e">
        <f t="shared" si="158"/>
        <v>#VALUE!</v>
      </c>
      <c r="G302" s="3645" t="e">
        <f t="shared" si="158"/>
        <v>#VALUE!</v>
      </c>
      <c r="H302" s="4766" t="e">
        <f t="shared" si="159"/>
        <v>#VALUE!</v>
      </c>
      <c r="I302" s="1830" t="e">
        <f t="shared" si="159"/>
        <v>#VALUE!</v>
      </c>
      <c r="J302" s="4766" t="e">
        <f t="shared" si="160"/>
        <v>#VALUE!</v>
      </c>
      <c r="K302" s="1830" t="e">
        <f t="shared" si="160"/>
        <v>#VALUE!</v>
      </c>
      <c r="L302" s="1830" t="e">
        <f t="shared" ref="L302:Y302" si="166">+L224+L230+L236+L242+L248+L254+L260+L284+L290+L296</f>
        <v>#VALUE!</v>
      </c>
      <c r="M302" s="1830" t="e">
        <f t="shared" si="166"/>
        <v>#VALUE!</v>
      </c>
      <c r="N302" s="1830" t="e">
        <f t="shared" si="166"/>
        <v>#VALUE!</v>
      </c>
      <c r="O302" s="1830" t="e">
        <f t="shared" si="166"/>
        <v>#VALUE!</v>
      </c>
      <c r="P302" s="1830" t="e">
        <f t="shared" si="166"/>
        <v>#VALUE!</v>
      </c>
      <c r="Q302" s="1830" t="e">
        <f t="shared" si="166"/>
        <v>#VALUE!</v>
      </c>
      <c r="R302" s="1830" t="e">
        <f t="shared" si="166"/>
        <v>#VALUE!</v>
      </c>
      <c r="S302" s="1830" t="e">
        <f t="shared" si="166"/>
        <v>#VALUE!</v>
      </c>
      <c r="T302" s="1830" t="e">
        <f t="shared" si="166"/>
        <v>#VALUE!</v>
      </c>
      <c r="U302" s="1830" t="e">
        <f t="shared" si="166"/>
        <v>#VALUE!</v>
      </c>
      <c r="V302" s="1830" t="e">
        <f t="shared" si="166"/>
        <v>#VALUE!</v>
      </c>
      <c r="W302" s="1830" t="e">
        <f t="shared" si="166"/>
        <v>#VALUE!</v>
      </c>
      <c r="X302" s="1830" t="e">
        <f t="shared" si="166"/>
        <v>#VALUE!</v>
      </c>
      <c r="Y302" s="1830" t="e">
        <f t="shared" si="166"/>
        <v>#VALUE!</v>
      </c>
      <c r="Z302" s="4766" t="e">
        <f>+Z224+Z230+Z236+Z242+Z248+Z254+Z260+Z266+Z272+Z278+Z284+Z290+Z296</f>
        <v>#VALUE!</v>
      </c>
      <c r="AA302" s="4766" t="e">
        <f t="shared" ref="AA302:AI302" si="167">+AA224+AA230+AA236+AA242+AA248+AA254+AA260+AA266+AA272+AA278+AA284+AA290+AA296</f>
        <v>#VALUE!</v>
      </c>
      <c r="AB302" s="4766" t="e">
        <f t="shared" si="167"/>
        <v>#VALUE!</v>
      </c>
      <c r="AC302" s="4766" t="e">
        <f t="shared" si="167"/>
        <v>#VALUE!</v>
      </c>
      <c r="AD302" s="4766" t="e">
        <f t="shared" si="167"/>
        <v>#VALUE!</v>
      </c>
      <c r="AE302" s="4766" t="e">
        <f t="shared" si="167"/>
        <v>#VALUE!</v>
      </c>
      <c r="AF302" s="4766" t="e">
        <f t="shared" si="167"/>
        <v>#VALUE!</v>
      </c>
      <c r="AG302" s="4766" t="e">
        <f t="shared" si="167"/>
        <v>#VALUE!</v>
      </c>
      <c r="AH302" s="4766" t="e">
        <f t="shared" si="167"/>
        <v>#VALUE!</v>
      </c>
      <c r="AI302" s="4766" t="e">
        <f t="shared" si="167"/>
        <v>#VALUE!</v>
      </c>
      <c r="AJ302" s="4766" t="e">
        <f t="shared" si="163"/>
        <v>#VALUE!</v>
      </c>
      <c r="AK302" s="4766" t="e">
        <f t="shared" si="163"/>
        <v>#VALUE!</v>
      </c>
      <c r="AL302" s="4766" t="e">
        <f t="shared" si="163"/>
        <v>#VALUE!</v>
      </c>
      <c r="AM302" s="4766" t="e">
        <f t="shared" si="163"/>
        <v>#VALUE!</v>
      </c>
      <c r="AN302" s="4766" t="e">
        <f t="shared" si="163"/>
        <v>#VALUE!</v>
      </c>
      <c r="AO302" s="4766" t="e">
        <f t="shared" si="163"/>
        <v>#VALUE!</v>
      </c>
      <c r="AP302" s="4883" t="e">
        <f t="shared" si="164"/>
        <v>#VALUE!</v>
      </c>
      <c r="AQ302" s="1831" t="e">
        <f>+AQ224+AQ230+AQ236+AQ260+AQ266+AQ272+AQ278+AQ284+AQ290+AQ296</f>
        <v>#VALUE!</v>
      </c>
      <c r="AR302" s="4884"/>
      <c r="AS302" s="4885"/>
      <c r="AT302" s="4766" t="e">
        <f t="shared" si="165"/>
        <v>#VALUE!</v>
      </c>
      <c r="AU302" s="4883" t="e">
        <f t="shared" si="165"/>
        <v>#VALUE!</v>
      </c>
      <c r="AV302" s="4883" t="e">
        <f t="shared" si="165"/>
        <v>#VALUE!</v>
      </c>
      <c r="AW302" s="4883" t="e">
        <f t="shared" si="165"/>
        <v>#VALUE!</v>
      </c>
      <c r="AX302" s="4883" t="e">
        <f t="shared" si="165"/>
        <v>#VALUE!</v>
      </c>
      <c r="AY302" s="4883" t="e">
        <f t="shared" si="165"/>
        <v>#VALUE!</v>
      </c>
      <c r="BV302" s="1430"/>
      <c r="BW302" s="1430"/>
      <c r="BX302" s="1438"/>
      <c r="CB302" s="1435"/>
      <c r="CC302" s="1435"/>
      <c r="CD302" s="1435"/>
      <c r="CE302" s="1435"/>
      <c r="CF302" s="1435"/>
      <c r="CG302" s="1435"/>
      <c r="CH302" s="1435"/>
      <c r="DB302" s="1436"/>
      <c r="DC302" s="1436"/>
      <c r="DD302" s="1436"/>
      <c r="DE302" s="1436"/>
      <c r="DF302" s="1436"/>
      <c r="DG302" s="1436"/>
      <c r="DH302" s="1436"/>
    </row>
    <row r="303" spans="1:112" ht="16.350000000000001" customHeight="1" x14ac:dyDescent="0.25">
      <c r="A303" s="7267"/>
      <c r="B303" s="9916"/>
      <c r="C303" s="9835" t="s">
        <v>1052</v>
      </c>
      <c r="D303" s="9835"/>
      <c r="E303" s="3247" t="e">
        <f t="shared" si="157"/>
        <v>#VALUE!</v>
      </c>
      <c r="F303" s="3644" t="e">
        <f t="shared" si="158"/>
        <v>#VALUE!</v>
      </c>
      <c r="G303" s="3645" t="e">
        <f t="shared" si="158"/>
        <v>#VALUE!</v>
      </c>
      <c r="H303" s="4766" t="e">
        <f t="shared" si="159"/>
        <v>#VALUE!</v>
      </c>
      <c r="I303" s="1830" t="e">
        <f t="shared" si="159"/>
        <v>#VALUE!</v>
      </c>
      <c r="J303" s="4766" t="e">
        <f t="shared" si="160"/>
        <v>#VALUE!</v>
      </c>
      <c r="K303" s="1830" t="e">
        <f t="shared" si="160"/>
        <v>#VALUE!</v>
      </c>
      <c r="L303" s="1830" t="e">
        <f t="shared" ref="L303:Y303" si="168">+L225+L231+L237+L243+L249+L255+L261+L285+L291+L297</f>
        <v>#VALUE!</v>
      </c>
      <c r="M303" s="1830" t="e">
        <f t="shared" si="168"/>
        <v>#VALUE!</v>
      </c>
      <c r="N303" s="1830" t="e">
        <f t="shared" si="168"/>
        <v>#VALUE!</v>
      </c>
      <c r="O303" s="1830" t="e">
        <f t="shared" si="168"/>
        <v>#VALUE!</v>
      </c>
      <c r="P303" s="1830" t="e">
        <f t="shared" si="168"/>
        <v>#VALUE!</v>
      </c>
      <c r="Q303" s="1830" t="e">
        <f t="shared" si="168"/>
        <v>#VALUE!</v>
      </c>
      <c r="R303" s="1830" t="e">
        <f t="shared" si="168"/>
        <v>#VALUE!</v>
      </c>
      <c r="S303" s="1830" t="e">
        <f t="shared" si="168"/>
        <v>#VALUE!</v>
      </c>
      <c r="T303" s="1830" t="e">
        <f t="shared" si="168"/>
        <v>#VALUE!</v>
      </c>
      <c r="U303" s="1830" t="e">
        <f t="shared" si="168"/>
        <v>#VALUE!</v>
      </c>
      <c r="V303" s="1830" t="e">
        <f t="shared" si="168"/>
        <v>#VALUE!</v>
      </c>
      <c r="W303" s="1830" t="e">
        <f t="shared" si="168"/>
        <v>#VALUE!</v>
      </c>
      <c r="X303" s="1830" t="e">
        <f t="shared" si="168"/>
        <v>#VALUE!</v>
      </c>
      <c r="Y303" s="1830" t="e">
        <f t="shared" si="168"/>
        <v>#VALUE!</v>
      </c>
      <c r="Z303" s="4766" t="e">
        <f>+Z225+Z231+Z237+Z243+Z249+Z255+Z261+Z267+Z273+Z279+Z285+Z291+Z297</f>
        <v>#VALUE!</v>
      </c>
      <c r="AA303" s="4766" t="e">
        <f t="shared" ref="AA303:AI303" si="169">+AA225+AA231+AA237+AA243+AA249+AA255+AA261+AA267+AA273+AA279+AA285+AA291+AA297</f>
        <v>#VALUE!</v>
      </c>
      <c r="AB303" s="4766" t="e">
        <f t="shared" si="169"/>
        <v>#VALUE!</v>
      </c>
      <c r="AC303" s="4766" t="e">
        <f t="shared" si="169"/>
        <v>#VALUE!</v>
      </c>
      <c r="AD303" s="4766" t="e">
        <f t="shared" si="169"/>
        <v>#VALUE!</v>
      </c>
      <c r="AE303" s="4766" t="e">
        <f t="shared" si="169"/>
        <v>#VALUE!</v>
      </c>
      <c r="AF303" s="4766" t="e">
        <f t="shared" si="169"/>
        <v>#VALUE!</v>
      </c>
      <c r="AG303" s="4766" t="e">
        <f t="shared" si="169"/>
        <v>#VALUE!</v>
      </c>
      <c r="AH303" s="4766" t="e">
        <f t="shared" si="169"/>
        <v>#VALUE!</v>
      </c>
      <c r="AI303" s="4766" t="e">
        <f t="shared" si="169"/>
        <v>#VALUE!</v>
      </c>
      <c r="AJ303" s="4766" t="e">
        <f t="shared" si="163"/>
        <v>#VALUE!</v>
      </c>
      <c r="AK303" s="4766" t="e">
        <f t="shared" si="163"/>
        <v>#VALUE!</v>
      </c>
      <c r="AL303" s="4766" t="e">
        <f t="shared" si="163"/>
        <v>#VALUE!</v>
      </c>
      <c r="AM303" s="4766" t="e">
        <f t="shared" si="163"/>
        <v>#VALUE!</v>
      </c>
      <c r="AN303" s="4766" t="e">
        <f t="shared" si="163"/>
        <v>#VALUE!</v>
      </c>
      <c r="AO303" s="4766" t="e">
        <f t="shared" si="163"/>
        <v>#VALUE!</v>
      </c>
      <c r="AP303" s="4883" t="e">
        <f t="shared" si="164"/>
        <v>#VALUE!</v>
      </c>
      <c r="AQ303" s="1831" t="e">
        <f>+AQ225+AQ231+AQ237+AQ261+AQ267+AQ273+AQ279+AQ285+AQ291+AQ297</f>
        <v>#VALUE!</v>
      </c>
      <c r="AR303" s="4884"/>
      <c r="AS303" s="4885"/>
      <c r="AT303" s="4810"/>
      <c r="AU303" s="4883" t="e">
        <f t="shared" ref="AU303:AY304" si="170">+AU225+AU231+AU237+AU243+AU249+AU255+AU261+AU267+AU273+AU279+AU285+AU291+AU297</f>
        <v>#VALUE!</v>
      </c>
      <c r="AV303" s="4883" t="e">
        <f t="shared" si="170"/>
        <v>#VALUE!</v>
      </c>
      <c r="AW303" s="4883" t="e">
        <f t="shared" si="170"/>
        <v>#VALUE!</v>
      </c>
      <c r="AX303" s="4883" t="e">
        <f t="shared" si="170"/>
        <v>#VALUE!</v>
      </c>
      <c r="AY303" s="4883" t="e">
        <f t="shared" si="170"/>
        <v>#VALUE!</v>
      </c>
      <c r="BV303" s="1430"/>
      <c r="BW303" s="1430"/>
      <c r="BX303" s="1438"/>
      <c r="CB303" s="1435"/>
      <c r="CC303" s="1435"/>
      <c r="CD303" s="1435"/>
      <c r="CE303" s="1435"/>
      <c r="CF303" s="1435"/>
      <c r="CG303" s="1435"/>
      <c r="CH303" s="1435"/>
      <c r="DB303" s="1436"/>
      <c r="DC303" s="1436"/>
      <c r="DD303" s="1436"/>
      <c r="DE303" s="1436"/>
      <c r="DF303" s="1436"/>
      <c r="DG303" s="1436"/>
      <c r="DH303" s="1436"/>
    </row>
    <row r="304" spans="1:112" ht="16.350000000000001" customHeight="1" x14ac:dyDescent="0.25">
      <c r="A304" s="7267"/>
      <c r="B304" s="9916"/>
      <c r="C304" s="9918" t="s">
        <v>1051</v>
      </c>
      <c r="D304" s="9919"/>
      <c r="E304" s="3247" t="e">
        <f t="shared" si="157"/>
        <v>#VALUE!</v>
      </c>
      <c r="F304" s="3644" t="e">
        <f t="shared" si="158"/>
        <v>#VALUE!</v>
      </c>
      <c r="G304" s="3645" t="e">
        <f t="shared" si="158"/>
        <v>#VALUE!</v>
      </c>
      <c r="H304" s="4766" t="e">
        <f t="shared" si="159"/>
        <v>#VALUE!</v>
      </c>
      <c r="I304" s="1830" t="e">
        <f t="shared" si="159"/>
        <v>#VALUE!</v>
      </c>
      <c r="J304" s="4766" t="e">
        <f t="shared" si="160"/>
        <v>#VALUE!</v>
      </c>
      <c r="K304" s="1830" t="e">
        <f t="shared" si="160"/>
        <v>#VALUE!</v>
      </c>
      <c r="L304" s="1830" t="e">
        <f t="shared" ref="L304:Y304" si="171">+L226+L232+L238+L244+L250+L256+L262+L286+L292+L298</f>
        <v>#VALUE!</v>
      </c>
      <c r="M304" s="1830" t="e">
        <f t="shared" si="171"/>
        <v>#VALUE!</v>
      </c>
      <c r="N304" s="1830" t="e">
        <f t="shared" si="171"/>
        <v>#VALUE!</v>
      </c>
      <c r="O304" s="1830" t="e">
        <f t="shared" si="171"/>
        <v>#VALUE!</v>
      </c>
      <c r="P304" s="1830" t="e">
        <f t="shared" si="171"/>
        <v>#VALUE!</v>
      </c>
      <c r="Q304" s="1830" t="e">
        <f t="shared" si="171"/>
        <v>#VALUE!</v>
      </c>
      <c r="R304" s="1830" t="e">
        <f t="shared" si="171"/>
        <v>#VALUE!</v>
      </c>
      <c r="S304" s="1830" t="e">
        <f t="shared" si="171"/>
        <v>#VALUE!</v>
      </c>
      <c r="T304" s="1830" t="e">
        <f t="shared" si="171"/>
        <v>#VALUE!</v>
      </c>
      <c r="U304" s="1830" t="e">
        <f t="shared" si="171"/>
        <v>#VALUE!</v>
      </c>
      <c r="V304" s="1830" t="e">
        <f t="shared" si="171"/>
        <v>#VALUE!</v>
      </c>
      <c r="W304" s="1830" t="e">
        <f t="shared" si="171"/>
        <v>#VALUE!</v>
      </c>
      <c r="X304" s="1830" t="e">
        <f t="shared" si="171"/>
        <v>#VALUE!</v>
      </c>
      <c r="Y304" s="1830" t="e">
        <f t="shared" si="171"/>
        <v>#VALUE!</v>
      </c>
      <c r="Z304" s="4766" t="e">
        <f>+Z226+Z232+Z238+Z244+Z250+Z256+Z262+Z268+Z274+Z280+Z286+Z292+Z298</f>
        <v>#VALUE!</v>
      </c>
      <c r="AA304" s="4766" t="e">
        <f t="shared" ref="AA304:AI304" si="172">+AA226+AA232+AA238+AA244+AA250+AA256+AA262+AA268+AA274+AA280+AA286+AA292+AA298</f>
        <v>#VALUE!</v>
      </c>
      <c r="AB304" s="4766" t="e">
        <f t="shared" si="172"/>
        <v>#VALUE!</v>
      </c>
      <c r="AC304" s="4766" t="e">
        <f t="shared" si="172"/>
        <v>#VALUE!</v>
      </c>
      <c r="AD304" s="4766" t="e">
        <f t="shared" si="172"/>
        <v>#VALUE!</v>
      </c>
      <c r="AE304" s="4766" t="e">
        <f t="shared" si="172"/>
        <v>#VALUE!</v>
      </c>
      <c r="AF304" s="4766" t="e">
        <f t="shared" si="172"/>
        <v>#VALUE!</v>
      </c>
      <c r="AG304" s="4766" t="e">
        <f t="shared" si="172"/>
        <v>#VALUE!</v>
      </c>
      <c r="AH304" s="4766" t="e">
        <f t="shared" si="172"/>
        <v>#VALUE!</v>
      </c>
      <c r="AI304" s="4766" t="e">
        <f t="shared" si="172"/>
        <v>#VALUE!</v>
      </c>
      <c r="AJ304" s="4766" t="e">
        <f t="shared" si="163"/>
        <v>#VALUE!</v>
      </c>
      <c r="AK304" s="4766" t="e">
        <f t="shared" si="163"/>
        <v>#VALUE!</v>
      </c>
      <c r="AL304" s="4766" t="e">
        <f t="shared" si="163"/>
        <v>#VALUE!</v>
      </c>
      <c r="AM304" s="4766" t="e">
        <f t="shared" si="163"/>
        <v>#VALUE!</v>
      </c>
      <c r="AN304" s="4766" t="e">
        <f t="shared" si="163"/>
        <v>#VALUE!</v>
      </c>
      <c r="AO304" s="4766" t="e">
        <f t="shared" si="163"/>
        <v>#VALUE!</v>
      </c>
      <c r="AP304" s="4883" t="e">
        <f t="shared" si="164"/>
        <v>#VALUE!</v>
      </c>
      <c r="AQ304" s="1831" t="e">
        <f>+AQ226+AQ232+AQ238+AQ262+AQ268+AQ274+AQ280+AQ286+AQ292+AQ298</f>
        <v>#VALUE!</v>
      </c>
      <c r="AR304" s="4884"/>
      <c r="AS304" s="4885"/>
      <c r="AT304" s="4810"/>
      <c r="AU304" s="4883" t="e">
        <f t="shared" si="170"/>
        <v>#VALUE!</v>
      </c>
      <c r="AV304" s="4883" t="e">
        <f t="shared" si="170"/>
        <v>#VALUE!</v>
      </c>
      <c r="AW304" s="4883" t="e">
        <f t="shared" si="170"/>
        <v>#VALUE!</v>
      </c>
      <c r="AX304" s="4883" t="e">
        <f t="shared" si="170"/>
        <v>#VALUE!</v>
      </c>
      <c r="AY304" s="4883" t="e">
        <f t="shared" si="170"/>
        <v>#VALUE!</v>
      </c>
      <c r="BV304" s="1430"/>
      <c r="BW304" s="1430"/>
      <c r="BX304" s="1438"/>
      <c r="CB304" s="1435"/>
      <c r="CC304" s="1435"/>
      <c r="CD304" s="1435"/>
      <c r="CE304" s="1435"/>
      <c r="CF304" s="1435"/>
      <c r="CG304" s="1435"/>
      <c r="CH304" s="1435"/>
      <c r="DB304" s="1436"/>
      <c r="DC304" s="1436"/>
      <c r="DD304" s="1436"/>
      <c r="DE304" s="1436"/>
      <c r="DF304" s="1436"/>
      <c r="DG304" s="1436"/>
      <c r="DH304" s="1436"/>
    </row>
    <row r="305" spans="1:112" ht="16.350000000000001" customHeight="1" x14ac:dyDescent="0.25">
      <c r="A305" s="7267"/>
      <c r="B305" s="9916"/>
      <c r="C305" s="9862" t="s">
        <v>2140</v>
      </c>
      <c r="D305" s="9863"/>
      <c r="E305" s="3247" t="e">
        <f t="shared" si="157"/>
        <v>#VALUE!</v>
      </c>
      <c r="F305" s="3644" t="e">
        <f t="shared" si="158"/>
        <v>#VALUE!</v>
      </c>
      <c r="G305" s="3645" t="e">
        <f t="shared" si="158"/>
        <v>#VALUE!</v>
      </c>
      <c r="H305" s="4766" t="e">
        <f t="shared" si="159"/>
        <v>#VALUE!</v>
      </c>
      <c r="I305" s="1830" t="e">
        <f t="shared" si="159"/>
        <v>#VALUE!</v>
      </c>
      <c r="J305" s="4766" t="e">
        <f t="shared" si="160"/>
        <v>#VALUE!</v>
      </c>
      <c r="K305" s="1830" t="e">
        <f t="shared" si="160"/>
        <v>#VALUE!</v>
      </c>
      <c r="L305" s="1830" t="e">
        <f t="shared" ref="L305:Y305" si="173">+L227+L233+L239+L245+L251+L257+L263+L287+L293+L299</f>
        <v>#VALUE!</v>
      </c>
      <c r="M305" s="1830" t="e">
        <f t="shared" si="173"/>
        <v>#VALUE!</v>
      </c>
      <c r="N305" s="1830" t="e">
        <f t="shared" si="173"/>
        <v>#VALUE!</v>
      </c>
      <c r="O305" s="1830" t="e">
        <f t="shared" si="173"/>
        <v>#VALUE!</v>
      </c>
      <c r="P305" s="1830" t="e">
        <f t="shared" si="173"/>
        <v>#VALUE!</v>
      </c>
      <c r="Q305" s="1830" t="e">
        <f t="shared" si="173"/>
        <v>#VALUE!</v>
      </c>
      <c r="R305" s="1830" t="e">
        <f t="shared" si="173"/>
        <v>#VALUE!</v>
      </c>
      <c r="S305" s="1830" t="e">
        <f t="shared" si="173"/>
        <v>#VALUE!</v>
      </c>
      <c r="T305" s="1830" t="e">
        <f t="shared" si="173"/>
        <v>#VALUE!</v>
      </c>
      <c r="U305" s="1830" t="e">
        <f t="shared" si="173"/>
        <v>#VALUE!</v>
      </c>
      <c r="V305" s="1830" t="e">
        <f t="shared" si="173"/>
        <v>#VALUE!</v>
      </c>
      <c r="W305" s="1830" t="e">
        <f t="shared" si="173"/>
        <v>#VALUE!</v>
      </c>
      <c r="X305" s="1830" t="e">
        <f t="shared" si="173"/>
        <v>#VALUE!</v>
      </c>
      <c r="Y305" s="1830" t="e">
        <f t="shared" si="173"/>
        <v>#VALUE!</v>
      </c>
      <c r="Z305" s="4766" t="e">
        <f>+Z227+Z233+Z239+Z245+Z251+Z257+Z263+Z281+Z275+Z269+Z287+Z293+Z299</f>
        <v>#VALUE!</v>
      </c>
      <c r="AA305" s="4766" t="e">
        <f t="shared" ref="AA305:AI305" si="174">+AA227+AA233+AA239+AA245+AA251+AA257+AA263+AA281+AA275+AA269+AA287+AA293+AA299</f>
        <v>#VALUE!</v>
      </c>
      <c r="AB305" s="4766" t="e">
        <f t="shared" si="174"/>
        <v>#VALUE!</v>
      </c>
      <c r="AC305" s="4766" t="e">
        <f t="shared" si="174"/>
        <v>#VALUE!</v>
      </c>
      <c r="AD305" s="4766" t="e">
        <f t="shared" si="174"/>
        <v>#VALUE!</v>
      </c>
      <c r="AE305" s="4766" t="e">
        <f t="shared" si="174"/>
        <v>#VALUE!</v>
      </c>
      <c r="AF305" s="4766" t="e">
        <f t="shared" si="174"/>
        <v>#VALUE!</v>
      </c>
      <c r="AG305" s="4766" t="e">
        <f t="shared" si="174"/>
        <v>#VALUE!</v>
      </c>
      <c r="AH305" s="4766" t="e">
        <f t="shared" si="174"/>
        <v>#VALUE!</v>
      </c>
      <c r="AI305" s="4766" t="e">
        <f t="shared" si="174"/>
        <v>#VALUE!</v>
      </c>
      <c r="AJ305" s="4766" t="e">
        <f t="shared" ref="AJ305:AO305" si="175">+AJ227+AJ233+AJ239+AJ245+AJ251+AJ257+AJ263+AJ281+AJ275+AJ269+AJ287+AJ293+AJ299</f>
        <v>#VALUE!</v>
      </c>
      <c r="AK305" s="4766" t="e">
        <f t="shared" si="175"/>
        <v>#VALUE!</v>
      </c>
      <c r="AL305" s="4766" t="e">
        <f t="shared" si="175"/>
        <v>#VALUE!</v>
      </c>
      <c r="AM305" s="4766" t="e">
        <f t="shared" si="175"/>
        <v>#VALUE!</v>
      </c>
      <c r="AN305" s="4766" t="e">
        <f t="shared" si="175"/>
        <v>#VALUE!</v>
      </c>
      <c r="AO305" s="4766" t="e">
        <f t="shared" si="175"/>
        <v>#VALUE!</v>
      </c>
      <c r="AP305" s="4883" t="e">
        <f t="shared" si="164"/>
        <v>#VALUE!</v>
      </c>
      <c r="AQ305" s="1831" t="e">
        <f>+AQ227+AQ233+AQ239+AQ263+AQ281+AQ275+AQ269+AQ287+AQ293+AQ299</f>
        <v>#VALUE!</v>
      </c>
      <c r="AR305" s="4884"/>
      <c r="AS305" s="4885"/>
      <c r="AT305" s="3614"/>
      <c r="AU305" s="4883" t="e">
        <f>+AU227+AU233+AU239+AU245+AU251+AU257+AU263+AU281+AU275+AU269+AU287+AU293+AU299</f>
        <v>#VALUE!</v>
      </c>
      <c r="AV305" s="4883" t="e">
        <f>+AV227+AV233+AV239+AV245+AV251+AV257+AV263+AV281+AV275+AV269+AV287+AV293+AV299</f>
        <v>#VALUE!</v>
      </c>
      <c r="AW305" s="4883" t="e">
        <f>+AW227+AW233+AW239+AW245+AW251+AW257+AW263+AW281+AW275+AW269+AW287+AW293+AW299</f>
        <v>#VALUE!</v>
      </c>
      <c r="AX305" s="4883" t="e">
        <f>+AX227+AX233+AX239+AX245+AX251+AX257+AX263+AX281+AX275+AX269+AX287+AX293+AX299</f>
        <v>#VALUE!</v>
      </c>
      <c r="AY305" s="4883" t="e">
        <f>+AY227+AY233+AY239+AY245+AY251+AY257+AY263+AY281+AY275+AY269+AY287+AY293+AY299</f>
        <v>#VALUE!</v>
      </c>
      <c r="BV305" s="1430"/>
      <c r="BW305" s="1430"/>
      <c r="BX305" s="1438"/>
      <c r="CB305" s="1435"/>
      <c r="CC305" s="1435"/>
      <c r="CD305" s="1435"/>
      <c r="CE305" s="1435"/>
      <c r="CF305" s="1435"/>
      <c r="CG305" s="1435"/>
      <c r="CH305" s="1435"/>
      <c r="DB305" s="1436"/>
      <c r="DC305" s="1436"/>
      <c r="DD305" s="1436"/>
      <c r="DE305" s="1436"/>
      <c r="DF305" s="1436"/>
      <c r="DG305" s="1436"/>
      <c r="DH305" s="1436"/>
    </row>
    <row r="306" spans="1:112" ht="16.350000000000001" customHeight="1" x14ac:dyDescent="0.25">
      <c r="A306" s="7267"/>
      <c r="B306" s="9917"/>
      <c r="C306" s="9904" t="s">
        <v>1050</v>
      </c>
      <c r="D306" s="9904"/>
      <c r="E306" s="4805" t="e">
        <f t="shared" si="157"/>
        <v>#VALUE!</v>
      </c>
      <c r="F306" s="4886" t="e">
        <f t="shared" si="158"/>
        <v>#VALUE!</v>
      </c>
      <c r="G306" s="3646" t="e">
        <f t="shared" si="158"/>
        <v>#VALUE!</v>
      </c>
      <c r="H306" s="4805" t="e">
        <f t="shared" si="160"/>
        <v>#VALUE!</v>
      </c>
      <c r="I306" s="3646" t="e">
        <f t="shared" si="160"/>
        <v>#VALUE!</v>
      </c>
      <c r="J306" s="4805" t="e">
        <f t="shared" si="160"/>
        <v>#VALUE!</v>
      </c>
      <c r="K306" s="3646" t="e">
        <f t="shared" si="160"/>
        <v>#VALUE!</v>
      </c>
      <c r="L306" s="3646" t="e">
        <f t="shared" ref="L306:Y306" si="176">+L228+L234+L240+L246+L252+L258+L264+L288+L294+L300</f>
        <v>#VALUE!</v>
      </c>
      <c r="M306" s="3646" t="e">
        <f t="shared" si="176"/>
        <v>#VALUE!</v>
      </c>
      <c r="N306" s="3646" t="e">
        <f t="shared" si="176"/>
        <v>#VALUE!</v>
      </c>
      <c r="O306" s="3646" t="e">
        <f t="shared" si="176"/>
        <v>#VALUE!</v>
      </c>
      <c r="P306" s="3646" t="e">
        <f t="shared" si="176"/>
        <v>#VALUE!</v>
      </c>
      <c r="Q306" s="3646" t="e">
        <f t="shared" si="176"/>
        <v>#VALUE!</v>
      </c>
      <c r="R306" s="3646" t="e">
        <f t="shared" si="176"/>
        <v>#VALUE!</v>
      </c>
      <c r="S306" s="3646" t="e">
        <f t="shared" si="176"/>
        <v>#VALUE!</v>
      </c>
      <c r="T306" s="3646" t="e">
        <f t="shared" si="176"/>
        <v>#VALUE!</v>
      </c>
      <c r="U306" s="3646" t="e">
        <f t="shared" si="176"/>
        <v>#VALUE!</v>
      </c>
      <c r="V306" s="3646" t="e">
        <f t="shared" si="176"/>
        <v>#VALUE!</v>
      </c>
      <c r="W306" s="3646" t="e">
        <f t="shared" si="176"/>
        <v>#VALUE!</v>
      </c>
      <c r="X306" s="3646" t="e">
        <f t="shared" si="176"/>
        <v>#VALUE!</v>
      </c>
      <c r="Y306" s="3646" t="e">
        <f t="shared" si="176"/>
        <v>#VALUE!</v>
      </c>
      <c r="Z306" s="4805" t="e">
        <f>SUM(Z228+Z234+Z240+Z246+Z252+Z258+Z264+Z270+Z276+Z282+Z288+Z294+Z300)</f>
        <v>#VALUE!</v>
      </c>
      <c r="AA306" s="4805" t="e">
        <f t="shared" ref="AA306:AI306" si="177">SUM(AA228+AA234+AA240+AA246+AA252+AA258+AA264+AA270+AA276+AA282+AA288+AA294+AA300)</f>
        <v>#VALUE!</v>
      </c>
      <c r="AB306" s="4805" t="e">
        <f t="shared" si="177"/>
        <v>#VALUE!</v>
      </c>
      <c r="AC306" s="4805" t="e">
        <f t="shared" si="177"/>
        <v>#VALUE!</v>
      </c>
      <c r="AD306" s="4805" t="e">
        <f t="shared" si="177"/>
        <v>#VALUE!</v>
      </c>
      <c r="AE306" s="4805" t="e">
        <f t="shared" si="177"/>
        <v>#VALUE!</v>
      </c>
      <c r="AF306" s="4805" t="e">
        <f t="shared" si="177"/>
        <v>#VALUE!</v>
      </c>
      <c r="AG306" s="4805" t="e">
        <f t="shared" si="177"/>
        <v>#VALUE!</v>
      </c>
      <c r="AH306" s="4805" t="e">
        <f t="shared" si="177"/>
        <v>#VALUE!</v>
      </c>
      <c r="AI306" s="4805" t="e">
        <f t="shared" si="177"/>
        <v>#VALUE!</v>
      </c>
      <c r="AJ306" s="4805" t="e">
        <f t="shared" ref="AJ306:AO306" si="178">SUM(AJ228+AJ234+AJ240+AJ246+AJ252+AJ258+AJ264+AJ270+AJ276+AJ282+AJ288+AJ294+AJ300)</f>
        <v>#VALUE!</v>
      </c>
      <c r="AK306" s="4805" t="e">
        <f t="shared" si="178"/>
        <v>#VALUE!</v>
      </c>
      <c r="AL306" s="4805" t="e">
        <f t="shared" si="178"/>
        <v>#VALUE!</v>
      </c>
      <c r="AM306" s="4805" t="e">
        <f t="shared" si="178"/>
        <v>#VALUE!</v>
      </c>
      <c r="AN306" s="4805" t="e">
        <f t="shared" si="178"/>
        <v>#VALUE!</v>
      </c>
      <c r="AO306" s="4805" t="e">
        <f t="shared" si="178"/>
        <v>#VALUE!</v>
      </c>
      <c r="AP306" s="3647" t="e">
        <f t="shared" si="164"/>
        <v>#VALUE!</v>
      </c>
      <c r="AQ306" s="3648" t="e">
        <f>SUM(AQ228+AQ234+AQ240+AQ264+AQ270+AQ276+AQ282+AQ288+AQ294+AQ300)</f>
        <v>#VALUE!</v>
      </c>
      <c r="AR306" s="4773"/>
      <c r="AS306" s="4887"/>
      <c r="AT306" s="3616"/>
      <c r="AU306" s="3647" t="e">
        <f>SUM(AU228+AU234+AU240+AU246+AU252+AU258+AU264+AU270+AU276+AU282+AU288+AU294+AU300)</f>
        <v>#VALUE!</v>
      </c>
      <c r="AV306" s="3647" t="e">
        <f>SUM(AV228+AV234+AV240+AV246+AV252+AV258+AV264+AV270+AV276+AV282+AV288+AV294+AV300)</f>
        <v>#VALUE!</v>
      </c>
      <c r="AW306" s="3647" t="e">
        <f>SUM(AW228+AW234+AW240+AW246+AW252+AW258+AW264+AW270+AW276+AW282+AW288+AW294+AW300)</f>
        <v>#VALUE!</v>
      </c>
      <c r="AX306" s="3647" t="e">
        <f>SUM(AX228+AX234+AX240+AX246+AX252+AX258+AX264+AX270+AX276+AX282+AX288+AX294+AX300)</f>
        <v>#VALUE!</v>
      </c>
      <c r="AY306" s="3647" t="e">
        <f>SUM(AY228+AY234+AY240+AY246+AY252+AY258+AY264+AY270+AY276+AY282+AY288+AY294+AY300)</f>
        <v>#VALUE!</v>
      </c>
      <c r="BV306" s="1430"/>
      <c r="BW306" s="1430"/>
      <c r="BX306" s="1438"/>
      <c r="CB306" s="1435"/>
      <c r="CC306" s="1435"/>
      <c r="CD306" s="1435"/>
      <c r="DB306" s="1436"/>
      <c r="DC306" s="1436"/>
      <c r="DD306" s="1436"/>
      <c r="DE306" s="1432"/>
      <c r="DF306" s="1432"/>
      <c r="DG306" s="1432"/>
      <c r="DH306" s="1432"/>
    </row>
    <row r="307" spans="1:112" ht="24" customHeight="1" x14ac:dyDescent="0.25">
      <c r="B307" s="133" t="s">
        <v>2056</v>
      </c>
      <c r="C307" s="689"/>
      <c r="D307" s="689"/>
      <c r="E307" s="214"/>
      <c r="F307" s="214"/>
      <c r="G307" s="214"/>
      <c r="H307" s="214"/>
      <c r="I307" s="214"/>
      <c r="J307" s="214"/>
      <c r="AM307" s="290"/>
      <c r="AN307" s="290"/>
      <c r="BW307" s="1430"/>
      <c r="BX307" s="1430"/>
      <c r="DB307" s="1432"/>
      <c r="DC307" s="1432"/>
      <c r="DD307" s="1432"/>
      <c r="DE307" s="1432"/>
      <c r="DF307" s="1432"/>
      <c r="DG307" s="1432"/>
      <c r="DH307" s="1432"/>
    </row>
    <row r="308" spans="1:112" ht="16.350000000000001" customHeight="1" x14ac:dyDescent="0.25">
      <c r="B308" s="9931" t="s">
        <v>1049</v>
      </c>
      <c r="C308" s="9932"/>
      <c r="D308" s="9933"/>
      <c r="E308" s="9957" t="s">
        <v>24</v>
      </c>
      <c r="F308" s="9958"/>
      <c r="G308" s="9959"/>
      <c r="H308" s="9740" t="s">
        <v>1063</v>
      </c>
      <c r="I308" s="9741"/>
      <c r="J308" s="9741"/>
      <c r="K308" s="9741"/>
      <c r="L308" s="9741"/>
      <c r="M308" s="9741"/>
      <c r="N308" s="9741"/>
      <c r="O308" s="9741"/>
      <c r="P308" s="9741"/>
      <c r="Q308" s="9741"/>
      <c r="R308" s="9741"/>
      <c r="S308" s="9741"/>
      <c r="T308" s="9741"/>
      <c r="U308" s="9741"/>
      <c r="V308" s="9741"/>
      <c r="W308" s="9741"/>
      <c r="X308" s="9741"/>
      <c r="Y308" s="9741"/>
      <c r="Z308" s="9741"/>
      <c r="AA308" s="9741"/>
      <c r="AB308" s="9741"/>
      <c r="AC308" s="9741"/>
      <c r="AD308" s="9741"/>
      <c r="AE308" s="9741"/>
      <c r="AF308" s="9741"/>
      <c r="AG308" s="9741"/>
      <c r="AH308" s="9741"/>
      <c r="AI308" s="9741"/>
      <c r="AJ308" s="9741"/>
      <c r="AK308" s="9741"/>
      <c r="AL308" s="9741"/>
      <c r="AM308" s="9741"/>
      <c r="AN308" s="9741"/>
      <c r="AO308" s="9741"/>
      <c r="AP308" s="9741"/>
      <c r="AQ308" s="9742"/>
      <c r="AR308" s="9948" t="s">
        <v>112</v>
      </c>
      <c r="AS308" s="9949" t="s">
        <v>2532</v>
      </c>
      <c r="BW308" s="1430"/>
      <c r="BX308" s="1430"/>
      <c r="DB308" s="1432"/>
      <c r="DC308" s="1432"/>
      <c r="DD308" s="1432"/>
      <c r="DE308" s="1432"/>
      <c r="DF308" s="1432"/>
      <c r="DG308" s="1432"/>
      <c r="DH308" s="1432"/>
    </row>
    <row r="309" spans="1:112" ht="32.1" customHeight="1" x14ac:dyDescent="0.25">
      <c r="B309" s="9667"/>
      <c r="C309" s="9696"/>
      <c r="D309" s="9737"/>
      <c r="E309" s="9960"/>
      <c r="F309" s="9961"/>
      <c r="G309" s="9962"/>
      <c r="H309" s="9950" t="s">
        <v>3662</v>
      </c>
      <c r="I309" s="9951"/>
      <c r="J309" s="9740" t="s">
        <v>1079</v>
      </c>
      <c r="K309" s="9952"/>
      <c r="L309" s="9741" t="s">
        <v>1078</v>
      </c>
      <c r="M309" s="9952"/>
      <c r="N309" s="9740" t="s">
        <v>3663</v>
      </c>
      <c r="O309" s="9952"/>
      <c r="P309" s="9740" t="s">
        <v>1077</v>
      </c>
      <c r="Q309" s="9952"/>
      <c r="R309" s="9740" t="s">
        <v>1076</v>
      </c>
      <c r="S309" s="9952"/>
      <c r="T309" s="9740" t="s">
        <v>1047</v>
      </c>
      <c r="U309" s="9952"/>
      <c r="V309" s="9740" t="s">
        <v>1046</v>
      </c>
      <c r="W309" s="9952"/>
      <c r="X309" s="9740" t="s">
        <v>3664</v>
      </c>
      <c r="Y309" s="9952"/>
      <c r="Z309" s="9740" t="s">
        <v>48</v>
      </c>
      <c r="AA309" s="9953"/>
      <c r="AB309" s="9740" t="s">
        <v>49</v>
      </c>
      <c r="AC309" s="9953"/>
      <c r="AD309" s="9740" t="s">
        <v>3665</v>
      </c>
      <c r="AE309" s="9953"/>
      <c r="AF309" s="9740" t="s">
        <v>3666</v>
      </c>
      <c r="AG309" s="9953"/>
      <c r="AH309" s="9740" t="s">
        <v>3667</v>
      </c>
      <c r="AI309" s="9953"/>
      <c r="AJ309" s="9740" t="s">
        <v>3668</v>
      </c>
      <c r="AK309" s="9953"/>
      <c r="AL309" s="9740" t="s">
        <v>2132</v>
      </c>
      <c r="AM309" s="9953"/>
      <c r="AN309" s="9740" t="s">
        <v>2133</v>
      </c>
      <c r="AO309" s="9953"/>
      <c r="AP309" s="9740" t="s">
        <v>2131</v>
      </c>
      <c r="AQ309" s="9953"/>
      <c r="AR309" s="8994"/>
      <c r="AS309" s="8705"/>
      <c r="BW309" s="1430"/>
      <c r="BX309" s="1430"/>
      <c r="DB309" s="1432"/>
      <c r="DC309" s="1432"/>
      <c r="DD309" s="1432"/>
      <c r="DE309" s="1432"/>
      <c r="DF309" s="1432"/>
      <c r="DG309" s="1432"/>
      <c r="DH309" s="1432"/>
    </row>
    <row r="310" spans="1:112" ht="16.350000000000001" customHeight="1" x14ac:dyDescent="0.25">
      <c r="B310" s="9679"/>
      <c r="C310" s="9630"/>
      <c r="D310" s="9680"/>
      <c r="E310" s="4518" t="s">
        <v>42</v>
      </c>
      <c r="F310" s="4515" t="s">
        <v>17</v>
      </c>
      <c r="G310" s="4516" t="s">
        <v>18</v>
      </c>
      <c r="H310" s="4888" t="s">
        <v>17</v>
      </c>
      <c r="I310" s="4889" t="s">
        <v>18</v>
      </c>
      <c r="J310" s="4890" t="s">
        <v>17</v>
      </c>
      <c r="K310" s="4889" t="s">
        <v>18</v>
      </c>
      <c r="L310" s="4890" t="s">
        <v>17</v>
      </c>
      <c r="M310" s="4889" t="s">
        <v>18</v>
      </c>
      <c r="N310" s="4890" t="s">
        <v>17</v>
      </c>
      <c r="O310" s="4889" t="s">
        <v>18</v>
      </c>
      <c r="P310" s="4890" t="s">
        <v>17</v>
      </c>
      <c r="Q310" s="4889" t="s">
        <v>18</v>
      </c>
      <c r="R310" s="4890" t="s">
        <v>17</v>
      </c>
      <c r="S310" s="4889" t="s">
        <v>18</v>
      </c>
      <c r="T310" s="4890" t="s">
        <v>17</v>
      </c>
      <c r="U310" s="4889" t="s">
        <v>18</v>
      </c>
      <c r="V310" s="4890" t="s">
        <v>17</v>
      </c>
      <c r="W310" s="4889" t="s">
        <v>18</v>
      </c>
      <c r="X310" s="4890" t="s">
        <v>17</v>
      </c>
      <c r="Y310" s="4889" t="s">
        <v>18</v>
      </c>
      <c r="Z310" s="4890" t="s">
        <v>17</v>
      </c>
      <c r="AA310" s="4889" t="s">
        <v>18</v>
      </c>
      <c r="AB310" s="4890" t="s">
        <v>17</v>
      </c>
      <c r="AC310" s="4889" t="s">
        <v>18</v>
      </c>
      <c r="AD310" s="4890" t="s">
        <v>17</v>
      </c>
      <c r="AE310" s="4889" t="s">
        <v>18</v>
      </c>
      <c r="AF310" s="4890" t="s">
        <v>17</v>
      </c>
      <c r="AG310" s="4889" t="s">
        <v>18</v>
      </c>
      <c r="AH310" s="4890" t="s">
        <v>17</v>
      </c>
      <c r="AI310" s="4889" t="s">
        <v>18</v>
      </c>
      <c r="AJ310" s="4890" t="s">
        <v>17</v>
      </c>
      <c r="AK310" s="4889" t="s">
        <v>18</v>
      </c>
      <c r="AL310" s="4890" t="s">
        <v>17</v>
      </c>
      <c r="AM310" s="4889" t="s">
        <v>18</v>
      </c>
      <c r="AN310" s="4890" t="s">
        <v>17</v>
      </c>
      <c r="AO310" s="4889" t="s">
        <v>18</v>
      </c>
      <c r="AP310" s="4890" t="s">
        <v>17</v>
      </c>
      <c r="AQ310" s="4889" t="s">
        <v>18</v>
      </c>
      <c r="AR310" s="9859"/>
      <c r="AS310" s="9743"/>
      <c r="BW310" s="1430"/>
      <c r="BX310" s="1430"/>
      <c r="DB310" s="1432"/>
      <c r="DC310" s="1432"/>
      <c r="DD310" s="1432"/>
      <c r="DE310" s="1432"/>
      <c r="DF310" s="1432"/>
      <c r="DG310" s="1432"/>
      <c r="DH310" s="1432"/>
    </row>
    <row r="311" spans="1:112" ht="16.350000000000001" customHeight="1" x14ac:dyDescent="0.25">
      <c r="A311" s="7668" t="s">
        <v>5333</v>
      </c>
      <c r="B311" s="9920" t="s">
        <v>1045</v>
      </c>
      <c r="C311" s="9921"/>
      <c r="D311" s="9922"/>
      <c r="E311" s="4891" t="s">
        <v>5369</v>
      </c>
      <c r="F311" s="4892" t="s">
        <v>5370</v>
      </c>
      <c r="G311" s="4892" t="s">
        <v>5371</v>
      </c>
      <c r="H311" s="4893" t="s">
        <v>5372</v>
      </c>
      <c r="I311" s="4894" t="s">
        <v>5373</v>
      </c>
      <c r="J311" s="4893" t="s">
        <v>5374</v>
      </c>
      <c r="K311" s="4894" t="s">
        <v>5375</v>
      </c>
      <c r="L311" s="4893" t="s">
        <v>5376</v>
      </c>
      <c r="M311" s="4894" t="s">
        <v>5377</v>
      </c>
      <c r="N311" s="4893" t="s">
        <v>5378</v>
      </c>
      <c r="O311" s="4894" t="s">
        <v>5379</v>
      </c>
      <c r="P311" s="4893" t="s">
        <v>5380</v>
      </c>
      <c r="Q311" s="4894" t="s">
        <v>5381</v>
      </c>
      <c r="R311" s="4893" t="s">
        <v>5382</v>
      </c>
      <c r="S311" s="4894" t="s">
        <v>5383</v>
      </c>
      <c r="T311" s="4893" t="s">
        <v>5384</v>
      </c>
      <c r="U311" s="4894" t="s">
        <v>5385</v>
      </c>
      <c r="V311" s="4893" t="s">
        <v>5386</v>
      </c>
      <c r="W311" s="4894" t="s">
        <v>5387</v>
      </c>
      <c r="X311" s="4893" t="s">
        <v>5388</v>
      </c>
      <c r="Y311" s="4894" t="s">
        <v>5389</v>
      </c>
      <c r="Z311" s="4893" t="s">
        <v>5390</v>
      </c>
      <c r="AA311" s="4894" t="s">
        <v>5391</v>
      </c>
      <c r="AB311" s="4893" t="s">
        <v>5392</v>
      </c>
      <c r="AC311" s="4894" t="s">
        <v>5393</v>
      </c>
      <c r="AD311" s="4893" t="s">
        <v>5394</v>
      </c>
      <c r="AE311" s="4894" t="s">
        <v>5395</v>
      </c>
      <c r="AF311" s="4893" t="s">
        <v>5396</v>
      </c>
      <c r="AG311" s="4894" t="s">
        <v>5397</v>
      </c>
      <c r="AH311" s="4893" t="s">
        <v>5398</v>
      </c>
      <c r="AI311" s="4894" t="s">
        <v>5399</v>
      </c>
      <c r="AJ311" s="4893" t="s">
        <v>5400</v>
      </c>
      <c r="AK311" s="4894" t="s">
        <v>5401</v>
      </c>
      <c r="AL311" s="4893" t="s">
        <v>5402</v>
      </c>
      <c r="AM311" s="4894" t="s">
        <v>5403</v>
      </c>
      <c r="AN311" s="4893" t="s">
        <v>5404</v>
      </c>
      <c r="AO311" s="4894" t="s">
        <v>5405</v>
      </c>
      <c r="AP311" s="4893" t="s">
        <v>5406</v>
      </c>
      <c r="AQ311" s="4895" t="s">
        <v>5407</v>
      </c>
      <c r="AR311" s="1061" t="s">
        <v>5408</v>
      </c>
      <c r="AS311" s="3238" t="s">
        <v>5409</v>
      </c>
      <c r="AT311" s="1496" t="e">
        <f>$CB311&amp;$CC311&amp;$CD311&amp;$CE311&amp;$CF311&amp;$CG311&amp;$CH311</f>
        <v>#VALUE!</v>
      </c>
      <c r="BW311" s="1430"/>
      <c r="BX311" s="1430"/>
      <c r="CB311" s="1435" t="e">
        <f>IF(DB311=1,"* Las actividades de 60 años NO DEBE ser mayor que el de 60-64 Años. ","")</f>
        <v>#VALUE!</v>
      </c>
      <c r="CC311" s="1435" t="str">
        <f>IF(AND(E311&lt;&gt;0,AR311=""),"* Recuerde que las Embarazadas deben ser incluídas en el ingreso por rango Etario (Digite CEROS si no tiene). ",IF(G311&lt;AR311,"* Las Embarazadas NO DEBEN ser mayor al total de Mujeres. ",""))</f>
        <v xml:space="preserve">* Las Embarazadas NO DEBEN ser mayor al total de Mujeres. </v>
      </c>
      <c r="DB311" s="1436" t="e">
        <f>IF((AL311+AM311)&lt;AS311,1,0)</f>
        <v>#VALUE!</v>
      </c>
      <c r="DC311" s="1436">
        <f>IF(AND(E311&lt;&gt;0,AR311=""),1,IF(G311&lt;AR311,1,0))</f>
        <v>1</v>
      </c>
      <c r="DD311" s="1429"/>
      <c r="DE311" s="1432"/>
      <c r="DF311" s="1432"/>
      <c r="DG311" s="1432"/>
      <c r="DH311" s="1432"/>
    </row>
    <row r="312" spans="1:112" ht="16.350000000000001" customHeight="1" x14ac:dyDescent="0.25">
      <c r="A312" s="7520" t="s">
        <v>5334</v>
      </c>
      <c r="B312" s="9772" t="s">
        <v>1044</v>
      </c>
      <c r="C312" s="9773"/>
      <c r="D312" s="9774"/>
      <c r="E312" s="2908" t="s">
        <v>5369</v>
      </c>
      <c r="F312" s="2922" t="s">
        <v>5370</v>
      </c>
      <c r="G312" s="2922" t="s">
        <v>5371</v>
      </c>
      <c r="H312" s="2852" t="s">
        <v>5372</v>
      </c>
      <c r="I312" s="1844" t="s">
        <v>5373</v>
      </c>
      <c r="J312" s="2852" t="s">
        <v>5374</v>
      </c>
      <c r="K312" s="1844" t="s">
        <v>5375</v>
      </c>
      <c r="L312" s="2852" t="s">
        <v>5376</v>
      </c>
      <c r="M312" s="1844" t="s">
        <v>5377</v>
      </c>
      <c r="N312" s="2852" t="s">
        <v>5378</v>
      </c>
      <c r="O312" s="1844" t="s">
        <v>5379</v>
      </c>
      <c r="P312" s="2852" t="s">
        <v>5380</v>
      </c>
      <c r="Q312" s="1844" t="s">
        <v>5381</v>
      </c>
      <c r="R312" s="2852" t="s">
        <v>5382</v>
      </c>
      <c r="S312" s="1844" t="s">
        <v>5383</v>
      </c>
      <c r="T312" s="2852" t="s">
        <v>5384</v>
      </c>
      <c r="U312" s="1844" t="s">
        <v>5385</v>
      </c>
      <c r="V312" s="2852" t="s">
        <v>5386</v>
      </c>
      <c r="W312" s="1844" t="s">
        <v>5387</v>
      </c>
      <c r="X312" s="2852" t="s">
        <v>5388</v>
      </c>
      <c r="Y312" s="1844" t="s">
        <v>5389</v>
      </c>
      <c r="Z312" s="2852" t="s">
        <v>5390</v>
      </c>
      <c r="AA312" s="1844" t="s">
        <v>5391</v>
      </c>
      <c r="AB312" s="2852" t="s">
        <v>5392</v>
      </c>
      <c r="AC312" s="1844" t="s">
        <v>5393</v>
      </c>
      <c r="AD312" s="2852" t="s">
        <v>5394</v>
      </c>
      <c r="AE312" s="1844" t="s">
        <v>5395</v>
      </c>
      <c r="AF312" s="2852" t="s">
        <v>5396</v>
      </c>
      <c r="AG312" s="1844" t="s">
        <v>5397</v>
      </c>
      <c r="AH312" s="2852" t="s">
        <v>5398</v>
      </c>
      <c r="AI312" s="1844" t="s">
        <v>5399</v>
      </c>
      <c r="AJ312" s="2852" t="s">
        <v>5400</v>
      </c>
      <c r="AK312" s="1844" t="s">
        <v>5401</v>
      </c>
      <c r="AL312" s="2852" t="s">
        <v>5402</v>
      </c>
      <c r="AM312" s="1844" t="s">
        <v>5403</v>
      </c>
      <c r="AN312" s="2852" t="s">
        <v>5404</v>
      </c>
      <c r="AO312" s="1844" t="s">
        <v>5405</v>
      </c>
      <c r="AP312" s="2852" t="s">
        <v>5406</v>
      </c>
      <c r="AQ312" s="2957" t="s">
        <v>5407</v>
      </c>
      <c r="AR312" s="4716" t="s">
        <v>5408</v>
      </c>
      <c r="AS312" s="3478" t="s">
        <v>5409</v>
      </c>
      <c r="AT312" s="1496" t="e">
        <f>$CB312&amp;$CC312&amp;$CD312&amp;$CE312&amp;$CF312&amp;$CG312&amp;$CH312</f>
        <v>#VALUE!</v>
      </c>
      <c r="BW312" s="1430"/>
      <c r="BX312" s="1430"/>
      <c r="CB312" s="1435" t="e">
        <f>IF(DB312=1,"* Las actividades de 60 años NO DEBE ser mayor que el de 60-64 Años. ","")</f>
        <v>#VALUE!</v>
      </c>
      <c r="CC312" s="1435" t="str">
        <f>IF(AND(E312&lt;&gt;0,AR312=""),"* Recuerde que las Embarazadas deben ser incluídas en el ingreso por rango Etario (Digite CEROS si no tiene). ",IF(G312&lt;AR312,"* Las Embarazadas NO DEBEN ser mayor al total de Mujeres. ",""))</f>
        <v xml:space="preserve">* Las Embarazadas NO DEBEN ser mayor al total de Mujeres. </v>
      </c>
      <c r="DB312" s="1436" t="e">
        <f>IF((AL312+AM312)&lt;AS312,1,0)</f>
        <v>#VALUE!</v>
      </c>
      <c r="DC312" s="1436">
        <f>IF(AND(E312&lt;&gt;0,AR312=""),1,IF(G312&lt;AR312,1,0))</f>
        <v>1</v>
      </c>
      <c r="DD312" s="1429"/>
      <c r="DE312" s="1432"/>
      <c r="DF312" s="1432"/>
      <c r="DG312" s="1432"/>
      <c r="DH312" s="1432"/>
    </row>
    <row r="313" spans="1:112" ht="16.350000000000001" customHeight="1" x14ac:dyDescent="0.25">
      <c r="A313" s="7520" t="s">
        <v>5335</v>
      </c>
      <c r="B313" s="9772" t="s">
        <v>1043</v>
      </c>
      <c r="C313" s="9773"/>
      <c r="D313" s="9774"/>
      <c r="E313" s="2908" t="s">
        <v>5369</v>
      </c>
      <c r="F313" s="2922" t="s">
        <v>5370</v>
      </c>
      <c r="G313" s="2922" t="s">
        <v>5371</v>
      </c>
      <c r="H313" s="2852" t="s">
        <v>5372</v>
      </c>
      <c r="I313" s="1844" t="s">
        <v>5373</v>
      </c>
      <c r="J313" s="2852" t="s">
        <v>5374</v>
      </c>
      <c r="K313" s="1844" t="s">
        <v>5375</v>
      </c>
      <c r="L313" s="2852" t="s">
        <v>5376</v>
      </c>
      <c r="M313" s="1844" t="s">
        <v>5377</v>
      </c>
      <c r="N313" s="2852" t="s">
        <v>5378</v>
      </c>
      <c r="O313" s="1844" t="s">
        <v>5379</v>
      </c>
      <c r="P313" s="2852" t="s">
        <v>5380</v>
      </c>
      <c r="Q313" s="1844" t="s">
        <v>5381</v>
      </c>
      <c r="R313" s="2852" t="s">
        <v>5382</v>
      </c>
      <c r="S313" s="1844" t="s">
        <v>5383</v>
      </c>
      <c r="T313" s="2852" t="s">
        <v>5384</v>
      </c>
      <c r="U313" s="1844" t="s">
        <v>5385</v>
      </c>
      <c r="V313" s="2852" t="s">
        <v>5386</v>
      </c>
      <c r="W313" s="1844" t="s">
        <v>5387</v>
      </c>
      <c r="X313" s="2852" t="s">
        <v>5388</v>
      </c>
      <c r="Y313" s="1844" t="s">
        <v>5389</v>
      </c>
      <c r="Z313" s="2852" t="s">
        <v>5390</v>
      </c>
      <c r="AA313" s="1844" t="s">
        <v>5391</v>
      </c>
      <c r="AB313" s="2852" t="s">
        <v>5392</v>
      </c>
      <c r="AC313" s="1844" t="s">
        <v>5393</v>
      </c>
      <c r="AD313" s="2852" t="s">
        <v>5394</v>
      </c>
      <c r="AE313" s="1844" t="s">
        <v>5395</v>
      </c>
      <c r="AF313" s="2852" t="s">
        <v>5396</v>
      </c>
      <c r="AG313" s="1844" t="s">
        <v>5397</v>
      </c>
      <c r="AH313" s="2852" t="s">
        <v>5398</v>
      </c>
      <c r="AI313" s="1844" t="s">
        <v>5399</v>
      </c>
      <c r="AJ313" s="2852" t="s">
        <v>5400</v>
      </c>
      <c r="AK313" s="1844" t="s">
        <v>5401</v>
      </c>
      <c r="AL313" s="2852" t="s">
        <v>5402</v>
      </c>
      <c r="AM313" s="1844" t="s">
        <v>5403</v>
      </c>
      <c r="AN313" s="2852" t="s">
        <v>5404</v>
      </c>
      <c r="AO313" s="1844" t="s">
        <v>5405</v>
      </c>
      <c r="AP313" s="2852" t="s">
        <v>5406</v>
      </c>
      <c r="AQ313" s="2957" t="s">
        <v>5407</v>
      </c>
      <c r="AR313" s="4716" t="s">
        <v>5408</v>
      </c>
      <c r="AS313" s="3478" t="s">
        <v>5409</v>
      </c>
      <c r="AT313" s="1496" t="e">
        <f>$CB313&amp;$CC313&amp;$CD313&amp;$CE313&amp;$CF313&amp;$CG313&amp;$CH313</f>
        <v>#VALUE!</v>
      </c>
      <c r="BW313" s="1430"/>
      <c r="BX313" s="1430"/>
      <c r="CB313" s="1435" t="e">
        <f>IF(DB313=1,"* Las actividades de 60 años NO DEBE ser mayor que el de 60-64 Años. ","")</f>
        <v>#VALUE!</v>
      </c>
      <c r="CC313" s="1435" t="str">
        <f>IF(AND(E313&lt;&gt;0,AR313=""),"* Recuerde que las Embarazadas deben ser incluídas en el ingreso por rango Etario (Digite CEROS si no tiene). ",IF(G313&lt;AR313,"* Las Embarazadas NO DEBEN ser mayor al total de Mujeres. ",""))</f>
        <v xml:space="preserve">* Las Embarazadas NO DEBEN ser mayor al total de Mujeres. </v>
      </c>
      <c r="DB313" s="1436" t="e">
        <f>IF((AL313+AM313)&lt;AS313,1,0)</f>
        <v>#VALUE!</v>
      </c>
      <c r="DC313" s="1436">
        <f>IF(AND(E313&lt;&gt;0,AR313=""),1,IF(G313&lt;AR313,1,0))</f>
        <v>1</v>
      </c>
      <c r="DD313" s="1429"/>
      <c r="DE313" s="1432"/>
      <c r="DF313" s="1432"/>
      <c r="DG313" s="1432"/>
      <c r="DH313" s="1432"/>
    </row>
    <row r="314" spans="1:112" ht="16.350000000000001" customHeight="1" x14ac:dyDescent="0.25">
      <c r="A314" s="7520" t="s">
        <v>5336</v>
      </c>
      <c r="B314" s="9923" t="s">
        <v>1042</v>
      </c>
      <c r="C314" s="9924"/>
      <c r="D314" s="9925"/>
      <c r="E314" s="2908" t="s">
        <v>5369</v>
      </c>
      <c r="F314" s="2922" t="s">
        <v>5370</v>
      </c>
      <c r="G314" s="2922" t="s">
        <v>5371</v>
      </c>
      <c r="H314" s="2852" t="s">
        <v>5372</v>
      </c>
      <c r="I314" s="1844" t="s">
        <v>5373</v>
      </c>
      <c r="J314" s="2852" t="s">
        <v>5374</v>
      </c>
      <c r="K314" s="1844" t="s">
        <v>5375</v>
      </c>
      <c r="L314" s="2852" t="s">
        <v>5376</v>
      </c>
      <c r="M314" s="1844" t="s">
        <v>5377</v>
      </c>
      <c r="N314" s="2852" t="s">
        <v>5378</v>
      </c>
      <c r="O314" s="1844" t="s">
        <v>5379</v>
      </c>
      <c r="P314" s="2852" t="s">
        <v>5380</v>
      </c>
      <c r="Q314" s="1844" t="s">
        <v>5381</v>
      </c>
      <c r="R314" s="2852" t="s">
        <v>5382</v>
      </c>
      <c r="S314" s="1844" t="s">
        <v>5383</v>
      </c>
      <c r="T314" s="2852" t="s">
        <v>5384</v>
      </c>
      <c r="U314" s="1844" t="s">
        <v>5385</v>
      </c>
      <c r="V314" s="2852" t="s">
        <v>5386</v>
      </c>
      <c r="W314" s="1844" t="s">
        <v>5387</v>
      </c>
      <c r="X314" s="2852" t="s">
        <v>5388</v>
      </c>
      <c r="Y314" s="1844" t="s">
        <v>5389</v>
      </c>
      <c r="Z314" s="2852" t="s">
        <v>5390</v>
      </c>
      <c r="AA314" s="1844" t="s">
        <v>5391</v>
      </c>
      <c r="AB314" s="2852" t="s">
        <v>5392</v>
      </c>
      <c r="AC314" s="1844" t="s">
        <v>5393</v>
      </c>
      <c r="AD314" s="2852" t="s">
        <v>5394</v>
      </c>
      <c r="AE314" s="1844" t="s">
        <v>5395</v>
      </c>
      <c r="AF314" s="2852" t="s">
        <v>5396</v>
      </c>
      <c r="AG314" s="1844" t="s">
        <v>5397</v>
      </c>
      <c r="AH314" s="2852" t="s">
        <v>5398</v>
      </c>
      <c r="AI314" s="1844" t="s">
        <v>5399</v>
      </c>
      <c r="AJ314" s="2852" t="s">
        <v>5400</v>
      </c>
      <c r="AK314" s="1844" t="s">
        <v>5401</v>
      </c>
      <c r="AL314" s="2852" t="s">
        <v>5402</v>
      </c>
      <c r="AM314" s="1844" t="s">
        <v>5403</v>
      </c>
      <c r="AN314" s="2852" t="s">
        <v>5404</v>
      </c>
      <c r="AO314" s="1844" t="s">
        <v>5405</v>
      </c>
      <c r="AP314" s="2852" t="s">
        <v>5406</v>
      </c>
      <c r="AQ314" s="2957" t="s">
        <v>5407</v>
      </c>
      <c r="AR314" s="2529" t="s">
        <v>5408</v>
      </c>
      <c r="AS314" s="3127" t="s">
        <v>5409</v>
      </c>
      <c r="AT314" s="1496" t="e">
        <f>$CB314&amp;$CC314&amp;$CD314&amp;$CE314&amp;$CF314&amp;$CG314&amp;$CH314</f>
        <v>#VALUE!</v>
      </c>
      <c r="BW314" s="1430"/>
      <c r="BX314" s="1430"/>
      <c r="CB314" s="1435" t="e">
        <f>IF(DB314=1,"* Las actividades de 60 años NO DEBE ser mayor que el de 60-64 Años. ","")</f>
        <v>#VALUE!</v>
      </c>
      <c r="CC314" s="1435" t="str">
        <f>IF(AND(E314&lt;&gt;0,AR314=""),"* Recuerde que las Embarazadas deben ser incluídas en el ingreso por rango Etario (Digite CEROS si no tiene). ",IF(G314&lt;AR314,"* Las Embarazadas NO DEBEN ser mayor al total de Mujeres. ",""))</f>
        <v xml:space="preserve">* Las Embarazadas NO DEBEN ser mayor al total de Mujeres. </v>
      </c>
      <c r="DB314" s="1436" t="e">
        <f>IF((AL314+AM314)&lt;AS314,1,0)</f>
        <v>#VALUE!</v>
      </c>
      <c r="DC314" s="1436">
        <f>IF(AND(E314&lt;&gt;0,AR314=""),1,IF(G314&lt;AR314,1,0))</f>
        <v>1</v>
      </c>
      <c r="DD314" s="1429"/>
      <c r="DE314" s="1432"/>
      <c r="DF314" s="1432"/>
      <c r="DG314" s="1432"/>
      <c r="DH314" s="1432"/>
    </row>
    <row r="315" spans="1:112" ht="16.350000000000001" customHeight="1" x14ac:dyDescent="0.25">
      <c r="A315" s="7520" t="s">
        <v>5337</v>
      </c>
      <c r="B315" s="9816" t="s">
        <v>1041</v>
      </c>
      <c r="C315" s="9890"/>
      <c r="D315" s="9817"/>
      <c r="E315" s="4778" t="s">
        <v>5369</v>
      </c>
      <c r="F315" s="3233" t="s">
        <v>5370</v>
      </c>
      <c r="G315" s="3233" t="s">
        <v>5371</v>
      </c>
      <c r="H315" s="2477" t="s">
        <v>5372</v>
      </c>
      <c r="I315" s="2821" t="s">
        <v>5373</v>
      </c>
      <c r="J315" s="2477" t="s">
        <v>5374</v>
      </c>
      <c r="K315" s="2821" t="s">
        <v>5375</v>
      </c>
      <c r="L315" s="2477" t="s">
        <v>5376</v>
      </c>
      <c r="M315" s="2821" t="s">
        <v>5377</v>
      </c>
      <c r="N315" s="2477" t="s">
        <v>5378</v>
      </c>
      <c r="O315" s="2821" t="s">
        <v>5379</v>
      </c>
      <c r="P315" s="2477" t="s">
        <v>5380</v>
      </c>
      <c r="Q315" s="2821" t="s">
        <v>5381</v>
      </c>
      <c r="R315" s="2477" t="s">
        <v>5382</v>
      </c>
      <c r="S315" s="2821" t="s">
        <v>5383</v>
      </c>
      <c r="T315" s="2477" t="s">
        <v>5384</v>
      </c>
      <c r="U315" s="2821" t="s">
        <v>5385</v>
      </c>
      <c r="V315" s="2477" t="s">
        <v>5386</v>
      </c>
      <c r="W315" s="2821" t="s">
        <v>5387</v>
      </c>
      <c r="X315" s="2477" t="s">
        <v>5388</v>
      </c>
      <c r="Y315" s="2821" t="s">
        <v>5389</v>
      </c>
      <c r="Z315" s="2477" t="s">
        <v>5390</v>
      </c>
      <c r="AA315" s="2821" t="s">
        <v>5391</v>
      </c>
      <c r="AB315" s="2477" t="s">
        <v>5392</v>
      </c>
      <c r="AC315" s="2821" t="s">
        <v>5393</v>
      </c>
      <c r="AD315" s="2477" t="s">
        <v>5394</v>
      </c>
      <c r="AE315" s="2821" t="s">
        <v>5395</v>
      </c>
      <c r="AF315" s="2477" t="s">
        <v>5396</v>
      </c>
      <c r="AG315" s="2821" t="s">
        <v>5397</v>
      </c>
      <c r="AH315" s="2477" t="s">
        <v>5398</v>
      </c>
      <c r="AI315" s="2821" t="s">
        <v>5399</v>
      </c>
      <c r="AJ315" s="2477" t="s">
        <v>5400</v>
      </c>
      <c r="AK315" s="2821" t="s">
        <v>5401</v>
      </c>
      <c r="AL315" s="2477" t="s">
        <v>5402</v>
      </c>
      <c r="AM315" s="2821" t="s">
        <v>5403</v>
      </c>
      <c r="AN315" s="2477" t="s">
        <v>5404</v>
      </c>
      <c r="AO315" s="2821" t="s">
        <v>5405</v>
      </c>
      <c r="AP315" s="2477" t="s">
        <v>5406</v>
      </c>
      <c r="AQ315" s="2830" t="s">
        <v>5407</v>
      </c>
      <c r="AR315" s="2490" t="s">
        <v>5408</v>
      </c>
      <c r="AS315" s="3236" t="s">
        <v>5409</v>
      </c>
      <c r="AT315" s="1496" t="e">
        <f>$CB315&amp;$CC315&amp;$CD315&amp;$CE315&amp;$CF315&amp;$CG315&amp;$CH315</f>
        <v>#VALUE!</v>
      </c>
      <c r="BW315" s="1430"/>
      <c r="BX315" s="1430"/>
      <c r="CB315" s="1435" t="e">
        <f>IF(DB315=1,"* Las actividades de 60 años NO DEBE ser mayor que el de 60-64 Años. ","")</f>
        <v>#VALUE!</v>
      </c>
      <c r="CC315" s="1435" t="str">
        <f>IF(AND(E315&lt;&gt;0,AR315=""),"* Recuerde que las Embarazadas deben ser incluídas en el ingreso por rango Etario (Digite CEROS si no tiene). ",IF(G315&lt;AR315,"* Las Embarazadas NO DEBEN ser mayor al total de Mujeres. ",""))</f>
        <v xml:space="preserve">* Las Embarazadas NO DEBEN ser mayor al total de Mujeres. </v>
      </c>
      <c r="DB315" s="1436" t="e">
        <f>IF((AL315+AM315)&lt;AS315,1,0)</f>
        <v>#VALUE!</v>
      </c>
      <c r="DC315" s="1436">
        <f>IF(AND(E315&lt;&gt;0,AR315=""),1,IF(G315&lt;AR315,1,0))</f>
        <v>1</v>
      </c>
      <c r="DD315" s="1429"/>
      <c r="DE315" s="1432"/>
      <c r="DF315" s="1432"/>
      <c r="DG315" s="1432"/>
      <c r="DH315" s="1432"/>
    </row>
    <row r="316" spans="1:112" ht="33.75" customHeight="1" x14ac:dyDescent="0.3">
      <c r="B316" s="292" t="s">
        <v>3478</v>
      </c>
      <c r="C316" s="4896"/>
      <c r="D316" s="4896"/>
      <c r="E316" s="4897"/>
      <c r="F316" s="531"/>
      <c r="G316" s="290"/>
      <c r="H316" s="290"/>
      <c r="I316" s="290"/>
      <c r="J316" s="290"/>
      <c r="K316" s="290"/>
      <c r="BW316" s="1430"/>
      <c r="BX316" s="1430"/>
      <c r="DB316" s="1432"/>
      <c r="DC316" s="1432"/>
      <c r="DD316" s="1432"/>
      <c r="DE316" s="1432"/>
      <c r="DF316" s="1432"/>
      <c r="DG316" s="1432"/>
      <c r="DH316" s="1432"/>
    </row>
    <row r="317" spans="1:112" ht="38.25" customHeight="1" x14ac:dyDescent="0.25">
      <c r="B317" s="9740" t="s">
        <v>1004</v>
      </c>
      <c r="C317" s="9926"/>
      <c r="D317" s="4898" t="s">
        <v>1039</v>
      </c>
      <c r="E317" s="4898" t="s">
        <v>1038</v>
      </c>
      <c r="F317" s="4898" t="s">
        <v>1037</v>
      </c>
      <c r="G317" s="290"/>
      <c r="H317" s="290"/>
      <c r="I317" s="290"/>
      <c r="J317" s="290"/>
      <c r="K317" s="290"/>
      <c r="BW317" s="1430"/>
      <c r="BX317" s="1430"/>
    </row>
    <row r="318" spans="1:112" x14ac:dyDescent="0.25">
      <c r="A318" s="7520" t="s">
        <v>5338</v>
      </c>
      <c r="B318" s="9927" t="s">
        <v>1036</v>
      </c>
      <c r="C318" s="9928"/>
      <c r="D318" s="4899" t="s">
        <v>5369</v>
      </c>
      <c r="E318" s="4899" t="s">
        <v>5370</v>
      </c>
      <c r="F318" s="4899" t="s">
        <v>5371</v>
      </c>
      <c r="G318" s="290"/>
      <c r="H318" s="290"/>
      <c r="I318" s="290"/>
      <c r="J318" s="290"/>
      <c r="K318" s="290"/>
      <c r="BW318" s="1430"/>
      <c r="BX318" s="1430"/>
    </row>
    <row r="319" spans="1:112" ht="14.25" customHeight="1" x14ac:dyDescent="0.25">
      <c r="A319" s="7665" t="s">
        <v>5339</v>
      </c>
      <c r="B319" s="9914" t="s">
        <v>1035</v>
      </c>
      <c r="C319" s="9915"/>
      <c r="D319" s="3478" t="s">
        <v>5369</v>
      </c>
      <c r="E319" s="3478" t="s">
        <v>5370</v>
      </c>
      <c r="F319" s="3478" t="s">
        <v>5371</v>
      </c>
      <c r="G319" s="290"/>
      <c r="H319" s="290"/>
      <c r="I319" s="290"/>
      <c r="J319" s="290"/>
      <c r="K319" s="290"/>
      <c r="BW319" s="1430"/>
      <c r="BX319" s="1430"/>
    </row>
    <row r="320" spans="1:112" ht="16.350000000000001" customHeight="1" x14ac:dyDescent="0.25">
      <c r="A320" s="7665" t="s">
        <v>5340</v>
      </c>
      <c r="B320" s="9929" t="s">
        <v>1034</v>
      </c>
      <c r="C320" s="9930"/>
      <c r="D320" s="3478" t="s">
        <v>5369</v>
      </c>
      <c r="E320" s="3478" t="s">
        <v>5370</v>
      </c>
      <c r="F320" s="3478" t="s">
        <v>5371</v>
      </c>
      <c r="G320" s="290"/>
      <c r="H320" s="290"/>
      <c r="I320" s="290"/>
      <c r="J320" s="290"/>
      <c r="K320" s="290"/>
      <c r="BW320" s="1430"/>
      <c r="BX320" s="1430"/>
    </row>
    <row r="321" spans="1:76" ht="16.350000000000001" customHeight="1" x14ac:dyDescent="0.25">
      <c r="A321" s="7665" t="s">
        <v>5341</v>
      </c>
      <c r="B321" s="9914" t="s">
        <v>1033</v>
      </c>
      <c r="C321" s="9915"/>
      <c r="D321" s="3478" t="s">
        <v>5369</v>
      </c>
      <c r="E321" s="3478" t="s">
        <v>5370</v>
      </c>
      <c r="F321" s="3478" t="s">
        <v>5371</v>
      </c>
      <c r="G321" s="290"/>
      <c r="H321" s="290"/>
      <c r="I321" s="290"/>
      <c r="J321" s="290"/>
      <c r="K321" s="290"/>
      <c r="BW321" s="1430"/>
      <c r="BX321" s="1430"/>
    </row>
    <row r="322" spans="1:76" ht="16.350000000000001" customHeight="1" x14ac:dyDescent="0.25">
      <c r="A322" s="7665" t="s">
        <v>5342</v>
      </c>
      <c r="B322" s="9914" t="s">
        <v>1032</v>
      </c>
      <c r="C322" s="9915"/>
      <c r="D322" s="3478" t="s">
        <v>5369</v>
      </c>
      <c r="E322" s="3478" t="s">
        <v>5370</v>
      </c>
      <c r="F322" s="3478" t="s">
        <v>5371</v>
      </c>
      <c r="G322" s="290"/>
      <c r="H322" s="290"/>
      <c r="I322" s="290"/>
      <c r="J322" s="290"/>
      <c r="K322" s="290"/>
      <c r="BW322" s="1430"/>
      <c r="BX322" s="1430"/>
    </row>
    <row r="323" spans="1:76" ht="16.350000000000001" customHeight="1" x14ac:dyDescent="0.25">
      <c r="A323" s="7520" t="s">
        <v>5343</v>
      </c>
      <c r="B323" s="9914" t="s">
        <v>1031</v>
      </c>
      <c r="C323" s="9915"/>
      <c r="D323" s="3478" t="s">
        <v>5369</v>
      </c>
      <c r="E323" s="3478" t="s">
        <v>5370</v>
      </c>
      <c r="F323" s="3478" t="s">
        <v>5371</v>
      </c>
      <c r="G323" s="290"/>
      <c r="H323" s="290"/>
      <c r="I323" s="290"/>
      <c r="J323" s="290"/>
      <c r="K323" s="290"/>
      <c r="BW323" s="1430"/>
      <c r="BX323" s="1430"/>
    </row>
    <row r="324" spans="1:76" ht="16.350000000000001" customHeight="1" x14ac:dyDescent="0.25">
      <c r="A324" s="7520" t="s">
        <v>5344</v>
      </c>
      <c r="B324" s="9934" t="s">
        <v>1027</v>
      </c>
      <c r="C324" s="9935"/>
      <c r="D324" s="3478" t="s">
        <v>5369</v>
      </c>
      <c r="E324" s="3478" t="s">
        <v>5370</v>
      </c>
      <c r="F324" s="3478" t="s">
        <v>5371</v>
      </c>
      <c r="G324" s="290"/>
      <c r="H324" s="290"/>
      <c r="I324" s="290"/>
      <c r="J324" s="290"/>
      <c r="K324" s="290"/>
      <c r="BW324" s="1430"/>
      <c r="BX324" s="1430"/>
    </row>
    <row r="325" spans="1:76" ht="16.350000000000001" customHeight="1" x14ac:dyDescent="0.25">
      <c r="A325" s="7520" t="s">
        <v>5345</v>
      </c>
      <c r="B325" s="9936" t="s">
        <v>1030</v>
      </c>
      <c r="C325" s="9937"/>
      <c r="D325" s="3478" t="s">
        <v>5369</v>
      </c>
      <c r="E325" s="3478" t="s">
        <v>5370</v>
      </c>
      <c r="F325" s="3478" t="s">
        <v>5371</v>
      </c>
      <c r="G325" s="290"/>
      <c r="H325" s="290"/>
      <c r="I325" s="290"/>
      <c r="J325" s="290"/>
      <c r="K325" s="290"/>
      <c r="BW325" s="1430"/>
      <c r="BX325" s="1430"/>
    </row>
    <row r="326" spans="1:76" ht="16.350000000000001" customHeight="1" x14ac:dyDescent="0.25">
      <c r="A326" s="7520" t="s">
        <v>5346</v>
      </c>
      <c r="B326" s="9936" t="s">
        <v>1029</v>
      </c>
      <c r="C326" s="9937"/>
      <c r="D326" s="3478" t="s">
        <v>5369</v>
      </c>
      <c r="E326" s="3478" t="s">
        <v>5370</v>
      </c>
      <c r="F326" s="3478" t="s">
        <v>5371</v>
      </c>
      <c r="G326" s="290"/>
      <c r="H326" s="290"/>
      <c r="I326" s="290"/>
      <c r="J326" s="290"/>
      <c r="K326" s="290"/>
      <c r="BW326" s="1430"/>
      <c r="BX326" s="1430"/>
    </row>
    <row r="327" spans="1:76" ht="14.25" customHeight="1" x14ac:dyDescent="0.25">
      <c r="A327" s="7520" t="s">
        <v>5347</v>
      </c>
      <c r="B327" s="9912" t="s">
        <v>1028</v>
      </c>
      <c r="C327" s="9913"/>
      <c r="D327" s="3236" t="s">
        <v>5369</v>
      </c>
      <c r="E327" s="3236" t="s">
        <v>5370</v>
      </c>
      <c r="F327" s="3236" t="s">
        <v>5371</v>
      </c>
      <c r="G327" s="290"/>
      <c r="H327" s="290"/>
      <c r="I327" s="290"/>
      <c r="J327" s="290"/>
      <c r="K327" s="290"/>
      <c r="BW327" s="1430"/>
      <c r="BX327" s="1430"/>
    </row>
    <row r="328" spans="1:76" x14ac:dyDescent="0.25">
      <c r="BW328" s="1430"/>
      <c r="BX328" s="1430"/>
    </row>
    <row r="329" spans="1:76" x14ac:dyDescent="0.25">
      <c r="BW329" s="1430"/>
      <c r="BX329" s="1430"/>
    </row>
    <row r="330" spans="1:76" x14ac:dyDescent="0.25">
      <c r="BW330" s="1430"/>
      <c r="BX330" s="1430"/>
    </row>
    <row r="331" spans="1:76" x14ac:dyDescent="0.25">
      <c r="BW331" s="1430"/>
      <c r="BX331" s="1430"/>
    </row>
    <row r="332" spans="1:76" s="1418" customFormat="1" x14ac:dyDescent="0.25">
      <c r="B332" s="1418" t="e">
        <f>SUM(E12:E15,E41:E64,E36,E67:E80,E84:E85,E143,E157,E162:E198,E203:E206,E213:E216,E301:E306,E311:E315,D318:F327)</f>
        <v>#VALUE!</v>
      </c>
      <c r="C332" s="1418" t="e">
        <f>SUM(DB1:EA327)</f>
        <v>#VALUE!</v>
      </c>
    </row>
    <row r="333" spans="1:76" x14ac:dyDescent="0.25">
      <c r="A333" s="165" t="s">
        <v>4068</v>
      </c>
      <c r="BW333" s="1430"/>
      <c r="BX333" s="1430"/>
    </row>
    <row r="334" spans="1:76" x14ac:dyDescent="0.25">
      <c r="A334" s="7259" t="s">
        <v>5219</v>
      </c>
      <c r="BW334" s="1430"/>
      <c r="BX334" s="1430"/>
    </row>
    <row r="335" spans="1:76" x14ac:dyDescent="0.25">
      <c r="A335" s="7259" t="s">
        <v>5230</v>
      </c>
      <c r="BW335" s="1430"/>
      <c r="BX335" s="1430"/>
    </row>
    <row r="336" spans="1:76" x14ac:dyDescent="0.25">
      <c r="BW336" s="1430"/>
      <c r="BX336" s="1430"/>
    </row>
    <row r="337" spans="1:76" x14ac:dyDescent="0.25">
      <c r="A337" s="165" t="s">
        <v>4069</v>
      </c>
      <c r="BW337" s="1430"/>
      <c r="BX337" s="1430"/>
    </row>
    <row r="338" spans="1:76" x14ac:dyDescent="0.25">
      <c r="A338" s="7669" t="s">
        <v>5348</v>
      </c>
      <c r="BW338" s="1430"/>
      <c r="BX338" s="1430"/>
    </row>
    <row r="339" spans="1:76" x14ac:dyDescent="0.25">
      <c r="A339" s="7669" t="s">
        <v>5349</v>
      </c>
      <c r="BW339" s="1430"/>
      <c r="BX339" s="1430"/>
    </row>
    <row r="340" spans="1:76" x14ac:dyDescent="0.25">
      <c r="A340" s="7669" t="s">
        <v>5350</v>
      </c>
      <c r="BW340" s="1430"/>
      <c r="BX340" s="1430"/>
    </row>
    <row r="341" spans="1:76" x14ac:dyDescent="0.25">
      <c r="A341" s="7669" t="s">
        <v>5351</v>
      </c>
      <c r="BW341" s="1430"/>
      <c r="BX341" s="1430"/>
    </row>
    <row r="342" spans="1:76" x14ac:dyDescent="0.25">
      <c r="A342" s="7669" t="s">
        <v>5352</v>
      </c>
      <c r="BW342" s="1430"/>
      <c r="BX342" s="1430"/>
    </row>
    <row r="343" spans="1:76" x14ac:dyDescent="0.25">
      <c r="A343" s="7669" t="s">
        <v>5353</v>
      </c>
      <c r="BW343" s="1430"/>
      <c r="BX343" s="1430"/>
    </row>
    <row r="344" spans="1:76" x14ac:dyDescent="0.25">
      <c r="A344" s="7669" t="s">
        <v>4621</v>
      </c>
      <c r="BW344" s="1430"/>
      <c r="BX344" s="1430"/>
    </row>
    <row r="345" spans="1:76" x14ac:dyDescent="0.25">
      <c r="A345" s="7669" t="s">
        <v>5354</v>
      </c>
      <c r="BW345" s="1430"/>
      <c r="BX345" s="1430"/>
    </row>
    <row r="346" spans="1:76" x14ac:dyDescent="0.25">
      <c r="A346" s="7669" t="s">
        <v>5355</v>
      </c>
      <c r="BW346" s="1430"/>
      <c r="BX346" s="1430"/>
    </row>
    <row r="347" spans="1:76" x14ac:dyDescent="0.25">
      <c r="A347" s="7669" t="s">
        <v>5356</v>
      </c>
      <c r="BW347" s="1430"/>
      <c r="BX347" s="1430"/>
    </row>
    <row r="348" spans="1:76" x14ac:dyDescent="0.25">
      <c r="A348" s="7669" t="s">
        <v>5357</v>
      </c>
      <c r="BW348" s="1430"/>
      <c r="BX348" s="1430"/>
    </row>
    <row r="349" spans="1:76" x14ac:dyDescent="0.25">
      <c r="A349" s="7669" t="s">
        <v>5358</v>
      </c>
      <c r="BW349" s="1430"/>
      <c r="BX349" s="1430"/>
    </row>
    <row r="350" spans="1:76" x14ac:dyDescent="0.25">
      <c r="A350" s="8374">
        <v>9600310</v>
      </c>
      <c r="BW350" s="1430"/>
      <c r="BX350" s="1430"/>
    </row>
    <row r="351" spans="1:76" x14ac:dyDescent="0.25">
      <c r="A351" s="8374" t="s">
        <v>5147</v>
      </c>
      <c r="BW351" s="1430"/>
      <c r="BX351" s="1430"/>
    </row>
    <row r="352" spans="1:76" x14ac:dyDescent="0.25">
      <c r="BW352" s="1430"/>
      <c r="BX352" s="1430"/>
    </row>
    <row r="353" spans="2:99" x14ac:dyDescent="0.25">
      <c r="BW353" s="1430"/>
      <c r="BX353" s="1430"/>
    </row>
    <row r="354" spans="2:99" x14ac:dyDescent="0.25">
      <c r="BW354" s="1430"/>
      <c r="BX354" s="1430"/>
    </row>
    <row r="355" spans="2:99" x14ac:dyDescent="0.25">
      <c r="BW355" s="1430"/>
      <c r="BX355" s="1430"/>
    </row>
    <row r="356" spans="2:99" x14ac:dyDescent="0.25">
      <c r="BW356" s="1430"/>
      <c r="BX356" s="1430"/>
    </row>
    <row r="357" spans="2:99" x14ac:dyDescent="0.25">
      <c r="BW357" s="1430"/>
      <c r="BX357" s="1430"/>
    </row>
    <row r="358" spans="2:99" x14ac:dyDescent="0.25">
      <c r="BW358" s="1430"/>
      <c r="BX358" s="1430"/>
    </row>
    <row r="359" spans="2:99" x14ac:dyDescent="0.25">
      <c r="BW359" s="1430"/>
      <c r="BX359" s="1430"/>
    </row>
    <row r="360" spans="2:99" x14ac:dyDescent="0.25">
      <c r="BW360" s="1430"/>
      <c r="BX360" s="1430"/>
    </row>
    <row r="361" spans="2:99" x14ac:dyDescent="0.25">
      <c r="BW361" s="1430"/>
      <c r="BX361" s="1430"/>
    </row>
    <row r="362" spans="2:99" x14ac:dyDescent="0.25">
      <c r="BW362" s="1430"/>
      <c r="BX362" s="1430"/>
    </row>
    <row r="363" spans="2:99" s="1418" customFormat="1" hidden="1" x14ac:dyDescent="0.25">
      <c r="B363" s="1418" t="e">
        <f>SUM(E12:E15,E36,E64,E67:K80,E84:E85,E143,E157,E162:E198,E203:E206,E213:E216,E301:E306,E311:E315,D318:D327)</f>
        <v>#VALUE!</v>
      </c>
      <c r="C363" s="1418" t="e">
        <f>SUM(DB9:EA327)</f>
        <v>#VALUE!</v>
      </c>
      <c r="AR363" s="165"/>
      <c r="AS363" s="165"/>
      <c r="AT363" s="165"/>
      <c r="AU363" s="165"/>
      <c r="AV363" s="165"/>
      <c r="AW363" s="165"/>
      <c r="AX363" s="165"/>
      <c r="AZ363" s="199"/>
      <c r="BW363" s="1419"/>
      <c r="BX363" s="1419"/>
      <c r="BY363" s="1419"/>
      <c r="BZ363" s="1419"/>
      <c r="CA363" s="1419"/>
      <c r="CB363" s="1429"/>
      <c r="CC363" s="1429"/>
      <c r="CD363" s="1429"/>
      <c r="CE363" s="1429"/>
      <c r="CF363" s="1429"/>
      <c r="CG363" s="1429"/>
      <c r="CH363" s="1429"/>
      <c r="CI363" s="1429"/>
      <c r="CJ363" s="1429"/>
      <c r="CK363" s="1429"/>
      <c r="CL363" s="1429"/>
      <c r="CM363" s="1429"/>
      <c r="CN363" s="1429"/>
      <c r="CO363" s="1429"/>
      <c r="CP363" s="1429"/>
      <c r="CQ363" s="1429"/>
      <c r="CR363" s="1429"/>
      <c r="CS363" s="1429"/>
      <c r="CT363" s="1429"/>
      <c r="CU363" s="1429"/>
    </row>
    <row r="364" spans="2:99" ht="12" customHeight="1" x14ac:dyDescent="0.25">
      <c r="AR364" s="1418"/>
      <c r="AS364" s="1418"/>
      <c r="AT364" s="1418"/>
      <c r="AU364" s="1418"/>
      <c r="AV364" s="1418"/>
      <c r="AW364" s="1418"/>
      <c r="AX364" s="1418"/>
      <c r="BW364" s="1430"/>
      <c r="BX364" s="1430"/>
    </row>
    <row r="366" spans="2:99" x14ac:dyDescent="0.25">
      <c r="BW366" s="1430"/>
      <c r="BX366" s="1430"/>
    </row>
    <row r="367" spans="2:99" x14ac:dyDescent="0.25">
      <c r="BW367" s="1430"/>
      <c r="BX367" s="1430"/>
    </row>
    <row r="368" spans="2:99" x14ac:dyDescent="0.25">
      <c r="BW368" s="1430"/>
      <c r="BX368" s="1430"/>
    </row>
    <row r="369" spans="75:76" x14ac:dyDescent="0.25">
      <c r="BW369" s="1430"/>
      <c r="BX369" s="1430"/>
    </row>
    <row r="370" spans="75:76" x14ac:dyDescent="0.25">
      <c r="BW370" s="1430"/>
      <c r="BX370" s="1430"/>
    </row>
    <row r="371" spans="75:76" x14ac:dyDescent="0.25">
      <c r="BW371" s="1430"/>
      <c r="BX371" s="1430"/>
    </row>
    <row r="372" spans="75:76" x14ac:dyDescent="0.25">
      <c r="BW372" s="1430"/>
      <c r="BX372" s="1430"/>
    </row>
    <row r="373" spans="75:76" x14ac:dyDescent="0.25">
      <c r="BW373" s="1430"/>
      <c r="BX373" s="1430"/>
    </row>
    <row r="374" spans="75:76" x14ac:dyDescent="0.25">
      <c r="BW374" s="1430"/>
      <c r="BX374" s="1430"/>
    </row>
    <row r="375" spans="75:76" x14ac:dyDescent="0.25">
      <c r="BW375" s="1430"/>
      <c r="BX375" s="1430"/>
    </row>
    <row r="376" spans="75:76" x14ac:dyDescent="0.25">
      <c r="BW376" s="1430"/>
      <c r="BX376" s="1430"/>
    </row>
    <row r="377" spans="75:76" x14ac:dyDescent="0.25">
      <c r="BW377" s="1430"/>
      <c r="BX377" s="1430"/>
    </row>
    <row r="378" spans="75:76" x14ac:dyDescent="0.25">
      <c r="BW378" s="1430"/>
      <c r="BX378" s="1430"/>
    </row>
    <row r="379" spans="75:76" x14ac:dyDescent="0.25">
      <c r="BW379" s="1430"/>
      <c r="BX379" s="1430"/>
    </row>
    <row r="380" spans="75:76" x14ac:dyDescent="0.25">
      <c r="BW380" s="1430"/>
      <c r="BX380" s="1430"/>
    </row>
    <row r="381" spans="75:76" x14ac:dyDescent="0.25">
      <c r="BW381" s="1430"/>
      <c r="BX381" s="1430"/>
    </row>
    <row r="382" spans="75:76" x14ac:dyDescent="0.25">
      <c r="BW382" s="1430"/>
      <c r="BX382" s="1430"/>
    </row>
    <row r="383" spans="75:76" x14ac:dyDescent="0.25">
      <c r="BW383" s="1430"/>
      <c r="BX383" s="1430"/>
    </row>
    <row r="384" spans="75:76" x14ac:dyDescent="0.25">
      <c r="BW384" s="1430"/>
      <c r="BX384" s="1430"/>
    </row>
    <row r="385" spans="75:76" x14ac:dyDescent="0.25">
      <c r="BW385" s="1430"/>
      <c r="BX385" s="1430"/>
    </row>
    <row r="386" spans="75:76" x14ac:dyDescent="0.25">
      <c r="BW386" s="1430"/>
      <c r="BX386" s="1430"/>
    </row>
    <row r="387" spans="75:76" x14ac:dyDescent="0.25">
      <c r="BW387" s="1430"/>
      <c r="BX387" s="1430"/>
    </row>
    <row r="388" spans="75:76" x14ac:dyDescent="0.25">
      <c r="BW388" s="1430"/>
      <c r="BX388" s="1430"/>
    </row>
    <row r="389" spans="75:76" x14ac:dyDescent="0.25">
      <c r="BW389" s="1430"/>
      <c r="BX389" s="1430"/>
    </row>
    <row r="390" spans="75:76" x14ac:dyDescent="0.25">
      <c r="BW390" s="1430"/>
      <c r="BX390" s="1430"/>
    </row>
    <row r="391" spans="75:76" x14ac:dyDescent="0.25">
      <c r="BW391" s="1430"/>
      <c r="BX391" s="1430"/>
    </row>
    <row r="392" spans="75:76" x14ac:dyDescent="0.25">
      <c r="BW392" s="1430"/>
      <c r="BX392" s="1430"/>
    </row>
    <row r="393" spans="75:76" x14ac:dyDescent="0.25">
      <c r="BW393" s="1430"/>
      <c r="BX393" s="1430"/>
    </row>
    <row r="394" spans="75:76" x14ac:dyDescent="0.25">
      <c r="BW394" s="1430"/>
      <c r="BX394" s="1430"/>
    </row>
    <row r="395" spans="75:76" x14ac:dyDescent="0.25">
      <c r="BW395" s="1430"/>
      <c r="BX395" s="1430"/>
    </row>
    <row r="396" spans="75:76" x14ac:dyDescent="0.25">
      <c r="BW396" s="1430"/>
      <c r="BX396" s="1430"/>
    </row>
    <row r="397" spans="75:76" x14ac:dyDescent="0.25">
      <c r="BW397" s="1430"/>
      <c r="BX397" s="1430"/>
    </row>
    <row r="398" spans="75:76" x14ac:dyDescent="0.25">
      <c r="BW398" s="1430"/>
      <c r="BX398" s="1430"/>
    </row>
    <row r="399" spans="75:76" x14ac:dyDescent="0.25">
      <c r="BW399" s="1430"/>
      <c r="BX399" s="1430"/>
    </row>
    <row r="400" spans="75:76" x14ac:dyDescent="0.25">
      <c r="BW400" s="1430"/>
      <c r="BX400" s="1430"/>
    </row>
    <row r="401" spans="75:76" x14ac:dyDescent="0.25">
      <c r="BW401" s="1430"/>
      <c r="BX401" s="1430"/>
    </row>
    <row r="402" spans="75:76" x14ac:dyDescent="0.25">
      <c r="BW402" s="1430"/>
      <c r="BX402" s="1430"/>
    </row>
    <row r="403" spans="75:76" x14ac:dyDescent="0.25">
      <c r="BW403" s="1430"/>
      <c r="BX403" s="1430"/>
    </row>
    <row r="404" spans="75:76" x14ac:dyDescent="0.25">
      <c r="BW404" s="1430"/>
      <c r="BX404" s="1430"/>
    </row>
    <row r="405" spans="75:76" x14ac:dyDescent="0.25">
      <c r="BW405" s="1430"/>
      <c r="BX405" s="1430"/>
    </row>
    <row r="406" spans="75:76" x14ac:dyDescent="0.25">
      <c r="BW406" s="1430"/>
      <c r="BX406" s="1430"/>
    </row>
    <row r="407" spans="75:76" x14ac:dyDescent="0.25">
      <c r="BW407" s="1430"/>
      <c r="BX407" s="1430"/>
    </row>
    <row r="408" spans="75:76" x14ac:dyDescent="0.25">
      <c r="BW408" s="1430"/>
      <c r="BX408" s="1430"/>
    </row>
    <row r="409" spans="75:76" x14ac:dyDescent="0.25">
      <c r="BW409" s="1430"/>
      <c r="BX409" s="1430"/>
    </row>
    <row r="410" spans="75:76" x14ac:dyDescent="0.25">
      <c r="BW410" s="1430"/>
      <c r="BX410" s="1430"/>
    </row>
    <row r="411" spans="75:76" x14ac:dyDescent="0.25">
      <c r="BW411" s="1430"/>
      <c r="BX411" s="1430"/>
    </row>
    <row r="412" spans="75:76" x14ac:dyDescent="0.25">
      <c r="BW412" s="1430"/>
      <c r="BX412" s="1430"/>
    </row>
  </sheetData>
  <mergeCells count="538">
    <mergeCell ref="AX218:AX220"/>
    <mergeCell ref="E308:G309"/>
    <mergeCell ref="H308:AQ308"/>
    <mergeCell ref="C273:D273"/>
    <mergeCell ref="C274:D274"/>
    <mergeCell ref="C275:D275"/>
    <mergeCell ref="C276:D276"/>
    <mergeCell ref="B265:B270"/>
    <mergeCell ref="C265:D265"/>
    <mergeCell ref="C266:D266"/>
    <mergeCell ref="C267:D267"/>
    <mergeCell ref="C268:D268"/>
    <mergeCell ref="C269:D269"/>
    <mergeCell ref="C270:D270"/>
    <mergeCell ref="AW218:AW220"/>
    <mergeCell ref="C284:D284"/>
    <mergeCell ref="C285:D285"/>
    <mergeCell ref="C286:D286"/>
    <mergeCell ref="C287:D287"/>
    <mergeCell ref="C288:D288"/>
    <mergeCell ref="B277:B282"/>
    <mergeCell ref="C277:D277"/>
    <mergeCell ref="C278:D278"/>
    <mergeCell ref="C279:D279"/>
    <mergeCell ref="C281:D281"/>
    <mergeCell ref="C282:D282"/>
    <mergeCell ref="B271:B276"/>
    <mergeCell ref="C271:D271"/>
    <mergeCell ref="C272:D272"/>
    <mergeCell ref="B259:B264"/>
    <mergeCell ref="C259:D259"/>
    <mergeCell ref="C260:D260"/>
    <mergeCell ref="C261:D261"/>
    <mergeCell ref="C264:D264"/>
    <mergeCell ref="C283:D283"/>
    <mergeCell ref="C262:D262"/>
    <mergeCell ref="C263:D263"/>
    <mergeCell ref="AR308:AR310"/>
    <mergeCell ref="AS308:AS310"/>
    <mergeCell ref="H309:I309"/>
    <mergeCell ref="J309:K309"/>
    <mergeCell ref="L309:M309"/>
    <mergeCell ref="N309:O309"/>
    <mergeCell ref="P309:Q309"/>
    <mergeCell ref="R309:S309"/>
    <mergeCell ref="T309:U309"/>
    <mergeCell ref="V309:W309"/>
    <mergeCell ref="X309:Y309"/>
    <mergeCell ref="Z309:AA309"/>
    <mergeCell ref="AB309:AC309"/>
    <mergeCell ref="AD309:AE309"/>
    <mergeCell ref="AF309:AG309"/>
    <mergeCell ref="AJ309:AK309"/>
    <mergeCell ref="AL309:AM309"/>
    <mergeCell ref="AN309:AO309"/>
    <mergeCell ref="AP309:AQ309"/>
    <mergeCell ref="AH309:AI309"/>
    <mergeCell ref="C280:D280"/>
    <mergeCell ref="AY9:AY11"/>
    <mergeCell ref="AY17:AY18"/>
    <mergeCell ref="B324:C324"/>
    <mergeCell ref="B325:C325"/>
    <mergeCell ref="B326:C326"/>
    <mergeCell ref="B295:B300"/>
    <mergeCell ref="C295:D295"/>
    <mergeCell ref="C296:D296"/>
    <mergeCell ref="C297:D297"/>
    <mergeCell ref="C298:D298"/>
    <mergeCell ref="C299:D299"/>
    <mergeCell ref="C300:D300"/>
    <mergeCell ref="B289:B294"/>
    <mergeCell ref="C289:D289"/>
    <mergeCell ref="C290:D290"/>
    <mergeCell ref="C291:D291"/>
    <mergeCell ref="C292:D292"/>
    <mergeCell ref="C293:D293"/>
    <mergeCell ref="C294:D294"/>
    <mergeCell ref="B283:B288"/>
    <mergeCell ref="AY218:AY220"/>
    <mergeCell ref="B253:B258"/>
    <mergeCell ref="C253:D253"/>
    <mergeCell ref="C254:D254"/>
    <mergeCell ref="B327:C327"/>
    <mergeCell ref="B323:C323"/>
    <mergeCell ref="B301:B306"/>
    <mergeCell ref="C301:D301"/>
    <mergeCell ref="C302:D302"/>
    <mergeCell ref="C303:D303"/>
    <mergeCell ref="C304:D304"/>
    <mergeCell ref="C305:D305"/>
    <mergeCell ref="C306:D306"/>
    <mergeCell ref="B311:D311"/>
    <mergeCell ref="B312:D312"/>
    <mergeCell ref="B313:D313"/>
    <mergeCell ref="B314:D314"/>
    <mergeCell ref="B315:D315"/>
    <mergeCell ref="B317:C317"/>
    <mergeCell ref="B318:C318"/>
    <mergeCell ref="B319:C319"/>
    <mergeCell ref="B320:C320"/>
    <mergeCell ref="B321:C321"/>
    <mergeCell ref="B322:C322"/>
    <mergeCell ref="B308:D310"/>
    <mergeCell ref="C255:D255"/>
    <mergeCell ref="C256:D256"/>
    <mergeCell ref="C257:D257"/>
    <mergeCell ref="C258:D258"/>
    <mergeCell ref="B247:B252"/>
    <mergeCell ref="C247:D247"/>
    <mergeCell ref="C248:D248"/>
    <mergeCell ref="C249:D249"/>
    <mergeCell ref="C250:D250"/>
    <mergeCell ref="C251:D251"/>
    <mergeCell ref="C252:D252"/>
    <mergeCell ref="B241:B246"/>
    <mergeCell ref="C241:D241"/>
    <mergeCell ref="C242:D242"/>
    <mergeCell ref="C243:D243"/>
    <mergeCell ref="C244:D244"/>
    <mergeCell ref="C245:D245"/>
    <mergeCell ref="C246:D246"/>
    <mergeCell ref="B235:B240"/>
    <mergeCell ref="C235:D235"/>
    <mergeCell ref="C236:D236"/>
    <mergeCell ref="C237:D237"/>
    <mergeCell ref="C238:D238"/>
    <mergeCell ref="C239:D239"/>
    <mergeCell ref="C240:D240"/>
    <mergeCell ref="B229:B234"/>
    <mergeCell ref="C229:D229"/>
    <mergeCell ref="C230:D230"/>
    <mergeCell ref="C231:D231"/>
    <mergeCell ref="C232:D232"/>
    <mergeCell ref="C233:D233"/>
    <mergeCell ref="C234:D234"/>
    <mergeCell ref="B221:B222"/>
    <mergeCell ref="C221:D221"/>
    <mergeCell ref="C222:D222"/>
    <mergeCell ref="B223:B228"/>
    <mergeCell ref="C223:D223"/>
    <mergeCell ref="C224:D224"/>
    <mergeCell ref="C225:D225"/>
    <mergeCell ref="C226:D226"/>
    <mergeCell ref="C227:D227"/>
    <mergeCell ref="C228:D228"/>
    <mergeCell ref="H219:I219"/>
    <mergeCell ref="J219:K219"/>
    <mergeCell ref="L219:M219"/>
    <mergeCell ref="N219:O219"/>
    <mergeCell ref="P219:Q219"/>
    <mergeCell ref="R219:S219"/>
    <mergeCell ref="AR218:AS218"/>
    <mergeCell ref="AT218:AT220"/>
    <mergeCell ref="AU218:AU220"/>
    <mergeCell ref="AF219:AG219"/>
    <mergeCell ref="AH219:AI219"/>
    <mergeCell ref="AJ219:AK219"/>
    <mergeCell ref="AL219:AM219"/>
    <mergeCell ref="AN219:AO219"/>
    <mergeCell ref="AR219:AR220"/>
    <mergeCell ref="T219:U219"/>
    <mergeCell ref="V219:W219"/>
    <mergeCell ref="X219:Y219"/>
    <mergeCell ref="Z219:AA219"/>
    <mergeCell ref="AB219:AC219"/>
    <mergeCell ref="AD219:AE219"/>
    <mergeCell ref="AV218:AV220"/>
    <mergeCell ref="AS219:AS220"/>
    <mergeCell ref="AP211:AQ211"/>
    <mergeCell ref="B213:D213"/>
    <mergeCell ref="B214:D214"/>
    <mergeCell ref="B215:D215"/>
    <mergeCell ref="B216:D216"/>
    <mergeCell ref="B218:D220"/>
    <mergeCell ref="E218:G219"/>
    <mergeCell ref="H218:AO218"/>
    <mergeCell ref="AP218:AP220"/>
    <mergeCell ref="AQ218:AQ220"/>
    <mergeCell ref="AD211:AE211"/>
    <mergeCell ref="AF211:AG211"/>
    <mergeCell ref="AH211:AI211"/>
    <mergeCell ref="AJ211:AK211"/>
    <mergeCell ref="AL211:AM211"/>
    <mergeCell ref="AN211:AO211"/>
    <mergeCell ref="R211:S211"/>
    <mergeCell ref="T211:U211"/>
    <mergeCell ref="V211:W211"/>
    <mergeCell ref="X211:Y211"/>
    <mergeCell ref="Z211:AA211"/>
    <mergeCell ref="AB211:AC211"/>
    <mergeCell ref="B207:D207"/>
    <mergeCell ref="B208:D208"/>
    <mergeCell ref="B210:D212"/>
    <mergeCell ref="E210:G211"/>
    <mergeCell ref="H210:AQ210"/>
    <mergeCell ref="H211:I211"/>
    <mergeCell ref="J211:K211"/>
    <mergeCell ref="L211:M211"/>
    <mergeCell ref="N211:O211"/>
    <mergeCell ref="P211:Q211"/>
    <mergeCell ref="B203:D203"/>
    <mergeCell ref="B204:D204"/>
    <mergeCell ref="B205:D205"/>
    <mergeCell ref="B206:D206"/>
    <mergeCell ref="AB201:AC201"/>
    <mergeCell ref="AD200:AD202"/>
    <mergeCell ref="AE200:AE202"/>
    <mergeCell ref="AF200:AF202"/>
    <mergeCell ref="AG200:AG202"/>
    <mergeCell ref="H200:AC200"/>
    <mergeCell ref="AH200:AH202"/>
    <mergeCell ref="H201:I201"/>
    <mergeCell ref="J201:K201"/>
    <mergeCell ref="L201:M201"/>
    <mergeCell ref="N201:O201"/>
    <mergeCell ref="P201:Q201"/>
    <mergeCell ref="R201:S201"/>
    <mergeCell ref="B197:B198"/>
    <mergeCell ref="C197:C198"/>
    <mergeCell ref="B200:D202"/>
    <mergeCell ref="E200:G201"/>
    <mergeCell ref="T201:U201"/>
    <mergeCell ref="V201:W201"/>
    <mergeCell ref="X201:Y201"/>
    <mergeCell ref="Z201:AA201"/>
    <mergeCell ref="B189:B193"/>
    <mergeCell ref="C189:D189"/>
    <mergeCell ref="C190:C191"/>
    <mergeCell ref="C192:C193"/>
    <mergeCell ref="B194:B196"/>
    <mergeCell ref="C194:C196"/>
    <mergeCell ref="B173:B177"/>
    <mergeCell ref="C173:C177"/>
    <mergeCell ref="B178:B180"/>
    <mergeCell ref="C178:C180"/>
    <mergeCell ref="B181:B188"/>
    <mergeCell ref="C181:C183"/>
    <mergeCell ref="C184:C185"/>
    <mergeCell ref="C186:C188"/>
    <mergeCell ref="B162:B172"/>
    <mergeCell ref="C162:D162"/>
    <mergeCell ref="C163:D163"/>
    <mergeCell ref="C165:D165"/>
    <mergeCell ref="C166:C172"/>
    <mergeCell ref="AD160:AE160"/>
    <mergeCell ref="AF160:AG160"/>
    <mergeCell ref="AH160:AI160"/>
    <mergeCell ref="AJ160:AK160"/>
    <mergeCell ref="B159:D161"/>
    <mergeCell ref="E159:G160"/>
    <mergeCell ref="C164:D164"/>
    <mergeCell ref="AW159:AW161"/>
    <mergeCell ref="AX159:AX161"/>
    <mergeCell ref="H160:I160"/>
    <mergeCell ref="J160:K160"/>
    <mergeCell ref="L160:M160"/>
    <mergeCell ref="N160:O160"/>
    <mergeCell ref="P160:Q160"/>
    <mergeCell ref="R160:S160"/>
    <mergeCell ref="T160:U160"/>
    <mergeCell ref="H159:AQ159"/>
    <mergeCell ref="AR159:AR161"/>
    <mergeCell ref="AS159:AS161"/>
    <mergeCell ref="AT159:AT161"/>
    <mergeCell ref="V160:W160"/>
    <mergeCell ref="X160:Y160"/>
    <mergeCell ref="Z160:AA160"/>
    <mergeCell ref="AB160:AC160"/>
    <mergeCell ref="AP160:AQ160"/>
    <mergeCell ref="AL160:AM160"/>
    <mergeCell ref="AN160:AO160"/>
    <mergeCell ref="AU159:AU161"/>
    <mergeCell ref="B152:D152"/>
    <mergeCell ref="B153:D153"/>
    <mergeCell ref="B154:D154"/>
    <mergeCell ref="B155:D155"/>
    <mergeCell ref="B156:D156"/>
    <mergeCell ref="B157:D157"/>
    <mergeCell ref="AN146:AO146"/>
    <mergeCell ref="AP146:AQ146"/>
    <mergeCell ref="B148:D148"/>
    <mergeCell ref="B149:D149"/>
    <mergeCell ref="B150:D150"/>
    <mergeCell ref="B151:D151"/>
    <mergeCell ref="AB146:AC146"/>
    <mergeCell ref="AD146:AE146"/>
    <mergeCell ref="AF146:AG146"/>
    <mergeCell ref="AH146:AI146"/>
    <mergeCell ref="AJ146:AK146"/>
    <mergeCell ref="AL146:AM146"/>
    <mergeCell ref="P146:Q146"/>
    <mergeCell ref="R146:S146"/>
    <mergeCell ref="T146:U146"/>
    <mergeCell ref="V146:W146"/>
    <mergeCell ref="X146:Y146"/>
    <mergeCell ref="Z146:AA146"/>
    <mergeCell ref="AT145:AT147"/>
    <mergeCell ref="AU145:AU147"/>
    <mergeCell ref="AV145:AV147"/>
    <mergeCell ref="AW145:AW147"/>
    <mergeCell ref="AY145:AY147"/>
    <mergeCell ref="B143:D143"/>
    <mergeCell ref="B145:D147"/>
    <mergeCell ref="E145:G146"/>
    <mergeCell ref="H145:AQ145"/>
    <mergeCell ref="AR145:AR147"/>
    <mergeCell ref="AS145:AS147"/>
    <mergeCell ref="H146:I146"/>
    <mergeCell ref="J146:K146"/>
    <mergeCell ref="L146:M146"/>
    <mergeCell ref="N146:O146"/>
    <mergeCell ref="AX145:AX147"/>
    <mergeCell ref="B137:D137"/>
    <mergeCell ref="B138:D138"/>
    <mergeCell ref="B139:D139"/>
    <mergeCell ref="B140:D140"/>
    <mergeCell ref="B141:D141"/>
    <mergeCell ref="B142:D142"/>
    <mergeCell ref="B131:D131"/>
    <mergeCell ref="B132:D132"/>
    <mergeCell ref="B133:D133"/>
    <mergeCell ref="B134:D134"/>
    <mergeCell ref="B135:D135"/>
    <mergeCell ref="B136:D136"/>
    <mergeCell ref="B125:D125"/>
    <mergeCell ref="B126:D126"/>
    <mergeCell ref="B127:D127"/>
    <mergeCell ref="B128:D128"/>
    <mergeCell ref="B129:D129"/>
    <mergeCell ref="B130:D130"/>
    <mergeCell ref="B119:D119"/>
    <mergeCell ref="B120:D120"/>
    <mergeCell ref="B121:D121"/>
    <mergeCell ref="B122:D122"/>
    <mergeCell ref="B123:D123"/>
    <mergeCell ref="B124:D124"/>
    <mergeCell ref="B113:D113"/>
    <mergeCell ref="B114:D114"/>
    <mergeCell ref="B115:D115"/>
    <mergeCell ref="B116:D116"/>
    <mergeCell ref="B117:D117"/>
    <mergeCell ref="B118:D118"/>
    <mergeCell ref="B107:D107"/>
    <mergeCell ref="B108:D108"/>
    <mergeCell ref="B109:D109"/>
    <mergeCell ref="B110:D110"/>
    <mergeCell ref="B111:D111"/>
    <mergeCell ref="B112:D112"/>
    <mergeCell ref="B101:D101"/>
    <mergeCell ref="B102:D102"/>
    <mergeCell ref="B103:D103"/>
    <mergeCell ref="B104:D104"/>
    <mergeCell ref="B105:D105"/>
    <mergeCell ref="B106:D106"/>
    <mergeCell ref="B96:D96"/>
    <mergeCell ref="B97:D97"/>
    <mergeCell ref="B98:D98"/>
    <mergeCell ref="B99:D99"/>
    <mergeCell ref="B100:D100"/>
    <mergeCell ref="B90:D90"/>
    <mergeCell ref="B91:D91"/>
    <mergeCell ref="B92:D92"/>
    <mergeCell ref="B93:D93"/>
    <mergeCell ref="B94:D94"/>
    <mergeCell ref="B95:D95"/>
    <mergeCell ref="AD88:AE88"/>
    <mergeCell ref="AF88:AG88"/>
    <mergeCell ref="AH88:AI88"/>
    <mergeCell ref="AJ88:AK88"/>
    <mergeCell ref="AL88:AM88"/>
    <mergeCell ref="AN88:AO88"/>
    <mergeCell ref="AU87:AU89"/>
    <mergeCell ref="AW87:AW89"/>
    <mergeCell ref="AX87:AX89"/>
    <mergeCell ref="H88:I88"/>
    <mergeCell ref="J88:K88"/>
    <mergeCell ref="L88:M88"/>
    <mergeCell ref="N88:O88"/>
    <mergeCell ref="P88:Q88"/>
    <mergeCell ref="R88:S88"/>
    <mergeCell ref="T88:U88"/>
    <mergeCell ref="H87:AO87"/>
    <mergeCell ref="AP87:AP89"/>
    <mergeCell ref="AQ87:AQ89"/>
    <mergeCell ref="AR87:AR89"/>
    <mergeCell ref="AS87:AS89"/>
    <mergeCell ref="AT87:AT89"/>
    <mergeCell ref="V88:W88"/>
    <mergeCell ref="X88:Y88"/>
    <mergeCell ref="Z88:AA88"/>
    <mergeCell ref="AB88:AC88"/>
    <mergeCell ref="AV87:AV89"/>
    <mergeCell ref="B82:D83"/>
    <mergeCell ref="E82:G82"/>
    <mergeCell ref="B84:B85"/>
    <mergeCell ref="C84:D84"/>
    <mergeCell ref="C85:D85"/>
    <mergeCell ref="B87:D89"/>
    <mergeCell ref="E87:G88"/>
    <mergeCell ref="B76:D76"/>
    <mergeCell ref="B77:D77"/>
    <mergeCell ref="B78:D78"/>
    <mergeCell ref="B79:D79"/>
    <mergeCell ref="B80:D80"/>
    <mergeCell ref="B71:D71"/>
    <mergeCell ref="B72:D72"/>
    <mergeCell ref="B73:D73"/>
    <mergeCell ref="B74:B75"/>
    <mergeCell ref="C74:D74"/>
    <mergeCell ref="C75:D75"/>
    <mergeCell ref="B60:D60"/>
    <mergeCell ref="B61:C64"/>
    <mergeCell ref="B66:D66"/>
    <mergeCell ref="B67:D67"/>
    <mergeCell ref="B68:B70"/>
    <mergeCell ref="C68:D68"/>
    <mergeCell ref="C69:D69"/>
    <mergeCell ref="C70:D70"/>
    <mergeCell ref="B45:D45"/>
    <mergeCell ref="B46:D46"/>
    <mergeCell ref="B47:D47"/>
    <mergeCell ref="B48:C53"/>
    <mergeCell ref="B54:D54"/>
    <mergeCell ref="B55:C59"/>
    <mergeCell ref="AN39:AO39"/>
    <mergeCell ref="AP39:AQ39"/>
    <mergeCell ref="B41:D41"/>
    <mergeCell ref="B42:D42"/>
    <mergeCell ref="B43:D43"/>
    <mergeCell ref="B44:D44"/>
    <mergeCell ref="AB39:AC39"/>
    <mergeCell ref="AD39:AE39"/>
    <mergeCell ref="AF39:AG39"/>
    <mergeCell ref="AH39:AI39"/>
    <mergeCell ref="AJ39:AK39"/>
    <mergeCell ref="AL39:AM39"/>
    <mergeCell ref="P39:Q39"/>
    <mergeCell ref="R39:S39"/>
    <mergeCell ref="T39:U39"/>
    <mergeCell ref="V39:W39"/>
    <mergeCell ref="X39:Y39"/>
    <mergeCell ref="Z39:AA39"/>
    <mergeCell ref="AS38:AS40"/>
    <mergeCell ref="AT38:AT40"/>
    <mergeCell ref="AU38:AU40"/>
    <mergeCell ref="AV38:AV40"/>
    <mergeCell ref="AX38:AX40"/>
    <mergeCell ref="AY38:AY40"/>
    <mergeCell ref="B35:D35"/>
    <mergeCell ref="B36:D36"/>
    <mergeCell ref="B38:D40"/>
    <mergeCell ref="E38:G39"/>
    <mergeCell ref="H38:AQ38"/>
    <mergeCell ref="AR38:AR40"/>
    <mergeCell ref="H39:I39"/>
    <mergeCell ref="J39:K39"/>
    <mergeCell ref="L39:M39"/>
    <mergeCell ref="N39:O39"/>
    <mergeCell ref="AW38:AW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21:D21"/>
    <mergeCell ref="B22:D22"/>
    <mergeCell ref="AR17:AR18"/>
    <mergeCell ref="AS17:AS18"/>
    <mergeCell ref="AT17:AT18"/>
    <mergeCell ref="AU17:AU18"/>
    <mergeCell ref="AV17:AV18"/>
    <mergeCell ref="AW17:AW18"/>
    <mergeCell ref="AF17:AG17"/>
    <mergeCell ref="AH17:AI17"/>
    <mergeCell ref="AJ17:AK17"/>
    <mergeCell ref="AL17:AM17"/>
    <mergeCell ref="AN17:AO17"/>
    <mergeCell ref="AP17:AQ17"/>
    <mergeCell ref="T17:U17"/>
    <mergeCell ref="V17:W17"/>
    <mergeCell ref="X17:Y17"/>
    <mergeCell ref="Z17:AA17"/>
    <mergeCell ref="AB17:AC17"/>
    <mergeCell ref="AD17:AE17"/>
    <mergeCell ref="H17:I17"/>
    <mergeCell ref="B12:D12"/>
    <mergeCell ref="B13:D13"/>
    <mergeCell ref="B14:D14"/>
    <mergeCell ref="B15:D15"/>
    <mergeCell ref="B17:D18"/>
    <mergeCell ref="E17:G17"/>
    <mergeCell ref="AX17:AX18"/>
    <mergeCell ref="B19:D19"/>
    <mergeCell ref="B20:D20"/>
    <mergeCell ref="AN10:AO10"/>
    <mergeCell ref="AP10:AQ10"/>
    <mergeCell ref="T10:U10"/>
    <mergeCell ref="V10:W10"/>
    <mergeCell ref="X10:Y10"/>
    <mergeCell ref="Z10:AA10"/>
    <mergeCell ref="AB10:AC10"/>
    <mergeCell ref="AD10:AE10"/>
    <mergeCell ref="J17:K17"/>
    <mergeCell ref="L17:M17"/>
    <mergeCell ref="N17:O17"/>
    <mergeCell ref="P17:Q17"/>
    <mergeCell ref="R17:S17"/>
    <mergeCell ref="B6:Q6"/>
    <mergeCell ref="AX6:BM6"/>
    <mergeCell ref="BN6:CC6"/>
    <mergeCell ref="CD6:CU6"/>
    <mergeCell ref="B9:D11"/>
    <mergeCell ref="E9:G10"/>
    <mergeCell ref="H9:AQ9"/>
    <mergeCell ref="AR9:AR11"/>
    <mergeCell ref="AS9:AS11"/>
    <mergeCell ref="AT9:AT11"/>
    <mergeCell ref="AU9:AU11"/>
    <mergeCell ref="AV9:AV11"/>
    <mergeCell ref="AW9:AW11"/>
    <mergeCell ref="AX9:AX11"/>
    <mergeCell ref="H10:I10"/>
    <mergeCell ref="J10:K10"/>
    <mergeCell ref="L10:M10"/>
    <mergeCell ref="N10:O10"/>
    <mergeCell ref="P10:Q10"/>
    <mergeCell ref="R10:S10"/>
    <mergeCell ref="AF10:AG10"/>
    <mergeCell ref="AH10:AI10"/>
    <mergeCell ref="AJ10:AK10"/>
    <mergeCell ref="AL10:AM10"/>
  </mergeCells>
  <dataValidations count="2">
    <dataValidation type="whole" operator="greaterThanOrEqual" allowBlank="1" showInputMessage="1" showErrorMessage="1" errorTitle="Error" error="Favor Ingrese sólo Números." sqref="D318:F327 H311:AS315 F84:G85 H213:AQ216 H221:AY300 E67:K80 H90:AX142 H12:AY15 H203:AH208 H19:AY35 H148:AY156 H41:AY64 H162:AX177 H179:AX198" xr:uid="{B60A7AE8-B4A2-482F-97DF-A73F172EC807}">
      <formula1>0</formula1>
    </dataValidation>
    <dataValidation operator="greaterThanOrEqual" allowBlank="1" showInputMessage="1" showErrorMessage="1" error="Valor no Permitido" sqref="CB7:CF59" xr:uid="{22ED84FE-B5F8-4406-B42E-E9E0132C0715}"/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/>
  <dimension ref="A1:EA308"/>
  <sheetViews>
    <sheetView zoomScaleNormal="100" workbookViewId="0"/>
  </sheetViews>
  <sheetFormatPr baseColWidth="10" defaultColWidth="11.44140625" defaultRowHeight="14.4" x14ac:dyDescent="0.3"/>
  <cols>
    <col min="1" max="1" width="19.5546875" style="827" customWidth="1"/>
    <col min="2" max="2" width="43.109375" style="827" customWidth="1"/>
    <col min="3" max="3" width="35.88671875" style="827" customWidth="1"/>
    <col min="4" max="4" width="16.88671875" style="827" customWidth="1"/>
    <col min="5" max="5" width="14.88671875" style="827" customWidth="1"/>
    <col min="6" max="6" width="14.5546875" style="827" customWidth="1"/>
    <col min="7" max="44" width="11.44140625" style="827"/>
    <col min="45" max="45" width="13.44140625" style="827" customWidth="1"/>
    <col min="46" max="46" width="11.44140625" style="827"/>
    <col min="47" max="47" width="12.88671875" style="827" customWidth="1"/>
    <col min="48" max="48" width="11.44140625" style="827"/>
    <col min="49" max="49" width="12.44140625" style="827" customWidth="1"/>
    <col min="50" max="50" width="11.44140625" style="827"/>
    <col min="51" max="51" width="12.109375" style="827" customWidth="1"/>
    <col min="52" max="62" width="11.44140625" style="827"/>
    <col min="63" max="74" width="11.44140625" style="827" customWidth="1"/>
    <col min="75" max="76" width="11.44140625" style="1191" customWidth="1"/>
    <col min="77" max="78" width="8.109375" style="1547" customWidth="1"/>
    <col min="79" max="79" width="9.44140625" style="1547" customWidth="1"/>
    <col min="80" max="80" width="6.88671875" style="2194" hidden="1" customWidth="1"/>
    <col min="81" max="105" width="5.44140625" style="2194" hidden="1" customWidth="1"/>
    <col min="106" max="131" width="5.44140625" style="1443" hidden="1" customWidth="1"/>
    <col min="132" max="132" width="9.44140625" style="827" customWidth="1"/>
    <col min="133" max="134" width="8.109375" style="827" customWidth="1"/>
    <col min="135" max="16384" width="11.44140625" style="827"/>
  </cols>
  <sheetData>
    <row r="1" spans="1:131" s="1122" customFormat="1" ht="16.2" customHeight="1" x14ac:dyDescent="0.3">
      <c r="B1" s="150" t="s">
        <v>207</v>
      </c>
      <c r="BW1" s="2192"/>
      <c r="BX1" s="2192"/>
      <c r="BY1" s="2193"/>
      <c r="BZ1" s="2193"/>
      <c r="CA1" s="2193"/>
      <c r="CB1" s="2194"/>
      <c r="CC1" s="2194"/>
      <c r="CD1" s="2194"/>
      <c r="CE1" s="2194"/>
      <c r="CF1" s="2194"/>
      <c r="CG1" s="2194"/>
      <c r="CH1" s="2194"/>
      <c r="CI1" s="2194"/>
      <c r="CJ1" s="2194"/>
      <c r="CK1" s="2194"/>
      <c r="CL1" s="2194"/>
      <c r="CM1" s="2194"/>
      <c r="CN1" s="2194"/>
      <c r="CO1" s="2194"/>
      <c r="CP1" s="2194"/>
      <c r="CQ1" s="2194"/>
      <c r="CR1" s="2194"/>
      <c r="CS1" s="2194"/>
      <c r="CT1" s="2194"/>
      <c r="CU1" s="2194"/>
      <c r="CV1" s="2194"/>
      <c r="CW1" s="2194"/>
      <c r="CX1" s="2194"/>
      <c r="CY1" s="2194"/>
      <c r="CZ1" s="2194"/>
      <c r="DA1" s="2194"/>
      <c r="DB1" s="1443"/>
      <c r="DC1" s="1443"/>
      <c r="DD1" s="1443"/>
      <c r="DE1" s="1443"/>
      <c r="DF1" s="1443"/>
      <c r="DG1" s="1443"/>
      <c r="DH1" s="1443"/>
      <c r="DI1" s="1443"/>
      <c r="DJ1" s="1443"/>
      <c r="DK1" s="1443"/>
      <c r="DL1" s="1443"/>
      <c r="DM1" s="1443"/>
      <c r="DN1" s="1443"/>
      <c r="DO1" s="1443"/>
      <c r="DP1" s="1443"/>
      <c r="DQ1" s="1443"/>
      <c r="DR1" s="1443"/>
      <c r="DS1" s="1443"/>
      <c r="DT1" s="1443"/>
      <c r="DU1" s="1443"/>
      <c r="DV1" s="1443"/>
      <c r="DW1" s="1443"/>
      <c r="DX1" s="1443"/>
      <c r="DY1" s="1443"/>
      <c r="DZ1" s="1443"/>
      <c r="EA1" s="1443"/>
    </row>
    <row r="2" spans="1:131" s="1122" customFormat="1" ht="16.2" customHeight="1" x14ac:dyDescent="0.3">
      <c r="B2" s="150" t="str">
        <f>CONCATENATE("COMUNA: ",NOMBRE!B2," - ","( ",NOMBRE!C2,NOMBRE!D2,NOMBRE!E2,NOMBRE!F2,NOMBRE!G2," )")</f>
        <v>COMUNA:  - (  )</v>
      </c>
      <c r="BW2" s="2192"/>
      <c r="BX2" s="2192"/>
      <c r="BY2" s="2193"/>
      <c r="BZ2" s="2193"/>
      <c r="CA2" s="2193"/>
      <c r="CB2" s="2194"/>
      <c r="CC2" s="2194"/>
      <c r="CD2" s="2194"/>
      <c r="CE2" s="2194"/>
      <c r="CF2" s="2194"/>
      <c r="CG2" s="2194"/>
      <c r="CH2" s="2194"/>
      <c r="CI2" s="2194"/>
      <c r="CJ2" s="2194"/>
      <c r="CK2" s="2194"/>
      <c r="CL2" s="2194"/>
      <c r="CM2" s="2194"/>
      <c r="CN2" s="2194"/>
      <c r="CO2" s="2194"/>
      <c r="CP2" s="2194"/>
      <c r="CQ2" s="2194"/>
      <c r="CR2" s="2194"/>
      <c r="CS2" s="2194"/>
      <c r="CT2" s="2194"/>
      <c r="CU2" s="2194"/>
      <c r="CV2" s="2194"/>
      <c r="CW2" s="2194"/>
      <c r="CX2" s="2194"/>
      <c r="CY2" s="2194"/>
      <c r="CZ2" s="2194"/>
      <c r="DA2" s="2194"/>
      <c r="DB2" s="1443"/>
      <c r="DC2" s="1443"/>
      <c r="DD2" s="1443"/>
      <c r="DE2" s="1443"/>
      <c r="DF2" s="1443"/>
      <c r="DG2" s="1443"/>
      <c r="DH2" s="1443"/>
      <c r="DI2" s="1443"/>
      <c r="DJ2" s="1443"/>
      <c r="DK2" s="1443"/>
      <c r="DL2" s="1443"/>
      <c r="DM2" s="1443"/>
      <c r="DN2" s="1443"/>
      <c r="DO2" s="1443"/>
      <c r="DP2" s="1443"/>
      <c r="DQ2" s="1443"/>
      <c r="DR2" s="1443"/>
      <c r="DS2" s="1443"/>
      <c r="DT2" s="1443"/>
      <c r="DU2" s="1443"/>
      <c r="DV2" s="1443"/>
      <c r="DW2" s="1443"/>
      <c r="DX2" s="1443"/>
      <c r="DY2" s="1443"/>
      <c r="DZ2" s="1443"/>
      <c r="EA2" s="1443"/>
    </row>
    <row r="3" spans="1:131" s="1122" customFormat="1" ht="16.2" customHeight="1" x14ac:dyDescent="0.3">
      <c r="B3" s="150" t="str">
        <f>CONCATENATE("ESTABLECIMIENTO/ESTRATEGIA: ",NOMBRE!B3," - ","( ",NOMBRE!C3,NOMBRE!D3,NOMBRE!E3,NOMBRE!F3,NOMBRE!G3,NOMBRE!H3," )")</f>
        <v>ESTABLECIMIENTO/ESTRATEGIA:  - (  )</v>
      </c>
      <c r="BW3" s="2192"/>
      <c r="BX3" s="2192"/>
      <c r="BY3" s="2193"/>
      <c r="BZ3" s="2193"/>
      <c r="CA3" s="2193"/>
      <c r="CB3" s="2194"/>
      <c r="CC3" s="2194"/>
      <c r="CD3" s="2194"/>
      <c r="CE3" s="2194"/>
      <c r="CF3" s="2194"/>
      <c r="CG3" s="2194"/>
      <c r="CH3" s="2194"/>
      <c r="CI3" s="2194"/>
      <c r="CJ3" s="2194"/>
      <c r="CK3" s="2194"/>
      <c r="CL3" s="2194"/>
      <c r="CM3" s="2194"/>
      <c r="CN3" s="2194"/>
      <c r="CO3" s="2194"/>
      <c r="CP3" s="2194"/>
      <c r="CQ3" s="2194"/>
      <c r="CR3" s="2194"/>
      <c r="CS3" s="2194"/>
      <c r="CT3" s="2194"/>
      <c r="CU3" s="2194"/>
      <c r="CV3" s="2194"/>
      <c r="CW3" s="2194"/>
      <c r="CX3" s="2194"/>
      <c r="CY3" s="2194"/>
      <c r="CZ3" s="2194"/>
      <c r="DA3" s="2194"/>
      <c r="DB3" s="1443"/>
      <c r="DC3" s="1443"/>
      <c r="DD3" s="1443"/>
      <c r="DE3" s="1443"/>
      <c r="DF3" s="1443"/>
      <c r="DG3" s="1443"/>
      <c r="DH3" s="1443"/>
      <c r="DI3" s="1443"/>
      <c r="DJ3" s="1443"/>
      <c r="DK3" s="1443"/>
      <c r="DL3" s="1443"/>
      <c r="DM3" s="1443"/>
      <c r="DN3" s="1443"/>
      <c r="DO3" s="1443"/>
      <c r="DP3" s="1443"/>
      <c r="DQ3" s="1443"/>
      <c r="DR3" s="1443"/>
      <c r="DS3" s="1443"/>
      <c r="DT3" s="1443"/>
      <c r="DU3" s="1443"/>
      <c r="DV3" s="1443"/>
      <c r="DW3" s="1443"/>
      <c r="DX3" s="1443"/>
      <c r="DY3" s="1443"/>
      <c r="DZ3" s="1443"/>
      <c r="EA3" s="1443"/>
    </row>
    <row r="4" spans="1:131" s="1122" customFormat="1" ht="16.2" customHeight="1" x14ac:dyDescent="0.3">
      <c r="B4" s="150" t="str">
        <f>CONCATENATE("MES: ",NOMBRE!B6," - ","( ",NOMBRE!C6,NOMBRE!D6," )")</f>
        <v>MES:  - (  )</v>
      </c>
      <c r="BW4" s="2192"/>
      <c r="BX4" s="2192"/>
      <c r="BY4" s="2193"/>
      <c r="BZ4" s="2193"/>
      <c r="CA4" s="2193"/>
      <c r="CB4" s="2194"/>
      <c r="CC4" s="2194"/>
      <c r="CD4" s="2194"/>
      <c r="CE4" s="2194"/>
      <c r="CF4" s="2194"/>
      <c r="CG4" s="2194"/>
      <c r="CH4" s="2194"/>
      <c r="CI4" s="2194"/>
      <c r="CJ4" s="2194"/>
      <c r="CK4" s="2194"/>
      <c r="CL4" s="2194"/>
      <c r="CM4" s="2194"/>
      <c r="CN4" s="2194"/>
      <c r="CO4" s="2194"/>
      <c r="CP4" s="2194"/>
      <c r="CQ4" s="2194"/>
      <c r="CR4" s="2194"/>
      <c r="CS4" s="2194"/>
      <c r="CT4" s="2194"/>
      <c r="CU4" s="2194"/>
      <c r="CV4" s="2194"/>
      <c r="CW4" s="2194"/>
      <c r="CX4" s="2194"/>
      <c r="CY4" s="2194"/>
      <c r="CZ4" s="2194"/>
      <c r="DA4" s="2194"/>
      <c r="DB4" s="1443"/>
      <c r="DC4" s="1443"/>
      <c r="DD4" s="1443"/>
      <c r="DE4" s="1443"/>
      <c r="DF4" s="1443"/>
      <c r="DG4" s="1443"/>
      <c r="DH4" s="1443"/>
      <c r="DI4" s="1443"/>
      <c r="DJ4" s="1443"/>
      <c r="DK4" s="1443"/>
      <c r="DL4" s="1443"/>
      <c r="DM4" s="1443"/>
      <c r="DN4" s="1443"/>
      <c r="DO4" s="1443"/>
      <c r="DP4" s="1443"/>
      <c r="DQ4" s="1443"/>
      <c r="DR4" s="1443"/>
      <c r="DS4" s="1443"/>
      <c r="DT4" s="1443"/>
      <c r="DU4" s="1443"/>
      <c r="DV4" s="1443"/>
      <c r="DW4" s="1443"/>
      <c r="DX4" s="1443"/>
      <c r="DY4" s="1443"/>
      <c r="DZ4" s="1443"/>
      <c r="EA4" s="1443"/>
    </row>
    <row r="5" spans="1:131" s="1122" customFormat="1" ht="16.2" customHeight="1" x14ac:dyDescent="0.3">
      <c r="B5" s="150" t="str">
        <f>CONCATENATE("AÑO: ",NOMBRE!B7)</f>
        <v>AÑO: 2023</v>
      </c>
      <c r="BW5" s="2192"/>
      <c r="BX5" s="2192"/>
      <c r="BY5" s="2193"/>
      <c r="BZ5" s="2193"/>
      <c r="CA5" s="2193"/>
      <c r="CB5" s="2194"/>
      <c r="CC5" s="2194"/>
      <c r="CD5" s="2194"/>
      <c r="CE5" s="2194"/>
      <c r="CF5" s="2194"/>
      <c r="CG5" s="2194"/>
      <c r="CH5" s="2194"/>
      <c r="CI5" s="2194"/>
      <c r="CJ5" s="2194"/>
      <c r="CK5" s="2194"/>
      <c r="CL5" s="2194"/>
      <c r="CM5" s="2194"/>
      <c r="CN5" s="2194"/>
      <c r="CO5" s="2194"/>
      <c r="CP5" s="2194"/>
      <c r="CQ5" s="2194"/>
      <c r="CR5" s="2194"/>
      <c r="CS5" s="2194"/>
      <c r="CT5" s="2194"/>
      <c r="CU5" s="2194"/>
      <c r="CV5" s="2194"/>
      <c r="CW5" s="2194"/>
      <c r="CX5" s="2194"/>
      <c r="CY5" s="2194"/>
      <c r="CZ5" s="2194"/>
      <c r="DA5" s="2194"/>
      <c r="DB5" s="1443"/>
      <c r="DC5" s="1443"/>
      <c r="DD5" s="1443"/>
      <c r="DE5" s="1443"/>
      <c r="DF5" s="1443"/>
      <c r="DG5" s="1443"/>
      <c r="DH5" s="1443"/>
      <c r="DI5" s="1443"/>
      <c r="DJ5" s="1443"/>
      <c r="DK5" s="1443"/>
      <c r="DL5" s="1443"/>
      <c r="DM5" s="1443"/>
      <c r="DN5" s="1443"/>
      <c r="DO5" s="1443"/>
      <c r="DP5" s="1443"/>
      <c r="DQ5" s="1443"/>
      <c r="DR5" s="1443"/>
      <c r="DS5" s="1443"/>
      <c r="DT5" s="1443"/>
      <c r="DU5" s="1443"/>
      <c r="DV5" s="1443"/>
      <c r="DW5" s="1443"/>
      <c r="DX5" s="1443"/>
      <c r="DY5" s="1443"/>
      <c r="DZ5" s="1443"/>
      <c r="EA5" s="1443"/>
    </row>
    <row r="6" spans="1:131" ht="16.2" customHeight="1" x14ac:dyDescent="0.3">
      <c r="B6" s="8629" t="s">
        <v>1779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8629"/>
      <c r="P6" s="8629"/>
      <c r="Q6" s="8629"/>
      <c r="R6" s="499"/>
      <c r="S6" s="499"/>
      <c r="T6" s="499"/>
      <c r="U6" s="499"/>
      <c r="V6" s="499"/>
      <c r="W6" s="499"/>
      <c r="X6" s="499"/>
      <c r="Y6" s="499"/>
      <c r="Z6" s="499"/>
      <c r="AA6" s="499"/>
      <c r="AB6" s="499"/>
      <c r="AC6" s="499"/>
      <c r="AD6" s="499"/>
      <c r="AE6" s="499"/>
      <c r="AF6" s="499"/>
      <c r="AG6" s="140"/>
      <c r="AH6" s="140"/>
      <c r="AI6" s="140"/>
      <c r="AJ6" s="140"/>
      <c r="AK6" s="140"/>
      <c r="AL6" s="140"/>
      <c r="AM6" s="140"/>
      <c r="AY6" s="1122"/>
      <c r="AZ6" s="1122"/>
      <c r="BA6" s="1122"/>
      <c r="BB6" s="1122"/>
      <c r="BC6" s="1122"/>
      <c r="BD6" s="1122"/>
      <c r="BE6" s="1122"/>
      <c r="BF6" s="1122"/>
      <c r="BG6" s="1122"/>
      <c r="BH6" s="1122"/>
      <c r="BI6" s="1122"/>
      <c r="BJ6" s="1122"/>
    </row>
    <row r="7" spans="1:131" ht="31.95" customHeight="1" x14ac:dyDescent="0.3">
      <c r="B7" s="803" t="s">
        <v>1780</v>
      </c>
      <c r="C7" s="1096"/>
      <c r="D7" s="1096"/>
      <c r="E7" s="1096"/>
      <c r="F7" s="1096"/>
      <c r="G7" s="1096"/>
      <c r="H7" s="1096"/>
      <c r="I7" s="1096"/>
      <c r="J7" s="1096"/>
      <c r="K7" s="1096"/>
      <c r="L7" s="1096"/>
      <c r="M7" s="1096"/>
      <c r="N7" s="1096"/>
      <c r="O7" s="1096"/>
      <c r="P7" s="1096"/>
      <c r="Q7" s="1096"/>
      <c r="R7" s="499"/>
      <c r="S7" s="499"/>
      <c r="T7" s="499"/>
      <c r="U7" s="499"/>
      <c r="V7" s="499"/>
      <c r="W7" s="499"/>
      <c r="X7" s="499"/>
      <c r="Y7" s="499"/>
      <c r="Z7" s="499"/>
      <c r="AA7" s="499"/>
      <c r="AB7" s="499"/>
      <c r="AC7" s="499"/>
      <c r="AD7" s="499"/>
      <c r="AE7" s="499"/>
      <c r="AF7" s="499"/>
      <c r="AG7" s="140"/>
      <c r="AH7" s="140"/>
      <c r="AI7" s="140"/>
      <c r="AJ7" s="140"/>
      <c r="AK7" s="140"/>
      <c r="AL7" s="140"/>
      <c r="AM7" s="140"/>
      <c r="AS7" s="1123"/>
      <c r="AT7" s="1123"/>
      <c r="AU7" s="1123"/>
      <c r="AV7" s="1123"/>
      <c r="AW7" s="1123"/>
      <c r="AX7" s="1123"/>
      <c r="AY7" s="1122"/>
      <c r="AZ7" s="1122"/>
      <c r="BA7" s="1122"/>
      <c r="BB7" s="1122"/>
      <c r="BC7" s="1122"/>
      <c r="BD7" s="1122"/>
      <c r="BE7" s="1122"/>
      <c r="BF7" s="1122"/>
      <c r="BG7" s="1122"/>
      <c r="BH7" s="1122"/>
      <c r="BI7" s="1122"/>
      <c r="BJ7" s="1122"/>
    </row>
    <row r="8" spans="1:131" ht="31.95" customHeight="1" x14ac:dyDescent="0.3">
      <c r="B8" s="942" t="s">
        <v>2541</v>
      </c>
      <c r="C8" s="942"/>
      <c r="D8" s="942"/>
      <c r="E8" s="133"/>
      <c r="F8" s="133"/>
      <c r="G8" s="133"/>
      <c r="H8" s="133"/>
      <c r="I8" s="1122"/>
      <c r="J8" s="133"/>
      <c r="K8" s="108"/>
      <c r="L8" s="108"/>
      <c r="M8" s="108"/>
      <c r="N8" s="108"/>
      <c r="O8" s="108"/>
      <c r="P8" s="108"/>
      <c r="Q8" s="108"/>
      <c r="R8" s="140"/>
      <c r="AY8" s="1122"/>
      <c r="AZ8" s="1122"/>
      <c r="BA8" s="1122"/>
      <c r="BB8" s="1122"/>
      <c r="BC8" s="1122"/>
      <c r="BD8" s="1122"/>
      <c r="BE8" s="1122"/>
      <c r="BF8" s="1122"/>
      <c r="BG8" s="1122"/>
      <c r="BH8" s="1122"/>
      <c r="BI8" s="1122"/>
      <c r="BJ8" s="1122"/>
      <c r="BU8" s="1123"/>
      <c r="BV8" s="1123"/>
      <c r="BW8" s="1547"/>
      <c r="BX8" s="1547"/>
    </row>
    <row r="9" spans="1:131" ht="31.95" customHeight="1" x14ac:dyDescent="0.3">
      <c r="B9" s="8638" t="s">
        <v>1781</v>
      </c>
      <c r="C9" s="9629" t="s">
        <v>24</v>
      </c>
      <c r="D9" s="9966"/>
      <c r="E9" s="8645" t="s">
        <v>725</v>
      </c>
      <c r="F9" s="8646"/>
      <c r="G9" s="8646"/>
      <c r="H9" s="8646"/>
      <c r="I9" s="8646"/>
      <c r="J9" s="8646"/>
      <c r="K9" s="8646"/>
      <c r="L9" s="8646"/>
      <c r="M9" s="8646"/>
      <c r="N9" s="8646"/>
      <c r="O9" s="8646"/>
      <c r="P9" s="8646"/>
      <c r="Q9" s="8646"/>
      <c r="R9" s="8646"/>
      <c r="S9" s="8646"/>
      <c r="T9" s="8646"/>
      <c r="U9" s="8646"/>
      <c r="V9" s="8646"/>
      <c r="W9" s="8646"/>
      <c r="X9" s="8646"/>
      <c r="Y9" s="8646"/>
      <c r="Z9" s="8646"/>
      <c r="AA9" s="8646"/>
      <c r="AB9" s="8646"/>
      <c r="AC9" s="8646"/>
      <c r="AD9" s="8646"/>
      <c r="AE9" s="8646"/>
      <c r="AF9" s="8646"/>
      <c r="AG9" s="8646"/>
      <c r="AH9" s="8646"/>
      <c r="AI9" s="8646"/>
      <c r="AJ9" s="8646"/>
      <c r="AK9" s="8646"/>
      <c r="AL9" s="8646"/>
      <c r="AM9" s="8646"/>
      <c r="AN9" s="8646"/>
      <c r="AO9" s="8646"/>
      <c r="AP9" s="8646"/>
      <c r="AQ9" s="8646"/>
      <c r="AR9" s="9969"/>
      <c r="AS9" s="9970" t="s">
        <v>1782</v>
      </c>
      <c r="AT9" s="9971"/>
      <c r="AU9" s="9972" t="s">
        <v>713</v>
      </c>
      <c r="AV9" s="9973"/>
      <c r="AW9" s="9976" t="s">
        <v>362</v>
      </c>
      <c r="AX9" s="9978" t="s">
        <v>361</v>
      </c>
      <c r="AY9" s="1191"/>
      <c r="AZ9" s="1191"/>
      <c r="BA9" s="1191"/>
      <c r="BB9" s="1191"/>
      <c r="BC9" s="1191"/>
      <c r="BD9" s="1191"/>
      <c r="BE9" s="1191"/>
      <c r="BF9" s="1191"/>
      <c r="BG9" s="1191"/>
      <c r="BH9" s="1191"/>
      <c r="BI9" s="1191"/>
      <c r="BJ9" s="1191"/>
      <c r="BK9" s="1191"/>
      <c r="BL9" s="1191"/>
      <c r="BM9" s="1191"/>
      <c r="BV9" s="1191"/>
      <c r="BW9" s="1547"/>
      <c r="BX9" s="1547"/>
    </row>
    <row r="10" spans="1:131" ht="16.2" customHeight="1" x14ac:dyDescent="0.3">
      <c r="B10" s="8705"/>
      <c r="C10" s="9967"/>
      <c r="D10" s="9968"/>
      <c r="E10" s="8648" t="s">
        <v>724</v>
      </c>
      <c r="F10" s="9970"/>
      <c r="G10" s="8648" t="s">
        <v>723</v>
      </c>
      <c r="H10" s="9970"/>
      <c r="I10" s="8648" t="s">
        <v>722</v>
      </c>
      <c r="J10" s="8650"/>
      <c r="K10" s="9970" t="s">
        <v>1823</v>
      </c>
      <c r="L10" s="9970"/>
      <c r="M10" s="8648" t="s">
        <v>1415</v>
      </c>
      <c r="N10" s="9970"/>
      <c r="O10" s="8648" t="s">
        <v>79</v>
      </c>
      <c r="P10" s="9970"/>
      <c r="Q10" s="8648" t="s">
        <v>80</v>
      </c>
      <c r="R10" s="9970"/>
      <c r="S10" s="8648" t="s">
        <v>81</v>
      </c>
      <c r="T10" s="9970"/>
      <c r="U10" s="8648" t="s">
        <v>115</v>
      </c>
      <c r="V10" s="8650"/>
      <c r="W10" s="8648" t="s">
        <v>116</v>
      </c>
      <c r="X10" s="8650"/>
      <c r="Y10" s="8648" t="s">
        <v>117</v>
      </c>
      <c r="Z10" s="8650"/>
      <c r="AA10" s="8648" t="s">
        <v>118</v>
      </c>
      <c r="AB10" s="8650"/>
      <c r="AC10" s="8648" t="s">
        <v>119</v>
      </c>
      <c r="AD10" s="8650"/>
      <c r="AE10" s="8648" t="s">
        <v>120</v>
      </c>
      <c r="AF10" s="8650"/>
      <c r="AG10" s="8648" t="s">
        <v>1414</v>
      </c>
      <c r="AH10" s="8650"/>
      <c r="AI10" s="8648" t="s">
        <v>1406</v>
      </c>
      <c r="AJ10" s="8650"/>
      <c r="AK10" s="8648" t="s">
        <v>1397</v>
      </c>
      <c r="AL10" s="8650"/>
      <c r="AM10" s="8648" t="s">
        <v>1396</v>
      </c>
      <c r="AN10" s="8650"/>
      <c r="AO10" s="8648" t="s">
        <v>1395</v>
      </c>
      <c r="AP10" s="8650"/>
      <c r="AQ10" s="8648" t="s">
        <v>1405</v>
      </c>
      <c r="AR10" s="9971"/>
      <c r="AS10" s="9979" t="s">
        <v>17</v>
      </c>
      <c r="AT10" s="9981" t="s">
        <v>18</v>
      </c>
      <c r="AU10" s="9974"/>
      <c r="AV10" s="9975"/>
      <c r="AW10" s="8596"/>
      <c r="AX10" s="8581"/>
      <c r="AY10" s="1191"/>
      <c r="AZ10" s="1191"/>
      <c r="BA10" s="1191"/>
      <c r="BB10" s="1191"/>
      <c r="BC10" s="1191"/>
      <c r="BD10" s="1191"/>
      <c r="BE10" s="1191"/>
      <c r="BF10" s="1191"/>
      <c r="BG10" s="1191"/>
      <c r="BH10" s="1191"/>
      <c r="BI10" s="1191"/>
      <c r="BJ10" s="1191"/>
      <c r="BK10" s="1191"/>
      <c r="BL10" s="1191"/>
      <c r="BM10" s="1191"/>
      <c r="BV10" s="1191"/>
    </row>
    <row r="11" spans="1:131" ht="16.2" customHeight="1" x14ac:dyDescent="0.3">
      <c r="B11" s="8639"/>
      <c r="C11" s="1124" t="s">
        <v>1783</v>
      </c>
      <c r="D11" s="1125" t="s">
        <v>1784</v>
      </c>
      <c r="E11" s="2167" t="s">
        <v>1783</v>
      </c>
      <c r="F11" s="954" t="s">
        <v>1784</v>
      </c>
      <c r="G11" s="2167" t="s">
        <v>1783</v>
      </c>
      <c r="H11" s="954" t="s">
        <v>1784</v>
      </c>
      <c r="I11" s="2167" t="s">
        <v>1783</v>
      </c>
      <c r="J11" s="1126" t="s">
        <v>1784</v>
      </c>
      <c r="K11" s="2122" t="s">
        <v>1783</v>
      </c>
      <c r="L11" s="954" t="s">
        <v>1784</v>
      </c>
      <c r="M11" s="2167" t="s">
        <v>1783</v>
      </c>
      <c r="N11" s="1126" t="s">
        <v>1784</v>
      </c>
      <c r="O11" s="1127" t="s">
        <v>1783</v>
      </c>
      <c r="P11" s="914" t="s">
        <v>1784</v>
      </c>
      <c r="Q11" s="1124" t="s">
        <v>1783</v>
      </c>
      <c r="R11" s="914" t="s">
        <v>1784</v>
      </c>
      <c r="S11" s="1124" t="s">
        <v>1783</v>
      </c>
      <c r="T11" s="914" t="s">
        <v>1784</v>
      </c>
      <c r="U11" s="1124" t="s">
        <v>1783</v>
      </c>
      <c r="V11" s="914" t="s">
        <v>1784</v>
      </c>
      <c r="W11" s="1124" t="s">
        <v>1783</v>
      </c>
      <c r="X11" s="914" t="s">
        <v>1784</v>
      </c>
      <c r="Y11" s="1124" t="s">
        <v>1783</v>
      </c>
      <c r="Z11" s="914" t="s">
        <v>1784</v>
      </c>
      <c r="AA11" s="1124" t="s">
        <v>1783</v>
      </c>
      <c r="AB11" s="914" t="s">
        <v>1784</v>
      </c>
      <c r="AC11" s="1124" t="s">
        <v>1783</v>
      </c>
      <c r="AD11" s="914" t="s">
        <v>1784</v>
      </c>
      <c r="AE11" s="1124" t="s">
        <v>1783</v>
      </c>
      <c r="AF11" s="914" t="s">
        <v>1784</v>
      </c>
      <c r="AG11" s="1124" t="s">
        <v>1783</v>
      </c>
      <c r="AH11" s="914" t="s">
        <v>1784</v>
      </c>
      <c r="AI11" s="1124" t="s">
        <v>1783</v>
      </c>
      <c r="AJ11" s="914" t="s">
        <v>1784</v>
      </c>
      <c r="AK11" s="1124" t="s">
        <v>1783</v>
      </c>
      <c r="AL11" s="914" t="s">
        <v>1784</v>
      </c>
      <c r="AM11" s="1124" t="s">
        <v>1783</v>
      </c>
      <c r="AN11" s="914" t="s">
        <v>1784</v>
      </c>
      <c r="AO11" s="1124" t="s">
        <v>1783</v>
      </c>
      <c r="AP11" s="914" t="s">
        <v>1784</v>
      </c>
      <c r="AQ11" s="1124" t="s">
        <v>1783</v>
      </c>
      <c r="AR11" s="1128" t="s">
        <v>1784</v>
      </c>
      <c r="AS11" s="9980"/>
      <c r="AT11" s="9982"/>
      <c r="AU11" s="2147" t="s">
        <v>358</v>
      </c>
      <c r="AV11" s="2072" t="s">
        <v>359</v>
      </c>
      <c r="AW11" s="9977"/>
      <c r="AX11" s="8582"/>
      <c r="AY11" s="1191"/>
      <c r="AZ11" s="1191"/>
      <c r="BA11" s="1191"/>
      <c r="BB11" s="1191"/>
      <c r="BC11" s="1191"/>
      <c r="BD11" s="1191"/>
      <c r="BE11" s="1191"/>
      <c r="BF11" s="1191"/>
      <c r="BG11" s="1191"/>
      <c r="BH11" s="1191"/>
      <c r="BI11" s="1191"/>
      <c r="BJ11" s="1191"/>
      <c r="BK11" s="1191"/>
      <c r="BL11" s="1191"/>
      <c r="BM11" s="1191"/>
      <c r="BV11" s="1191"/>
    </row>
    <row r="12" spans="1:131" ht="16.2" customHeight="1" x14ac:dyDescent="0.3">
      <c r="A12" s="7258">
        <v>11053700</v>
      </c>
      <c r="B12" s="2042" t="s">
        <v>1785</v>
      </c>
      <c r="C12" s="1996" t="s">
        <v>5369</v>
      </c>
      <c r="D12" s="2043" t="s">
        <v>5370</v>
      </c>
      <c r="E12" s="1130" t="s">
        <v>5371</v>
      </c>
      <c r="F12" s="1131" t="s">
        <v>5372</v>
      </c>
      <c r="G12" s="1132" t="s">
        <v>5373</v>
      </c>
      <c r="H12" s="1131" t="s">
        <v>5374</v>
      </c>
      <c r="I12" s="1132" t="s">
        <v>5375</v>
      </c>
      <c r="J12" s="1131" t="s">
        <v>5376</v>
      </c>
      <c r="K12" s="1132" t="s">
        <v>5377</v>
      </c>
      <c r="L12" s="1131" t="s">
        <v>5378</v>
      </c>
      <c r="M12" s="1132" t="s">
        <v>5379</v>
      </c>
      <c r="N12" s="1133" t="s">
        <v>5380</v>
      </c>
      <c r="O12" s="1134" t="s">
        <v>5381</v>
      </c>
      <c r="P12" s="1135" t="s">
        <v>5382</v>
      </c>
      <c r="Q12" s="1114" t="s">
        <v>5383</v>
      </c>
      <c r="R12" s="1135" t="s">
        <v>5384</v>
      </c>
      <c r="S12" s="1114" t="s">
        <v>5385</v>
      </c>
      <c r="T12" s="1135" t="s">
        <v>5386</v>
      </c>
      <c r="U12" s="1114" t="s">
        <v>5387</v>
      </c>
      <c r="V12" s="1135" t="s">
        <v>5388</v>
      </c>
      <c r="W12" s="1114" t="s">
        <v>5389</v>
      </c>
      <c r="X12" s="1135" t="s">
        <v>5390</v>
      </c>
      <c r="Y12" s="1114" t="s">
        <v>5391</v>
      </c>
      <c r="Z12" s="1135" t="s">
        <v>5392</v>
      </c>
      <c r="AA12" s="1114" t="s">
        <v>5393</v>
      </c>
      <c r="AB12" s="1135" t="s">
        <v>5394</v>
      </c>
      <c r="AC12" s="1114" t="s">
        <v>5395</v>
      </c>
      <c r="AD12" s="1135" t="s">
        <v>5396</v>
      </c>
      <c r="AE12" s="1114" t="s">
        <v>5397</v>
      </c>
      <c r="AF12" s="1135" t="s">
        <v>5398</v>
      </c>
      <c r="AG12" s="1114" t="s">
        <v>5399</v>
      </c>
      <c r="AH12" s="1135" t="s">
        <v>5400</v>
      </c>
      <c r="AI12" s="1114" t="s">
        <v>5401</v>
      </c>
      <c r="AJ12" s="1135" t="s">
        <v>5402</v>
      </c>
      <c r="AK12" s="1114" t="s">
        <v>5403</v>
      </c>
      <c r="AL12" s="1135" t="s">
        <v>5404</v>
      </c>
      <c r="AM12" s="1114" t="s">
        <v>5405</v>
      </c>
      <c r="AN12" s="1135" t="s">
        <v>5406</v>
      </c>
      <c r="AO12" s="1114" t="s">
        <v>5407</v>
      </c>
      <c r="AP12" s="1135" t="s">
        <v>5408</v>
      </c>
      <c r="AQ12" s="1114" t="s">
        <v>5409</v>
      </c>
      <c r="AR12" s="1136" t="s">
        <v>5410</v>
      </c>
      <c r="AS12" s="1137" t="s">
        <v>5411</v>
      </c>
      <c r="AT12" s="1136" t="s">
        <v>5412</v>
      </c>
      <c r="AU12" s="1134" t="s">
        <v>5413</v>
      </c>
      <c r="AV12" s="1135" t="s">
        <v>5414</v>
      </c>
      <c r="AW12" s="1114" t="s">
        <v>5415</v>
      </c>
      <c r="AX12" s="1118" t="s">
        <v>5416</v>
      </c>
      <c r="AY12" s="1197" t="e">
        <f>$CB12&amp;$CC12&amp;$CD12&amp;$CE12&amp;$CF12&amp;$CG12&amp;$CH12&amp;$CI12&amp;$CJ12&amp;$CK12&amp;$CL12&amp;$CM12&amp;$CN12&amp;$CO12&amp;$CP12&amp;$CQ12&amp;$CR12&amp;$CS12&amp;$CT12&amp;$CU12&amp;$CV12&amp;$CW12&amp;$CX12&amp;$CY12&amp;$CZ12&amp;$DA12</f>
        <v>#VALUE!</v>
      </c>
      <c r="AZ12" s="1197"/>
      <c r="BA12" s="1197"/>
      <c r="BB12" s="1197"/>
      <c r="BC12" s="1197"/>
      <c r="BD12" s="1197"/>
      <c r="BE12" s="1197"/>
      <c r="BF12" s="1197"/>
      <c r="BG12" s="1197"/>
      <c r="BH12" s="1197"/>
      <c r="BI12" s="1197"/>
      <c r="BJ12" s="1191"/>
      <c r="BK12" s="1191"/>
      <c r="BL12" s="1191"/>
      <c r="BM12" s="1191"/>
      <c r="BV12" s="1191"/>
      <c r="BX12" s="1547"/>
      <c r="CB12" s="2195" t="str">
        <f>IF(C12&lt;D12,"* El total de Reactivos NO DEBE ser superior al total de Procesados. ","")</f>
        <v xml:space="preserve">* El total de Reactivos NO DEBE ser superior al total de Procesados. </v>
      </c>
      <c r="CC12" s="2195" t="e">
        <f>IF(C12&lt;&gt;(AS12+ AT12),"* La suma de las columnas Sexo DEBE SER IGUAL a los Procesados. ","")</f>
        <v>#VALUE!</v>
      </c>
      <c r="CD12" s="2195" t="e">
        <f>IF(C12&lt;(AU12+ AV12),"* La suma de las columna Trans NO DEBE ser superior al total de Procesados. ","")</f>
        <v>#VALUE!</v>
      </c>
      <c r="CE12" s="2195" t="str">
        <f>IF(C12&lt;AW12,"* La columna Pueblos Originarios NO DEBE ser superior al total de Procesados. ","")</f>
        <v xml:space="preserve">* La columna Pueblos Originarios NO DEBE ser superior al total de Procesados. </v>
      </c>
      <c r="CF12" s="2195" t="str">
        <f>IF(C12&lt;AX12,"* La columna Migrantes NO DEBE ser superior al total de Procesados. ","")</f>
        <v xml:space="preserve">* La columna Migrantes NO DEBE ser superior al total de Procesados. </v>
      </c>
      <c r="CG12" s="2195" t="str">
        <f>IF(E12&lt;F12,CONCATENATE("* El total de procesados debe ser mayor o igual al total de Reactivos en el grupo de edad ",$E$10),"")</f>
        <v>* El total de procesados debe ser mayor o igual al total de Reactivos en el grupo de edad Menor de 6 meses</v>
      </c>
      <c r="CH12" s="2195" t="str">
        <f>IF(G12&lt;H12,CONCATENATE("* El total de procesados debe ser mayor o igual al total de Reactivos en el grupo de edad ",$G$10),"")</f>
        <v>* El total de procesados debe ser mayor o igual al total de Reactivos en el grupo de edad 6 a 11 meses</v>
      </c>
      <c r="CI12" s="2195" t="str">
        <f>IF(I12&lt;J12,CONCATENATE("* El total de procesados debe ser mayor o igual al total de Reactivos en el grupo de edad ",$I$10),"")</f>
        <v>* El total de procesados debe ser mayor o igual al total de Reactivos en el grupo de edad 12-24 meses</v>
      </c>
      <c r="CJ12" s="2195" t="str">
        <f>IF(K12&lt;L12,CONCATENATE("* El total de procesados debe ser mayor o igual al total de Reactivos en el grupo de edad ",$K$10),"")</f>
        <v>* El total de procesados debe ser mayor o igual al total de Reactivos en el grupo de edad 3 a 4 años</v>
      </c>
      <c r="CK12" s="2195" t="str">
        <f>IF(M12&lt;N12,CONCATENATE("* El total de procesados debe ser mayor o igual al total de Reactivos en el grupo de edad ",$M$10),"")</f>
        <v>* El total de procesados debe ser mayor o igual al total de Reactivos en el grupo de edad 5 a 9 años</v>
      </c>
      <c r="CL12" s="2195" t="str">
        <f>IF(O12&lt;P12,CONCATENATE("* El total de procesados debe ser mayor o igual al total de Reactivos en el grupo de edad ",$O$10),"")</f>
        <v>* El total de procesados debe ser mayor o igual al total de Reactivos en el grupo de edad 10 - 14 años</v>
      </c>
      <c r="CM12" s="2195" t="str">
        <f>IF(Q12&lt;R12,CONCATENATE("* El total de procesados debe ser mayor o igual al total de Reactivos en el grupo de edad ",$Q$10),"")</f>
        <v>* El total de procesados debe ser mayor o igual al total de Reactivos en el grupo de edad 15 - 19 años</v>
      </c>
      <c r="CN12" s="2195" t="str">
        <f>IF(S12&lt;T12,CONCATENATE("* El total de procesados debe ser mayor o igual al total de Reactivos en el grupo de edad ",$S$10),"")</f>
        <v>* El total de procesados debe ser mayor o igual al total de Reactivos en el grupo de edad 20 - 24 años</v>
      </c>
      <c r="CO12" s="2195" t="str">
        <f>IF(U12&lt;V12,CONCATENATE("* El total de procesados debe ser mayor o igual al total de Reactivos en el grupo de edad ",$U$10),"")</f>
        <v>* El total de procesados debe ser mayor o igual al total de Reactivos en el grupo de edad 25 a 29 años</v>
      </c>
      <c r="CP12" s="2195" t="str">
        <f>IF(W12&lt;X12,CONCATENATE("* El total de procesados debe ser mayor o igual al total de Reactivos en el grupo de edad ",$W$10),"")</f>
        <v>* El total de procesados debe ser mayor o igual al total de Reactivos en el grupo de edad 30 a 34 años</v>
      </c>
      <c r="CQ12" s="2195" t="str">
        <f>IF(Y12&lt;Z12,CONCATENATE("* El total de procesados debe ser mayor o igual al total de Reactivos en el grupo de edad ",$Y$10),"")</f>
        <v>* El total de procesados debe ser mayor o igual al total de Reactivos en el grupo de edad 35 a 39 años</v>
      </c>
      <c r="CR12" s="2195" t="str">
        <f>IF(AA12&lt;AB12,CONCATENATE("* El total de procesados debe ser mayor o igual al total de Reactivos en el grupo de edad ",$AA$10),"")</f>
        <v>* El total de procesados debe ser mayor o igual al total de Reactivos en el grupo de edad 40 a 44 años</v>
      </c>
      <c r="CS12" s="2195" t="str">
        <f>IF(AC12&lt;AD12,CONCATENATE("* El total de procesados debe ser mayor o igual al total de Reactivos en el grupo de edad ",$AC$10),"")</f>
        <v>* El total de procesados debe ser mayor o igual al total de Reactivos en el grupo de edad 45 a 49 años</v>
      </c>
      <c r="CT12" s="2195" t="str">
        <f>IF(AE12&lt;AF12,CONCATENATE("* El total de procesados debe ser mayor o igual al total de Reactivos en el grupo de edad ",$AE$10),"")</f>
        <v>* El total de procesados debe ser mayor o igual al total de Reactivos en el grupo de edad 50 a 54 años</v>
      </c>
      <c r="CU12" s="2195" t="str">
        <f>IF(AG12&lt;AH12,CONCATENATE("* El total de procesados debe ser mayor o igual al total de Reactivos en el grupo de edad ",$AG$10),"")</f>
        <v>* El total de procesados debe ser mayor o igual al total de Reactivos en el grupo de edad 55 a 59 años</v>
      </c>
      <c r="CV12" s="2195" t="str">
        <f>IF(AI12&lt;AJ12,CONCATENATE("* El total de procesados debe ser mayor o igual al total de Reactivos en el grupo de edad ",$AI$10),"")</f>
        <v>* El total de procesados debe ser mayor o igual al total de Reactivos en el grupo de edad 60 a 64 años</v>
      </c>
      <c r="CW12" s="2195" t="str">
        <f>IF(AK12&lt;AL12,CONCATENATE("* El total de procesados debe ser mayor o igual al total de Reactivos en el grupo de edad ",$AK$10),"")</f>
        <v>* El total de procesados debe ser mayor o igual al total de Reactivos en el grupo de edad 65 a 69 años</v>
      </c>
      <c r="CX12" s="2195" t="str">
        <f>IF(AM12&lt;AN12,CONCATENATE("* El total de procesados debe ser mayor o igual al total de Reactivos en el grupo de edad ",$AM$10),"")</f>
        <v>* El total de procesados debe ser mayor o igual al total de Reactivos en el grupo de edad 70 a 74 años</v>
      </c>
      <c r="CY12" s="2195" t="str">
        <f>IF(AO12&lt;AP12,CONCATENATE("* El total de procesados debe ser mayor o igual al total de Reactivos en el grupo de edad ",$AO$10),"")</f>
        <v>* El total de procesados debe ser mayor o igual al total de Reactivos en el grupo de edad 75 a 79 años</v>
      </c>
      <c r="CZ12" s="2195" t="str">
        <f>IF(AQ12&lt;AR12,CONCATENATE("* El total de procesados debe ser mayor o igual al total de Reactivos en el grupo de edad ",$AQ$10),"")</f>
        <v>* El total de procesados debe ser mayor o igual al total de Reactivos en el grupo de edad 80 y más años</v>
      </c>
      <c r="DA12" s="2195" t="str">
        <f t="shared" ref="DA12:DA29" si="0">IF(AND(C12&lt;&gt;0,OR(AU12="",AV12="",AW12="",AX12="")),"* No olvide digitar la columna Trans y/o Pueblos Originarios y/o Migrantes (Digite Cero si no tiene). ","")</f>
        <v/>
      </c>
      <c r="DB12" s="1446">
        <f t="shared" ref="DB12:DB29" si="1">IF(C12&lt;   D12,1,0)</f>
        <v>1</v>
      </c>
      <c r="DC12" s="1446" t="e">
        <f t="shared" ref="DC12:DC29" si="2">IF(C12&lt;&gt; AS12+AT12,1,0)</f>
        <v>#VALUE!</v>
      </c>
      <c r="DD12" s="1446" t="e">
        <f t="shared" ref="DD12:DD29" si="3">IF(C12&lt;  AU12+AV12,1,0)</f>
        <v>#VALUE!</v>
      </c>
      <c r="DE12" s="1446">
        <f t="shared" ref="DE12:DE29" si="4">IF(C12&lt;  AW12,1,0)</f>
        <v>1</v>
      </c>
      <c r="DF12" s="1446">
        <f t="shared" ref="DF12:DF29" si="5">IF(C12&lt;  AX12,1,0)</f>
        <v>1</v>
      </c>
      <c r="DG12" s="1446">
        <f>IF(E12&lt;F12,1,0)</f>
        <v>1</v>
      </c>
      <c r="DH12" s="1446">
        <f>IF(G12&lt;H12,1,0)</f>
        <v>1</v>
      </c>
      <c r="DI12" s="1446">
        <f>IF(I12&lt;J12,1,0)</f>
        <v>1</v>
      </c>
      <c r="DJ12" s="1446">
        <f>IF(K12&lt;L12,1,0)</f>
        <v>1</v>
      </c>
      <c r="DK12" s="1446">
        <f>IF(M12&lt;N12,1,0)</f>
        <v>1</v>
      </c>
      <c r="DL12" s="1446">
        <f>IF(O12&lt;P12,1,0)</f>
        <v>1</v>
      </c>
      <c r="DM12" s="1446">
        <f>IF(Q12&lt;R12,1,0)</f>
        <v>1</v>
      </c>
      <c r="DN12" s="1446">
        <f>IF(S12&lt;T12,1,0)</f>
        <v>1</v>
      </c>
      <c r="DO12" s="1446">
        <f>IF(U12&lt;V12,1,0)</f>
        <v>1</v>
      </c>
      <c r="DP12" s="1446">
        <f>IF(W12&lt;X12,1,0)</f>
        <v>1</v>
      </c>
      <c r="DQ12" s="1446">
        <f>IF(Y12&lt;Z12,1,0)</f>
        <v>1</v>
      </c>
      <c r="DR12" s="1446">
        <f>IF(AA12&lt;AB12,1,0)</f>
        <v>1</v>
      </c>
      <c r="DS12" s="1446">
        <f>IF(AC12&lt;AD12,1,0)</f>
        <v>1</v>
      </c>
      <c r="DT12" s="1446">
        <f>IF(AE12&lt;AF12,1,0)</f>
        <v>1</v>
      </c>
      <c r="DU12" s="1446">
        <f>IF(AG12&lt;AH12,1,0)</f>
        <v>1</v>
      </c>
      <c r="DV12" s="1446">
        <f>IF(AI12&lt;AJ12,1,0)</f>
        <v>1</v>
      </c>
      <c r="DW12" s="1446">
        <f>IF(AK12&lt;AL12,1,0)</f>
        <v>1</v>
      </c>
      <c r="DX12" s="1446">
        <f>IF(AM12&lt;AN12,1,0)</f>
        <v>1</v>
      </c>
      <c r="DY12" s="1446">
        <f>IF(AO12&lt;AP12,1,0)</f>
        <v>1</v>
      </c>
      <c r="DZ12" s="1446">
        <f>IF(AQ12&lt;AR12,1,0)</f>
        <v>1</v>
      </c>
      <c r="EA12" s="1446">
        <f>IF(AND(C12&lt;&gt;0,OR(AU12="",AV12="",AW12="",AX12="")),1,0)</f>
        <v>0</v>
      </c>
    </row>
    <row r="13" spans="1:131" ht="16.2" customHeight="1" x14ac:dyDescent="0.3">
      <c r="A13" s="7258">
        <v>11053800</v>
      </c>
      <c r="B13" s="2032" t="s">
        <v>1786</v>
      </c>
      <c r="C13" s="1998" t="s">
        <v>5369</v>
      </c>
      <c r="D13" s="2044" t="s">
        <v>5370</v>
      </c>
      <c r="E13" s="1130" t="s">
        <v>5371</v>
      </c>
      <c r="F13" s="1131" t="s">
        <v>5372</v>
      </c>
      <c r="G13" s="1132" t="s">
        <v>5373</v>
      </c>
      <c r="H13" s="1131" t="s">
        <v>5374</v>
      </c>
      <c r="I13" s="1132" t="s">
        <v>5375</v>
      </c>
      <c r="J13" s="1131" t="s">
        <v>5376</v>
      </c>
      <c r="K13" s="1132" t="s">
        <v>5377</v>
      </c>
      <c r="L13" s="1131" t="s">
        <v>5378</v>
      </c>
      <c r="M13" s="1132" t="s">
        <v>5379</v>
      </c>
      <c r="N13" s="1133" t="s">
        <v>5380</v>
      </c>
      <c r="O13" s="1134" t="s">
        <v>5381</v>
      </c>
      <c r="P13" s="1135" t="s">
        <v>5382</v>
      </c>
      <c r="Q13" s="1114" t="s">
        <v>5383</v>
      </c>
      <c r="R13" s="1135" t="s">
        <v>5384</v>
      </c>
      <c r="S13" s="1114" t="s">
        <v>5385</v>
      </c>
      <c r="T13" s="1135" t="s">
        <v>5386</v>
      </c>
      <c r="U13" s="1114" t="s">
        <v>5387</v>
      </c>
      <c r="V13" s="1135" t="s">
        <v>5388</v>
      </c>
      <c r="W13" s="1114" t="s">
        <v>5389</v>
      </c>
      <c r="X13" s="1135" t="s">
        <v>5390</v>
      </c>
      <c r="Y13" s="1114" t="s">
        <v>5391</v>
      </c>
      <c r="Z13" s="1135" t="s">
        <v>5392</v>
      </c>
      <c r="AA13" s="1114" t="s">
        <v>5393</v>
      </c>
      <c r="AB13" s="1135" t="s">
        <v>5394</v>
      </c>
      <c r="AC13" s="1114" t="s">
        <v>5395</v>
      </c>
      <c r="AD13" s="1135" t="s">
        <v>5396</v>
      </c>
      <c r="AE13" s="1114" t="s">
        <v>5397</v>
      </c>
      <c r="AF13" s="1135" t="s">
        <v>5398</v>
      </c>
      <c r="AG13" s="1114" t="s">
        <v>5399</v>
      </c>
      <c r="AH13" s="1135" t="s">
        <v>5400</v>
      </c>
      <c r="AI13" s="1114" t="s">
        <v>5401</v>
      </c>
      <c r="AJ13" s="1135" t="s">
        <v>5402</v>
      </c>
      <c r="AK13" s="1114" t="s">
        <v>5403</v>
      </c>
      <c r="AL13" s="1135" t="s">
        <v>5404</v>
      </c>
      <c r="AM13" s="1114" t="s">
        <v>5405</v>
      </c>
      <c r="AN13" s="1135" t="s">
        <v>5406</v>
      </c>
      <c r="AO13" s="1114" t="s">
        <v>5407</v>
      </c>
      <c r="AP13" s="1135" t="s">
        <v>5408</v>
      </c>
      <c r="AQ13" s="1114" t="s">
        <v>5409</v>
      </c>
      <c r="AR13" s="1136" t="s">
        <v>5410</v>
      </c>
      <c r="AS13" s="1137" t="s">
        <v>5411</v>
      </c>
      <c r="AT13" s="1136" t="s">
        <v>5412</v>
      </c>
      <c r="AU13" s="1134" t="s">
        <v>5413</v>
      </c>
      <c r="AV13" s="1135" t="s">
        <v>5414</v>
      </c>
      <c r="AW13" s="1114" t="s">
        <v>5415</v>
      </c>
      <c r="AX13" s="1118" t="s">
        <v>5416</v>
      </c>
      <c r="AY13" s="1197" t="e">
        <f t="shared" ref="AY13:AY29" si="6">$CB13&amp;$CC13&amp;$CD13&amp;$CE13&amp;$CF13&amp;$CG13&amp;$CH13&amp;$CI13&amp;$CJ13&amp;$CK13&amp;$CL13&amp;$CM13&amp;$CN13&amp;$CO13&amp;$CP13&amp;$CQ13&amp;$CR13&amp;$CS13&amp;$CT13&amp;$CU13&amp;$CV13&amp;$CW13&amp;$CX13&amp;$CY13&amp;$CZ13&amp;$DA13</f>
        <v>#VALUE!</v>
      </c>
      <c r="AZ13" s="1197"/>
      <c r="BA13" s="1197"/>
      <c r="BB13" s="1197"/>
      <c r="BC13" s="1197"/>
      <c r="BD13" s="1197"/>
      <c r="BE13" s="1197"/>
      <c r="BF13" s="1197"/>
      <c r="BG13" s="1197"/>
      <c r="BH13" s="1197"/>
      <c r="BI13" s="1197"/>
      <c r="BJ13" s="1191"/>
      <c r="BK13" s="1191"/>
      <c r="BL13" s="1191"/>
      <c r="BM13" s="1191"/>
      <c r="BV13" s="1191"/>
      <c r="BX13" s="1547"/>
      <c r="CB13" s="2195" t="str">
        <f t="shared" ref="CB13:CB29" si="7">IF(C13&lt;D13,"* El total de Reactivos NO DEBE ser superior al total de Procesados. ","")</f>
        <v xml:space="preserve">* El total de Reactivos NO DEBE ser superior al total de Procesados. </v>
      </c>
      <c r="CC13" s="2195" t="e">
        <f t="shared" ref="CC13:CC29" si="8">IF(C13&lt;&gt;(AS13+ AT13),"* La suma de las columnas Sexo DEBE SER IGUAL a los Procesados. ","")</f>
        <v>#VALUE!</v>
      </c>
      <c r="CD13" s="2195" t="e">
        <f t="shared" ref="CD13:CD29" si="9">IF(C13&lt;(AU13+ AV13),"* La suma de las columna Trans NO DEBE ser superior al total de Procesados. ","")</f>
        <v>#VALUE!</v>
      </c>
      <c r="CE13" s="2195" t="str">
        <f t="shared" ref="CE13:CE29" si="10">IF(C13&lt;AW13,"* La columna Pueblos Originarios NO DEBE ser superior al total de Procesados. ","")</f>
        <v xml:space="preserve">* La columna Pueblos Originarios NO DEBE ser superior al total de Procesados. </v>
      </c>
      <c r="CF13" s="2195" t="str">
        <f t="shared" ref="CF13:CF29" si="11">IF(C13&lt;AX13,"* La columna Migrantes NO DEBE ser superior al total de Procesados. ","")</f>
        <v xml:space="preserve">* La columna Migrantes NO DEBE ser superior al total de Procesados. </v>
      </c>
      <c r="CG13" s="2195" t="str">
        <f t="shared" ref="CG13:CG29" si="12">IF(E13&lt;F13,CONCATENATE("* El total de procesados debe ser mayor o igual al total de Reactivos en el grupo de edad ",$E$10),"")</f>
        <v>* El total de procesados debe ser mayor o igual al total de Reactivos en el grupo de edad Menor de 6 meses</v>
      </c>
      <c r="CH13" s="2195" t="str">
        <f t="shared" ref="CH13:CH29" si="13">IF(G13&lt;H13,CONCATENATE("* El total de procesados debe ser mayor o igual al total de Reactivos en el grupo de edad ",$G$10),"")</f>
        <v>* El total de procesados debe ser mayor o igual al total de Reactivos en el grupo de edad 6 a 11 meses</v>
      </c>
      <c r="CI13" s="2195" t="str">
        <f t="shared" ref="CI13:CI29" si="14">IF(I13&lt;J13,CONCATENATE("* El total de procesados debe ser mayor o igual al total de Reactivos en el grupo de edad ",$I$10),"")</f>
        <v>* El total de procesados debe ser mayor o igual al total de Reactivos en el grupo de edad 12-24 meses</v>
      </c>
      <c r="CJ13" s="2195" t="str">
        <f t="shared" ref="CJ13:CJ29" si="15">IF(K13&lt;L13,CONCATENATE("* El total de procesados debe ser mayor o igual al total de Reactivos en el grupo de edad ",$K$10),"")</f>
        <v>* El total de procesados debe ser mayor o igual al total de Reactivos en el grupo de edad 3 a 4 años</v>
      </c>
      <c r="CK13" s="2195" t="str">
        <f t="shared" ref="CK13:CK29" si="16">IF(M13&lt;N13,CONCATENATE("* El total de procesados debe ser mayor o igual al total de Reactivos en el grupo de edad ",$M$10),"")</f>
        <v>* El total de procesados debe ser mayor o igual al total de Reactivos en el grupo de edad 5 a 9 años</v>
      </c>
      <c r="CL13" s="2195" t="str">
        <f t="shared" ref="CL13:CL29" si="17">IF(O13&lt;P13,CONCATENATE("* El total de procesados debe ser mayor o igual al total de Reactivos en el grupo de edad ",$O$10),"")</f>
        <v>* El total de procesados debe ser mayor o igual al total de Reactivos en el grupo de edad 10 - 14 años</v>
      </c>
      <c r="CM13" s="2195" t="str">
        <f t="shared" ref="CM13:CM29" si="18">IF(Q13&lt;R13,CONCATENATE("* El total de procesados debe ser mayor o igual al total de Reactivos en el grupo de edad ",$Q$10),"")</f>
        <v>* El total de procesados debe ser mayor o igual al total de Reactivos en el grupo de edad 15 - 19 años</v>
      </c>
      <c r="CN13" s="2195" t="str">
        <f t="shared" ref="CN13:CN29" si="19">IF(S13&lt;T13,CONCATENATE("* El total de procesados debe ser mayor o igual al total de Reactivos en el grupo de edad ",$S$10),"")</f>
        <v>* El total de procesados debe ser mayor o igual al total de Reactivos en el grupo de edad 20 - 24 años</v>
      </c>
      <c r="CO13" s="2195" t="str">
        <f t="shared" ref="CO13:CO29" si="20">IF(U13&lt;V13,CONCATENATE("* El total de procesados debe ser mayor o igual al total de Reactivos en el grupo de edad ",$U$10),"")</f>
        <v>* El total de procesados debe ser mayor o igual al total de Reactivos en el grupo de edad 25 a 29 años</v>
      </c>
      <c r="CP13" s="2195" t="str">
        <f t="shared" ref="CP13:CP29" si="21">IF(W13&lt;X13,CONCATENATE("* El total de procesados debe ser mayor o igual al total de Reactivos en el grupo de edad ",$W$10),"")</f>
        <v>* El total de procesados debe ser mayor o igual al total de Reactivos en el grupo de edad 30 a 34 años</v>
      </c>
      <c r="CQ13" s="2195" t="str">
        <f t="shared" ref="CQ13:CQ29" si="22">IF(Y13&lt;Z13,CONCATENATE("* El total de procesados debe ser mayor o igual al total de Reactivos en el grupo de edad ",$Y$10),"")</f>
        <v>* El total de procesados debe ser mayor o igual al total de Reactivos en el grupo de edad 35 a 39 años</v>
      </c>
      <c r="CR13" s="2195" t="str">
        <f t="shared" ref="CR13:CR29" si="23">IF(AA13&lt;AB13,CONCATENATE("* El total de procesados debe ser mayor o igual al total de Reactivos en el grupo de edad ",$AA$10),"")</f>
        <v>* El total de procesados debe ser mayor o igual al total de Reactivos en el grupo de edad 40 a 44 años</v>
      </c>
      <c r="CS13" s="2195" t="str">
        <f t="shared" ref="CS13:CS29" si="24">IF(AC13&lt;AD13,CONCATENATE("* El total de procesados debe ser mayor o igual al total de Reactivos en el grupo de edad ",$AC$10),"")</f>
        <v>* El total de procesados debe ser mayor o igual al total de Reactivos en el grupo de edad 45 a 49 años</v>
      </c>
      <c r="CT13" s="2195" t="str">
        <f t="shared" ref="CT13:CT29" si="25">IF(AE13&lt;AF13,CONCATENATE("* El total de procesados debe ser mayor o igual al total de Reactivos en el grupo de edad ",$AE$10),"")</f>
        <v>* El total de procesados debe ser mayor o igual al total de Reactivos en el grupo de edad 50 a 54 años</v>
      </c>
      <c r="CU13" s="2195" t="str">
        <f t="shared" ref="CU13:CU29" si="26">IF(AG13&lt;AH13,CONCATENATE("* El total de procesados debe ser mayor o igual al total de Reactivos en el grupo de edad ",$AG$10),"")</f>
        <v>* El total de procesados debe ser mayor o igual al total de Reactivos en el grupo de edad 55 a 59 años</v>
      </c>
      <c r="CV13" s="2195" t="str">
        <f t="shared" ref="CV13:CV29" si="27">IF(AI13&lt;AJ13,CONCATENATE("* El total de procesados debe ser mayor o igual al total de Reactivos en el grupo de edad ",$AI$10),"")</f>
        <v>* El total de procesados debe ser mayor o igual al total de Reactivos en el grupo de edad 60 a 64 años</v>
      </c>
      <c r="CW13" s="2195" t="str">
        <f t="shared" ref="CW13:CW29" si="28">IF(AK13&lt;AL13,CONCATENATE("* El total de procesados debe ser mayor o igual al total de Reactivos en el grupo de edad ",$AK$10),"")</f>
        <v>* El total de procesados debe ser mayor o igual al total de Reactivos en el grupo de edad 65 a 69 años</v>
      </c>
      <c r="CX13" s="2195" t="str">
        <f t="shared" ref="CX13:CX29" si="29">IF(AM13&lt;AN13,CONCATENATE("* El total de procesados debe ser mayor o igual al total de Reactivos en el grupo de edad ",$AM$10),"")</f>
        <v>* El total de procesados debe ser mayor o igual al total de Reactivos en el grupo de edad 70 a 74 años</v>
      </c>
      <c r="CY13" s="2195" t="str">
        <f t="shared" ref="CY13:CY29" si="30">IF(AO13&lt;AP13,CONCATENATE("* El total de procesados debe ser mayor o igual al total de Reactivos en el grupo de edad ",$AO$10),"")</f>
        <v>* El total de procesados debe ser mayor o igual al total de Reactivos en el grupo de edad 75 a 79 años</v>
      </c>
      <c r="CZ13" s="2195" t="str">
        <f t="shared" ref="CZ13:CZ29" si="31">IF(AQ13&lt;AR13,CONCATENATE("* El total de procesados debe ser mayor o igual al total de Reactivos en el grupo de edad ",$AQ$10),"")</f>
        <v>* El total de procesados debe ser mayor o igual al total de Reactivos en el grupo de edad 80 y más años</v>
      </c>
      <c r="DA13" s="2195" t="str">
        <f t="shared" si="0"/>
        <v/>
      </c>
      <c r="DB13" s="1446">
        <f t="shared" si="1"/>
        <v>1</v>
      </c>
      <c r="DC13" s="1446" t="e">
        <f t="shared" si="2"/>
        <v>#VALUE!</v>
      </c>
      <c r="DD13" s="1446" t="e">
        <f t="shared" si="3"/>
        <v>#VALUE!</v>
      </c>
      <c r="DE13" s="1446">
        <f t="shared" si="4"/>
        <v>1</v>
      </c>
      <c r="DF13" s="1446">
        <f t="shared" si="5"/>
        <v>1</v>
      </c>
      <c r="DG13" s="1446">
        <f t="shared" ref="DG13:DG29" si="32">IF(E13&lt;F13,1,0)</f>
        <v>1</v>
      </c>
      <c r="DH13" s="1446">
        <f t="shared" ref="DH13:DH29" si="33">IF(G13&lt;H13,1,0)</f>
        <v>1</v>
      </c>
      <c r="DI13" s="1446">
        <f t="shared" ref="DI13:DI29" si="34">IF(I13&lt;J13,1,0)</f>
        <v>1</v>
      </c>
      <c r="DJ13" s="1446">
        <f t="shared" ref="DJ13:DJ29" si="35">IF(K13&lt;L13,1,0)</f>
        <v>1</v>
      </c>
      <c r="DK13" s="1446">
        <f t="shared" ref="DK13:DK29" si="36">IF(M13&lt;N13,1,0)</f>
        <v>1</v>
      </c>
      <c r="DL13" s="1446">
        <f t="shared" ref="DL13:DL29" si="37">IF(O13&lt;P13,1,0)</f>
        <v>1</v>
      </c>
      <c r="DM13" s="1446">
        <f t="shared" ref="DM13:DM29" si="38">IF(Q13&lt;R13,1,0)</f>
        <v>1</v>
      </c>
      <c r="DN13" s="1446">
        <f t="shared" ref="DN13:DN29" si="39">IF(S13&lt;T13,1,0)</f>
        <v>1</v>
      </c>
      <c r="DO13" s="1446">
        <f t="shared" ref="DO13:DO29" si="40">IF(U13&lt;V13,1,0)</f>
        <v>1</v>
      </c>
      <c r="DP13" s="1446">
        <f t="shared" ref="DP13:DP29" si="41">IF(W13&lt;X13,1,0)</f>
        <v>1</v>
      </c>
      <c r="DQ13" s="1446">
        <f t="shared" ref="DQ13:DQ29" si="42">IF(Y13&lt;Z13,1,0)</f>
        <v>1</v>
      </c>
      <c r="DR13" s="1446">
        <f t="shared" ref="DR13:DR29" si="43">IF(AA13&lt;AB13,1,0)</f>
        <v>1</v>
      </c>
      <c r="DS13" s="1446">
        <f t="shared" ref="DS13:DS29" si="44">IF(AC13&lt;AD13,1,0)</f>
        <v>1</v>
      </c>
      <c r="DT13" s="1446">
        <f t="shared" ref="DT13:DT29" si="45">IF(AE13&lt;AF13,1,0)</f>
        <v>1</v>
      </c>
      <c r="DU13" s="1446">
        <f t="shared" ref="DU13:DU29" si="46">IF(AG13&lt;AH13,1,0)</f>
        <v>1</v>
      </c>
      <c r="DV13" s="1446">
        <f t="shared" ref="DV13:DV29" si="47">IF(AI13&lt;AJ13,1,0)</f>
        <v>1</v>
      </c>
      <c r="DW13" s="1446">
        <f t="shared" ref="DW13:DW29" si="48">IF(AK13&lt;AL13,1,0)</f>
        <v>1</v>
      </c>
      <c r="DX13" s="1446">
        <f t="shared" ref="DX13:DX29" si="49">IF(AM13&lt;AN13,1,0)</f>
        <v>1</v>
      </c>
      <c r="DY13" s="1446">
        <f t="shared" ref="DY13:DY29" si="50">IF(AO13&lt;AP13,1,0)</f>
        <v>1</v>
      </c>
      <c r="DZ13" s="1446">
        <f t="shared" ref="DZ13:DZ29" si="51">IF(AQ13&lt;AR13,1,0)</f>
        <v>1</v>
      </c>
      <c r="EA13" s="1446">
        <f t="shared" ref="EA13:EA29" si="52">IF(AND(C13&lt;&gt;0,OR(AU13="",AV13="",AW13="",AX13="")),1,0)</f>
        <v>0</v>
      </c>
    </row>
    <row r="14" spans="1:131" ht="16.2" customHeight="1" x14ac:dyDescent="0.3">
      <c r="A14" s="7258">
        <v>11053900</v>
      </c>
      <c r="B14" s="2032" t="s">
        <v>1787</v>
      </c>
      <c r="C14" s="1998" t="s">
        <v>5369</v>
      </c>
      <c r="D14" s="2044" t="s">
        <v>5370</v>
      </c>
      <c r="E14" s="1130" t="s">
        <v>5371</v>
      </c>
      <c r="F14" s="1131" t="s">
        <v>5372</v>
      </c>
      <c r="G14" s="1132" t="s">
        <v>5373</v>
      </c>
      <c r="H14" s="1131" t="s">
        <v>5374</v>
      </c>
      <c r="I14" s="1132" t="s">
        <v>5375</v>
      </c>
      <c r="J14" s="1131" t="s">
        <v>5376</v>
      </c>
      <c r="K14" s="1132" t="s">
        <v>5377</v>
      </c>
      <c r="L14" s="1131" t="s">
        <v>5378</v>
      </c>
      <c r="M14" s="1132" t="s">
        <v>5379</v>
      </c>
      <c r="N14" s="1133" t="s">
        <v>5380</v>
      </c>
      <c r="O14" s="1134" t="s">
        <v>5381</v>
      </c>
      <c r="P14" s="1135" t="s">
        <v>5382</v>
      </c>
      <c r="Q14" s="1114" t="s">
        <v>5383</v>
      </c>
      <c r="R14" s="1135" t="s">
        <v>5384</v>
      </c>
      <c r="S14" s="1114" t="s">
        <v>5385</v>
      </c>
      <c r="T14" s="1135" t="s">
        <v>5386</v>
      </c>
      <c r="U14" s="1114" t="s">
        <v>5387</v>
      </c>
      <c r="V14" s="1135" t="s">
        <v>5388</v>
      </c>
      <c r="W14" s="1114" t="s">
        <v>5389</v>
      </c>
      <c r="X14" s="1135" t="s">
        <v>5390</v>
      </c>
      <c r="Y14" s="1114" t="s">
        <v>5391</v>
      </c>
      <c r="Z14" s="1135" t="s">
        <v>5392</v>
      </c>
      <c r="AA14" s="1114" t="s">
        <v>5393</v>
      </c>
      <c r="AB14" s="1135" t="s">
        <v>5394</v>
      </c>
      <c r="AC14" s="1114" t="s">
        <v>5395</v>
      </c>
      <c r="AD14" s="1135" t="s">
        <v>5396</v>
      </c>
      <c r="AE14" s="1114" t="s">
        <v>5397</v>
      </c>
      <c r="AF14" s="1135" t="s">
        <v>5398</v>
      </c>
      <c r="AG14" s="1114" t="s">
        <v>5399</v>
      </c>
      <c r="AH14" s="1135" t="s">
        <v>5400</v>
      </c>
      <c r="AI14" s="1114" t="s">
        <v>5401</v>
      </c>
      <c r="AJ14" s="1135" t="s">
        <v>5402</v>
      </c>
      <c r="AK14" s="1114" t="s">
        <v>5403</v>
      </c>
      <c r="AL14" s="1135" t="s">
        <v>5404</v>
      </c>
      <c r="AM14" s="1114" t="s">
        <v>5405</v>
      </c>
      <c r="AN14" s="1135" t="s">
        <v>5406</v>
      </c>
      <c r="AO14" s="1114" t="s">
        <v>5407</v>
      </c>
      <c r="AP14" s="1135" t="s">
        <v>5408</v>
      </c>
      <c r="AQ14" s="1114" t="s">
        <v>5409</v>
      </c>
      <c r="AR14" s="1136" t="s">
        <v>5410</v>
      </c>
      <c r="AS14" s="1137" t="s">
        <v>5411</v>
      </c>
      <c r="AT14" s="1136" t="s">
        <v>5412</v>
      </c>
      <c r="AU14" s="1134" t="s">
        <v>5413</v>
      </c>
      <c r="AV14" s="1135" t="s">
        <v>5414</v>
      </c>
      <c r="AW14" s="1114" t="s">
        <v>5415</v>
      </c>
      <c r="AX14" s="1118" t="s">
        <v>5416</v>
      </c>
      <c r="AY14" s="1197" t="e">
        <f t="shared" si="6"/>
        <v>#VALUE!</v>
      </c>
      <c r="AZ14" s="1197"/>
      <c r="BA14" s="1197"/>
      <c r="BB14" s="1197"/>
      <c r="BC14" s="1197"/>
      <c r="BD14" s="1197"/>
      <c r="BE14" s="1197"/>
      <c r="BF14" s="1197"/>
      <c r="BG14" s="1197"/>
      <c r="BH14" s="1197"/>
      <c r="BI14" s="1197"/>
      <c r="BJ14" s="1191"/>
      <c r="BK14" s="1191"/>
      <c r="BL14" s="1191"/>
      <c r="BM14" s="1191"/>
      <c r="BV14" s="1191"/>
      <c r="BX14" s="1547"/>
      <c r="CB14" s="2195" t="str">
        <f t="shared" si="7"/>
        <v xml:space="preserve">* El total de Reactivos NO DEBE ser superior al total de Procesados. </v>
      </c>
      <c r="CC14" s="2195" t="e">
        <f t="shared" si="8"/>
        <v>#VALUE!</v>
      </c>
      <c r="CD14" s="2195" t="e">
        <f t="shared" si="9"/>
        <v>#VALUE!</v>
      </c>
      <c r="CE14" s="2195" t="str">
        <f t="shared" si="10"/>
        <v xml:space="preserve">* La columna Pueblos Originarios NO DEBE ser superior al total de Procesados. </v>
      </c>
      <c r="CF14" s="2195" t="str">
        <f t="shared" si="11"/>
        <v xml:space="preserve">* La columna Migrantes NO DEBE ser superior al total de Procesados. </v>
      </c>
      <c r="CG14" s="2195" t="str">
        <f t="shared" si="12"/>
        <v>* El total de procesados debe ser mayor o igual al total de Reactivos en el grupo de edad Menor de 6 meses</v>
      </c>
      <c r="CH14" s="2195" t="str">
        <f t="shared" si="13"/>
        <v>* El total de procesados debe ser mayor o igual al total de Reactivos en el grupo de edad 6 a 11 meses</v>
      </c>
      <c r="CI14" s="2195" t="str">
        <f t="shared" si="14"/>
        <v>* El total de procesados debe ser mayor o igual al total de Reactivos en el grupo de edad 12-24 meses</v>
      </c>
      <c r="CJ14" s="2195" t="str">
        <f t="shared" si="15"/>
        <v>* El total de procesados debe ser mayor o igual al total de Reactivos en el grupo de edad 3 a 4 años</v>
      </c>
      <c r="CK14" s="2195" t="str">
        <f t="shared" si="16"/>
        <v>* El total de procesados debe ser mayor o igual al total de Reactivos en el grupo de edad 5 a 9 años</v>
      </c>
      <c r="CL14" s="2195" t="str">
        <f t="shared" si="17"/>
        <v>* El total de procesados debe ser mayor o igual al total de Reactivos en el grupo de edad 10 - 14 años</v>
      </c>
      <c r="CM14" s="2195" t="str">
        <f t="shared" si="18"/>
        <v>* El total de procesados debe ser mayor o igual al total de Reactivos en el grupo de edad 15 - 19 años</v>
      </c>
      <c r="CN14" s="2195" t="str">
        <f t="shared" si="19"/>
        <v>* El total de procesados debe ser mayor o igual al total de Reactivos en el grupo de edad 20 - 24 años</v>
      </c>
      <c r="CO14" s="2195" t="str">
        <f t="shared" si="20"/>
        <v>* El total de procesados debe ser mayor o igual al total de Reactivos en el grupo de edad 25 a 29 años</v>
      </c>
      <c r="CP14" s="2195" t="str">
        <f t="shared" si="21"/>
        <v>* El total de procesados debe ser mayor o igual al total de Reactivos en el grupo de edad 30 a 34 años</v>
      </c>
      <c r="CQ14" s="2195" t="str">
        <f t="shared" si="22"/>
        <v>* El total de procesados debe ser mayor o igual al total de Reactivos en el grupo de edad 35 a 39 años</v>
      </c>
      <c r="CR14" s="2195" t="str">
        <f t="shared" si="23"/>
        <v>* El total de procesados debe ser mayor o igual al total de Reactivos en el grupo de edad 40 a 44 años</v>
      </c>
      <c r="CS14" s="2195" t="str">
        <f t="shared" si="24"/>
        <v>* El total de procesados debe ser mayor o igual al total de Reactivos en el grupo de edad 45 a 49 años</v>
      </c>
      <c r="CT14" s="2195" t="str">
        <f t="shared" si="25"/>
        <v>* El total de procesados debe ser mayor o igual al total de Reactivos en el grupo de edad 50 a 54 años</v>
      </c>
      <c r="CU14" s="2195" t="str">
        <f t="shared" si="26"/>
        <v>* El total de procesados debe ser mayor o igual al total de Reactivos en el grupo de edad 55 a 59 años</v>
      </c>
      <c r="CV14" s="2195" t="str">
        <f t="shared" si="27"/>
        <v>* El total de procesados debe ser mayor o igual al total de Reactivos en el grupo de edad 60 a 64 años</v>
      </c>
      <c r="CW14" s="2195" t="str">
        <f t="shared" si="28"/>
        <v>* El total de procesados debe ser mayor o igual al total de Reactivos en el grupo de edad 65 a 69 años</v>
      </c>
      <c r="CX14" s="2195" t="str">
        <f t="shared" si="29"/>
        <v>* El total de procesados debe ser mayor o igual al total de Reactivos en el grupo de edad 70 a 74 años</v>
      </c>
      <c r="CY14" s="2195" t="str">
        <f t="shared" si="30"/>
        <v>* El total de procesados debe ser mayor o igual al total de Reactivos en el grupo de edad 75 a 79 años</v>
      </c>
      <c r="CZ14" s="2195" t="str">
        <f t="shared" si="31"/>
        <v>* El total de procesados debe ser mayor o igual al total de Reactivos en el grupo de edad 80 y más años</v>
      </c>
      <c r="DA14" s="2195" t="str">
        <f t="shared" si="0"/>
        <v/>
      </c>
      <c r="DB14" s="1446">
        <f t="shared" si="1"/>
        <v>1</v>
      </c>
      <c r="DC14" s="1446" t="e">
        <f t="shared" si="2"/>
        <v>#VALUE!</v>
      </c>
      <c r="DD14" s="1446" t="e">
        <f t="shared" si="3"/>
        <v>#VALUE!</v>
      </c>
      <c r="DE14" s="1446">
        <f t="shared" si="4"/>
        <v>1</v>
      </c>
      <c r="DF14" s="1446">
        <f t="shared" si="5"/>
        <v>1</v>
      </c>
      <c r="DG14" s="1446">
        <f t="shared" si="32"/>
        <v>1</v>
      </c>
      <c r="DH14" s="1446">
        <f t="shared" si="33"/>
        <v>1</v>
      </c>
      <c r="DI14" s="1446">
        <f t="shared" si="34"/>
        <v>1</v>
      </c>
      <c r="DJ14" s="1446">
        <f t="shared" si="35"/>
        <v>1</v>
      </c>
      <c r="DK14" s="1446">
        <f t="shared" si="36"/>
        <v>1</v>
      </c>
      <c r="DL14" s="1446">
        <f t="shared" si="37"/>
        <v>1</v>
      </c>
      <c r="DM14" s="1446">
        <f t="shared" si="38"/>
        <v>1</v>
      </c>
      <c r="DN14" s="1446">
        <f t="shared" si="39"/>
        <v>1</v>
      </c>
      <c r="DO14" s="1446">
        <f t="shared" si="40"/>
        <v>1</v>
      </c>
      <c r="DP14" s="1446">
        <f t="shared" si="41"/>
        <v>1</v>
      </c>
      <c r="DQ14" s="1446">
        <f t="shared" si="42"/>
        <v>1</v>
      </c>
      <c r="DR14" s="1446">
        <f t="shared" si="43"/>
        <v>1</v>
      </c>
      <c r="DS14" s="1446">
        <f t="shared" si="44"/>
        <v>1</v>
      </c>
      <c r="DT14" s="1446">
        <f t="shared" si="45"/>
        <v>1</v>
      </c>
      <c r="DU14" s="1446">
        <f t="shared" si="46"/>
        <v>1</v>
      </c>
      <c r="DV14" s="1446">
        <f t="shared" si="47"/>
        <v>1</v>
      </c>
      <c r="DW14" s="1446">
        <f t="shared" si="48"/>
        <v>1</v>
      </c>
      <c r="DX14" s="1446">
        <f t="shared" si="49"/>
        <v>1</v>
      </c>
      <c r="DY14" s="1446">
        <f t="shared" si="50"/>
        <v>1</v>
      </c>
      <c r="DZ14" s="1446">
        <f t="shared" si="51"/>
        <v>1</v>
      </c>
      <c r="EA14" s="1446">
        <f t="shared" si="52"/>
        <v>0</v>
      </c>
    </row>
    <row r="15" spans="1:131" ht="16.2" customHeight="1" x14ac:dyDescent="0.3">
      <c r="A15" s="7258">
        <v>11054000</v>
      </c>
      <c r="B15" s="2032" t="s">
        <v>1788</v>
      </c>
      <c r="C15" s="1998" t="s">
        <v>5369</v>
      </c>
      <c r="D15" s="2044" t="s">
        <v>5370</v>
      </c>
      <c r="E15" s="1130" t="s">
        <v>5371</v>
      </c>
      <c r="F15" s="1131" t="s">
        <v>5372</v>
      </c>
      <c r="G15" s="1132" t="s">
        <v>5373</v>
      </c>
      <c r="H15" s="1131" t="s">
        <v>5374</v>
      </c>
      <c r="I15" s="1132" t="s">
        <v>5375</v>
      </c>
      <c r="J15" s="1131" t="s">
        <v>5376</v>
      </c>
      <c r="K15" s="1132" t="s">
        <v>5377</v>
      </c>
      <c r="L15" s="1131" t="s">
        <v>5378</v>
      </c>
      <c r="M15" s="1132" t="s">
        <v>5379</v>
      </c>
      <c r="N15" s="1133" t="s">
        <v>5380</v>
      </c>
      <c r="O15" s="1134" t="s">
        <v>5381</v>
      </c>
      <c r="P15" s="1135" t="s">
        <v>5382</v>
      </c>
      <c r="Q15" s="1114" t="s">
        <v>5383</v>
      </c>
      <c r="R15" s="1135" t="s">
        <v>5384</v>
      </c>
      <c r="S15" s="1114" t="s">
        <v>5385</v>
      </c>
      <c r="T15" s="1135" t="s">
        <v>5386</v>
      </c>
      <c r="U15" s="1114" t="s">
        <v>5387</v>
      </c>
      <c r="V15" s="1135" t="s">
        <v>5388</v>
      </c>
      <c r="W15" s="1114" t="s">
        <v>5389</v>
      </c>
      <c r="X15" s="1135" t="s">
        <v>5390</v>
      </c>
      <c r="Y15" s="1114" t="s">
        <v>5391</v>
      </c>
      <c r="Z15" s="1135" t="s">
        <v>5392</v>
      </c>
      <c r="AA15" s="1114" t="s">
        <v>5393</v>
      </c>
      <c r="AB15" s="1135" t="s">
        <v>5394</v>
      </c>
      <c r="AC15" s="1114" t="s">
        <v>5395</v>
      </c>
      <c r="AD15" s="1135" t="s">
        <v>5396</v>
      </c>
      <c r="AE15" s="1114" t="s">
        <v>5397</v>
      </c>
      <c r="AF15" s="1135" t="s">
        <v>5398</v>
      </c>
      <c r="AG15" s="1114" t="s">
        <v>5399</v>
      </c>
      <c r="AH15" s="1135" t="s">
        <v>5400</v>
      </c>
      <c r="AI15" s="1114" t="s">
        <v>5401</v>
      </c>
      <c r="AJ15" s="1135" t="s">
        <v>5402</v>
      </c>
      <c r="AK15" s="1114" t="s">
        <v>5403</v>
      </c>
      <c r="AL15" s="1135" t="s">
        <v>5404</v>
      </c>
      <c r="AM15" s="1114" t="s">
        <v>5405</v>
      </c>
      <c r="AN15" s="1135" t="s">
        <v>5406</v>
      </c>
      <c r="AO15" s="1114" t="s">
        <v>5407</v>
      </c>
      <c r="AP15" s="1135" t="s">
        <v>5408</v>
      </c>
      <c r="AQ15" s="1114" t="s">
        <v>5409</v>
      </c>
      <c r="AR15" s="1136" t="s">
        <v>5410</v>
      </c>
      <c r="AS15" s="1137" t="s">
        <v>5411</v>
      </c>
      <c r="AT15" s="1136" t="s">
        <v>5412</v>
      </c>
      <c r="AU15" s="1134" t="s">
        <v>5413</v>
      </c>
      <c r="AV15" s="1135" t="s">
        <v>5414</v>
      </c>
      <c r="AW15" s="1114" t="s">
        <v>5415</v>
      </c>
      <c r="AX15" s="1118" t="s">
        <v>5416</v>
      </c>
      <c r="AY15" s="1197" t="e">
        <f t="shared" si="6"/>
        <v>#VALUE!</v>
      </c>
      <c r="AZ15" s="1197"/>
      <c r="BA15" s="1197"/>
      <c r="BB15" s="1197"/>
      <c r="BC15" s="1197"/>
      <c r="BD15" s="1197"/>
      <c r="BE15" s="1197"/>
      <c r="BF15" s="1197"/>
      <c r="BG15" s="1197"/>
      <c r="BH15" s="1197"/>
      <c r="BI15" s="1197"/>
      <c r="BJ15" s="1191"/>
      <c r="BK15" s="1191"/>
      <c r="BL15" s="1191"/>
      <c r="BM15" s="1191"/>
      <c r="BV15" s="1191"/>
      <c r="BX15" s="1547"/>
      <c r="CB15" s="2195" t="str">
        <f t="shared" si="7"/>
        <v xml:space="preserve">* El total de Reactivos NO DEBE ser superior al total de Procesados. </v>
      </c>
      <c r="CC15" s="2195" t="e">
        <f t="shared" si="8"/>
        <v>#VALUE!</v>
      </c>
      <c r="CD15" s="2195" t="e">
        <f t="shared" si="9"/>
        <v>#VALUE!</v>
      </c>
      <c r="CE15" s="2195" t="str">
        <f t="shared" si="10"/>
        <v xml:space="preserve">* La columna Pueblos Originarios NO DEBE ser superior al total de Procesados. </v>
      </c>
      <c r="CF15" s="2195" t="str">
        <f t="shared" si="11"/>
        <v xml:space="preserve">* La columna Migrantes NO DEBE ser superior al total de Procesados. </v>
      </c>
      <c r="CG15" s="2195" t="str">
        <f t="shared" si="12"/>
        <v>* El total de procesados debe ser mayor o igual al total de Reactivos en el grupo de edad Menor de 6 meses</v>
      </c>
      <c r="CH15" s="2195" t="str">
        <f t="shared" si="13"/>
        <v>* El total de procesados debe ser mayor o igual al total de Reactivos en el grupo de edad 6 a 11 meses</v>
      </c>
      <c r="CI15" s="2195" t="str">
        <f t="shared" si="14"/>
        <v>* El total de procesados debe ser mayor o igual al total de Reactivos en el grupo de edad 12-24 meses</v>
      </c>
      <c r="CJ15" s="2195" t="str">
        <f t="shared" si="15"/>
        <v>* El total de procesados debe ser mayor o igual al total de Reactivos en el grupo de edad 3 a 4 años</v>
      </c>
      <c r="CK15" s="2195" t="str">
        <f t="shared" si="16"/>
        <v>* El total de procesados debe ser mayor o igual al total de Reactivos en el grupo de edad 5 a 9 años</v>
      </c>
      <c r="CL15" s="2195" t="str">
        <f t="shared" si="17"/>
        <v>* El total de procesados debe ser mayor o igual al total de Reactivos en el grupo de edad 10 - 14 años</v>
      </c>
      <c r="CM15" s="2195" t="str">
        <f t="shared" si="18"/>
        <v>* El total de procesados debe ser mayor o igual al total de Reactivos en el grupo de edad 15 - 19 años</v>
      </c>
      <c r="CN15" s="2195" t="str">
        <f t="shared" si="19"/>
        <v>* El total de procesados debe ser mayor o igual al total de Reactivos en el grupo de edad 20 - 24 años</v>
      </c>
      <c r="CO15" s="2195" t="str">
        <f t="shared" si="20"/>
        <v>* El total de procesados debe ser mayor o igual al total de Reactivos en el grupo de edad 25 a 29 años</v>
      </c>
      <c r="CP15" s="2195" t="str">
        <f t="shared" si="21"/>
        <v>* El total de procesados debe ser mayor o igual al total de Reactivos en el grupo de edad 30 a 34 años</v>
      </c>
      <c r="CQ15" s="2195" t="str">
        <f t="shared" si="22"/>
        <v>* El total de procesados debe ser mayor o igual al total de Reactivos en el grupo de edad 35 a 39 años</v>
      </c>
      <c r="CR15" s="2195" t="str">
        <f t="shared" si="23"/>
        <v>* El total de procesados debe ser mayor o igual al total de Reactivos en el grupo de edad 40 a 44 años</v>
      </c>
      <c r="CS15" s="2195" t="str">
        <f t="shared" si="24"/>
        <v>* El total de procesados debe ser mayor o igual al total de Reactivos en el grupo de edad 45 a 49 años</v>
      </c>
      <c r="CT15" s="2195" t="str">
        <f t="shared" si="25"/>
        <v>* El total de procesados debe ser mayor o igual al total de Reactivos en el grupo de edad 50 a 54 años</v>
      </c>
      <c r="CU15" s="2195" t="str">
        <f t="shared" si="26"/>
        <v>* El total de procesados debe ser mayor o igual al total de Reactivos en el grupo de edad 55 a 59 años</v>
      </c>
      <c r="CV15" s="2195" t="str">
        <f t="shared" si="27"/>
        <v>* El total de procesados debe ser mayor o igual al total de Reactivos en el grupo de edad 60 a 64 años</v>
      </c>
      <c r="CW15" s="2195" t="str">
        <f t="shared" si="28"/>
        <v>* El total de procesados debe ser mayor o igual al total de Reactivos en el grupo de edad 65 a 69 años</v>
      </c>
      <c r="CX15" s="2195" t="str">
        <f t="shared" si="29"/>
        <v>* El total de procesados debe ser mayor o igual al total de Reactivos en el grupo de edad 70 a 74 años</v>
      </c>
      <c r="CY15" s="2195" t="str">
        <f t="shared" si="30"/>
        <v>* El total de procesados debe ser mayor o igual al total de Reactivos en el grupo de edad 75 a 79 años</v>
      </c>
      <c r="CZ15" s="2195" t="str">
        <f t="shared" si="31"/>
        <v>* El total de procesados debe ser mayor o igual al total de Reactivos en el grupo de edad 80 y más años</v>
      </c>
      <c r="DA15" s="2195" t="str">
        <f t="shared" si="0"/>
        <v/>
      </c>
      <c r="DB15" s="1446">
        <f t="shared" si="1"/>
        <v>1</v>
      </c>
      <c r="DC15" s="1446" t="e">
        <f t="shared" si="2"/>
        <v>#VALUE!</v>
      </c>
      <c r="DD15" s="1446" t="e">
        <f t="shared" si="3"/>
        <v>#VALUE!</v>
      </c>
      <c r="DE15" s="1446">
        <f t="shared" si="4"/>
        <v>1</v>
      </c>
      <c r="DF15" s="1446">
        <f t="shared" si="5"/>
        <v>1</v>
      </c>
      <c r="DG15" s="1446">
        <f t="shared" si="32"/>
        <v>1</v>
      </c>
      <c r="DH15" s="1446">
        <f t="shared" si="33"/>
        <v>1</v>
      </c>
      <c r="DI15" s="1446">
        <f t="shared" si="34"/>
        <v>1</v>
      </c>
      <c r="DJ15" s="1446">
        <f t="shared" si="35"/>
        <v>1</v>
      </c>
      <c r="DK15" s="1446">
        <f t="shared" si="36"/>
        <v>1</v>
      </c>
      <c r="DL15" s="1446">
        <f t="shared" si="37"/>
        <v>1</v>
      </c>
      <c r="DM15" s="1446">
        <f t="shared" si="38"/>
        <v>1</v>
      </c>
      <c r="DN15" s="1446">
        <f t="shared" si="39"/>
        <v>1</v>
      </c>
      <c r="DO15" s="1446">
        <f t="shared" si="40"/>
        <v>1</v>
      </c>
      <c r="DP15" s="1446">
        <f t="shared" si="41"/>
        <v>1</v>
      </c>
      <c r="DQ15" s="1446">
        <f t="shared" si="42"/>
        <v>1</v>
      </c>
      <c r="DR15" s="1446">
        <f t="shared" si="43"/>
        <v>1</v>
      </c>
      <c r="DS15" s="1446">
        <f t="shared" si="44"/>
        <v>1</v>
      </c>
      <c r="DT15" s="1446">
        <f t="shared" si="45"/>
        <v>1</v>
      </c>
      <c r="DU15" s="1446">
        <f t="shared" si="46"/>
        <v>1</v>
      </c>
      <c r="DV15" s="1446">
        <f t="shared" si="47"/>
        <v>1</v>
      </c>
      <c r="DW15" s="1446">
        <f t="shared" si="48"/>
        <v>1</v>
      </c>
      <c r="DX15" s="1446">
        <f t="shared" si="49"/>
        <v>1</v>
      </c>
      <c r="DY15" s="1446">
        <f t="shared" si="50"/>
        <v>1</v>
      </c>
      <c r="DZ15" s="1446">
        <f t="shared" si="51"/>
        <v>1</v>
      </c>
      <c r="EA15" s="1446">
        <f t="shared" si="52"/>
        <v>0</v>
      </c>
    </row>
    <row r="16" spans="1:131" ht="16.2" customHeight="1" x14ac:dyDescent="0.3">
      <c r="A16" s="7258">
        <v>11051200</v>
      </c>
      <c r="B16" s="1956" t="s">
        <v>1789</v>
      </c>
      <c r="C16" s="1998" t="s">
        <v>5369</v>
      </c>
      <c r="D16" s="2044" t="s">
        <v>5370</v>
      </c>
      <c r="E16" s="1130" t="s">
        <v>5371</v>
      </c>
      <c r="F16" s="1131" t="s">
        <v>5372</v>
      </c>
      <c r="G16" s="1132" t="s">
        <v>5373</v>
      </c>
      <c r="H16" s="1131" t="s">
        <v>5374</v>
      </c>
      <c r="I16" s="1132" t="s">
        <v>5375</v>
      </c>
      <c r="J16" s="1131" t="s">
        <v>5376</v>
      </c>
      <c r="K16" s="1132" t="s">
        <v>5377</v>
      </c>
      <c r="L16" s="1131" t="s">
        <v>5378</v>
      </c>
      <c r="M16" s="1132" t="s">
        <v>5379</v>
      </c>
      <c r="N16" s="1133" t="s">
        <v>5380</v>
      </c>
      <c r="O16" s="1134" t="s">
        <v>5381</v>
      </c>
      <c r="P16" s="1135" t="s">
        <v>5382</v>
      </c>
      <c r="Q16" s="1114" t="s">
        <v>5383</v>
      </c>
      <c r="R16" s="1135" t="s">
        <v>5384</v>
      </c>
      <c r="S16" s="1114" t="s">
        <v>5385</v>
      </c>
      <c r="T16" s="1135" t="s">
        <v>5386</v>
      </c>
      <c r="U16" s="1114" t="s">
        <v>5387</v>
      </c>
      <c r="V16" s="1135" t="s">
        <v>5388</v>
      </c>
      <c r="W16" s="1114" t="s">
        <v>5389</v>
      </c>
      <c r="X16" s="1135" t="s">
        <v>5390</v>
      </c>
      <c r="Y16" s="1114" t="s">
        <v>5391</v>
      </c>
      <c r="Z16" s="1135" t="s">
        <v>5392</v>
      </c>
      <c r="AA16" s="1114" t="s">
        <v>5393</v>
      </c>
      <c r="AB16" s="1135" t="s">
        <v>5394</v>
      </c>
      <c r="AC16" s="1114" t="s">
        <v>5395</v>
      </c>
      <c r="AD16" s="1135" t="s">
        <v>5396</v>
      </c>
      <c r="AE16" s="1114" t="s">
        <v>5397</v>
      </c>
      <c r="AF16" s="1135" t="s">
        <v>5398</v>
      </c>
      <c r="AG16" s="1114" t="s">
        <v>5399</v>
      </c>
      <c r="AH16" s="1135" t="s">
        <v>5400</v>
      </c>
      <c r="AI16" s="1114" t="s">
        <v>5401</v>
      </c>
      <c r="AJ16" s="1135" t="s">
        <v>5402</v>
      </c>
      <c r="AK16" s="1114" t="s">
        <v>5403</v>
      </c>
      <c r="AL16" s="1135" t="s">
        <v>5404</v>
      </c>
      <c r="AM16" s="1114" t="s">
        <v>5405</v>
      </c>
      <c r="AN16" s="1135" t="s">
        <v>5406</v>
      </c>
      <c r="AO16" s="1114" t="s">
        <v>5407</v>
      </c>
      <c r="AP16" s="1135" t="s">
        <v>5408</v>
      </c>
      <c r="AQ16" s="1114" t="s">
        <v>5409</v>
      </c>
      <c r="AR16" s="1136" t="s">
        <v>5410</v>
      </c>
      <c r="AS16" s="1137" t="s">
        <v>5411</v>
      </c>
      <c r="AT16" s="1136" t="s">
        <v>5412</v>
      </c>
      <c r="AU16" s="1134" t="s">
        <v>5413</v>
      </c>
      <c r="AV16" s="1135" t="s">
        <v>5414</v>
      </c>
      <c r="AW16" s="1114" t="s">
        <v>5415</v>
      </c>
      <c r="AX16" s="1118" t="s">
        <v>5416</v>
      </c>
      <c r="AY16" s="1197" t="e">
        <f t="shared" si="6"/>
        <v>#VALUE!</v>
      </c>
      <c r="AZ16" s="1197"/>
      <c r="BA16" s="1197"/>
      <c r="BB16" s="1197"/>
      <c r="BC16" s="1197"/>
      <c r="BD16" s="1197"/>
      <c r="BE16" s="1197"/>
      <c r="BF16" s="1197"/>
      <c r="BG16" s="1197"/>
      <c r="BH16" s="1197"/>
      <c r="BI16" s="1197"/>
      <c r="BJ16" s="1191"/>
      <c r="BK16" s="1191"/>
      <c r="BL16" s="1191"/>
      <c r="BM16" s="1191"/>
      <c r="BV16" s="1191"/>
      <c r="BX16" s="1547"/>
      <c r="CB16" s="2195" t="str">
        <f t="shared" si="7"/>
        <v xml:space="preserve">* El total de Reactivos NO DEBE ser superior al total de Procesados. </v>
      </c>
      <c r="CC16" s="2195" t="e">
        <f t="shared" si="8"/>
        <v>#VALUE!</v>
      </c>
      <c r="CD16" s="2195" t="e">
        <f t="shared" si="9"/>
        <v>#VALUE!</v>
      </c>
      <c r="CE16" s="2195" t="str">
        <f t="shared" si="10"/>
        <v xml:space="preserve">* La columna Pueblos Originarios NO DEBE ser superior al total de Procesados. </v>
      </c>
      <c r="CF16" s="2195" t="str">
        <f t="shared" si="11"/>
        <v xml:space="preserve">* La columna Migrantes NO DEBE ser superior al total de Procesados. </v>
      </c>
      <c r="CG16" s="2195" t="str">
        <f t="shared" si="12"/>
        <v>* El total de procesados debe ser mayor o igual al total de Reactivos en el grupo de edad Menor de 6 meses</v>
      </c>
      <c r="CH16" s="2195" t="str">
        <f t="shared" si="13"/>
        <v>* El total de procesados debe ser mayor o igual al total de Reactivos en el grupo de edad 6 a 11 meses</v>
      </c>
      <c r="CI16" s="2195" t="str">
        <f t="shared" si="14"/>
        <v>* El total de procesados debe ser mayor o igual al total de Reactivos en el grupo de edad 12-24 meses</v>
      </c>
      <c r="CJ16" s="2195" t="str">
        <f t="shared" si="15"/>
        <v>* El total de procesados debe ser mayor o igual al total de Reactivos en el grupo de edad 3 a 4 años</v>
      </c>
      <c r="CK16" s="2195" t="str">
        <f t="shared" si="16"/>
        <v>* El total de procesados debe ser mayor o igual al total de Reactivos en el grupo de edad 5 a 9 años</v>
      </c>
      <c r="CL16" s="2195" t="str">
        <f t="shared" si="17"/>
        <v>* El total de procesados debe ser mayor o igual al total de Reactivos en el grupo de edad 10 - 14 años</v>
      </c>
      <c r="CM16" s="2195" t="str">
        <f t="shared" si="18"/>
        <v>* El total de procesados debe ser mayor o igual al total de Reactivos en el grupo de edad 15 - 19 años</v>
      </c>
      <c r="CN16" s="2195" t="str">
        <f t="shared" si="19"/>
        <v>* El total de procesados debe ser mayor o igual al total de Reactivos en el grupo de edad 20 - 24 años</v>
      </c>
      <c r="CO16" s="2195" t="str">
        <f t="shared" si="20"/>
        <v>* El total de procesados debe ser mayor o igual al total de Reactivos en el grupo de edad 25 a 29 años</v>
      </c>
      <c r="CP16" s="2195" t="str">
        <f t="shared" si="21"/>
        <v>* El total de procesados debe ser mayor o igual al total de Reactivos en el grupo de edad 30 a 34 años</v>
      </c>
      <c r="CQ16" s="2195" t="str">
        <f t="shared" si="22"/>
        <v>* El total de procesados debe ser mayor o igual al total de Reactivos en el grupo de edad 35 a 39 años</v>
      </c>
      <c r="CR16" s="2195" t="str">
        <f t="shared" si="23"/>
        <v>* El total de procesados debe ser mayor o igual al total de Reactivos en el grupo de edad 40 a 44 años</v>
      </c>
      <c r="CS16" s="2195" t="str">
        <f t="shared" si="24"/>
        <v>* El total de procesados debe ser mayor o igual al total de Reactivos en el grupo de edad 45 a 49 años</v>
      </c>
      <c r="CT16" s="2195" t="str">
        <f t="shared" si="25"/>
        <v>* El total de procesados debe ser mayor o igual al total de Reactivos en el grupo de edad 50 a 54 años</v>
      </c>
      <c r="CU16" s="2195" t="str">
        <f t="shared" si="26"/>
        <v>* El total de procesados debe ser mayor o igual al total de Reactivos en el grupo de edad 55 a 59 años</v>
      </c>
      <c r="CV16" s="2195" t="str">
        <f t="shared" si="27"/>
        <v>* El total de procesados debe ser mayor o igual al total de Reactivos en el grupo de edad 60 a 64 años</v>
      </c>
      <c r="CW16" s="2195" t="str">
        <f t="shared" si="28"/>
        <v>* El total de procesados debe ser mayor o igual al total de Reactivos en el grupo de edad 65 a 69 años</v>
      </c>
      <c r="CX16" s="2195" t="str">
        <f t="shared" si="29"/>
        <v>* El total de procesados debe ser mayor o igual al total de Reactivos en el grupo de edad 70 a 74 años</v>
      </c>
      <c r="CY16" s="2195" t="str">
        <f t="shared" si="30"/>
        <v>* El total de procesados debe ser mayor o igual al total de Reactivos en el grupo de edad 75 a 79 años</v>
      </c>
      <c r="CZ16" s="2195" t="str">
        <f t="shared" si="31"/>
        <v>* El total de procesados debe ser mayor o igual al total de Reactivos en el grupo de edad 80 y más años</v>
      </c>
      <c r="DA16" s="2195" t="str">
        <f t="shared" si="0"/>
        <v/>
      </c>
      <c r="DB16" s="1446">
        <f t="shared" si="1"/>
        <v>1</v>
      </c>
      <c r="DC16" s="1446" t="e">
        <f t="shared" si="2"/>
        <v>#VALUE!</v>
      </c>
      <c r="DD16" s="1446" t="e">
        <f t="shared" si="3"/>
        <v>#VALUE!</v>
      </c>
      <c r="DE16" s="1446">
        <f t="shared" si="4"/>
        <v>1</v>
      </c>
      <c r="DF16" s="1446">
        <f t="shared" si="5"/>
        <v>1</v>
      </c>
      <c r="DG16" s="1446">
        <f t="shared" si="32"/>
        <v>1</v>
      </c>
      <c r="DH16" s="1446">
        <f t="shared" si="33"/>
        <v>1</v>
      </c>
      <c r="DI16" s="1446">
        <f t="shared" si="34"/>
        <v>1</v>
      </c>
      <c r="DJ16" s="1446">
        <f t="shared" si="35"/>
        <v>1</v>
      </c>
      <c r="DK16" s="1446">
        <f t="shared" si="36"/>
        <v>1</v>
      </c>
      <c r="DL16" s="1446">
        <f t="shared" si="37"/>
        <v>1</v>
      </c>
      <c r="DM16" s="1446">
        <f t="shared" si="38"/>
        <v>1</v>
      </c>
      <c r="DN16" s="1446">
        <f t="shared" si="39"/>
        <v>1</v>
      </c>
      <c r="DO16" s="1446">
        <f t="shared" si="40"/>
        <v>1</v>
      </c>
      <c r="DP16" s="1446">
        <f t="shared" si="41"/>
        <v>1</v>
      </c>
      <c r="DQ16" s="1446">
        <f t="shared" si="42"/>
        <v>1</v>
      </c>
      <c r="DR16" s="1446">
        <f t="shared" si="43"/>
        <v>1</v>
      </c>
      <c r="DS16" s="1446">
        <f t="shared" si="44"/>
        <v>1</v>
      </c>
      <c r="DT16" s="1446">
        <f t="shared" si="45"/>
        <v>1</v>
      </c>
      <c r="DU16" s="1446">
        <f t="shared" si="46"/>
        <v>1</v>
      </c>
      <c r="DV16" s="1446">
        <f t="shared" si="47"/>
        <v>1</v>
      </c>
      <c r="DW16" s="1446">
        <f t="shared" si="48"/>
        <v>1</v>
      </c>
      <c r="DX16" s="1446">
        <f t="shared" si="49"/>
        <v>1</v>
      </c>
      <c r="DY16" s="1446">
        <f t="shared" si="50"/>
        <v>1</v>
      </c>
      <c r="DZ16" s="1446">
        <f t="shared" si="51"/>
        <v>1</v>
      </c>
      <c r="EA16" s="1446">
        <f t="shared" si="52"/>
        <v>0</v>
      </c>
    </row>
    <row r="17" spans="1:131" ht="18" customHeight="1" x14ac:dyDescent="0.3">
      <c r="A17" s="7258">
        <v>11051201</v>
      </c>
      <c r="B17" s="1956" t="s">
        <v>1790</v>
      </c>
      <c r="C17" s="1998" t="s">
        <v>5369</v>
      </c>
      <c r="D17" s="2044" t="s">
        <v>5370</v>
      </c>
      <c r="E17" s="1130" t="s">
        <v>5371</v>
      </c>
      <c r="F17" s="1131" t="s">
        <v>5372</v>
      </c>
      <c r="G17" s="1132" t="s">
        <v>5373</v>
      </c>
      <c r="H17" s="1131" t="s">
        <v>5374</v>
      </c>
      <c r="I17" s="1132" t="s">
        <v>5375</v>
      </c>
      <c r="J17" s="1131" t="s">
        <v>5376</v>
      </c>
      <c r="K17" s="1132" t="s">
        <v>5377</v>
      </c>
      <c r="L17" s="1131" t="s">
        <v>5378</v>
      </c>
      <c r="M17" s="1132" t="s">
        <v>5379</v>
      </c>
      <c r="N17" s="1133" t="s">
        <v>5380</v>
      </c>
      <c r="O17" s="1134" t="s">
        <v>5381</v>
      </c>
      <c r="P17" s="1135" t="s">
        <v>5382</v>
      </c>
      <c r="Q17" s="1114" t="s">
        <v>5383</v>
      </c>
      <c r="R17" s="1135" t="s">
        <v>5384</v>
      </c>
      <c r="S17" s="1114" t="s">
        <v>5385</v>
      </c>
      <c r="T17" s="1135" t="s">
        <v>5386</v>
      </c>
      <c r="U17" s="1114" t="s">
        <v>5387</v>
      </c>
      <c r="V17" s="1135" t="s">
        <v>5388</v>
      </c>
      <c r="W17" s="1114" t="s">
        <v>5389</v>
      </c>
      <c r="X17" s="1135" t="s">
        <v>5390</v>
      </c>
      <c r="Y17" s="1114" t="s">
        <v>5391</v>
      </c>
      <c r="Z17" s="1135" t="s">
        <v>5392</v>
      </c>
      <c r="AA17" s="1114" t="s">
        <v>5393</v>
      </c>
      <c r="AB17" s="1135" t="s">
        <v>5394</v>
      </c>
      <c r="AC17" s="1114" t="s">
        <v>5395</v>
      </c>
      <c r="AD17" s="1135" t="s">
        <v>5396</v>
      </c>
      <c r="AE17" s="1114" t="s">
        <v>5397</v>
      </c>
      <c r="AF17" s="1135" t="s">
        <v>5398</v>
      </c>
      <c r="AG17" s="1114" t="s">
        <v>5399</v>
      </c>
      <c r="AH17" s="1135" t="s">
        <v>5400</v>
      </c>
      <c r="AI17" s="1114" t="s">
        <v>5401</v>
      </c>
      <c r="AJ17" s="1135" t="s">
        <v>5402</v>
      </c>
      <c r="AK17" s="1114" t="s">
        <v>5403</v>
      </c>
      <c r="AL17" s="1135" t="s">
        <v>5404</v>
      </c>
      <c r="AM17" s="1114" t="s">
        <v>5405</v>
      </c>
      <c r="AN17" s="1135" t="s">
        <v>5406</v>
      </c>
      <c r="AO17" s="1114" t="s">
        <v>5407</v>
      </c>
      <c r="AP17" s="1135" t="s">
        <v>5408</v>
      </c>
      <c r="AQ17" s="1114" t="s">
        <v>5409</v>
      </c>
      <c r="AR17" s="1136" t="s">
        <v>5410</v>
      </c>
      <c r="AS17" s="1134" t="s">
        <v>5411</v>
      </c>
      <c r="AT17" s="1136" t="s">
        <v>5412</v>
      </c>
      <c r="AU17" s="1134" t="s">
        <v>5413</v>
      </c>
      <c r="AV17" s="1135" t="s">
        <v>5414</v>
      </c>
      <c r="AW17" s="1114" t="s">
        <v>5415</v>
      </c>
      <c r="AX17" s="1118" t="s">
        <v>5416</v>
      </c>
      <c r="AY17" s="1197" t="e">
        <f t="shared" si="6"/>
        <v>#VALUE!</v>
      </c>
      <c r="AZ17" s="1197"/>
      <c r="BA17" s="1197"/>
      <c r="BB17" s="1197"/>
      <c r="BC17" s="1197"/>
      <c r="BD17" s="1197"/>
      <c r="BE17" s="1197"/>
      <c r="BF17" s="1197"/>
      <c r="BG17" s="1197"/>
      <c r="BH17" s="1197"/>
      <c r="BI17" s="1197"/>
      <c r="BJ17" s="1191"/>
      <c r="BK17" s="1191"/>
      <c r="BL17" s="1191"/>
      <c r="BM17" s="1191"/>
      <c r="BV17" s="1191"/>
      <c r="BX17" s="1547"/>
      <c r="CB17" s="2195" t="str">
        <f t="shared" si="7"/>
        <v xml:space="preserve">* El total de Reactivos NO DEBE ser superior al total de Procesados. </v>
      </c>
      <c r="CC17" s="2195" t="e">
        <f t="shared" si="8"/>
        <v>#VALUE!</v>
      </c>
      <c r="CD17" s="2195" t="e">
        <f t="shared" si="9"/>
        <v>#VALUE!</v>
      </c>
      <c r="CE17" s="2195" t="str">
        <f t="shared" si="10"/>
        <v xml:space="preserve">* La columna Pueblos Originarios NO DEBE ser superior al total de Procesados. </v>
      </c>
      <c r="CF17" s="2195" t="str">
        <f t="shared" si="11"/>
        <v xml:space="preserve">* La columna Migrantes NO DEBE ser superior al total de Procesados. </v>
      </c>
      <c r="CG17" s="2195" t="str">
        <f t="shared" si="12"/>
        <v>* El total de procesados debe ser mayor o igual al total de Reactivos en el grupo de edad Menor de 6 meses</v>
      </c>
      <c r="CH17" s="2195" t="str">
        <f t="shared" si="13"/>
        <v>* El total de procesados debe ser mayor o igual al total de Reactivos en el grupo de edad 6 a 11 meses</v>
      </c>
      <c r="CI17" s="2195" t="str">
        <f t="shared" si="14"/>
        <v>* El total de procesados debe ser mayor o igual al total de Reactivos en el grupo de edad 12-24 meses</v>
      </c>
      <c r="CJ17" s="2195" t="str">
        <f t="shared" si="15"/>
        <v>* El total de procesados debe ser mayor o igual al total de Reactivos en el grupo de edad 3 a 4 años</v>
      </c>
      <c r="CK17" s="2195" t="str">
        <f t="shared" si="16"/>
        <v>* El total de procesados debe ser mayor o igual al total de Reactivos en el grupo de edad 5 a 9 años</v>
      </c>
      <c r="CL17" s="2195" t="str">
        <f t="shared" si="17"/>
        <v>* El total de procesados debe ser mayor o igual al total de Reactivos en el grupo de edad 10 - 14 años</v>
      </c>
      <c r="CM17" s="2195" t="str">
        <f t="shared" si="18"/>
        <v>* El total de procesados debe ser mayor o igual al total de Reactivos en el grupo de edad 15 - 19 años</v>
      </c>
      <c r="CN17" s="2195" t="str">
        <f t="shared" si="19"/>
        <v>* El total de procesados debe ser mayor o igual al total de Reactivos en el grupo de edad 20 - 24 años</v>
      </c>
      <c r="CO17" s="2195" t="str">
        <f t="shared" si="20"/>
        <v>* El total de procesados debe ser mayor o igual al total de Reactivos en el grupo de edad 25 a 29 años</v>
      </c>
      <c r="CP17" s="2195" t="str">
        <f t="shared" si="21"/>
        <v>* El total de procesados debe ser mayor o igual al total de Reactivos en el grupo de edad 30 a 34 años</v>
      </c>
      <c r="CQ17" s="2195" t="str">
        <f t="shared" si="22"/>
        <v>* El total de procesados debe ser mayor o igual al total de Reactivos en el grupo de edad 35 a 39 años</v>
      </c>
      <c r="CR17" s="2195" t="str">
        <f t="shared" si="23"/>
        <v>* El total de procesados debe ser mayor o igual al total de Reactivos en el grupo de edad 40 a 44 años</v>
      </c>
      <c r="CS17" s="2195" t="str">
        <f t="shared" si="24"/>
        <v>* El total de procesados debe ser mayor o igual al total de Reactivos en el grupo de edad 45 a 49 años</v>
      </c>
      <c r="CT17" s="2195" t="str">
        <f t="shared" si="25"/>
        <v>* El total de procesados debe ser mayor o igual al total de Reactivos en el grupo de edad 50 a 54 años</v>
      </c>
      <c r="CU17" s="2195" t="str">
        <f t="shared" si="26"/>
        <v>* El total de procesados debe ser mayor o igual al total de Reactivos en el grupo de edad 55 a 59 años</v>
      </c>
      <c r="CV17" s="2195" t="str">
        <f t="shared" si="27"/>
        <v>* El total de procesados debe ser mayor o igual al total de Reactivos en el grupo de edad 60 a 64 años</v>
      </c>
      <c r="CW17" s="2195" t="str">
        <f t="shared" si="28"/>
        <v>* El total de procesados debe ser mayor o igual al total de Reactivos en el grupo de edad 65 a 69 años</v>
      </c>
      <c r="CX17" s="2195" t="str">
        <f t="shared" si="29"/>
        <v>* El total de procesados debe ser mayor o igual al total de Reactivos en el grupo de edad 70 a 74 años</v>
      </c>
      <c r="CY17" s="2195" t="str">
        <f t="shared" si="30"/>
        <v>* El total de procesados debe ser mayor o igual al total de Reactivos en el grupo de edad 75 a 79 años</v>
      </c>
      <c r="CZ17" s="2195" t="str">
        <f t="shared" si="31"/>
        <v>* El total de procesados debe ser mayor o igual al total de Reactivos en el grupo de edad 80 y más años</v>
      </c>
      <c r="DA17" s="2195" t="str">
        <f t="shared" si="0"/>
        <v/>
      </c>
      <c r="DB17" s="1446">
        <f t="shared" si="1"/>
        <v>1</v>
      </c>
      <c r="DC17" s="1446" t="e">
        <f t="shared" si="2"/>
        <v>#VALUE!</v>
      </c>
      <c r="DD17" s="1446" t="e">
        <f t="shared" si="3"/>
        <v>#VALUE!</v>
      </c>
      <c r="DE17" s="1446">
        <f t="shared" si="4"/>
        <v>1</v>
      </c>
      <c r="DF17" s="1446">
        <f t="shared" si="5"/>
        <v>1</v>
      </c>
      <c r="DG17" s="1446">
        <f t="shared" si="32"/>
        <v>1</v>
      </c>
      <c r="DH17" s="1446">
        <f t="shared" si="33"/>
        <v>1</v>
      </c>
      <c r="DI17" s="1446">
        <f t="shared" si="34"/>
        <v>1</v>
      </c>
      <c r="DJ17" s="1446">
        <f t="shared" si="35"/>
        <v>1</v>
      </c>
      <c r="DK17" s="1446">
        <f t="shared" si="36"/>
        <v>1</v>
      </c>
      <c r="DL17" s="1446">
        <f t="shared" si="37"/>
        <v>1</v>
      </c>
      <c r="DM17" s="1446">
        <f t="shared" si="38"/>
        <v>1</v>
      </c>
      <c r="DN17" s="1446">
        <f t="shared" si="39"/>
        <v>1</v>
      </c>
      <c r="DO17" s="1446">
        <f t="shared" si="40"/>
        <v>1</v>
      </c>
      <c r="DP17" s="1446">
        <f t="shared" si="41"/>
        <v>1</v>
      </c>
      <c r="DQ17" s="1446">
        <f t="shared" si="42"/>
        <v>1</v>
      </c>
      <c r="DR17" s="1446">
        <f t="shared" si="43"/>
        <v>1</v>
      </c>
      <c r="DS17" s="1446">
        <f t="shared" si="44"/>
        <v>1</v>
      </c>
      <c r="DT17" s="1446">
        <f t="shared" si="45"/>
        <v>1</v>
      </c>
      <c r="DU17" s="1446">
        <f t="shared" si="46"/>
        <v>1</v>
      </c>
      <c r="DV17" s="1446">
        <f t="shared" si="47"/>
        <v>1</v>
      </c>
      <c r="DW17" s="1446">
        <f t="shared" si="48"/>
        <v>1</v>
      </c>
      <c r="DX17" s="1446">
        <f t="shared" si="49"/>
        <v>1</v>
      </c>
      <c r="DY17" s="1446">
        <f t="shared" si="50"/>
        <v>1</v>
      </c>
      <c r="DZ17" s="1446">
        <f t="shared" si="51"/>
        <v>1</v>
      </c>
      <c r="EA17" s="1446">
        <f t="shared" si="52"/>
        <v>0</v>
      </c>
    </row>
    <row r="18" spans="1:131" ht="27" customHeight="1" x14ac:dyDescent="0.3">
      <c r="A18" s="7258">
        <v>11041000</v>
      </c>
      <c r="B18" s="1956" t="s">
        <v>1791</v>
      </c>
      <c r="C18" s="1998" t="s">
        <v>5369</v>
      </c>
      <c r="D18" s="2044" t="s">
        <v>5370</v>
      </c>
      <c r="E18" s="1130" t="s">
        <v>5371</v>
      </c>
      <c r="F18" s="1131" t="s">
        <v>5372</v>
      </c>
      <c r="G18" s="1132" t="s">
        <v>5373</v>
      </c>
      <c r="H18" s="1131" t="s">
        <v>5374</v>
      </c>
      <c r="I18" s="1132" t="s">
        <v>5375</v>
      </c>
      <c r="J18" s="1131" t="s">
        <v>5376</v>
      </c>
      <c r="K18" s="1132" t="s">
        <v>5377</v>
      </c>
      <c r="L18" s="1131" t="s">
        <v>5378</v>
      </c>
      <c r="M18" s="1132" t="s">
        <v>5379</v>
      </c>
      <c r="N18" s="1133" t="s">
        <v>5380</v>
      </c>
      <c r="O18" s="1134" t="s">
        <v>5381</v>
      </c>
      <c r="P18" s="1135" t="s">
        <v>5382</v>
      </c>
      <c r="Q18" s="1114" t="s">
        <v>5383</v>
      </c>
      <c r="R18" s="1135" t="s">
        <v>5384</v>
      </c>
      <c r="S18" s="1114" t="s">
        <v>5385</v>
      </c>
      <c r="T18" s="1135" t="s">
        <v>5386</v>
      </c>
      <c r="U18" s="1114" t="s">
        <v>5387</v>
      </c>
      <c r="V18" s="1135" t="s">
        <v>5388</v>
      </c>
      <c r="W18" s="1114" t="s">
        <v>5389</v>
      </c>
      <c r="X18" s="1135" t="s">
        <v>5390</v>
      </c>
      <c r="Y18" s="1114" t="s">
        <v>5391</v>
      </c>
      <c r="Z18" s="1135" t="s">
        <v>5392</v>
      </c>
      <c r="AA18" s="1114" t="s">
        <v>5393</v>
      </c>
      <c r="AB18" s="1135" t="s">
        <v>5394</v>
      </c>
      <c r="AC18" s="1114" t="s">
        <v>5395</v>
      </c>
      <c r="AD18" s="1135" t="s">
        <v>5396</v>
      </c>
      <c r="AE18" s="1114" t="s">
        <v>5397</v>
      </c>
      <c r="AF18" s="1135" t="s">
        <v>5398</v>
      </c>
      <c r="AG18" s="1114" t="s">
        <v>5399</v>
      </c>
      <c r="AH18" s="1135" t="s">
        <v>5400</v>
      </c>
      <c r="AI18" s="1114" t="s">
        <v>5401</v>
      </c>
      <c r="AJ18" s="1135" t="s">
        <v>5402</v>
      </c>
      <c r="AK18" s="1114" t="s">
        <v>5403</v>
      </c>
      <c r="AL18" s="1135" t="s">
        <v>5404</v>
      </c>
      <c r="AM18" s="1114" t="s">
        <v>5405</v>
      </c>
      <c r="AN18" s="1135" t="s">
        <v>5406</v>
      </c>
      <c r="AO18" s="1114" t="s">
        <v>5407</v>
      </c>
      <c r="AP18" s="1135" t="s">
        <v>5408</v>
      </c>
      <c r="AQ18" s="1114" t="s">
        <v>5409</v>
      </c>
      <c r="AR18" s="1136" t="s">
        <v>5410</v>
      </c>
      <c r="AS18" s="1137" t="s">
        <v>5411</v>
      </c>
      <c r="AT18" s="1136" t="s">
        <v>5412</v>
      </c>
      <c r="AU18" s="1134" t="s">
        <v>5413</v>
      </c>
      <c r="AV18" s="1135" t="s">
        <v>5414</v>
      </c>
      <c r="AW18" s="1114" t="s">
        <v>5415</v>
      </c>
      <c r="AX18" s="1118" t="s">
        <v>5416</v>
      </c>
      <c r="AY18" s="1197" t="e">
        <f t="shared" si="6"/>
        <v>#VALUE!</v>
      </c>
      <c r="AZ18" s="1197"/>
      <c r="BA18" s="1197"/>
      <c r="BB18" s="1197"/>
      <c r="BC18" s="1197"/>
      <c r="BD18" s="1197"/>
      <c r="BE18" s="1197"/>
      <c r="BF18" s="1197"/>
      <c r="BG18" s="1197"/>
      <c r="BH18" s="1197"/>
      <c r="BI18" s="1197"/>
      <c r="BJ18" s="1191"/>
      <c r="BK18" s="1191"/>
      <c r="BL18" s="1191"/>
      <c r="BM18" s="1191"/>
      <c r="BV18" s="1191"/>
      <c r="BX18" s="1547"/>
      <c r="CB18" s="2195" t="str">
        <f t="shared" si="7"/>
        <v xml:space="preserve">* El total de Reactivos NO DEBE ser superior al total de Procesados. </v>
      </c>
      <c r="CC18" s="2195" t="e">
        <f t="shared" si="8"/>
        <v>#VALUE!</v>
      </c>
      <c r="CD18" s="2195" t="e">
        <f t="shared" si="9"/>
        <v>#VALUE!</v>
      </c>
      <c r="CE18" s="2195" t="str">
        <f t="shared" si="10"/>
        <v xml:space="preserve">* La columna Pueblos Originarios NO DEBE ser superior al total de Procesados. </v>
      </c>
      <c r="CF18" s="2195" t="str">
        <f t="shared" si="11"/>
        <v xml:space="preserve">* La columna Migrantes NO DEBE ser superior al total de Procesados. </v>
      </c>
      <c r="CG18" s="2195" t="str">
        <f t="shared" si="12"/>
        <v>* El total de procesados debe ser mayor o igual al total de Reactivos en el grupo de edad Menor de 6 meses</v>
      </c>
      <c r="CH18" s="2195" t="str">
        <f t="shared" si="13"/>
        <v>* El total de procesados debe ser mayor o igual al total de Reactivos en el grupo de edad 6 a 11 meses</v>
      </c>
      <c r="CI18" s="2195" t="str">
        <f t="shared" si="14"/>
        <v>* El total de procesados debe ser mayor o igual al total de Reactivos en el grupo de edad 12-24 meses</v>
      </c>
      <c r="CJ18" s="2195" t="str">
        <f t="shared" si="15"/>
        <v>* El total de procesados debe ser mayor o igual al total de Reactivos en el grupo de edad 3 a 4 años</v>
      </c>
      <c r="CK18" s="2195" t="str">
        <f t="shared" si="16"/>
        <v>* El total de procesados debe ser mayor o igual al total de Reactivos en el grupo de edad 5 a 9 años</v>
      </c>
      <c r="CL18" s="2195" t="str">
        <f t="shared" si="17"/>
        <v>* El total de procesados debe ser mayor o igual al total de Reactivos en el grupo de edad 10 - 14 años</v>
      </c>
      <c r="CM18" s="2195" t="str">
        <f t="shared" si="18"/>
        <v>* El total de procesados debe ser mayor o igual al total de Reactivos en el grupo de edad 15 - 19 años</v>
      </c>
      <c r="CN18" s="2195" t="str">
        <f t="shared" si="19"/>
        <v>* El total de procesados debe ser mayor o igual al total de Reactivos en el grupo de edad 20 - 24 años</v>
      </c>
      <c r="CO18" s="2195" t="str">
        <f t="shared" si="20"/>
        <v>* El total de procesados debe ser mayor o igual al total de Reactivos en el grupo de edad 25 a 29 años</v>
      </c>
      <c r="CP18" s="2195" t="str">
        <f t="shared" si="21"/>
        <v>* El total de procesados debe ser mayor o igual al total de Reactivos en el grupo de edad 30 a 34 años</v>
      </c>
      <c r="CQ18" s="2195" t="str">
        <f t="shared" si="22"/>
        <v>* El total de procesados debe ser mayor o igual al total de Reactivos en el grupo de edad 35 a 39 años</v>
      </c>
      <c r="CR18" s="2195" t="str">
        <f t="shared" si="23"/>
        <v>* El total de procesados debe ser mayor o igual al total de Reactivos en el grupo de edad 40 a 44 años</v>
      </c>
      <c r="CS18" s="2195" t="str">
        <f t="shared" si="24"/>
        <v>* El total de procesados debe ser mayor o igual al total de Reactivos en el grupo de edad 45 a 49 años</v>
      </c>
      <c r="CT18" s="2195" t="str">
        <f t="shared" si="25"/>
        <v>* El total de procesados debe ser mayor o igual al total de Reactivos en el grupo de edad 50 a 54 años</v>
      </c>
      <c r="CU18" s="2195" t="str">
        <f t="shared" si="26"/>
        <v>* El total de procesados debe ser mayor o igual al total de Reactivos en el grupo de edad 55 a 59 años</v>
      </c>
      <c r="CV18" s="2195" t="str">
        <f t="shared" si="27"/>
        <v>* El total de procesados debe ser mayor o igual al total de Reactivos en el grupo de edad 60 a 64 años</v>
      </c>
      <c r="CW18" s="2195" t="str">
        <f t="shared" si="28"/>
        <v>* El total de procesados debe ser mayor o igual al total de Reactivos en el grupo de edad 65 a 69 años</v>
      </c>
      <c r="CX18" s="2195" t="str">
        <f t="shared" si="29"/>
        <v>* El total de procesados debe ser mayor o igual al total de Reactivos en el grupo de edad 70 a 74 años</v>
      </c>
      <c r="CY18" s="2195" t="str">
        <f t="shared" si="30"/>
        <v>* El total de procesados debe ser mayor o igual al total de Reactivos en el grupo de edad 75 a 79 años</v>
      </c>
      <c r="CZ18" s="2195" t="str">
        <f t="shared" si="31"/>
        <v>* El total de procesados debe ser mayor o igual al total de Reactivos en el grupo de edad 80 y más años</v>
      </c>
      <c r="DA18" s="2195" t="str">
        <f t="shared" si="0"/>
        <v/>
      </c>
      <c r="DB18" s="1446">
        <f t="shared" si="1"/>
        <v>1</v>
      </c>
      <c r="DC18" s="1446" t="e">
        <f t="shared" si="2"/>
        <v>#VALUE!</v>
      </c>
      <c r="DD18" s="1446" t="e">
        <f t="shared" si="3"/>
        <v>#VALUE!</v>
      </c>
      <c r="DE18" s="1446">
        <f t="shared" si="4"/>
        <v>1</v>
      </c>
      <c r="DF18" s="1446">
        <f t="shared" si="5"/>
        <v>1</v>
      </c>
      <c r="DG18" s="1446">
        <f t="shared" si="32"/>
        <v>1</v>
      </c>
      <c r="DH18" s="1446">
        <f t="shared" si="33"/>
        <v>1</v>
      </c>
      <c r="DI18" s="1446">
        <f t="shared" si="34"/>
        <v>1</v>
      </c>
      <c r="DJ18" s="1446">
        <f t="shared" si="35"/>
        <v>1</v>
      </c>
      <c r="DK18" s="1446">
        <f t="shared" si="36"/>
        <v>1</v>
      </c>
      <c r="DL18" s="1446">
        <f t="shared" si="37"/>
        <v>1</v>
      </c>
      <c r="DM18" s="1446">
        <f t="shared" si="38"/>
        <v>1</v>
      </c>
      <c r="DN18" s="1446">
        <f t="shared" si="39"/>
        <v>1</v>
      </c>
      <c r="DO18" s="1446">
        <f t="shared" si="40"/>
        <v>1</v>
      </c>
      <c r="DP18" s="1446">
        <f t="shared" si="41"/>
        <v>1</v>
      </c>
      <c r="DQ18" s="1446">
        <f t="shared" si="42"/>
        <v>1</v>
      </c>
      <c r="DR18" s="1446">
        <f t="shared" si="43"/>
        <v>1</v>
      </c>
      <c r="DS18" s="1446">
        <f t="shared" si="44"/>
        <v>1</v>
      </c>
      <c r="DT18" s="1446">
        <f t="shared" si="45"/>
        <v>1</v>
      </c>
      <c r="DU18" s="1446">
        <f t="shared" si="46"/>
        <v>1</v>
      </c>
      <c r="DV18" s="1446">
        <f t="shared" si="47"/>
        <v>1</v>
      </c>
      <c r="DW18" s="1446">
        <f t="shared" si="48"/>
        <v>1</v>
      </c>
      <c r="DX18" s="1446">
        <f t="shared" si="49"/>
        <v>1</v>
      </c>
      <c r="DY18" s="1446">
        <f t="shared" si="50"/>
        <v>1</v>
      </c>
      <c r="DZ18" s="1446">
        <f t="shared" si="51"/>
        <v>1</v>
      </c>
      <c r="EA18" s="1446">
        <f t="shared" si="52"/>
        <v>0</v>
      </c>
    </row>
    <row r="19" spans="1:131" ht="16.2" customHeight="1" x14ac:dyDescent="0.3">
      <c r="A19" s="7258">
        <v>11041100</v>
      </c>
      <c r="B19" s="2032" t="s">
        <v>1792</v>
      </c>
      <c r="C19" s="1998" t="s">
        <v>5369</v>
      </c>
      <c r="D19" s="2044" t="s">
        <v>5370</v>
      </c>
      <c r="E19" s="1130" t="s">
        <v>5371</v>
      </c>
      <c r="F19" s="1131" t="s">
        <v>5372</v>
      </c>
      <c r="G19" s="1132" t="s">
        <v>5373</v>
      </c>
      <c r="H19" s="1131" t="s">
        <v>5374</v>
      </c>
      <c r="I19" s="1132" t="s">
        <v>5375</v>
      </c>
      <c r="J19" s="1131" t="s">
        <v>5376</v>
      </c>
      <c r="K19" s="1132" t="s">
        <v>5377</v>
      </c>
      <c r="L19" s="1131" t="s">
        <v>5378</v>
      </c>
      <c r="M19" s="1132" t="s">
        <v>5379</v>
      </c>
      <c r="N19" s="1133" t="s">
        <v>5380</v>
      </c>
      <c r="O19" s="1134" t="s">
        <v>5381</v>
      </c>
      <c r="P19" s="1135" t="s">
        <v>5382</v>
      </c>
      <c r="Q19" s="1114" t="s">
        <v>5383</v>
      </c>
      <c r="R19" s="1135" t="s">
        <v>5384</v>
      </c>
      <c r="S19" s="1114" t="s">
        <v>5385</v>
      </c>
      <c r="T19" s="1135" t="s">
        <v>5386</v>
      </c>
      <c r="U19" s="1114" t="s">
        <v>5387</v>
      </c>
      <c r="V19" s="1135" t="s">
        <v>5388</v>
      </c>
      <c r="W19" s="1114" t="s">
        <v>5389</v>
      </c>
      <c r="X19" s="1135" t="s">
        <v>5390</v>
      </c>
      <c r="Y19" s="1114" t="s">
        <v>5391</v>
      </c>
      <c r="Z19" s="1135" t="s">
        <v>5392</v>
      </c>
      <c r="AA19" s="1114" t="s">
        <v>5393</v>
      </c>
      <c r="AB19" s="1135" t="s">
        <v>5394</v>
      </c>
      <c r="AC19" s="1114" t="s">
        <v>5395</v>
      </c>
      <c r="AD19" s="1135" t="s">
        <v>5396</v>
      </c>
      <c r="AE19" s="1114" t="s">
        <v>5397</v>
      </c>
      <c r="AF19" s="1135" t="s">
        <v>5398</v>
      </c>
      <c r="AG19" s="1114" t="s">
        <v>5399</v>
      </c>
      <c r="AH19" s="1135" t="s">
        <v>5400</v>
      </c>
      <c r="AI19" s="1114" t="s">
        <v>5401</v>
      </c>
      <c r="AJ19" s="1135" t="s">
        <v>5402</v>
      </c>
      <c r="AK19" s="1114" t="s">
        <v>5403</v>
      </c>
      <c r="AL19" s="1135" t="s">
        <v>5404</v>
      </c>
      <c r="AM19" s="1114" t="s">
        <v>5405</v>
      </c>
      <c r="AN19" s="1135" t="s">
        <v>5406</v>
      </c>
      <c r="AO19" s="1114" t="s">
        <v>5407</v>
      </c>
      <c r="AP19" s="1135" t="s">
        <v>5408</v>
      </c>
      <c r="AQ19" s="1114" t="s">
        <v>5409</v>
      </c>
      <c r="AR19" s="1136" t="s">
        <v>5410</v>
      </c>
      <c r="AS19" s="1137" t="s">
        <v>5411</v>
      </c>
      <c r="AT19" s="1136" t="s">
        <v>5412</v>
      </c>
      <c r="AU19" s="1134" t="s">
        <v>5413</v>
      </c>
      <c r="AV19" s="1135" t="s">
        <v>5414</v>
      </c>
      <c r="AW19" s="1114" t="s">
        <v>5415</v>
      </c>
      <c r="AX19" s="1118" t="s">
        <v>5416</v>
      </c>
      <c r="AY19" s="1197" t="e">
        <f t="shared" si="6"/>
        <v>#VALUE!</v>
      </c>
      <c r="AZ19" s="1197"/>
      <c r="BA19" s="1197"/>
      <c r="BB19" s="1197"/>
      <c r="BC19" s="1197"/>
      <c r="BD19" s="1197"/>
      <c r="BE19" s="1197"/>
      <c r="BF19" s="1197"/>
      <c r="BG19" s="1197"/>
      <c r="BH19" s="1197"/>
      <c r="BI19" s="1197"/>
      <c r="BJ19" s="1191"/>
      <c r="BK19" s="1191"/>
      <c r="BL19" s="1191"/>
      <c r="BM19" s="1191"/>
      <c r="BV19" s="1191"/>
      <c r="BX19" s="1547"/>
      <c r="CB19" s="2195" t="str">
        <f t="shared" si="7"/>
        <v xml:space="preserve">* El total de Reactivos NO DEBE ser superior al total de Procesados. </v>
      </c>
      <c r="CC19" s="2195" t="e">
        <f t="shared" si="8"/>
        <v>#VALUE!</v>
      </c>
      <c r="CD19" s="2195" t="e">
        <f t="shared" si="9"/>
        <v>#VALUE!</v>
      </c>
      <c r="CE19" s="2195" t="str">
        <f t="shared" si="10"/>
        <v xml:space="preserve">* La columna Pueblos Originarios NO DEBE ser superior al total de Procesados. </v>
      </c>
      <c r="CF19" s="2195" t="str">
        <f t="shared" si="11"/>
        <v xml:space="preserve">* La columna Migrantes NO DEBE ser superior al total de Procesados. </v>
      </c>
      <c r="CG19" s="2195" t="str">
        <f t="shared" si="12"/>
        <v>* El total de procesados debe ser mayor o igual al total de Reactivos en el grupo de edad Menor de 6 meses</v>
      </c>
      <c r="CH19" s="2195" t="str">
        <f t="shared" si="13"/>
        <v>* El total de procesados debe ser mayor o igual al total de Reactivos en el grupo de edad 6 a 11 meses</v>
      </c>
      <c r="CI19" s="2195" t="str">
        <f t="shared" si="14"/>
        <v>* El total de procesados debe ser mayor o igual al total de Reactivos en el grupo de edad 12-24 meses</v>
      </c>
      <c r="CJ19" s="2195" t="str">
        <f t="shared" si="15"/>
        <v>* El total de procesados debe ser mayor o igual al total de Reactivos en el grupo de edad 3 a 4 años</v>
      </c>
      <c r="CK19" s="2195" t="str">
        <f t="shared" si="16"/>
        <v>* El total de procesados debe ser mayor o igual al total de Reactivos en el grupo de edad 5 a 9 años</v>
      </c>
      <c r="CL19" s="2195" t="str">
        <f t="shared" si="17"/>
        <v>* El total de procesados debe ser mayor o igual al total de Reactivos en el grupo de edad 10 - 14 años</v>
      </c>
      <c r="CM19" s="2195" t="str">
        <f t="shared" si="18"/>
        <v>* El total de procesados debe ser mayor o igual al total de Reactivos en el grupo de edad 15 - 19 años</v>
      </c>
      <c r="CN19" s="2195" t="str">
        <f t="shared" si="19"/>
        <v>* El total de procesados debe ser mayor o igual al total de Reactivos en el grupo de edad 20 - 24 años</v>
      </c>
      <c r="CO19" s="2195" t="str">
        <f t="shared" si="20"/>
        <v>* El total de procesados debe ser mayor o igual al total de Reactivos en el grupo de edad 25 a 29 años</v>
      </c>
      <c r="CP19" s="2195" t="str">
        <f t="shared" si="21"/>
        <v>* El total de procesados debe ser mayor o igual al total de Reactivos en el grupo de edad 30 a 34 años</v>
      </c>
      <c r="CQ19" s="2195" t="str">
        <f t="shared" si="22"/>
        <v>* El total de procesados debe ser mayor o igual al total de Reactivos en el grupo de edad 35 a 39 años</v>
      </c>
      <c r="CR19" s="2195" t="str">
        <f t="shared" si="23"/>
        <v>* El total de procesados debe ser mayor o igual al total de Reactivos en el grupo de edad 40 a 44 años</v>
      </c>
      <c r="CS19" s="2195" t="str">
        <f t="shared" si="24"/>
        <v>* El total de procesados debe ser mayor o igual al total de Reactivos en el grupo de edad 45 a 49 años</v>
      </c>
      <c r="CT19" s="2195" t="str">
        <f t="shared" si="25"/>
        <v>* El total de procesados debe ser mayor o igual al total de Reactivos en el grupo de edad 50 a 54 años</v>
      </c>
      <c r="CU19" s="2195" t="str">
        <f t="shared" si="26"/>
        <v>* El total de procesados debe ser mayor o igual al total de Reactivos en el grupo de edad 55 a 59 años</v>
      </c>
      <c r="CV19" s="2195" t="str">
        <f t="shared" si="27"/>
        <v>* El total de procesados debe ser mayor o igual al total de Reactivos en el grupo de edad 60 a 64 años</v>
      </c>
      <c r="CW19" s="2195" t="str">
        <f t="shared" si="28"/>
        <v>* El total de procesados debe ser mayor o igual al total de Reactivos en el grupo de edad 65 a 69 años</v>
      </c>
      <c r="CX19" s="2195" t="str">
        <f t="shared" si="29"/>
        <v>* El total de procesados debe ser mayor o igual al total de Reactivos en el grupo de edad 70 a 74 años</v>
      </c>
      <c r="CY19" s="2195" t="str">
        <f t="shared" si="30"/>
        <v>* El total de procesados debe ser mayor o igual al total de Reactivos en el grupo de edad 75 a 79 años</v>
      </c>
      <c r="CZ19" s="2195" t="str">
        <f t="shared" si="31"/>
        <v>* El total de procesados debe ser mayor o igual al total de Reactivos en el grupo de edad 80 y más años</v>
      </c>
      <c r="DA19" s="2195" t="str">
        <f t="shared" si="0"/>
        <v/>
      </c>
      <c r="DB19" s="1446">
        <f t="shared" si="1"/>
        <v>1</v>
      </c>
      <c r="DC19" s="1446" t="e">
        <f t="shared" si="2"/>
        <v>#VALUE!</v>
      </c>
      <c r="DD19" s="1446" t="e">
        <f t="shared" si="3"/>
        <v>#VALUE!</v>
      </c>
      <c r="DE19" s="1446">
        <f t="shared" si="4"/>
        <v>1</v>
      </c>
      <c r="DF19" s="1446">
        <f t="shared" si="5"/>
        <v>1</v>
      </c>
      <c r="DG19" s="1446">
        <f t="shared" si="32"/>
        <v>1</v>
      </c>
      <c r="DH19" s="1446">
        <f t="shared" si="33"/>
        <v>1</v>
      </c>
      <c r="DI19" s="1446">
        <f t="shared" si="34"/>
        <v>1</v>
      </c>
      <c r="DJ19" s="1446">
        <f t="shared" si="35"/>
        <v>1</v>
      </c>
      <c r="DK19" s="1446">
        <f t="shared" si="36"/>
        <v>1</v>
      </c>
      <c r="DL19" s="1446">
        <f t="shared" si="37"/>
        <v>1</v>
      </c>
      <c r="DM19" s="1446">
        <f t="shared" si="38"/>
        <v>1</v>
      </c>
      <c r="DN19" s="1446">
        <f t="shared" si="39"/>
        <v>1</v>
      </c>
      <c r="DO19" s="1446">
        <f t="shared" si="40"/>
        <v>1</v>
      </c>
      <c r="DP19" s="1446">
        <f t="shared" si="41"/>
        <v>1</v>
      </c>
      <c r="DQ19" s="1446">
        <f t="shared" si="42"/>
        <v>1</v>
      </c>
      <c r="DR19" s="1446">
        <f t="shared" si="43"/>
        <v>1</v>
      </c>
      <c r="DS19" s="1446">
        <f t="shared" si="44"/>
        <v>1</v>
      </c>
      <c r="DT19" s="1446">
        <f t="shared" si="45"/>
        <v>1</v>
      </c>
      <c r="DU19" s="1446">
        <f t="shared" si="46"/>
        <v>1</v>
      </c>
      <c r="DV19" s="1446">
        <f t="shared" si="47"/>
        <v>1</v>
      </c>
      <c r="DW19" s="1446">
        <f t="shared" si="48"/>
        <v>1</v>
      </c>
      <c r="DX19" s="1446">
        <f t="shared" si="49"/>
        <v>1</v>
      </c>
      <c r="DY19" s="1446">
        <f t="shared" si="50"/>
        <v>1</v>
      </c>
      <c r="DZ19" s="1446">
        <f t="shared" si="51"/>
        <v>1</v>
      </c>
      <c r="EA19" s="1446">
        <f t="shared" si="52"/>
        <v>0</v>
      </c>
    </row>
    <row r="20" spans="1:131" ht="16.2" customHeight="1" x14ac:dyDescent="0.3">
      <c r="A20" s="7258">
        <v>11051500</v>
      </c>
      <c r="B20" s="2032" t="s">
        <v>1793</v>
      </c>
      <c r="C20" s="1998" t="s">
        <v>5369</v>
      </c>
      <c r="D20" s="2044" t="s">
        <v>5370</v>
      </c>
      <c r="E20" s="1134" t="s">
        <v>5371</v>
      </c>
      <c r="F20" s="1135" t="s">
        <v>5372</v>
      </c>
      <c r="G20" s="1114" t="s">
        <v>5373</v>
      </c>
      <c r="H20" s="1135" t="s">
        <v>5374</v>
      </c>
      <c r="I20" s="1114" t="s">
        <v>5375</v>
      </c>
      <c r="J20" s="1118" t="s">
        <v>5376</v>
      </c>
      <c r="K20" s="1134" t="s">
        <v>5377</v>
      </c>
      <c r="L20" s="1134" t="s">
        <v>5378</v>
      </c>
      <c r="M20" s="1114" t="s">
        <v>5379</v>
      </c>
      <c r="N20" s="1118" t="s">
        <v>5380</v>
      </c>
      <c r="O20" s="1134" t="s">
        <v>5381</v>
      </c>
      <c r="P20" s="1135" t="s">
        <v>5382</v>
      </c>
      <c r="Q20" s="1114" t="s">
        <v>5383</v>
      </c>
      <c r="R20" s="1135" t="s">
        <v>5384</v>
      </c>
      <c r="S20" s="1114" t="s">
        <v>5385</v>
      </c>
      <c r="T20" s="1135" t="s">
        <v>5386</v>
      </c>
      <c r="U20" s="1114" t="s">
        <v>5387</v>
      </c>
      <c r="V20" s="1135" t="s">
        <v>5388</v>
      </c>
      <c r="W20" s="1114" t="s">
        <v>5389</v>
      </c>
      <c r="X20" s="1135" t="s">
        <v>5390</v>
      </c>
      <c r="Y20" s="1114" t="s">
        <v>5391</v>
      </c>
      <c r="Z20" s="1135" t="s">
        <v>5392</v>
      </c>
      <c r="AA20" s="1114" t="s">
        <v>5393</v>
      </c>
      <c r="AB20" s="1135" t="s">
        <v>5394</v>
      </c>
      <c r="AC20" s="1114" t="s">
        <v>5395</v>
      </c>
      <c r="AD20" s="1135" t="s">
        <v>5396</v>
      </c>
      <c r="AE20" s="1114" t="s">
        <v>5397</v>
      </c>
      <c r="AF20" s="1135" t="s">
        <v>5398</v>
      </c>
      <c r="AG20" s="1114" t="s">
        <v>5399</v>
      </c>
      <c r="AH20" s="1135" t="s">
        <v>5400</v>
      </c>
      <c r="AI20" s="1114" t="s">
        <v>5401</v>
      </c>
      <c r="AJ20" s="1135" t="s">
        <v>5402</v>
      </c>
      <c r="AK20" s="1114" t="s">
        <v>5403</v>
      </c>
      <c r="AL20" s="1135" t="s">
        <v>5404</v>
      </c>
      <c r="AM20" s="1114" t="s">
        <v>5405</v>
      </c>
      <c r="AN20" s="1135" t="s">
        <v>5406</v>
      </c>
      <c r="AO20" s="1114" t="s">
        <v>5407</v>
      </c>
      <c r="AP20" s="1135" t="s">
        <v>5408</v>
      </c>
      <c r="AQ20" s="1114" t="s">
        <v>5409</v>
      </c>
      <c r="AR20" s="1136" t="s">
        <v>5410</v>
      </c>
      <c r="AS20" s="1137" t="s">
        <v>5411</v>
      </c>
      <c r="AT20" s="1136" t="s">
        <v>5412</v>
      </c>
      <c r="AU20" s="1134" t="s">
        <v>5413</v>
      </c>
      <c r="AV20" s="1135" t="s">
        <v>5414</v>
      </c>
      <c r="AW20" s="1114" t="s">
        <v>5415</v>
      </c>
      <c r="AX20" s="1118" t="s">
        <v>5416</v>
      </c>
      <c r="AY20" s="1197" t="e">
        <f t="shared" si="6"/>
        <v>#VALUE!</v>
      </c>
      <c r="AZ20" s="1197"/>
      <c r="BA20" s="1197"/>
      <c r="BB20" s="1197"/>
      <c r="BC20" s="1197"/>
      <c r="BD20" s="1197"/>
      <c r="BE20" s="1197"/>
      <c r="BF20" s="1197"/>
      <c r="BG20" s="1197"/>
      <c r="BH20" s="1197"/>
      <c r="BI20" s="1197"/>
      <c r="BJ20" s="1191"/>
      <c r="BK20" s="1191"/>
      <c r="BL20" s="1191"/>
      <c r="BM20" s="1191"/>
      <c r="BV20" s="1191"/>
      <c r="BX20" s="1547"/>
      <c r="CB20" s="2195" t="str">
        <f t="shared" si="7"/>
        <v xml:space="preserve">* El total de Reactivos NO DEBE ser superior al total de Procesados. </v>
      </c>
      <c r="CC20" s="2195" t="e">
        <f t="shared" si="8"/>
        <v>#VALUE!</v>
      </c>
      <c r="CD20" s="2195" t="e">
        <f t="shared" si="9"/>
        <v>#VALUE!</v>
      </c>
      <c r="CE20" s="2195" t="str">
        <f t="shared" si="10"/>
        <v xml:space="preserve">* La columna Pueblos Originarios NO DEBE ser superior al total de Procesados. </v>
      </c>
      <c r="CF20" s="2195" t="str">
        <f t="shared" si="11"/>
        <v xml:space="preserve">* La columna Migrantes NO DEBE ser superior al total de Procesados. </v>
      </c>
      <c r="CG20" s="2195" t="str">
        <f t="shared" si="12"/>
        <v>* El total de procesados debe ser mayor o igual al total de Reactivos en el grupo de edad Menor de 6 meses</v>
      </c>
      <c r="CH20" s="2195" t="str">
        <f t="shared" si="13"/>
        <v>* El total de procesados debe ser mayor o igual al total de Reactivos en el grupo de edad 6 a 11 meses</v>
      </c>
      <c r="CI20" s="2195" t="str">
        <f t="shared" si="14"/>
        <v>* El total de procesados debe ser mayor o igual al total de Reactivos en el grupo de edad 12-24 meses</v>
      </c>
      <c r="CJ20" s="2195" t="str">
        <f t="shared" si="15"/>
        <v>* El total de procesados debe ser mayor o igual al total de Reactivos en el grupo de edad 3 a 4 años</v>
      </c>
      <c r="CK20" s="2195" t="str">
        <f t="shared" si="16"/>
        <v>* El total de procesados debe ser mayor o igual al total de Reactivos en el grupo de edad 5 a 9 años</v>
      </c>
      <c r="CL20" s="2195" t="str">
        <f t="shared" si="17"/>
        <v>* El total de procesados debe ser mayor o igual al total de Reactivos en el grupo de edad 10 - 14 años</v>
      </c>
      <c r="CM20" s="2195" t="str">
        <f t="shared" si="18"/>
        <v>* El total de procesados debe ser mayor o igual al total de Reactivos en el grupo de edad 15 - 19 años</v>
      </c>
      <c r="CN20" s="2195" t="str">
        <f t="shared" si="19"/>
        <v>* El total de procesados debe ser mayor o igual al total de Reactivos en el grupo de edad 20 - 24 años</v>
      </c>
      <c r="CO20" s="2195" t="str">
        <f t="shared" si="20"/>
        <v>* El total de procesados debe ser mayor o igual al total de Reactivos en el grupo de edad 25 a 29 años</v>
      </c>
      <c r="CP20" s="2195" t="str">
        <f t="shared" si="21"/>
        <v>* El total de procesados debe ser mayor o igual al total de Reactivos en el grupo de edad 30 a 34 años</v>
      </c>
      <c r="CQ20" s="2195" t="str">
        <f t="shared" si="22"/>
        <v>* El total de procesados debe ser mayor o igual al total de Reactivos en el grupo de edad 35 a 39 años</v>
      </c>
      <c r="CR20" s="2195" t="str">
        <f t="shared" si="23"/>
        <v>* El total de procesados debe ser mayor o igual al total de Reactivos en el grupo de edad 40 a 44 años</v>
      </c>
      <c r="CS20" s="2195" t="str">
        <f t="shared" si="24"/>
        <v>* El total de procesados debe ser mayor o igual al total de Reactivos en el grupo de edad 45 a 49 años</v>
      </c>
      <c r="CT20" s="2195" t="str">
        <f t="shared" si="25"/>
        <v>* El total de procesados debe ser mayor o igual al total de Reactivos en el grupo de edad 50 a 54 años</v>
      </c>
      <c r="CU20" s="2195" t="str">
        <f t="shared" si="26"/>
        <v>* El total de procesados debe ser mayor o igual al total de Reactivos en el grupo de edad 55 a 59 años</v>
      </c>
      <c r="CV20" s="2195" t="str">
        <f t="shared" si="27"/>
        <v>* El total de procesados debe ser mayor o igual al total de Reactivos en el grupo de edad 60 a 64 años</v>
      </c>
      <c r="CW20" s="2195" t="str">
        <f t="shared" si="28"/>
        <v>* El total de procesados debe ser mayor o igual al total de Reactivos en el grupo de edad 65 a 69 años</v>
      </c>
      <c r="CX20" s="2195" t="str">
        <f t="shared" si="29"/>
        <v>* El total de procesados debe ser mayor o igual al total de Reactivos en el grupo de edad 70 a 74 años</v>
      </c>
      <c r="CY20" s="2195" t="str">
        <f t="shared" si="30"/>
        <v>* El total de procesados debe ser mayor o igual al total de Reactivos en el grupo de edad 75 a 79 años</v>
      </c>
      <c r="CZ20" s="2195" t="str">
        <f t="shared" si="31"/>
        <v>* El total de procesados debe ser mayor o igual al total de Reactivos en el grupo de edad 80 y más años</v>
      </c>
      <c r="DA20" s="2195" t="str">
        <f t="shared" si="0"/>
        <v/>
      </c>
      <c r="DB20" s="1446">
        <f t="shared" si="1"/>
        <v>1</v>
      </c>
      <c r="DC20" s="1446" t="e">
        <f t="shared" si="2"/>
        <v>#VALUE!</v>
      </c>
      <c r="DD20" s="1446" t="e">
        <f t="shared" si="3"/>
        <v>#VALUE!</v>
      </c>
      <c r="DE20" s="1446">
        <f t="shared" si="4"/>
        <v>1</v>
      </c>
      <c r="DF20" s="1446">
        <f t="shared" si="5"/>
        <v>1</v>
      </c>
      <c r="DG20" s="1446">
        <f t="shared" si="32"/>
        <v>1</v>
      </c>
      <c r="DH20" s="1446">
        <f t="shared" si="33"/>
        <v>1</v>
      </c>
      <c r="DI20" s="1446">
        <f t="shared" si="34"/>
        <v>1</v>
      </c>
      <c r="DJ20" s="1446">
        <f t="shared" si="35"/>
        <v>1</v>
      </c>
      <c r="DK20" s="1446">
        <f t="shared" si="36"/>
        <v>1</v>
      </c>
      <c r="DL20" s="1446">
        <f t="shared" si="37"/>
        <v>1</v>
      </c>
      <c r="DM20" s="1446">
        <f t="shared" si="38"/>
        <v>1</v>
      </c>
      <c r="DN20" s="1446">
        <f t="shared" si="39"/>
        <v>1</v>
      </c>
      <c r="DO20" s="1446">
        <f t="shared" si="40"/>
        <v>1</v>
      </c>
      <c r="DP20" s="1446">
        <f t="shared" si="41"/>
        <v>1</v>
      </c>
      <c r="DQ20" s="1446">
        <f t="shared" si="42"/>
        <v>1</v>
      </c>
      <c r="DR20" s="1446">
        <f t="shared" si="43"/>
        <v>1</v>
      </c>
      <c r="DS20" s="1446">
        <f t="shared" si="44"/>
        <v>1</v>
      </c>
      <c r="DT20" s="1446">
        <f t="shared" si="45"/>
        <v>1</v>
      </c>
      <c r="DU20" s="1446">
        <f t="shared" si="46"/>
        <v>1</v>
      </c>
      <c r="DV20" s="1446">
        <f t="shared" si="47"/>
        <v>1</v>
      </c>
      <c r="DW20" s="1446">
        <f t="shared" si="48"/>
        <v>1</v>
      </c>
      <c r="DX20" s="1446">
        <f t="shared" si="49"/>
        <v>1</v>
      </c>
      <c r="DY20" s="1446">
        <f t="shared" si="50"/>
        <v>1</v>
      </c>
      <c r="DZ20" s="1446">
        <f t="shared" si="51"/>
        <v>1</v>
      </c>
      <c r="EA20" s="1446">
        <f t="shared" si="52"/>
        <v>0</v>
      </c>
    </row>
    <row r="21" spans="1:131" ht="24" customHeight="1" x14ac:dyDescent="0.3">
      <c r="A21" s="7258">
        <v>11051300</v>
      </c>
      <c r="B21" s="1956" t="s">
        <v>1794</v>
      </c>
      <c r="C21" s="1998" t="s">
        <v>5369</v>
      </c>
      <c r="D21" s="2044" t="s">
        <v>5370</v>
      </c>
      <c r="E21" s="1134" t="s">
        <v>5371</v>
      </c>
      <c r="F21" s="1135" t="s">
        <v>5372</v>
      </c>
      <c r="G21" s="1114" t="s">
        <v>5373</v>
      </c>
      <c r="H21" s="1135" t="s">
        <v>5374</v>
      </c>
      <c r="I21" s="1114" t="s">
        <v>5375</v>
      </c>
      <c r="J21" s="1118" t="s">
        <v>5376</v>
      </c>
      <c r="K21" s="1140" t="s">
        <v>5377</v>
      </c>
      <c r="L21" s="1141" t="s">
        <v>5378</v>
      </c>
      <c r="M21" s="1140" t="s">
        <v>5379</v>
      </c>
      <c r="N21" s="1141" t="s">
        <v>5380</v>
      </c>
      <c r="O21" s="1140" t="s">
        <v>5381</v>
      </c>
      <c r="P21" s="1141" t="s">
        <v>5382</v>
      </c>
      <c r="Q21" s="1140" t="s">
        <v>5383</v>
      </c>
      <c r="R21" s="1141" t="s">
        <v>5384</v>
      </c>
      <c r="S21" s="1140" t="s">
        <v>5385</v>
      </c>
      <c r="T21" s="1141" t="s">
        <v>5386</v>
      </c>
      <c r="U21" s="1140" t="s">
        <v>5387</v>
      </c>
      <c r="V21" s="1141" t="s">
        <v>5388</v>
      </c>
      <c r="W21" s="1140" t="s">
        <v>5389</v>
      </c>
      <c r="X21" s="1141" t="s">
        <v>5390</v>
      </c>
      <c r="Y21" s="1140" t="s">
        <v>5391</v>
      </c>
      <c r="Z21" s="1141" t="s">
        <v>5392</v>
      </c>
      <c r="AA21" s="1140" t="s">
        <v>5393</v>
      </c>
      <c r="AB21" s="1141" t="s">
        <v>5394</v>
      </c>
      <c r="AC21" s="1140" t="s">
        <v>5395</v>
      </c>
      <c r="AD21" s="1141" t="s">
        <v>5396</v>
      </c>
      <c r="AE21" s="1140" t="s">
        <v>5397</v>
      </c>
      <c r="AF21" s="1141" t="s">
        <v>5398</v>
      </c>
      <c r="AG21" s="1140" t="s">
        <v>5399</v>
      </c>
      <c r="AH21" s="1141" t="s">
        <v>5400</v>
      </c>
      <c r="AI21" s="1140" t="s">
        <v>5401</v>
      </c>
      <c r="AJ21" s="1141" t="s">
        <v>5402</v>
      </c>
      <c r="AK21" s="1140" t="s">
        <v>5403</v>
      </c>
      <c r="AL21" s="1141" t="s">
        <v>5404</v>
      </c>
      <c r="AM21" s="1140" t="s">
        <v>5405</v>
      </c>
      <c r="AN21" s="1141" t="s">
        <v>5406</v>
      </c>
      <c r="AO21" s="1140" t="s">
        <v>5407</v>
      </c>
      <c r="AP21" s="1141" t="s">
        <v>5408</v>
      </c>
      <c r="AQ21" s="1140" t="s">
        <v>5409</v>
      </c>
      <c r="AR21" s="1142" t="s">
        <v>5410</v>
      </c>
      <c r="AS21" s="1134" t="s">
        <v>5411</v>
      </c>
      <c r="AT21" s="1136" t="s">
        <v>5412</v>
      </c>
      <c r="AU21" s="1134" t="s">
        <v>5413</v>
      </c>
      <c r="AV21" s="1135" t="s">
        <v>5414</v>
      </c>
      <c r="AW21" s="1114" t="s">
        <v>5415</v>
      </c>
      <c r="AX21" s="1118" t="s">
        <v>5416</v>
      </c>
      <c r="AY21" s="1197" t="e">
        <f t="shared" si="6"/>
        <v>#VALUE!</v>
      </c>
      <c r="AZ21" s="1197"/>
      <c r="BA21" s="1197"/>
      <c r="BB21" s="1197"/>
      <c r="BC21" s="1197"/>
      <c r="BD21" s="1197"/>
      <c r="BE21" s="1197"/>
      <c r="BF21" s="1197"/>
      <c r="BG21" s="1197"/>
      <c r="BH21" s="1197"/>
      <c r="BI21" s="1197"/>
      <c r="BJ21" s="1191"/>
      <c r="BK21" s="1191"/>
      <c r="BL21" s="1191"/>
      <c r="BM21" s="1191"/>
      <c r="BV21" s="1191"/>
      <c r="BX21" s="1547"/>
      <c r="CB21" s="2195" t="str">
        <f t="shared" si="7"/>
        <v xml:space="preserve">* El total de Reactivos NO DEBE ser superior al total de Procesados. </v>
      </c>
      <c r="CC21" s="2195" t="e">
        <f t="shared" si="8"/>
        <v>#VALUE!</v>
      </c>
      <c r="CD21" s="2195" t="e">
        <f t="shared" si="9"/>
        <v>#VALUE!</v>
      </c>
      <c r="CE21" s="2195" t="str">
        <f t="shared" si="10"/>
        <v xml:space="preserve">* La columna Pueblos Originarios NO DEBE ser superior al total de Procesados. </v>
      </c>
      <c r="CF21" s="2195" t="str">
        <f t="shared" si="11"/>
        <v xml:space="preserve">* La columna Migrantes NO DEBE ser superior al total de Procesados. </v>
      </c>
      <c r="CG21" s="2195" t="str">
        <f t="shared" si="12"/>
        <v>* El total de procesados debe ser mayor o igual al total de Reactivos en el grupo de edad Menor de 6 meses</v>
      </c>
      <c r="CH21" s="2195" t="str">
        <f t="shared" si="13"/>
        <v>* El total de procesados debe ser mayor o igual al total de Reactivos en el grupo de edad 6 a 11 meses</v>
      </c>
      <c r="CI21" s="2195" t="str">
        <f t="shared" si="14"/>
        <v>* El total de procesados debe ser mayor o igual al total de Reactivos en el grupo de edad 12-24 meses</v>
      </c>
      <c r="CJ21" s="2195" t="str">
        <f t="shared" si="15"/>
        <v>* El total de procesados debe ser mayor o igual al total de Reactivos en el grupo de edad 3 a 4 años</v>
      </c>
      <c r="CK21" s="2195" t="str">
        <f t="shared" si="16"/>
        <v>* El total de procesados debe ser mayor o igual al total de Reactivos en el grupo de edad 5 a 9 años</v>
      </c>
      <c r="CL21" s="2195" t="str">
        <f t="shared" si="17"/>
        <v>* El total de procesados debe ser mayor o igual al total de Reactivos en el grupo de edad 10 - 14 años</v>
      </c>
      <c r="CM21" s="2195" t="str">
        <f t="shared" si="18"/>
        <v>* El total de procesados debe ser mayor o igual al total de Reactivos en el grupo de edad 15 - 19 años</v>
      </c>
      <c r="CN21" s="2195" t="str">
        <f t="shared" si="19"/>
        <v>* El total de procesados debe ser mayor o igual al total de Reactivos en el grupo de edad 20 - 24 años</v>
      </c>
      <c r="CO21" s="2195" t="str">
        <f t="shared" si="20"/>
        <v>* El total de procesados debe ser mayor o igual al total de Reactivos en el grupo de edad 25 a 29 años</v>
      </c>
      <c r="CP21" s="2195" t="str">
        <f t="shared" si="21"/>
        <v>* El total de procesados debe ser mayor o igual al total de Reactivos en el grupo de edad 30 a 34 años</v>
      </c>
      <c r="CQ21" s="2195" t="str">
        <f t="shared" si="22"/>
        <v>* El total de procesados debe ser mayor o igual al total de Reactivos en el grupo de edad 35 a 39 años</v>
      </c>
      <c r="CR21" s="2195" t="str">
        <f t="shared" si="23"/>
        <v>* El total de procesados debe ser mayor o igual al total de Reactivos en el grupo de edad 40 a 44 años</v>
      </c>
      <c r="CS21" s="2195" t="str">
        <f t="shared" si="24"/>
        <v>* El total de procesados debe ser mayor o igual al total de Reactivos en el grupo de edad 45 a 49 años</v>
      </c>
      <c r="CT21" s="2195" t="str">
        <f t="shared" si="25"/>
        <v>* El total de procesados debe ser mayor o igual al total de Reactivos en el grupo de edad 50 a 54 años</v>
      </c>
      <c r="CU21" s="2195" t="str">
        <f t="shared" si="26"/>
        <v>* El total de procesados debe ser mayor o igual al total de Reactivos en el grupo de edad 55 a 59 años</v>
      </c>
      <c r="CV21" s="2195" t="str">
        <f t="shared" si="27"/>
        <v>* El total de procesados debe ser mayor o igual al total de Reactivos en el grupo de edad 60 a 64 años</v>
      </c>
      <c r="CW21" s="2195" t="str">
        <f t="shared" si="28"/>
        <v>* El total de procesados debe ser mayor o igual al total de Reactivos en el grupo de edad 65 a 69 años</v>
      </c>
      <c r="CX21" s="2195" t="str">
        <f t="shared" si="29"/>
        <v>* El total de procesados debe ser mayor o igual al total de Reactivos en el grupo de edad 70 a 74 años</v>
      </c>
      <c r="CY21" s="2195" t="str">
        <f t="shared" si="30"/>
        <v>* El total de procesados debe ser mayor o igual al total de Reactivos en el grupo de edad 75 a 79 años</v>
      </c>
      <c r="CZ21" s="2195" t="str">
        <f t="shared" si="31"/>
        <v>* El total de procesados debe ser mayor o igual al total de Reactivos en el grupo de edad 80 y más años</v>
      </c>
      <c r="DA21" s="2195" t="str">
        <f t="shared" si="0"/>
        <v/>
      </c>
      <c r="DB21" s="1446">
        <f t="shared" si="1"/>
        <v>1</v>
      </c>
      <c r="DC21" s="1446" t="e">
        <f t="shared" si="2"/>
        <v>#VALUE!</v>
      </c>
      <c r="DD21" s="1446" t="e">
        <f t="shared" si="3"/>
        <v>#VALUE!</v>
      </c>
      <c r="DE21" s="1446">
        <f t="shared" si="4"/>
        <v>1</v>
      </c>
      <c r="DF21" s="1446">
        <f t="shared" si="5"/>
        <v>1</v>
      </c>
      <c r="DG21" s="1446">
        <f t="shared" si="32"/>
        <v>1</v>
      </c>
      <c r="DH21" s="1446">
        <f t="shared" si="33"/>
        <v>1</v>
      </c>
      <c r="DI21" s="1446">
        <f t="shared" si="34"/>
        <v>1</v>
      </c>
      <c r="DJ21" s="1446">
        <f t="shared" si="35"/>
        <v>1</v>
      </c>
      <c r="DK21" s="1446">
        <f t="shared" si="36"/>
        <v>1</v>
      </c>
      <c r="DL21" s="1446">
        <f t="shared" si="37"/>
        <v>1</v>
      </c>
      <c r="DM21" s="1446">
        <f t="shared" si="38"/>
        <v>1</v>
      </c>
      <c r="DN21" s="1446">
        <f t="shared" si="39"/>
        <v>1</v>
      </c>
      <c r="DO21" s="1446">
        <f t="shared" si="40"/>
        <v>1</v>
      </c>
      <c r="DP21" s="1446">
        <f t="shared" si="41"/>
        <v>1</v>
      </c>
      <c r="DQ21" s="1446">
        <f t="shared" si="42"/>
        <v>1</v>
      </c>
      <c r="DR21" s="1446">
        <f t="shared" si="43"/>
        <v>1</v>
      </c>
      <c r="DS21" s="1446">
        <f t="shared" si="44"/>
        <v>1</v>
      </c>
      <c r="DT21" s="1446">
        <f t="shared" si="45"/>
        <v>1</v>
      </c>
      <c r="DU21" s="1446">
        <f t="shared" si="46"/>
        <v>1</v>
      </c>
      <c r="DV21" s="1446">
        <f t="shared" si="47"/>
        <v>1</v>
      </c>
      <c r="DW21" s="1446">
        <f t="shared" si="48"/>
        <v>1</v>
      </c>
      <c r="DX21" s="1446">
        <f t="shared" si="49"/>
        <v>1</v>
      </c>
      <c r="DY21" s="1446">
        <f t="shared" si="50"/>
        <v>1</v>
      </c>
      <c r="DZ21" s="1446">
        <f t="shared" si="51"/>
        <v>1</v>
      </c>
      <c r="EA21" s="1446">
        <f t="shared" si="52"/>
        <v>0</v>
      </c>
    </row>
    <row r="22" spans="1:131" ht="18" customHeight="1" x14ac:dyDescent="0.3">
      <c r="A22" s="7258">
        <v>11040200</v>
      </c>
      <c r="B22" s="1956" t="s">
        <v>1795</v>
      </c>
      <c r="C22" s="1998" t="s">
        <v>5369</v>
      </c>
      <c r="D22" s="2044" t="s">
        <v>5370</v>
      </c>
      <c r="E22" s="1130" t="s">
        <v>5371</v>
      </c>
      <c r="F22" s="1131" t="s">
        <v>5372</v>
      </c>
      <c r="G22" s="1132" t="s">
        <v>5373</v>
      </c>
      <c r="H22" s="1131" t="s">
        <v>5374</v>
      </c>
      <c r="I22" s="1132" t="s">
        <v>5375</v>
      </c>
      <c r="J22" s="1131" t="s">
        <v>5376</v>
      </c>
      <c r="K22" s="1132" t="s">
        <v>5377</v>
      </c>
      <c r="L22" s="1131" t="s">
        <v>5378</v>
      </c>
      <c r="M22" s="1132" t="s">
        <v>5379</v>
      </c>
      <c r="N22" s="1133" t="s">
        <v>5380</v>
      </c>
      <c r="O22" s="1130" t="s">
        <v>5381</v>
      </c>
      <c r="P22" s="1131" t="s">
        <v>5382</v>
      </c>
      <c r="Q22" s="1114" t="s">
        <v>5383</v>
      </c>
      <c r="R22" s="1135" t="s">
        <v>5384</v>
      </c>
      <c r="S22" s="1114" t="s">
        <v>5385</v>
      </c>
      <c r="T22" s="1135" t="s">
        <v>5386</v>
      </c>
      <c r="U22" s="1114" t="s">
        <v>5387</v>
      </c>
      <c r="V22" s="1135" t="s">
        <v>5388</v>
      </c>
      <c r="W22" s="1114" t="s">
        <v>5389</v>
      </c>
      <c r="X22" s="1135" t="s">
        <v>5390</v>
      </c>
      <c r="Y22" s="1114" t="s">
        <v>5391</v>
      </c>
      <c r="Z22" s="1135" t="s">
        <v>5392</v>
      </c>
      <c r="AA22" s="1114" t="s">
        <v>5393</v>
      </c>
      <c r="AB22" s="1135" t="s">
        <v>5394</v>
      </c>
      <c r="AC22" s="1114" t="s">
        <v>5395</v>
      </c>
      <c r="AD22" s="1135" t="s">
        <v>5396</v>
      </c>
      <c r="AE22" s="1114" t="s">
        <v>5397</v>
      </c>
      <c r="AF22" s="1135" t="s">
        <v>5398</v>
      </c>
      <c r="AG22" s="1114" t="s">
        <v>5399</v>
      </c>
      <c r="AH22" s="1135" t="s">
        <v>5400</v>
      </c>
      <c r="AI22" s="1114" t="s">
        <v>5401</v>
      </c>
      <c r="AJ22" s="1135" t="s">
        <v>5402</v>
      </c>
      <c r="AK22" s="1114" t="s">
        <v>5403</v>
      </c>
      <c r="AL22" s="1135" t="s">
        <v>5404</v>
      </c>
      <c r="AM22" s="1114" t="s">
        <v>5405</v>
      </c>
      <c r="AN22" s="1135" t="s">
        <v>5406</v>
      </c>
      <c r="AO22" s="1114" t="s">
        <v>5407</v>
      </c>
      <c r="AP22" s="1135" t="s">
        <v>5408</v>
      </c>
      <c r="AQ22" s="1114" t="s">
        <v>5409</v>
      </c>
      <c r="AR22" s="1136" t="s">
        <v>5410</v>
      </c>
      <c r="AS22" s="1134" t="s">
        <v>5411</v>
      </c>
      <c r="AT22" s="1136" t="s">
        <v>5412</v>
      </c>
      <c r="AU22" s="1134" t="s">
        <v>5413</v>
      </c>
      <c r="AV22" s="1135" t="s">
        <v>5414</v>
      </c>
      <c r="AW22" s="1114" t="s">
        <v>5415</v>
      </c>
      <c r="AX22" s="1118" t="s">
        <v>5416</v>
      </c>
      <c r="AY22" s="1197" t="e">
        <f t="shared" si="6"/>
        <v>#VALUE!</v>
      </c>
      <c r="AZ22" s="1197"/>
      <c r="BA22" s="1197"/>
      <c r="BB22" s="1197"/>
      <c r="BC22" s="1197"/>
      <c r="BD22" s="1197"/>
      <c r="BE22" s="1197"/>
      <c r="BF22" s="1197"/>
      <c r="BG22" s="1197"/>
      <c r="BH22" s="1197"/>
      <c r="BI22" s="1197"/>
      <c r="BJ22" s="1191"/>
      <c r="BK22" s="1191"/>
      <c r="BL22" s="1191"/>
      <c r="BM22" s="1191"/>
      <c r="BV22" s="1191"/>
      <c r="BX22" s="1547"/>
      <c r="CB22" s="2195" t="str">
        <f t="shared" si="7"/>
        <v xml:space="preserve">* El total de Reactivos NO DEBE ser superior al total de Procesados. </v>
      </c>
      <c r="CC22" s="2195" t="e">
        <f t="shared" si="8"/>
        <v>#VALUE!</v>
      </c>
      <c r="CD22" s="2195" t="e">
        <f t="shared" si="9"/>
        <v>#VALUE!</v>
      </c>
      <c r="CE22" s="2195" t="str">
        <f t="shared" si="10"/>
        <v xml:space="preserve">* La columna Pueblos Originarios NO DEBE ser superior al total de Procesados. </v>
      </c>
      <c r="CF22" s="2195" t="str">
        <f t="shared" si="11"/>
        <v xml:space="preserve">* La columna Migrantes NO DEBE ser superior al total de Procesados. </v>
      </c>
      <c r="CG22" s="2195" t="str">
        <f t="shared" si="12"/>
        <v>* El total de procesados debe ser mayor o igual al total de Reactivos en el grupo de edad Menor de 6 meses</v>
      </c>
      <c r="CH22" s="2195" t="str">
        <f t="shared" si="13"/>
        <v>* El total de procesados debe ser mayor o igual al total de Reactivos en el grupo de edad 6 a 11 meses</v>
      </c>
      <c r="CI22" s="2195" t="str">
        <f t="shared" si="14"/>
        <v>* El total de procesados debe ser mayor o igual al total de Reactivos en el grupo de edad 12-24 meses</v>
      </c>
      <c r="CJ22" s="2195" t="str">
        <f t="shared" si="15"/>
        <v>* El total de procesados debe ser mayor o igual al total de Reactivos en el grupo de edad 3 a 4 años</v>
      </c>
      <c r="CK22" s="2195" t="str">
        <f t="shared" si="16"/>
        <v>* El total de procesados debe ser mayor o igual al total de Reactivos en el grupo de edad 5 a 9 años</v>
      </c>
      <c r="CL22" s="2195" t="str">
        <f t="shared" si="17"/>
        <v>* El total de procesados debe ser mayor o igual al total de Reactivos en el grupo de edad 10 - 14 años</v>
      </c>
      <c r="CM22" s="2195" t="str">
        <f t="shared" si="18"/>
        <v>* El total de procesados debe ser mayor o igual al total de Reactivos en el grupo de edad 15 - 19 años</v>
      </c>
      <c r="CN22" s="2195" t="str">
        <f t="shared" si="19"/>
        <v>* El total de procesados debe ser mayor o igual al total de Reactivos en el grupo de edad 20 - 24 años</v>
      </c>
      <c r="CO22" s="2195" t="str">
        <f t="shared" si="20"/>
        <v>* El total de procesados debe ser mayor o igual al total de Reactivos en el grupo de edad 25 a 29 años</v>
      </c>
      <c r="CP22" s="2195" t="str">
        <f t="shared" si="21"/>
        <v>* El total de procesados debe ser mayor o igual al total de Reactivos en el grupo de edad 30 a 34 años</v>
      </c>
      <c r="CQ22" s="2195" t="str">
        <f t="shared" si="22"/>
        <v>* El total de procesados debe ser mayor o igual al total de Reactivos en el grupo de edad 35 a 39 años</v>
      </c>
      <c r="CR22" s="2195" t="str">
        <f t="shared" si="23"/>
        <v>* El total de procesados debe ser mayor o igual al total de Reactivos en el grupo de edad 40 a 44 años</v>
      </c>
      <c r="CS22" s="2195" t="str">
        <f t="shared" si="24"/>
        <v>* El total de procesados debe ser mayor o igual al total de Reactivos en el grupo de edad 45 a 49 años</v>
      </c>
      <c r="CT22" s="2195" t="str">
        <f t="shared" si="25"/>
        <v>* El total de procesados debe ser mayor o igual al total de Reactivos en el grupo de edad 50 a 54 años</v>
      </c>
      <c r="CU22" s="2195" t="str">
        <f t="shared" si="26"/>
        <v>* El total de procesados debe ser mayor o igual al total de Reactivos en el grupo de edad 55 a 59 años</v>
      </c>
      <c r="CV22" s="2195" t="str">
        <f t="shared" si="27"/>
        <v>* El total de procesados debe ser mayor o igual al total de Reactivos en el grupo de edad 60 a 64 años</v>
      </c>
      <c r="CW22" s="2195" t="str">
        <f t="shared" si="28"/>
        <v>* El total de procesados debe ser mayor o igual al total de Reactivos en el grupo de edad 65 a 69 años</v>
      </c>
      <c r="CX22" s="2195" t="str">
        <f t="shared" si="29"/>
        <v>* El total de procesados debe ser mayor o igual al total de Reactivos en el grupo de edad 70 a 74 años</v>
      </c>
      <c r="CY22" s="2195" t="str">
        <f t="shared" si="30"/>
        <v>* El total de procesados debe ser mayor o igual al total de Reactivos en el grupo de edad 75 a 79 años</v>
      </c>
      <c r="CZ22" s="2195" t="str">
        <f t="shared" si="31"/>
        <v>* El total de procesados debe ser mayor o igual al total de Reactivos en el grupo de edad 80 y más años</v>
      </c>
      <c r="DA22" s="2195" t="str">
        <f t="shared" si="0"/>
        <v/>
      </c>
      <c r="DB22" s="1446">
        <f t="shared" si="1"/>
        <v>1</v>
      </c>
      <c r="DC22" s="1446" t="e">
        <f t="shared" si="2"/>
        <v>#VALUE!</v>
      </c>
      <c r="DD22" s="1446" t="e">
        <f t="shared" si="3"/>
        <v>#VALUE!</v>
      </c>
      <c r="DE22" s="1446">
        <f t="shared" si="4"/>
        <v>1</v>
      </c>
      <c r="DF22" s="1446">
        <f t="shared" si="5"/>
        <v>1</v>
      </c>
      <c r="DG22" s="1446">
        <f t="shared" si="32"/>
        <v>1</v>
      </c>
      <c r="DH22" s="1446">
        <f t="shared" si="33"/>
        <v>1</v>
      </c>
      <c r="DI22" s="1446">
        <f t="shared" si="34"/>
        <v>1</v>
      </c>
      <c r="DJ22" s="1446">
        <f t="shared" si="35"/>
        <v>1</v>
      </c>
      <c r="DK22" s="1446">
        <f t="shared" si="36"/>
        <v>1</v>
      </c>
      <c r="DL22" s="1446">
        <f t="shared" si="37"/>
        <v>1</v>
      </c>
      <c r="DM22" s="1446">
        <f t="shared" si="38"/>
        <v>1</v>
      </c>
      <c r="DN22" s="1446">
        <f t="shared" si="39"/>
        <v>1</v>
      </c>
      <c r="DO22" s="1446">
        <f t="shared" si="40"/>
        <v>1</v>
      </c>
      <c r="DP22" s="1446">
        <f t="shared" si="41"/>
        <v>1</v>
      </c>
      <c r="DQ22" s="1446">
        <f t="shared" si="42"/>
        <v>1</v>
      </c>
      <c r="DR22" s="1446">
        <f t="shared" si="43"/>
        <v>1</v>
      </c>
      <c r="DS22" s="1446">
        <f t="shared" si="44"/>
        <v>1</v>
      </c>
      <c r="DT22" s="1446">
        <f t="shared" si="45"/>
        <v>1</v>
      </c>
      <c r="DU22" s="1446">
        <f t="shared" si="46"/>
        <v>1</v>
      </c>
      <c r="DV22" s="1446">
        <f t="shared" si="47"/>
        <v>1</v>
      </c>
      <c r="DW22" s="1446">
        <f t="shared" si="48"/>
        <v>1</v>
      </c>
      <c r="DX22" s="1446">
        <f t="shared" si="49"/>
        <v>1</v>
      </c>
      <c r="DY22" s="1446">
        <f t="shared" si="50"/>
        <v>1</v>
      </c>
      <c r="DZ22" s="1446">
        <f t="shared" si="51"/>
        <v>1</v>
      </c>
      <c r="EA22" s="1446">
        <f t="shared" si="52"/>
        <v>0</v>
      </c>
    </row>
    <row r="23" spans="1:131" ht="16.2" customHeight="1" x14ac:dyDescent="0.3">
      <c r="A23" s="7258">
        <v>11051400</v>
      </c>
      <c r="B23" s="2032" t="s">
        <v>1796</v>
      </c>
      <c r="C23" s="1998" t="s">
        <v>5369</v>
      </c>
      <c r="D23" s="2044" t="s">
        <v>5370</v>
      </c>
      <c r="E23" s="1137" t="s">
        <v>5371</v>
      </c>
      <c r="F23" s="1141" t="s">
        <v>5372</v>
      </c>
      <c r="G23" s="1140" t="s">
        <v>5373</v>
      </c>
      <c r="H23" s="1141" t="s">
        <v>5374</v>
      </c>
      <c r="I23" s="1140" t="s">
        <v>5375</v>
      </c>
      <c r="J23" s="1143" t="s">
        <v>5376</v>
      </c>
      <c r="K23" s="1137" t="s">
        <v>5377</v>
      </c>
      <c r="L23" s="1137" t="s">
        <v>5378</v>
      </c>
      <c r="M23" s="1140" t="s">
        <v>5379</v>
      </c>
      <c r="N23" s="1143" t="s">
        <v>5380</v>
      </c>
      <c r="O23" s="1134" t="s">
        <v>5381</v>
      </c>
      <c r="P23" s="1135" t="s">
        <v>5382</v>
      </c>
      <c r="Q23" s="1114" t="s">
        <v>5383</v>
      </c>
      <c r="R23" s="1135" t="s">
        <v>5384</v>
      </c>
      <c r="S23" s="1114" t="s">
        <v>5385</v>
      </c>
      <c r="T23" s="1135" t="s">
        <v>5386</v>
      </c>
      <c r="U23" s="1114" t="s">
        <v>5387</v>
      </c>
      <c r="V23" s="1135" t="s">
        <v>5388</v>
      </c>
      <c r="W23" s="1114" t="s">
        <v>5389</v>
      </c>
      <c r="X23" s="1135" t="s">
        <v>5390</v>
      </c>
      <c r="Y23" s="1114" t="s">
        <v>5391</v>
      </c>
      <c r="Z23" s="1135" t="s">
        <v>5392</v>
      </c>
      <c r="AA23" s="1114" t="s">
        <v>5393</v>
      </c>
      <c r="AB23" s="1135" t="s">
        <v>5394</v>
      </c>
      <c r="AC23" s="1114" t="s">
        <v>5395</v>
      </c>
      <c r="AD23" s="1135" t="s">
        <v>5396</v>
      </c>
      <c r="AE23" s="1114" t="s">
        <v>5397</v>
      </c>
      <c r="AF23" s="1135" t="s">
        <v>5398</v>
      </c>
      <c r="AG23" s="1114" t="s">
        <v>5399</v>
      </c>
      <c r="AH23" s="1135" t="s">
        <v>5400</v>
      </c>
      <c r="AI23" s="1114" t="s">
        <v>5401</v>
      </c>
      <c r="AJ23" s="1135" t="s">
        <v>5402</v>
      </c>
      <c r="AK23" s="1114" t="s">
        <v>5403</v>
      </c>
      <c r="AL23" s="1135" t="s">
        <v>5404</v>
      </c>
      <c r="AM23" s="1114" t="s">
        <v>5405</v>
      </c>
      <c r="AN23" s="1135" t="s">
        <v>5406</v>
      </c>
      <c r="AO23" s="1114" t="s">
        <v>5407</v>
      </c>
      <c r="AP23" s="1118" t="s">
        <v>5408</v>
      </c>
      <c r="AQ23" s="1114" t="s">
        <v>5409</v>
      </c>
      <c r="AR23" s="1136" t="s">
        <v>5410</v>
      </c>
      <c r="AS23" s="1134" t="s">
        <v>5411</v>
      </c>
      <c r="AT23" s="1136" t="s">
        <v>5412</v>
      </c>
      <c r="AU23" s="1134" t="s">
        <v>5413</v>
      </c>
      <c r="AV23" s="1135" t="s">
        <v>5414</v>
      </c>
      <c r="AW23" s="1114" t="s">
        <v>5415</v>
      </c>
      <c r="AX23" s="1118" t="s">
        <v>5416</v>
      </c>
      <c r="AY23" s="1197" t="e">
        <f t="shared" si="6"/>
        <v>#VALUE!</v>
      </c>
      <c r="AZ23" s="1197"/>
      <c r="BA23" s="1197"/>
      <c r="BB23" s="1197"/>
      <c r="BC23" s="1197"/>
      <c r="BD23" s="1197"/>
      <c r="BE23" s="1197"/>
      <c r="BF23" s="1197"/>
      <c r="BG23" s="1197"/>
      <c r="BH23" s="1197"/>
      <c r="BI23" s="1197"/>
      <c r="BJ23" s="1191"/>
      <c r="BK23" s="1191"/>
      <c r="BL23" s="1191"/>
      <c r="BM23" s="1191"/>
      <c r="BV23" s="1191"/>
      <c r="BX23" s="1547"/>
      <c r="CB23" s="2195" t="str">
        <f t="shared" si="7"/>
        <v xml:space="preserve">* El total de Reactivos NO DEBE ser superior al total de Procesados. </v>
      </c>
      <c r="CC23" s="2195" t="e">
        <f t="shared" si="8"/>
        <v>#VALUE!</v>
      </c>
      <c r="CD23" s="2195" t="e">
        <f t="shared" si="9"/>
        <v>#VALUE!</v>
      </c>
      <c r="CE23" s="2195" t="str">
        <f t="shared" si="10"/>
        <v xml:space="preserve">* La columna Pueblos Originarios NO DEBE ser superior al total de Procesados. </v>
      </c>
      <c r="CF23" s="2195" t="str">
        <f t="shared" si="11"/>
        <v xml:space="preserve">* La columna Migrantes NO DEBE ser superior al total de Procesados. </v>
      </c>
      <c r="CG23" s="2195" t="str">
        <f t="shared" si="12"/>
        <v>* El total de procesados debe ser mayor o igual al total de Reactivos en el grupo de edad Menor de 6 meses</v>
      </c>
      <c r="CH23" s="2195" t="str">
        <f t="shared" si="13"/>
        <v>* El total de procesados debe ser mayor o igual al total de Reactivos en el grupo de edad 6 a 11 meses</v>
      </c>
      <c r="CI23" s="2195" t="str">
        <f t="shared" si="14"/>
        <v>* El total de procesados debe ser mayor o igual al total de Reactivos en el grupo de edad 12-24 meses</v>
      </c>
      <c r="CJ23" s="2195" t="str">
        <f t="shared" si="15"/>
        <v>* El total de procesados debe ser mayor o igual al total de Reactivos en el grupo de edad 3 a 4 años</v>
      </c>
      <c r="CK23" s="2195" t="str">
        <f t="shared" si="16"/>
        <v>* El total de procesados debe ser mayor o igual al total de Reactivos en el grupo de edad 5 a 9 años</v>
      </c>
      <c r="CL23" s="2195" t="str">
        <f t="shared" si="17"/>
        <v>* El total de procesados debe ser mayor o igual al total de Reactivos en el grupo de edad 10 - 14 años</v>
      </c>
      <c r="CM23" s="2195" t="str">
        <f t="shared" si="18"/>
        <v>* El total de procesados debe ser mayor o igual al total de Reactivos en el grupo de edad 15 - 19 años</v>
      </c>
      <c r="CN23" s="2195" t="str">
        <f t="shared" si="19"/>
        <v>* El total de procesados debe ser mayor o igual al total de Reactivos en el grupo de edad 20 - 24 años</v>
      </c>
      <c r="CO23" s="2195" t="str">
        <f t="shared" si="20"/>
        <v>* El total de procesados debe ser mayor o igual al total de Reactivos en el grupo de edad 25 a 29 años</v>
      </c>
      <c r="CP23" s="2195" t="str">
        <f t="shared" si="21"/>
        <v>* El total de procesados debe ser mayor o igual al total de Reactivos en el grupo de edad 30 a 34 años</v>
      </c>
      <c r="CQ23" s="2195" t="str">
        <f t="shared" si="22"/>
        <v>* El total de procesados debe ser mayor o igual al total de Reactivos en el grupo de edad 35 a 39 años</v>
      </c>
      <c r="CR23" s="2195" t="str">
        <f t="shared" si="23"/>
        <v>* El total de procesados debe ser mayor o igual al total de Reactivos en el grupo de edad 40 a 44 años</v>
      </c>
      <c r="CS23" s="2195" t="str">
        <f t="shared" si="24"/>
        <v>* El total de procesados debe ser mayor o igual al total de Reactivos en el grupo de edad 45 a 49 años</v>
      </c>
      <c r="CT23" s="2195" t="str">
        <f t="shared" si="25"/>
        <v>* El total de procesados debe ser mayor o igual al total de Reactivos en el grupo de edad 50 a 54 años</v>
      </c>
      <c r="CU23" s="2195" t="str">
        <f t="shared" si="26"/>
        <v>* El total de procesados debe ser mayor o igual al total de Reactivos en el grupo de edad 55 a 59 años</v>
      </c>
      <c r="CV23" s="2195" t="str">
        <f t="shared" si="27"/>
        <v>* El total de procesados debe ser mayor o igual al total de Reactivos en el grupo de edad 60 a 64 años</v>
      </c>
      <c r="CW23" s="2195" t="str">
        <f t="shared" si="28"/>
        <v>* El total de procesados debe ser mayor o igual al total de Reactivos en el grupo de edad 65 a 69 años</v>
      </c>
      <c r="CX23" s="2195" t="str">
        <f t="shared" si="29"/>
        <v>* El total de procesados debe ser mayor o igual al total de Reactivos en el grupo de edad 70 a 74 años</v>
      </c>
      <c r="CY23" s="2195" t="str">
        <f t="shared" si="30"/>
        <v>* El total de procesados debe ser mayor o igual al total de Reactivos en el grupo de edad 75 a 79 años</v>
      </c>
      <c r="CZ23" s="2195" t="str">
        <f t="shared" si="31"/>
        <v>* El total de procesados debe ser mayor o igual al total de Reactivos en el grupo de edad 80 y más años</v>
      </c>
      <c r="DA23" s="2195" t="str">
        <f t="shared" si="0"/>
        <v/>
      </c>
      <c r="DB23" s="1446">
        <f t="shared" si="1"/>
        <v>1</v>
      </c>
      <c r="DC23" s="1446" t="e">
        <f t="shared" si="2"/>
        <v>#VALUE!</v>
      </c>
      <c r="DD23" s="1446" t="e">
        <f t="shared" si="3"/>
        <v>#VALUE!</v>
      </c>
      <c r="DE23" s="1446">
        <f t="shared" si="4"/>
        <v>1</v>
      </c>
      <c r="DF23" s="1446">
        <f t="shared" si="5"/>
        <v>1</v>
      </c>
      <c r="DG23" s="1446">
        <f t="shared" si="32"/>
        <v>1</v>
      </c>
      <c r="DH23" s="1446">
        <f t="shared" si="33"/>
        <v>1</v>
      </c>
      <c r="DI23" s="1446">
        <f t="shared" si="34"/>
        <v>1</v>
      </c>
      <c r="DJ23" s="1446">
        <f t="shared" si="35"/>
        <v>1</v>
      </c>
      <c r="DK23" s="1446">
        <f t="shared" si="36"/>
        <v>1</v>
      </c>
      <c r="DL23" s="1446">
        <f t="shared" si="37"/>
        <v>1</v>
      </c>
      <c r="DM23" s="1446">
        <f t="shared" si="38"/>
        <v>1</v>
      </c>
      <c r="DN23" s="1446">
        <f t="shared" si="39"/>
        <v>1</v>
      </c>
      <c r="DO23" s="1446">
        <f t="shared" si="40"/>
        <v>1</v>
      </c>
      <c r="DP23" s="1446">
        <f t="shared" si="41"/>
        <v>1</v>
      </c>
      <c r="DQ23" s="1446">
        <f t="shared" si="42"/>
        <v>1</v>
      </c>
      <c r="DR23" s="1446">
        <f t="shared" si="43"/>
        <v>1</v>
      </c>
      <c r="DS23" s="1446">
        <f t="shared" si="44"/>
        <v>1</v>
      </c>
      <c r="DT23" s="1446">
        <f t="shared" si="45"/>
        <v>1</v>
      </c>
      <c r="DU23" s="1446">
        <f t="shared" si="46"/>
        <v>1</v>
      </c>
      <c r="DV23" s="1446">
        <f t="shared" si="47"/>
        <v>1</v>
      </c>
      <c r="DW23" s="1446">
        <f t="shared" si="48"/>
        <v>1</v>
      </c>
      <c r="DX23" s="1446">
        <f t="shared" si="49"/>
        <v>1</v>
      </c>
      <c r="DY23" s="1446">
        <f t="shared" si="50"/>
        <v>1</v>
      </c>
      <c r="DZ23" s="1446">
        <f t="shared" si="51"/>
        <v>1</v>
      </c>
      <c r="EA23" s="1446">
        <f t="shared" si="52"/>
        <v>0</v>
      </c>
    </row>
    <row r="24" spans="1:131" ht="16.2" customHeight="1" x14ac:dyDescent="0.3">
      <c r="A24" s="7258">
        <v>11040300</v>
      </c>
      <c r="B24" s="2032" t="s">
        <v>1797</v>
      </c>
      <c r="C24" s="1998" t="s">
        <v>5369</v>
      </c>
      <c r="D24" s="2044" t="s">
        <v>5370</v>
      </c>
      <c r="E24" s="1134" t="s">
        <v>5371</v>
      </c>
      <c r="F24" s="1135" t="s">
        <v>5372</v>
      </c>
      <c r="G24" s="1114" t="s">
        <v>5373</v>
      </c>
      <c r="H24" s="1135" t="s">
        <v>5374</v>
      </c>
      <c r="I24" s="1114" t="s">
        <v>5375</v>
      </c>
      <c r="J24" s="1118" t="s">
        <v>5376</v>
      </c>
      <c r="K24" s="1134" t="s">
        <v>5377</v>
      </c>
      <c r="L24" s="1134" t="s">
        <v>5378</v>
      </c>
      <c r="M24" s="1114" t="s">
        <v>5379</v>
      </c>
      <c r="N24" s="1118" t="s">
        <v>5380</v>
      </c>
      <c r="O24" s="1134" t="s">
        <v>5381</v>
      </c>
      <c r="P24" s="1135" t="s">
        <v>5382</v>
      </c>
      <c r="Q24" s="1114" t="s">
        <v>5383</v>
      </c>
      <c r="R24" s="1135" t="s">
        <v>5384</v>
      </c>
      <c r="S24" s="1114" t="s">
        <v>5385</v>
      </c>
      <c r="T24" s="1135" t="s">
        <v>5386</v>
      </c>
      <c r="U24" s="1114" t="s">
        <v>5387</v>
      </c>
      <c r="V24" s="1135" t="s">
        <v>5388</v>
      </c>
      <c r="W24" s="1114" t="s">
        <v>5389</v>
      </c>
      <c r="X24" s="1135" t="s">
        <v>5390</v>
      </c>
      <c r="Y24" s="1114" t="s">
        <v>5391</v>
      </c>
      <c r="Z24" s="1135" t="s">
        <v>5392</v>
      </c>
      <c r="AA24" s="1114" t="s">
        <v>5393</v>
      </c>
      <c r="AB24" s="1135" t="s">
        <v>5394</v>
      </c>
      <c r="AC24" s="1114" t="s">
        <v>5395</v>
      </c>
      <c r="AD24" s="1135" t="s">
        <v>5396</v>
      </c>
      <c r="AE24" s="1114" t="s">
        <v>5397</v>
      </c>
      <c r="AF24" s="1135" t="s">
        <v>5398</v>
      </c>
      <c r="AG24" s="1114" t="s">
        <v>5399</v>
      </c>
      <c r="AH24" s="1135" t="s">
        <v>5400</v>
      </c>
      <c r="AI24" s="1114" t="s">
        <v>5401</v>
      </c>
      <c r="AJ24" s="1135" t="s">
        <v>5402</v>
      </c>
      <c r="AK24" s="1114" t="s">
        <v>5403</v>
      </c>
      <c r="AL24" s="1135" t="s">
        <v>5404</v>
      </c>
      <c r="AM24" s="1114" t="s">
        <v>5405</v>
      </c>
      <c r="AN24" s="1135" t="s">
        <v>5406</v>
      </c>
      <c r="AO24" s="1114" t="s">
        <v>5407</v>
      </c>
      <c r="AP24" s="1135" t="s">
        <v>5408</v>
      </c>
      <c r="AQ24" s="1114" t="s">
        <v>5409</v>
      </c>
      <c r="AR24" s="1136" t="s">
        <v>5410</v>
      </c>
      <c r="AS24" s="1134" t="s">
        <v>5411</v>
      </c>
      <c r="AT24" s="1136" t="s">
        <v>5412</v>
      </c>
      <c r="AU24" s="1134" t="s">
        <v>5413</v>
      </c>
      <c r="AV24" s="1135" t="s">
        <v>5414</v>
      </c>
      <c r="AW24" s="1114" t="s">
        <v>5415</v>
      </c>
      <c r="AX24" s="1118" t="s">
        <v>5416</v>
      </c>
      <c r="AY24" s="1197" t="e">
        <f t="shared" si="6"/>
        <v>#VALUE!</v>
      </c>
      <c r="AZ24" s="1197"/>
      <c r="BA24" s="1197"/>
      <c r="BB24" s="1197"/>
      <c r="BC24" s="1197"/>
      <c r="BD24" s="1197"/>
      <c r="BE24" s="1197"/>
      <c r="BF24" s="1197"/>
      <c r="BG24" s="1197"/>
      <c r="BH24" s="1197"/>
      <c r="BI24" s="1197"/>
      <c r="BJ24" s="1191"/>
      <c r="BK24" s="1191"/>
      <c r="BL24" s="1191"/>
      <c r="BM24" s="1191"/>
      <c r="BV24" s="1191"/>
      <c r="BX24" s="1547"/>
      <c r="CB24" s="2195" t="str">
        <f t="shared" si="7"/>
        <v xml:space="preserve">* El total de Reactivos NO DEBE ser superior al total de Procesados. </v>
      </c>
      <c r="CC24" s="2195" t="e">
        <f t="shared" si="8"/>
        <v>#VALUE!</v>
      </c>
      <c r="CD24" s="2195" t="e">
        <f t="shared" si="9"/>
        <v>#VALUE!</v>
      </c>
      <c r="CE24" s="2195" t="str">
        <f t="shared" si="10"/>
        <v xml:space="preserve">* La columna Pueblos Originarios NO DEBE ser superior al total de Procesados. </v>
      </c>
      <c r="CF24" s="2195" t="str">
        <f t="shared" si="11"/>
        <v xml:space="preserve">* La columna Migrantes NO DEBE ser superior al total de Procesados. </v>
      </c>
      <c r="CG24" s="2195" t="str">
        <f t="shared" si="12"/>
        <v>* El total de procesados debe ser mayor o igual al total de Reactivos en el grupo de edad Menor de 6 meses</v>
      </c>
      <c r="CH24" s="2195" t="str">
        <f t="shared" si="13"/>
        <v>* El total de procesados debe ser mayor o igual al total de Reactivos en el grupo de edad 6 a 11 meses</v>
      </c>
      <c r="CI24" s="2195" t="str">
        <f t="shared" si="14"/>
        <v>* El total de procesados debe ser mayor o igual al total de Reactivos en el grupo de edad 12-24 meses</v>
      </c>
      <c r="CJ24" s="2195" t="str">
        <f t="shared" si="15"/>
        <v>* El total de procesados debe ser mayor o igual al total de Reactivos en el grupo de edad 3 a 4 años</v>
      </c>
      <c r="CK24" s="2195" t="str">
        <f t="shared" si="16"/>
        <v>* El total de procesados debe ser mayor o igual al total de Reactivos en el grupo de edad 5 a 9 años</v>
      </c>
      <c r="CL24" s="2195" t="str">
        <f t="shared" si="17"/>
        <v>* El total de procesados debe ser mayor o igual al total de Reactivos en el grupo de edad 10 - 14 años</v>
      </c>
      <c r="CM24" s="2195" t="str">
        <f t="shared" si="18"/>
        <v>* El total de procesados debe ser mayor o igual al total de Reactivos en el grupo de edad 15 - 19 años</v>
      </c>
      <c r="CN24" s="2195" t="str">
        <f t="shared" si="19"/>
        <v>* El total de procesados debe ser mayor o igual al total de Reactivos en el grupo de edad 20 - 24 años</v>
      </c>
      <c r="CO24" s="2195" t="str">
        <f t="shared" si="20"/>
        <v>* El total de procesados debe ser mayor o igual al total de Reactivos en el grupo de edad 25 a 29 años</v>
      </c>
      <c r="CP24" s="2195" t="str">
        <f t="shared" si="21"/>
        <v>* El total de procesados debe ser mayor o igual al total de Reactivos en el grupo de edad 30 a 34 años</v>
      </c>
      <c r="CQ24" s="2195" t="str">
        <f t="shared" si="22"/>
        <v>* El total de procesados debe ser mayor o igual al total de Reactivos en el grupo de edad 35 a 39 años</v>
      </c>
      <c r="CR24" s="2195" t="str">
        <f t="shared" si="23"/>
        <v>* El total de procesados debe ser mayor o igual al total de Reactivos en el grupo de edad 40 a 44 años</v>
      </c>
      <c r="CS24" s="2195" t="str">
        <f t="shared" si="24"/>
        <v>* El total de procesados debe ser mayor o igual al total de Reactivos en el grupo de edad 45 a 49 años</v>
      </c>
      <c r="CT24" s="2195" t="str">
        <f t="shared" si="25"/>
        <v>* El total de procesados debe ser mayor o igual al total de Reactivos en el grupo de edad 50 a 54 años</v>
      </c>
      <c r="CU24" s="2195" t="str">
        <f t="shared" si="26"/>
        <v>* El total de procesados debe ser mayor o igual al total de Reactivos en el grupo de edad 55 a 59 años</v>
      </c>
      <c r="CV24" s="2195" t="str">
        <f t="shared" si="27"/>
        <v>* El total de procesados debe ser mayor o igual al total de Reactivos en el grupo de edad 60 a 64 años</v>
      </c>
      <c r="CW24" s="2195" t="str">
        <f t="shared" si="28"/>
        <v>* El total de procesados debe ser mayor o igual al total de Reactivos en el grupo de edad 65 a 69 años</v>
      </c>
      <c r="CX24" s="2195" t="str">
        <f t="shared" si="29"/>
        <v>* El total de procesados debe ser mayor o igual al total de Reactivos en el grupo de edad 70 a 74 años</v>
      </c>
      <c r="CY24" s="2195" t="str">
        <f t="shared" si="30"/>
        <v>* El total de procesados debe ser mayor o igual al total de Reactivos en el grupo de edad 75 a 79 años</v>
      </c>
      <c r="CZ24" s="2195" t="str">
        <f t="shared" si="31"/>
        <v>* El total de procesados debe ser mayor o igual al total de Reactivos en el grupo de edad 80 y más años</v>
      </c>
      <c r="DA24" s="2195" t="str">
        <f t="shared" si="0"/>
        <v/>
      </c>
      <c r="DB24" s="1446">
        <f t="shared" si="1"/>
        <v>1</v>
      </c>
      <c r="DC24" s="1446" t="e">
        <f t="shared" si="2"/>
        <v>#VALUE!</v>
      </c>
      <c r="DD24" s="1446" t="e">
        <f t="shared" si="3"/>
        <v>#VALUE!</v>
      </c>
      <c r="DE24" s="1446">
        <f t="shared" si="4"/>
        <v>1</v>
      </c>
      <c r="DF24" s="1446">
        <f t="shared" si="5"/>
        <v>1</v>
      </c>
      <c r="DG24" s="1446">
        <f t="shared" si="32"/>
        <v>1</v>
      </c>
      <c r="DH24" s="1446">
        <f t="shared" si="33"/>
        <v>1</v>
      </c>
      <c r="DI24" s="1446">
        <f t="shared" si="34"/>
        <v>1</v>
      </c>
      <c r="DJ24" s="1446">
        <f t="shared" si="35"/>
        <v>1</v>
      </c>
      <c r="DK24" s="1446">
        <f t="shared" si="36"/>
        <v>1</v>
      </c>
      <c r="DL24" s="1446">
        <f t="shared" si="37"/>
        <v>1</v>
      </c>
      <c r="DM24" s="1446">
        <f t="shared" si="38"/>
        <v>1</v>
      </c>
      <c r="DN24" s="1446">
        <f t="shared" si="39"/>
        <v>1</v>
      </c>
      <c r="DO24" s="1446">
        <f t="shared" si="40"/>
        <v>1</v>
      </c>
      <c r="DP24" s="1446">
        <f t="shared" si="41"/>
        <v>1</v>
      </c>
      <c r="DQ24" s="1446">
        <f t="shared" si="42"/>
        <v>1</v>
      </c>
      <c r="DR24" s="1446">
        <f t="shared" si="43"/>
        <v>1</v>
      </c>
      <c r="DS24" s="1446">
        <f t="shared" si="44"/>
        <v>1</v>
      </c>
      <c r="DT24" s="1446">
        <f t="shared" si="45"/>
        <v>1</v>
      </c>
      <c r="DU24" s="1446">
        <f t="shared" si="46"/>
        <v>1</v>
      </c>
      <c r="DV24" s="1446">
        <f t="shared" si="47"/>
        <v>1</v>
      </c>
      <c r="DW24" s="1446">
        <f t="shared" si="48"/>
        <v>1</v>
      </c>
      <c r="DX24" s="1446">
        <f t="shared" si="49"/>
        <v>1</v>
      </c>
      <c r="DY24" s="1446">
        <f t="shared" si="50"/>
        <v>1</v>
      </c>
      <c r="DZ24" s="1446">
        <f t="shared" si="51"/>
        <v>1</v>
      </c>
      <c r="EA24" s="1446">
        <f t="shared" si="52"/>
        <v>0</v>
      </c>
    </row>
    <row r="25" spans="1:131" ht="16.2" customHeight="1" x14ac:dyDescent="0.3">
      <c r="A25" s="7258">
        <v>11040600</v>
      </c>
      <c r="B25" s="2032" t="s">
        <v>2184</v>
      </c>
      <c r="C25" s="1998" t="s">
        <v>5369</v>
      </c>
      <c r="D25" s="2044" t="s">
        <v>5370</v>
      </c>
      <c r="E25" s="1130" t="s">
        <v>5371</v>
      </c>
      <c r="F25" s="1131" t="s">
        <v>5372</v>
      </c>
      <c r="G25" s="1132" t="s">
        <v>5373</v>
      </c>
      <c r="H25" s="1131" t="s">
        <v>5374</v>
      </c>
      <c r="I25" s="1132" t="s">
        <v>5375</v>
      </c>
      <c r="J25" s="1131" t="s">
        <v>5376</v>
      </c>
      <c r="K25" s="1132" t="s">
        <v>5377</v>
      </c>
      <c r="L25" s="1131" t="s">
        <v>5378</v>
      </c>
      <c r="M25" s="1132" t="s">
        <v>5379</v>
      </c>
      <c r="N25" s="1133" t="s">
        <v>5380</v>
      </c>
      <c r="O25" s="1130" t="s">
        <v>5381</v>
      </c>
      <c r="P25" s="1131" t="s">
        <v>5382</v>
      </c>
      <c r="Q25" s="1114" t="s">
        <v>5383</v>
      </c>
      <c r="R25" s="1135" t="s">
        <v>5384</v>
      </c>
      <c r="S25" s="1114" t="s">
        <v>5385</v>
      </c>
      <c r="T25" s="1135" t="s">
        <v>5386</v>
      </c>
      <c r="U25" s="1114" t="s">
        <v>5387</v>
      </c>
      <c r="V25" s="1135" t="s">
        <v>5388</v>
      </c>
      <c r="W25" s="1114" t="s">
        <v>5389</v>
      </c>
      <c r="X25" s="1135" t="s">
        <v>5390</v>
      </c>
      <c r="Y25" s="1114" t="s">
        <v>5391</v>
      </c>
      <c r="Z25" s="1135" t="s">
        <v>5392</v>
      </c>
      <c r="AA25" s="1114" t="s">
        <v>5393</v>
      </c>
      <c r="AB25" s="1135" t="s">
        <v>5394</v>
      </c>
      <c r="AC25" s="1114" t="s">
        <v>5395</v>
      </c>
      <c r="AD25" s="1135" t="s">
        <v>5396</v>
      </c>
      <c r="AE25" s="1114" t="s">
        <v>5397</v>
      </c>
      <c r="AF25" s="1135" t="s">
        <v>5398</v>
      </c>
      <c r="AG25" s="1114" t="s">
        <v>5399</v>
      </c>
      <c r="AH25" s="1135" t="s">
        <v>5400</v>
      </c>
      <c r="AI25" s="1114" t="s">
        <v>5401</v>
      </c>
      <c r="AJ25" s="1135" t="s">
        <v>5402</v>
      </c>
      <c r="AK25" s="1114" t="s">
        <v>5403</v>
      </c>
      <c r="AL25" s="1135" t="s">
        <v>5404</v>
      </c>
      <c r="AM25" s="1114" t="s">
        <v>5405</v>
      </c>
      <c r="AN25" s="1135" t="s">
        <v>5406</v>
      </c>
      <c r="AO25" s="1114" t="s">
        <v>5407</v>
      </c>
      <c r="AP25" s="1135" t="s">
        <v>5408</v>
      </c>
      <c r="AQ25" s="1114" t="s">
        <v>5409</v>
      </c>
      <c r="AR25" s="1136" t="s">
        <v>5410</v>
      </c>
      <c r="AS25" s="1134" t="s">
        <v>5411</v>
      </c>
      <c r="AT25" s="1136" t="s">
        <v>5412</v>
      </c>
      <c r="AU25" s="1134" t="s">
        <v>5413</v>
      </c>
      <c r="AV25" s="1135" t="s">
        <v>5414</v>
      </c>
      <c r="AW25" s="1114" t="s">
        <v>5415</v>
      </c>
      <c r="AX25" s="1118" t="s">
        <v>5416</v>
      </c>
      <c r="AY25" s="1197" t="e">
        <f t="shared" si="6"/>
        <v>#VALUE!</v>
      </c>
      <c r="AZ25" s="1197"/>
      <c r="BA25" s="1197"/>
      <c r="BB25" s="1197"/>
      <c r="BC25" s="1197"/>
      <c r="BD25" s="1197"/>
      <c r="BE25" s="1197"/>
      <c r="BF25" s="1197"/>
      <c r="BG25" s="1197"/>
      <c r="BH25" s="1197"/>
      <c r="BI25" s="1197"/>
      <c r="BJ25" s="1191"/>
      <c r="BK25" s="1191"/>
      <c r="BL25" s="1191"/>
      <c r="BM25" s="1191"/>
      <c r="BV25" s="1191"/>
      <c r="BX25" s="1547"/>
      <c r="CB25" s="2195" t="str">
        <f t="shared" si="7"/>
        <v xml:space="preserve">* El total de Reactivos NO DEBE ser superior al total de Procesados. </v>
      </c>
      <c r="CC25" s="2195" t="e">
        <f t="shared" si="8"/>
        <v>#VALUE!</v>
      </c>
      <c r="CD25" s="2195" t="e">
        <f t="shared" si="9"/>
        <v>#VALUE!</v>
      </c>
      <c r="CE25" s="2195" t="str">
        <f t="shared" si="10"/>
        <v xml:space="preserve">* La columna Pueblos Originarios NO DEBE ser superior al total de Procesados. </v>
      </c>
      <c r="CF25" s="2195" t="str">
        <f t="shared" si="11"/>
        <v xml:space="preserve">* La columna Migrantes NO DEBE ser superior al total de Procesados. </v>
      </c>
      <c r="CG25" s="2195" t="str">
        <f t="shared" si="12"/>
        <v>* El total de procesados debe ser mayor o igual al total de Reactivos en el grupo de edad Menor de 6 meses</v>
      </c>
      <c r="CH25" s="2195" t="str">
        <f t="shared" si="13"/>
        <v>* El total de procesados debe ser mayor o igual al total de Reactivos en el grupo de edad 6 a 11 meses</v>
      </c>
      <c r="CI25" s="2195" t="str">
        <f t="shared" si="14"/>
        <v>* El total de procesados debe ser mayor o igual al total de Reactivos en el grupo de edad 12-24 meses</v>
      </c>
      <c r="CJ25" s="2195" t="str">
        <f t="shared" si="15"/>
        <v>* El total de procesados debe ser mayor o igual al total de Reactivos en el grupo de edad 3 a 4 años</v>
      </c>
      <c r="CK25" s="2195" t="str">
        <f t="shared" si="16"/>
        <v>* El total de procesados debe ser mayor o igual al total de Reactivos en el grupo de edad 5 a 9 años</v>
      </c>
      <c r="CL25" s="2195" t="str">
        <f t="shared" si="17"/>
        <v>* El total de procesados debe ser mayor o igual al total de Reactivos en el grupo de edad 10 - 14 años</v>
      </c>
      <c r="CM25" s="2195" t="str">
        <f t="shared" si="18"/>
        <v>* El total de procesados debe ser mayor o igual al total de Reactivos en el grupo de edad 15 - 19 años</v>
      </c>
      <c r="CN25" s="2195" t="str">
        <f t="shared" si="19"/>
        <v>* El total de procesados debe ser mayor o igual al total de Reactivos en el grupo de edad 20 - 24 años</v>
      </c>
      <c r="CO25" s="2195" t="str">
        <f t="shared" si="20"/>
        <v>* El total de procesados debe ser mayor o igual al total de Reactivos en el grupo de edad 25 a 29 años</v>
      </c>
      <c r="CP25" s="2195" t="str">
        <f t="shared" si="21"/>
        <v>* El total de procesados debe ser mayor o igual al total de Reactivos en el grupo de edad 30 a 34 años</v>
      </c>
      <c r="CQ25" s="2195" t="str">
        <f t="shared" si="22"/>
        <v>* El total de procesados debe ser mayor o igual al total de Reactivos en el grupo de edad 35 a 39 años</v>
      </c>
      <c r="CR25" s="2195" t="str">
        <f t="shared" si="23"/>
        <v>* El total de procesados debe ser mayor o igual al total de Reactivos en el grupo de edad 40 a 44 años</v>
      </c>
      <c r="CS25" s="2195" t="str">
        <f t="shared" si="24"/>
        <v>* El total de procesados debe ser mayor o igual al total de Reactivos en el grupo de edad 45 a 49 años</v>
      </c>
      <c r="CT25" s="2195" t="str">
        <f t="shared" si="25"/>
        <v>* El total de procesados debe ser mayor o igual al total de Reactivos en el grupo de edad 50 a 54 años</v>
      </c>
      <c r="CU25" s="2195" t="str">
        <f t="shared" si="26"/>
        <v>* El total de procesados debe ser mayor o igual al total de Reactivos en el grupo de edad 55 a 59 años</v>
      </c>
      <c r="CV25" s="2195" t="str">
        <f t="shared" si="27"/>
        <v>* El total de procesados debe ser mayor o igual al total de Reactivos en el grupo de edad 60 a 64 años</v>
      </c>
      <c r="CW25" s="2195" t="str">
        <f t="shared" si="28"/>
        <v>* El total de procesados debe ser mayor o igual al total de Reactivos en el grupo de edad 65 a 69 años</v>
      </c>
      <c r="CX25" s="2195" t="str">
        <f t="shared" si="29"/>
        <v>* El total de procesados debe ser mayor o igual al total de Reactivos en el grupo de edad 70 a 74 años</v>
      </c>
      <c r="CY25" s="2195" t="str">
        <f t="shared" si="30"/>
        <v>* El total de procesados debe ser mayor o igual al total de Reactivos en el grupo de edad 75 a 79 años</v>
      </c>
      <c r="CZ25" s="2195" t="str">
        <f t="shared" si="31"/>
        <v>* El total de procesados debe ser mayor o igual al total de Reactivos en el grupo de edad 80 y más años</v>
      </c>
      <c r="DA25" s="2195" t="str">
        <f t="shared" si="0"/>
        <v/>
      </c>
      <c r="DB25" s="1446">
        <f t="shared" si="1"/>
        <v>1</v>
      </c>
      <c r="DC25" s="1446" t="e">
        <f t="shared" si="2"/>
        <v>#VALUE!</v>
      </c>
      <c r="DD25" s="1446" t="e">
        <f t="shared" si="3"/>
        <v>#VALUE!</v>
      </c>
      <c r="DE25" s="1446">
        <f t="shared" si="4"/>
        <v>1</v>
      </c>
      <c r="DF25" s="1446">
        <f t="shared" si="5"/>
        <v>1</v>
      </c>
      <c r="DG25" s="1446">
        <f t="shared" si="32"/>
        <v>1</v>
      </c>
      <c r="DH25" s="1446">
        <f t="shared" si="33"/>
        <v>1</v>
      </c>
      <c r="DI25" s="1446">
        <f t="shared" si="34"/>
        <v>1</v>
      </c>
      <c r="DJ25" s="1446">
        <f t="shared" si="35"/>
        <v>1</v>
      </c>
      <c r="DK25" s="1446">
        <f t="shared" si="36"/>
        <v>1</v>
      </c>
      <c r="DL25" s="1446">
        <f t="shared" si="37"/>
        <v>1</v>
      </c>
      <c r="DM25" s="1446">
        <f t="shared" si="38"/>
        <v>1</v>
      </c>
      <c r="DN25" s="1446">
        <f t="shared" si="39"/>
        <v>1</v>
      </c>
      <c r="DO25" s="1446">
        <f t="shared" si="40"/>
        <v>1</v>
      </c>
      <c r="DP25" s="1446">
        <f t="shared" si="41"/>
        <v>1</v>
      </c>
      <c r="DQ25" s="1446">
        <f t="shared" si="42"/>
        <v>1</v>
      </c>
      <c r="DR25" s="1446">
        <f t="shared" si="43"/>
        <v>1</v>
      </c>
      <c r="DS25" s="1446">
        <f t="shared" si="44"/>
        <v>1</v>
      </c>
      <c r="DT25" s="1446">
        <f t="shared" si="45"/>
        <v>1</v>
      </c>
      <c r="DU25" s="1446">
        <f t="shared" si="46"/>
        <v>1</v>
      </c>
      <c r="DV25" s="1446">
        <f t="shared" si="47"/>
        <v>1</v>
      </c>
      <c r="DW25" s="1446">
        <f t="shared" si="48"/>
        <v>1</v>
      </c>
      <c r="DX25" s="1446">
        <f t="shared" si="49"/>
        <v>1</v>
      </c>
      <c r="DY25" s="1446">
        <f t="shared" si="50"/>
        <v>1</v>
      </c>
      <c r="DZ25" s="1446">
        <f t="shared" si="51"/>
        <v>1</v>
      </c>
      <c r="EA25" s="1446">
        <f t="shared" si="52"/>
        <v>0</v>
      </c>
    </row>
    <row r="26" spans="1:131" ht="16.2" customHeight="1" x14ac:dyDescent="0.3">
      <c r="A26" s="7258">
        <v>11040500</v>
      </c>
      <c r="B26" s="2032" t="s">
        <v>1798</v>
      </c>
      <c r="C26" s="1998" t="s">
        <v>5369</v>
      </c>
      <c r="D26" s="2044" t="s">
        <v>5370</v>
      </c>
      <c r="E26" s="1130" t="s">
        <v>5371</v>
      </c>
      <c r="F26" s="1131" t="s">
        <v>5372</v>
      </c>
      <c r="G26" s="1132" t="s">
        <v>5373</v>
      </c>
      <c r="H26" s="1131" t="s">
        <v>5374</v>
      </c>
      <c r="I26" s="1132" t="s">
        <v>5375</v>
      </c>
      <c r="J26" s="1131" t="s">
        <v>5376</v>
      </c>
      <c r="K26" s="1132" t="s">
        <v>5377</v>
      </c>
      <c r="L26" s="1131" t="s">
        <v>5378</v>
      </c>
      <c r="M26" s="1132" t="s">
        <v>5379</v>
      </c>
      <c r="N26" s="1133" t="s">
        <v>5380</v>
      </c>
      <c r="O26" s="1130" t="s">
        <v>5381</v>
      </c>
      <c r="P26" s="1131" t="s">
        <v>5382</v>
      </c>
      <c r="Q26" s="1114" t="s">
        <v>5383</v>
      </c>
      <c r="R26" s="1135" t="s">
        <v>5384</v>
      </c>
      <c r="S26" s="1114" t="s">
        <v>5385</v>
      </c>
      <c r="T26" s="1135" t="s">
        <v>5386</v>
      </c>
      <c r="U26" s="1114" t="s">
        <v>5387</v>
      </c>
      <c r="V26" s="1135" t="s">
        <v>5388</v>
      </c>
      <c r="W26" s="1114" t="s">
        <v>5389</v>
      </c>
      <c r="X26" s="1135" t="s">
        <v>5390</v>
      </c>
      <c r="Y26" s="1114" t="s">
        <v>5391</v>
      </c>
      <c r="Z26" s="1135" t="s">
        <v>5392</v>
      </c>
      <c r="AA26" s="1114" t="s">
        <v>5393</v>
      </c>
      <c r="AB26" s="1135" t="s">
        <v>5394</v>
      </c>
      <c r="AC26" s="1114" t="s">
        <v>5395</v>
      </c>
      <c r="AD26" s="1135" t="s">
        <v>5396</v>
      </c>
      <c r="AE26" s="1114" t="s">
        <v>5397</v>
      </c>
      <c r="AF26" s="1135" t="s">
        <v>5398</v>
      </c>
      <c r="AG26" s="1114" t="s">
        <v>5399</v>
      </c>
      <c r="AH26" s="1135" t="s">
        <v>5400</v>
      </c>
      <c r="AI26" s="1114" t="s">
        <v>5401</v>
      </c>
      <c r="AJ26" s="1135" t="s">
        <v>5402</v>
      </c>
      <c r="AK26" s="1132" t="s">
        <v>5403</v>
      </c>
      <c r="AL26" s="1131" t="s">
        <v>5404</v>
      </c>
      <c r="AM26" s="1132" t="s">
        <v>5405</v>
      </c>
      <c r="AN26" s="1131" t="s">
        <v>5406</v>
      </c>
      <c r="AO26" s="1132" t="s">
        <v>5407</v>
      </c>
      <c r="AP26" s="1131" t="s">
        <v>5408</v>
      </c>
      <c r="AQ26" s="1132" t="s">
        <v>5409</v>
      </c>
      <c r="AR26" s="1144" t="s">
        <v>5410</v>
      </c>
      <c r="AS26" s="1134" t="s">
        <v>5411</v>
      </c>
      <c r="AT26" s="1136" t="s">
        <v>5412</v>
      </c>
      <c r="AU26" s="1134" t="s">
        <v>5413</v>
      </c>
      <c r="AV26" s="1135" t="s">
        <v>5414</v>
      </c>
      <c r="AW26" s="1114" t="s">
        <v>5415</v>
      </c>
      <c r="AX26" s="1118" t="s">
        <v>5416</v>
      </c>
      <c r="AY26" s="1197" t="e">
        <f t="shared" si="6"/>
        <v>#VALUE!</v>
      </c>
      <c r="AZ26" s="1197"/>
      <c r="BA26" s="1197"/>
      <c r="BB26" s="1197"/>
      <c r="BC26" s="1197"/>
      <c r="BD26" s="1197"/>
      <c r="BE26" s="1197"/>
      <c r="BF26" s="1197"/>
      <c r="BG26" s="1197"/>
      <c r="BH26" s="1197"/>
      <c r="BI26" s="1197"/>
      <c r="BJ26" s="1191"/>
      <c r="BK26" s="1191"/>
      <c r="BL26" s="1191"/>
      <c r="BM26" s="1191"/>
      <c r="BV26" s="1191"/>
      <c r="BX26" s="1547"/>
      <c r="CB26" s="2195" t="str">
        <f t="shared" si="7"/>
        <v xml:space="preserve">* El total de Reactivos NO DEBE ser superior al total de Procesados. </v>
      </c>
      <c r="CC26" s="2195" t="e">
        <f t="shared" si="8"/>
        <v>#VALUE!</v>
      </c>
      <c r="CD26" s="2195" t="e">
        <f t="shared" si="9"/>
        <v>#VALUE!</v>
      </c>
      <c r="CE26" s="2195" t="str">
        <f t="shared" si="10"/>
        <v xml:space="preserve">* La columna Pueblos Originarios NO DEBE ser superior al total de Procesados. </v>
      </c>
      <c r="CF26" s="2195" t="str">
        <f t="shared" si="11"/>
        <v xml:space="preserve">* La columna Migrantes NO DEBE ser superior al total de Procesados. </v>
      </c>
      <c r="CG26" s="2195" t="str">
        <f t="shared" si="12"/>
        <v>* El total de procesados debe ser mayor o igual al total de Reactivos en el grupo de edad Menor de 6 meses</v>
      </c>
      <c r="CH26" s="2195" t="str">
        <f t="shared" si="13"/>
        <v>* El total de procesados debe ser mayor o igual al total de Reactivos en el grupo de edad 6 a 11 meses</v>
      </c>
      <c r="CI26" s="2195" t="str">
        <f t="shared" si="14"/>
        <v>* El total de procesados debe ser mayor o igual al total de Reactivos en el grupo de edad 12-24 meses</v>
      </c>
      <c r="CJ26" s="2195" t="str">
        <f t="shared" si="15"/>
        <v>* El total de procesados debe ser mayor o igual al total de Reactivos en el grupo de edad 3 a 4 años</v>
      </c>
      <c r="CK26" s="2195" t="str">
        <f t="shared" si="16"/>
        <v>* El total de procesados debe ser mayor o igual al total de Reactivos en el grupo de edad 5 a 9 años</v>
      </c>
      <c r="CL26" s="2195" t="str">
        <f t="shared" si="17"/>
        <v>* El total de procesados debe ser mayor o igual al total de Reactivos en el grupo de edad 10 - 14 años</v>
      </c>
      <c r="CM26" s="2195" t="str">
        <f t="shared" si="18"/>
        <v>* El total de procesados debe ser mayor o igual al total de Reactivos en el grupo de edad 15 - 19 años</v>
      </c>
      <c r="CN26" s="2195" t="str">
        <f t="shared" si="19"/>
        <v>* El total de procesados debe ser mayor o igual al total de Reactivos en el grupo de edad 20 - 24 años</v>
      </c>
      <c r="CO26" s="2195" t="str">
        <f t="shared" si="20"/>
        <v>* El total de procesados debe ser mayor o igual al total de Reactivos en el grupo de edad 25 a 29 años</v>
      </c>
      <c r="CP26" s="2195" t="str">
        <f t="shared" si="21"/>
        <v>* El total de procesados debe ser mayor o igual al total de Reactivos en el grupo de edad 30 a 34 años</v>
      </c>
      <c r="CQ26" s="2195" t="str">
        <f t="shared" si="22"/>
        <v>* El total de procesados debe ser mayor o igual al total de Reactivos en el grupo de edad 35 a 39 años</v>
      </c>
      <c r="CR26" s="2195" t="str">
        <f t="shared" si="23"/>
        <v>* El total de procesados debe ser mayor o igual al total de Reactivos en el grupo de edad 40 a 44 años</v>
      </c>
      <c r="CS26" s="2195" t="str">
        <f t="shared" si="24"/>
        <v>* El total de procesados debe ser mayor o igual al total de Reactivos en el grupo de edad 45 a 49 años</v>
      </c>
      <c r="CT26" s="2195" t="str">
        <f t="shared" si="25"/>
        <v>* El total de procesados debe ser mayor o igual al total de Reactivos en el grupo de edad 50 a 54 años</v>
      </c>
      <c r="CU26" s="2195" t="str">
        <f t="shared" si="26"/>
        <v>* El total de procesados debe ser mayor o igual al total de Reactivos en el grupo de edad 55 a 59 años</v>
      </c>
      <c r="CV26" s="2195" t="str">
        <f t="shared" si="27"/>
        <v>* El total de procesados debe ser mayor o igual al total de Reactivos en el grupo de edad 60 a 64 años</v>
      </c>
      <c r="CW26" s="2195" t="str">
        <f t="shared" si="28"/>
        <v>* El total de procesados debe ser mayor o igual al total de Reactivos en el grupo de edad 65 a 69 años</v>
      </c>
      <c r="CX26" s="2195" t="str">
        <f t="shared" si="29"/>
        <v>* El total de procesados debe ser mayor o igual al total de Reactivos en el grupo de edad 70 a 74 años</v>
      </c>
      <c r="CY26" s="2195" t="str">
        <f t="shared" si="30"/>
        <v>* El total de procesados debe ser mayor o igual al total de Reactivos en el grupo de edad 75 a 79 años</v>
      </c>
      <c r="CZ26" s="2195" t="str">
        <f t="shared" si="31"/>
        <v>* El total de procesados debe ser mayor o igual al total de Reactivos en el grupo de edad 80 y más años</v>
      </c>
      <c r="DA26" s="2195" t="str">
        <f t="shared" si="0"/>
        <v/>
      </c>
      <c r="DB26" s="1446">
        <f t="shared" si="1"/>
        <v>1</v>
      </c>
      <c r="DC26" s="1446" t="e">
        <f t="shared" si="2"/>
        <v>#VALUE!</v>
      </c>
      <c r="DD26" s="1446" t="e">
        <f t="shared" si="3"/>
        <v>#VALUE!</v>
      </c>
      <c r="DE26" s="1446">
        <f t="shared" si="4"/>
        <v>1</v>
      </c>
      <c r="DF26" s="1446">
        <f t="shared" si="5"/>
        <v>1</v>
      </c>
      <c r="DG26" s="1446">
        <f t="shared" si="32"/>
        <v>1</v>
      </c>
      <c r="DH26" s="1446">
        <f t="shared" si="33"/>
        <v>1</v>
      </c>
      <c r="DI26" s="1446">
        <f t="shared" si="34"/>
        <v>1</v>
      </c>
      <c r="DJ26" s="1446">
        <f t="shared" si="35"/>
        <v>1</v>
      </c>
      <c r="DK26" s="1446">
        <f t="shared" si="36"/>
        <v>1</v>
      </c>
      <c r="DL26" s="1446">
        <f t="shared" si="37"/>
        <v>1</v>
      </c>
      <c r="DM26" s="1446">
        <f t="shared" si="38"/>
        <v>1</v>
      </c>
      <c r="DN26" s="1446">
        <f t="shared" si="39"/>
        <v>1</v>
      </c>
      <c r="DO26" s="1446">
        <f t="shared" si="40"/>
        <v>1</v>
      </c>
      <c r="DP26" s="1446">
        <f t="shared" si="41"/>
        <v>1</v>
      </c>
      <c r="DQ26" s="1446">
        <f t="shared" si="42"/>
        <v>1</v>
      </c>
      <c r="DR26" s="1446">
        <f t="shared" si="43"/>
        <v>1</v>
      </c>
      <c r="DS26" s="1446">
        <f t="shared" si="44"/>
        <v>1</v>
      </c>
      <c r="DT26" s="1446">
        <f t="shared" si="45"/>
        <v>1</v>
      </c>
      <c r="DU26" s="1446">
        <f t="shared" si="46"/>
        <v>1</v>
      </c>
      <c r="DV26" s="1446">
        <f t="shared" si="47"/>
        <v>1</v>
      </c>
      <c r="DW26" s="1446">
        <f t="shared" si="48"/>
        <v>1</v>
      </c>
      <c r="DX26" s="1446">
        <f t="shared" si="49"/>
        <v>1</v>
      </c>
      <c r="DY26" s="1446">
        <f t="shared" si="50"/>
        <v>1</v>
      </c>
      <c r="DZ26" s="1446">
        <f t="shared" si="51"/>
        <v>1</v>
      </c>
      <c r="EA26" s="1446">
        <f t="shared" si="52"/>
        <v>0</v>
      </c>
    </row>
    <row r="27" spans="1:131" ht="16.2" customHeight="1" x14ac:dyDescent="0.3">
      <c r="A27" s="7258">
        <v>11054100</v>
      </c>
      <c r="B27" s="2032" t="s">
        <v>1799</v>
      </c>
      <c r="C27" s="1998" t="s">
        <v>5369</v>
      </c>
      <c r="D27" s="2044" t="s">
        <v>5370</v>
      </c>
      <c r="E27" s="1134" t="s">
        <v>5371</v>
      </c>
      <c r="F27" s="1135" t="s">
        <v>5372</v>
      </c>
      <c r="G27" s="1114" t="s">
        <v>5373</v>
      </c>
      <c r="H27" s="1135" t="s">
        <v>5374</v>
      </c>
      <c r="I27" s="1114" t="s">
        <v>5375</v>
      </c>
      <c r="J27" s="1118" t="s">
        <v>5376</v>
      </c>
      <c r="K27" s="1134" t="s">
        <v>5377</v>
      </c>
      <c r="L27" s="1134" t="s">
        <v>5378</v>
      </c>
      <c r="M27" s="1114" t="s">
        <v>5379</v>
      </c>
      <c r="N27" s="1118" t="s">
        <v>5380</v>
      </c>
      <c r="O27" s="1134" t="s">
        <v>5381</v>
      </c>
      <c r="P27" s="1135" t="s">
        <v>5382</v>
      </c>
      <c r="Q27" s="1114" t="s">
        <v>5383</v>
      </c>
      <c r="R27" s="1135" t="s">
        <v>5384</v>
      </c>
      <c r="S27" s="1114" t="s">
        <v>5385</v>
      </c>
      <c r="T27" s="1135" t="s">
        <v>5386</v>
      </c>
      <c r="U27" s="1114" t="s">
        <v>5387</v>
      </c>
      <c r="V27" s="1135" t="s">
        <v>5388</v>
      </c>
      <c r="W27" s="1114" t="s">
        <v>5389</v>
      </c>
      <c r="X27" s="1135" t="s">
        <v>5390</v>
      </c>
      <c r="Y27" s="1114" t="s">
        <v>5391</v>
      </c>
      <c r="Z27" s="1135" t="s">
        <v>5392</v>
      </c>
      <c r="AA27" s="1114" t="s">
        <v>5393</v>
      </c>
      <c r="AB27" s="1135" t="s">
        <v>5394</v>
      </c>
      <c r="AC27" s="1114" t="s">
        <v>5395</v>
      </c>
      <c r="AD27" s="1135" t="s">
        <v>5396</v>
      </c>
      <c r="AE27" s="1114" t="s">
        <v>5397</v>
      </c>
      <c r="AF27" s="1135" t="s">
        <v>5398</v>
      </c>
      <c r="AG27" s="1114" t="s">
        <v>5399</v>
      </c>
      <c r="AH27" s="1135" t="s">
        <v>5400</v>
      </c>
      <c r="AI27" s="1114" t="s">
        <v>5401</v>
      </c>
      <c r="AJ27" s="1135" t="s">
        <v>5402</v>
      </c>
      <c r="AK27" s="1114" t="s">
        <v>5403</v>
      </c>
      <c r="AL27" s="1135" t="s">
        <v>5404</v>
      </c>
      <c r="AM27" s="1114" t="s">
        <v>5405</v>
      </c>
      <c r="AN27" s="1135" t="s">
        <v>5406</v>
      </c>
      <c r="AO27" s="1114" t="s">
        <v>5407</v>
      </c>
      <c r="AP27" s="1135" t="s">
        <v>5408</v>
      </c>
      <c r="AQ27" s="1114" t="s">
        <v>5409</v>
      </c>
      <c r="AR27" s="1136" t="s">
        <v>5410</v>
      </c>
      <c r="AS27" s="1134" t="s">
        <v>5411</v>
      </c>
      <c r="AT27" s="1136" t="s">
        <v>5412</v>
      </c>
      <c r="AU27" s="1134" t="s">
        <v>5413</v>
      </c>
      <c r="AV27" s="1135" t="s">
        <v>5414</v>
      </c>
      <c r="AW27" s="1114" t="s">
        <v>5415</v>
      </c>
      <c r="AX27" s="1118" t="s">
        <v>5416</v>
      </c>
      <c r="AY27" s="1197" t="e">
        <f t="shared" si="6"/>
        <v>#VALUE!</v>
      </c>
      <c r="AZ27" s="1197"/>
      <c r="BA27" s="1197"/>
      <c r="BB27" s="1197"/>
      <c r="BC27" s="1197"/>
      <c r="BD27" s="1197"/>
      <c r="BE27" s="1197"/>
      <c r="BF27" s="1197"/>
      <c r="BG27" s="1197"/>
      <c r="BH27" s="1197"/>
      <c r="BI27" s="1197"/>
      <c r="BJ27" s="1191"/>
      <c r="BK27" s="1191"/>
      <c r="BL27" s="1191"/>
      <c r="BM27" s="1191"/>
      <c r="BV27" s="1191"/>
      <c r="BX27" s="1547"/>
      <c r="CB27" s="2195" t="str">
        <f t="shared" si="7"/>
        <v xml:space="preserve">* El total de Reactivos NO DEBE ser superior al total de Procesados. </v>
      </c>
      <c r="CC27" s="2195" t="e">
        <f t="shared" si="8"/>
        <v>#VALUE!</v>
      </c>
      <c r="CD27" s="2195" t="e">
        <f t="shared" si="9"/>
        <v>#VALUE!</v>
      </c>
      <c r="CE27" s="2195" t="str">
        <f t="shared" si="10"/>
        <v xml:space="preserve">* La columna Pueblos Originarios NO DEBE ser superior al total de Procesados. </v>
      </c>
      <c r="CF27" s="2195" t="str">
        <f t="shared" si="11"/>
        <v xml:space="preserve">* La columna Migrantes NO DEBE ser superior al total de Procesados. </v>
      </c>
      <c r="CG27" s="2195" t="str">
        <f t="shared" si="12"/>
        <v>* El total de procesados debe ser mayor o igual al total de Reactivos en el grupo de edad Menor de 6 meses</v>
      </c>
      <c r="CH27" s="2195" t="str">
        <f t="shared" si="13"/>
        <v>* El total de procesados debe ser mayor o igual al total de Reactivos en el grupo de edad 6 a 11 meses</v>
      </c>
      <c r="CI27" s="2195" t="str">
        <f t="shared" si="14"/>
        <v>* El total de procesados debe ser mayor o igual al total de Reactivos en el grupo de edad 12-24 meses</v>
      </c>
      <c r="CJ27" s="2195" t="str">
        <f t="shared" si="15"/>
        <v>* El total de procesados debe ser mayor o igual al total de Reactivos en el grupo de edad 3 a 4 años</v>
      </c>
      <c r="CK27" s="2195" t="str">
        <f t="shared" si="16"/>
        <v>* El total de procesados debe ser mayor o igual al total de Reactivos en el grupo de edad 5 a 9 años</v>
      </c>
      <c r="CL27" s="2195" t="str">
        <f t="shared" si="17"/>
        <v>* El total de procesados debe ser mayor o igual al total de Reactivos en el grupo de edad 10 - 14 años</v>
      </c>
      <c r="CM27" s="2195" t="str">
        <f t="shared" si="18"/>
        <v>* El total de procesados debe ser mayor o igual al total de Reactivos en el grupo de edad 15 - 19 años</v>
      </c>
      <c r="CN27" s="2195" t="str">
        <f t="shared" si="19"/>
        <v>* El total de procesados debe ser mayor o igual al total de Reactivos en el grupo de edad 20 - 24 años</v>
      </c>
      <c r="CO27" s="2195" t="str">
        <f t="shared" si="20"/>
        <v>* El total de procesados debe ser mayor o igual al total de Reactivos en el grupo de edad 25 a 29 años</v>
      </c>
      <c r="CP27" s="2195" t="str">
        <f t="shared" si="21"/>
        <v>* El total de procesados debe ser mayor o igual al total de Reactivos en el grupo de edad 30 a 34 años</v>
      </c>
      <c r="CQ27" s="2195" t="str">
        <f t="shared" si="22"/>
        <v>* El total de procesados debe ser mayor o igual al total de Reactivos en el grupo de edad 35 a 39 años</v>
      </c>
      <c r="CR27" s="2195" t="str">
        <f t="shared" si="23"/>
        <v>* El total de procesados debe ser mayor o igual al total de Reactivos en el grupo de edad 40 a 44 años</v>
      </c>
      <c r="CS27" s="2195" t="str">
        <f t="shared" si="24"/>
        <v>* El total de procesados debe ser mayor o igual al total de Reactivos en el grupo de edad 45 a 49 años</v>
      </c>
      <c r="CT27" s="2195" t="str">
        <f t="shared" si="25"/>
        <v>* El total de procesados debe ser mayor o igual al total de Reactivos en el grupo de edad 50 a 54 años</v>
      </c>
      <c r="CU27" s="2195" t="str">
        <f t="shared" si="26"/>
        <v>* El total de procesados debe ser mayor o igual al total de Reactivos en el grupo de edad 55 a 59 años</v>
      </c>
      <c r="CV27" s="2195" t="str">
        <f t="shared" si="27"/>
        <v>* El total de procesados debe ser mayor o igual al total de Reactivos en el grupo de edad 60 a 64 años</v>
      </c>
      <c r="CW27" s="2195" t="str">
        <f t="shared" si="28"/>
        <v>* El total de procesados debe ser mayor o igual al total de Reactivos en el grupo de edad 65 a 69 años</v>
      </c>
      <c r="CX27" s="2195" t="str">
        <f t="shared" si="29"/>
        <v>* El total de procesados debe ser mayor o igual al total de Reactivos en el grupo de edad 70 a 74 años</v>
      </c>
      <c r="CY27" s="2195" t="str">
        <f t="shared" si="30"/>
        <v>* El total de procesados debe ser mayor o igual al total de Reactivos en el grupo de edad 75 a 79 años</v>
      </c>
      <c r="CZ27" s="2195" t="str">
        <f t="shared" si="31"/>
        <v>* El total de procesados debe ser mayor o igual al total de Reactivos en el grupo de edad 80 y más años</v>
      </c>
      <c r="DA27" s="2195" t="str">
        <f t="shared" si="0"/>
        <v/>
      </c>
      <c r="DB27" s="1446">
        <f t="shared" si="1"/>
        <v>1</v>
      </c>
      <c r="DC27" s="1446" t="e">
        <f t="shared" si="2"/>
        <v>#VALUE!</v>
      </c>
      <c r="DD27" s="1446" t="e">
        <f t="shared" si="3"/>
        <v>#VALUE!</v>
      </c>
      <c r="DE27" s="1446">
        <f t="shared" si="4"/>
        <v>1</v>
      </c>
      <c r="DF27" s="1446">
        <f t="shared" si="5"/>
        <v>1</v>
      </c>
      <c r="DG27" s="1446">
        <f t="shared" si="32"/>
        <v>1</v>
      </c>
      <c r="DH27" s="1446">
        <f t="shared" si="33"/>
        <v>1</v>
      </c>
      <c r="DI27" s="1446">
        <f t="shared" si="34"/>
        <v>1</v>
      </c>
      <c r="DJ27" s="1446">
        <f t="shared" si="35"/>
        <v>1</v>
      </c>
      <c r="DK27" s="1446">
        <f t="shared" si="36"/>
        <v>1</v>
      </c>
      <c r="DL27" s="1446">
        <f t="shared" si="37"/>
        <v>1</v>
      </c>
      <c r="DM27" s="1446">
        <f t="shared" si="38"/>
        <v>1</v>
      </c>
      <c r="DN27" s="1446">
        <f t="shared" si="39"/>
        <v>1</v>
      </c>
      <c r="DO27" s="1446">
        <f t="shared" si="40"/>
        <v>1</v>
      </c>
      <c r="DP27" s="1446">
        <f t="shared" si="41"/>
        <v>1</v>
      </c>
      <c r="DQ27" s="1446">
        <f t="shared" si="42"/>
        <v>1</v>
      </c>
      <c r="DR27" s="1446">
        <f t="shared" si="43"/>
        <v>1</v>
      </c>
      <c r="DS27" s="1446">
        <f t="shared" si="44"/>
        <v>1</v>
      </c>
      <c r="DT27" s="1446">
        <f t="shared" si="45"/>
        <v>1</v>
      </c>
      <c r="DU27" s="1446">
        <f t="shared" si="46"/>
        <v>1</v>
      </c>
      <c r="DV27" s="1446">
        <f t="shared" si="47"/>
        <v>1</v>
      </c>
      <c r="DW27" s="1446">
        <f t="shared" si="48"/>
        <v>1</v>
      </c>
      <c r="DX27" s="1446">
        <f t="shared" si="49"/>
        <v>1</v>
      </c>
      <c r="DY27" s="1446">
        <f t="shared" si="50"/>
        <v>1</v>
      </c>
      <c r="DZ27" s="1446">
        <f t="shared" si="51"/>
        <v>1</v>
      </c>
      <c r="EA27" s="1446">
        <f t="shared" si="52"/>
        <v>0</v>
      </c>
    </row>
    <row r="28" spans="1:131" ht="16.2" customHeight="1" x14ac:dyDescent="0.3">
      <c r="A28" s="7258">
        <v>11054200</v>
      </c>
      <c r="B28" s="2032" t="s">
        <v>1800</v>
      </c>
      <c r="C28" s="1998" t="s">
        <v>5369</v>
      </c>
      <c r="D28" s="2044" t="s">
        <v>5370</v>
      </c>
      <c r="E28" s="1134" t="s">
        <v>5371</v>
      </c>
      <c r="F28" s="1135" t="s">
        <v>5372</v>
      </c>
      <c r="G28" s="1114" t="s">
        <v>5373</v>
      </c>
      <c r="H28" s="1135" t="s">
        <v>5374</v>
      </c>
      <c r="I28" s="1114" t="s">
        <v>5375</v>
      </c>
      <c r="J28" s="1118" t="s">
        <v>5376</v>
      </c>
      <c r="K28" s="1134" t="s">
        <v>5377</v>
      </c>
      <c r="L28" s="1134" t="s">
        <v>5378</v>
      </c>
      <c r="M28" s="1114" t="s">
        <v>5379</v>
      </c>
      <c r="N28" s="1118" t="s">
        <v>5380</v>
      </c>
      <c r="O28" s="1134" t="s">
        <v>5381</v>
      </c>
      <c r="P28" s="1135" t="s">
        <v>5382</v>
      </c>
      <c r="Q28" s="1114" t="s">
        <v>5383</v>
      </c>
      <c r="R28" s="1135" t="s">
        <v>5384</v>
      </c>
      <c r="S28" s="1114" t="s">
        <v>5385</v>
      </c>
      <c r="T28" s="1135" t="s">
        <v>5386</v>
      </c>
      <c r="U28" s="1114" t="s">
        <v>5387</v>
      </c>
      <c r="V28" s="1135" t="s">
        <v>5388</v>
      </c>
      <c r="W28" s="1114" t="s">
        <v>5389</v>
      </c>
      <c r="X28" s="1135" t="s">
        <v>5390</v>
      </c>
      <c r="Y28" s="1114" t="s">
        <v>5391</v>
      </c>
      <c r="Z28" s="1135" t="s">
        <v>5392</v>
      </c>
      <c r="AA28" s="1114" t="s">
        <v>5393</v>
      </c>
      <c r="AB28" s="1135" t="s">
        <v>5394</v>
      </c>
      <c r="AC28" s="1114" t="s">
        <v>5395</v>
      </c>
      <c r="AD28" s="1135" t="s">
        <v>5396</v>
      </c>
      <c r="AE28" s="1114" t="s">
        <v>5397</v>
      </c>
      <c r="AF28" s="1135" t="s">
        <v>5398</v>
      </c>
      <c r="AG28" s="1114" t="s">
        <v>5399</v>
      </c>
      <c r="AH28" s="1135" t="s">
        <v>5400</v>
      </c>
      <c r="AI28" s="1114" t="s">
        <v>5401</v>
      </c>
      <c r="AJ28" s="1135" t="s">
        <v>5402</v>
      </c>
      <c r="AK28" s="1114" t="s">
        <v>5403</v>
      </c>
      <c r="AL28" s="1135" t="s">
        <v>5404</v>
      </c>
      <c r="AM28" s="1114" t="s">
        <v>5405</v>
      </c>
      <c r="AN28" s="1135" t="s">
        <v>5406</v>
      </c>
      <c r="AO28" s="1114" t="s">
        <v>5407</v>
      </c>
      <c r="AP28" s="1135" t="s">
        <v>5408</v>
      </c>
      <c r="AQ28" s="1114" t="s">
        <v>5409</v>
      </c>
      <c r="AR28" s="1136" t="s">
        <v>5410</v>
      </c>
      <c r="AS28" s="1134" t="s">
        <v>5411</v>
      </c>
      <c r="AT28" s="1136" t="s">
        <v>5412</v>
      </c>
      <c r="AU28" s="1134" t="s">
        <v>5413</v>
      </c>
      <c r="AV28" s="1135" t="s">
        <v>5414</v>
      </c>
      <c r="AW28" s="1114" t="s">
        <v>5415</v>
      </c>
      <c r="AX28" s="1118" t="s">
        <v>5416</v>
      </c>
      <c r="AY28" s="1197" t="e">
        <f t="shared" si="6"/>
        <v>#VALUE!</v>
      </c>
      <c r="AZ28" s="1197"/>
      <c r="BA28" s="1197"/>
      <c r="BB28" s="1197"/>
      <c r="BC28" s="1197"/>
      <c r="BD28" s="1197"/>
      <c r="BE28" s="1197"/>
      <c r="BF28" s="1197"/>
      <c r="BG28" s="1197"/>
      <c r="BH28" s="1197"/>
      <c r="BI28" s="1197"/>
      <c r="BJ28" s="1191"/>
      <c r="BK28" s="1191"/>
      <c r="BL28" s="1191"/>
      <c r="BM28" s="1191"/>
      <c r="BV28" s="1191"/>
      <c r="BX28" s="1547"/>
      <c r="CB28" s="2195" t="str">
        <f t="shared" si="7"/>
        <v xml:space="preserve">* El total de Reactivos NO DEBE ser superior al total de Procesados. </v>
      </c>
      <c r="CC28" s="2195" t="e">
        <f t="shared" si="8"/>
        <v>#VALUE!</v>
      </c>
      <c r="CD28" s="2195" t="e">
        <f t="shared" si="9"/>
        <v>#VALUE!</v>
      </c>
      <c r="CE28" s="2195" t="str">
        <f t="shared" si="10"/>
        <v xml:space="preserve">* La columna Pueblos Originarios NO DEBE ser superior al total de Procesados. </v>
      </c>
      <c r="CF28" s="2195" t="str">
        <f t="shared" si="11"/>
        <v xml:space="preserve">* La columna Migrantes NO DEBE ser superior al total de Procesados. </v>
      </c>
      <c r="CG28" s="2195" t="str">
        <f t="shared" si="12"/>
        <v>* El total de procesados debe ser mayor o igual al total de Reactivos en el grupo de edad Menor de 6 meses</v>
      </c>
      <c r="CH28" s="2195" t="str">
        <f t="shared" si="13"/>
        <v>* El total de procesados debe ser mayor o igual al total de Reactivos en el grupo de edad 6 a 11 meses</v>
      </c>
      <c r="CI28" s="2195" t="str">
        <f t="shared" si="14"/>
        <v>* El total de procesados debe ser mayor o igual al total de Reactivos en el grupo de edad 12-24 meses</v>
      </c>
      <c r="CJ28" s="2195" t="str">
        <f t="shared" si="15"/>
        <v>* El total de procesados debe ser mayor o igual al total de Reactivos en el grupo de edad 3 a 4 años</v>
      </c>
      <c r="CK28" s="2195" t="str">
        <f t="shared" si="16"/>
        <v>* El total de procesados debe ser mayor o igual al total de Reactivos en el grupo de edad 5 a 9 años</v>
      </c>
      <c r="CL28" s="2195" t="str">
        <f t="shared" si="17"/>
        <v>* El total de procesados debe ser mayor o igual al total de Reactivos en el grupo de edad 10 - 14 años</v>
      </c>
      <c r="CM28" s="2195" t="str">
        <f t="shared" si="18"/>
        <v>* El total de procesados debe ser mayor o igual al total de Reactivos en el grupo de edad 15 - 19 años</v>
      </c>
      <c r="CN28" s="2195" t="str">
        <f t="shared" si="19"/>
        <v>* El total de procesados debe ser mayor o igual al total de Reactivos en el grupo de edad 20 - 24 años</v>
      </c>
      <c r="CO28" s="2195" t="str">
        <f t="shared" si="20"/>
        <v>* El total de procesados debe ser mayor o igual al total de Reactivos en el grupo de edad 25 a 29 años</v>
      </c>
      <c r="CP28" s="2195" t="str">
        <f t="shared" si="21"/>
        <v>* El total de procesados debe ser mayor o igual al total de Reactivos en el grupo de edad 30 a 34 años</v>
      </c>
      <c r="CQ28" s="2195" t="str">
        <f t="shared" si="22"/>
        <v>* El total de procesados debe ser mayor o igual al total de Reactivos en el grupo de edad 35 a 39 años</v>
      </c>
      <c r="CR28" s="2195" t="str">
        <f t="shared" si="23"/>
        <v>* El total de procesados debe ser mayor o igual al total de Reactivos en el grupo de edad 40 a 44 años</v>
      </c>
      <c r="CS28" s="2195" t="str">
        <f t="shared" si="24"/>
        <v>* El total de procesados debe ser mayor o igual al total de Reactivos en el grupo de edad 45 a 49 años</v>
      </c>
      <c r="CT28" s="2195" t="str">
        <f t="shared" si="25"/>
        <v>* El total de procesados debe ser mayor o igual al total de Reactivos en el grupo de edad 50 a 54 años</v>
      </c>
      <c r="CU28" s="2195" t="str">
        <f t="shared" si="26"/>
        <v>* El total de procesados debe ser mayor o igual al total de Reactivos en el grupo de edad 55 a 59 años</v>
      </c>
      <c r="CV28" s="2195" t="str">
        <f t="shared" si="27"/>
        <v>* El total de procesados debe ser mayor o igual al total de Reactivos en el grupo de edad 60 a 64 años</v>
      </c>
      <c r="CW28" s="2195" t="str">
        <f t="shared" si="28"/>
        <v>* El total de procesados debe ser mayor o igual al total de Reactivos en el grupo de edad 65 a 69 años</v>
      </c>
      <c r="CX28" s="2195" t="str">
        <f t="shared" si="29"/>
        <v>* El total de procesados debe ser mayor o igual al total de Reactivos en el grupo de edad 70 a 74 años</v>
      </c>
      <c r="CY28" s="2195" t="str">
        <f t="shared" si="30"/>
        <v>* El total de procesados debe ser mayor o igual al total de Reactivos en el grupo de edad 75 a 79 años</v>
      </c>
      <c r="CZ28" s="2195" t="str">
        <f t="shared" si="31"/>
        <v>* El total de procesados debe ser mayor o igual al total de Reactivos en el grupo de edad 80 y más años</v>
      </c>
      <c r="DA28" s="2195" t="str">
        <f t="shared" si="0"/>
        <v/>
      </c>
      <c r="DB28" s="1446">
        <f t="shared" si="1"/>
        <v>1</v>
      </c>
      <c r="DC28" s="1446" t="e">
        <f t="shared" si="2"/>
        <v>#VALUE!</v>
      </c>
      <c r="DD28" s="1446" t="e">
        <f t="shared" si="3"/>
        <v>#VALUE!</v>
      </c>
      <c r="DE28" s="1446">
        <f t="shared" si="4"/>
        <v>1</v>
      </c>
      <c r="DF28" s="1446">
        <f t="shared" si="5"/>
        <v>1</v>
      </c>
      <c r="DG28" s="1446">
        <f t="shared" si="32"/>
        <v>1</v>
      </c>
      <c r="DH28" s="1446">
        <f t="shared" si="33"/>
        <v>1</v>
      </c>
      <c r="DI28" s="1446">
        <f t="shared" si="34"/>
        <v>1</v>
      </c>
      <c r="DJ28" s="1446">
        <f t="shared" si="35"/>
        <v>1</v>
      </c>
      <c r="DK28" s="1446">
        <f t="shared" si="36"/>
        <v>1</v>
      </c>
      <c r="DL28" s="1446">
        <f t="shared" si="37"/>
        <v>1</v>
      </c>
      <c r="DM28" s="1446">
        <f t="shared" si="38"/>
        <v>1</v>
      </c>
      <c r="DN28" s="1446">
        <f t="shared" si="39"/>
        <v>1</v>
      </c>
      <c r="DO28" s="1446">
        <f t="shared" si="40"/>
        <v>1</v>
      </c>
      <c r="DP28" s="1446">
        <f t="shared" si="41"/>
        <v>1</v>
      </c>
      <c r="DQ28" s="1446">
        <f t="shared" si="42"/>
        <v>1</v>
      </c>
      <c r="DR28" s="1446">
        <f t="shared" si="43"/>
        <v>1</v>
      </c>
      <c r="DS28" s="1446">
        <f t="shared" si="44"/>
        <v>1</v>
      </c>
      <c r="DT28" s="1446">
        <f t="shared" si="45"/>
        <v>1</v>
      </c>
      <c r="DU28" s="1446">
        <f t="shared" si="46"/>
        <v>1</v>
      </c>
      <c r="DV28" s="1446">
        <f t="shared" si="47"/>
        <v>1</v>
      </c>
      <c r="DW28" s="1446">
        <f t="shared" si="48"/>
        <v>1</v>
      </c>
      <c r="DX28" s="1446">
        <f t="shared" si="49"/>
        <v>1</v>
      </c>
      <c r="DY28" s="1446">
        <f t="shared" si="50"/>
        <v>1</v>
      </c>
      <c r="DZ28" s="1446">
        <f t="shared" si="51"/>
        <v>1</v>
      </c>
      <c r="EA28" s="1446">
        <f t="shared" si="52"/>
        <v>0</v>
      </c>
    </row>
    <row r="29" spans="1:131" ht="16.2" customHeight="1" x14ac:dyDescent="0.3">
      <c r="A29" s="7263">
        <v>11054201</v>
      </c>
      <c r="B29" s="2039" t="s">
        <v>1801</v>
      </c>
      <c r="C29" s="1960" t="s">
        <v>5369</v>
      </c>
      <c r="D29" s="1898" t="s">
        <v>5370</v>
      </c>
      <c r="E29" s="102" t="s">
        <v>5371</v>
      </c>
      <c r="F29" s="83" t="s">
        <v>5372</v>
      </c>
      <c r="G29" s="125" t="s">
        <v>5373</v>
      </c>
      <c r="H29" s="83" t="s">
        <v>5374</v>
      </c>
      <c r="I29" s="125" t="s">
        <v>5375</v>
      </c>
      <c r="J29" s="101" t="s">
        <v>5376</v>
      </c>
      <c r="K29" s="102" t="s">
        <v>5377</v>
      </c>
      <c r="L29" s="102" t="s">
        <v>5378</v>
      </c>
      <c r="M29" s="125" t="s">
        <v>5379</v>
      </c>
      <c r="N29" s="101" t="s">
        <v>5380</v>
      </c>
      <c r="O29" s="102" t="s">
        <v>5381</v>
      </c>
      <c r="P29" s="83" t="s">
        <v>5382</v>
      </c>
      <c r="Q29" s="125" t="s">
        <v>5383</v>
      </c>
      <c r="R29" s="83" t="s">
        <v>5384</v>
      </c>
      <c r="S29" s="125" t="s">
        <v>5385</v>
      </c>
      <c r="T29" s="83" t="s">
        <v>5386</v>
      </c>
      <c r="U29" s="125" t="s">
        <v>5387</v>
      </c>
      <c r="V29" s="83" t="s">
        <v>5388</v>
      </c>
      <c r="W29" s="125" t="s">
        <v>5389</v>
      </c>
      <c r="X29" s="83" t="s">
        <v>5390</v>
      </c>
      <c r="Y29" s="125" t="s">
        <v>5391</v>
      </c>
      <c r="Z29" s="83" t="s">
        <v>5392</v>
      </c>
      <c r="AA29" s="125" t="s">
        <v>5393</v>
      </c>
      <c r="AB29" s="83" t="s">
        <v>5394</v>
      </c>
      <c r="AC29" s="125" t="s">
        <v>5395</v>
      </c>
      <c r="AD29" s="83" t="s">
        <v>5396</v>
      </c>
      <c r="AE29" s="125" t="s">
        <v>5397</v>
      </c>
      <c r="AF29" s="83" t="s">
        <v>5398</v>
      </c>
      <c r="AG29" s="125" t="s">
        <v>5399</v>
      </c>
      <c r="AH29" s="83" t="s">
        <v>5400</v>
      </c>
      <c r="AI29" s="125" t="s">
        <v>5401</v>
      </c>
      <c r="AJ29" s="83" t="s">
        <v>5402</v>
      </c>
      <c r="AK29" s="125" t="s">
        <v>5403</v>
      </c>
      <c r="AL29" s="83" t="s">
        <v>5404</v>
      </c>
      <c r="AM29" s="125" t="s">
        <v>5405</v>
      </c>
      <c r="AN29" s="83" t="s">
        <v>5406</v>
      </c>
      <c r="AO29" s="125" t="s">
        <v>5407</v>
      </c>
      <c r="AP29" s="83" t="s">
        <v>5408</v>
      </c>
      <c r="AQ29" s="125" t="s">
        <v>5409</v>
      </c>
      <c r="AR29" s="198" t="s">
        <v>5410</v>
      </c>
      <c r="AS29" s="102" t="s">
        <v>5411</v>
      </c>
      <c r="AT29" s="198" t="s">
        <v>5412</v>
      </c>
      <c r="AU29" s="102" t="s">
        <v>5413</v>
      </c>
      <c r="AV29" s="83" t="s">
        <v>5414</v>
      </c>
      <c r="AW29" s="125" t="s">
        <v>5415</v>
      </c>
      <c r="AX29" s="101" t="s">
        <v>5416</v>
      </c>
      <c r="AY29" s="1197" t="e">
        <f t="shared" si="6"/>
        <v>#VALUE!</v>
      </c>
      <c r="AZ29" s="1197"/>
      <c r="BA29" s="1197"/>
      <c r="BB29" s="1197"/>
      <c r="BC29" s="1197"/>
      <c r="BD29" s="1197"/>
      <c r="BE29" s="1197"/>
      <c r="BF29" s="1197"/>
      <c r="BG29" s="1197"/>
      <c r="BH29" s="1197"/>
      <c r="BI29" s="1197"/>
      <c r="BJ29" s="1191"/>
      <c r="BK29" s="1191"/>
      <c r="BL29" s="1191"/>
      <c r="BM29" s="1191"/>
      <c r="BV29" s="1191"/>
      <c r="BX29" s="1547"/>
      <c r="CB29" s="2195" t="str">
        <f t="shared" si="7"/>
        <v xml:space="preserve">* El total de Reactivos NO DEBE ser superior al total de Procesados. </v>
      </c>
      <c r="CC29" s="2195" t="e">
        <f t="shared" si="8"/>
        <v>#VALUE!</v>
      </c>
      <c r="CD29" s="2195" t="e">
        <f t="shared" si="9"/>
        <v>#VALUE!</v>
      </c>
      <c r="CE29" s="2195" t="str">
        <f t="shared" si="10"/>
        <v xml:space="preserve">* La columna Pueblos Originarios NO DEBE ser superior al total de Procesados. </v>
      </c>
      <c r="CF29" s="2195" t="str">
        <f t="shared" si="11"/>
        <v xml:space="preserve">* La columna Migrantes NO DEBE ser superior al total de Procesados. </v>
      </c>
      <c r="CG29" s="2195" t="str">
        <f t="shared" si="12"/>
        <v>* El total de procesados debe ser mayor o igual al total de Reactivos en el grupo de edad Menor de 6 meses</v>
      </c>
      <c r="CH29" s="2195" t="str">
        <f t="shared" si="13"/>
        <v>* El total de procesados debe ser mayor o igual al total de Reactivos en el grupo de edad 6 a 11 meses</v>
      </c>
      <c r="CI29" s="2195" t="str">
        <f t="shared" si="14"/>
        <v>* El total de procesados debe ser mayor o igual al total de Reactivos en el grupo de edad 12-24 meses</v>
      </c>
      <c r="CJ29" s="2195" t="str">
        <f t="shared" si="15"/>
        <v>* El total de procesados debe ser mayor o igual al total de Reactivos en el grupo de edad 3 a 4 años</v>
      </c>
      <c r="CK29" s="2195" t="str">
        <f t="shared" si="16"/>
        <v>* El total de procesados debe ser mayor o igual al total de Reactivos en el grupo de edad 5 a 9 años</v>
      </c>
      <c r="CL29" s="2195" t="str">
        <f t="shared" si="17"/>
        <v>* El total de procesados debe ser mayor o igual al total de Reactivos en el grupo de edad 10 - 14 años</v>
      </c>
      <c r="CM29" s="2195" t="str">
        <f t="shared" si="18"/>
        <v>* El total de procesados debe ser mayor o igual al total de Reactivos en el grupo de edad 15 - 19 años</v>
      </c>
      <c r="CN29" s="2195" t="str">
        <f t="shared" si="19"/>
        <v>* El total de procesados debe ser mayor o igual al total de Reactivos en el grupo de edad 20 - 24 años</v>
      </c>
      <c r="CO29" s="2195" t="str">
        <f t="shared" si="20"/>
        <v>* El total de procesados debe ser mayor o igual al total de Reactivos en el grupo de edad 25 a 29 años</v>
      </c>
      <c r="CP29" s="2195" t="str">
        <f t="shared" si="21"/>
        <v>* El total de procesados debe ser mayor o igual al total de Reactivos en el grupo de edad 30 a 34 años</v>
      </c>
      <c r="CQ29" s="2195" t="str">
        <f t="shared" si="22"/>
        <v>* El total de procesados debe ser mayor o igual al total de Reactivos en el grupo de edad 35 a 39 años</v>
      </c>
      <c r="CR29" s="2195" t="str">
        <f t="shared" si="23"/>
        <v>* El total de procesados debe ser mayor o igual al total de Reactivos en el grupo de edad 40 a 44 años</v>
      </c>
      <c r="CS29" s="2195" t="str">
        <f t="shared" si="24"/>
        <v>* El total de procesados debe ser mayor o igual al total de Reactivos en el grupo de edad 45 a 49 años</v>
      </c>
      <c r="CT29" s="2195" t="str">
        <f t="shared" si="25"/>
        <v>* El total de procesados debe ser mayor o igual al total de Reactivos en el grupo de edad 50 a 54 años</v>
      </c>
      <c r="CU29" s="2195" t="str">
        <f t="shared" si="26"/>
        <v>* El total de procesados debe ser mayor o igual al total de Reactivos en el grupo de edad 55 a 59 años</v>
      </c>
      <c r="CV29" s="2195" t="str">
        <f t="shared" si="27"/>
        <v>* El total de procesados debe ser mayor o igual al total de Reactivos en el grupo de edad 60 a 64 años</v>
      </c>
      <c r="CW29" s="2195" t="str">
        <f t="shared" si="28"/>
        <v>* El total de procesados debe ser mayor o igual al total de Reactivos en el grupo de edad 65 a 69 años</v>
      </c>
      <c r="CX29" s="2195" t="str">
        <f t="shared" si="29"/>
        <v>* El total de procesados debe ser mayor o igual al total de Reactivos en el grupo de edad 70 a 74 años</v>
      </c>
      <c r="CY29" s="2195" t="str">
        <f t="shared" si="30"/>
        <v>* El total de procesados debe ser mayor o igual al total de Reactivos en el grupo de edad 75 a 79 años</v>
      </c>
      <c r="CZ29" s="2195" t="str">
        <f t="shared" si="31"/>
        <v>* El total de procesados debe ser mayor o igual al total de Reactivos en el grupo de edad 80 y más años</v>
      </c>
      <c r="DA29" s="2195" t="str">
        <f t="shared" si="0"/>
        <v/>
      </c>
      <c r="DB29" s="1446">
        <f t="shared" si="1"/>
        <v>1</v>
      </c>
      <c r="DC29" s="1446" t="e">
        <f t="shared" si="2"/>
        <v>#VALUE!</v>
      </c>
      <c r="DD29" s="1446" t="e">
        <f t="shared" si="3"/>
        <v>#VALUE!</v>
      </c>
      <c r="DE29" s="1446">
        <f t="shared" si="4"/>
        <v>1</v>
      </c>
      <c r="DF29" s="1446">
        <f t="shared" si="5"/>
        <v>1</v>
      </c>
      <c r="DG29" s="1446">
        <f t="shared" si="32"/>
        <v>1</v>
      </c>
      <c r="DH29" s="1446">
        <f t="shared" si="33"/>
        <v>1</v>
      </c>
      <c r="DI29" s="1446">
        <f t="shared" si="34"/>
        <v>1</v>
      </c>
      <c r="DJ29" s="1446">
        <f t="shared" si="35"/>
        <v>1</v>
      </c>
      <c r="DK29" s="1446">
        <f t="shared" si="36"/>
        <v>1</v>
      </c>
      <c r="DL29" s="1446">
        <f t="shared" si="37"/>
        <v>1</v>
      </c>
      <c r="DM29" s="1446">
        <f t="shared" si="38"/>
        <v>1</v>
      </c>
      <c r="DN29" s="1446">
        <f t="shared" si="39"/>
        <v>1</v>
      </c>
      <c r="DO29" s="1446">
        <f t="shared" si="40"/>
        <v>1</v>
      </c>
      <c r="DP29" s="1446">
        <f t="shared" si="41"/>
        <v>1</v>
      </c>
      <c r="DQ29" s="1446">
        <f t="shared" si="42"/>
        <v>1</v>
      </c>
      <c r="DR29" s="1446">
        <f t="shared" si="43"/>
        <v>1</v>
      </c>
      <c r="DS29" s="1446">
        <f t="shared" si="44"/>
        <v>1</v>
      </c>
      <c r="DT29" s="1446">
        <f t="shared" si="45"/>
        <v>1</v>
      </c>
      <c r="DU29" s="1446">
        <f t="shared" si="46"/>
        <v>1</v>
      </c>
      <c r="DV29" s="1446">
        <f t="shared" si="47"/>
        <v>1</v>
      </c>
      <c r="DW29" s="1446">
        <f t="shared" si="48"/>
        <v>1</v>
      </c>
      <c r="DX29" s="1446">
        <f t="shared" si="49"/>
        <v>1</v>
      </c>
      <c r="DY29" s="1446">
        <f t="shared" si="50"/>
        <v>1</v>
      </c>
      <c r="DZ29" s="1446">
        <f t="shared" si="51"/>
        <v>1</v>
      </c>
      <c r="EA29" s="1446">
        <f t="shared" si="52"/>
        <v>0</v>
      </c>
    </row>
    <row r="30" spans="1:131" ht="31.95" customHeight="1" x14ac:dyDescent="0.3">
      <c r="B30" s="2196" t="s">
        <v>1802</v>
      </c>
      <c r="C30" s="942"/>
      <c r="D30" s="942"/>
      <c r="E30" s="942"/>
      <c r="F30" s="942"/>
      <c r="G30" s="942"/>
      <c r="H30" s="942"/>
      <c r="I30" s="133"/>
      <c r="J30" s="133"/>
      <c r="K30" s="108"/>
      <c r="L30" s="108"/>
      <c r="M30" s="108"/>
      <c r="N30" s="108"/>
      <c r="O30" s="108"/>
      <c r="P30" s="108"/>
      <c r="Q30" s="108"/>
      <c r="R30" s="140"/>
      <c r="AY30" s="1191"/>
      <c r="AZ30" s="1191"/>
      <c r="BA30" s="1191"/>
      <c r="BB30" s="1191"/>
      <c r="BC30" s="1191"/>
      <c r="BD30" s="1191"/>
      <c r="BE30" s="1191"/>
      <c r="BF30" s="1191"/>
      <c r="BG30" s="1191"/>
      <c r="BH30" s="1191"/>
      <c r="BI30" s="1191"/>
      <c r="BJ30" s="1191"/>
      <c r="BK30" s="1191"/>
      <c r="BL30" s="1191"/>
      <c r="BM30" s="1191"/>
      <c r="BN30" s="1191"/>
      <c r="BU30" s="1123"/>
      <c r="BV30" s="1123"/>
      <c r="BW30" s="1547"/>
      <c r="BX30" s="1547"/>
    </row>
    <row r="31" spans="1:131" ht="31.95" customHeight="1" x14ac:dyDescent="0.3">
      <c r="B31" s="8638" t="s">
        <v>1781</v>
      </c>
      <c r="C31" s="9629" t="s">
        <v>24</v>
      </c>
      <c r="D31" s="9966"/>
      <c r="E31" s="8645" t="s">
        <v>725</v>
      </c>
      <c r="F31" s="8646"/>
      <c r="G31" s="8646"/>
      <c r="H31" s="8646"/>
      <c r="I31" s="8646"/>
      <c r="J31" s="8646"/>
      <c r="K31" s="8646"/>
      <c r="L31" s="8646"/>
      <c r="M31" s="8646"/>
      <c r="N31" s="8646"/>
      <c r="O31" s="8646"/>
      <c r="P31" s="8646"/>
      <c r="Q31" s="8646"/>
      <c r="R31" s="8646"/>
      <c r="S31" s="8646"/>
      <c r="T31" s="8646"/>
      <c r="U31" s="8646"/>
      <c r="V31" s="8646"/>
      <c r="W31" s="8646"/>
      <c r="X31" s="8646"/>
      <c r="Y31" s="8646"/>
      <c r="Z31" s="8646"/>
      <c r="AA31" s="8646"/>
      <c r="AB31" s="8646"/>
      <c r="AC31" s="8646"/>
      <c r="AD31" s="8646"/>
      <c r="AE31" s="8646"/>
      <c r="AF31" s="8646"/>
      <c r="AG31" s="8646"/>
      <c r="AH31" s="8646"/>
      <c r="AI31" s="8646"/>
      <c r="AJ31" s="8646"/>
      <c r="AK31" s="8646"/>
      <c r="AL31" s="8646"/>
      <c r="AM31" s="8646"/>
      <c r="AN31" s="8646"/>
      <c r="AO31" s="8646"/>
      <c r="AP31" s="8646"/>
      <c r="AQ31" s="8646"/>
      <c r="AR31" s="9969"/>
      <c r="AS31" s="9970" t="s">
        <v>1782</v>
      </c>
      <c r="AT31" s="9971"/>
      <c r="AU31" s="9972" t="s">
        <v>713</v>
      </c>
      <c r="AV31" s="9973"/>
      <c r="AW31" s="9976" t="s">
        <v>362</v>
      </c>
      <c r="AX31" s="9978" t="s">
        <v>361</v>
      </c>
      <c r="AY31" s="1191"/>
      <c r="AZ31" s="1191"/>
      <c r="BA31" s="1191"/>
      <c r="BB31" s="1191"/>
      <c r="BC31" s="1191"/>
      <c r="BD31" s="1191"/>
      <c r="BE31" s="1191"/>
      <c r="BF31" s="1191"/>
      <c r="BG31" s="1191"/>
      <c r="BH31" s="1191"/>
      <c r="BI31" s="1191"/>
      <c r="BJ31" s="1191"/>
      <c r="BK31" s="1191"/>
      <c r="BL31" s="1191"/>
      <c r="BM31" s="1191"/>
      <c r="BV31" s="1191"/>
      <c r="BW31" s="1547"/>
      <c r="BX31" s="1547"/>
    </row>
    <row r="32" spans="1:131" ht="16.2" customHeight="1" x14ac:dyDescent="0.3">
      <c r="B32" s="8705"/>
      <c r="C32" s="9967"/>
      <c r="D32" s="9968"/>
      <c r="E32" s="8648" t="s">
        <v>724</v>
      </c>
      <c r="F32" s="9970"/>
      <c r="G32" s="8648" t="s">
        <v>723</v>
      </c>
      <c r="H32" s="9970"/>
      <c r="I32" s="8648" t="s">
        <v>722</v>
      </c>
      <c r="J32" s="8650"/>
      <c r="K32" s="9970" t="s">
        <v>1823</v>
      </c>
      <c r="L32" s="9970"/>
      <c r="M32" s="8648" t="s">
        <v>1415</v>
      </c>
      <c r="N32" s="9970"/>
      <c r="O32" s="8648" t="s">
        <v>79</v>
      </c>
      <c r="P32" s="9970"/>
      <c r="Q32" s="8648" t="s">
        <v>80</v>
      </c>
      <c r="R32" s="9970"/>
      <c r="S32" s="8648" t="s">
        <v>81</v>
      </c>
      <c r="T32" s="9970"/>
      <c r="U32" s="8648" t="s">
        <v>115</v>
      </c>
      <c r="V32" s="8650"/>
      <c r="W32" s="8648" t="s">
        <v>116</v>
      </c>
      <c r="X32" s="8650"/>
      <c r="Y32" s="8648" t="s">
        <v>117</v>
      </c>
      <c r="Z32" s="8650"/>
      <c r="AA32" s="8648" t="s">
        <v>118</v>
      </c>
      <c r="AB32" s="8650"/>
      <c r="AC32" s="8648" t="s">
        <v>119</v>
      </c>
      <c r="AD32" s="8650"/>
      <c r="AE32" s="8648" t="s">
        <v>120</v>
      </c>
      <c r="AF32" s="8650"/>
      <c r="AG32" s="8648" t="s">
        <v>1414</v>
      </c>
      <c r="AH32" s="8650"/>
      <c r="AI32" s="8648" t="s">
        <v>1406</v>
      </c>
      <c r="AJ32" s="8650"/>
      <c r="AK32" s="8648" t="s">
        <v>1397</v>
      </c>
      <c r="AL32" s="8650"/>
      <c r="AM32" s="8648" t="s">
        <v>1396</v>
      </c>
      <c r="AN32" s="8650"/>
      <c r="AO32" s="8648" t="s">
        <v>1395</v>
      </c>
      <c r="AP32" s="8650"/>
      <c r="AQ32" s="8648" t="s">
        <v>1405</v>
      </c>
      <c r="AR32" s="9971"/>
      <c r="AS32" s="9979" t="s">
        <v>17</v>
      </c>
      <c r="AT32" s="9981" t="s">
        <v>18</v>
      </c>
      <c r="AU32" s="9974"/>
      <c r="AV32" s="9975"/>
      <c r="AW32" s="8596"/>
      <c r="AX32" s="8581"/>
      <c r="AY32" s="1191"/>
      <c r="AZ32" s="1191"/>
      <c r="BA32" s="1191"/>
      <c r="BB32" s="1191"/>
      <c r="BC32" s="1191"/>
      <c r="BD32" s="1191"/>
      <c r="BE32" s="1191"/>
      <c r="BF32" s="1191"/>
      <c r="BG32" s="1191"/>
      <c r="BH32" s="1191"/>
      <c r="BI32" s="1191"/>
      <c r="BJ32" s="1191"/>
      <c r="BK32" s="1191"/>
      <c r="BL32" s="1191"/>
      <c r="BM32" s="1191"/>
      <c r="BV32" s="1191"/>
      <c r="BW32" s="1547"/>
      <c r="BX32" s="1547"/>
    </row>
    <row r="33" spans="1:131" ht="16.2" customHeight="1" x14ac:dyDescent="0.3">
      <c r="B33" s="8639"/>
      <c r="C33" s="1127" t="s">
        <v>1783</v>
      </c>
      <c r="D33" s="940" t="s">
        <v>1784</v>
      </c>
      <c r="E33" s="1124" t="s">
        <v>1783</v>
      </c>
      <c r="F33" s="914" t="s">
        <v>1784</v>
      </c>
      <c r="G33" s="1124" t="s">
        <v>1783</v>
      </c>
      <c r="H33" s="914" t="s">
        <v>1784</v>
      </c>
      <c r="I33" s="1124" t="s">
        <v>1783</v>
      </c>
      <c r="J33" s="940" t="s">
        <v>1784</v>
      </c>
      <c r="K33" s="1127" t="s">
        <v>1783</v>
      </c>
      <c r="L33" s="914" t="s">
        <v>1784</v>
      </c>
      <c r="M33" s="1124" t="s">
        <v>1783</v>
      </c>
      <c r="N33" s="914" t="s">
        <v>1784</v>
      </c>
      <c r="O33" s="1124" t="s">
        <v>1783</v>
      </c>
      <c r="P33" s="914" t="s">
        <v>1784</v>
      </c>
      <c r="Q33" s="1124" t="s">
        <v>1783</v>
      </c>
      <c r="R33" s="914" t="s">
        <v>1784</v>
      </c>
      <c r="S33" s="1124" t="s">
        <v>1783</v>
      </c>
      <c r="T33" s="914" t="s">
        <v>1784</v>
      </c>
      <c r="U33" s="1124" t="s">
        <v>1783</v>
      </c>
      <c r="V33" s="914" t="s">
        <v>1784</v>
      </c>
      <c r="W33" s="1124" t="s">
        <v>1783</v>
      </c>
      <c r="X33" s="914" t="s">
        <v>1784</v>
      </c>
      <c r="Y33" s="1124" t="s">
        <v>1783</v>
      </c>
      <c r="Z33" s="914" t="s">
        <v>1784</v>
      </c>
      <c r="AA33" s="1124" t="s">
        <v>1783</v>
      </c>
      <c r="AB33" s="914" t="s">
        <v>1784</v>
      </c>
      <c r="AC33" s="1124" t="s">
        <v>1783</v>
      </c>
      <c r="AD33" s="914" t="s">
        <v>1784</v>
      </c>
      <c r="AE33" s="1124" t="s">
        <v>1783</v>
      </c>
      <c r="AF33" s="914" t="s">
        <v>1784</v>
      </c>
      <c r="AG33" s="1124" t="s">
        <v>1783</v>
      </c>
      <c r="AH33" s="914" t="s">
        <v>1784</v>
      </c>
      <c r="AI33" s="1124" t="s">
        <v>1783</v>
      </c>
      <c r="AJ33" s="914" t="s">
        <v>1784</v>
      </c>
      <c r="AK33" s="1124" t="s">
        <v>1783</v>
      </c>
      <c r="AL33" s="914" t="s">
        <v>1784</v>
      </c>
      <c r="AM33" s="1124" t="s">
        <v>1783</v>
      </c>
      <c r="AN33" s="914" t="s">
        <v>1784</v>
      </c>
      <c r="AO33" s="1124" t="s">
        <v>1783</v>
      </c>
      <c r="AP33" s="914" t="s">
        <v>1784</v>
      </c>
      <c r="AQ33" s="1124" t="s">
        <v>1783</v>
      </c>
      <c r="AR33" s="1128" t="s">
        <v>1784</v>
      </c>
      <c r="AS33" s="9980"/>
      <c r="AT33" s="9982"/>
      <c r="AU33" s="2147" t="s">
        <v>358</v>
      </c>
      <c r="AV33" s="2072" t="s">
        <v>359</v>
      </c>
      <c r="AW33" s="9977"/>
      <c r="AX33" s="8582"/>
      <c r="AY33" s="1191"/>
      <c r="AZ33" s="1191"/>
      <c r="BA33" s="1191"/>
      <c r="BB33" s="1191"/>
      <c r="BC33" s="1191"/>
      <c r="BD33" s="1191"/>
      <c r="BE33" s="1191"/>
      <c r="BF33" s="1191"/>
      <c r="BG33" s="1191"/>
      <c r="BH33" s="1191"/>
      <c r="BI33" s="1191"/>
      <c r="BJ33" s="1191"/>
      <c r="BK33" s="1191"/>
      <c r="BL33" s="1191"/>
      <c r="BM33" s="1191"/>
      <c r="BV33" s="1191"/>
      <c r="BW33" s="1547"/>
      <c r="BX33" s="1547"/>
    </row>
    <row r="34" spans="1:131" ht="16.2" customHeight="1" x14ac:dyDescent="0.3">
      <c r="A34" s="7258">
        <v>11054202</v>
      </c>
      <c r="B34" s="2031" t="s">
        <v>1785</v>
      </c>
      <c r="C34" s="1996" t="s">
        <v>5369</v>
      </c>
      <c r="D34" s="2043" t="s">
        <v>5370</v>
      </c>
      <c r="E34" s="1130" t="s">
        <v>5371</v>
      </c>
      <c r="F34" s="1131" t="s">
        <v>5372</v>
      </c>
      <c r="G34" s="1132" t="s">
        <v>5373</v>
      </c>
      <c r="H34" s="1131" t="s">
        <v>5374</v>
      </c>
      <c r="I34" s="1132" t="s">
        <v>5375</v>
      </c>
      <c r="J34" s="1131" t="s">
        <v>5376</v>
      </c>
      <c r="K34" s="1132" t="s">
        <v>5377</v>
      </c>
      <c r="L34" s="1131" t="s">
        <v>5378</v>
      </c>
      <c r="M34" s="1132" t="s">
        <v>5379</v>
      </c>
      <c r="N34" s="1133" t="s">
        <v>5380</v>
      </c>
      <c r="O34" s="1134" t="s">
        <v>5381</v>
      </c>
      <c r="P34" s="1135" t="s">
        <v>5382</v>
      </c>
      <c r="Q34" s="1114" t="s">
        <v>5383</v>
      </c>
      <c r="R34" s="1135" t="s">
        <v>5384</v>
      </c>
      <c r="S34" s="1114" t="s">
        <v>5385</v>
      </c>
      <c r="T34" s="1135" t="s">
        <v>5386</v>
      </c>
      <c r="U34" s="1114" t="s">
        <v>5387</v>
      </c>
      <c r="V34" s="1135" t="s">
        <v>5388</v>
      </c>
      <c r="W34" s="1114" t="s">
        <v>5389</v>
      </c>
      <c r="X34" s="1135" t="s">
        <v>5390</v>
      </c>
      <c r="Y34" s="1114" t="s">
        <v>5391</v>
      </c>
      <c r="Z34" s="1135" t="s">
        <v>5392</v>
      </c>
      <c r="AA34" s="1114" t="s">
        <v>5393</v>
      </c>
      <c r="AB34" s="1135" t="s">
        <v>5394</v>
      </c>
      <c r="AC34" s="1114" t="s">
        <v>5395</v>
      </c>
      <c r="AD34" s="1135" t="s">
        <v>5396</v>
      </c>
      <c r="AE34" s="1114" t="s">
        <v>5397</v>
      </c>
      <c r="AF34" s="1135" t="s">
        <v>5398</v>
      </c>
      <c r="AG34" s="1114" t="s">
        <v>5399</v>
      </c>
      <c r="AH34" s="1135" t="s">
        <v>5400</v>
      </c>
      <c r="AI34" s="1114" t="s">
        <v>5401</v>
      </c>
      <c r="AJ34" s="1135" t="s">
        <v>5402</v>
      </c>
      <c r="AK34" s="1114" t="s">
        <v>5403</v>
      </c>
      <c r="AL34" s="1135" t="s">
        <v>5404</v>
      </c>
      <c r="AM34" s="1114" t="s">
        <v>5405</v>
      </c>
      <c r="AN34" s="1135" t="s">
        <v>5406</v>
      </c>
      <c r="AO34" s="1114" t="s">
        <v>5407</v>
      </c>
      <c r="AP34" s="1135" t="s">
        <v>5408</v>
      </c>
      <c r="AQ34" s="1114" t="s">
        <v>5409</v>
      </c>
      <c r="AR34" s="1136" t="s">
        <v>5410</v>
      </c>
      <c r="AS34" s="1137" t="s">
        <v>5411</v>
      </c>
      <c r="AT34" s="1136" t="s">
        <v>5412</v>
      </c>
      <c r="AU34" s="1134" t="s">
        <v>5413</v>
      </c>
      <c r="AV34" s="1135" t="s">
        <v>5414</v>
      </c>
      <c r="AW34" s="1114" t="s">
        <v>5415</v>
      </c>
      <c r="AX34" s="1118" t="s">
        <v>5416</v>
      </c>
      <c r="AY34" s="1197" t="e">
        <f t="shared" ref="AY34:AY51" si="53">$CB34&amp;$CC34&amp;$CD34&amp;$CE34&amp;$CF34&amp;$CG34&amp;$CH34&amp;$CI34&amp;$CJ34&amp;$CK34&amp;$CL34&amp;$CM34&amp;$CN34&amp;$CO34&amp;$CP34&amp;$CQ34&amp;$CR34&amp;$CS34&amp;$CT34&amp;$CU34&amp;$CV34&amp;$CW34&amp;$CX34&amp;$CY34&amp;$CZ34&amp;$DA34</f>
        <v>#VALUE!</v>
      </c>
      <c r="AZ34" s="1197"/>
      <c r="BA34" s="1197"/>
      <c r="BB34" s="1197"/>
      <c r="BC34" s="1197"/>
      <c r="BD34" s="1197"/>
      <c r="BE34" s="1197"/>
      <c r="BF34" s="1197"/>
      <c r="BG34" s="1197"/>
      <c r="BH34" s="1197"/>
      <c r="BI34" s="1197"/>
      <c r="BJ34" s="1191"/>
      <c r="BK34" s="1191"/>
      <c r="BL34" s="1191"/>
      <c r="BM34" s="1191"/>
      <c r="BV34" s="1547"/>
      <c r="BW34" s="1547"/>
      <c r="BX34" s="1547"/>
      <c r="CB34" s="2195" t="str">
        <f t="shared" ref="CB34:CB51" si="54">IF(C34&lt;D34,"* El total de Reactivos NO DEBE ser superior al total de Procesados. ","")</f>
        <v xml:space="preserve">* El total de Reactivos NO DEBE ser superior al total de Procesados. </v>
      </c>
      <c r="CC34" s="2195" t="e">
        <f t="shared" ref="CC34:CC51" si="55">IF(C34&lt;&gt;(AS34+ AT34),"* La suma de las columnas Sexo DEBE SER IGUAL a los Procesados. ","")</f>
        <v>#VALUE!</v>
      </c>
      <c r="CD34" s="2195" t="e">
        <f t="shared" ref="CD34:CD51" si="56">IF(C34&lt;(AU34+ AV34),"* La suma de las columna Trans NO DEBE ser superior al total de Procesados. ","")</f>
        <v>#VALUE!</v>
      </c>
      <c r="CE34" s="2195" t="str">
        <f t="shared" ref="CE34:CE51" si="57">IF(C34&lt;AW34,"* La columna Pueblos Originarios NO DEBE ser superior al total de Procesados. ","")</f>
        <v xml:space="preserve">* La columna Pueblos Originarios NO DEBE ser superior al total de Procesados. </v>
      </c>
      <c r="CF34" s="2195" t="str">
        <f t="shared" ref="CF34:CF51" si="58">IF(C34&lt;AX34,"* La columna Migrantes NO DEBE ser superior al total de Procesados. ","")</f>
        <v xml:space="preserve">* La columna Migrantes NO DEBE ser superior al total de Procesados. </v>
      </c>
      <c r="CG34" s="2195" t="str">
        <f>IF(E34&lt;F34,CONCATENATE("* El total de procesados debe ser mayor o igual al total de Reactivos en el grupo de edad ",$E$32),"")</f>
        <v>* El total de procesados debe ser mayor o igual al total de Reactivos en el grupo de edad Menor de 6 meses</v>
      </c>
      <c r="CH34" s="2195" t="str">
        <f>IF(G34&lt;H34,CONCATENATE("* El total de procesados debe ser mayor o igual al total de Reactivos en el grupo de edad ",$G$32),"")</f>
        <v>* El total de procesados debe ser mayor o igual al total de Reactivos en el grupo de edad 6 a 11 meses</v>
      </c>
      <c r="CI34" s="2195" t="str">
        <f>IF(I34&lt;J34,CONCATENATE("* El total de procesados debe ser mayor o igual al total de Reactivos en el grupo de edad ",$I$32),"")</f>
        <v>* El total de procesados debe ser mayor o igual al total de Reactivos en el grupo de edad 12-24 meses</v>
      </c>
      <c r="CJ34" s="2195" t="str">
        <f>IF(K34&lt;L34,CONCATENATE("* El total de procesados debe ser mayor o igual al total de Reactivos en el grupo de edad ",$K$32),"")</f>
        <v>* El total de procesados debe ser mayor o igual al total de Reactivos en el grupo de edad 3 a 4 años</v>
      </c>
      <c r="CK34" s="2195" t="str">
        <f>IF(M34&lt;N34,CONCATENATE("* El total de procesados debe ser mayor o igual al total de Reactivos en el grupo de edad ",$M$32),"")</f>
        <v>* El total de procesados debe ser mayor o igual al total de Reactivos en el grupo de edad 5 a 9 años</v>
      </c>
      <c r="CL34" s="2195" t="str">
        <f>IF(O34&lt;P34,CONCATENATE("* El total de procesados debe ser mayor o igual al total de Reactivos en el grupo de edad ",$O$32),"")</f>
        <v>* El total de procesados debe ser mayor o igual al total de Reactivos en el grupo de edad 10 - 14 años</v>
      </c>
      <c r="CM34" s="2195" t="str">
        <f>IF(Q34&lt;R34,CONCATENATE("* El total de procesados debe ser mayor o igual al total de Reactivos en el grupo de edad ",$Q$32),"")</f>
        <v>* El total de procesados debe ser mayor o igual al total de Reactivos en el grupo de edad 15 - 19 años</v>
      </c>
      <c r="CN34" s="2195" t="str">
        <f>IF(S34&lt;T34,CONCATENATE("* El total de procesados debe ser mayor o igual al total de Reactivos en el grupo de edad ",$S$32),"")</f>
        <v>* El total de procesados debe ser mayor o igual al total de Reactivos en el grupo de edad 20 - 24 años</v>
      </c>
      <c r="CO34" s="2195" t="str">
        <f>IF(U34&lt;V34,CONCATENATE("* El total de procesados debe ser mayor o igual al total de Reactivos en el grupo de edad ",$U$32),"")</f>
        <v>* El total de procesados debe ser mayor o igual al total de Reactivos en el grupo de edad 25 a 29 años</v>
      </c>
      <c r="CP34" s="2195" t="str">
        <f>IF(W34&lt;X34,CONCATENATE("* El total de procesados debe ser mayor o igual al total de Reactivos en el grupo de edad ",$W$32),"")</f>
        <v>* El total de procesados debe ser mayor o igual al total de Reactivos en el grupo de edad 30 a 34 años</v>
      </c>
      <c r="CQ34" s="2195" t="str">
        <f>IF(Y34&lt;Z34,CONCATENATE("* El total de procesados debe ser mayor o igual al total de Reactivos en el grupo de edad ",$Y$32),"")</f>
        <v>* El total de procesados debe ser mayor o igual al total de Reactivos en el grupo de edad 35 a 39 años</v>
      </c>
      <c r="CR34" s="2195" t="str">
        <f>IF(AA34&lt;AB34,CONCATENATE("* El total de procesados debe ser mayor o igual al total de Reactivos en el grupo de edad ",$AA$32),"")</f>
        <v>* El total de procesados debe ser mayor o igual al total de Reactivos en el grupo de edad 40 a 44 años</v>
      </c>
      <c r="CS34" s="2195" t="str">
        <f>IF(AC34&lt;AD34,CONCATENATE("* El total de procesados debe ser mayor o igual al total de Reactivos en el grupo de edad ",$AC$32),"")</f>
        <v>* El total de procesados debe ser mayor o igual al total de Reactivos en el grupo de edad 45 a 49 años</v>
      </c>
      <c r="CT34" s="2195" t="str">
        <f>IF(AE34&lt;AF34,CONCATENATE("* El total de procesados debe ser mayor o igual al total de Reactivos en el grupo de edad ",$AE$32),"")</f>
        <v>* El total de procesados debe ser mayor o igual al total de Reactivos en el grupo de edad 50 a 54 años</v>
      </c>
      <c r="CU34" s="2195" t="str">
        <f>IF(AG34&lt;AH34,CONCATENATE("* El total de procesados debe ser mayor o igual al total de Reactivos en el grupo de edad ",$AG$32),"")</f>
        <v>* El total de procesados debe ser mayor o igual al total de Reactivos en el grupo de edad 55 a 59 años</v>
      </c>
      <c r="CV34" s="2195" t="str">
        <f>IF(AI34&lt;AJ34,CONCATENATE("* El total de procesados debe ser mayor o igual al total de Reactivos en el grupo de edad ",$AI$32),"")</f>
        <v>* El total de procesados debe ser mayor o igual al total de Reactivos en el grupo de edad 60 a 64 años</v>
      </c>
      <c r="CW34" s="2195" t="str">
        <f>IF(AK34&lt;AL34,CONCATENATE("* El total de procesados debe ser mayor o igual al total de Reactivos en el grupo de edad ",$AK$32),"")</f>
        <v>* El total de procesados debe ser mayor o igual al total de Reactivos en el grupo de edad 65 a 69 años</v>
      </c>
      <c r="CX34" s="2195" t="str">
        <f>IF(AM34&lt;AN34,CONCATENATE("* El total de procesados debe ser mayor o igual al total de Reactivos en el grupo de edad ",$AM$32),"")</f>
        <v>* El total de procesados debe ser mayor o igual al total de Reactivos en el grupo de edad 70 a 74 años</v>
      </c>
      <c r="CY34" s="2195" t="str">
        <f>IF(AO34&lt;AP34,CONCATENATE("* El total de procesados debe ser mayor o igual al total de Reactivos en el grupo de edad ",$AO$32),"")</f>
        <v>* El total de procesados debe ser mayor o igual al total de Reactivos en el grupo de edad 75 a 79 años</v>
      </c>
      <c r="CZ34" s="2195" t="str">
        <f>IF(AQ34&lt;AR34,CONCATENATE("* El total de procesados debe ser mayor o igual al total de Reactivos en el grupo de edad ",$AQ$32),"")</f>
        <v>* El total de procesados debe ser mayor o igual al total de Reactivos en el grupo de edad 80 y más años</v>
      </c>
      <c r="DA34" s="2195" t="str">
        <f>IF(AND(C34&lt;&gt;0,OR(AU34="",AV34="",AW34="",AX34="")),"* No olvide digitar la columna Trans y/o Pueblos Originarios y/o Migrantes (Digite Cero si no tiene). ","")</f>
        <v/>
      </c>
      <c r="DB34" s="1446">
        <f>IF(C34&lt;   D34,1,0)</f>
        <v>1</v>
      </c>
      <c r="DC34" s="1446" t="e">
        <f>IF(C34&lt;&gt; AS34+AT34,1,0)</f>
        <v>#VALUE!</v>
      </c>
      <c r="DD34" s="1446" t="e">
        <f>IF(C34&lt;  AU34+AV34,1,0)</f>
        <v>#VALUE!</v>
      </c>
      <c r="DE34" s="1446">
        <f>IF(C34&lt;  AW34,1,0)</f>
        <v>1</v>
      </c>
      <c r="DF34" s="1446">
        <f>IF(C34&lt;  AX34,1,0)</f>
        <v>1</v>
      </c>
      <c r="DG34" s="1446">
        <f t="shared" ref="DG34:DG51" si="59">IF(E34&lt;F34,1,0)</f>
        <v>1</v>
      </c>
      <c r="DH34" s="1446">
        <f t="shared" ref="DH34:DH51" si="60">IF(G34&lt;H34,1,0)</f>
        <v>1</v>
      </c>
      <c r="DI34" s="1446">
        <f t="shared" ref="DI34:DI51" si="61">IF(I34&lt;J34,1,0)</f>
        <v>1</v>
      </c>
      <c r="DJ34" s="1446">
        <f t="shared" ref="DJ34:DJ51" si="62">IF(K34&lt;L34,1,0)</f>
        <v>1</v>
      </c>
      <c r="DK34" s="1446">
        <f t="shared" ref="DK34:DK51" si="63">IF(M34&lt;N34,1,0)</f>
        <v>1</v>
      </c>
      <c r="DL34" s="1446">
        <f t="shared" ref="DL34:DL51" si="64">IF(O34&lt;P34,1,0)</f>
        <v>1</v>
      </c>
      <c r="DM34" s="1446">
        <f t="shared" ref="DM34:DM51" si="65">IF(Q34&lt;R34,1,0)</f>
        <v>1</v>
      </c>
      <c r="DN34" s="1446">
        <f t="shared" ref="DN34:DN51" si="66">IF(S34&lt;T34,1,0)</f>
        <v>1</v>
      </c>
      <c r="DO34" s="1446">
        <f t="shared" ref="DO34:DO51" si="67">IF(U34&lt;V34,1,0)</f>
        <v>1</v>
      </c>
      <c r="DP34" s="1446">
        <f t="shared" ref="DP34:DP51" si="68">IF(W34&lt;X34,1,0)</f>
        <v>1</v>
      </c>
      <c r="DQ34" s="1446">
        <f t="shared" ref="DQ34:DQ51" si="69">IF(Y34&lt;Z34,1,0)</f>
        <v>1</v>
      </c>
      <c r="DR34" s="1446">
        <f t="shared" ref="DR34:DR51" si="70">IF(AA34&lt;AB34,1,0)</f>
        <v>1</v>
      </c>
      <c r="DS34" s="1446">
        <f t="shared" ref="DS34:DS51" si="71">IF(AC34&lt;AD34,1,0)</f>
        <v>1</v>
      </c>
      <c r="DT34" s="1446">
        <f t="shared" ref="DT34:DT51" si="72">IF(AE34&lt;AF34,1,0)</f>
        <v>1</v>
      </c>
      <c r="DU34" s="1446">
        <f t="shared" ref="DU34:DU51" si="73">IF(AG34&lt;AH34,1,0)</f>
        <v>1</v>
      </c>
      <c r="DV34" s="1446">
        <f t="shared" ref="DV34:DV51" si="74">IF(AI34&lt;AJ34,1,0)</f>
        <v>1</v>
      </c>
      <c r="DW34" s="1446">
        <f t="shared" ref="DW34:DW51" si="75">IF(AK34&lt;AL34,1,0)</f>
        <v>1</v>
      </c>
      <c r="DX34" s="1446">
        <f t="shared" ref="DX34:DX51" si="76">IF(AM34&lt;AN34,1,0)</f>
        <v>1</v>
      </c>
      <c r="DY34" s="1446">
        <f t="shared" ref="DY34:DY51" si="77">IF(AO34&lt;AP34,1,0)</f>
        <v>1</v>
      </c>
      <c r="DZ34" s="1446">
        <f t="shared" ref="DZ34:DZ51" si="78">IF(AQ34&lt;AR34,1,0)</f>
        <v>1</v>
      </c>
      <c r="EA34" s="1446">
        <f t="shared" ref="EA34:EA51" si="79">IF(AND(C34&lt;&gt;0,OR(AU34="",AV34="",AW34="",AX34="")),1,0)</f>
        <v>0</v>
      </c>
    </row>
    <row r="35" spans="1:131" ht="16.2" customHeight="1" x14ac:dyDescent="0.3">
      <c r="A35" s="7258">
        <v>11054203</v>
      </c>
      <c r="B35" s="2000" t="s">
        <v>1786</v>
      </c>
      <c r="C35" s="1998" t="s">
        <v>5369</v>
      </c>
      <c r="D35" s="2044" t="s">
        <v>5370</v>
      </c>
      <c r="E35" s="1130" t="s">
        <v>5371</v>
      </c>
      <c r="F35" s="1131" t="s">
        <v>5372</v>
      </c>
      <c r="G35" s="1132" t="s">
        <v>5373</v>
      </c>
      <c r="H35" s="1131" t="s">
        <v>5374</v>
      </c>
      <c r="I35" s="1132" t="s">
        <v>5375</v>
      </c>
      <c r="J35" s="1131" t="s">
        <v>5376</v>
      </c>
      <c r="K35" s="1132" t="s">
        <v>5377</v>
      </c>
      <c r="L35" s="1131" t="s">
        <v>5378</v>
      </c>
      <c r="M35" s="1132" t="s">
        <v>5379</v>
      </c>
      <c r="N35" s="1133" t="s">
        <v>5380</v>
      </c>
      <c r="O35" s="1134" t="s">
        <v>5381</v>
      </c>
      <c r="P35" s="1135" t="s">
        <v>5382</v>
      </c>
      <c r="Q35" s="1114" t="s">
        <v>5383</v>
      </c>
      <c r="R35" s="1135" t="s">
        <v>5384</v>
      </c>
      <c r="S35" s="1114" t="s">
        <v>5385</v>
      </c>
      <c r="T35" s="1135" t="s">
        <v>5386</v>
      </c>
      <c r="U35" s="1114" t="s">
        <v>5387</v>
      </c>
      <c r="V35" s="1135" t="s">
        <v>5388</v>
      </c>
      <c r="W35" s="1114" t="s">
        <v>5389</v>
      </c>
      <c r="X35" s="1135" t="s">
        <v>5390</v>
      </c>
      <c r="Y35" s="1114" t="s">
        <v>5391</v>
      </c>
      <c r="Z35" s="1135" t="s">
        <v>5392</v>
      </c>
      <c r="AA35" s="1114" t="s">
        <v>5393</v>
      </c>
      <c r="AB35" s="1135" t="s">
        <v>5394</v>
      </c>
      <c r="AC35" s="1114" t="s">
        <v>5395</v>
      </c>
      <c r="AD35" s="1135" t="s">
        <v>5396</v>
      </c>
      <c r="AE35" s="1114" t="s">
        <v>5397</v>
      </c>
      <c r="AF35" s="1135" t="s">
        <v>5398</v>
      </c>
      <c r="AG35" s="1114" t="s">
        <v>5399</v>
      </c>
      <c r="AH35" s="1135" t="s">
        <v>5400</v>
      </c>
      <c r="AI35" s="1114" t="s">
        <v>5401</v>
      </c>
      <c r="AJ35" s="1135" t="s">
        <v>5402</v>
      </c>
      <c r="AK35" s="1114" t="s">
        <v>5403</v>
      </c>
      <c r="AL35" s="1135" t="s">
        <v>5404</v>
      </c>
      <c r="AM35" s="1114" t="s">
        <v>5405</v>
      </c>
      <c r="AN35" s="1135" t="s">
        <v>5406</v>
      </c>
      <c r="AO35" s="1114" t="s">
        <v>5407</v>
      </c>
      <c r="AP35" s="1135" t="s">
        <v>5408</v>
      </c>
      <c r="AQ35" s="1114" t="s">
        <v>5409</v>
      </c>
      <c r="AR35" s="1136" t="s">
        <v>5410</v>
      </c>
      <c r="AS35" s="1137" t="s">
        <v>5411</v>
      </c>
      <c r="AT35" s="1136" t="s">
        <v>5412</v>
      </c>
      <c r="AU35" s="1134" t="s">
        <v>5413</v>
      </c>
      <c r="AV35" s="1135" t="s">
        <v>5414</v>
      </c>
      <c r="AW35" s="1114" t="s">
        <v>5415</v>
      </c>
      <c r="AX35" s="1118" t="s">
        <v>5416</v>
      </c>
      <c r="AY35" s="1197" t="e">
        <f t="shared" si="53"/>
        <v>#VALUE!</v>
      </c>
      <c r="AZ35" s="1197"/>
      <c r="BA35" s="1197"/>
      <c r="BB35" s="1197"/>
      <c r="BC35" s="1197"/>
      <c r="BD35" s="1197"/>
      <c r="BE35" s="1197"/>
      <c r="BF35" s="1197"/>
      <c r="BG35" s="1197"/>
      <c r="BH35" s="1197"/>
      <c r="BI35" s="1197"/>
      <c r="BJ35" s="1191"/>
      <c r="BK35" s="1191"/>
      <c r="BL35" s="1191"/>
      <c r="BM35" s="1191"/>
      <c r="BV35" s="1547"/>
      <c r="BW35" s="1547"/>
      <c r="BX35" s="1547"/>
      <c r="CB35" s="2195" t="str">
        <f t="shared" si="54"/>
        <v xml:space="preserve">* El total de Reactivos NO DEBE ser superior al total de Procesados. </v>
      </c>
      <c r="CC35" s="2195" t="e">
        <f t="shared" si="55"/>
        <v>#VALUE!</v>
      </c>
      <c r="CD35" s="2195" t="e">
        <f t="shared" si="56"/>
        <v>#VALUE!</v>
      </c>
      <c r="CE35" s="2195" t="str">
        <f t="shared" si="57"/>
        <v xml:space="preserve">* La columna Pueblos Originarios NO DEBE ser superior al total de Procesados. </v>
      </c>
      <c r="CF35" s="2195" t="str">
        <f t="shared" si="58"/>
        <v xml:space="preserve">* La columna Migrantes NO DEBE ser superior al total de Procesados. </v>
      </c>
      <c r="CG35" s="2195" t="str">
        <f t="shared" ref="CG35:CG51" si="80">IF(E35&lt;F35,CONCATENATE("* El total de procesados debe ser mayor o igual al total de Reactivos en el grupo de edad ",$E$32),"")</f>
        <v>* El total de procesados debe ser mayor o igual al total de Reactivos en el grupo de edad Menor de 6 meses</v>
      </c>
      <c r="CH35" s="2195" t="str">
        <f t="shared" ref="CH35:CH51" si="81">IF(G35&lt;H35,CONCATENATE("* El total de procesados debe ser mayor o igual al total de Reactivos en el grupo de edad ",$G$32),"")</f>
        <v>* El total de procesados debe ser mayor o igual al total de Reactivos en el grupo de edad 6 a 11 meses</v>
      </c>
      <c r="CI35" s="2195" t="str">
        <f t="shared" ref="CI35:CI51" si="82">IF(I35&lt;J35,CONCATENATE("* El total de procesados debe ser mayor o igual al total de Reactivos en el grupo de edad ",$I$32),"")</f>
        <v>* El total de procesados debe ser mayor o igual al total de Reactivos en el grupo de edad 12-24 meses</v>
      </c>
      <c r="CJ35" s="2195" t="str">
        <f t="shared" ref="CJ35:CJ51" si="83">IF(K35&lt;L35,CONCATENATE("* El total de procesados debe ser mayor o igual al total de Reactivos en el grupo de edad ",$K$32),"")</f>
        <v>* El total de procesados debe ser mayor o igual al total de Reactivos en el grupo de edad 3 a 4 años</v>
      </c>
      <c r="CK35" s="2195" t="str">
        <f t="shared" ref="CK35:CK51" si="84">IF(M35&lt;N35,CONCATENATE("* El total de procesados debe ser mayor o igual al total de Reactivos en el grupo de edad ",$M$32),"")</f>
        <v>* El total de procesados debe ser mayor o igual al total de Reactivos en el grupo de edad 5 a 9 años</v>
      </c>
      <c r="CL35" s="2195" t="str">
        <f t="shared" ref="CL35:CL51" si="85">IF(O35&lt;P35,CONCATENATE("* El total de procesados debe ser mayor o igual al total de Reactivos en el grupo de edad ",$O$32),"")</f>
        <v>* El total de procesados debe ser mayor o igual al total de Reactivos en el grupo de edad 10 - 14 años</v>
      </c>
      <c r="CM35" s="2195" t="str">
        <f t="shared" ref="CM35:CM51" si="86">IF(Q35&lt;R35,CONCATENATE("* El total de procesados debe ser mayor o igual al total de Reactivos en el grupo de edad ",$Q$32),"")</f>
        <v>* El total de procesados debe ser mayor o igual al total de Reactivos en el grupo de edad 15 - 19 años</v>
      </c>
      <c r="CN35" s="2195" t="str">
        <f t="shared" ref="CN35:CN51" si="87">IF(S35&lt;T35,CONCATENATE("* El total de procesados debe ser mayor o igual al total de Reactivos en el grupo de edad ",$S$32),"")</f>
        <v>* El total de procesados debe ser mayor o igual al total de Reactivos en el grupo de edad 20 - 24 años</v>
      </c>
      <c r="CO35" s="2195" t="str">
        <f t="shared" ref="CO35:CO51" si="88">IF(U35&lt;V35,CONCATENATE("* El total de procesados debe ser mayor o igual al total de Reactivos en el grupo de edad ",$U$32),"")</f>
        <v>* El total de procesados debe ser mayor o igual al total de Reactivos en el grupo de edad 25 a 29 años</v>
      </c>
      <c r="CP35" s="2195" t="str">
        <f t="shared" ref="CP35:CP51" si="89">IF(W35&lt;X35,CONCATENATE("* El total de procesados debe ser mayor o igual al total de Reactivos en el grupo de edad ",$W$32),"")</f>
        <v>* El total de procesados debe ser mayor o igual al total de Reactivos en el grupo de edad 30 a 34 años</v>
      </c>
      <c r="CQ35" s="2195" t="str">
        <f t="shared" ref="CQ35:CQ51" si="90">IF(Y35&lt;Z35,CONCATENATE("* El total de procesados debe ser mayor o igual al total de Reactivos en el grupo de edad ",$Y$32),"")</f>
        <v>* El total de procesados debe ser mayor o igual al total de Reactivos en el grupo de edad 35 a 39 años</v>
      </c>
      <c r="CR35" s="2195" t="str">
        <f t="shared" ref="CR35:CR51" si="91">IF(AA35&lt;AB35,CONCATENATE("* El total de procesados debe ser mayor o igual al total de Reactivos en el grupo de edad ",$AA$32),"")</f>
        <v>* El total de procesados debe ser mayor o igual al total de Reactivos en el grupo de edad 40 a 44 años</v>
      </c>
      <c r="CS35" s="2195" t="str">
        <f t="shared" ref="CS35:CS51" si="92">IF(AC35&lt;AD35,CONCATENATE("* El total de procesados debe ser mayor o igual al total de Reactivos en el grupo de edad ",$AC$32),"")</f>
        <v>* El total de procesados debe ser mayor o igual al total de Reactivos en el grupo de edad 45 a 49 años</v>
      </c>
      <c r="CT35" s="2195" t="str">
        <f t="shared" ref="CT35:CT51" si="93">IF(AE35&lt;AF35,CONCATENATE("* El total de procesados debe ser mayor o igual al total de Reactivos en el grupo de edad ",$AE$32),"")</f>
        <v>* El total de procesados debe ser mayor o igual al total de Reactivos en el grupo de edad 50 a 54 años</v>
      </c>
      <c r="CU35" s="2195" t="str">
        <f t="shared" ref="CU35:CU51" si="94">IF(AG35&lt;AH35,CONCATENATE("* El total de procesados debe ser mayor o igual al total de Reactivos en el grupo de edad ",$AG$32),"")</f>
        <v>* El total de procesados debe ser mayor o igual al total de Reactivos en el grupo de edad 55 a 59 años</v>
      </c>
      <c r="CV35" s="2195" t="str">
        <f t="shared" ref="CV35:CV51" si="95">IF(AI35&lt;AJ35,CONCATENATE("* El total de procesados debe ser mayor o igual al total de Reactivos en el grupo de edad ",$AI$32),"")</f>
        <v>* El total de procesados debe ser mayor o igual al total de Reactivos en el grupo de edad 60 a 64 años</v>
      </c>
      <c r="CW35" s="2195" t="str">
        <f t="shared" ref="CW35:CW51" si="96">IF(AK35&lt;AL35,CONCATENATE("* El total de procesados debe ser mayor o igual al total de Reactivos en el grupo de edad ",$AK$32),"")</f>
        <v>* El total de procesados debe ser mayor o igual al total de Reactivos en el grupo de edad 65 a 69 años</v>
      </c>
      <c r="CX35" s="2195" t="str">
        <f t="shared" ref="CX35:CX51" si="97">IF(AM35&lt;AN35,CONCATENATE("* El total de procesados debe ser mayor o igual al total de Reactivos en el grupo de edad ",$AM$32),"")</f>
        <v>* El total de procesados debe ser mayor o igual al total de Reactivos en el grupo de edad 70 a 74 años</v>
      </c>
      <c r="CY35" s="2195" t="str">
        <f t="shared" ref="CY35:CY51" si="98">IF(AO35&lt;AP35,CONCATENATE("* El total de procesados debe ser mayor o igual al total de Reactivos en el grupo de edad ",$AO$32),"")</f>
        <v>* El total de procesados debe ser mayor o igual al total de Reactivos en el grupo de edad 75 a 79 años</v>
      </c>
      <c r="CZ35" s="2195" t="str">
        <f t="shared" ref="CZ35:CZ51" si="99">IF(AQ35&lt;AR35,CONCATENATE("* El total de procesados debe ser mayor o igual al total de Reactivos en el grupo de edad ",$AQ$32),"")</f>
        <v>* El total de procesados debe ser mayor o igual al total de Reactivos en el grupo de edad 80 y más años</v>
      </c>
      <c r="DA35" s="2195" t="str">
        <f t="shared" ref="DA35:DA51" si="100">IF(AND(C35&lt;&gt;0,OR(AU35="",AV35="",AW35="",AX35="")),"* No olvide digitar la columna Trans y/o Pueblos Originarios y/o Migrantes (Digite Cero si no tiene). ","")</f>
        <v/>
      </c>
      <c r="DB35" s="1446">
        <f t="shared" ref="DB35:DB51" si="101">IF(C35&lt;   D35,1,0)</f>
        <v>1</v>
      </c>
      <c r="DC35" s="1446" t="e">
        <f t="shared" ref="DC35:DC51" si="102">IF(C35&lt;&gt; AS35+AT35,1,0)</f>
        <v>#VALUE!</v>
      </c>
      <c r="DD35" s="1446" t="e">
        <f t="shared" ref="DD35:DD51" si="103">IF(C35&lt;  AU35+AV35,1,0)</f>
        <v>#VALUE!</v>
      </c>
      <c r="DE35" s="1446">
        <f t="shared" ref="DE35:DE51" si="104">IF(C35&lt;  AW35,1,0)</f>
        <v>1</v>
      </c>
      <c r="DF35" s="1446">
        <f t="shared" ref="DF35:DF51" si="105">IF(C35&lt;  AX35,1,0)</f>
        <v>1</v>
      </c>
      <c r="DG35" s="1446">
        <f t="shared" si="59"/>
        <v>1</v>
      </c>
      <c r="DH35" s="1446">
        <f t="shared" si="60"/>
        <v>1</v>
      </c>
      <c r="DI35" s="1446">
        <f t="shared" si="61"/>
        <v>1</v>
      </c>
      <c r="DJ35" s="1446">
        <f t="shared" si="62"/>
        <v>1</v>
      </c>
      <c r="DK35" s="1446">
        <f t="shared" si="63"/>
        <v>1</v>
      </c>
      <c r="DL35" s="1446">
        <f t="shared" si="64"/>
        <v>1</v>
      </c>
      <c r="DM35" s="1446">
        <f t="shared" si="65"/>
        <v>1</v>
      </c>
      <c r="DN35" s="1446">
        <f t="shared" si="66"/>
        <v>1</v>
      </c>
      <c r="DO35" s="1446">
        <f t="shared" si="67"/>
        <v>1</v>
      </c>
      <c r="DP35" s="1446">
        <f t="shared" si="68"/>
        <v>1</v>
      </c>
      <c r="DQ35" s="1446">
        <f t="shared" si="69"/>
        <v>1</v>
      </c>
      <c r="DR35" s="1446">
        <f t="shared" si="70"/>
        <v>1</v>
      </c>
      <c r="DS35" s="1446">
        <f t="shared" si="71"/>
        <v>1</v>
      </c>
      <c r="DT35" s="1446">
        <f t="shared" si="72"/>
        <v>1</v>
      </c>
      <c r="DU35" s="1446">
        <f t="shared" si="73"/>
        <v>1</v>
      </c>
      <c r="DV35" s="1446">
        <f t="shared" si="74"/>
        <v>1</v>
      </c>
      <c r="DW35" s="1446">
        <f t="shared" si="75"/>
        <v>1</v>
      </c>
      <c r="DX35" s="1446">
        <f t="shared" si="76"/>
        <v>1</v>
      </c>
      <c r="DY35" s="1446">
        <f t="shared" si="77"/>
        <v>1</v>
      </c>
      <c r="DZ35" s="1446">
        <f t="shared" si="78"/>
        <v>1</v>
      </c>
      <c r="EA35" s="1446">
        <f t="shared" si="79"/>
        <v>0</v>
      </c>
    </row>
    <row r="36" spans="1:131" ht="16.2" customHeight="1" x14ac:dyDescent="0.3">
      <c r="A36" s="7258">
        <v>11054204</v>
      </c>
      <c r="B36" s="2000" t="s">
        <v>1787</v>
      </c>
      <c r="C36" s="1998" t="s">
        <v>5369</v>
      </c>
      <c r="D36" s="2044" t="s">
        <v>5370</v>
      </c>
      <c r="E36" s="1130" t="s">
        <v>5371</v>
      </c>
      <c r="F36" s="1131" t="s">
        <v>5372</v>
      </c>
      <c r="G36" s="1132" t="s">
        <v>5373</v>
      </c>
      <c r="H36" s="1131" t="s">
        <v>5374</v>
      </c>
      <c r="I36" s="1132" t="s">
        <v>5375</v>
      </c>
      <c r="J36" s="1131" t="s">
        <v>5376</v>
      </c>
      <c r="K36" s="1132" t="s">
        <v>5377</v>
      </c>
      <c r="L36" s="1131" t="s">
        <v>5378</v>
      </c>
      <c r="M36" s="1132" t="s">
        <v>5379</v>
      </c>
      <c r="N36" s="1133" t="s">
        <v>5380</v>
      </c>
      <c r="O36" s="1134" t="s">
        <v>5381</v>
      </c>
      <c r="P36" s="1135" t="s">
        <v>5382</v>
      </c>
      <c r="Q36" s="1114" t="s">
        <v>5383</v>
      </c>
      <c r="R36" s="1135" t="s">
        <v>5384</v>
      </c>
      <c r="S36" s="1114" t="s">
        <v>5385</v>
      </c>
      <c r="T36" s="1135" t="s">
        <v>5386</v>
      </c>
      <c r="U36" s="1114" t="s">
        <v>5387</v>
      </c>
      <c r="V36" s="1135" t="s">
        <v>5388</v>
      </c>
      <c r="W36" s="1114" t="s">
        <v>5389</v>
      </c>
      <c r="X36" s="1135" t="s">
        <v>5390</v>
      </c>
      <c r="Y36" s="1114" t="s">
        <v>5391</v>
      </c>
      <c r="Z36" s="1135" t="s">
        <v>5392</v>
      </c>
      <c r="AA36" s="1114" t="s">
        <v>5393</v>
      </c>
      <c r="AB36" s="1135" t="s">
        <v>5394</v>
      </c>
      <c r="AC36" s="1114" t="s">
        <v>5395</v>
      </c>
      <c r="AD36" s="1135" t="s">
        <v>5396</v>
      </c>
      <c r="AE36" s="1114" t="s">
        <v>5397</v>
      </c>
      <c r="AF36" s="1135" t="s">
        <v>5398</v>
      </c>
      <c r="AG36" s="1114" t="s">
        <v>5399</v>
      </c>
      <c r="AH36" s="1135" t="s">
        <v>5400</v>
      </c>
      <c r="AI36" s="1114" t="s">
        <v>5401</v>
      </c>
      <c r="AJ36" s="1135" t="s">
        <v>5402</v>
      </c>
      <c r="AK36" s="1114" t="s">
        <v>5403</v>
      </c>
      <c r="AL36" s="1135" t="s">
        <v>5404</v>
      </c>
      <c r="AM36" s="1114" t="s">
        <v>5405</v>
      </c>
      <c r="AN36" s="1135" t="s">
        <v>5406</v>
      </c>
      <c r="AO36" s="1114" t="s">
        <v>5407</v>
      </c>
      <c r="AP36" s="1135" t="s">
        <v>5408</v>
      </c>
      <c r="AQ36" s="1114" t="s">
        <v>5409</v>
      </c>
      <c r="AR36" s="1136" t="s">
        <v>5410</v>
      </c>
      <c r="AS36" s="1137" t="s">
        <v>5411</v>
      </c>
      <c r="AT36" s="1136" t="s">
        <v>5412</v>
      </c>
      <c r="AU36" s="1134" t="s">
        <v>5413</v>
      </c>
      <c r="AV36" s="1135" t="s">
        <v>5414</v>
      </c>
      <c r="AW36" s="1114" t="s">
        <v>5415</v>
      </c>
      <c r="AX36" s="1118" t="s">
        <v>5416</v>
      </c>
      <c r="AY36" s="1197" t="e">
        <f t="shared" si="53"/>
        <v>#VALUE!</v>
      </c>
      <c r="AZ36" s="1197"/>
      <c r="BA36" s="1197"/>
      <c r="BB36" s="1197"/>
      <c r="BC36" s="1197"/>
      <c r="BD36" s="1197"/>
      <c r="BE36" s="1197"/>
      <c r="BF36" s="1197"/>
      <c r="BG36" s="1197"/>
      <c r="BH36" s="1197"/>
      <c r="BI36" s="1197"/>
      <c r="BJ36" s="1191"/>
      <c r="BK36" s="1191"/>
      <c r="BL36" s="1191"/>
      <c r="BM36" s="1191"/>
      <c r="BV36" s="1547"/>
      <c r="BW36" s="1547"/>
      <c r="BX36" s="1547"/>
      <c r="CB36" s="2195" t="str">
        <f t="shared" si="54"/>
        <v xml:space="preserve">* El total de Reactivos NO DEBE ser superior al total de Procesados. </v>
      </c>
      <c r="CC36" s="2195" t="e">
        <f t="shared" si="55"/>
        <v>#VALUE!</v>
      </c>
      <c r="CD36" s="2195" t="e">
        <f t="shared" si="56"/>
        <v>#VALUE!</v>
      </c>
      <c r="CE36" s="2195" t="str">
        <f t="shared" si="57"/>
        <v xml:space="preserve">* La columna Pueblos Originarios NO DEBE ser superior al total de Procesados. </v>
      </c>
      <c r="CF36" s="2195" t="str">
        <f t="shared" si="58"/>
        <v xml:space="preserve">* La columna Migrantes NO DEBE ser superior al total de Procesados. </v>
      </c>
      <c r="CG36" s="2195" t="str">
        <f t="shared" si="80"/>
        <v>* El total de procesados debe ser mayor o igual al total de Reactivos en el grupo de edad Menor de 6 meses</v>
      </c>
      <c r="CH36" s="2195" t="str">
        <f t="shared" si="81"/>
        <v>* El total de procesados debe ser mayor o igual al total de Reactivos en el grupo de edad 6 a 11 meses</v>
      </c>
      <c r="CI36" s="2195" t="str">
        <f t="shared" si="82"/>
        <v>* El total de procesados debe ser mayor o igual al total de Reactivos en el grupo de edad 12-24 meses</v>
      </c>
      <c r="CJ36" s="2195" t="str">
        <f t="shared" si="83"/>
        <v>* El total de procesados debe ser mayor o igual al total de Reactivos en el grupo de edad 3 a 4 años</v>
      </c>
      <c r="CK36" s="2195" t="str">
        <f t="shared" si="84"/>
        <v>* El total de procesados debe ser mayor o igual al total de Reactivos en el grupo de edad 5 a 9 años</v>
      </c>
      <c r="CL36" s="2195" t="str">
        <f t="shared" si="85"/>
        <v>* El total de procesados debe ser mayor o igual al total de Reactivos en el grupo de edad 10 - 14 años</v>
      </c>
      <c r="CM36" s="2195" t="str">
        <f t="shared" si="86"/>
        <v>* El total de procesados debe ser mayor o igual al total de Reactivos en el grupo de edad 15 - 19 años</v>
      </c>
      <c r="CN36" s="2195" t="str">
        <f t="shared" si="87"/>
        <v>* El total de procesados debe ser mayor o igual al total de Reactivos en el grupo de edad 20 - 24 años</v>
      </c>
      <c r="CO36" s="2195" t="str">
        <f t="shared" si="88"/>
        <v>* El total de procesados debe ser mayor o igual al total de Reactivos en el grupo de edad 25 a 29 años</v>
      </c>
      <c r="CP36" s="2195" t="str">
        <f t="shared" si="89"/>
        <v>* El total de procesados debe ser mayor o igual al total de Reactivos en el grupo de edad 30 a 34 años</v>
      </c>
      <c r="CQ36" s="2195" t="str">
        <f t="shared" si="90"/>
        <v>* El total de procesados debe ser mayor o igual al total de Reactivos en el grupo de edad 35 a 39 años</v>
      </c>
      <c r="CR36" s="2195" t="str">
        <f t="shared" si="91"/>
        <v>* El total de procesados debe ser mayor o igual al total de Reactivos en el grupo de edad 40 a 44 años</v>
      </c>
      <c r="CS36" s="2195" t="str">
        <f t="shared" si="92"/>
        <v>* El total de procesados debe ser mayor o igual al total de Reactivos en el grupo de edad 45 a 49 años</v>
      </c>
      <c r="CT36" s="2195" t="str">
        <f t="shared" si="93"/>
        <v>* El total de procesados debe ser mayor o igual al total de Reactivos en el grupo de edad 50 a 54 años</v>
      </c>
      <c r="CU36" s="2195" t="str">
        <f t="shared" si="94"/>
        <v>* El total de procesados debe ser mayor o igual al total de Reactivos en el grupo de edad 55 a 59 años</v>
      </c>
      <c r="CV36" s="2195" t="str">
        <f t="shared" si="95"/>
        <v>* El total de procesados debe ser mayor o igual al total de Reactivos en el grupo de edad 60 a 64 años</v>
      </c>
      <c r="CW36" s="2195" t="str">
        <f t="shared" si="96"/>
        <v>* El total de procesados debe ser mayor o igual al total de Reactivos en el grupo de edad 65 a 69 años</v>
      </c>
      <c r="CX36" s="2195" t="str">
        <f t="shared" si="97"/>
        <v>* El total de procesados debe ser mayor o igual al total de Reactivos en el grupo de edad 70 a 74 años</v>
      </c>
      <c r="CY36" s="2195" t="str">
        <f t="shared" si="98"/>
        <v>* El total de procesados debe ser mayor o igual al total de Reactivos en el grupo de edad 75 a 79 años</v>
      </c>
      <c r="CZ36" s="2195" t="str">
        <f t="shared" si="99"/>
        <v>* El total de procesados debe ser mayor o igual al total de Reactivos en el grupo de edad 80 y más años</v>
      </c>
      <c r="DA36" s="2195" t="str">
        <f t="shared" si="100"/>
        <v/>
      </c>
      <c r="DB36" s="1446">
        <f t="shared" si="101"/>
        <v>1</v>
      </c>
      <c r="DC36" s="1446" t="e">
        <f t="shared" si="102"/>
        <v>#VALUE!</v>
      </c>
      <c r="DD36" s="1446" t="e">
        <f t="shared" si="103"/>
        <v>#VALUE!</v>
      </c>
      <c r="DE36" s="1446">
        <f t="shared" si="104"/>
        <v>1</v>
      </c>
      <c r="DF36" s="1446">
        <f t="shared" si="105"/>
        <v>1</v>
      </c>
      <c r="DG36" s="1446">
        <f t="shared" si="59"/>
        <v>1</v>
      </c>
      <c r="DH36" s="1446">
        <f t="shared" si="60"/>
        <v>1</v>
      </c>
      <c r="DI36" s="1446">
        <f t="shared" si="61"/>
        <v>1</v>
      </c>
      <c r="DJ36" s="1446">
        <f t="shared" si="62"/>
        <v>1</v>
      </c>
      <c r="DK36" s="1446">
        <f t="shared" si="63"/>
        <v>1</v>
      </c>
      <c r="DL36" s="1446">
        <f t="shared" si="64"/>
        <v>1</v>
      </c>
      <c r="DM36" s="1446">
        <f t="shared" si="65"/>
        <v>1</v>
      </c>
      <c r="DN36" s="1446">
        <f t="shared" si="66"/>
        <v>1</v>
      </c>
      <c r="DO36" s="1446">
        <f t="shared" si="67"/>
        <v>1</v>
      </c>
      <c r="DP36" s="1446">
        <f t="shared" si="68"/>
        <v>1</v>
      </c>
      <c r="DQ36" s="1446">
        <f t="shared" si="69"/>
        <v>1</v>
      </c>
      <c r="DR36" s="1446">
        <f t="shared" si="70"/>
        <v>1</v>
      </c>
      <c r="DS36" s="1446">
        <f t="shared" si="71"/>
        <v>1</v>
      </c>
      <c r="DT36" s="1446">
        <f t="shared" si="72"/>
        <v>1</v>
      </c>
      <c r="DU36" s="1446">
        <f t="shared" si="73"/>
        <v>1</v>
      </c>
      <c r="DV36" s="1446">
        <f t="shared" si="74"/>
        <v>1</v>
      </c>
      <c r="DW36" s="1446">
        <f t="shared" si="75"/>
        <v>1</v>
      </c>
      <c r="DX36" s="1446">
        <f t="shared" si="76"/>
        <v>1</v>
      </c>
      <c r="DY36" s="1446">
        <f t="shared" si="77"/>
        <v>1</v>
      </c>
      <c r="DZ36" s="1446">
        <f t="shared" si="78"/>
        <v>1</v>
      </c>
      <c r="EA36" s="1446">
        <f t="shared" si="79"/>
        <v>0</v>
      </c>
    </row>
    <row r="37" spans="1:131" ht="16.2" customHeight="1" x14ac:dyDescent="0.3">
      <c r="A37" s="7258">
        <v>11054205</v>
      </c>
      <c r="B37" s="2000" t="s">
        <v>1788</v>
      </c>
      <c r="C37" s="1998" t="s">
        <v>5369</v>
      </c>
      <c r="D37" s="2044" t="s">
        <v>5370</v>
      </c>
      <c r="E37" s="1130" t="s">
        <v>5371</v>
      </c>
      <c r="F37" s="1131" t="s">
        <v>5372</v>
      </c>
      <c r="G37" s="1132" t="s">
        <v>5373</v>
      </c>
      <c r="H37" s="1131" t="s">
        <v>5374</v>
      </c>
      <c r="I37" s="1132" t="s">
        <v>5375</v>
      </c>
      <c r="J37" s="1131" t="s">
        <v>5376</v>
      </c>
      <c r="K37" s="1132" t="s">
        <v>5377</v>
      </c>
      <c r="L37" s="1131" t="s">
        <v>5378</v>
      </c>
      <c r="M37" s="1132" t="s">
        <v>5379</v>
      </c>
      <c r="N37" s="1133" t="s">
        <v>5380</v>
      </c>
      <c r="O37" s="1134" t="s">
        <v>5381</v>
      </c>
      <c r="P37" s="1135" t="s">
        <v>5382</v>
      </c>
      <c r="Q37" s="1114" t="s">
        <v>5383</v>
      </c>
      <c r="R37" s="1135" t="s">
        <v>5384</v>
      </c>
      <c r="S37" s="1114" t="s">
        <v>5385</v>
      </c>
      <c r="T37" s="1135" t="s">
        <v>5386</v>
      </c>
      <c r="U37" s="1114" t="s">
        <v>5387</v>
      </c>
      <c r="V37" s="1135" t="s">
        <v>5388</v>
      </c>
      <c r="W37" s="1114" t="s">
        <v>5389</v>
      </c>
      <c r="X37" s="1135" t="s">
        <v>5390</v>
      </c>
      <c r="Y37" s="1114" t="s">
        <v>5391</v>
      </c>
      <c r="Z37" s="1135" t="s">
        <v>5392</v>
      </c>
      <c r="AA37" s="1114" t="s">
        <v>5393</v>
      </c>
      <c r="AB37" s="1135" t="s">
        <v>5394</v>
      </c>
      <c r="AC37" s="1114" t="s">
        <v>5395</v>
      </c>
      <c r="AD37" s="1135" t="s">
        <v>5396</v>
      </c>
      <c r="AE37" s="1114" t="s">
        <v>5397</v>
      </c>
      <c r="AF37" s="1135" t="s">
        <v>5398</v>
      </c>
      <c r="AG37" s="1114" t="s">
        <v>5399</v>
      </c>
      <c r="AH37" s="1135" t="s">
        <v>5400</v>
      </c>
      <c r="AI37" s="1114" t="s">
        <v>5401</v>
      </c>
      <c r="AJ37" s="1135" t="s">
        <v>5402</v>
      </c>
      <c r="AK37" s="1114" t="s">
        <v>5403</v>
      </c>
      <c r="AL37" s="1135" t="s">
        <v>5404</v>
      </c>
      <c r="AM37" s="1114" t="s">
        <v>5405</v>
      </c>
      <c r="AN37" s="1135" t="s">
        <v>5406</v>
      </c>
      <c r="AO37" s="1114" t="s">
        <v>5407</v>
      </c>
      <c r="AP37" s="1135" t="s">
        <v>5408</v>
      </c>
      <c r="AQ37" s="1114" t="s">
        <v>5409</v>
      </c>
      <c r="AR37" s="1136" t="s">
        <v>5410</v>
      </c>
      <c r="AS37" s="1137" t="s">
        <v>5411</v>
      </c>
      <c r="AT37" s="1136" t="s">
        <v>5412</v>
      </c>
      <c r="AU37" s="1134" t="s">
        <v>5413</v>
      </c>
      <c r="AV37" s="1135" t="s">
        <v>5414</v>
      </c>
      <c r="AW37" s="1114" t="s">
        <v>5415</v>
      </c>
      <c r="AX37" s="1118" t="s">
        <v>5416</v>
      </c>
      <c r="AY37" s="1197" t="e">
        <f t="shared" si="53"/>
        <v>#VALUE!</v>
      </c>
      <c r="AZ37" s="1197"/>
      <c r="BA37" s="1197"/>
      <c r="BB37" s="1197"/>
      <c r="BC37" s="1197"/>
      <c r="BD37" s="1197"/>
      <c r="BE37" s="1197"/>
      <c r="BF37" s="1197"/>
      <c r="BG37" s="1197"/>
      <c r="BH37" s="1197"/>
      <c r="BI37" s="1197"/>
      <c r="BJ37" s="1191"/>
      <c r="BK37" s="1191"/>
      <c r="BL37" s="1191"/>
      <c r="BM37" s="1191"/>
      <c r="BV37" s="1547"/>
      <c r="BW37" s="1547"/>
      <c r="BX37" s="1547"/>
      <c r="CB37" s="2195" t="str">
        <f t="shared" si="54"/>
        <v xml:space="preserve">* El total de Reactivos NO DEBE ser superior al total de Procesados. </v>
      </c>
      <c r="CC37" s="2195" t="e">
        <f t="shared" si="55"/>
        <v>#VALUE!</v>
      </c>
      <c r="CD37" s="2195" t="e">
        <f t="shared" si="56"/>
        <v>#VALUE!</v>
      </c>
      <c r="CE37" s="2195" t="str">
        <f t="shared" si="57"/>
        <v xml:space="preserve">* La columna Pueblos Originarios NO DEBE ser superior al total de Procesados. </v>
      </c>
      <c r="CF37" s="2195" t="str">
        <f t="shared" si="58"/>
        <v xml:space="preserve">* La columna Migrantes NO DEBE ser superior al total de Procesados. </v>
      </c>
      <c r="CG37" s="2195" t="str">
        <f t="shared" si="80"/>
        <v>* El total de procesados debe ser mayor o igual al total de Reactivos en el grupo de edad Menor de 6 meses</v>
      </c>
      <c r="CH37" s="2195" t="str">
        <f t="shared" si="81"/>
        <v>* El total de procesados debe ser mayor o igual al total de Reactivos en el grupo de edad 6 a 11 meses</v>
      </c>
      <c r="CI37" s="2195" t="str">
        <f t="shared" si="82"/>
        <v>* El total de procesados debe ser mayor o igual al total de Reactivos en el grupo de edad 12-24 meses</v>
      </c>
      <c r="CJ37" s="2195" t="str">
        <f t="shared" si="83"/>
        <v>* El total de procesados debe ser mayor o igual al total de Reactivos en el grupo de edad 3 a 4 años</v>
      </c>
      <c r="CK37" s="2195" t="str">
        <f t="shared" si="84"/>
        <v>* El total de procesados debe ser mayor o igual al total de Reactivos en el grupo de edad 5 a 9 años</v>
      </c>
      <c r="CL37" s="2195" t="str">
        <f t="shared" si="85"/>
        <v>* El total de procesados debe ser mayor o igual al total de Reactivos en el grupo de edad 10 - 14 años</v>
      </c>
      <c r="CM37" s="2195" t="str">
        <f t="shared" si="86"/>
        <v>* El total de procesados debe ser mayor o igual al total de Reactivos en el grupo de edad 15 - 19 años</v>
      </c>
      <c r="CN37" s="2195" t="str">
        <f t="shared" si="87"/>
        <v>* El total de procesados debe ser mayor o igual al total de Reactivos en el grupo de edad 20 - 24 años</v>
      </c>
      <c r="CO37" s="2195" t="str">
        <f t="shared" si="88"/>
        <v>* El total de procesados debe ser mayor o igual al total de Reactivos en el grupo de edad 25 a 29 años</v>
      </c>
      <c r="CP37" s="2195" t="str">
        <f t="shared" si="89"/>
        <v>* El total de procesados debe ser mayor o igual al total de Reactivos en el grupo de edad 30 a 34 años</v>
      </c>
      <c r="CQ37" s="2195" t="str">
        <f t="shared" si="90"/>
        <v>* El total de procesados debe ser mayor o igual al total de Reactivos en el grupo de edad 35 a 39 años</v>
      </c>
      <c r="CR37" s="2195" t="str">
        <f t="shared" si="91"/>
        <v>* El total de procesados debe ser mayor o igual al total de Reactivos en el grupo de edad 40 a 44 años</v>
      </c>
      <c r="CS37" s="2195" t="str">
        <f t="shared" si="92"/>
        <v>* El total de procesados debe ser mayor o igual al total de Reactivos en el grupo de edad 45 a 49 años</v>
      </c>
      <c r="CT37" s="2195" t="str">
        <f t="shared" si="93"/>
        <v>* El total de procesados debe ser mayor o igual al total de Reactivos en el grupo de edad 50 a 54 años</v>
      </c>
      <c r="CU37" s="2195" t="str">
        <f t="shared" si="94"/>
        <v>* El total de procesados debe ser mayor o igual al total de Reactivos en el grupo de edad 55 a 59 años</v>
      </c>
      <c r="CV37" s="2195" t="str">
        <f t="shared" si="95"/>
        <v>* El total de procesados debe ser mayor o igual al total de Reactivos en el grupo de edad 60 a 64 años</v>
      </c>
      <c r="CW37" s="2195" t="str">
        <f t="shared" si="96"/>
        <v>* El total de procesados debe ser mayor o igual al total de Reactivos en el grupo de edad 65 a 69 años</v>
      </c>
      <c r="CX37" s="2195" t="str">
        <f t="shared" si="97"/>
        <v>* El total de procesados debe ser mayor o igual al total de Reactivos en el grupo de edad 70 a 74 años</v>
      </c>
      <c r="CY37" s="2195" t="str">
        <f t="shared" si="98"/>
        <v>* El total de procesados debe ser mayor o igual al total de Reactivos en el grupo de edad 75 a 79 años</v>
      </c>
      <c r="CZ37" s="2195" t="str">
        <f t="shared" si="99"/>
        <v>* El total de procesados debe ser mayor o igual al total de Reactivos en el grupo de edad 80 y más años</v>
      </c>
      <c r="DA37" s="2195" t="str">
        <f t="shared" si="100"/>
        <v/>
      </c>
      <c r="DB37" s="1446">
        <f t="shared" si="101"/>
        <v>1</v>
      </c>
      <c r="DC37" s="1446" t="e">
        <f t="shared" si="102"/>
        <v>#VALUE!</v>
      </c>
      <c r="DD37" s="1446" t="e">
        <f t="shared" si="103"/>
        <v>#VALUE!</v>
      </c>
      <c r="DE37" s="1446">
        <f t="shared" si="104"/>
        <v>1</v>
      </c>
      <c r="DF37" s="1446">
        <f t="shared" si="105"/>
        <v>1</v>
      </c>
      <c r="DG37" s="1446">
        <f t="shared" si="59"/>
        <v>1</v>
      </c>
      <c r="DH37" s="1446">
        <f t="shared" si="60"/>
        <v>1</v>
      </c>
      <c r="DI37" s="1446">
        <f t="shared" si="61"/>
        <v>1</v>
      </c>
      <c r="DJ37" s="1446">
        <f t="shared" si="62"/>
        <v>1</v>
      </c>
      <c r="DK37" s="1446">
        <f t="shared" si="63"/>
        <v>1</v>
      </c>
      <c r="DL37" s="1446">
        <f t="shared" si="64"/>
        <v>1</v>
      </c>
      <c r="DM37" s="1446">
        <f t="shared" si="65"/>
        <v>1</v>
      </c>
      <c r="DN37" s="1446">
        <f t="shared" si="66"/>
        <v>1</v>
      </c>
      <c r="DO37" s="1446">
        <f t="shared" si="67"/>
        <v>1</v>
      </c>
      <c r="DP37" s="1446">
        <f t="shared" si="68"/>
        <v>1</v>
      </c>
      <c r="DQ37" s="1446">
        <f t="shared" si="69"/>
        <v>1</v>
      </c>
      <c r="DR37" s="1446">
        <f t="shared" si="70"/>
        <v>1</v>
      </c>
      <c r="DS37" s="1446">
        <f t="shared" si="71"/>
        <v>1</v>
      </c>
      <c r="DT37" s="1446">
        <f t="shared" si="72"/>
        <v>1</v>
      </c>
      <c r="DU37" s="1446">
        <f t="shared" si="73"/>
        <v>1</v>
      </c>
      <c r="DV37" s="1446">
        <f t="shared" si="74"/>
        <v>1</v>
      </c>
      <c r="DW37" s="1446">
        <f t="shared" si="75"/>
        <v>1</v>
      </c>
      <c r="DX37" s="1446">
        <f t="shared" si="76"/>
        <v>1</v>
      </c>
      <c r="DY37" s="1446">
        <f t="shared" si="77"/>
        <v>1</v>
      </c>
      <c r="DZ37" s="1446">
        <f t="shared" si="78"/>
        <v>1</v>
      </c>
      <c r="EA37" s="1446">
        <f t="shared" si="79"/>
        <v>0</v>
      </c>
    </row>
    <row r="38" spans="1:131" ht="16.2" customHeight="1" x14ac:dyDescent="0.3">
      <c r="A38" s="7258">
        <v>11054206</v>
      </c>
      <c r="B38" s="2045" t="s">
        <v>1789</v>
      </c>
      <c r="C38" s="1998" t="s">
        <v>5369</v>
      </c>
      <c r="D38" s="2044" t="s">
        <v>5370</v>
      </c>
      <c r="E38" s="1130" t="s">
        <v>5371</v>
      </c>
      <c r="F38" s="1131" t="s">
        <v>5372</v>
      </c>
      <c r="G38" s="1132" t="s">
        <v>5373</v>
      </c>
      <c r="H38" s="1131" t="s">
        <v>5374</v>
      </c>
      <c r="I38" s="1132" t="s">
        <v>5375</v>
      </c>
      <c r="J38" s="1131" t="s">
        <v>5376</v>
      </c>
      <c r="K38" s="1132" t="s">
        <v>5377</v>
      </c>
      <c r="L38" s="1131" t="s">
        <v>5378</v>
      </c>
      <c r="M38" s="1132" t="s">
        <v>5379</v>
      </c>
      <c r="N38" s="1133" t="s">
        <v>5380</v>
      </c>
      <c r="O38" s="1134" t="s">
        <v>5381</v>
      </c>
      <c r="P38" s="1135" t="s">
        <v>5382</v>
      </c>
      <c r="Q38" s="1114" t="s">
        <v>5383</v>
      </c>
      <c r="R38" s="1135" t="s">
        <v>5384</v>
      </c>
      <c r="S38" s="1114" t="s">
        <v>5385</v>
      </c>
      <c r="T38" s="1135" t="s">
        <v>5386</v>
      </c>
      <c r="U38" s="1114" t="s">
        <v>5387</v>
      </c>
      <c r="V38" s="1135" t="s">
        <v>5388</v>
      </c>
      <c r="W38" s="1114" t="s">
        <v>5389</v>
      </c>
      <c r="X38" s="1135" t="s">
        <v>5390</v>
      </c>
      <c r="Y38" s="1114" t="s">
        <v>5391</v>
      </c>
      <c r="Z38" s="1135" t="s">
        <v>5392</v>
      </c>
      <c r="AA38" s="1114" t="s">
        <v>5393</v>
      </c>
      <c r="AB38" s="1135" t="s">
        <v>5394</v>
      </c>
      <c r="AC38" s="1114" t="s">
        <v>5395</v>
      </c>
      <c r="AD38" s="1135" t="s">
        <v>5396</v>
      </c>
      <c r="AE38" s="1114" t="s">
        <v>5397</v>
      </c>
      <c r="AF38" s="1135" t="s">
        <v>5398</v>
      </c>
      <c r="AG38" s="1114" t="s">
        <v>5399</v>
      </c>
      <c r="AH38" s="1135" t="s">
        <v>5400</v>
      </c>
      <c r="AI38" s="1114" t="s">
        <v>5401</v>
      </c>
      <c r="AJ38" s="1135" t="s">
        <v>5402</v>
      </c>
      <c r="AK38" s="1114" t="s">
        <v>5403</v>
      </c>
      <c r="AL38" s="1135" t="s">
        <v>5404</v>
      </c>
      <c r="AM38" s="1114" t="s">
        <v>5405</v>
      </c>
      <c r="AN38" s="1135" t="s">
        <v>5406</v>
      </c>
      <c r="AO38" s="1114" t="s">
        <v>5407</v>
      </c>
      <c r="AP38" s="1135" t="s">
        <v>5408</v>
      </c>
      <c r="AQ38" s="1114" t="s">
        <v>5409</v>
      </c>
      <c r="AR38" s="1136" t="s">
        <v>5410</v>
      </c>
      <c r="AS38" s="1137" t="s">
        <v>5411</v>
      </c>
      <c r="AT38" s="1136" t="s">
        <v>5412</v>
      </c>
      <c r="AU38" s="1134" t="s">
        <v>5413</v>
      </c>
      <c r="AV38" s="1135" t="s">
        <v>5414</v>
      </c>
      <c r="AW38" s="1114" t="s">
        <v>5415</v>
      </c>
      <c r="AX38" s="1118" t="s">
        <v>5416</v>
      </c>
      <c r="AY38" s="1197" t="e">
        <f t="shared" si="53"/>
        <v>#VALUE!</v>
      </c>
      <c r="AZ38" s="1197"/>
      <c r="BA38" s="1197"/>
      <c r="BB38" s="1197"/>
      <c r="BC38" s="1197"/>
      <c r="BD38" s="1197"/>
      <c r="BE38" s="1197"/>
      <c r="BF38" s="1197"/>
      <c r="BG38" s="1197"/>
      <c r="BH38" s="1197"/>
      <c r="BI38" s="1197"/>
      <c r="BJ38" s="1191"/>
      <c r="BK38" s="1191"/>
      <c r="BL38" s="1191"/>
      <c r="BM38" s="1191"/>
      <c r="BV38" s="1547"/>
      <c r="BW38" s="1547"/>
      <c r="BX38" s="1547"/>
      <c r="CB38" s="2195" t="str">
        <f t="shared" si="54"/>
        <v xml:space="preserve">* El total de Reactivos NO DEBE ser superior al total de Procesados. </v>
      </c>
      <c r="CC38" s="2195" t="e">
        <f t="shared" si="55"/>
        <v>#VALUE!</v>
      </c>
      <c r="CD38" s="2195" t="e">
        <f t="shared" si="56"/>
        <v>#VALUE!</v>
      </c>
      <c r="CE38" s="2195" t="str">
        <f t="shared" si="57"/>
        <v xml:space="preserve">* La columna Pueblos Originarios NO DEBE ser superior al total de Procesados. </v>
      </c>
      <c r="CF38" s="2195" t="str">
        <f t="shared" si="58"/>
        <v xml:space="preserve">* La columna Migrantes NO DEBE ser superior al total de Procesados. </v>
      </c>
      <c r="CG38" s="2195" t="str">
        <f t="shared" si="80"/>
        <v>* El total de procesados debe ser mayor o igual al total de Reactivos en el grupo de edad Menor de 6 meses</v>
      </c>
      <c r="CH38" s="2195" t="str">
        <f t="shared" si="81"/>
        <v>* El total de procesados debe ser mayor o igual al total de Reactivos en el grupo de edad 6 a 11 meses</v>
      </c>
      <c r="CI38" s="2195" t="str">
        <f t="shared" si="82"/>
        <v>* El total de procesados debe ser mayor o igual al total de Reactivos en el grupo de edad 12-24 meses</v>
      </c>
      <c r="CJ38" s="2195" t="str">
        <f t="shared" si="83"/>
        <v>* El total de procesados debe ser mayor o igual al total de Reactivos en el grupo de edad 3 a 4 años</v>
      </c>
      <c r="CK38" s="2195" t="str">
        <f t="shared" si="84"/>
        <v>* El total de procesados debe ser mayor o igual al total de Reactivos en el grupo de edad 5 a 9 años</v>
      </c>
      <c r="CL38" s="2195" t="str">
        <f t="shared" si="85"/>
        <v>* El total de procesados debe ser mayor o igual al total de Reactivos en el grupo de edad 10 - 14 años</v>
      </c>
      <c r="CM38" s="2195" t="str">
        <f t="shared" si="86"/>
        <v>* El total de procesados debe ser mayor o igual al total de Reactivos en el grupo de edad 15 - 19 años</v>
      </c>
      <c r="CN38" s="2195" t="str">
        <f t="shared" si="87"/>
        <v>* El total de procesados debe ser mayor o igual al total de Reactivos en el grupo de edad 20 - 24 años</v>
      </c>
      <c r="CO38" s="2195" t="str">
        <f t="shared" si="88"/>
        <v>* El total de procesados debe ser mayor o igual al total de Reactivos en el grupo de edad 25 a 29 años</v>
      </c>
      <c r="CP38" s="2195" t="str">
        <f t="shared" si="89"/>
        <v>* El total de procesados debe ser mayor o igual al total de Reactivos en el grupo de edad 30 a 34 años</v>
      </c>
      <c r="CQ38" s="2195" t="str">
        <f t="shared" si="90"/>
        <v>* El total de procesados debe ser mayor o igual al total de Reactivos en el grupo de edad 35 a 39 años</v>
      </c>
      <c r="CR38" s="2195" t="str">
        <f t="shared" si="91"/>
        <v>* El total de procesados debe ser mayor o igual al total de Reactivos en el grupo de edad 40 a 44 años</v>
      </c>
      <c r="CS38" s="2195" t="str">
        <f t="shared" si="92"/>
        <v>* El total de procesados debe ser mayor o igual al total de Reactivos en el grupo de edad 45 a 49 años</v>
      </c>
      <c r="CT38" s="2195" t="str">
        <f t="shared" si="93"/>
        <v>* El total de procesados debe ser mayor o igual al total de Reactivos en el grupo de edad 50 a 54 años</v>
      </c>
      <c r="CU38" s="2195" t="str">
        <f t="shared" si="94"/>
        <v>* El total de procesados debe ser mayor o igual al total de Reactivos en el grupo de edad 55 a 59 años</v>
      </c>
      <c r="CV38" s="2195" t="str">
        <f t="shared" si="95"/>
        <v>* El total de procesados debe ser mayor o igual al total de Reactivos en el grupo de edad 60 a 64 años</v>
      </c>
      <c r="CW38" s="2195" t="str">
        <f t="shared" si="96"/>
        <v>* El total de procesados debe ser mayor o igual al total de Reactivos en el grupo de edad 65 a 69 años</v>
      </c>
      <c r="CX38" s="2195" t="str">
        <f t="shared" si="97"/>
        <v>* El total de procesados debe ser mayor o igual al total de Reactivos en el grupo de edad 70 a 74 años</v>
      </c>
      <c r="CY38" s="2195" t="str">
        <f t="shared" si="98"/>
        <v>* El total de procesados debe ser mayor o igual al total de Reactivos en el grupo de edad 75 a 79 años</v>
      </c>
      <c r="CZ38" s="2195" t="str">
        <f t="shared" si="99"/>
        <v>* El total de procesados debe ser mayor o igual al total de Reactivos en el grupo de edad 80 y más años</v>
      </c>
      <c r="DA38" s="2195" t="str">
        <f t="shared" si="100"/>
        <v/>
      </c>
      <c r="DB38" s="1446">
        <f t="shared" si="101"/>
        <v>1</v>
      </c>
      <c r="DC38" s="1446" t="e">
        <f t="shared" si="102"/>
        <v>#VALUE!</v>
      </c>
      <c r="DD38" s="1446" t="e">
        <f t="shared" si="103"/>
        <v>#VALUE!</v>
      </c>
      <c r="DE38" s="1446">
        <f t="shared" si="104"/>
        <v>1</v>
      </c>
      <c r="DF38" s="1446">
        <f t="shared" si="105"/>
        <v>1</v>
      </c>
      <c r="DG38" s="1446">
        <f t="shared" si="59"/>
        <v>1</v>
      </c>
      <c r="DH38" s="1446">
        <f t="shared" si="60"/>
        <v>1</v>
      </c>
      <c r="DI38" s="1446">
        <f t="shared" si="61"/>
        <v>1</v>
      </c>
      <c r="DJ38" s="1446">
        <f t="shared" si="62"/>
        <v>1</v>
      </c>
      <c r="DK38" s="1446">
        <f t="shared" si="63"/>
        <v>1</v>
      </c>
      <c r="DL38" s="1446">
        <f t="shared" si="64"/>
        <v>1</v>
      </c>
      <c r="DM38" s="1446">
        <f t="shared" si="65"/>
        <v>1</v>
      </c>
      <c r="DN38" s="1446">
        <f t="shared" si="66"/>
        <v>1</v>
      </c>
      <c r="DO38" s="1446">
        <f t="shared" si="67"/>
        <v>1</v>
      </c>
      <c r="DP38" s="1446">
        <f t="shared" si="68"/>
        <v>1</v>
      </c>
      <c r="DQ38" s="1446">
        <f t="shared" si="69"/>
        <v>1</v>
      </c>
      <c r="DR38" s="1446">
        <f t="shared" si="70"/>
        <v>1</v>
      </c>
      <c r="DS38" s="1446">
        <f t="shared" si="71"/>
        <v>1</v>
      </c>
      <c r="DT38" s="1446">
        <f t="shared" si="72"/>
        <v>1</v>
      </c>
      <c r="DU38" s="1446">
        <f t="shared" si="73"/>
        <v>1</v>
      </c>
      <c r="DV38" s="1446">
        <f t="shared" si="74"/>
        <v>1</v>
      </c>
      <c r="DW38" s="1446">
        <f t="shared" si="75"/>
        <v>1</v>
      </c>
      <c r="DX38" s="1446">
        <f t="shared" si="76"/>
        <v>1</v>
      </c>
      <c r="DY38" s="1446">
        <f t="shared" si="77"/>
        <v>1</v>
      </c>
      <c r="DZ38" s="1446">
        <f t="shared" si="78"/>
        <v>1</v>
      </c>
      <c r="EA38" s="1446">
        <f t="shared" si="79"/>
        <v>0</v>
      </c>
    </row>
    <row r="39" spans="1:131" ht="21" customHeight="1" x14ac:dyDescent="0.3">
      <c r="A39" s="7258">
        <v>11054207</v>
      </c>
      <c r="B39" s="2045" t="s">
        <v>1790</v>
      </c>
      <c r="C39" s="1998" t="s">
        <v>5369</v>
      </c>
      <c r="D39" s="2044" t="s">
        <v>5370</v>
      </c>
      <c r="E39" s="1130" t="s">
        <v>5371</v>
      </c>
      <c r="F39" s="1131" t="s">
        <v>5372</v>
      </c>
      <c r="G39" s="1132" t="s">
        <v>5373</v>
      </c>
      <c r="H39" s="1131" t="s">
        <v>5374</v>
      </c>
      <c r="I39" s="1132" t="s">
        <v>5375</v>
      </c>
      <c r="J39" s="1131" t="s">
        <v>5376</v>
      </c>
      <c r="K39" s="1132" t="s">
        <v>5377</v>
      </c>
      <c r="L39" s="1131" t="s">
        <v>5378</v>
      </c>
      <c r="M39" s="1132" t="s">
        <v>5379</v>
      </c>
      <c r="N39" s="1133" t="s">
        <v>5380</v>
      </c>
      <c r="O39" s="1134" t="s">
        <v>5381</v>
      </c>
      <c r="P39" s="1135" t="s">
        <v>5382</v>
      </c>
      <c r="Q39" s="1114" t="s">
        <v>5383</v>
      </c>
      <c r="R39" s="1135" t="s">
        <v>5384</v>
      </c>
      <c r="S39" s="1114" t="s">
        <v>5385</v>
      </c>
      <c r="T39" s="1135" t="s">
        <v>5386</v>
      </c>
      <c r="U39" s="1114" t="s">
        <v>5387</v>
      </c>
      <c r="V39" s="1135" t="s">
        <v>5388</v>
      </c>
      <c r="W39" s="1114" t="s">
        <v>5389</v>
      </c>
      <c r="X39" s="1135" t="s">
        <v>5390</v>
      </c>
      <c r="Y39" s="1114" t="s">
        <v>5391</v>
      </c>
      <c r="Z39" s="1135" t="s">
        <v>5392</v>
      </c>
      <c r="AA39" s="1114" t="s">
        <v>5393</v>
      </c>
      <c r="AB39" s="1135" t="s">
        <v>5394</v>
      </c>
      <c r="AC39" s="1114" t="s">
        <v>5395</v>
      </c>
      <c r="AD39" s="1135" t="s">
        <v>5396</v>
      </c>
      <c r="AE39" s="1114" t="s">
        <v>5397</v>
      </c>
      <c r="AF39" s="1135" t="s">
        <v>5398</v>
      </c>
      <c r="AG39" s="1114" t="s">
        <v>5399</v>
      </c>
      <c r="AH39" s="1135" t="s">
        <v>5400</v>
      </c>
      <c r="AI39" s="1114" t="s">
        <v>5401</v>
      </c>
      <c r="AJ39" s="1135" t="s">
        <v>5402</v>
      </c>
      <c r="AK39" s="1114" t="s">
        <v>5403</v>
      </c>
      <c r="AL39" s="1135" t="s">
        <v>5404</v>
      </c>
      <c r="AM39" s="1114" t="s">
        <v>5405</v>
      </c>
      <c r="AN39" s="1135" t="s">
        <v>5406</v>
      </c>
      <c r="AO39" s="1114" t="s">
        <v>5407</v>
      </c>
      <c r="AP39" s="1135" t="s">
        <v>5408</v>
      </c>
      <c r="AQ39" s="1114" t="s">
        <v>5409</v>
      </c>
      <c r="AR39" s="1136" t="s">
        <v>5410</v>
      </c>
      <c r="AS39" s="1134" t="s">
        <v>5411</v>
      </c>
      <c r="AT39" s="1136" t="s">
        <v>5412</v>
      </c>
      <c r="AU39" s="1134" t="s">
        <v>5413</v>
      </c>
      <c r="AV39" s="1135" t="s">
        <v>5414</v>
      </c>
      <c r="AW39" s="1114" t="s">
        <v>5415</v>
      </c>
      <c r="AX39" s="1118" t="s">
        <v>5416</v>
      </c>
      <c r="AY39" s="1197" t="e">
        <f t="shared" si="53"/>
        <v>#VALUE!</v>
      </c>
      <c r="AZ39" s="1197"/>
      <c r="BA39" s="1197"/>
      <c r="BB39" s="1197"/>
      <c r="BC39" s="1197"/>
      <c r="BD39" s="1197"/>
      <c r="BE39" s="1197"/>
      <c r="BF39" s="1197"/>
      <c r="BG39" s="1197"/>
      <c r="BH39" s="1197"/>
      <c r="BI39" s="1197"/>
      <c r="BJ39" s="1191"/>
      <c r="BK39" s="1191"/>
      <c r="BL39" s="1191"/>
      <c r="BM39" s="1191"/>
      <c r="BV39" s="1547"/>
      <c r="BW39" s="1547"/>
      <c r="BX39" s="1547"/>
      <c r="CB39" s="2195" t="str">
        <f t="shared" si="54"/>
        <v xml:space="preserve">* El total de Reactivos NO DEBE ser superior al total de Procesados. </v>
      </c>
      <c r="CC39" s="2195" t="e">
        <f t="shared" si="55"/>
        <v>#VALUE!</v>
      </c>
      <c r="CD39" s="2195" t="e">
        <f t="shared" si="56"/>
        <v>#VALUE!</v>
      </c>
      <c r="CE39" s="2195" t="str">
        <f t="shared" si="57"/>
        <v xml:space="preserve">* La columna Pueblos Originarios NO DEBE ser superior al total de Procesados. </v>
      </c>
      <c r="CF39" s="2195" t="str">
        <f t="shared" si="58"/>
        <v xml:space="preserve">* La columna Migrantes NO DEBE ser superior al total de Procesados. </v>
      </c>
      <c r="CG39" s="2195" t="str">
        <f t="shared" si="80"/>
        <v>* El total de procesados debe ser mayor o igual al total de Reactivos en el grupo de edad Menor de 6 meses</v>
      </c>
      <c r="CH39" s="2195" t="str">
        <f t="shared" si="81"/>
        <v>* El total de procesados debe ser mayor o igual al total de Reactivos en el grupo de edad 6 a 11 meses</v>
      </c>
      <c r="CI39" s="2195" t="str">
        <f t="shared" si="82"/>
        <v>* El total de procesados debe ser mayor o igual al total de Reactivos en el grupo de edad 12-24 meses</v>
      </c>
      <c r="CJ39" s="2195" t="str">
        <f t="shared" si="83"/>
        <v>* El total de procesados debe ser mayor o igual al total de Reactivos en el grupo de edad 3 a 4 años</v>
      </c>
      <c r="CK39" s="2195" t="str">
        <f t="shared" si="84"/>
        <v>* El total de procesados debe ser mayor o igual al total de Reactivos en el grupo de edad 5 a 9 años</v>
      </c>
      <c r="CL39" s="2195" t="str">
        <f t="shared" si="85"/>
        <v>* El total de procesados debe ser mayor o igual al total de Reactivos en el grupo de edad 10 - 14 años</v>
      </c>
      <c r="CM39" s="2195" t="str">
        <f t="shared" si="86"/>
        <v>* El total de procesados debe ser mayor o igual al total de Reactivos en el grupo de edad 15 - 19 años</v>
      </c>
      <c r="CN39" s="2195" t="str">
        <f t="shared" si="87"/>
        <v>* El total de procesados debe ser mayor o igual al total de Reactivos en el grupo de edad 20 - 24 años</v>
      </c>
      <c r="CO39" s="2195" t="str">
        <f t="shared" si="88"/>
        <v>* El total de procesados debe ser mayor o igual al total de Reactivos en el grupo de edad 25 a 29 años</v>
      </c>
      <c r="CP39" s="2195" t="str">
        <f t="shared" si="89"/>
        <v>* El total de procesados debe ser mayor o igual al total de Reactivos en el grupo de edad 30 a 34 años</v>
      </c>
      <c r="CQ39" s="2195" t="str">
        <f t="shared" si="90"/>
        <v>* El total de procesados debe ser mayor o igual al total de Reactivos en el grupo de edad 35 a 39 años</v>
      </c>
      <c r="CR39" s="2195" t="str">
        <f t="shared" si="91"/>
        <v>* El total de procesados debe ser mayor o igual al total de Reactivos en el grupo de edad 40 a 44 años</v>
      </c>
      <c r="CS39" s="2195" t="str">
        <f t="shared" si="92"/>
        <v>* El total de procesados debe ser mayor o igual al total de Reactivos en el grupo de edad 45 a 49 años</v>
      </c>
      <c r="CT39" s="2195" t="str">
        <f t="shared" si="93"/>
        <v>* El total de procesados debe ser mayor o igual al total de Reactivos en el grupo de edad 50 a 54 años</v>
      </c>
      <c r="CU39" s="2195" t="str">
        <f t="shared" si="94"/>
        <v>* El total de procesados debe ser mayor o igual al total de Reactivos en el grupo de edad 55 a 59 años</v>
      </c>
      <c r="CV39" s="2195" t="str">
        <f t="shared" si="95"/>
        <v>* El total de procesados debe ser mayor o igual al total de Reactivos en el grupo de edad 60 a 64 años</v>
      </c>
      <c r="CW39" s="2195" t="str">
        <f t="shared" si="96"/>
        <v>* El total de procesados debe ser mayor o igual al total de Reactivos en el grupo de edad 65 a 69 años</v>
      </c>
      <c r="CX39" s="2195" t="str">
        <f t="shared" si="97"/>
        <v>* El total de procesados debe ser mayor o igual al total de Reactivos en el grupo de edad 70 a 74 años</v>
      </c>
      <c r="CY39" s="2195" t="str">
        <f t="shared" si="98"/>
        <v>* El total de procesados debe ser mayor o igual al total de Reactivos en el grupo de edad 75 a 79 años</v>
      </c>
      <c r="CZ39" s="2195" t="str">
        <f t="shared" si="99"/>
        <v>* El total de procesados debe ser mayor o igual al total de Reactivos en el grupo de edad 80 y más años</v>
      </c>
      <c r="DA39" s="2195" t="str">
        <f t="shared" si="100"/>
        <v/>
      </c>
      <c r="DB39" s="1446">
        <f t="shared" si="101"/>
        <v>1</v>
      </c>
      <c r="DC39" s="1446" t="e">
        <f t="shared" si="102"/>
        <v>#VALUE!</v>
      </c>
      <c r="DD39" s="1446" t="e">
        <f t="shared" si="103"/>
        <v>#VALUE!</v>
      </c>
      <c r="DE39" s="1446">
        <f t="shared" si="104"/>
        <v>1</v>
      </c>
      <c r="DF39" s="1446">
        <f t="shared" si="105"/>
        <v>1</v>
      </c>
      <c r="DG39" s="1446">
        <f t="shared" si="59"/>
        <v>1</v>
      </c>
      <c r="DH39" s="1446">
        <f t="shared" si="60"/>
        <v>1</v>
      </c>
      <c r="DI39" s="1446">
        <f t="shared" si="61"/>
        <v>1</v>
      </c>
      <c r="DJ39" s="1446">
        <f t="shared" si="62"/>
        <v>1</v>
      </c>
      <c r="DK39" s="1446">
        <f t="shared" si="63"/>
        <v>1</v>
      </c>
      <c r="DL39" s="1446">
        <f t="shared" si="64"/>
        <v>1</v>
      </c>
      <c r="DM39" s="1446">
        <f t="shared" si="65"/>
        <v>1</v>
      </c>
      <c r="DN39" s="1446">
        <f t="shared" si="66"/>
        <v>1</v>
      </c>
      <c r="DO39" s="1446">
        <f t="shared" si="67"/>
        <v>1</v>
      </c>
      <c r="DP39" s="1446">
        <f t="shared" si="68"/>
        <v>1</v>
      </c>
      <c r="DQ39" s="1446">
        <f t="shared" si="69"/>
        <v>1</v>
      </c>
      <c r="DR39" s="1446">
        <f t="shared" si="70"/>
        <v>1</v>
      </c>
      <c r="DS39" s="1446">
        <f t="shared" si="71"/>
        <v>1</v>
      </c>
      <c r="DT39" s="1446">
        <f t="shared" si="72"/>
        <v>1</v>
      </c>
      <c r="DU39" s="1446">
        <f t="shared" si="73"/>
        <v>1</v>
      </c>
      <c r="DV39" s="1446">
        <f t="shared" si="74"/>
        <v>1</v>
      </c>
      <c r="DW39" s="1446">
        <f t="shared" si="75"/>
        <v>1</v>
      </c>
      <c r="DX39" s="1446">
        <f t="shared" si="76"/>
        <v>1</v>
      </c>
      <c r="DY39" s="1446">
        <f t="shared" si="77"/>
        <v>1</v>
      </c>
      <c r="DZ39" s="1446">
        <f t="shared" si="78"/>
        <v>1</v>
      </c>
      <c r="EA39" s="1446">
        <f t="shared" si="79"/>
        <v>0</v>
      </c>
    </row>
    <row r="40" spans="1:131" ht="27" customHeight="1" x14ac:dyDescent="0.3">
      <c r="A40" s="7258">
        <v>11054208</v>
      </c>
      <c r="B40" s="2045" t="s">
        <v>1791</v>
      </c>
      <c r="C40" s="1998" t="s">
        <v>5369</v>
      </c>
      <c r="D40" s="2044" t="s">
        <v>5370</v>
      </c>
      <c r="E40" s="1130" t="s">
        <v>5371</v>
      </c>
      <c r="F40" s="1131" t="s">
        <v>5372</v>
      </c>
      <c r="G40" s="1132" t="s">
        <v>5373</v>
      </c>
      <c r="H40" s="1131" t="s">
        <v>5374</v>
      </c>
      <c r="I40" s="1132" t="s">
        <v>5375</v>
      </c>
      <c r="J40" s="1131" t="s">
        <v>5376</v>
      </c>
      <c r="K40" s="1132" t="s">
        <v>5377</v>
      </c>
      <c r="L40" s="1131" t="s">
        <v>5378</v>
      </c>
      <c r="M40" s="1132" t="s">
        <v>5379</v>
      </c>
      <c r="N40" s="1133" t="s">
        <v>5380</v>
      </c>
      <c r="O40" s="1134" t="s">
        <v>5381</v>
      </c>
      <c r="P40" s="1135" t="s">
        <v>5382</v>
      </c>
      <c r="Q40" s="1114" t="s">
        <v>5383</v>
      </c>
      <c r="R40" s="1135" t="s">
        <v>5384</v>
      </c>
      <c r="S40" s="1114" t="s">
        <v>5385</v>
      </c>
      <c r="T40" s="1135" t="s">
        <v>5386</v>
      </c>
      <c r="U40" s="1114" t="s">
        <v>5387</v>
      </c>
      <c r="V40" s="1135" t="s">
        <v>5388</v>
      </c>
      <c r="W40" s="1114" t="s">
        <v>5389</v>
      </c>
      <c r="X40" s="1135" t="s">
        <v>5390</v>
      </c>
      <c r="Y40" s="1114" t="s">
        <v>5391</v>
      </c>
      <c r="Z40" s="1135" t="s">
        <v>5392</v>
      </c>
      <c r="AA40" s="1114" t="s">
        <v>5393</v>
      </c>
      <c r="AB40" s="1135" t="s">
        <v>5394</v>
      </c>
      <c r="AC40" s="1114" t="s">
        <v>5395</v>
      </c>
      <c r="AD40" s="1135" t="s">
        <v>5396</v>
      </c>
      <c r="AE40" s="1114" t="s">
        <v>5397</v>
      </c>
      <c r="AF40" s="1135" t="s">
        <v>5398</v>
      </c>
      <c r="AG40" s="1114" t="s">
        <v>5399</v>
      </c>
      <c r="AH40" s="1135" t="s">
        <v>5400</v>
      </c>
      <c r="AI40" s="1114" t="s">
        <v>5401</v>
      </c>
      <c r="AJ40" s="1135" t="s">
        <v>5402</v>
      </c>
      <c r="AK40" s="1114" t="s">
        <v>5403</v>
      </c>
      <c r="AL40" s="1135" t="s">
        <v>5404</v>
      </c>
      <c r="AM40" s="1114" t="s">
        <v>5405</v>
      </c>
      <c r="AN40" s="1135" t="s">
        <v>5406</v>
      </c>
      <c r="AO40" s="1114" t="s">
        <v>5407</v>
      </c>
      <c r="AP40" s="1135" t="s">
        <v>5408</v>
      </c>
      <c r="AQ40" s="1114" t="s">
        <v>5409</v>
      </c>
      <c r="AR40" s="1136" t="s">
        <v>5410</v>
      </c>
      <c r="AS40" s="1137" t="s">
        <v>5411</v>
      </c>
      <c r="AT40" s="1136" t="s">
        <v>5412</v>
      </c>
      <c r="AU40" s="1134" t="s">
        <v>5413</v>
      </c>
      <c r="AV40" s="1135" t="s">
        <v>5414</v>
      </c>
      <c r="AW40" s="1114" t="s">
        <v>5415</v>
      </c>
      <c r="AX40" s="1118" t="s">
        <v>5416</v>
      </c>
      <c r="AY40" s="1197" t="e">
        <f t="shared" si="53"/>
        <v>#VALUE!</v>
      </c>
      <c r="AZ40" s="1197"/>
      <c r="BA40" s="1197"/>
      <c r="BB40" s="1197"/>
      <c r="BC40" s="1197"/>
      <c r="BD40" s="1197"/>
      <c r="BE40" s="1197"/>
      <c r="BF40" s="1197"/>
      <c r="BG40" s="1197"/>
      <c r="BH40" s="1197"/>
      <c r="BI40" s="1197"/>
      <c r="BJ40" s="1191"/>
      <c r="BK40" s="1191"/>
      <c r="BL40" s="1191"/>
      <c r="BM40" s="1191"/>
      <c r="BV40" s="1547"/>
      <c r="BW40" s="1547"/>
      <c r="BX40" s="1547"/>
      <c r="CB40" s="2195" t="str">
        <f t="shared" si="54"/>
        <v xml:space="preserve">* El total de Reactivos NO DEBE ser superior al total de Procesados. </v>
      </c>
      <c r="CC40" s="2195" t="e">
        <f t="shared" si="55"/>
        <v>#VALUE!</v>
      </c>
      <c r="CD40" s="2195" t="e">
        <f t="shared" si="56"/>
        <v>#VALUE!</v>
      </c>
      <c r="CE40" s="2195" t="str">
        <f t="shared" si="57"/>
        <v xml:space="preserve">* La columna Pueblos Originarios NO DEBE ser superior al total de Procesados. </v>
      </c>
      <c r="CF40" s="2195" t="str">
        <f t="shared" si="58"/>
        <v xml:space="preserve">* La columna Migrantes NO DEBE ser superior al total de Procesados. </v>
      </c>
      <c r="CG40" s="2195" t="str">
        <f t="shared" si="80"/>
        <v>* El total de procesados debe ser mayor o igual al total de Reactivos en el grupo de edad Menor de 6 meses</v>
      </c>
      <c r="CH40" s="2195" t="str">
        <f t="shared" si="81"/>
        <v>* El total de procesados debe ser mayor o igual al total de Reactivos en el grupo de edad 6 a 11 meses</v>
      </c>
      <c r="CI40" s="2195" t="str">
        <f t="shared" si="82"/>
        <v>* El total de procesados debe ser mayor o igual al total de Reactivos en el grupo de edad 12-24 meses</v>
      </c>
      <c r="CJ40" s="2195" t="str">
        <f t="shared" si="83"/>
        <v>* El total de procesados debe ser mayor o igual al total de Reactivos en el grupo de edad 3 a 4 años</v>
      </c>
      <c r="CK40" s="2195" t="str">
        <f t="shared" si="84"/>
        <v>* El total de procesados debe ser mayor o igual al total de Reactivos en el grupo de edad 5 a 9 años</v>
      </c>
      <c r="CL40" s="2195" t="str">
        <f t="shared" si="85"/>
        <v>* El total de procesados debe ser mayor o igual al total de Reactivos en el grupo de edad 10 - 14 años</v>
      </c>
      <c r="CM40" s="2195" t="str">
        <f t="shared" si="86"/>
        <v>* El total de procesados debe ser mayor o igual al total de Reactivos en el grupo de edad 15 - 19 años</v>
      </c>
      <c r="CN40" s="2195" t="str">
        <f t="shared" si="87"/>
        <v>* El total de procesados debe ser mayor o igual al total de Reactivos en el grupo de edad 20 - 24 años</v>
      </c>
      <c r="CO40" s="2195" t="str">
        <f t="shared" si="88"/>
        <v>* El total de procesados debe ser mayor o igual al total de Reactivos en el grupo de edad 25 a 29 años</v>
      </c>
      <c r="CP40" s="2195" t="str">
        <f t="shared" si="89"/>
        <v>* El total de procesados debe ser mayor o igual al total de Reactivos en el grupo de edad 30 a 34 años</v>
      </c>
      <c r="CQ40" s="2195" t="str">
        <f t="shared" si="90"/>
        <v>* El total de procesados debe ser mayor o igual al total de Reactivos en el grupo de edad 35 a 39 años</v>
      </c>
      <c r="CR40" s="2195" t="str">
        <f t="shared" si="91"/>
        <v>* El total de procesados debe ser mayor o igual al total de Reactivos en el grupo de edad 40 a 44 años</v>
      </c>
      <c r="CS40" s="2195" t="str">
        <f t="shared" si="92"/>
        <v>* El total de procesados debe ser mayor o igual al total de Reactivos en el grupo de edad 45 a 49 años</v>
      </c>
      <c r="CT40" s="2195" t="str">
        <f t="shared" si="93"/>
        <v>* El total de procesados debe ser mayor o igual al total de Reactivos en el grupo de edad 50 a 54 años</v>
      </c>
      <c r="CU40" s="2195" t="str">
        <f t="shared" si="94"/>
        <v>* El total de procesados debe ser mayor o igual al total de Reactivos en el grupo de edad 55 a 59 años</v>
      </c>
      <c r="CV40" s="2195" t="str">
        <f t="shared" si="95"/>
        <v>* El total de procesados debe ser mayor o igual al total de Reactivos en el grupo de edad 60 a 64 años</v>
      </c>
      <c r="CW40" s="2195" t="str">
        <f t="shared" si="96"/>
        <v>* El total de procesados debe ser mayor o igual al total de Reactivos en el grupo de edad 65 a 69 años</v>
      </c>
      <c r="CX40" s="2195" t="str">
        <f t="shared" si="97"/>
        <v>* El total de procesados debe ser mayor o igual al total de Reactivos en el grupo de edad 70 a 74 años</v>
      </c>
      <c r="CY40" s="2195" t="str">
        <f t="shared" si="98"/>
        <v>* El total de procesados debe ser mayor o igual al total de Reactivos en el grupo de edad 75 a 79 años</v>
      </c>
      <c r="CZ40" s="2195" t="str">
        <f t="shared" si="99"/>
        <v>* El total de procesados debe ser mayor o igual al total de Reactivos en el grupo de edad 80 y más años</v>
      </c>
      <c r="DA40" s="2195" t="str">
        <f t="shared" si="100"/>
        <v/>
      </c>
      <c r="DB40" s="1446">
        <f t="shared" si="101"/>
        <v>1</v>
      </c>
      <c r="DC40" s="1446" t="e">
        <f t="shared" si="102"/>
        <v>#VALUE!</v>
      </c>
      <c r="DD40" s="1446" t="e">
        <f t="shared" si="103"/>
        <v>#VALUE!</v>
      </c>
      <c r="DE40" s="1446">
        <f t="shared" si="104"/>
        <v>1</v>
      </c>
      <c r="DF40" s="1446">
        <f t="shared" si="105"/>
        <v>1</v>
      </c>
      <c r="DG40" s="1446">
        <f t="shared" si="59"/>
        <v>1</v>
      </c>
      <c r="DH40" s="1446">
        <f t="shared" si="60"/>
        <v>1</v>
      </c>
      <c r="DI40" s="1446">
        <f t="shared" si="61"/>
        <v>1</v>
      </c>
      <c r="DJ40" s="1446">
        <f t="shared" si="62"/>
        <v>1</v>
      </c>
      <c r="DK40" s="1446">
        <f t="shared" si="63"/>
        <v>1</v>
      </c>
      <c r="DL40" s="1446">
        <f t="shared" si="64"/>
        <v>1</v>
      </c>
      <c r="DM40" s="1446">
        <f t="shared" si="65"/>
        <v>1</v>
      </c>
      <c r="DN40" s="1446">
        <f t="shared" si="66"/>
        <v>1</v>
      </c>
      <c r="DO40" s="1446">
        <f t="shared" si="67"/>
        <v>1</v>
      </c>
      <c r="DP40" s="1446">
        <f t="shared" si="68"/>
        <v>1</v>
      </c>
      <c r="DQ40" s="1446">
        <f t="shared" si="69"/>
        <v>1</v>
      </c>
      <c r="DR40" s="1446">
        <f t="shared" si="70"/>
        <v>1</v>
      </c>
      <c r="DS40" s="1446">
        <f t="shared" si="71"/>
        <v>1</v>
      </c>
      <c r="DT40" s="1446">
        <f t="shared" si="72"/>
        <v>1</v>
      </c>
      <c r="DU40" s="1446">
        <f t="shared" si="73"/>
        <v>1</v>
      </c>
      <c r="DV40" s="1446">
        <f t="shared" si="74"/>
        <v>1</v>
      </c>
      <c r="DW40" s="1446">
        <f t="shared" si="75"/>
        <v>1</v>
      </c>
      <c r="DX40" s="1446">
        <f t="shared" si="76"/>
        <v>1</v>
      </c>
      <c r="DY40" s="1446">
        <f t="shared" si="77"/>
        <v>1</v>
      </c>
      <c r="DZ40" s="1446">
        <f t="shared" si="78"/>
        <v>1</v>
      </c>
      <c r="EA40" s="1446">
        <f t="shared" si="79"/>
        <v>0</v>
      </c>
    </row>
    <row r="41" spans="1:131" ht="16.2" customHeight="1" x14ac:dyDescent="0.3">
      <c r="A41" s="7258">
        <v>11054209</v>
      </c>
      <c r="B41" s="2000" t="s">
        <v>1792</v>
      </c>
      <c r="C41" s="1998" t="s">
        <v>5369</v>
      </c>
      <c r="D41" s="2044" t="s">
        <v>5370</v>
      </c>
      <c r="E41" s="1130" t="s">
        <v>5371</v>
      </c>
      <c r="F41" s="1131" t="s">
        <v>5372</v>
      </c>
      <c r="G41" s="1132" t="s">
        <v>5373</v>
      </c>
      <c r="H41" s="1131" t="s">
        <v>5374</v>
      </c>
      <c r="I41" s="1132" t="s">
        <v>5375</v>
      </c>
      <c r="J41" s="1131" t="s">
        <v>5376</v>
      </c>
      <c r="K41" s="1132" t="s">
        <v>5377</v>
      </c>
      <c r="L41" s="1131" t="s">
        <v>5378</v>
      </c>
      <c r="M41" s="1132" t="s">
        <v>5379</v>
      </c>
      <c r="N41" s="1133" t="s">
        <v>5380</v>
      </c>
      <c r="O41" s="1134" t="s">
        <v>5381</v>
      </c>
      <c r="P41" s="1135" t="s">
        <v>5382</v>
      </c>
      <c r="Q41" s="1114" t="s">
        <v>5383</v>
      </c>
      <c r="R41" s="1135" t="s">
        <v>5384</v>
      </c>
      <c r="S41" s="1114" t="s">
        <v>5385</v>
      </c>
      <c r="T41" s="1135" t="s">
        <v>5386</v>
      </c>
      <c r="U41" s="1114" t="s">
        <v>5387</v>
      </c>
      <c r="V41" s="1135" t="s">
        <v>5388</v>
      </c>
      <c r="W41" s="1114" t="s">
        <v>5389</v>
      </c>
      <c r="X41" s="1135" t="s">
        <v>5390</v>
      </c>
      <c r="Y41" s="1114" t="s">
        <v>5391</v>
      </c>
      <c r="Z41" s="1135" t="s">
        <v>5392</v>
      </c>
      <c r="AA41" s="1114" t="s">
        <v>5393</v>
      </c>
      <c r="AB41" s="1135" t="s">
        <v>5394</v>
      </c>
      <c r="AC41" s="1114" t="s">
        <v>5395</v>
      </c>
      <c r="AD41" s="1135" t="s">
        <v>5396</v>
      </c>
      <c r="AE41" s="1114" t="s">
        <v>5397</v>
      </c>
      <c r="AF41" s="1135" t="s">
        <v>5398</v>
      </c>
      <c r="AG41" s="1114" t="s">
        <v>5399</v>
      </c>
      <c r="AH41" s="1135" t="s">
        <v>5400</v>
      </c>
      <c r="AI41" s="1114" t="s">
        <v>5401</v>
      </c>
      <c r="AJ41" s="1135" t="s">
        <v>5402</v>
      </c>
      <c r="AK41" s="1114" t="s">
        <v>5403</v>
      </c>
      <c r="AL41" s="1135" t="s">
        <v>5404</v>
      </c>
      <c r="AM41" s="1114" t="s">
        <v>5405</v>
      </c>
      <c r="AN41" s="1135" t="s">
        <v>5406</v>
      </c>
      <c r="AO41" s="1114" t="s">
        <v>5407</v>
      </c>
      <c r="AP41" s="1135" t="s">
        <v>5408</v>
      </c>
      <c r="AQ41" s="1114" t="s">
        <v>5409</v>
      </c>
      <c r="AR41" s="1136" t="s">
        <v>5410</v>
      </c>
      <c r="AS41" s="1137" t="s">
        <v>5411</v>
      </c>
      <c r="AT41" s="1136" t="s">
        <v>5412</v>
      </c>
      <c r="AU41" s="1134" t="s">
        <v>5413</v>
      </c>
      <c r="AV41" s="1135" t="s">
        <v>5414</v>
      </c>
      <c r="AW41" s="1114" t="s">
        <v>5415</v>
      </c>
      <c r="AX41" s="1118" t="s">
        <v>5416</v>
      </c>
      <c r="AY41" s="1197" t="e">
        <f t="shared" si="53"/>
        <v>#VALUE!</v>
      </c>
      <c r="AZ41" s="1197"/>
      <c r="BA41" s="1197"/>
      <c r="BB41" s="1197"/>
      <c r="BC41" s="1197"/>
      <c r="BD41" s="1197"/>
      <c r="BE41" s="1197"/>
      <c r="BF41" s="1197"/>
      <c r="BG41" s="1197"/>
      <c r="BH41" s="1197"/>
      <c r="BI41" s="1197"/>
      <c r="BJ41" s="1191"/>
      <c r="BK41" s="1191"/>
      <c r="BL41" s="1191"/>
      <c r="BM41" s="1191"/>
      <c r="BV41" s="1547"/>
      <c r="BW41" s="1547"/>
      <c r="BX41" s="1547"/>
      <c r="CB41" s="2195" t="str">
        <f t="shared" si="54"/>
        <v xml:space="preserve">* El total de Reactivos NO DEBE ser superior al total de Procesados. </v>
      </c>
      <c r="CC41" s="2195" t="e">
        <f t="shared" si="55"/>
        <v>#VALUE!</v>
      </c>
      <c r="CD41" s="2195" t="e">
        <f t="shared" si="56"/>
        <v>#VALUE!</v>
      </c>
      <c r="CE41" s="2195" t="str">
        <f t="shared" si="57"/>
        <v xml:space="preserve">* La columna Pueblos Originarios NO DEBE ser superior al total de Procesados. </v>
      </c>
      <c r="CF41" s="2195" t="str">
        <f t="shared" si="58"/>
        <v xml:space="preserve">* La columna Migrantes NO DEBE ser superior al total de Procesados. </v>
      </c>
      <c r="CG41" s="2195" t="str">
        <f t="shared" si="80"/>
        <v>* El total de procesados debe ser mayor o igual al total de Reactivos en el grupo de edad Menor de 6 meses</v>
      </c>
      <c r="CH41" s="2195" t="str">
        <f t="shared" si="81"/>
        <v>* El total de procesados debe ser mayor o igual al total de Reactivos en el grupo de edad 6 a 11 meses</v>
      </c>
      <c r="CI41" s="2195" t="str">
        <f t="shared" si="82"/>
        <v>* El total de procesados debe ser mayor o igual al total de Reactivos en el grupo de edad 12-24 meses</v>
      </c>
      <c r="CJ41" s="2195" t="str">
        <f t="shared" si="83"/>
        <v>* El total de procesados debe ser mayor o igual al total de Reactivos en el grupo de edad 3 a 4 años</v>
      </c>
      <c r="CK41" s="2195" t="str">
        <f t="shared" si="84"/>
        <v>* El total de procesados debe ser mayor o igual al total de Reactivos en el grupo de edad 5 a 9 años</v>
      </c>
      <c r="CL41" s="2195" t="str">
        <f t="shared" si="85"/>
        <v>* El total de procesados debe ser mayor o igual al total de Reactivos en el grupo de edad 10 - 14 años</v>
      </c>
      <c r="CM41" s="2195" t="str">
        <f t="shared" si="86"/>
        <v>* El total de procesados debe ser mayor o igual al total de Reactivos en el grupo de edad 15 - 19 años</v>
      </c>
      <c r="CN41" s="2195" t="str">
        <f t="shared" si="87"/>
        <v>* El total de procesados debe ser mayor o igual al total de Reactivos en el grupo de edad 20 - 24 años</v>
      </c>
      <c r="CO41" s="2195" t="str">
        <f t="shared" si="88"/>
        <v>* El total de procesados debe ser mayor o igual al total de Reactivos en el grupo de edad 25 a 29 años</v>
      </c>
      <c r="CP41" s="2195" t="str">
        <f t="shared" si="89"/>
        <v>* El total de procesados debe ser mayor o igual al total de Reactivos en el grupo de edad 30 a 34 años</v>
      </c>
      <c r="CQ41" s="2195" t="str">
        <f t="shared" si="90"/>
        <v>* El total de procesados debe ser mayor o igual al total de Reactivos en el grupo de edad 35 a 39 años</v>
      </c>
      <c r="CR41" s="2195" t="str">
        <f t="shared" si="91"/>
        <v>* El total de procesados debe ser mayor o igual al total de Reactivos en el grupo de edad 40 a 44 años</v>
      </c>
      <c r="CS41" s="2195" t="str">
        <f t="shared" si="92"/>
        <v>* El total de procesados debe ser mayor o igual al total de Reactivos en el grupo de edad 45 a 49 años</v>
      </c>
      <c r="CT41" s="2195" t="str">
        <f t="shared" si="93"/>
        <v>* El total de procesados debe ser mayor o igual al total de Reactivos en el grupo de edad 50 a 54 años</v>
      </c>
      <c r="CU41" s="2195" t="str">
        <f t="shared" si="94"/>
        <v>* El total de procesados debe ser mayor o igual al total de Reactivos en el grupo de edad 55 a 59 años</v>
      </c>
      <c r="CV41" s="2195" t="str">
        <f t="shared" si="95"/>
        <v>* El total de procesados debe ser mayor o igual al total de Reactivos en el grupo de edad 60 a 64 años</v>
      </c>
      <c r="CW41" s="2195" t="str">
        <f t="shared" si="96"/>
        <v>* El total de procesados debe ser mayor o igual al total de Reactivos en el grupo de edad 65 a 69 años</v>
      </c>
      <c r="CX41" s="2195" t="str">
        <f t="shared" si="97"/>
        <v>* El total de procesados debe ser mayor o igual al total de Reactivos en el grupo de edad 70 a 74 años</v>
      </c>
      <c r="CY41" s="2195" t="str">
        <f t="shared" si="98"/>
        <v>* El total de procesados debe ser mayor o igual al total de Reactivos en el grupo de edad 75 a 79 años</v>
      </c>
      <c r="CZ41" s="2195" t="str">
        <f t="shared" si="99"/>
        <v>* El total de procesados debe ser mayor o igual al total de Reactivos en el grupo de edad 80 y más años</v>
      </c>
      <c r="DA41" s="2195" t="str">
        <f t="shared" si="100"/>
        <v/>
      </c>
      <c r="DB41" s="1446">
        <f t="shared" si="101"/>
        <v>1</v>
      </c>
      <c r="DC41" s="1446" t="e">
        <f t="shared" si="102"/>
        <v>#VALUE!</v>
      </c>
      <c r="DD41" s="1446" t="e">
        <f t="shared" si="103"/>
        <v>#VALUE!</v>
      </c>
      <c r="DE41" s="1446">
        <f t="shared" si="104"/>
        <v>1</v>
      </c>
      <c r="DF41" s="1446">
        <f t="shared" si="105"/>
        <v>1</v>
      </c>
      <c r="DG41" s="1446">
        <f t="shared" si="59"/>
        <v>1</v>
      </c>
      <c r="DH41" s="1446">
        <f t="shared" si="60"/>
        <v>1</v>
      </c>
      <c r="DI41" s="1446">
        <f t="shared" si="61"/>
        <v>1</v>
      </c>
      <c r="DJ41" s="1446">
        <f t="shared" si="62"/>
        <v>1</v>
      </c>
      <c r="DK41" s="1446">
        <f t="shared" si="63"/>
        <v>1</v>
      </c>
      <c r="DL41" s="1446">
        <f t="shared" si="64"/>
        <v>1</v>
      </c>
      <c r="DM41" s="1446">
        <f t="shared" si="65"/>
        <v>1</v>
      </c>
      <c r="DN41" s="1446">
        <f t="shared" si="66"/>
        <v>1</v>
      </c>
      <c r="DO41" s="1446">
        <f t="shared" si="67"/>
        <v>1</v>
      </c>
      <c r="DP41" s="1446">
        <f t="shared" si="68"/>
        <v>1</v>
      </c>
      <c r="DQ41" s="1446">
        <f t="shared" si="69"/>
        <v>1</v>
      </c>
      <c r="DR41" s="1446">
        <f t="shared" si="70"/>
        <v>1</v>
      </c>
      <c r="DS41" s="1446">
        <f t="shared" si="71"/>
        <v>1</v>
      </c>
      <c r="DT41" s="1446">
        <f t="shared" si="72"/>
        <v>1</v>
      </c>
      <c r="DU41" s="1446">
        <f t="shared" si="73"/>
        <v>1</v>
      </c>
      <c r="DV41" s="1446">
        <f t="shared" si="74"/>
        <v>1</v>
      </c>
      <c r="DW41" s="1446">
        <f t="shared" si="75"/>
        <v>1</v>
      </c>
      <c r="DX41" s="1446">
        <f t="shared" si="76"/>
        <v>1</v>
      </c>
      <c r="DY41" s="1446">
        <f t="shared" si="77"/>
        <v>1</v>
      </c>
      <c r="DZ41" s="1446">
        <f t="shared" si="78"/>
        <v>1</v>
      </c>
      <c r="EA41" s="1446">
        <f t="shared" si="79"/>
        <v>0</v>
      </c>
    </row>
    <row r="42" spans="1:131" ht="16.2" customHeight="1" x14ac:dyDescent="0.3">
      <c r="A42" s="7258">
        <v>11054210</v>
      </c>
      <c r="B42" s="2000" t="s">
        <v>1793</v>
      </c>
      <c r="C42" s="1998" t="s">
        <v>5369</v>
      </c>
      <c r="D42" s="2044" t="s">
        <v>5370</v>
      </c>
      <c r="E42" s="1134" t="s">
        <v>5371</v>
      </c>
      <c r="F42" s="1135" t="s">
        <v>5372</v>
      </c>
      <c r="G42" s="1114" t="s">
        <v>5373</v>
      </c>
      <c r="H42" s="1135" t="s">
        <v>5374</v>
      </c>
      <c r="I42" s="1114" t="s">
        <v>5375</v>
      </c>
      <c r="J42" s="1118" t="s">
        <v>5376</v>
      </c>
      <c r="K42" s="1134" t="s">
        <v>5377</v>
      </c>
      <c r="L42" s="1134" t="s">
        <v>5378</v>
      </c>
      <c r="M42" s="1114" t="s">
        <v>5379</v>
      </c>
      <c r="N42" s="1118" t="s">
        <v>5380</v>
      </c>
      <c r="O42" s="1134" t="s">
        <v>5381</v>
      </c>
      <c r="P42" s="1135" t="s">
        <v>5382</v>
      </c>
      <c r="Q42" s="1114" t="s">
        <v>5383</v>
      </c>
      <c r="R42" s="1135" t="s">
        <v>5384</v>
      </c>
      <c r="S42" s="1114" t="s">
        <v>5385</v>
      </c>
      <c r="T42" s="1135" t="s">
        <v>5386</v>
      </c>
      <c r="U42" s="1114" t="s">
        <v>5387</v>
      </c>
      <c r="V42" s="1135" t="s">
        <v>5388</v>
      </c>
      <c r="W42" s="1114" t="s">
        <v>5389</v>
      </c>
      <c r="X42" s="1135" t="s">
        <v>5390</v>
      </c>
      <c r="Y42" s="1114" t="s">
        <v>5391</v>
      </c>
      <c r="Z42" s="1135" t="s">
        <v>5392</v>
      </c>
      <c r="AA42" s="1114" t="s">
        <v>5393</v>
      </c>
      <c r="AB42" s="1135" t="s">
        <v>5394</v>
      </c>
      <c r="AC42" s="1114" t="s">
        <v>5395</v>
      </c>
      <c r="AD42" s="1135" t="s">
        <v>5396</v>
      </c>
      <c r="AE42" s="1114" t="s">
        <v>5397</v>
      </c>
      <c r="AF42" s="1135" t="s">
        <v>5398</v>
      </c>
      <c r="AG42" s="1114" t="s">
        <v>5399</v>
      </c>
      <c r="AH42" s="1135" t="s">
        <v>5400</v>
      </c>
      <c r="AI42" s="1114" t="s">
        <v>5401</v>
      </c>
      <c r="AJ42" s="1135" t="s">
        <v>5402</v>
      </c>
      <c r="AK42" s="1114" t="s">
        <v>5403</v>
      </c>
      <c r="AL42" s="1135" t="s">
        <v>5404</v>
      </c>
      <c r="AM42" s="1114" t="s">
        <v>5405</v>
      </c>
      <c r="AN42" s="1135" t="s">
        <v>5406</v>
      </c>
      <c r="AO42" s="1114" t="s">
        <v>5407</v>
      </c>
      <c r="AP42" s="1135" t="s">
        <v>5408</v>
      </c>
      <c r="AQ42" s="1114" t="s">
        <v>5409</v>
      </c>
      <c r="AR42" s="1136" t="s">
        <v>5410</v>
      </c>
      <c r="AS42" s="1137" t="s">
        <v>5411</v>
      </c>
      <c r="AT42" s="1136" t="s">
        <v>5412</v>
      </c>
      <c r="AU42" s="1134" t="s">
        <v>5413</v>
      </c>
      <c r="AV42" s="1135" t="s">
        <v>5414</v>
      </c>
      <c r="AW42" s="1114" t="s">
        <v>5415</v>
      </c>
      <c r="AX42" s="1118" t="s">
        <v>5416</v>
      </c>
      <c r="AY42" s="1197" t="e">
        <f t="shared" si="53"/>
        <v>#VALUE!</v>
      </c>
      <c r="AZ42" s="1197"/>
      <c r="BA42" s="1197"/>
      <c r="BB42" s="1197"/>
      <c r="BC42" s="1197"/>
      <c r="BD42" s="1197"/>
      <c r="BE42" s="1197"/>
      <c r="BF42" s="1197"/>
      <c r="BG42" s="1197"/>
      <c r="BH42" s="1197"/>
      <c r="BI42" s="1197"/>
      <c r="BJ42" s="1191"/>
      <c r="BK42" s="1191"/>
      <c r="BL42" s="1191"/>
      <c r="BM42" s="1191"/>
      <c r="BV42" s="1547"/>
      <c r="BW42" s="1547"/>
      <c r="BX42" s="1547"/>
      <c r="CB42" s="2195" t="str">
        <f t="shared" si="54"/>
        <v xml:space="preserve">* El total de Reactivos NO DEBE ser superior al total de Procesados. </v>
      </c>
      <c r="CC42" s="2195" t="e">
        <f t="shared" si="55"/>
        <v>#VALUE!</v>
      </c>
      <c r="CD42" s="2195" t="e">
        <f t="shared" si="56"/>
        <v>#VALUE!</v>
      </c>
      <c r="CE42" s="2195" t="str">
        <f t="shared" si="57"/>
        <v xml:space="preserve">* La columna Pueblos Originarios NO DEBE ser superior al total de Procesados. </v>
      </c>
      <c r="CF42" s="2195" t="str">
        <f t="shared" si="58"/>
        <v xml:space="preserve">* La columna Migrantes NO DEBE ser superior al total de Procesados. </v>
      </c>
      <c r="CG42" s="2195" t="str">
        <f t="shared" si="80"/>
        <v>* El total de procesados debe ser mayor o igual al total de Reactivos en el grupo de edad Menor de 6 meses</v>
      </c>
      <c r="CH42" s="2195" t="str">
        <f t="shared" si="81"/>
        <v>* El total de procesados debe ser mayor o igual al total de Reactivos en el grupo de edad 6 a 11 meses</v>
      </c>
      <c r="CI42" s="2195" t="str">
        <f t="shared" si="82"/>
        <v>* El total de procesados debe ser mayor o igual al total de Reactivos en el grupo de edad 12-24 meses</v>
      </c>
      <c r="CJ42" s="2195" t="str">
        <f t="shared" si="83"/>
        <v>* El total de procesados debe ser mayor o igual al total de Reactivos en el grupo de edad 3 a 4 años</v>
      </c>
      <c r="CK42" s="2195" t="str">
        <f t="shared" si="84"/>
        <v>* El total de procesados debe ser mayor o igual al total de Reactivos en el grupo de edad 5 a 9 años</v>
      </c>
      <c r="CL42" s="2195" t="str">
        <f t="shared" si="85"/>
        <v>* El total de procesados debe ser mayor o igual al total de Reactivos en el grupo de edad 10 - 14 años</v>
      </c>
      <c r="CM42" s="2195" t="str">
        <f t="shared" si="86"/>
        <v>* El total de procesados debe ser mayor o igual al total de Reactivos en el grupo de edad 15 - 19 años</v>
      </c>
      <c r="CN42" s="2195" t="str">
        <f t="shared" si="87"/>
        <v>* El total de procesados debe ser mayor o igual al total de Reactivos en el grupo de edad 20 - 24 años</v>
      </c>
      <c r="CO42" s="2195" t="str">
        <f t="shared" si="88"/>
        <v>* El total de procesados debe ser mayor o igual al total de Reactivos en el grupo de edad 25 a 29 años</v>
      </c>
      <c r="CP42" s="2195" t="str">
        <f t="shared" si="89"/>
        <v>* El total de procesados debe ser mayor o igual al total de Reactivos en el grupo de edad 30 a 34 años</v>
      </c>
      <c r="CQ42" s="2195" t="str">
        <f t="shared" si="90"/>
        <v>* El total de procesados debe ser mayor o igual al total de Reactivos en el grupo de edad 35 a 39 años</v>
      </c>
      <c r="CR42" s="2195" t="str">
        <f t="shared" si="91"/>
        <v>* El total de procesados debe ser mayor o igual al total de Reactivos en el grupo de edad 40 a 44 años</v>
      </c>
      <c r="CS42" s="2195" t="str">
        <f t="shared" si="92"/>
        <v>* El total de procesados debe ser mayor o igual al total de Reactivos en el grupo de edad 45 a 49 años</v>
      </c>
      <c r="CT42" s="2195" t="str">
        <f t="shared" si="93"/>
        <v>* El total de procesados debe ser mayor o igual al total de Reactivos en el grupo de edad 50 a 54 años</v>
      </c>
      <c r="CU42" s="2195" t="str">
        <f t="shared" si="94"/>
        <v>* El total de procesados debe ser mayor o igual al total de Reactivos en el grupo de edad 55 a 59 años</v>
      </c>
      <c r="CV42" s="2195" t="str">
        <f t="shared" si="95"/>
        <v>* El total de procesados debe ser mayor o igual al total de Reactivos en el grupo de edad 60 a 64 años</v>
      </c>
      <c r="CW42" s="2195" t="str">
        <f t="shared" si="96"/>
        <v>* El total de procesados debe ser mayor o igual al total de Reactivos en el grupo de edad 65 a 69 años</v>
      </c>
      <c r="CX42" s="2195" t="str">
        <f t="shared" si="97"/>
        <v>* El total de procesados debe ser mayor o igual al total de Reactivos en el grupo de edad 70 a 74 años</v>
      </c>
      <c r="CY42" s="2195" t="str">
        <f t="shared" si="98"/>
        <v>* El total de procesados debe ser mayor o igual al total de Reactivos en el grupo de edad 75 a 79 años</v>
      </c>
      <c r="CZ42" s="2195" t="str">
        <f t="shared" si="99"/>
        <v>* El total de procesados debe ser mayor o igual al total de Reactivos en el grupo de edad 80 y más años</v>
      </c>
      <c r="DA42" s="2195" t="str">
        <f t="shared" si="100"/>
        <v/>
      </c>
      <c r="DB42" s="1446">
        <f t="shared" si="101"/>
        <v>1</v>
      </c>
      <c r="DC42" s="1446" t="e">
        <f t="shared" si="102"/>
        <v>#VALUE!</v>
      </c>
      <c r="DD42" s="1446" t="e">
        <f t="shared" si="103"/>
        <v>#VALUE!</v>
      </c>
      <c r="DE42" s="1446">
        <f t="shared" si="104"/>
        <v>1</v>
      </c>
      <c r="DF42" s="1446">
        <f t="shared" si="105"/>
        <v>1</v>
      </c>
      <c r="DG42" s="1446">
        <f t="shared" si="59"/>
        <v>1</v>
      </c>
      <c r="DH42" s="1446">
        <f t="shared" si="60"/>
        <v>1</v>
      </c>
      <c r="DI42" s="1446">
        <f t="shared" si="61"/>
        <v>1</v>
      </c>
      <c r="DJ42" s="1446">
        <f t="shared" si="62"/>
        <v>1</v>
      </c>
      <c r="DK42" s="1446">
        <f t="shared" si="63"/>
        <v>1</v>
      </c>
      <c r="DL42" s="1446">
        <f t="shared" si="64"/>
        <v>1</v>
      </c>
      <c r="DM42" s="1446">
        <f t="shared" si="65"/>
        <v>1</v>
      </c>
      <c r="DN42" s="1446">
        <f t="shared" si="66"/>
        <v>1</v>
      </c>
      <c r="DO42" s="1446">
        <f t="shared" si="67"/>
        <v>1</v>
      </c>
      <c r="DP42" s="1446">
        <f t="shared" si="68"/>
        <v>1</v>
      </c>
      <c r="DQ42" s="1446">
        <f t="shared" si="69"/>
        <v>1</v>
      </c>
      <c r="DR42" s="1446">
        <f t="shared" si="70"/>
        <v>1</v>
      </c>
      <c r="DS42" s="1446">
        <f t="shared" si="71"/>
        <v>1</v>
      </c>
      <c r="DT42" s="1446">
        <f t="shared" si="72"/>
        <v>1</v>
      </c>
      <c r="DU42" s="1446">
        <f t="shared" si="73"/>
        <v>1</v>
      </c>
      <c r="DV42" s="1446">
        <f t="shared" si="74"/>
        <v>1</v>
      </c>
      <c r="DW42" s="1446">
        <f t="shared" si="75"/>
        <v>1</v>
      </c>
      <c r="DX42" s="1446">
        <f t="shared" si="76"/>
        <v>1</v>
      </c>
      <c r="DY42" s="1446">
        <f t="shared" si="77"/>
        <v>1</v>
      </c>
      <c r="DZ42" s="1446">
        <f t="shared" si="78"/>
        <v>1</v>
      </c>
      <c r="EA42" s="1446">
        <f t="shared" si="79"/>
        <v>0</v>
      </c>
    </row>
    <row r="43" spans="1:131" ht="24" customHeight="1" x14ac:dyDescent="0.3">
      <c r="A43" s="7258">
        <v>11054211</v>
      </c>
      <c r="B43" s="2045" t="s">
        <v>1794</v>
      </c>
      <c r="C43" s="1998" t="s">
        <v>5369</v>
      </c>
      <c r="D43" s="2044" t="s">
        <v>5370</v>
      </c>
      <c r="E43" s="1134" t="s">
        <v>5371</v>
      </c>
      <c r="F43" s="1135" t="s">
        <v>5372</v>
      </c>
      <c r="G43" s="1114" t="s">
        <v>5373</v>
      </c>
      <c r="H43" s="1135" t="s">
        <v>5374</v>
      </c>
      <c r="I43" s="1114" t="s">
        <v>5375</v>
      </c>
      <c r="J43" s="1118" t="s">
        <v>5376</v>
      </c>
      <c r="K43" s="1140" t="s">
        <v>5377</v>
      </c>
      <c r="L43" s="1141" t="s">
        <v>5378</v>
      </c>
      <c r="M43" s="1140" t="s">
        <v>5379</v>
      </c>
      <c r="N43" s="1141" t="s">
        <v>5380</v>
      </c>
      <c r="O43" s="1140" t="s">
        <v>5381</v>
      </c>
      <c r="P43" s="1141" t="s">
        <v>5382</v>
      </c>
      <c r="Q43" s="1140" t="s">
        <v>5383</v>
      </c>
      <c r="R43" s="1141" t="s">
        <v>5384</v>
      </c>
      <c r="S43" s="1140" t="s">
        <v>5385</v>
      </c>
      <c r="T43" s="1141" t="s">
        <v>5386</v>
      </c>
      <c r="U43" s="1140" t="s">
        <v>5387</v>
      </c>
      <c r="V43" s="1141" t="s">
        <v>5388</v>
      </c>
      <c r="W43" s="1140" t="s">
        <v>5389</v>
      </c>
      <c r="X43" s="1141" t="s">
        <v>5390</v>
      </c>
      <c r="Y43" s="1140" t="s">
        <v>5391</v>
      </c>
      <c r="Z43" s="1141" t="s">
        <v>5392</v>
      </c>
      <c r="AA43" s="1140" t="s">
        <v>5393</v>
      </c>
      <c r="AB43" s="1141" t="s">
        <v>5394</v>
      </c>
      <c r="AC43" s="1140" t="s">
        <v>5395</v>
      </c>
      <c r="AD43" s="1141" t="s">
        <v>5396</v>
      </c>
      <c r="AE43" s="1140" t="s">
        <v>5397</v>
      </c>
      <c r="AF43" s="1141" t="s">
        <v>5398</v>
      </c>
      <c r="AG43" s="1140" t="s">
        <v>5399</v>
      </c>
      <c r="AH43" s="1141" t="s">
        <v>5400</v>
      </c>
      <c r="AI43" s="1140" t="s">
        <v>5401</v>
      </c>
      <c r="AJ43" s="1141" t="s">
        <v>5402</v>
      </c>
      <c r="AK43" s="1140" t="s">
        <v>5403</v>
      </c>
      <c r="AL43" s="1141" t="s">
        <v>5404</v>
      </c>
      <c r="AM43" s="1140" t="s">
        <v>5405</v>
      </c>
      <c r="AN43" s="1141" t="s">
        <v>5406</v>
      </c>
      <c r="AO43" s="1140" t="s">
        <v>5407</v>
      </c>
      <c r="AP43" s="1141" t="s">
        <v>5408</v>
      </c>
      <c r="AQ43" s="1140" t="s">
        <v>5409</v>
      </c>
      <c r="AR43" s="1142" t="s">
        <v>5410</v>
      </c>
      <c r="AS43" s="1134" t="s">
        <v>5411</v>
      </c>
      <c r="AT43" s="1136" t="s">
        <v>5412</v>
      </c>
      <c r="AU43" s="1134" t="s">
        <v>5413</v>
      </c>
      <c r="AV43" s="1135" t="s">
        <v>5414</v>
      </c>
      <c r="AW43" s="1114" t="s">
        <v>5415</v>
      </c>
      <c r="AX43" s="1118" t="s">
        <v>5416</v>
      </c>
      <c r="AY43" s="1197" t="e">
        <f t="shared" si="53"/>
        <v>#VALUE!</v>
      </c>
      <c r="AZ43" s="1197"/>
      <c r="BA43" s="1197"/>
      <c r="BB43" s="1197"/>
      <c r="BC43" s="1197"/>
      <c r="BD43" s="1197"/>
      <c r="BE43" s="1197"/>
      <c r="BF43" s="1197"/>
      <c r="BG43" s="1197"/>
      <c r="BH43" s="1197"/>
      <c r="BI43" s="1197"/>
      <c r="BJ43" s="1191"/>
      <c r="BK43" s="1191"/>
      <c r="BL43" s="1191"/>
      <c r="BM43" s="1191"/>
      <c r="BV43" s="1547"/>
      <c r="BW43" s="1547"/>
      <c r="BX43" s="1547"/>
      <c r="CB43" s="2195" t="str">
        <f t="shared" si="54"/>
        <v xml:space="preserve">* El total de Reactivos NO DEBE ser superior al total de Procesados. </v>
      </c>
      <c r="CC43" s="2195" t="e">
        <f t="shared" si="55"/>
        <v>#VALUE!</v>
      </c>
      <c r="CD43" s="2195" t="e">
        <f t="shared" si="56"/>
        <v>#VALUE!</v>
      </c>
      <c r="CE43" s="2195" t="str">
        <f t="shared" si="57"/>
        <v xml:space="preserve">* La columna Pueblos Originarios NO DEBE ser superior al total de Procesados. </v>
      </c>
      <c r="CF43" s="2195" t="str">
        <f t="shared" si="58"/>
        <v xml:space="preserve">* La columna Migrantes NO DEBE ser superior al total de Procesados. </v>
      </c>
      <c r="CG43" s="2195" t="str">
        <f t="shared" si="80"/>
        <v>* El total de procesados debe ser mayor o igual al total de Reactivos en el grupo de edad Menor de 6 meses</v>
      </c>
      <c r="CH43" s="2195" t="str">
        <f t="shared" si="81"/>
        <v>* El total de procesados debe ser mayor o igual al total de Reactivos en el grupo de edad 6 a 11 meses</v>
      </c>
      <c r="CI43" s="2195" t="str">
        <f t="shared" si="82"/>
        <v>* El total de procesados debe ser mayor o igual al total de Reactivos en el grupo de edad 12-24 meses</v>
      </c>
      <c r="CJ43" s="2195" t="str">
        <f t="shared" si="83"/>
        <v>* El total de procesados debe ser mayor o igual al total de Reactivos en el grupo de edad 3 a 4 años</v>
      </c>
      <c r="CK43" s="2195" t="str">
        <f t="shared" si="84"/>
        <v>* El total de procesados debe ser mayor o igual al total de Reactivos en el grupo de edad 5 a 9 años</v>
      </c>
      <c r="CL43" s="2195" t="str">
        <f t="shared" si="85"/>
        <v>* El total de procesados debe ser mayor o igual al total de Reactivos en el grupo de edad 10 - 14 años</v>
      </c>
      <c r="CM43" s="2195" t="str">
        <f t="shared" si="86"/>
        <v>* El total de procesados debe ser mayor o igual al total de Reactivos en el grupo de edad 15 - 19 años</v>
      </c>
      <c r="CN43" s="2195" t="str">
        <f t="shared" si="87"/>
        <v>* El total de procesados debe ser mayor o igual al total de Reactivos en el grupo de edad 20 - 24 años</v>
      </c>
      <c r="CO43" s="2195" t="str">
        <f t="shared" si="88"/>
        <v>* El total de procesados debe ser mayor o igual al total de Reactivos en el grupo de edad 25 a 29 años</v>
      </c>
      <c r="CP43" s="2195" t="str">
        <f t="shared" si="89"/>
        <v>* El total de procesados debe ser mayor o igual al total de Reactivos en el grupo de edad 30 a 34 años</v>
      </c>
      <c r="CQ43" s="2195" t="str">
        <f t="shared" si="90"/>
        <v>* El total de procesados debe ser mayor o igual al total de Reactivos en el grupo de edad 35 a 39 años</v>
      </c>
      <c r="CR43" s="2195" t="str">
        <f t="shared" si="91"/>
        <v>* El total de procesados debe ser mayor o igual al total de Reactivos en el grupo de edad 40 a 44 años</v>
      </c>
      <c r="CS43" s="2195" t="str">
        <f t="shared" si="92"/>
        <v>* El total de procesados debe ser mayor o igual al total de Reactivos en el grupo de edad 45 a 49 años</v>
      </c>
      <c r="CT43" s="2195" t="str">
        <f t="shared" si="93"/>
        <v>* El total de procesados debe ser mayor o igual al total de Reactivos en el grupo de edad 50 a 54 años</v>
      </c>
      <c r="CU43" s="2195" t="str">
        <f t="shared" si="94"/>
        <v>* El total de procesados debe ser mayor o igual al total de Reactivos en el grupo de edad 55 a 59 años</v>
      </c>
      <c r="CV43" s="2195" t="str">
        <f t="shared" si="95"/>
        <v>* El total de procesados debe ser mayor o igual al total de Reactivos en el grupo de edad 60 a 64 años</v>
      </c>
      <c r="CW43" s="2195" t="str">
        <f t="shared" si="96"/>
        <v>* El total de procesados debe ser mayor o igual al total de Reactivos en el grupo de edad 65 a 69 años</v>
      </c>
      <c r="CX43" s="2195" t="str">
        <f t="shared" si="97"/>
        <v>* El total de procesados debe ser mayor o igual al total de Reactivos en el grupo de edad 70 a 74 años</v>
      </c>
      <c r="CY43" s="2195" t="str">
        <f t="shared" si="98"/>
        <v>* El total de procesados debe ser mayor o igual al total de Reactivos en el grupo de edad 75 a 79 años</v>
      </c>
      <c r="CZ43" s="2195" t="str">
        <f t="shared" si="99"/>
        <v>* El total de procesados debe ser mayor o igual al total de Reactivos en el grupo de edad 80 y más años</v>
      </c>
      <c r="DA43" s="2195" t="str">
        <f t="shared" si="100"/>
        <v/>
      </c>
      <c r="DB43" s="1446">
        <f t="shared" si="101"/>
        <v>1</v>
      </c>
      <c r="DC43" s="1446" t="e">
        <f t="shared" si="102"/>
        <v>#VALUE!</v>
      </c>
      <c r="DD43" s="1446" t="e">
        <f t="shared" si="103"/>
        <v>#VALUE!</v>
      </c>
      <c r="DE43" s="1446">
        <f t="shared" si="104"/>
        <v>1</v>
      </c>
      <c r="DF43" s="1446">
        <f t="shared" si="105"/>
        <v>1</v>
      </c>
      <c r="DG43" s="1446">
        <f t="shared" si="59"/>
        <v>1</v>
      </c>
      <c r="DH43" s="1446">
        <f t="shared" si="60"/>
        <v>1</v>
      </c>
      <c r="DI43" s="1446">
        <f t="shared" si="61"/>
        <v>1</v>
      </c>
      <c r="DJ43" s="1446">
        <f t="shared" si="62"/>
        <v>1</v>
      </c>
      <c r="DK43" s="1446">
        <f t="shared" si="63"/>
        <v>1</v>
      </c>
      <c r="DL43" s="1446">
        <f t="shared" si="64"/>
        <v>1</v>
      </c>
      <c r="DM43" s="1446">
        <f t="shared" si="65"/>
        <v>1</v>
      </c>
      <c r="DN43" s="1446">
        <f t="shared" si="66"/>
        <v>1</v>
      </c>
      <c r="DO43" s="1446">
        <f t="shared" si="67"/>
        <v>1</v>
      </c>
      <c r="DP43" s="1446">
        <f t="shared" si="68"/>
        <v>1</v>
      </c>
      <c r="DQ43" s="1446">
        <f t="shared" si="69"/>
        <v>1</v>
      </c>
      <c r="DR43" s="1446">
        <f t="shared" si="70"/>
        <v>1</v>
      </c>
      <c r="DS43" s="1446">
        <f t="shared" si="71"/>
        <v>1</v>
      </c>
      <c r="DT43" s="1446">
        <f t="shared" si="72"/>
        <v>1</v>
      </c>
      <c r="DU43" s="1446">
        <f t="shared" si="73"/>
        <v>1</v>
      </c>
      <c r="DV43" s="1446">
        <f t="shared" si="74"/>
        <v>1</v>
      </c>
      <c r="DW43" s="1446">
        <f t="shared" si="75"/>
        <v>1</v>
      </c>
      <c r="DX43" s="1446">
        <f t="shared" si="76"/>
        <v>1</v>
      </c>
      <c r="DY43" s="1446">
        <f t="shared" si="77"/>
        <v>1</v>
      </c>
      <c r="DZ43" s="1446">
        <f t="shared" si="78"/>
        <v>1</v>
      </c>
      <c r="EA43" s="1446">
        <f t="shared" si="79"/>
        <v>0</v>
      </c>
    </row>
    <row r="44" spans="1:131" ht="15" customHeight="1" x14ac:dyDescent="0.3">
      <c r="A44" s="7258">
        <v>11054212</v>
      </c>
      <c r="B44" s="2045" t="s">
        <v>1795</v>
      </c>
      <c r="C44" s="1998" t="s">
        <v>5369</v>
      </c>
      <c r="D44" s="2044" t="s">
        <v>5370</v>
      </c>
      <c r="E44" s="1130" t="s">
        <v>5371</v>
      </c>
      <c r="F44" s="1131" t="s">
        <v>5372</v>
      </c>
      <c r="G44" s="1132" t="s">
        <v>5373</v>
      </c>
      <c r="H44" s="1131" t="s">
        <v>5374</v>
      </c>
      <c r="I44" s="1132" t="s">
        <v>5375</v>
      </c>
      <c r="J44" s="1131" t="s">
        <v>5376</v>
      </c>
      <c r="K44" s="1132" t="s">
        <v>5377</v>
      </c>
      <c r="L44" s="1131" t="s">
        <v>5378</v>
      </c>
      <c r="M44" s="1132" t="s">
        <v>5379</v>
      </c>
      <c r="N44" s="1133" t="s">
        <v>5380</v>
      </c>
      <c r="O44" s="1130" t="s">
        <v>5381</v>
      </c>
      <c r="P44" s="1131" t="s">
        <v>5382</v>
      </c>
      <c r="Q44" s="1114" t="s">
        <v>5383</v>
      </c>
      <c r="R44" s="1135" t="s">
        <v>5384</v>
      </c>
      <c r="S44" s="1114" t="s">
        <v>5385</v>
      </c>
      <c r="T44" s="1135" t="s">
        <v>5386</v>
      </c>
      <c r="U44" s="1114" t="s">
        <v>5387</v>
      </c>
      <c r="V44" s="1135" t="s">
        <v>5388</v>
      </c>
      <c r="W44" s="1114" t="s">
        <v>5389</v>
      </c>
      <c r="X44" s="1135" t="s">
        <v>5390</v>
      </c>
      <c r="Y44" s="1114" t="s">
        <v>5391</v>
      </c>
      <c r="Z44" s="1135" t="s">
        <v>5392</v>
      </c>
      <c r="AA44" s="1114" t="s">
        <v>5393</v>
      </c>
      <c r="AB44" s="1135" t="s">
        <v>5394</v>
      </c>
      <c r="AC44" s="1114" t="s">
        <v>5395</v>
      </c>
      <c r="AD44" s="1135" t="s">
        <v>5396</v>
      </c>
      <c r="AE44" s="1114" t="s">
        <v>5397</v>
      </c>
      <c r="AF44" s="1135" t="s">
        <v>5398</v>
      </c>
      <c r="AG44" s="1114" t="s">
        <v>5399</v>
      </c>
      <c r="AH44" s="1135" t="s">
        <v>5400</v>
      </c>
      <c r="AI44" s="1114" t="s">
        <v>5401</v>
      </c>
      <c r="AJ44" s="1135" t="s">
        <v>5402</v>
      </c>
      <c r="AK44" s="1114" t="s">
        <v>5403</v>
      </c>
      <c r="AL44" s="1135" t="s">
        <v>5404</v>
      </c>
      <c r="AM44" s="1114" t="s">
        <v>5405</v>
      </c>
      <c r="AN44" s="1135" t="s">
        <v>5406</v>
      </c>
      <c r="AO44" s="1114" t="s">
        <v>5407</v>
      </c>
      <c r="AP44" s="1135" t="s">
        <v>5408</v>
      </c>
      <c r="AQ44" s="1114" t="s">
        <v>5409</v>
      </c>
      <c r="AR44" s="1136" t="s">
        <v>5410</v>
      </c>
      <c r="AS44" s="1134" t="s">
        <v>5411</v>
      </c>
      <c r="AT44" s="1136" t="s">
        <v>5412</v>
      </c>
      <c r="AU44" s="1134" t="s">
        <v>5413</v>
      </c>
      <c r="AV44" s="1135" t="s">
        <v>5414</v>
      </c>
      <c r="AW44" s="1114" t="s">
        <v>5415</v>
      </c>
      <c r="AX44" s="1118" t="s">
        <v>5416</v>
      </c>
      <c r="AY44" s="1197" t="e">
        <f t="shared" si="53"/>
        <v>#VALUE!</v>
      </c>
      <c r="AZ44" s="1197"/>
      <c r="BA44" s="1197"/>
      <c r="BB44" s="1197"/>
      <c r="BC44" s="1197"/>
      <c r="BD44" s="1197"/>
      <c r="BE44" s="1197"/>
      <c r="BF44" s="1197"/>
      <c r="BG44" s="1197"/>
      <c r="BH44" s="1197"/>
      <c r="BI44" s="1197"/>
      <c r="BJ44" s="1191"/>
      <c r="BK44" s="1191"/>
      <c r="BL44" s="1191"/>
      <c r="BM44" s="1191"/>
      <c r="BV44" s="1547"/>
      <c r="BW44" s="1547"/>
      <c r="BX44" s="1547"/>
      <c r="CB44" s="2195" t="str">
        <f t="shared" si="54"/>
        <v xml:space="preserve">* El total de Reactivos NO DEBE ser superior al total de Procesados. </v>
      </c>
      <c r="CC44" s="2195" t="e">
        <f t="shared" si="55"/>
        <v>#VALUE!</v>
      </c>
      <c r="CD44" s="2195" t="e">
        <f t="shared" si="56"/>
        <v>#VALUE!</v>
      </c>
      <c r="CE44" s="2195" t="str">
        <f t="shared" si="57"/>
        <v xml:space="preserve">* La columna Pueblos Originarios NO DEBE ser superior al total de Procesados. </v>
      </c>
      <c r="CF44" s="2195" t="str">
        <f t="shared" si="58"/>
        <v xml:space="preserve">* La columna Migrantes NO DEBE ser superior al total de Procesados. </v>
      </c>
      <c r="CG44" s="2195" t="str">
        <f t="shared" si="80"/>
        <v>* El total de procesados debe ser mayor o igual al total de Reactivos en el grupo de edad Menor de 6 meses</v>
      </c>
      <c r="CH44" s="2195" t="str">
        <f t="shared" si="81"/>
        <v>* El total de procesados debe ser mayor o igual al total de Reactivos en el grupo de edad 6 a 11 meses</v>
      </c>
      <c r="CI44" s="2195" t="str">
        <f t="shared" si="82"/>
        <v>* El total de procesados debe ser mayor o igual al total de Reactivos en el grupo de edad 12-24 meses</v>
      </c>
      <c r="CJ44" s="2195" t="str">
        <f t="shared" si="83"/>
        <v>* El total de procesados debe ser mayor o igual al total de Reactivos en el grupo de edad 3 a 4 años</v>
      </c>
      <c r="CK44" s="2195" t="str">
        <f t="shared" si="84"/>
        <v>* El total de procesados debe ser mayor o igual al total de Reactivos en el grupo de edad 5 a 9 años</v>
      </c>
      <c r="CL44" s="2195" t="str">
        <f t="shared" si="85"/>
        <v>* El total de procesados debe ser mayor o igual al total de Reactivos en el grupo de edad 10 - 14 años</v>
      </c>
      <c r="CM44" s="2195" t="str">
        <f t="shared" si="86"/>
        <v>* El total de procesados debe ser mayor o igual al total de Reactivos en el grupo de edad 15 - 19 años</v>
      </c>
      <c r="CN44" s="2195" t="str">
        <f t="shared" si="87"/>
        <v>* El total de procesados debe ser mayor o igual al total de Reactivos en el grupo de edad 20 - 24 años</v>
      </c>
      <c r="CO44" s="2195" t="str">
        <f t="shared" si="88"/>
        <v>* El total de procesados debe ser mayor o igual al total de Reactivos en el grupo de edad 25 a 29 años</v>
      </c>
      <c r="CP44" s="2195" t="str">
        <f t="shared" si="89"/>
        <v>* El total de procesados debe ser mayor o igual al total de Reactivos en el grupo de edad 30 a 34 años</v>
      </c>
      <c r="CQ44" s="2195" t="str">
        <f t="shared" si="90"/>
        <v>* El total de procesados debe ser mayor o igual al total de Reactivos en el grupo de edad 35 a 39 años</v>
      </c>
      <c r="CR44" s="2195" t="str">
        <f t="shared" si="91"/>
        <v>* El total de procesados debe ser mayor o igual al total de Reactivos en el grupo de edad 40 a 44 años</v>
      </c>
      <c r="CS44" s="2195" t="str">
        <f t="shared" si="92"/>
        <v>* El total de procesados debe ser mayor o igual al total de Reactivos en el grupo de edad 45 a 49 años</v>
      </c>
      <c r="CT44" s="2195" t="str">
        <f t="shared" si="93"/>
        <v>* El total de procesados debe ser mayor o igual al total de Reactivos en el grupo de edad 50 a 54 años</v>
      </c>
      <c r="CU44" s="2195" t="str">
        <f t="shared" si="94"/>
        <v>* El total de procesados debe ser mayor o igual al total de Reactivos en el grupo de edad 55 a 59 años</v>
      </c>
      <c r="CV44" s="2195" t="str">
        <f t="shared" si="95"/>
        <v>* El total de procesados debe ser mayor o igual al total de Reactivos en el grupo de edad 60 a 64 años</v>
      </c>
      <c r="CW44" s="2195" t="str">
        <f t="shared" si="96"/>
        <v>* El total de procesados debe ser mayor o igual al total de Reactivos en el grupo de edad 65 a 69 años</v>
      </c>
      <c r="CX44" s="2195" t="str">
        <f t="shared" si="97"/>
        <v>* El total de procesados debe ser mayor o igual al total de Reactivos en el grupo de edad 70 a 74 años</v>
      </c>
      <c r="CY44" s="2195" t="str">
        <f t="shared" si="98"/>
        <v>* El total de procesados debe ser mayor o igual al total de Reactivos en el grupo de edad 75 a 79 años</v>
      </c>
      <c r="CZ44" s="2195" t="str">
        <f t="shared" si="99"/>
        <v>* El total de procesados debe ser mayor o igual al total de Reactivos en el grupo de edad 80 y más años</v>
      </c>
      <c r="DA44" s="2195" t="str">
        <f t="shared" si="100"/>
        <v/>
      </c>
      <c r="DB44" s="1446">
        <f t="shared" si="101"/>
        <v>1</v>
      </c>
      <c r="DC44" s="1446" t="e">
        <f t="shared" si="102"/>
        <v>#VALUE!</v>
      </c>
      <c r="DD44" s="1446" t="e">
        <f t="shared" si="103"/>
        <v>#VALUE!</v>
      </c>
      <c r="DE44" s="1446">
        <f t="shared" si="104"/>
        <v>1</v>
      </c>
      <c r="DF44" s="1446">
        <f t="shared" si="105"/>
        <v>1</v>
      </c>
      <c r="DG44" s="1446">
        <f t="shared" si="59"/>
        <v>1</v>
      </c>
      <c r="DH44" s="1446">
        <f t="shared" si="60"/>
        <v>1</v>
      </c>
      <c r="DI44" s="1446">
        <f t="shared" si="61"/>
        <v>1</v>
      </c>
      <c r="DJ44" s="1446">
        <f t="shared" si="62"/>
        <v>1</v>
      </c>
      <c r="DK44" s="1446">
        <f t="shared" si="63"/>
        <v>1</v>
      </c>
      <c r="DL44" s="1446">
        <f t="shared" si="64"/>
        <v>1</v>
      </c>
      <c r="DM44" s="1446">
        <f t="shared" si="65"/>
        <v>1</v>
      </c>
      <c r="DN44" s="1446">
        <f t="shared" si="66"/>
        <v>1</v>
      </c>
      <c r="DO44" s="1446">
        <f t="shared" si="67"/>
        <v>1</v>
      </c>
      <c r="DP44" s="1446">
        <f t="shared" si="68"/>
        <v>1</v>
      </c>
      <c r="DQ44" s="1446">
        <f t="shared" si="69"/>
        <v>1</v>
      </c>
      <c r="DR44" s="1446">
        <f t="shared" si="70"/>
        <v>1</v>
      </c>
      <c r="DS44" s="1446">
        <f t="shared" si="71"/>
        <v>1</v>
      </c>
      <c r="DT44" s="1446">
        <f t="shared" si="72"/>
        <v>1</v>
      </c>
      <c r="DU44" s="1446">
        <f t="shared" si="73"/>
        <v>1</v>
      </c>
      <c r="DV44" s="1446">
        <f t="shared" si="74"/>
        <v>1</v>
      </c>
      <c r="DW44" s="1446">
        <f t="shared" si="75"/>
        <v>1</v>
      </c>
      <c r="DX44" s="1446">
        <f t="shared" si="76"/>
        <v>1</v>
      </c>
      <c r="DY44" s="1446">
        <f t="shared" si="77"/>
        <v>1</v>
      </c>
      <c r="DZ44" s="1446">
        <f t="shared" si="78"/>
        <v>1</v>
      </c>
      <c r="EA44" s="1446">
        <f t="shared" si="79"/>
        <v>0</v>
      </c>
    </row>
    <row r="45" spans="1:131" ht="16.2" customHeight="1" x14ac:dyDescent="0.3">
      <c r="A45" s="7258">
        <v>11054213</v>
      </c>
      <c r="B45" s="2000" t="s">
        <v>1796</v>
      </c>
      <c r="C45" s="1998" t="s">
        <v>5369</v>
      </c>
      <c r="D45" s="2044" t="s">
        <v>5370</v>
      </c>
      <c r="E45" s="1137" t="s">
        <v>5371</v>
      </c>
      <c r="F45" s="1141" t="s">
        <v>5372</v>
      </c>
      <c r="G45" s="1140" t="s">
        <v>5373</v>
      </c>
      <c r="H45" s="1141" t="s">
        <v>5374</v>
      </c>
      <c r="I45" s="1140" t="s">
        <v>5375</v>
      </c>
      <c r="J45" s="1143" t="s">
        <v>5376</v>
      </c>
      <c r="K45" s="1137" t="s">
        <v>5377</v>
      </c>
      <c r="L45" s="1137" t="s">
        <v>5378</v>
      </c>
      <c r="M45" s="1140" t="s">
        <v>5379</v>
      </c>
      <c r="N45" s="1143" t="s">
        <v>5380</v>
      </c>
      <c r="O45" s="1134" t="s">
        <v>5381</v>
      </c>
      <c r="P45" s="1135" t="s">
        <v>5382</v>
      </c>
      <c r="Q45" s="1114" t="s">
        <v>5383</v>
      </c>
      <c r="R45" s="1135" t="s">
        <v>5384</v>
      </c>
      <c r="S45" s="1114" t="s">
        <v>5385</v>
      </c>
      <c r="T45" s="1135" t="s">
        <v>5386</v>
      </c>
      <c r="U45" s="1114" t="s">
        <v>5387</v>
      </c>
      <c r="V45" s="1135" t="s">
        <v>5388</v>
      </c>
      <c r="W45" s="1114" t="s">
        <v>5389</v>
      </c>
      <c r="X45" s="1135" t="s">
        <v>5390</v>
      </c>
      <c r="Y45" s="1114" t="s">
        <v>5391</v>
      </c>
      <c r="Z45" s="1135" t="s">
        <v>5392</v>
      </c>
      <c r="AA45" s="1114" t="s">
        <v>5393</v>
      </c>
      <c r="AB45" s="1135" t="s">
        <v>5394</v>
      </c>
      <c r="AC45" s="1114" t="s">
        <v>5395</v>
      </c>
      <c r="AD45" s="1135" t="s">
        <v>5396</v>
      </c>
      <c r="AE45" s="1114" t="s">
        <v>5397</v>
      </c>
      <c r="AF45" s="1135" t="s">
        <v>5398</v>
      </c>
      <c r="AG45" s="1114" t="s">
        <v>5399</v>
      </c>
      <c r="AH45" s="1135" t="s">
        <v>5400</v>
      </c>
      <c r="AI45" s="1114" t="s">
        <v>5401</v>
      </c>
      <c r="AJ45" s="1135" t="s">
        <v>5402</v>
      </c>
      <c r="AK45" s="1114" t="s">
        <v>5403</v>
      </c>
      <c r="AL45" s="1135" t="s">
        <v>5404</v>
      </c>
      <c r="AM45" s="1114" t="s">
        <v>5405</v>
      </c>
      <c r="AN45" s="1135" t="s">
        <v>5406</v>
      </c>
      <c r="AO45" s="1114" t="s">
        <v>5407</v>
      </c>
      <c r="AP45" s="1135" t="s">
        <v>5408</v>
      </c>
      <c r="AQ45" s="1114" t="s">
        <v>5409</v>
      </c>
      <c r="AR45" s="1136" t="s">
        <v>5410</v>
      </c>
      <c r="AS45" s="1134" t="s">
        <v>5411</v>
      </c>
      <c r="AT45" s="1136" t="s">
        <v>5412</v>
      </c>
      <c r="AU45" s="1134" t="s">
        <v>5413</v>
      </c>
      <c r="AV45" s="1135" t="s">
        <v>5414</v>
      </c>
      <c r="AW45" s="1114" t="s">
        <v>5415</v>
      </c>
      <c r="AX45" s="1118" t="s">
        <v>5416</v>
      </c>
      <c r="AY45" s="1197" t="e">
        <f t="shared" si="53"/>
        <v>#VALUE!</v>
      </c>
      <c r="AZ45" s="1197"/>
      <c r="BA45" s="1197"/>
      <c r="BB45" s="1197"/>
      <c r="BC45" s="1197"/>
      <c r="BD45" s="1197"/>
      <c r="BE45" s="1197"/>
      <c r="BF45" s="1197"/>
      <c r="BG45" s="1197"/>
      <c r="BH45" s="1197"/>
      <c r="BI45" s="1197"/>
      <c r="BJ45" s="1191"/>
      <c r="BK45" s="1191"/>
      <c r="BL45" s="1191"/>
      <c r="BM45" s="1191"/>
      <c r="BV45" s="1547"/>
      <c r="BW45" s="1547"/>
      <c r="BX45" s="1547"/>
      <c r="CB45" s="2195" t="str">
        <f t="shared" si="54"/>
        <v xml:space="preserve">* El total de Reactivos NO DEBE ser superior al total de Procesados. </v>
      </c>
      <c r="CC45" s="2195" t="e">
        <f t="shared" si="55"/>
        <v>#VALUE!</v>
      </c>
      <c r="CD45" s="2195" t="e">
        <f t="shared" si="56"/>
        <v>#VALUE!</v>
      </c>
      <c r="CE45" s="2195" t="str">
        <f t="shared" si="57"/>
        <v xml:space="preserve">* La columna Pueblos Originarios NO DEBE ser superior al total de Procesados. </v>
      </c>
      <c r="CF45" s="2195" t="str">
        <f t="shared" si="58"/>
        <v xml:space="preserve">* La columna Migrantes NO DEBE ser superior al total de Procesados. </v>
      </c>
      <c r="CG45" s="2195" t="str">
        <f t="shared" si="80"/>
        <v>* El total de procesados debe ser mayor o igual al total de Reactivos en el grupo de edad Menor de 6 meses</v>
      </c>
      <c r="CH45" s="2195" t="str">
        <f t="shared" si="81"/>
        <v>* El total de procesados debe ser mayor o igual al total de Reactivos en el grupo de edad 6 a 11 meses</v>
      </c>
      <c r="CI45" s="2195" t="str">
        <f t="shared" si="82"/>
        <v>* El total de procesados debe ser mayor o igual al total de Reactivos en el grupo de edad 12-24 meses</v>
      </c>
      <c r="CJ45" s="2195" t="str">
        <f t="shared" si="83"/>
        <v>* El total de procesados debe ser mayor o igual al total de Reactivos en el grupo de edad 3 a 4 años</v>
      </c>
      <c r="CK45" s="2195" t="str">
        <f t="shared" si="84"/>
        <v>* El total de procesados debe ser mayor o igual al total de Reactivos en el grupo de edad 5 a 9 años</v>
      </c>
      <c r="CL45" s="2195" t="str">
        <f t="shared" si="85"/>
        <v>* El total de procesados debe ser mayor o igual al total de Reactivos en el grupo de edad 10 - 14 años</v>
      </c>
      <c r="CM45" s="2195" t="str">
        <f t="shared" si="86"/>
        <v>* El total de procesados debe ser mayor o igual al total de Reactivos en el grupo de edad 15 - 19 años</v>
      </c>
      <c r="CN45" s="2195" t="str">
        <f t="shared" si="87"/>
        <v>* El total de procesados debe ser mayor o igual al total de Reactivos en el grupo de edad 20 - 24 años</v>
      </c>
      <c r="CO45" s="2195" t="str">
        <f t="shared" si="88"/>
        <v>* El total de procesados debe ser mayor o igual al total de Reactivos en el grupo de edad 25 a 29 años</v>
      </c>
      <c r="CP45" s="2195" t="str">
        <f t="shared" si="89"/>
        <v>* El total de procesados debe ser mayor o igual al total de Reactivos en el grupo de edad 30 a 34 años</v>
      </c>
      <c r="CQ45" s="2195" t="str">
        <f t="shared" si="90"/>
        <v>* El total de procesados debe ser mayor o igual al total de Reactivos en el grupo de edad 35 a 39 años</v>
      </c>
      <c r="CR45" s="2195" t="str">
        <f t="shared" si="91"/>
        <v>* El total de procesados debe ser mayor o igual al total de Reactivos en el grupo de edad 40 a 44 años</v>
      </c>
      <c r="CS45" s="2195" t="str">
        <f t="shared" si="92"/>
        <v>* El total de procesados debe ser mayor o igual al total de Reactivos en el grupo de edad 45 a 49 años</v>
      </c>
      <c r="CT45" s="2195" t="str">
        <f t="shared" si="93"/>
        <v>* El total de procesados debe ser mayor o igual al total de Reactivos en el grupo de edad 50 a 54 años</v>
      </c>
      <c r="CU45" s="2195" t="str">
        <f t="shared" si="94"/>
        <v>* El total de procesados debe ser mayor o igual al total de Reactivos en el grupo de edad 55 a 59 años</v>
      </c>
      <c r="CV45" s="2195" t="str">
        <f t="shared" si="95"/>
        <v>* El total de procesados debe ser mayor o igual al total de Reactivos en el grupo de edad 60 a 64 años</v>
      </c>
      <c r="CW45" s="2195" t="str">
        <f t="shared" si="96"/>
        <v>* El total de procesados debe ser mayor o igual al total de Reactivos en el grupo de edad 65 a 69 años</v>
      </c>
      <c r="CX45" s="2195" t="str">
        <f t="shared" si="97"/>
        <v>* El total de procesados debe ser mayor o igual al total de Reactivos en el grupo de edad 70 a 74 años</v>
      </c>
      <c r="CY45" s="2195" t="str">
        <f t="shared" si="98"/>
        <v>* El total de procesados debe ser mayor o igual al total de Reactivos en el grupo de edad 75 a 79 años</v>
      </c>
      <c r="CZ45" s="2195" t="str">
        <f t="shared" si="99"/>
        <v>* El total de procesados debe ser mayor o igual al total de Reactivos en el grupo de edad 80 y más años</v>
      </c>
      <c r="DA45" s="2195" t="str">
        <f t="shared" si="100"/>
        <v/>
      </c>
      <c r="DB45" s="1446">
        <f t="shared" si="101"/>
        <v>1</v>
      </c>
      <c r="DC45" s="1446" t="e">
        <f t="shared" si="102"/>
        <v>#VALUE!</v>
      </c>
      <c r="DD45" s="1446" t="e">
        <f t="shared" si="103"/>
        <v>#VALUE!</v>
      </c>
      <c r="DE45" s="1446">
        <f t="shared" si="104"/>
        <v>1</v>
      </c>
      <c r="DF45" s="1446">
        <f t="shared" si="105"/>
        <v>1</v>
      </c>
      <c r="DG45" s="1446">
        <f t="shared" si="59"/>
        <v>1</v>
      </c>
      <c r="DH45" s="1446">
        <f t="shared" si="60"/>
        <v>1</v>
      </c>
      <c r="DI45" s="1446">
        <f t="shared" si="61"/>
        <v>1</v>
      </c>
      <c r="DJ45" s="1446">
        <f t="shared" si="62"/>
        <v>1</v>
      </c>
      <c r="DK45" s="1446">
        <f t="shared" si="63"/>
        <v>1</v>
      </c>
      <c r="DL45" s="1446">
        <f t="shared" si="64"/>
        <v>1</v>
      </c>
      <c r="DM45" s="1446">
        <f t="shared" si="65"/>
        <v>1</v>
      </c>
      <c r="DN45" s="1446">
        <f t="shared" si="66"/>
        <v>1</v>
      </c>
      <c r="DO45" s="1446">
        <f t="shared" si="67"/>
        <v>1</v>
      </c>
      <c r="DP45" s="1446">
        <f t="shared" si="68"/>
        <v>1</v>
      </c>
      <c r="DQ45" s="1446">
        <f t="shared" si="69"/>
        <v>1</v>
      </c>
      <c r="DR45" s="1446">
        <f t="shared" si="70"/>
        <v>1</v>
      </c>
      <c r="DS45" s="1446">
        <f t="shared" si="71"/>
        <v>1</v>
      </c>
      <c r="DT45" s="1446">
        <f t="shared" si="72"/>
        <v>1</v>
      </c>
      <c r="DU45" s="1446">
        <f t="shared" si="73"/>
        <v>1</v>
      </c>
      <c r="DV45" s="1446">
        <f t="shared" si="74"/>
        <v>1</v>
      </c>
      <c r="DW45" s="1446">
        <f t="shared" si="75"/>
        <v>1</v>
      </c>
      <c r="DX45" s="1446">
        <f t="shared" si="76"/>
        <v>1</v>
      </c>
      <c r="DY45" s="1446">
        <f t="shared" si="77"/>
        <v>1</v>
      </c>
      <c r="DZ45" s="1446">
        <f t="shared" si="78"/>
        <v>1</v>
      </c>
      <c r="EA45" s="1446">
        <f t="shared" si="79"/>
        <v>0</v>
      </c>
    </row>
    <row r="46" spans="1:131" ht="16.2" customHeight="1" x14ac:dyDescent="0.3">
      <c r="A46" s="7258">
        <v>11054214</v>
      </c>
      <c r="B46" s="2000" t="s">
        <v>1797</v>
      </c>
      <c r="C46" s="1998" t="s">
        <v>5369</v>
      </c>
      <c r="D46" s="2044" t="s">
        <v>5370</v>
      </c>
      <c r="E46" s="1134" t="s">
        <v>5371</v>
      </c>
      <c r="F46" s="1135" t="s">
        <v>5372</v>
      </c>
      <c r="G46" s="1114" t="s">
        <v>5373</v>
      </c>
      <c r="H46" s="1135" t="s">
        <v>5374</v>
      </c>
      <c r="I46" s="1114" t="s">
        <v>5375</v>
      </c>
      <c r="J46" s="1118" t="s">
        <v>5376</v>
      </c>
      <c r="K46" s="1134" t="s">
        <v>5377</v>
      </c>
      <c r="L46" s="1134" t="s">
        <v>5378</v>
      </c>
      <c r="M46" s="1114" t="s">
        <v>5379</v>
      </c>
      <c r="N46" s="1118" t="s">
        <v>5380</v>
      </c>
      <c r="O46" s="1134" t="s">
        <v>5381</v>
      </c>
      <c r="P46" s="1135" t="s">
        <v>5382</v>
      </c>
      <c r="Q46" s="1114" t="s">
        <v>5383</v>
      </c>
      <c r="R46" s="1135" t="s">
        <v>5384</v>
      </c>
      <c r="S46" s="1114" t="s">
        <v>5385</v>
      </c>
      <c r="T46" s="1135" t="s">
        <v>5386</v>
      </c>
      <c r="U46" s="1114" t="s">
        <v>5387</v>
      </c>
      <c r="V46" s="1135" t="s">
        <v>5388</v>
      </c>
      <c r="W46" s="1114" t="s">
        <v>5389</v>
      </c>
      <c r="X46" s="1135" t="s">
        <v>5390</v>
      </c>
      <c r="Y46" s="1114" t="s">
        <v>5391</v>
      </c>
      <c r="Z46" s="1135" t="s">
        <v>5392</v>
      </c>
      <c r="AA46" s="1114" t="s">
        <v>5393</v>
      </c>
      <c r="AB46" s="1135" t="s">
        <v>5394</v>
      </c>
      <c r="AC46" s="1114" t="s">
        <v>5395</v>
      </c>
      <c r="AD46" s="1135" t="s">
        <v>5396</v>
      </c>
      <c r="AE46" s="1114" t="s">
        <v>5397</v>
      </c>
      <c r="AF46" s="1135" t="s">
        <v>5398</v>
      </c>
      <c r="AG46" s="1114" t="s">
        <v>5399</v>
      </c>
      <c r="AH46" s="1135" t="s">
        <v>5400</v>
      </c>
      <c r="AI46" s="1114" t="s">
        <v>5401</v>
      </c>
      <c r="AJ46" s="1135" t="s">
        <v>5402</v>
      </c>
      <c r="AK46" s="1114" t="s">
        <v>5403</v>
      </c>
      <c r="AL46" s="1135" t="s">
        <v>5404</v>
      </c>
      <c r="AM46" s="1114" t="s">
        <v>5405</v>
      </c>
      <c r="AN46" s="1135" t="s">
        <v>5406</v>
      </c>
      <c r="AO46" s="1114" t="s">
        <v>5407</v>
      </c>
      <c r="AP46" s="1135" t="s">
        <v>5408</v>
      </c>
      <c r="AQ46" s="1114" t="s">
        <v>5409</v>
      </c>
      <c r="AR46" s="1136" t="s">
        <v>5410</v>
      </c>
      <c r="AS46" s="1134" t="s">
        <v>5411</v>
      </c>
      <c r="AT46" s="1136" t="s">
        <v>5412</v>
      </c>
      <c r="AU46" s="1134" t="s">
        <v>5413</v>
      </c>
      <c r="AV46" s="1135" t="s">
        <v>5414</v>
      </c>
      <c r="AW46" s="1114" t="s">
        <v>5415</v>
      </c>
      <c r="AX46" s="1118" t="s">
        <v>5416</v>
      </c>
      <c r="AY46" s="1197" t="e">
        <f t="shared" si="53"/>
        <v>#VALUE!</v>
      </c>
      <c r="AZ46" s="1197"/>
      <c r="BA46" s="1197"/>
      <c r="BB46" s="1197"/>
      <c r="BC46" s="1197"/>
      <c r="BD46" s="1197"/>
      <c r="BE46" s="1197"/>
      <c r="BF46" s="1197"/>
      <c r="BG46" s="1197"/>
      <c r="BH46" s="1197"/>
      <c r="BI46" s="1197"/>
      <c r="BJ46" s="1191"/>
      <c r="BK46" s="1191"/>
      <c r="BL46" s="1191"/>
      <c r="BM46" s="1191"/>
      <c r="BV46" s="1547"/>
      <c r="BW46" s="1547"/>
      <c r="BX46" s="1547"/>
      <c r="CB46" s="2195" t="str">
        <f t="shared" si="54"/>
        <v xml:space="preserve">* El total de Reactivos NO DEBE ser superior al total de Procesados. </v>
      </c>
      <c r="CC46" s="2195" t="e">
        <f t="shared" si="55"/>
        <v>#VALUE!</v>
      </c>
      <c r="CD46" s="2195" t="e">
        <f t="shared" si="56"/>
        <v>#VALUE!</v>
      </c>
      <c r="CE46" s="2195" t="str">
        <f t="shared" si="57"/>
        <v xml:space="preserve">* La columna Pueblos Originarios NO DEBE ser superior al total de Procesados. </v>
      </c>
      <c r="CF46" s="2195" t="str">
        <f t="shared" si="58"/>
        <v xml:space="preserve">* La columna Migrantes NO DEBE ser superior al total de Procesados. </v>
      </c>
      <c r="CG46" s="2195" t="str">
        <f t="shared" si="80"/>
        <v>* El total de procesados debe ser mayor o igual al total de Reactivos en el grupo de edad Menor de 6 meses</v>
      </c>
      <c r="CH46" s="2195" t="str">
        <f t="shared" si="81"/>
        <v>* El total de procesados debe ser mayor o igual al total de Reactivos en el grupo de edad 6 a 11 meses</v>
      </c>
      <c r="CI46" s="2195" t="str">
        <f t="shared" si="82"/>
        <v>* El total de procesados debe ser mayor o igual al total de Reactivos en el grupo de edad 12-24 meses</v>
      </c>
      <c r="CJ46" s="2195" t="str">
        <f t="shared" si="83"/>
        <v>* El total de procesados debe ser mayor o igual al total de Reactivos en el grupo de edad 3 a 4 años</v>
      </c>
      <c r="CK46" s="2195" t="str">
        <f t="shared" si="84"/>
        <v>* El total de procesados debe ser mayor o igual al total de Reactivos en el grupo de edad 5 a 9 años</v>
      </c>
      <c r="CL46" s="2195" t="str">
        <f t="shared" si="85"/>
        <v>* El total de procesados debe ser mayor o igual al total de Reactivos en el grupo de edad 10 - 14 años</v>
      </c>
      <c r="CM46" s="2195" t="str">
        <f t="shared" si="86"/>
        <v>* El total de procesados debe ser mayor o igual al total de Reactivos en el grupo de edad 15 - 19 años</v>
      </c>
      <c r="CN46" s="2195" t="str">
        <f t="shared" si="87"/>
        <v>* El total de procesados debe ser mayor o igual al total de Reactivos en el grupo de edad 20 - 24 años</v>
      </c>
      <c r="CO46" s="2195" t="str">
        <f t="shared" si="88"/>
        <v>* El total de procesados debe ser mayor o igual al total de Reactivos en el grupo de edad 25 a 29 años</v>
      </c>
      <c r="CP46" s="2195" t="str">
        <f t="shared" si="89"/>
        <v>* El total de procesados debe ser mayor o igual al total de Reactivos en el grupo de edad 30 a 34 años</v>
      </c>
      <c r="CQ46" s="2195" t="str">
        <f t="shared" si="90"/>
        <v>* El total de procesados debe ser mayor o igual al total de Reactivos en el grupo de edad 35 a 39 años</v>
      </c>
      <c r="CR46" s="2195" t="str">
        <f t="shared" si="91"/>
        <v>* El total de procesados debe ser mayor o igual al total de Reactivos en el grupo de edad 40 a 44 años</v>
      </c>
      <c r="CS46" s="2195" t="str">
        <f t="shared" si="92"/>
        <v>* El total de procesados debe ser mayor o igual al total de Reactivos en el grupo de edad 45 a 49 años</v>
      </c>
      <c r="CT46" s="2195" t="str">
        <f t="shared" si="93"/>
        <v>* El total de procesados debe ser mayor o igual al total de Reactivos en el grupo de edad 50 a 54 años</v>
      </c>
      <c r="CU46" s="2195" t="str">
        <f t="shared" si="94"/>
        <v>* El total de procesados debe ser mayor o igual al total de Reactivos en el grupo de edad 55 a 59 años</v>
      </c>
      <c r="CV46" s="2195" t="str">
        <f t="shared" si="95"/>
        <v>* El total de procesados debe ser mayor o igual al total de Reactivos en el grupo de edad 60 a 64 años</v>
      </c>
      <c r="CW46" s="2195" t="str">
        <f t="shared" si="96"/>
        <v>* El total de procesados debe ser mayor o igual al total de Reactivos en el grupo de edad 65 a 69 años</v>
      </c>
      <c r="CX46" s="2195" t="str">
        <f t="shared" si="97"/>
        <v>* El total de procesados debe ser mayor o igual al total de Reactivos en el grupo de edad 70 a 74 años</v>
      </c>
      <c r="CY46" s="2195" t="str">
        <f t="shared" si="98"/>
        <v>* El total de procesados debe ser mayor o igual al total de Reactivos en el grupo de edad 75 a 79 años</v>
      </c>
      <c r="CZ46" s="2195" t="str">
        <f t="shared" si="99"/>
        <v>* El total de procesados debe ser mayor o igual al total de Reactivos en el grupo de edad 80 y más años</v>
      </c>
      <c r="DA46" s="2195" t="str">
        <f t="shared" si="100"/>
        <v/>
      </c>
      <c r="DB46" s="1446">
        <f t="shared" si="101"/>
        <v>1</v>
      </c>
      <c r="DC46" s="1446" t="e">
        <f t="shared" si="102"/>
        <v>#VALUE!</v>
      </c>
      <c r="DD46" s="1446" t="e">
        <f t="shared" si="103"/>
        <v>#VALUE!</v>
      </c>
      <c r="DE46" s="1446">
        <f t="shared" si="104"/>
        <v>1</v>
      </c>
      <c r="DF46" s="1446">
        <f t="shared" si="105"/>
        <v>1</v>
      </c>
      <c r="DG46" s="1446">
        <f t="shared" si="59"/>
        <v>1</v>
      </c>
      <c r="DH46" s="1446">
        <f t="shared" si="60"/>
        <v>1</v>
      </c>
      <c r="DI46" s="1446">
        <f t="shared" si="61"/>
        <v>1</v>
      </c>
      <c r="DJ46" s="1446">
        <f t="shared" si="62"/>
        <v>1</v>
      </c>
      <c r="DK46" s="1446">
        <f t="shared" si="63"/>
        <v>1</v>
      </c>
      <c r="DL46" s="1446">
        <f t="shared" si="64"/>
        <v>1</v>
      </c>
      <c r="DM46" s="1446">
        <f t="shared" si="65"/>
        <v>1</v>
      </c>
      <c r="DN46" s="1446">
        <f t="shared" si="66"/>
        <v>1</v>
      </c>
      <c r="DO46" s="1446">
        <f t="shared" si="67"/>
        <v>1</v>
      </c>
      <c r="DP46" s="1446">
        <f t="shared" si="68"/>
        <v>1</v>
      </c>
      <c r="DQ46" s="1446">
        <f t="shared" si="69"/>
        <v>1</v>
      </c>
      <c r="DR46" s="1446">
        <f t="shared" si="70"/>
        <v>1</v>
      </c>
      <c r="DS46" s="1446">
        <f t="shared" si="71"/>
        <v>1</v>
      </c>
      <c r="DT46" s="1446">
        <f t="shared" si="72"/>
        <v>1</v>
      </c>
      <c r="DU46" s="1446">
        <f t="shared" si="73"/>
        <v>1</v>
      </c>
      <c r="DV46" s="1446">
        <f t="shared" si="74"/>
        <v>1</v>
      </c>
      <c r="DW46" s="1446">
        <f t="shared" si="75"/>
        <v>1</v>
      </c>
      <c r="DX46" s="1446">
        <f t="shared" si="76"/>
        <v>1</v>
      </c>
      <c r="DY46" s="1446">
        <f t="shared" si="77"/>
        <v>1</v>
      </c>
      <c r="DZ46" s="1446">
        <f t="shared" si="78"/>
        <v>1</v>
      </c>
      <c r="EA46" s="1446">
        <f t="shared" si="79"/>
        <v>0</v>
      </c>
    </row>
    <row r="47" spans="1:131" ht="16.2" customHeight="1" x14ac:dyDescent="0.3">
      <c r="A47" s="7258">
        <v>11054215</v>
      </c>
      <c r="B47" s="2032" t="s">
        <v>2184</v>
      </c>
      <c r="C47" s="1998" t="s">
        <v>5369</v>
      </c>
      <c r="D47" s="2044" t="s">
        <v>5370</v>
      </c>
      <c r="E47" s="1130" t="s">
        <v>5371</v>
      </c>
      <c r="F47" s="1131" t="s">
        <v>5372</v>
      </c>
      <c r="G47" s="1132" t="s">
        <v>5373</v>
      </c>
      <c r="H47" s="1131" t="s">
        <v>5374</v>
      </c>
      <c r="I47" s="1132" t="s">
        <v>5375</v>
      </c>
      <c r="J47" s="1131" t="s">
        <v>5376</v>
      </c>
      <c r="K47" s="1132" t="s">
        <v>5377</v>
      </c>
      <c r="L47" s="1131" t="s">
        <v>5378</v>
      </c>
      <c r="M47" s="1132" t="s">
        <v>5379</v>
      </c>
      <c r="N47" s="1133" t="s">
        <v>5380</v>
      </c>
      <c r="O47" s="1130" t="s">
        <v>5381</v>
      </c>
      <c r="P47" s="1131" t="s">
        <v>5382</v>
      </c>
      <c r="Q47" s="1114" t="s">
        <v>5383</v>
      </c>
      <c r="R47" s="1135" t="s">
        <v>5384</v>
      </c>
      <c r="S47" s="1114" t="s">
        <v>5385</v>
      </c>
      <c r="T47" s="1135" t="s">
        <v>5386</v>
      </c>
      <c r="U47" s="1114" t="s">
        <v>5387</v>
      </c>
      <c r="V47" s="1135" t="s">
        <v>5388</v>
      </c>
      <c r="W47" s="1114" t="s">
        <v>5389</v>
      </c>
      <c r="X47" s="1135" t="s">
        <v>5390</v>
      </c>
      <c r="Y47" s="1114" t="s">
        <v>5391</v>
      </c>
      <c r="Z47" s="1135" t="s">
        <v>5392</v>
      </c>
      <c r="AA47" s="1114" t="s">
        <v>5393</v>
      </c>
      <c r="AB47" s="1135" t="s">
        <v>5394</v>
      </c>
      <c r="AC47" s="1114" t="s">
        <v>5395</v>
      </c>
      <c r="AD47" s="1135" t="s">
        <v>5396</v>
      </c>
      <c r="AE47" s="1114" t="s">
        <v>5397</v>
      </c>
      <c r="AF47" s="1135" t="s">
        <v>5398</v>
      </c>
      <c r="AG47" s="1114" t="s">
        <v>5399</v>
      </c>
      <c r="AH47" s="1135" t="s">
        <v>5400</v>
      </c>
      <c r="AI47" s="1114" t="s">
        <v>5401</v>
      </c>
      <c r="AJ47" s="1135" t="s">
        <v>5402</v>
      </c>
      <c r="AK47" s="1114" t="s">
        <v>5403</v>
      </c>
      <c r="AL47" s="1135" t="s">
        <v>5404</v>
      </c>
      <c r="AM47" s="1114" t="s">
        <v>5405</v>
      </c>
      <c r="AN47" s="1135" t="s">
        <v>5406</v>
      </c>
      <c r="AO47" s="1114" t="s">
        <v>5407</v>
      </c>
      <c r="AP47" s="1135" t="s">
        <v>5408</v>
      </c>
      <c r="AQ47" s="1114" t="s">
        <v>5409</v>
      </c>
      <c r="AR47" s="1136" t="s">
        <v>5410</v>
      </c>
      <c r="AS47" s="1134" t="s">
        <v>5411</v>
      </c>
      <c r="AT47" s="1136" t="s">
        <v>5412</v>
      </c>
      <c r="AU47" s="1134" t="s">
        <v>5413</v>
      </c>
      <c r="AV47" s="1135" t="s">
        <v>5414</v>
      </c>
      <c r="AW47" s="1114" t="s">
        <v>5415</v>
      </c>
      <c r="AX47" s="1118" t="s">
        <v>5416</v>
      </c>
      <c r="AY47" s="1197" t="e">
        <f t="shared" si="53"/>
        <v>#VALUE!</v>
      </c>
      <c r="AZ47" s="1197"/>
      <c r="BA47" s="1197"/>
      <c r="BB47" s="1197"/>
      <c r="BC47" s="1197"/>
      <c r="BD47" s="1197"/>
      <c r="BE47" s="1197"/>
      <c r="BF47" s="1197"/>
      <c r="BG47" s="1197"/>
      <c r="BH47" s="1197"/>
      <c r="BI47" s="1197"/>
      <c r="BJ47" s="1191"/>
      <c r="BK47" s="1191"/>
      <c r="BL47" s="1191"/>
      <c r="BM47" s="1191"/>
      <c r="BV47" s="1547"/>
      <c r="BW47" s="1547"/>
      <c r="BX47" s="1547"/>
      <c r="CB47" s="2195" t="str">
        <f t="shared" si="54"/>
        <v xml:space="preserve">* El total de Reactivos NO DEBE ser superior al total de Procesados. </v>
      </c>
      <c r="CC47" s="2195" t="e">
        <f t="shared" si="55"/>
        <v>#VALUE!</v>
      </c>
      <c r="CD47" s="2195" t="e">
        <f t="shared" si="56"/>
        <v>#VALUE!</v>
      </c>
      <c r="CE47" s="2195" t="str">
        <f t="shared" si="57"/>
        <v xml:space="preserve">* La columna Pueblos Originarios NO DEBE ser superior al total de Procesados. </v>
      </c>
      <c r="CF47" s="2195" t="str">
        <f t="shared" si="58"/>
        <v xml:space="preserve">* La columna Migrantes NO DEBE ser superior al total de Procesados. </v>
      </c>
      <c r="CG47" s="2195" t="str">
        <f t="shared" si="80"/>
        <v>* El total de procesados debe ser mayor o igual al total de Reactivos en el grupo de edad Menor de 6 meses</v>
      </c>
      <c r="CH47" s="2195" t="str">
        <f t="shared" si="81"/>
        <v>* El total de procesados debe ser mayor o igual al total de Reactivos en el grupo de edad 6 a 11 meses</v>
      </c>
      <c r="CI47" s="2195" t="str">
        <f t="shared" si="82"/>
        <v>* El total de procesados debe ser mayor o igual al total de Reactivos en el grupo de edad 12-24 meses</v>
      </c>
      <c r="CJ47" s="2195" t="str">
        <f t="shared" si="83"/>
        <v>* El total de procesados debe ser mayor o igual al total de Reactivos en el grupo de edad 3 a 4 años</v>
      </c>
      <c r="CK47" s="2195" t="str">
        <f t="shared" si="84"/>
        <v>* El total de procesados debe ser mayor o igual al total de Reactivos en el grupo de edad 5 a 9 años</v>
      </c>
      <c r="CL47" s="2195" t="str">
        <f t="shared" si="85"/>
        <v>* El total de procesados debe ser mayor o igual al total de Reactivos en el grupo de edad 10 - 14 años</v>
      </c>
      <c r="CM47" s="2195" t="str">
        <f t="shared" si="86"/>
        <v>* El total de procesados debe ser mayor o igual al total de Reactivos en el grupo de edad 15 - 19 años</v>
      </c>
      <c r="CN47" s="2195" t="str">
        <f t="shared" si="87"/>
        <v>* El total de procesados debe ser mayor o igual al total de Reactivos en el grupo de edad 20 - 24 años</v>
      </c>
      <c r="CO47" s="2195" t="str">
        <f t="shared" si="88"/>
        <v>* El total de procesados debe ser mayor o igual al total de Reactivos en el grupo de edad 25 a 29 años</v>
      </c>
      <c r="CP47" s="2195" t="str">
        <f t="shared" si="89"/>
        <v>* El total de procesados debe ser mayor o igual al total de Reactivos en el grupo de edad 30 a 34 años</v>
      </c>
      <c r="CQ47" s="2195" t="str">
        <f t="shared" si="90"/>
        <v>* El total de procesados debe ser mayor o igual al total de Reactivos en el grupo de edad 35 a 39 años</v>
      </c>
      <c r="CR47" s="2195" t="str">
        <f t="shared" si="91"/>
        <v>* El total de procesados debe ser mayor o igual al total de Reactivos en el grupo de edad 40 a 44 años</v>
      </c>
      <c r="CS47" s="2195" t="str">
        <f t="shared" si="92"/>
        <v>* El total de procesados debe ser mayor o igual al total de Reactivos en el grupo de edad 45 a 49 años</v>
      </c>
      <c r="CT47" s="2195" t="str">
        <f t="shared" si="93"/>
        <v>* El total de procesados debe ser mayor o igual al total de Reactivos en el grupo de edad 50 a 54 años</v>
      </c>
      <c r="CU47" s="2195" t="str">
        <f t="shared" si="94"/>
        <v>* El total de procesados debe ser mayor o igual al total de Reactivos en el grupo de edad 55 a 59 años</v>
      </c>
      <c r="CV47" s="2195" t="str">
        <f t="shared" si="95"/>
        <v>* El total de procesados debe ser mayor o igual al total de Reactivos en el grupo de edad 60 a 64 años</v>
      </c>
      <c r="CW47" s="2195" t="str">
        <f t="shared" si="96"/>
        <v>* El total de procesados debe ser mayor o igual al total de Reactivos en el grupo de edad 65 a 69 años</v>
      </c>
      <c r="CX47" s="2195" t="str">
        <f t="shared" si="97"/>
        <v>* El total de procesados debe ser mayor o igual al total de Reactivos en el grupo de edad 70 a 74 años</v>
      </c>
      <c r="CY47" s="2195" t="str">
        <f t="shared" si="98"/>
        <v>* El total de procesados debe ser mayor o igual al total de Reactivos en el grupo de edad 75 a 79 años</v>
      </c>
      <c r="CZ47" s="2195" t="str">
        <f t="shared" si="99"/>
        <v>* El total de procesados debe ser mayor o igual al total de Reactivos en el grupo de edad 80 y más años</v>
      </c>
      <c r="DA47" s="2195" t="str">
        <f t="shared" si="100"/>
        <v/>
      </c>
      <c r="DB47" s="1446">
        <f t="shared" si="101"/>
        <v>1</v>
      </c>
      <c r="DC47" s="1446" t="e">
        <f t="shared" si="102"/>
        <v>#VALUE!</v>
      </c>
      <c r="DD47" s="1446" t="e">
        <f t="shared" si="103"/>
        <v>#VALUE!</v>
      </c>
      <c r="DE47" s="1446">
        <f t="shared" si="104"/>
        <v>1</v>
      </c>
      <c r="DF47" s="1446">
        <f t="shared" si="105"/>
        <v>1</v>
      </c>
      <c r="DG47" s="1446">
        <f t="shared" si="59"/>
        <v>1</v>
      </c>
      <c r="DH47" s="1446">
        <f t="shared" si="60"/>
        <v>1</v>
      </c>
      <c r="DI47" s="1446">
        <f t="shared" si="61"/>
        <v>1</v>
      </c>
      <c r="DJ47" s="1446">
        <f t="shared" si="62"/>
        <v>1</v>
      </c>
      <c r="DK47" s="1446">
        <f t="shared" si="63"/>
        <v>1</v>
      </c>
      <c r="DL47" s="1446">
        <f t="shared" si="64"/>
        <v>1</v>
      </c>
      <c r="DM47" s="1446">
        <f t="shared" si="65"/>
        <v>1</v>
      </c>
      <c r="DN47" s="1446">
        <f t="shared" si="66"/>
        <v>1</v>
      </c>
      <c r="DO47" s="1446">
        <f t="shared" si="67"/>
        <v>1</v>
      </c>
      <c r="DP47" s="1446">
        <f t="shared" si="68"/>
        <v>1</v>
      </c>
      <c r="DQ47" s="1446">
        <f t="shared" si="69"/>
        <v>1</v>
      </c>
      <c r="DR47" s="1446">
        <f t="shared" si="70"/>
        <v>1</v>
      </c>
      <c r="DS47" s="1446">
        <f t="shared" si="71"/>
        <v>1</v>
      </c>
      <c r="DT47" s="1446">
        <f t="shared" si="72"/>
        <v>1</v>
      </c>
      <c r="DU47" s="1446">
        <f t="shared" si="73"/>
        <v>1</v>
      </c>
      <c r="DV47" s="1446">
        <f t="shared" si="74"/>
        <v>1</v>
      </c>
      <c r="DW47" s="1446">
        <f t="shared" si="75"/>
        <v>1</v>
      </c>
      <c r="DX47" s="1446">
        <f t="shared" si="76"/>
        <v>1</v>
      </c>
      <c r="DY47" s="1446">
        <f t="shared" si="77"/>
        <v>1</v>
      </c>
      <c r="DZ47" s="1446">
        <f t="shared" si="78"/>
        <v>1</v>
      </c>
      <c r="EA47" s="1446">
        <f t="shared" si="79"/>
        <v>0</v>
      </c>
    </row>
    <row r="48" spans="1:131" ht="16.2" customHeight="1" x14ac:dyDescent="0.3">
      <c r="A48" s="7258">
        <v>11054216</v>
      </c>
      <c r="B48" s="2000" t="s">
        <v>1798</v>
      </c>
      <c r="C48" s="1998" t="s">
        <v>5369</v>
      </c>
      <c r="D48" s="2044" t="s">
        <v>5370</v>
      </c>
      <c r="E48" s="1130" t="s">
        <v>5371</v>
      </c>
      <c r="F48" s="1131" t="s">
        <v>5372</v>
      </c>
      <c r="G48" s="1132" t="s">
        <v>5373</v>
      </c>
      <c r="H48" s="1131" t="s">
        <v>5374</v>
      </c>
      <c r="I48" s="1132" t="s">
        <v>5375</v>
      </c>
      <c r="J48" s="1131" t="s">
        <v>5376</v>
      </c>
      <c r="K48" s="1132" t="s">
        <v>5377</v>
      </c>
      <c r="L48" s="1131" t="s">
        <v>5378</v>
      </c>
      <c r="M48" s="1132" t="s">
        <v>5379</v>
      </c>
      <c r="N48" s="1133" t="s">
        <v>5380</v>
      </c>
      <c r="O48" s="1130" t="s">
        <v>5381</v>
      </c>
      <c r="P48" s="1131" t="s">
        <v>5382</v>
      </c>
      <c r="Q48" s="1114" t="s">
        <v>5383</v>
      </c>
      <c r="R48" s="1135" t="s">
        <v>5384</v>
      </c>
      <c r="S48" s="1114" t="s">
        <v>5385</v>
      </c>
      <c r="T48" s="1135" t="s">
        <v>5386</v>
      </c>
      <c r="U48" s="1114" t="s">
        <v>5387</v>
      </c>
      <c r="V48" s="1135" t="s">
        <v>5388</v>
      </c>
      <c r="W48" s="1114" t="s">
        <v>5389</v>
      </c>
      <c r="X48" s="1135" t="s">
        <v>5390</v>
      </c>
      <c r="Y48" s="1114" t="s">
        <v>5391</v>
      </c>
      <c r="Z48" s="1135" t="s">
        <v>5392</v>
      </c>
      <c r="AA48" s="1114" t="s">
        <v>5393</v>
      </c>
      <c r="AB48" s="1135" t="s">
        <v>5394</v>
      </c>
      <c r="AC48" s="1114" t="s">
        <v>5395</v>
      </c>
      <c r="AD48" s="1135" t="s">
        <v>5396</v>
      </c>
      <c r="AE48" s="1114" t="s">
        <v>5397</v>
      </c>
      <c r="AF48" s="1135" t="s">
        <v>5398</v>
      </c>
      <c r="AG48" s="1114" t="s">
        <v>5399</v>
      </c>
      <c r="AH48" s="1135" t="s">
        <v>5400</v>
      </c>
      <c r="AI48" s="1114" t="s">
        <v>5401</v>
      </c>
      <c r="AJ48" s="1135" t="s">
        <v>5402</v>
      </c>
      <c r="AK48" s="1132" t="s">
        <v>5403</v>
      </c>
      <c r="AL48" s="1131" t="s">
        <v>5404</v>
      </c>
      <c r="AM48" s="1132" t="s">
        <v>5405</v>
      </c>
      <c r="AN48" s="1131" t="s">
        <v>5406</v>
      </c>
      <c r="AO48" s="1132" t="s">
        <v>5407</v>
      </c>
      <c r="AP48" s="1131" t="s">
        <v>5408</v>
      </c>
      <c r="AQ48" s="1132" t="s">
        <v>5409</v>
      </c>
      <c r="AR48" s="1144" t="s">
        <v>5410</v>
      </c>
      <c r="AS48" s="1134" t="s">
        <v>5411</v>
      </c>
      <c r="AT48" s="1136" t="s">
        <v>5412</v>
      </c>
      <c r="AU48" s="1134" t="s">
        <v>5413</v>
      </c>
      <c r="AV48" s="1135" t="s">
        <v>5414</v>
      </c>
      <c r="AW48" s="1114" t="s">
        <v>5415</v>
      </c>
      <c r="AX48" s="1118" t="s">
        <v>5416</v>
      </c>
      <c r="AY48" s="1197" t="e">
        <f t="shared" si="53"/>
        <v>#VALUE!</v>
      </c>
      <c r="AZ48" s="1197"/>
      <c r="BA48" s="1197"/>
      <c r="BB48" s="1197"/>
      <c r="BC48" s="1197"/>
      <c r="BD48" s="1197"/>
      <c r="BE48" s="1197"/>
      <c r="BF48" s="1197"/>
      <c r="BG48" s="1197"/>
      <c r="BH48" s="1197"/>
      <c r="BI48" s="1197"/>
      <c r="BJ48" s="1191"/>
      <c r="BK48" s="1191"/>
      <c r="BL48" s="1191"/>
      <c r="BM48" s="1191"/>
      <c r="BV48" s="1547"/>
      <c r="BW48" s="1547"/>
      <c r="BX48" s="1547"/>
      <c r="CB48" s="2195" t="str">
        <f t="shared" si="54"/>
        <v xml:space="preserve">* El total de Reactivos NO DEBE ser superior al total de Procesados. </v>
      </c>
      <c r="CC48" s="2195" t="e">
        <f t="shared" si="55"/>
        <v>#VALUE!</v>
      </c>
      <c r="CD48" s="2195" t="e">
        <f t="shared" si="56"/>
        <v>#VALUE!</v>
      </c>
      <c r="CE48" s="2195" t="str">
        <f t="shared" si="57"/>
        <v xml:space="preserve">* La columna Pueblos Originarios NO DEBE ser superior al total de Procesados. </v>
      </c>
      <c r="CF48" s="2195" t="str">
        <f t="shared" si="58"/>
        <v xml:space="preserve">* La columna Migrantes NO DEBE ser superior al total de Procesados. </v>
      </c>
      <c r="CG48" s="2195" t="str">
        <f t="shared" si="80"/>
        <v>* El total de procesados debe ser mayor o igual al total de Reactivos en el grupo de edad Menor de 6 meses</v>
      </c>
      <c r="CH48" s="2195" t="str">
        <f t="shared" si="81"/>
        <v>* El total de procesados debe ser mayor o igual al total de Reactivos en el grupo de edad 6 a 11 meses</v>
      </c>
      <c r="CI48" s="2195" t="str">
        <f t="shared" si="82"/>
        <v>* El total de procesados debe ser mayor o igual al total de Reactivos en el grupo de edad 12-24 meses</v>
      </c>
      <c r="CJ48" s="2195" t="str">
        <f t="shared" si="83"/>
        <v>* El total de procesados debe ser mayor o igual al total de Reactivos en el grupo de edad 3 a 4 años</v>
      </c>
      <c r="CK48" s="2195" t="str">
        <f t="shared" si="84"/>
        <v>* El total de procesados debe ser mayor o igual al total de Reactivos en el grupo de edad 5 a 9 años</v>
      </c>
      <c r="CL48" s="2195" t="str">
        <f t="shared" si="85"/>
        <v>* El total de procesados debe ser mayor o igual al total de Reactivos en el grupo de edad 10 - 14 años</v>
      </c>
      <c r="CM48" s="2195" t="str">
        <f t="shared" si="86"/>
        <v>* El total de procesados debe ser mayor o igual al total de Reactivos en el grupo de edad 15 - 19 años</v>
      </c>
      <c r="CN48" s="2195" t="str">
        <f t="shared" si="87"/>
        <v>* El total de procesados debe ser mayor o igual al total de Reactivos en el grupo de edad 20 - 24 años</v>
      </c>
      <c r="CO48" s="2195" t="str">
        <f t="shared" si="88"/>
        <v>* El total de procesados debe ser mayor o igual al total de Reactivos en el grupo de edad 25 a 29 años</v>
      </c>
      <c r="CP48" s="2195" t="str">
        <f t="shared" si="89"/>
        <v>* El total de procesados debe ser mayor o igual al total de Reactivos en el grupo de edad 30 a 34 años</v>
      </c>
      <c r="CQ48" s="2195" t="str">
        <f t="shared" si="90"/>
        <v>* El total de procesados debe ser mayor o igual al total de Reactivos en el grupo de edad 35 a 39 años</v>
      </c>
      <c r="CR48" s="2195" t="str">
        <f t="shared" si="91"/>
        <v>* El total de procesados debe ser mayor o igual al total de Reactivos en el grupo de edad 40 a 44 años</v>
      </c>
      <c r="CS48" s="2195" t="str">
        <f t="shared" si="92"/>
        <v>* El total de procesados debe ser mayor o igual al total de Reactivos en el grupo de edad 45 a 49 años</v>
      </c>
      <c r="CT48" s="2195" t="str">
        <f t="shared" si="93"/>
        <v>* El total de procesados debe ser mayor o igual al total de Reactivos en el grupo de edad 50 a 54 años</v>
      </c>
      <c r="CU48" s="2195" t="str">
        <f t="shared" si="94"/>
        <v>* El total de procesados debe ser mayor o igual al total de Reactivos en el grupo de edad 55 a 59 años</v>
      </c>
      <c r="CV48" s="2195" t="str">
        <f t="shared" si="95"/>
        <v>* El total de procesados debe ser mayor o igual al total de Reactivos en el grupo de edad 60 a 64 años</v>
      </c>
      <c r="CW48" s="2195" t="str">
        <f t="shared" si="96"/>
        <v>* El total de procesados debe ser mayor o igual al total de Reactivos en el grupo de edad 65 a 69 años</v>
      </c>
      <c r="CX48" s="2195" t="str">
        <f t="shared" si="97"/>
        <v>* El total de procesados debe ser mayor o igual al total de Reactivos en el grupo de edad 70 a 74 años</v>
      </c>
      <c r="CY48" s="2195" t="str">
        <f t="shared" si="98"/>
        <v>* El total de procesados debe ser mayor o igual al total de Reactivos en el grupo de edad 75 a 79 años</v>
      </c>
      <c r="CZ48" s="2195" t="str">
        <f t="shared" si="99"/>
        <v>* El total de procesados debe ser mayor o igual al total de Reactivos en el grupo de edad 80 y más años</v>
      </c>
      <c r="DA48" s="2195" t="str">
        <f t="shared" si="100"/>
        <v/>
      </c>
      <c r="DB48" s="1446">
        <f t="shared" si="101"/>
        <v>1</v>
      </c>
      <c r="DC48" s="1446" t="e">
        <f t="shared" si="102"/>
        <v>#VALUE!</v>
      </c>
      <c r="DD48" s="1446" t="e">
        <f t="shared" si="103"/>
        <v>#VALUE!</v>
      </c>
      <c r="DE48" s="1446">
        <f t="shared" si="104"/>
        <v>1</v>
      </c>
      <c r="DF48" s="1446">
        <f t="shared" si="105"/>
        <v>1</v>
      </c>
      <c r="DG48" s="1446">
        <f t="shared" si="59"/>
        <v>1</v>
      </c>
      <c r="DH48" s="1446">
        <f t="shared" si="60"/>
        <v>1</v>
      </c>
      <c r="DI48" s="1446">
        <f t="shared" si="61"/>
        <v>1</v>
      </c>
      <c r="DJ48" s="1446">
        <f t="shared" si="62"/>
        <v>1</v>
      </c>
      <c r="DK48" s="1446">
        <f t="shared" si="63"/>
        <v>1</v>
      </c>
      <c r="DL48" s="1446">
        <f t="shared" si="64"/>
        <v>1</v>
      </c>
      <c r="DM48" s="1446">
        <f t="shared" si="65"/>
        <v>1</v>
      </c>
      <c r="DN48" s="1446">
        <f t="shared" si="66"/>
        <v>1</v>
      </c>
      <c r="DO48" s="1446">
        <f t="shared" si="67"/>
        <v>1</v>
      </c>
      <c r="DP48" s="1446">
        <f t="shared" si="68"/>
        <v>1</v>
      </c>
      <c r="DQ48" s="1446">
        <f t="shared" si="69"/>
        <v>1</v>
      </c>
      <c r="DR48" s="1446">
        <f t="shared" si="70"/>
        <v>1</v>
      </c>
      <c r="DS48" s="1446">
        <f t="shared" si="71"/>
        <v>1</v>
      </c>
      <c r="DT48" s="1446">
        <f t="shared" si="72"/>
        <v>1</v>
      </c>
      <c r="DU48" s="1446">
        <f t="shared" si="73"/>
        <v>1</v>
      </c>
      <c r="DV48" s="1446">
        <f t="shared" si="74"/>
        <v>1</v>
      </c>
      <c r="DW48" s="1446">
        <f t="shared" si="75"/>
        <v>1</v>
      </c>
      <c r="DX48" s="1446">
        <f t="shared" si="76"/>
        <v>1</v>
      </c>
      <c r="DY48" s="1446">
        <f t="shared" si="77"/>
        <v>1</v>
      </c>
      <c r="DZ48" s="1446">
        <f t="shared" si="78"/>
        <v>1</v>
      </c>
      <c r="EA48" s="1446">
        <f t="shared" si="79"/>
        <v>0</v>
      </c>
    </row>
    <row r="49" spans="1:131" ht="16.2" customHeight="1" x14ac:dyDescent="0.3">
      <c r="A49" s="7258">
        <v>11054217</v>
      </c>
      <c r="B49" s="2000" t="s">
        <v>1799</v>
      </c>
      <c r="C49" s="1998" t="s">
        <v>5369</v>
      </c>
      <c r="D49" s="2044" t="s">
        <v>5370</v>
      </c>
      <c r="E49" s="1134" t="s">
        <v>5371</v>
      </c>
      <c r="F49" s="1135" t="s">
        <v>5372</v>
      </c>
      <c r="G49" s="1114" t="s">
        <v>5373</v>
      </c>
      <c r="H49" s="1135" t="s">
        <v>5374</v>
      </c>
      <c r="I49" s="1114" t="s">
        <v>5375</v>
      </c>
      <c r="J49" s="1118" t="s">
        <v>5376</v>
      </c>
      <c r="K49" s="1134" t="s">
        <v>5377</v>
      </c>
      <c r="L49" s="1134" t="s">
        <v>5378</v>
      </c>
      <c r="M49" s="1114" t="s">
        <v>5379</v>
      </c>
      <c r="N49" s="1118" t="s">
        <v>5380</v>
      </c>
      <c r="O49" s="1134" t="s">
        <v>5381</v>
      </c>
      <c r="P49" s="1135" t="s">
        <v>5382</v>
      </c>
      <c r="Q49" s="1114" t="s">
        <v>5383</v>
      </c>
      <c r="R49" s="1135" t="s">
        <v>5384</v>
      </c>
      <c r="S49" s="1114" t="s">
        <v>5385</v>
      </c>
      <c r="T49" s="1135" t="s">
        <v>5386</v>
      </c>
      <c r="U49" s="1114" t="s">
        <v>5387</v>
      </c>
      <c r="V49" s="1135" t="s">
        <v>5388</v>
      </c>
      <c r="W49" s="1114" t="s">
        <v>5389</v>
      </c>
      <c r="X49" s="1135" t="s">
        <v>5390</v>
      </c>
      <c r="Y49" s="1114" t="s">
        <v>5391</v>
      </c>
      <c r="Z49" s="1135" t="s">
        <v>5392</v>
      </c>
      <c r="AA49" s="1114" t="s">
        <v>5393</v>
      </c>
      <c r="AB49" s="1135" t="s">
        <v>5394</v>
      </c>
      <c r="AC49" s="1114" t="s">
        <v>5395</v>
      </c>
      <c r="AD49" s="1135" t="s">
        <v>5396</v>
      </c>
      <c r="AE49" s="1114" t="s">
        <v>5397</v>
      </c>
      <c r="AF49" s="1135" t="s">
        <v>5398</v>
      </c>
      <c r="AG49" s="1114" t="s">
        <v>5399</v>
      </c>
      <c r="AH49" s="1135" t="s">
        <v>5400</v>
      </c>
      <c r="AI49" s="1114" t="s">
        <v>5401</v>
      </c>
      <c r="AJ49" s="1135" t="s">
        <v>5402</v>
      </c>
      <c r="AK49" s="1114" t="s">
        <v>5403</v>
      </c>
      <c r="AL49" s="1135" t="s">
        <v>5404</v>
      </c>
      <c r="AM49" s="1114" t="s">
        <v>5405</v>
      </c>
      <c r="AN49" s="1135" t="s">
        <v>5406</v>
      </c>
      <c r="AO49" s="1114" t="s">
        <v>5407</v>
      </c>
      <c r="AP49" s="1135" t="s">
        <v>5408</v>
      </c>
      <c r="AQ49" s="1114" t="s">
        <v>5409</v>
      </c>
      <c r="AR49" s="1136" t="s">
        <v>5410</v>
      </c>
      <c r="AS49" s="1134" t="s">
        <v>5411</v>
      </c>
      <c r="AT49" s="1136" t="s">
        <v>5412</v>
      </c>
      <c r="AU49" s="1134" t="s">
        <v>5413</v>
      </c>
      <c r="AV49" s="1135" t="s">
        <v>5414</v>
      </c>
      <c r="AW49" s="1114" t="s">
        <v>5415</v>
      </c>
      <c r="AX49" s="1118" t="s">
        <v>5416</v>
      </c>
      <c r="AY49" s="1197" t="e">
        <f t="shared" si="53"/>
        <v>#VALUE!</v>
      </c>
      <c r="AZ49" s="1197"/>
      <c r="BA49" s="1197"/>
      <c r="BB49" s="1197"/>
      <c r="BC49" s="1197"/>
      <c r="BD49" s="1197"/>
      <c r="BE49" s="1197"/>
      <c r="BF49" s="1197"/>
      <c r="BG49" s="1197"/>
      <c r="BH49" s="1197"/>
      <c r="BI49" s="1197"/>
      <c r="BJ49" s="1191"/>
      <c r="BK49" s="1191"/>
      <c r="BL49" s="1191"/>
      <c r="BM49" s="1191"/>
      <c r="BV49" s="1547"/>
      <c r="BW49" s="1547"/>
      <c r="BX49" s="1547"/>
      <c r="CB49" s="2195" t="str">
        <f t="shared" si="54"/>
        <v xml:space="preserve">* El total de Reactivos NO DEBE ser superior al total de Procesados. </v>
      </c>
      <c r="CC49" s="2195" t="e">
        <f t="shared" si="55"/>
        <v>#VALUE!</v>
      </c>
      <c r="CD49" s="2195" t="e">
        <f t="shared" si="56"/>
        <v>#VALUE!</v>
      </c>
      <c r="CE49" s="2195" t="str">
        <f t="shared" si="57"/>
        <v xml:space="preserve">* La columna Pueblos Originarios NO DEBE ser superior al total de Procesados. </v>
      </c>
      <c r="CF49" s="2195" t="str">
        <f t="shared" si="58"/>
        <v xml:space="preserve">* La columna Migrantes NO DEBE ser superior al total de Procesados. </v>
      </c>
      <c r="CG49" s="2195" t="str">
        <f t="shared" si="80"/>
        <v>* El total de procesados debe ser mayor o igual al total de Reactivos en el grupo de edad Menor de 6 meses</v>
      </c>
      <c r="CH49" s="2195" t="str">
        <f t="shared" si="81"/>
        <v>* El total de procesados debe ser mayor o igual al total de Reactivos en el grupo de edad 6 a 11 meses</v>
      </c>
      <c r="CI49" s="2195" t="str">
        <f t="shared" si="82"/>
        <v>* El total de procesados debe ser mayor o igual al total de Reactivos en el grupo de edad 12-24 meses</v>
      </c>
      <c r="CJ49" s="2195" t="str">
        <f t="shared" si="83"/>
        <v>* El total de procesados debe ser mayor o igual al total de Reactivos en el grupo de edad 3 a 4 años</v>
      </c>
      <c r="CK49" s="2195" t="str">
        <f t="shared" si="84"/>
        <v>* El total de procesados debe ser mayor o igual al total de Reactivos en el grupo de edad 5 a 9 años</v>
      </c>
      <c r="CL49" s="2195" t="str">
        <f t="shared" si="85"/>
        <v>* El total de procesados debe ser mayor o igual al total de Reactivos en el grupo de edad 10 - 14 años</v>
      </c>
      <c r="CM49" s="2195" t="str">
        <f t="shared" si="86"/>
        <v>* El total de procesados debe ser mayor o igual al total de Reactivos en el grupo de edad 15 - 19 años</v>
      </c>
      <c r="CN49" s="2195" t="str">
        <f t="shared" si="87"/>
        <v>* El total de procesados debe ser mayor o igual al total de Reactivos en el grupo de edad 20 - 24 años</v>
      </c>
      <c r="CO49" s="2195" t="str">
        <f t="shared" si="88"/>
        <v>* El total de procesados debe ser mayor o igual al total de Reactivos en el grupo de edad 25 a 29 años</v>
      </c>
      <c r="CP49" s="2195" t="str">
        <f t="shared" si="89"/>
        <v>* El total de procesados debe ser mayor o igual al total de Reactivos en el grupo de edad 30 a 34 años</v>
      </c>
      <c r="CQ49" s="2195" t="str">
        <f t="shared" si="90"/>
        <v>* El total de procesados debe ser mayor o igual al total de Reactivos en el grupo de edad 35 a 39 años</v>
      </c>
      <c r="CR49" s="2195" t="str">
        <f t="shared" si="91"/>
        <v>* El total de procesados debe ser mayor o igual al total de Reactivos en el grupo de edad 40 a 44 años</v>
      </c>
      <c r="CS49" s="2195" t="str">
        <f t="shared" si="92"/>
        <v>* El total de procesados debe ser mayor o igual al total de Reactivos en el grupo de edad 45 a 49 años</v>
      </c>
      <c r="CT49" s="2195" t="str">
        <f t="shared" si="93"/>
        <v>* El total de procesados debe ser mayor o igual al total de Reactivos en el grupo de edad 50 a 54 años</v>
      </c>
      <c r="CU49" s="2195" t="str">
        <f t="shared" si="94"/>
        <v>* El total de procesados debe ser mayor o igual al total de Reactivos en el grupo de edad 55 a 59 años</v>
      </c>
      <c r="CV49" s="2195" t="str">
        <f t="shared" si="95"/>
        <v>* El total de procesados debe ser mayor o igual al total de Reactivos en el grupo de edad 60 a 64 años</v>
      </c>
      <c r="CW49" s="2195" t="str">
        <f t="shared" si="96"/>
        <v>* El total de procesados debe ser mayor o igual al total de Reactivos en el grupo de edad 65 a 69 años</v>
      </c>
      <c r="CX49" s="2195" t="str">
        <f t="shared" si="97"/>
        <v>* El total de procesados debe ser mayor o igual al total de Reactivos en el grupo de edad 70 a 74 años</v>
      </c>
      <c r="CY49" s="2195" t="str">
        <f t="shared" si="98"/>
        <v>* El total de procesados debe ser mayor o igual al total de Reactivos en el grupo de edad 75 a 79 años</v>
      </c>
      <c r="CZ49" s="2195" t="str">
        <f t="shared" si="99"/>
        <v>* El total de procesados debe ser mayor o igual al total de Reactivos en el grupo de edad 80 y más años</v>
      </c>
      <c r="DA49" s="2195" t="str">
        <f t="shared" si="100"/>
        <v/>
      </c>
      <c r="DB49" s="1446">
        <f t="shared" si="101"/>
        <v>1</v>
      </c>
      <c r="DC49" s="1446" t="e">
        <f t="shared" si="102"/>
        <v>#VALUE!</v>
      </c>
      <c r="DD49" s="1446" t="e">
        <f t="shared" si="103"/>
        <v>#VALUE!</v>
      </c>
      <c r="DE49" s="1446">
        <f t="shared" si="104"/>
        <v>1</v>
      </c>
      <c r="DF49" s="1446">
        <f t="shared" si="105"/>
        <v>1</v>
      </c>
      <c r="DG49" s="1446">
        <f t="shared" si="59"/>
        <v>1</v>
      </c>
      <c r="DH49" s="1446">
        <f t="shared" si="60"/>
        <v>1</v>
      </c>
      <c r="DI49" s="1446">
        <f t="shared" si="61"/>
        <v>1</v>
      </c>
      <c r="DJ49" s="1446">
        <f t="shared" si="62"/>
        <v>1</v>
      </c>
      <c r="DK49" s="1446">
        <f t="shared" si="63"/>
        <v>1</v>
      </c>
      <c r="DL49" s="1446">
        <f t="shared" si="64"/>
        <v>1</v>
      </c>
      <c r="DM49" s="1446">
        <f t="shared" si="65"/>
        <v>1</v>
      </c>
      <c r="DN49" s="1446">
        <f t="shared" si="66"/>
        <v>1</v>
      </c>
      <c r="DO49" s="1446">
        <f t="shared" si="67"/>
        <v>1</v>
      </c>
      <c r="DP49" s="1446">
        <f t="shared" si="68"/>
        <v>1</v>
      </c>
      <c r="DQ49" s="1446">
        <f t="shared" si="69"/>
        <v>1</v>
      </c>
      <c r="DR49" s="1446">
        <f t="shared" si="70"/>
        <v>1</v>
      </c>
      <c r="DS49" s="1446">
        <f t="shared" si="71"/>
        <v>1</v>
      </c>
      <c r="DT49" s="1446">
        <f t="shared" si="72"/>
        <v>1</v>
      </c>
      <c r="DU49" s="1446">
        <f t="shared" si="73"/>
        <v>1</v>
      </c>
      <c r="DV49" s="1446">
        <f t="shared" si="74"/>
        <v>1</v>
      </c>
      <c r="DW49" s="1446">
        <f t="shared" si="75"/>
        <v>1</v>
      </c>
      <c r="DX49" s="1446">
        <f t="shared" si="76"/>
        <v>1</v>
      </c>
      <c r="DY49" s="1446">
        <f t="shared" si="77"/>
        <v>1</v>
      </c>
      <c r="DZ49" s="1446">
        <f t="shared" si="78"/>
        <v>1</v>
      </c>
      <c r="EA49" s="1446">
        <f t="shared" si="79"/>
        <v>0</v>
      </c>
    </row>
    <row r="50" spans="1:131" ht="16.2" customHeight="1" x14ac:dyDescent="0.3">
      <c r="A50" s="7258">
        <v>11054218</v>
      </c>
      <c r="B50" s="2000" t="s">
        <v>1800</v>
      </c>
      <c r="C50" s="1998" t="s">
        <v>5369</v>
      </c>
      <c r="D50" s="2044" t="s">
        <v>5370</v>
      </c>
      <c r="E50" s="1134" t="s">
        <v>5371</v>
      </c>
      <c r="F50" s="1135" t="s">
        <v>5372</v>
      </c>
      <c r="G50" s="1114" t="s">
        <v>5373</v>
      </c>
      <c r="H50" s="1135" t="s">
        <v>5374</v>
      </c>
      <c r="I50" s="1114" t="s">
        <v>5375</v>
      </c>
      <c r="J50" s="1118" t="s">
        <v>5376</v>
      </c>
      <c r="K50" s="1134" t="s">
        <v>5377</v>
      </c>
      <c r="L50" s="1134" t="s">
        <v>5378</v>
      </c>
      <c r="M50" s="1114" t="s">
        <v>5379</v>
      </c>
      <c r="N50" s="1118" t="s">
        <v>5380</v>
      </c>
      <c r="O50" s="1134" t="s">
        <v>5381</v>
      </c>
      <c r="P50" s="1135" t="s">
        <v>5382</v>
      </c>
      <c r="Q50" s="1114" t="s">
        <v>5383</v>
      </c>
      <c r="R50" s="1135" t="s">
        <v>5384</v>
      </c>
      <c r="S50" s="1114" t="s">
        <v>5385</v>
      </c>
      <c r="T50" s="1135" t="s">
        <v>5386</v>
      </c>
      <c r="U50" s="1114" t="s">
        <v>5387</v>
      </c>
      <c r="V50" s="1135" t="s">
        <v>5388</v>
      </c>
      <c r="W50" s="1114" t="s">
        <v>5389</v>
      </c>
      <c r="X50" s="1135" t="s">
        <v>5390</v>
      </c>
      <c r="Y50" s="1114" t="s">
        <v>5391</v>
      </c>
      <c r="Z50" s="1135" t="s">
        <v>5392</v>
      </c>
      <c r="AA50" s="1114" t="s">
        <v>5393</v>
      </c>
      <c r="AB50" s="1135" t="s">
        <v>5394</v>
      </c>
      <c r="AC50" s="1114" t="s">
        <v>5395</v>
      </c>
      <c r="AD50" s="1135" t="s">
        <v>5396</v>
      </c>
      <c r="AE50" s="1114" t="s">
        <v>5397</v>
      </c>
      <c r="AF50" s="1135" t="s">
        <v>5398</v>
      </c>
      <c r="AG50" s="1114" t="s">
        <v>5399</v>
      </c>
      <c r="AH50" s="1135" t="s">
        <v>5400</v>
      </c>
      <c r="AI50" s="1114" t="s">
        <v>5401</v>
      </c>
      <c r="AJ50" s="1135" t="s">
        <v>5402</v>
      </c>
      <c r="AK50" s="1114" t="s">
        <v>5403</v>
      </c>
      <c r="AL50" s="1135" t="s">
        <v>5404</v>
      </c>
      <c r="AM50" s="1114" t="s">
        <v>5405</v>
      </c>
      <c r="AN50" s="1135" t="s">
        <v>5406</v>
      </c>
      <c r="AO50" s="1114" t="s">
        <v>5407</v>
      </c>
      <c r="AP50" s="1135" t="s">
        <v>5408</v>
      </c>
      <c r="AQ50" s="1114" t="s">
        <v>5409</v>
      </c>
      <c r="AR50" s="1136" t="s">
        <v>5410</v>
      </c>
      <c r="AS50" s="1134" t="s">
        <v>5411</v>
      </c>
      <c r="AT50" s="1136" t="s">
        <v>5412</v>
      </c>
      <c r="AU50" s="1134" t="s">
        <v>5413</v>
      </c>
      <c r="AV50" s="1135" t="s">
        <v>5414</v>
      </c>
      <c r="AW50" s="1114" t="s">
        <v>5415</v>
      </c>
      <c r="AX50" s="1118" t="s">
        <v>5416</v>
      </c>
      <c r="AY50" s="1197" t="e">
        <f t="shared" si="53"/>
        <v>#VALUE!</v>
      </c>
      <c r="AZ50" s="1197"/>
      <c r="BA50" s="1197"/>
      <c r="BB50" s="1197"/>
      <c r="BC50" s="1197"/>
      <c r="BD50" s="1197"/>
      <c r="BE50" s="1197"/>
      <c r="BF50" s="1197"/>
      <c r="BG50" s="1197"/>
      <c r="BH50" s="1197"/>
      <c r="BI50" s="1197"/>
      <c r="BJ50" s="1191"/>
      <c r="BK50" s="1191"/>
      <c r="BL50" s="1191"/>
      <c r="BM50" s="1191"/>
      <c r="BV50" s="1547"/>
      <c r="BW50" s="1547"/>
      <c r="BX50" s="1547"/>
      <c r="CB50" s="2195" t="str">
        <f t="shared" si="54"/>
        <v xml:space="preserve">* El total de Reactivos NO DEBE ser superior al total de Procesados. </v>
      </c>
      <c r="CC50" s="2195" t="e">
        <f t="shared" si="55"/>
        <v>#VALUE!</v>
      </c>
      <c r="CD50" s="2195" t="e">
        <f t="shared" si="56"/>
        <v>#VALUE!</v>
      </c>
      <c r="CE50" s="2195" t="str">
        <f t="shared" si="57"/>
        <v xml:space="preserve">* La columna Pueblos Originarios NO DEBE ser superior al total de Procesados. </v>
      </c>
      <c r="CF50" s="2195" t="str">
        <f t="shared" si="58"/>
        <v xml:space="preserve">* La columna Migrantes NO DEBE ser superior al total de Procesados. </v>
      </c>
      <c r="CG50" s="2195" t="str">
        <f t="shared" si="80"/>
        <v>* El total de procesados debe ser mayor o igual al total de Reactivos en el grupo de edad Menor de 6 meses</v>
      </c>
      <c r="CH50" s="2195" t="str">
        <f t="shared" si="81"/>
        <v>* El total de procesados debe ser mayor o igual al total de Reactivos en el grupo de edad 6 a 11 meses</v>
      </c>
      <c r="CI50" s="2195" t="str">
        <f t="shared" si="82"/>
        <v>* El total de procesados debe ser mayor o igual al total de Reactivos en el grupo de edad 12-24 meses</v>
      </c>
      <c r="CJ50" s="2195" t="str">
        <f t="shared" si="83"/>
        <v>* El total de procesados debe ser mayor o igual al total de Reactivos en el grupo de edad 3 a 4 años</v>
      </c>
      <c r="CK50" s="2195" t="str">
        <f t="shared" si="84"/>
        <v>* El total de procesados debe ser mayor o igual al total de Reactivos en el grupo de edad 5 a 9 años</v>
      </c>
      <c r="CL50" s="2195" t="str">
        <f t="shared" si="85"/>
        <v>* El total de procesados debe ser mayor o igual al total de Reactivos en el grupo de edad 10 - 14 años</v>
      </c>
      <c r="CM50" s="2195" t="str">
        <f t="shared" si="86"/>
        <v>* El total de procesados debe ser mayor o igual al total de Reactivos en el grupo de edad 15 - 19 años</v>
      </c>
      <c r="CN50" s="2195" t="str">
        <f t="shared" si="87"/>
        <v>* El total de procesados debe ser mayor o igual al total de Reactivos en el grupo de edad 20 - 24 años</v>
      </c>
      <c r="CO50" s="2195" t="str">
        <f t="shared" si="88"/>
        <v>* El total de procesados debe ser mayor o igual al total de Reactivos en el grupo de edad 25 a 29 años</v>
      </c>
      <c r="CP50" s="2195" t="str">
        <f t="shared" si="89"/>
        <v>* El total de procesados debe ser mayor o igual al total de Reactivos en el grupo de edad 30 a 34 años</v>
      </c>
      <c r="CQ50" s="2195" t="str">
        <f t="shared" si="90"/>
        <v>* El total de procesados debe ser mayor o igual al total de Reactivos en el grupo de edad 35 a 39 años</v>
      </c>
      <c r="CR50" s="2195" t="str">
        <f t="shared" si="91"/>
        <v>* El total de procesados debe ser mayor o igual al total de Reactivos en el grupo de edad 40 a 44 años</v>
      </c>
      <c r="CS50" s="2195" t="str">
        <f t="shared" si="92"/>
        <v>* El total de procesados debe ser mayor o igual al total de Reactivos en el grupo de edad 45 a 49 años</v>
      </c>
      <c r="CT50" s="2195" t="str">
        <f t="shared" si="93"/>
        <v>* El total de procesados debe ser mayor o igual al total de Reactivos en el grupo de edad 50 a 54 años</v>
      </c>
      <c r="CU50" s="2195" t="str">
        <f t="shared" si="94"/>
        <v>* El total de procesados debe ser mayor o igual al total de Reactivos en el grupo de edad 55 a 59 años</v>
      </c>
      <c r="CV50" s="2195" t="str">
        <f t="shared" si="95"/>
        <v>* El total de procesados debe ser mayor o igual al total de Reactivos en el grupo de edad 60 a 64 años</v>
      </c>
      <c r="CW50" s="2195" t="str">
        <f t="shared" si="96"/>
        <v>* El total de procesados debe ser mayor o igual al total de Reactivos en el grupo de edad 65 a 69 años</v>
      </c>
      <c r="CX50" s="2195" t="str">
        <f t="shared" si="97"/>
        <v>* El total de procesados debe ser mayor o igual al total de Reactivos en el grupo de edad 70 a 74 años</v>
      </c>
      <c r="CY50" s="2195" t="str">
        <f t="shared" si="98"/>
        <v>* El total de procesados debe ser mayor o igual al total de Reactivos en el grupo de edad 75 a 79 años</v>
      </c>
      <c r="CZ50" s="2195" t="str">
        <f t="shared" si="99"/>
        <v>* El total de procesados debe ser mayor o igual al total de Reactivos en el grupo de edad 80 y más años</v>
      </c>
      <c r="DA50" s="2195" t="str">
        <f t="shared" si="100"/>
        <v/>
      </c>
      <c r="DB50" s="1446">
        <f t="shared" si="101"/>
        <v>1</v>
      </c>
      <c r="DC50" s="1446" t="e">
        <f t="shared" si="102"/>
        <v>#VALUE!</v>
      </c>
      <c r="DD50" s="1446" t="e">
        <f t="shared" si="103"/>
        <v>#VALUE!</v>
      </c>
      <c r="DE50" s="1446">
        <f t="shared" si="104"/>
        <v>1</v>
      </c>
      <c r="DF50" s="1446">
        <f t="shared" si="105"/>
        <v>1</v>
      </c>
      <c r="DG50" s="1446">
        <f t="shared" si="59"/>
        <v>1</v>
      </c>
      <c r="DH50" s="1446">
        <f t="shared" si="60"/>
        <v>1</v>
      </c>
      <c r="DI50" s="1446">
        <f t="shared" si="61"/>
        <v>1</v>
      </c>
      <c r="DJ50" s="1446">
        <f t="shared" si="62"/>
        <v>1</v>
      </c>
      <c r="DK50" s="1446">
        <f t="shared" si="63"/>
        <v>1</v>
      </c>
      <c r="DL50" s="1446">
        <f t="shared" si="64"/>
        <v>1</v>
      </c>
      <c r="DM50" s="1446">
        <f t="shared" si="65"/>
        <v>1</v>
      </c>
      <c r="DN50" s="1446">
        <f t="shared" si="66"/>
        <v>1</v>
      </c>
      <c r="DO50" s="1446">
        <f t="shared" si="67"/>
        <v>1</v>
      </c>
      <c r="DP50" s="1446">
        <f t="shared" si="68"/>
        <v>1</v>
      </c>
      <c r="DQ50" s="1446">
        <f t="shared" si="69"/>
        <v>1</v>
      </c>
      <c r="DR50" s="1446">
        <f t="shared" si="70"/>
        <v>1</v>
      </c>
      <c r="DS50" s="1446">
        <f t="shared" si="71"/>
        <v>1</v>
      </c>
      <c r="DT50" s="1446">
        <f t="shared" si="72"/>
        <v>1</v>
      </c>
      <c r="DU50" s="1446">
        <f t="shared" si="73"/>
        <v>1</v>
      </c>
      <c r="DV50" s="1446">
        <f t="shared" si="74"/>
        <v>1</v>
      </c>
      <c r="DW50" s="1446">
        <f t="shared" si="75"/>
        <v>1</v>
      </c>
      <c r="DX50" s="1446">
        <f t="shared" si="76"/>
        <v>1</v>
      </c>
      <c r="DY50" s="1446">
        <f t="shared" si="77"/>
        <v>1</v>
      </c>
      <c r="DZ50" s="1446">
        <f t="shared" si="78"/>
        <v>1</v>
      </c>
      <c r="EA50" s="1446">
        <f t="shared" si="79"/>
        <v>0</v>
      </c>
    </row>
    <row r="51" spans="1:131" ht="16.2" customHeight="1" x14ac:dyDescent="0.3">
      <c r="A51" s="7263">
        <v>11054219</v>
      </c>
      <c r="B51" s="1898" t="s">
        <v>1801</v>
      </c>
      <c r="C51" s="1960" t="s">
        <v>5369</v>
      </c>
      <c r="D51" s="1898" t="s">
        <v>5370</v>
      </c>
      <c r="E51" s="102" t="s">
        <v>5371</v>
      </c>
      <c r="F51" s="83" t="s">
        <v>5372</v>
      </c>
      <c r="G51" s="125" t="s">
        <v>5373</v>
      </c>
      <c r="H51" s="83" t="s">
        <v>5374</v>
      </c>
      <c r="I51" s="125" t="s">
        <v>5375</v>
      </c>
      <c r="J51" s="101" t="s">
        <v>5376</v>
      </c>
      <c r="K51" s="102" t="s">
        <v>5377</v>
      </c>
      <c r="L51" s="102" t="s">
        <v>5378</v>
      </c>
      <c r="M51" s="125" t="s">
        <v>5379</v>
      </c>
      <c r="N51" s="101" t="s">
        <v>5380</v>
      </c>
      <c r="O51" s="102" t="s">
        <v>5381</v>
      </c>
      <c r="P51" s="83" t="s">
        <v>5382</v>
      </c>
      <c r="Q51" s="125" t="s">
        <v>5383</v>
      </c>
      <c r="R51" s="83" t="s">
        <v>5384</v>
      </c>
      <c r="S51" s="125" t="s">
        <v>5385</v>
      </c>
      <c r="T51" s="83" t="s">
        <v>5386</v>
      </c>
      <c r="U51" s="125" t="s">
        <v>5387</v>
      </c>
      <c r="V51" s="83" t="s">
        <v>5388</v>
      </c>
      <c r="W51" s="125" t="s">
        <v>5389</v>
      </c>
      <c r="X51" s="83" t="s">
        <v>5390</v>
      </c>
      <c r="Y51" s="125" t="s">
        <v>5391</v>
      </c>
      <c r="Z51" s="83" t="s">
        <v>5392</v>
      </c>
      <c r="AA51" s="125" t="s">
        <v>5393</v>
      </c>
      <c r="AB51" s="83" t="s">
        <v>5394</v>
      </c>
      <c r="AC51" s="125" t="s">
        <v>5395</v>
      </c>
      <c r="AD51" s="83" t="s">
        <v>5396</v>
      </c>
      <c r="AE51" s="125" t="s">
        <v>5397</v>
      </c>
      <c r="AF51" s="83" t="s">
        <v>5398</v>
      </c>
      <c r="AG51" s="125" t="s">
        <v>5399</v>
      </c>
      <c r="AH51" s="83" t="s">
        <v>5400</v>
      </c>
      <c r="AI51" s="125" t="s">
        <v>5401</v>
      </c>
      <c r="AJ51" s="83" t="s">
        <v>5402</v>
      </c>
      <c r="AK51" s="125" t="s">
        <v>5403</v>
      </c>
      <c r="AL51" s="83" t="s">
        <v>5404</v>
      </c>
      <c r="AM51" s="125" t="s">
        <v>5405</v>
      </c>
      <c r="AN51" s="83" t="s">
        <v>5406</v>
      </c>
      <c r="AO51" s="125" t="s">
        <v>5407</v>
      </c>
      <c r="AP51" s="83" t="s">
        <v>5408</v>
      </c>
      <c r="AQ51" s="125" t="s">
        <v>5409</v>
      </c>
      <c r="AR51" s="198" t="s">
        <v>5410</v>
      </c>
      <c r="AS51" s="102" t="s">
        <v>5411</v>
      </c>
      <c r="AT51" s="198" t="s">
        <v>5412</v>
      </c>
      <c r="AU51" s="102" t="s">
        <v>5413</v>
      </c>
      <c r="AV51" s="83" t="s">
        <v>5414</v>
      </c>
      <c r="AW51" s="125" t="s">
        <v>5415</v>
      </c>
      <c r="AX51" s="101" t="s">
        <v>5416</v>
      </c>
      <c r="AY51" s="1197" t="e">
        <f t="shared" si="53"/>
        <v>#VALUE!</v>
      </c>
      <c r="AZ51" s="1197"/>
      <c r="BA51" s="1197"/>
      <c r="BB51" s="1197"/>
      <c r="BC51" s="1197"/>
      <c r="BD51" s="1197"/>
      <c r="BE51" s="1197"/>
      <c r="BF51" s="1197"/>
      <c r="BG51" s="1197"/>
      <c r="BH51" s="1197"/>
      <c r="BI51" s="1197"/>
      <c r="BJ51" s="1191"/>
      <c r="BK51" s="1191"/>
      <c r="BL51" s="1191"/>
      <c r="BM51" s="1191"/>
      <c r="BV51" s="1547"/>
      <c r="BW51" s="1547"/>
      <c r="BX51" s="1547"/>
      <c r="CB51" s="2195" t="str">
        <f t="shared" si="54"/>
        <v xml:space="preserve">* El total de Reactivos NO DEBE ser superior al total de Procesados. </v>
      </c>
      <c r="CC51" s="2195" t="e">
        <f t="shared" si="55"/>
        <v>#VALUE!</v>
      </c>
      <c r="CD51" s="2195" t="e">
        <f t="shared" si="56"/>
        <v>#VALUE!</v>
      </c>
      <c r="CE51" s="2195" t="str">
        <f t="shared" si="57"/>
        <v xml:space="preserve">* La columna Pueblos Originarios NO DEBE ser superior al total de Procesados. </v>
      </c>
      <c r="CF51" s="2195" t="str">
        <f t="shared" si="58"/>
        <v xml:space="preserve">* La columna Migrantes NO DEBE ser superior al total de Procesados. </v>
      </c>
      <c r="CG51" s="2195" t="str">
        <f t="shared" si="80"/>
        <v>* El total de procesados debe ser mayor o igual al total de Reactivos en el grupo de edad Menor de 6 meses</v>
      </c>
      <c r="CH51" s="2195" t="str">
        <f t="shared" si="81"/>
        <v>* El total de procesados debe ser mayor o igual al total de Reactivos en el grupo de edad 6 a 11 meses</v>
      </c>
      <c r="CI51" s="2195" t="str">
        <f t="shared" si="82"/>
        <v>* El total de procesados debe ser mayor o igual al total de Reactivos en el grupo de edad 12-24 meses</v>
      </c>
      <c r="CJ51" s="2195" t="str">
        <f t="shared" si="83"/>
        <v>* El total de procesados debe ser mayor o igual al total de Reactivos en el grupo de edad 3 a 4 años</v>
      </c>
      <c r="CK51" s="2195" t="str">
        <f t="shared" si="84"/>
        <v>* El total de procesados debe ser mayor o igual al total de Reactivos en el grupo de edad 5 a 9 años</v>
      </c>
      <c r="CL51" s="2195" t="str">
        <f t="shared" si="85"/>
        <v>* El total de procesados debe ser mayor o igual al total de Reactivos en el grupo de edad 10 - 14 años</v>
      </c>
      <c r="CM51" s="2195" t="str">
        <f t="shared" si="86"/>
        <v>* El total de procesados debe ser mayor o igual al total de Reactivos en el grupo de edad 15 - 19 años</v>
      </c>
      <c r="CN51" s="2195" t="str">
        <f t="shared" si="87"/>
        <v>* El total de procesados debe ser mayor o igual al total de Reactivos en el grupo de edad 20 - 24 años</v>
      </c>
      <c r="CO51" s="2195" t="str">
        <f t="shared" si="88"/>
        <v>* El total de procesados debe ser mayor o igual al total de Reactivos en el grupo de edad 25 a 29 años</v>
      </c>
      <c r="CP51" s="2195" t="str">
        <f t="shared" si="89"/>
        <v>* El total de procesados debe ser mayor o igual al total de Reactivos en el grupo de edad 30 a 34 años</v>
      </c>
      <c r="CQ51" s="2195" t="str">
        <f t="shared" si="90"/>
        <v>* El total de procesados debe ser mayor o igual al total de Reactivos en el grupo de edad 35 a 39 años</v>
      </c>
      <c r="CR51" s="2195" t="str">
        <f t="shared" si="91"/>
        <v>* El total de procesados debe ser mayor o igual al total de Reactivos en el grupo de edad 40 a 44 años</v>
      </c>
      <c r="CS51" s="2195" t="str">
        <f t="shared" si="92"/>
        <v>* El total de procesados debe ser mayor o igual al total de Reactivos en el grupo de edad 45 a 49 años</v>
      </c>
      <c r="CT51" s="2195" t="str">
        <f t="shared" si="93"/>
        <v>* El total de procesados debe ser mayor o igual al total de Reactivos en el grupo de edad 50 a 54 años</v>
      </c>
      <c r="CU51" s="2195" t="str">
        <f t="shared" si="94"/>
        <v>* El total de procesados debe ser mayor o igual al total de Reactivos en el grupo de edad 55 a 59 años</v>
      </c>
      <c r="CV51" s="2195" t="str">
        <f t="shared" si="95"/>
        <v>* El total de procesados debe ser mayor o igual al total de Reactivos en el grupo de edad 60 a 64 años</v>
      </c>
      <c r="CW51" s="2195" t="str">
        <f t="shared" si="96"/>
        <v>* El total de procesados debe ser mayor o igual al total de Reactivos en el grupo de edad 65 a 69 años</v>
      </c>
      <c r="CX51" s="2195" t="str">
        <f t="shared" si="97"/>
        <v>* El total de procesados debe ser mayor o igual al total de Reactivos en el grupo de edad 70 a 74 años</v>
      </c>
      <c r="CY51" s="2195" t="str">
        <f t="shared" si="98"/>
        <v>* El total de procesados debe ser mayor o igual al total de Reactivos en el grupo de edad 75 a 79 años</v>
      </c>
      <c r="CZ51" s="2195" t="str">
        <f t="shared" si="99"/>
        <v>* El total de procesados debe ser mayor o igual al total de Reactivos en el grupo de edad 80 y más años</v>
      </c>
      <c r="DA51" s="2195" t="str">
        <f t="shared" si="100"/>
        <v/>
      </c>
      <c r="DB51" s="1446">
        <f t="shared" si="101"/>
        <v>1</v>
      </c>
      <c r="DC51" s="1446" t="e">
        <f t="shared" si="102"/>
        <v>#VALUE!</v>
      </c>
      <c r="DD51" s="1446" t="e">
        <f t="shared" si="103"/>
        <v>#VALUE!</v>
      </c>
      <c r="DE51" s="1446">
        <f t="shared" si="104"/>
        <v>1</v>
      </c>
      <c r="DF51" s="1446">
        <f t="shared" si="105"/>
        <v>1</v>
      </c>
      <c r="DG51" s="1446">
        <f t="shared" si="59"/>
        <v>1</v>
      </c>
      <c r="DH51" s="1446">
        <f t="shared" si="60"/>
        <v>1</v>
      </c>
      <c r="DI51" s="1446">
        <f t="shared" si="61"/>
        <v>1</v>
      </c>
      <c r="DJ51" s="1446">
        <f t="shared" si="62"/>
        <v>1</v>
      </c>
      <c r="DK51" s="1446">
        <f t="shared" si="63"/>
        <v>1</v>
      </c>
      <c r="DL51" s="1446">
        <f t="shared" si="64"/>
        <v>1</v>
      </c>
      <c r="DM51" s="1446">
        <f t="shared" si="65"/>
        <v>1</v>
      </c>
      <c r="DN51" s="1446">
        <f t="shared" si="66"/>
        <v>1</v>
      </c>
      <c r="DO51" s="1446">
        <f t="shared" si="67"/>
        <v>1</v>
      </c>
      <c r="DP51" s="1446">
        <f t="shared" si="68"/>
        <v>1</v>
      </c>
      <c r="DQ51" s="1446">
        <f t="shared" si="69"/>
        <v>1</v>
      </c>
      <c r="DR51" s="1446">
        <f t="shared" si="70"/>
        <v>1</v>
      </c>
      <c r="DS51" s="1446">
        <f t="shared" si="71"/>
        <v>1</v>
      </c>
      <c r="DT51" s="1446">
        <f t="shared" si="72"/>
        <v>1</v>
      </c>
      <c r="DU51" s="1446">
        <f t="shared" si="73"/>
        <v>1</v>
      </c>
      <c r="DV51" s="1446">
        <f t="shared" si="74"/>
        <v>1</v>
      </c>
      <c r="DW51" s="1446">
        <f t="shared" si="75"/>
        <v>1</v>
      </c>
      <c r="DX51" s="1446">
        <f t="shared" si="76"/>
        <v>1</v>
      </c>
      <c r="DY51" s="1446">
        <f t="shared" si="77"/>
        <v>1</v>
      </c>
      <c r="DZ51" s="1446">
        <f t="shared" si="78"/>
        <v>1</v>
      </c>
      <c r="EA51" s="1446">
        <f t="shared" si="79"/>
        <v>0</v>
      </c>
    </row>
    <row r="52" spans="1:131" ht="31.95" customHeight="1" x14ac:dyDescent="0.3">
      <c r="B52" s="942" t="s">
        <v>2542</v>
      </c>
      <c r="C52" s="942"/>
      <c r="D52" s="942"/>
      <c r="E52" s="133"/>
      <c r="F52" s="133"/>
      <c r="G52" s="133"/>
      <c r="H52" s="133"/>
      <c r="J52" s="133"/>
      <c r="K52" s="108"/>
      <c r="L52" s="108"/>
      <c r="M52" s="108"/>
      <c r="N52" s="108"/>
      <c r="O52" s="108"/>
      <c r="P52" s="108"/>
      <c r="Q52" s="108"/>
      <c r="R52" s="140"/>
      <c r="AY52" s="1191"/>
      <c r="AZ52" s="1191"/>
      <c r="BA52" s="1191"/>
      <c r="BB52" s="1191"/>
      <c r="BC52" s="1191"/>
      <c r="BD52" s="1191"/>
      <c r="BE52" s="1191"/>
      <c r="BF52" s="1191"/>
      <c r="BG52" s="1191"/>
      <c r="BH52" s="1191"/>
      <c r="BI52" s="1191"/>
      <c r="BJ52" s="1191"/>
      <c r="BK52" s="1191"/>
      <c r="BL52" s="1191"/>
      <c r="BM52" s="1191"/>
      <c r="BN52" s="1191"/>
      <c r="BU52" s="1123"/>
      <c r="BV52" s="1123"/>
      <c r="BW52" s="1547"/>
      <c r="BX52" s="1547"/>
    </row>
    <row r="53" spans="1:131" ht="31.95" customHeight="1" x14ac:dyDescent="0.3">
      <c r="B53" s="8638" t="s">
        <v>1781</v>
      </c>
      <c r="C53" s="9629" t="s">
        <v>24</v>
      </c>
      <c r="D53" s="9966"/>
      <c r="E53" s="8645" t="s">
        <v>725</v>
      </c>
      <c r="F53" s="8646"/>
      <c r="G53" s="8646"/>
      <c r="H53" s="8646"/>
      <c r="I53" s="8646"/>
      <c r="J53" s="8646"/>
      <c r="K53" s="8646"/>
      <c r="L53" s="8646"/>
      <c r="M53" s="8646"/>
      <c r="N53" s="8646"/>
      <c r="O53" s="8646"/>
      <c r="P53" s="8646"/>
      <c r="Q53" s="8646"/>
      <c r="R53" s="8646"/>
      <c r="S53" s="8646"/>
      <c r="T53" s="8646"/>
      <c r="U53" s="8646"/>
      <c r="V53" s="8646"/>
      <c r="W53" s="8646"/>
      <c r="X53" s="8646"/>
      <c r="Y53" s="8646"/>
      <c r="Z53" s="8646"/>
      <c r="AA53" s="8646"/>
      <c r="AB53" s="8646"/>
      <c r="AC53" s="8646"/>
      <c r="AD53" s="8646"/>
      <c r="AE53" s="8646"/>
      <c r="AF53" s="8646"/>
      <c r="AG53" s="8646"/>
      <c r="AH53" s="8646"/>
      <c r="AI53" s="8646"/>
      <c r="AJ53" s="8646"/>
      <c r="AK53" s="8646"/>
      <c r="AL53" s="8646"/>
      <c r="AM53" s="8646"/>
      <c r="AN53" s="8646"/>
      <c r="AO53" s="8646"/>
      <c r="AP53" s="8646"/>
      <c r="AQ53" s="8646"/>
      <c r="AR53" s="9969"/>
      <c r="AS53" s="9970" t="s">
        <v>1782</v>
      </c>
      <c r="AT53" s="9971"/>
      <c r="AU53" s="9972" t="s">
        <v>713</v>
      </c>
      <c r="AV53" s="9973"/>
      <c r="AW53" s="9976" t="s">
        <v>362</v>
      </c>
      <c r="AX53" s="9978" t="s">
        <v>361</v>
      </c>
      <c r="AY53" s="1191"/>
      <c r="AZ53" s="1191"/>
      <c r="BA53" s="1191"/>
      <c r="BB53" s="1191"/>
      <c r="BC53" s="1191"/>
      <c r="BD53" s="1191"/>
      <c r="BE53" s="1191"/>
      <c r="BF53" s="1191"/>
      <c r="BG53" s="1191"/>
      <c r="BH53" s="1191"/>
      <c r="BI53" s="1191"/>
      <c r="BJ53" s="1191"/>
      <c r="BK53" s="1191"/>
      <c r="BL53" s="1191"/>
      <c r="BM53" s="1191"/>
      <c r="BV53" s="1191"/>
      <c r="BW53" s="1547"/>
      <c r="BX53" s="1547"/>
    </row>
    <row r="54" spans="1:131" ht="16.2" customHeight="1" x14ac:dyDescent="0.3">
      <c r="B54" s="8705"/>
      <c r="C54" s="9967"/>
      <c r="D54" s="9968"/>
      <c r="E54" s="8648" t="s">
        <v>724</v>
      </c>
      <c r="F54" s="9970"/>
      <c r="G54" s="8648" t="s">
        <v>723</v>
      </c>
      <c r="H54" s="9970"/>
      <c r="I54" s="8648" t="s">
        <v>722</v>
      </c>
      <c r="J54" s="8650"/>
      <c r="K54" s="9970" t="s">
        <v>1823</v>
      </c>
      <c r="L54" s="9970"/>
      <c r="M54" s="8648" t="s">
        <v>1415</v>
      </c>
      <c r="N54" s="9970"/>
      <c r="O54" s="8648" t="s">
        <v>79</v>
      </c>
      <c r="P54" s="9970"/>
      <c r="Q54" s="8648" t="s">
        <v>80</v>
      </c>
      <c r="R54" s="9970"/>
      <c r="S54" s="8648" t="s">
        <v>81</v>
      </c>
      <c r="T54" s="9970"/>
      <c r="U54" s="8648" t="s">
        <v>115</v>
      </c>
      <c r="V54" s="8650"/>
      <c r="W54" s="8648" t="s">
        <v>116</v>
      </c>
      <c r="X54" s="8650"/>
      <c r="Y54" s="8648" t="s">
        <v>117</v>
      </c>
      <c r="Z54" s="8650"/>
      <c r="AA54" s="8648" t="s">
        <v>118</v>
      </c>
      <c r="AB54" s="8650"/>
      <c r="AC54" s="8648" t="s">
        <v>119</v>
      </c>
      <c r="AD54" s="8650"/>
      <c r="AE54" s="8648" t="s">
        <v>120</v>
      </c>
      <c r="AF54" s="8650"/>
      <c r="AG54" s="8648" t="s">
        <v>1414</v>
      </c>
      <c r="AH54" s="8650"/>
      <c r="AI54" s="8648" t="s">
        <v>1406</v>
      </c>
      <c r="AJ54" s="8650"/>
      <c r="AK54" s="8648" t="s">
        <v>1397</v>
      </c>
      <c r="AL54" s="8650"/>
      <c r="AM54" s="8648" t="s">
        <v>1396</v>
      </c>
      <c r="AN54" s="8650"/>
      <c r="AO54" s="8648" t="s">
        <v>1395</v>
      </c>
      <c r="AP54" s="8650"/>
      <c r="AQ54" s="8648" t="s">
        <v>1405</v>
      </c>
      <c r="AR54" s="9971"/>
      <c r="AS54" s="9979" t="s">
        <v>17</v>
      </c>
      <c r="AT54" s="9981" t="s">
        <v>18</v>
      </c>
      <c r="AU54" s="9974"/>
      <c r="AV54" s="9975"/>
      <c r="AW54" s="8596"/>
      <c r="AX54" s="8581"/>
      <c r="AY54" s="1191"/>
      <c r="AZ54" s="1191"/>
      <c r="BA54" s="1191"/>
      <c r="BB54" s="1191"/>
      <c r="BC54" s="1191"/>
      <c r="BD54" s="1191"/>
      <c r="BE54" s="1191"/>
      <c r="BF54" s="1191"/>
      <c r="BG54" s="1191"/>
      <c r="BH54" s="1191"/>
      <c r="BI54" s="1191"/>
      <c r="BJ54" s="1191"/>
      <c r="BK54" s="1191"/>
      <c r="BL54" s="1191"/>
      <c r="BM54" s="1191"/>
      <c r="BV54" s="1191"/>
    </row>
    <row r="55" spans="1:131" ht="16.2" customHeight="1" x14ac:dyDescent="0.3">
      <c r="B55" s="8639"/>
      <c r="C55" s="1127" t="s">
        <v>1783</v>
      </c>
      <c r="D55" s="940" t="s">
        <v>1784</v>
      </c>
      <c r="E55" s="1124" t="s">
        <v>1783</v>
      </c>
      <c r="F55" s="914" t="s">
        <v>1784</v>
      </c>
      <c r="G55" s="1124" t="s">
        <v>1783</v>
      </c>
      <c r="H55" s="914" t="s">
        <v>1784</v>
      </c>
      <c r="I55" s="1124" t="s">
        <v>1783</v>
      </c>
      <c r="J55" s="940" t="s">
        <v>1784</v>
      </c>
      <c r="K55" s="1127" t="s">
        <v>1783</v>
      </c>
      <c r="L55" s="914" t="s">
        <v>1784</v>
      </c>
      <c r="M55" s="1124" t="s">
        <v>1783</v>
      </c>
      <c r="N55" s="914" t="s">
        <v>1784</v>
      </c>
      <c r="O55" s="1124" t="s">
        <v>1783</v>
      </c>
      <c r="P55" s="914" t="s">
        <v>1784</v>
      </c>
      <c r="Q55" s="1124" t="s">
        <v>1783</v>
      </c>
      <c r="R55" s="914" t="s">
        <v>1784</v>
      </c>
      <c r="S55" s="1124" t="s">
        <v>1783</v>
      </c>
      <c r="T55" s="914" t="s">
        <v>1784</v>
      </c>
      <c r="U55" s="1124" t="s">
        <v>1783</v>
      </c>
      <c r="V55" s="914" t="s">
        <v>1784</v>
      </c>
      <c r="W55" s="1124" t="s">
        <v>1783</v>
      </c>
      <c r="X55" s="914" t="s">
        <v>1784</v>
      </c>
      <c r="Y55" s="1124" t="s">
        <v>1783</v>
      </c>
      <c r="Z55" s="914" t="s">
        <v>1784</v>
      </c>
      <c r="AA55" s="1124" t="s">
        <v>1783</v>
      </c>
      <c r="AB55" s="914" t="s">
        <v>1784</v>
      </c>
      <c r="AC55" s="1124" t="s">
        <v>1783</v>
      </c>
      <c r="AD55" s="914" t="s">
        <v>1784</v>
      </c>
      <c r="AE55" s="1124" t="s">
        <v>1783</v>
      </c>
      <c r="AF55" s="914" t="s">
        <v>1784</v>
      </c>
      <c r="AG55" s="1124" t="s">
        <v>1783</v>
      </c>
      <c r="AH55" s="914" t="s">
        <v>1784</v>
      </c>
      <c r="AI55" s="1124" t="s">
        <v>1783</v>
      </c>
      <c r="AJ55" s="914" t="s">
        <v>1784</v>
      </c>
      <c r="AK55" s="1124" t="s">
        <v>1783</v>
      </c>
      <c r="AL55" s="914" t="s">
        <v>1784</v>
      </c>
      <c r="AM55" s="1124" t="s">
        <v>1783</v>
      </c>
      <c r="AN55" s="914" t="s">
        <v>1784</v>
      </c>
      <c r="AO55" s="1124" t="s">
        <v>1783</v>
      </c>
      <c r="AP55" s="914" t="s">
        <v>1784</v>
      </c>
      <c r="AQ55" s="1124" t="s">
        <v>1783</v>
      </c>
      <c r="AR55" s="1128" t="s">
        <v>1784</v>
      </c>
      <c r="AS55" s="9980"/>
      <c r="AT55" s="9982"/>
      <c r="AU55" s="2147" t="s">
        <v>358</v>
      </c>
      <c r="AV55" s="2072" t="s">
        <v>359</v>
      </c>
      <c r="AW55" s="9977"/>
      <c r="AX55" s="8582"/>
      <c r="AY55" s="1191"/>
      <c r="AZ55" s="1191"/>
      <c r="BA55" s="1191"/>
      <c r="BB55" s="1191"/>
      <c r="BC55" s="1191"/>
      <c r="BD55" s="1191"/>
      <c r="BE55" s="1191"/>
      <c r="BF55" s="1191"/>
      <c r="BG55" s="1191"/>
      <c r="BH55" s="1191"/>
      <c r="BI55" s="1191"/>
      <c r="BJ55" s="1191"/>
      <c r="BK55" s="1191"/>
      <c r="BL55" s="1191"/>
      <c r="BM55" s="1191"/>
      <c r="BV55" s="1191"/>
    </row>
    <row r="56" spans="1:131" ht="16.2" customHeight="1" x14ac:dyDescent="0.3">
      <c r="A56" s="7258">
        <v>11056400</v>
      </c>
      <c r="B56" s="2031" t="s">
        <v>1785</v>
      </c>
      <c r="C56" s="1996" t="s">
        <v>5369</v>
      </c>
      <c r="D56" s="2043" t="s">
        <v>5370</v>
      </c>
      <c r="E56" s="1130" t="s">
        <v>5371</v>
      </c>
      <c r="F56" s="1131" t="s">
        <v>5372</v>
      </c>
      <c r="G56" s="1132" t="s">
        <v>5373</v>
      </c>
      <c r="H56" s="1131" t="s">
        <v>5374</v>
      </c>
      <c r="I56" s="1132" t="s">
        <v>5375</v>
      </c>
      <c r="J56" s="1131" t="s">
        <v>5376</v>
      </c>
      <c r="K56" s="1132" t="s">
        <v>5377</v>
      </c>
      <c r="L56" s="1131" t="s">
        <v>5378</v>
      </c>
      <c r="M56" s="1132" t="s">
        <v>5379</v>
      </c>
      <c r="N56" s="1133" t="s">
        <v>5380</v>
      </c>
      <c r="O56" s="1134" t="s">
        <v>5381</v>
      </c>
      <c r="P56" s="1135" t="s">
        <v>5382</v>
      </c>
      <c r="Q56" s="1114" t="s">
        <v>5383</v>
      </c>
      <c r="R56" s="1135" t="s">
        <v>5384</v>
      </c>
      <c r="S56" s="1114" t="s">
        <v>5385</v>
      </c>
      <c r="T56" s="1135" t="s">
        <v>5386</v>
      </c>
      <c r="U56" s="1114" t="s">
        <v>5387</v>
      </c>
      <c r="V56" s="1135" t="s">
        <v>5388</v>
      </c>
      <c r="W56" s="1114" t="s">
        <v>5389</v>
      </c>
      <c r="X56" s="1135" t="s">
        <v>5390</v>
      </c>
      <c r="Y56" s="1114" t="s">
        <v>5391</v>
      </c>
      <c r="Z56" s="1135" t="s">
        <v>5392</v>
      </c>
      <c r="AA56" s="1114" t="s">
        <v>5393</v>
      </c>
      <c r="AB56" s="1135" t="s">
        <v>5394</v>
      </c>
      <c r="AC56" s="1114" t="s">
        <v>5395</v>
      </c>
      <c r="AD56" s="1135" t="s">
        <v>5396</v>
      </c>
      <c r="AE56" s="1114" t="s">
        <v>5397</v>
      </c>
      <c r="AF56" s="1135" t="s">
        <v>5398</v>
      </c>
      <c r="AG56" s="1114" t="s">
        <v>5399</v>
      </c>
      <c r="AH56" s="1135" t="s">
        <v>5400</v>
      </c>
      <c r="AI56" s="1114" t="s">
        <v>5401</v>
      </c>
      <c r="AJ56" s="1135" t="s">
        <v>5402</v>
      </c>
      <c r="AK56" s="1114" t="s">
        <v>5403</v>
      </c>
      <c r="AL56" s="1135" t="s">
        <v>5404</v>
      </c>
      <c r="AM56" s="1114" t="s">
        <v>5405</v>
      </c>
      <c r="AN56" s="1135" t="s">
        <v>5406</v>
      </c>
      <c r="AO56" s="1114" t="s">
        <v>5407</v>
      </c>
      <c r="AP56" s="1135" t="s">
        <v>5408</v>
      </c>
      <c r="AQ56" s="1114" t="s">
        <v>5409</v>
      </c>
      <c r="AR56" s="1136" t="s">
        <v>5410</v>
      </c>
      <c r="AS56" s="1137" t="s">
        <v>5411</v>
      </c>
      <c r="AT56" s="1136" t="s">
        <v>5412</v>
      </c>
      <c r="AU56" s="1134" t="s">
        <v>5413</v>
      </c>
      <c r="AV56" s="1135" t="s">
        <v>5414</v>
      </c>
      <c r="AW56" s="1114" t="s">
        <v>5415</v>
      </c>
      <c r="AX56" s="1118" t="s">
        <v>5416</v>
      </c>
      <c r="AY56" s="1197" t="e">
        <f t="shared" ref="AY56:AY73" si="106">$CB56&amp;$CC56&amp;$CD56&amp;$CE56&amp;$CF56&amp;$CG56&amp;$CH56&amp;$CI56&amp;$CJ56&amp;$CK56&amp;$CL56&amp;$CM56&amp;$CN56&amp;$CO56&amp;$CP56&amp;$CQ56&amp;$CR56&amp;$CS56&amp;$CT56&amp;$CU56&amp;$CV56&amp;$CW56&amp;$CX56&amp;$CY56&amp;$CZ56&amp;$DA56</f>
        <v>#VALUE!</v>
      </c>
      <c r="AZ56" s="1197"/>
      <c r="BA56" s="1197"/>
      <c r="BB56" s="1197"/>
      <c r="BC56" s="1197"/>
      <c r="BD56" s="1197"/>
      <c r="BE56" s="1197"/>
      <c r="BF56" s="1197"/>
      <c r="BG56" s="1197"/>
      <c r="BH56" s="1197"/>
      <c r="BI56" s="1197"/>
      <c r="BJ56" s="1191"/>
      <c r="BK56" s="1191"/>
      <c r="BL56" s="1191"/>
      <c r="BM56" s="1191"/>
      <c r="BV56" s="1191"/>
      <c r="BX56" s="1547"/>
      <c r="CB56" s="2195" t="str">
        <f t="shared" ref="CB56:CB73" si="107">IF(C56&lt;D56,"* El total de Reactivos NO DEBE ser superior al total de Procesados. ","")</f>
        <v xml:space="preserve">* El total de Reactivos NO DEBE ser superior al total de Procesados. </v>
      </c>
      <c r="CC56" s="2195" t="e">
        <f t="shared" ref="CC56:CC73" si="108">IF(C56&lt;&gt;(AS56+ AT56),"* La suma de las columnas Sexo DEBE SER IGUAL a los Procesados. ","")</f>
        <v>#VALUE!</v>
      </c>
      <c r="CD56" s="2195" t="e">
        <f t="shared" ref="CD56:CD73" si="109">IF(C56&lt;(AU56+ AV56),"* La suma de las columna Trans NO DEBE ser superior al total de Procesados. ","")</f>
        <v>#VALUE!</v>
      </c>
      <c r="CE56" s="2195" t="str">
        <f t="shared" ref="CE56:CE73" si="110">IF(C56&lt;AW56,"* La columna Pueblos Originarios NO DEBE ser superior al total de Procesados. ","")</f>
        <v xml:space="preserve">* La columna Pueblos Originarios NO DEBE ser superior al total de Procesados. </v>
      </c>
      <c r="CF56" s="2195" t="str">
        <f t="shared" ref="CF56:CF73" si="111">IF(C56&lt;AX56,"* La columna Migrantes NO DEBE ser superior al total de Procesados. ","")</f>
        <v xml:space="preserve">* La columna Migrantes NO DEBE ser superior al total de Procesados. </v>
      </c>
      <c r="CG56" s="2195" t="str">
        <f>IF(E56&lt;F56,CONCATENATE("* El total de procesados debe ser mayor o igual al total de Reactivos en el grupo de edad ",$E$54),"")</f>
        <v>* El total de procesados debe ser mayor o igual al total de Reactivos en el grupo de edad Menor de 6 meses</v>
      </c>
      <c r="CH56" s="2195" t="str">
        <f>IF(G56&lt;H56,CONCATENATE("* El total de procesados debe ser mayor o igual al total de Reactivos en el grupo de edad ",$G$54),"")</f>
        <v>* El total de procesados debe ser mayor o igual al total de Reactivos en el grupo de edad 6 a 11 meses</v>
      </c>
      <c r="CI56" s="2195" t="str">
        <f>IF(I56&lt;J56,CONCATENATE("* El total de procesados debe ser mayor o igual al total de Reactivos en el grupo de edad ",$I$54),"")</f>
        <v>* El total de procesados debe ser mayor o igual al total de Reactivos en el grupo de edad 12-24 meses</v>
      </c>
      <c r="CJ56" s="2195" t="str">
        <f>IF(K56&lt;L56,CONCATENATE("* El total de procesados debe ser mayor o igual al total de Reactivos en el grupo de edad ",$K$54),"")</f>
        <v>* El total de procesados debe ser mayor o igual al total de Reactivos en el grupo de edad 3 a 4 años</v>
      </c>
      <c r="CK56" s="2195" t="str">
        <f>IF(M56&lt;N56,CONCATENATE("* El total de procesados debe ser mayor o igual al total de Reactivos en el grupo de edad ",$M$54),"")</f>
        <v>* El total de procesados debe ser mayor o igual al total de Reactivos en el grupo de edad 5 a 9 años</v>
      </c>
      <c r="CL56" s="2195" t="str">
        <f>IF(O56&lt;P56,CONCATENATE("* El total de procesados debe ser mayor o igual al total de Reactivos en el grupo de edad ",$O$54),"")</f>
        <v>* El total de procesados debe ser mayor o igual al total de Reactivos en el grupo de edad 10 - 14 años</v>
      </c>
      <c r="CM56" s="2195" t="str">
        <f>IF(Q56&lt;R56,CONCATENATE("* El total de procesados debe ser mayor o igual al total de Reactivos en el grupo de edad ",$Q$54),"")</f>
        <v>* El total de procesados debe ser mayor o igual al total de Reactivos en el grupo de edad 15 - 19 años</v>
      </c>
      <c r="CN56" s="2195" t="str">
        <f>IF(S56&lt;T56,CONCATENATE("* El total de procesados debe ser mayor o igual al total de Reactivos en el grupo de edad ",$S$54),"")</f>
        <v>* El total de procesados debe ser mayor o igual al total de Reactivos en el grupo de edad 20 - 24 años</v>
      </c>
      <c r="CO56" s="2195" t="str">
        <f>IF(U56&lt;V56,CONCATENATE("* El total de procesados debe ser mayor o igual al total de Reactivos en el grupo de edad ",$U$54),"")</f>
        <v>* El total de procesados debe ser mayor o igual al total de Reactivos en el grupo de edad 25 a 29 años</v>
      </c>
      <c r="CP56" s="2195" t="str">
        <f>IF(W56&lt;X56,CONCATENATE("* El total de procesados debe ser mayor o igual al total de Reactivos en el grupo de edad ",$W$54),"")</f>
        <v>* El total de procesados debe ser mayor o igual al total de Reactivos en el grupo de edad 30 a 34 años</v>
      </c>
      <c r="CQ56" s="2195" t="str">
        <f>IF(Y56&lt;Z56,CONCATENATE("* El total de procesados debe ser mayor o igual al total de Reactivos en el grupo de edad ",$Y$54),"")</f>
        <v>* El total de procesados debe ser mayor o igual al total de Reactivos en el grupo de edad 35 a 39 años</v>
      </c>
      <c r="CR56" s="2195" t="str">
        <f>IF(AA56&lt;AB56,CONCATENATE("* El total de procesados debe ser mayor o igual al total de Reactivos en el grupo de edad ",$AA$54),"")</f>
        <v>* El total de procesados debe ser mayor o igual al total de Reactivos en el grupo de edad 40 a 44 años</v>
      </c>
      <c r="CS56" s="2195" t="str">
        <f>IF(AC56&lt;AD56,CONCATENATE("* El total de procesados debe ser mayor o igual al total de Reactivos en el grupo de edad ",$AC$54),"")</f>
        <v>* El total de procesados debe ser mayor o igual al total de Reactivos en el grupo de edad 45 a 49 años</v>
      </c>
      <c r="CT56" s="2195" t="str">
        <f>IF(AE56&lt;AF56,CONCATENATE("* El total de procesados debe ser mayor o igual al total de Reactivos en el grupo de edad ",$AE$54),"")</f>
        <v>* El total de procesados debe ser mayor o igual al total de Reactivos en el grupo de edad 50 a 54 años</v>
      </c>
      <c r="CU56" s="2195" t="str">
        <f>IF(AG56&lt;AH56,CONCATENATE("* El total de procesados debe ser mayor o igual al total de Reactivos en el grupo de edad ",$AG$54),"")</f>
        <v>* El total de procesados debe ser mayor o igual al total de Reactivos en el grupo de edad 55 a 59 años</v>
      </c>
      <c r="CV56" s="2195" t="str">
        <f>IF(AI56&lt;AJ56,CONCATENATE("* El total de procesados debe ser mayor o igual al total de Reactivos en el grupo de edad ",$AI$54),"")</f>
        <v>* El total de procesados debe ser mayor o igual al total de Reactivos en el grupo de edad 60 a 64 años</v>
      </c>
      <c r="CW56" s="2195" t="str">
        <f>IF(AK56&lt;AL56,CONCATENATE("* El total de procesados debe ser mayor o igual al total de Reactivos en el grupo de edad ",$AK$54),"")</f>
        <v>* El total de procesados debe ser mayor o igual al total de Reactivos en el grupo de edad 65 a 69 años</v>
      </c>
      <c r="CX56" s="2195" t="str">
        <f>IF(AM56&lt;AN56,CONCATENATE("* El total de procesados debe ser mayor o igual al total de Reactivos en el grupo de edad ",$AM$54),"")</f>
        <v>* El total de procesados debe ser mayor o igual al total de Reactivos en el grupo de edad 70 a 74 años</v>
      </c>
      <c r="CY56" s="2195" t="str">
        <f>IF(AO56&lt;AP56,CONCATENATE("* El total de procesados debe ser mayor o igual al total de Reactivos en el grupo de edad ",$AO$54),"")</f>
        <v>* El total de procesados debe ser mayor o igual al total de Reactivos en el grupo de edad 75 a 79 años</v>
      </c>
      <c r="CZ56" s="2195" t="str">
        <f>IF(AQ56&lt;AR56,CONCATENATE("* El total de procesados debe ser mayor o igual al total de Reactivos en el grupo de edad ",$AQ$54),"")</f>
        <v>* El total de procesados debe ser mayor o igual al total de Reactivos en el grupo de edad 80 y más años</v>
      </c>
      <c r="DA56" s="2195" t="str">
        <f t="shared" ref="DA56:DA73" si="112">IF(AND(C56&lt;&gt;0,OR(AU56="",AV56="",AW56="",AX56="")),"* No olvide digitar la columna Trans y/o Pueblos Originarios y/o Migrantes (Digite Cero si no tiene). ","")</f>
        <v/>
      </c>
      <c r="DB56" s="1446">
        <f t="shared" ref="DB56:DB73" si="113">IF(C56&lt;   D56,1,0)</f>
        <v>1</v>
      </c>
      <c r="DC56" s="1446" t="e">
        <f t="shared" ref="DC56:DC73" si="114">IF(C56&lt;&gt; AS56+AT56,1,0)</f>
        <v>#VALUE!</v>
      </c>
      <c r="DD56" s="1446" t="e">
        <f t="shared" ref="DD56:DD73" si="115">IF(C56&lt;  AU56+AV56,1,0)</f>
        <v>#VALUE!</v>
      </c>
      <c r="DE56" s="1446">
        <f t="shared" ref="DE56:DE73" si="116">IF(C56&lt;  AW56,1,0)</f>
        <v>1</v>
      </c>
      <c r="DF56" s="1446">
        <f t="shared" ref="DF56:DF73" si="117">IF(C56&lt;  AX56,1,0)</f>
        <v>1</v>
      </c>
      <c r="DG56" s="1446">
        <f t="shared" ref="DG56:DG73" si="118">IF(E56&lt;F56,1,0)</f>
        <v>1</v>
      </c>
      <c r="DH56" s="1446">
        <f t="shared" ref="DH56:DH73" si="119">IF(G56&lt;H56,1,0)</f>
        <v>1</v>
      </c>
      <c r="DI56" s="1446">
        <f t="shared" ref="DI56:DI73" si="120">IF(I56&lt;J56,1,0)</f>
        <v>1</v>
      </c>
      <c r="DJ56" s="1446">
        <f t="shared" ref="DJ56:DJ73" si="121">IF(K56&lt;L56,1,0)</f>
        <v>1</v>
      </c>
      <c r="DK56" s="1446">
        <f t="shared" ref="DK56:DK73" si="122">IF(M56&lt;N56,1,0)</f>
        <v>1</v>
      </c>
      <c r="DL56" s="1446">
        <f t="shared" ref="DL56:DL73" si="123">IF(O56&lt;P56,1,0)</f>
        <v>1</v>
      </c>
      <c r="DM56" s="1446">
        <f t="shared" ref="DM56:DM73" si="124">IF(Q56&lt;R56,1,0)</f>
        <v>1</v>
      </c>
      <c r="DN56" s="1446">
        <f t="shared" ref="DN56:DN73" si="125">IF(S56&lt;T56,1,0)</f>
        <v>1</v>
      </c>
      <c r="DO56" s="1446">
        <f t="shared" ref="DO56:DO73" si="126">IF(U56&lt;V56,1,0)</f>
        <v>1</v>
      </c>
      <c r="DP56" s="1446">
        <f t="shared" ref="DP56:DP73" si="127">IF(W56&lt;X56,1,0)</f>
        <v>1</v>
      </c>
      <c r="DQ56" s="1446">
        <f t="shared" ref="DQ56:DQ73" si="128">IF(Y56&lt;Z56,1,0)</f>
        <v>1</v>
      </c>
      <c r="DR56" s="1446">
        <f t="shared" ref="DR56:DR73" si="129">IF(AA56&lt;AB56,1,0)</f>
        <v>1</v>
      </c>
      <c r="DS56" s="1446">
        <f t="shared" ref="DS56:DS73" si="130">IF(AC56&lt;AD56,1,0)</f>
        <v>1</v>
      </c>
      <c r="DT56" s="1446">
        <f t="shared" ref="DT56:DT73" si="131">IF(AE56&lt;AF56,1,0)</f>
        <v>1</v>
      </c>
      <c r="DU56" s="1446">
        <f t="shared" ref="DU56:DU73" si="132">IF(AG56&lt;AH56,1,0)</f>
        <v>1</v>
      </c>
      <c r="DV56" s="1446">
        <f t="shared" ref="DV56:DV73" si="133">IF(AI56&lt;AJ56,1,0)</f>
        <v>1</v>
      </c>
      <c r="DW56" s="1446">
        <f t="shared" ref="DW56:DW73" si="134">IF(AK56&lt;AL56,1,0)</f>
        <v>1</v>
      </c>
      <c r="DX56" s="1446">
        <f t="shared" ref="DX56:DX73" si="135">IF(AM56&lt;AN56,1,0)</f>
        <v>1</v>
      </c>
      <c r="DY56" s="1446">
        <f t="shared" ref="DY56:DY73" si="136">IF(AO56&lt;AP56,1,0)</f>
        <v>1</v>
      </c>
      <c r="DZ56" s="1446">
        <f t="shared" ref="DZ56:DZ73" si="137">IF(AQ56&lt;AR56,1,0)</f>
        <v>1</v>
      </c>
      <c r="EA56" s="1446">
        <f t="shared" ref="EA56:EA73" si="138">IF(AND(C56&lt;&gt;0,OR(AU56="",AV56="",AW56="",AX56="")),1,0)</f>
        <v>0</v>
      </c>
    </row>
    <row r="57" spans="1:131" ht="16.2" customHeight="1" x14ac:dyDescent="0.3">
      <c r="A57" s="7258">
        <v>11056401</v>
      </c>
      <c r="B57" s="2000" t="s">
        <v>1786</v>
      </c>
      <c r="C57" s="1998" t="s">
        <v>5369</v>
      </c>
      <c r="D57" s="2044" t="s">
        <v>5370</v>
      </c>
      <c r="E57" s="1130" t="s">
        <v>5371</v>
      </c>
      <c r="F57" s="1131" t="s">
        <v>5372</v>
      </c>
      <c r="G57" s="1132" t="s">
        <v>5373</v>
      </c>
      <c r="H57" s="1131" t="s">
        <v>5374</v>
      </c>
      <c r="I57" s="1132" t="s">
        <v>5375</v>
      </c>
      <c r="J57" s="1131" t="s">
        <v>5376</v>
      </c>
      <c r="K57" s="1132" t="s">
        <v>5377</v>
      </c>
      <c r="L57" s="1131" t="s">
        <v>5378</v>
      </c>
      <c r="M57" s="1132" t="s">
        <v>5379</v>
      </c>
      <c r="N57" s="1133" t="s">
        <v>5380</v>
      </c>
      <c r="O57" s="1134" t="s">
        <v>5381</v>
      </c>
      <c r="P57" s="1135" t="s">
        <v>5382</v>
      </c>
      <c r="Q57" s="1114" t="s">
        <v>5383</v>
      </c>
      <c r="R57" s="1135" t="s">
        <v>5384</v>
      </c>
      <c r="S57" s="1114" t="s">
        <v>5385</v>
      </c>
      <c r="T57" s="1135" t="s">
        <v>5386</v>
      </c>
      <c r="U57" s="1114" t="s">
        <v>5387</v>
      </c>
      <c r="V57" s="1135" t="s">
        <v>5388</v>
      </c>
      <c r="W57" s="1114" t="s">
        <v>5389</v>
      </c>
      <c r="X57" s="1135" t="s">
        <v>5390</v>
      </c>
      <c r="Y57" s="1114" t="s">
        <v>5391</v>
      </c>
      <c r="Z57" s="1135" t="s">
        <v>5392</v>
      </c>
      <c r="AA57" s="1114" t="s">
        <v>5393</v>
      </c>
      <c r="AB57" s="1135" t="s">
        <v>5394</v>
      </c>
      <c r="AC57" s="1114" t="s">
        <v>5395</v>
      </c>
      <c r="AD57" s="1135" t="s">
        <v>5396</v>
      </c>
      <c r="AE57" s="1114" t="s">
        <v>5397</v>
      </c>
      <c r="AF57" s="1135" t="s">
        <v>5398</v>
      </c>
      <c r="AG57" s="1114" t="s">
        <v>5399</v>
      </c>
      <c r="AH57" s="1135" t="s">
        <v>5400</v>
      </c>
      <c r="AI57" s="1114" t="s">
        <v>5401</v>
      </c>
      <c r="AJ57" s="1135" t="s">
        <v>5402</v>
      </c>
      <c r="AK57" s="1114" t="s">
        <v>5403</v>
      </c>
      <c r="AL57" s="1135" t="s">
        <v>5404</v>
      </c>
      <c r="AM57" s="1114" t="s">
        <v>5405</v>
      </c>
      <c r="AN57" s="1135" t="s">
        <v>5406</v>
      </c>
      <c r="AO57" s="1114" t="s">
        <v>5407</v>
      </c>
      <c r="AP57" s="1135" t="s">
        <v>5408</v>
      </c>
      <c r="AQ57" s="1114" t="s">
        <v>5409</v>
      </c>
      <c r="AR57" s="1136" t="s">
        <v>5410</v>
      </c>
      <c r="AS57" s="1137" t="s">
        <v>5411</v>
      </c>
      <c r="AT57" s="1136" t="s">
        <v>5412</v>
      </c>
      <c r="AU57" s="1134" t="s">
        <v>5413</v>
      </c>
      <c r="AV57" s="1135" t="s">
        <v>5414</v>
      </c>
      <c r="AW57" s="1114" t="s">
        <v>5415</v>
      </c>
      <c r="AX57" s="1118" t="s">
        <v>5416</v>
      </c>
      <c r="AY57" s="1197" t="e">
        <f t="shared" si="106"/>
        <v>#VALUE!</v>
      </c>
      <c r="AZ57" s="1197"/>
      <c r="BA57" s="1197"/>
      <c r="BB57" s="1197"/>
      <c r="BC57" s="1197"/>
      <c r="BD57" s="1197"/>
      <c r="BE57" s="1197"/>
      <c r="BF57" s="1197"/>
      <c r="BG57" s="1197"/>
      <c r="BH57" s="1197"/>
      <c r="BI57" s="1197"/>
      <c r="BJ57" s="1191"/>
      <c r="BK57" s="1191"/>
      <c r="BL57" s="1191"/>
      <c r="BM57" s="1191"/>
      <c r="BV57" s="1191"/>
      <c r="BX57" s="1547"/>
      <c r="CB57" s="2195" t="str">
        <f t="shared" si="107"/>
        <v xml:space="preserve">* El total de Reactivos NO DEBE ser superior al total de Procesados. </v>
      </c>
      <c r="CC57" s="2195" t="e">
        <f t="shared" si="108"/>
        <v>#VALUE!</v>
      </c>
      <c r="CD57" s="2195" t="e">
        <f t="shared" si="109"/>
        <v>#VALUE!</v>
      </c>
      <c r="CE57" s="2195" t="str">
        <f t="shared" si="110"/>
        <v xml:space="preserve">* La columna Pueblos Originarios NO DEBE ser superior al total de Procesados. </v>
      </c>
      <c r="CF57" s="2195" t="str">
        <f t="shared" si="111"/>
        <v xml:space="preserve">* La columna Migrantes NO DEBE ser superior al total de Procesados. </v>
      </c>
      <c r="CG57" s="2195" t="str">
        <f t="shared" ref="CG57:CG73" si="139">IF(E57&lt;F57,CONCATENATE("* El total de procesados debe ser mayor o igual al total de Reactivos en el grupo de edad ",$E$54),"")</f>
        <v>* El total de procesados debe ser mayor o igual al total de Reactivos en el grupo de edad Menor de 6 meses</v>
      </c>
      <c r="CH57" s="2195" t="str">
        <f t="shared" ref="CH57:CH73" si="140">IF(G57&lt;H57,CONCATENATE("* El total de procesados debe ser mayor o igual al total de Reactivos en el grupo de edad ",$G$54),"")</f>
        <v>* El total de procesados debe ser mayor o igual al total de Reactivos en el grupo de edad 6 a 11 meses</v>
      </c>
      <c r="CI57" s="2195" t="str">
        <f t="shared" ref="CI57:CI73" si="141">IF(I57&lt;J57,CONCATENATE("* El total de procesados debe ser mayor o igual al total de Reactivos en el grupo de edad ",$I$54),"")</f>
        <v>* El total de procesados debe ser mayor o igual al total de Reactivos en el grupo de edad 12-24 meses</v>
      </c>
      <c r="CJ57" s="2195" t="str">
        <f t="shared" ref="CJ57:CJ73" si="142">IF(K57&lt;L57,CONCATENATE("* El total de procesados debe ser mayor o igual al total de Reactivos en el grupo de edad ",$K$54),"")</f>
        <v>* El total de procesados debe ser mayor o igual al total de Reactivos en el grupo de edad 3 a 4 años</v>
      </c>
      <c r="CK57" s="2195" t="str">
        <f t="shared" ref="CK57:CK73" si="143">IF(M57&lt;N57,CONCATENATE("* El total de procesados debe ser mayor o igual al total de Reactivos en el grupo de edad ",$M$54),"")</f>
        <v>* El total de procesados debe ser mayor o igual al total de Reactivos en el grupo de edad 5 a 9 años</v>
      </c>
      <c r="CL57" s="2195" t="str">
        <f t="shared" ref="CL57:CL73" si="144">IF(O57&lt;P57,CONCATENATE("* El total de procesados debe ser mayor o igual al total de Reactivos en el grupo de edad ",$O$54),"")</f>
        <v>* El total de procesados debe ser mayor o igual al total de Reactivos en el grupo de edad 10 - 14 años</v>
      </c>
      <c r="CM57" s="2195" t="str">
        <f t="shared" ref="CM57:CM73" si="145">IF(Q57&lt;R57,CONCATENATE("* El total de procesados debe ser mayor o igual al total de Reactivos en el grupo de edad ",$Q$54),"")</f>
        <v>* El total de procesados debe ser mayor o igual al total de Reactivos en el grupo de edad 15 - 19 años</v>
      </c>
      <c r="CN57" s="2195" t="str">
        <f t="shared" ref="CN57:CN73" si="146">IF(S57&lt;T57,CONCATENATE("* El total de procesados debe ser mayor o igual al total de Reactivos en el grupo de edad ",$S$54),"")</f>
        <v>* El total de procesados debe ser mayor o igual al total de Reactivos en el grupo de edad 20 - 24 años</v>
      </c>
      <c r="CO57" s="2195" t="str">
        <f t="shared" ref="CO57:CO73" si="147">IF(U57&lt;V57,CONCATENATE("* El total de procesados debe ser mayor o igual al total de Reactivos en el grupo de edad ",$U$54),"")</f>
        <v>* El total de procesados debe ser mayor o igual al total de Reactivos en el grupo de edad 25 a 29 años</v>
      </c>
      <c r="CP57" s="2195" t="str">
        <f t="shared" ref="CP57:CP73" si="148">IF(W57&lt;X57,CONCATENATE("* El total de procesados debe ser mayor o igual al total de Reactivos en el grupo de edad ",$W$54),"")</f>
        <v>* El total de procesados debe ser mayor o igual al total de Reactivos en el grupo de edad 30 a 34 años</v>
      </c>
      <c r="CQ57" s="2195" t="str">
        <f t="shared" ref="CQ57:CQ73" si="149">IF(Y57&lt;Z57,CONCATENATE("* El total de procesados debe ser mayor o igual al total de Reactivos en el grupo de edad ",$Y$54),"")</f>
        <v>* El total de procesados debe ser mayor o igual al total de Reactivos en el grupo de edad 35 a 39 años</v>
      </c>
      <c r="CR57" s="2195" t="str">
        <f t="shared" ref="CR57:CR73" si="150">IF(AA57&lt;AB57,CONCATENATE("* El total de procesados debe ser mayor o igual al total de Reactivos en el grupo de edad ",$AA$54),"")</f>
        <v>* El total de procesados debe ser mayor o igual al total de Reactivos en el grupo de edad 40 a 44 años</v>
      </c>
      <c r="CS57" s="2195" t="str">
        <f t="shared" ref="CS57:CS73" si="151">IF(AC57&lt;AD57,CONCATENATE("* El total de procesados debe ser mayor o igual al total de Reactivos en el grupo de edad ",$AC$54),"")</f>
        <v>* El total de procesados debe ser mayor o igual al total de Reactivos en el grupo de edad 45 a 49 años</v>
      </c>
      <c r="CT57" s="2195" t="str">
        <f t="shared" ref="CT57:CT73" si="152">IF(AE57&lt;AF57,CONCATENATE("* El total de procesados debe ser mayor o igual al total de Reactivos en el grupo de edad ",$AE$54),"")</f>
        <v>* El total de procesados debe ser mayor o igual al total de Reactivos en el grupo de edad 50 a 54 años</v>
      </c>
      <c r="CU57" s="2195" t="str">
        <f t="shared" ref="CU57:CU73" si="153">IF(AG57&lt;AH57,CONCATENATE("* El total de procesados debe ser mayor o igual al total de Reactivos en el grupo de edad ",$AG$54),"")</f>
        <v>* El total de procesados debe ser mayor o igual al total de Reactivos en el grupo de edad 55 a 59 años</v>
      </c>
      <c r="CV57" s="2195" t="str">
        <f t="shared" ref="CV57:CV73" si="154">IF(AI57&lt;AJ57,CONCATENATE("* El total de procesados debe ser mayor o igual al total de Reactivos en el grupo de edad ",$AI$54),"")</f>
        <v>* El total de procesados debe ser mayor o igual al total de Reactivos en el grupo de edad 60 a 64 años</v>
      </c>
      <c r="CW57" s="2195" t="str">
        <f t="shared" ref="CW57:CW73" si="155">IF(AK57&lt;AL57,CONCATENATE("* El total de procesados debe ser mayor o igual al total de Reactivos en el grupo de edad ",$AK$54),"")</f>
        <v>* El total de procesados debe ser mayor o igual al total de Reactivos en el grupo de edad 65 a 69 años</v>
      </c>
      <c r="CX57" s="2195" t="str">
        <f t="shared" ref="CX57:CX73" si="156">IF(AM57&lt;AN57,CONCATENATE("* El total de procesados debe ser mayor o igual al total de Reactivos en el grupo de edad ",$AM$54),"")</f>
        <v>* El total de procesados debe ser mayor o igual al total de Reactivos en el grupo de edad 70 a 74 años</v>
      </c>
      <c r="CY57" s="2195" t="str">
        <f t="shared" ref="CY57:CY73" si="157">IF(AO57&lt;AP57,CONCATENATE("* El total de procesados debe ser mayor o igual al total de Reactivos en el grupo de edad ",$AO$54),"")</f>
        <v>* El total de procesados debe ser mayor o igual al total de Reactivos en el grupo de edad 75 a 79 años</v>
      </c>
      <c r="CZ57" s="2195" t="str">
        <f t="shared" ref="CZ57:CZ73" si="158">IF(AQ57&lt;AR57,CONCATENATE("* El total de procesados debe ser mayor o igual al total de Reactivos en el grupo de edad ",$AQ$54),"")</f>
        <v>* El total de procesados debe ser mayor o igual al total de Reactivos en el grupo de edad 80 y más años</v>
      </c>
      <c r="DA57" s="2195" t="str">
        <f t="shared" si="112"/>
        <v/>
      </c>
      <c r="DB57" s="1446">
        <f t="shared" si="113"/>
        <v>1</v>
      </c>
      <c r="DC57" s="1446" t="e">
        <f t="shared" si="114"/>
        <v>#VALUE!</v>
      </c>
      <c r="DD57" s="1446" t="e">
        <f t="shared" si="115"/>
        <v>#VALUE!</v>
      </c>
      <c r="DE57" s="1446">
        <f t="shared" si="116"/>
        <v>1</v>
      </c>
      <c r="DF57" s="1446">
        <f t="shared" si="117"/>
        <v>1</v>
      </c>
      <c r="DG57" s="1446">
        <f t="shared" si="118"/>
        <v>1</v>
      </c>
      <c r="DH57" s="1446">
        <f t="shared" si="119"/>
        <v>1</v>
      </c>
      <c r="DI57" s="1446">
        <f t="shared" si="120"/>
        <v>1</v>
      </c>
      <c r="DJ57" s="1446">
        <f t="shared" si="121"/>
        <v>1</v>
      </c>
      <c r="DK57" s="1446">
        <f t="shared" si="122"/>
        <v>1</v>
      </c>
      <c r="DL57" s="1446">
        <f t="shared" si="123"/>
        <v>1</v>
      </c>
      <c r="DM57" s="1446">
        <f t="shared" si="124"/>
        <v>1</v>
      </c>
      <c r="DN57" s="1446">
        <f t="shared" si="125"/>
        <v>1</v>
      </c>
      <c r="DO57" s="1446">
        <f t="shared" si="126"/>
        <v>1</v>
      </c>
      <c r="DP57" s="1446">
        <f t="shared" si="127"/>
        <v>1</v>
      </c>
      <c r="DQ57" s="1446">
        <f t="shared" si="128"/>
        <v>1</v>
      </c>
      <c r="DR57" s="1446">
        <f t="shared" si="129"/>
        <v>1</v>
      </c>
      <c r="DS57" s="1446">
        <f t="shared" si="130"/>
        <v>1</v>
      </c>
      <c r="DT57" s="1446">
        <f t="shared" si="131"/>
        <v>1</v>
      </c>
      <c r="DU57" s="1446">
        <f t="shared" si="132"/>
        <v>1</v>
      </c>
      <c r="DV57" s="1446">
        <f t="shared" si="133"/>
        <v>1</v>
      </c>
      <c r="DW57" s="1446">
        <f t="shared" si="134"/>
        <v>1</v>
      </c>
      <c r="DX57" s="1446">
        <f t="shared" si="135"/>
        <v>1</v>
      </c>
      <c r="DY57" s="1446">
        <f t="shared" si="136"/>
        <v>1</v>
      </c>
      <c r="DZ57" s="1446">
        <f t="shared" si="137"/>
        <v>1</v>
      </c>
      <c r="EA57" s="1446">
        <f t="shared" si="138"/>
        <v>0</v>
      </c>
    </row>
    <row r="58" spans="1:131" ht="16.2" customHeight="1" x14ac:dyDescent="0.3">
      <c r="A58" s="7258">
        <v>11056402</v>
      </c>
      <c r="B58" s="2000" t="s">
        <v>1787</v>
      </c>
      <c r="C58" s="1998" t="s">
        <v>5369</v>
      </c>
      <c r="D58" s="2044" t="s">
        <v>5370</v>
      </c>
      <c r="E58" s="1130" t="s">
        <v>5371</v>
      </c>
      <c r="F58" s="1131" t="s">
        <v>5372</v>
      </c>
      <c r="G58" s="1132" t="s">
        <v>5373</v>
      </c>
      <c r="H58" s="1131" t="s">
        <v>5374</v>
      </c>
      <c r="I58" s="1132" t="s">
        <v>5375</v>
      </c>
      <c r="J58" s="1131" t="s">
        <v>5376</v>
      </c>
      <c r="K58" s="1132" t="s">
        <v>5377</v>
      </c>
      <c r="L58" s="1131" t="s">
        <v>5378</v>
      </c>
      <c r="M58" s="1132" t="s">
        <v>5379</v>
      </c>
      <c r="N58" s="1133" t="s">
        <v>5380</v>
      </c>
      <c r="O58" s="1134" t="s">
        <v>5381</v>
      </c>
      <c r="P58" s="1135" t="s">
        <v>5382</v>
      </c>
      <c r="Q58" s="1114" t="s">
        <v>5383</v>
      </c>
      <c r="R58" s="1135" t="s">
        <v>5384</v>
      </c>
      <c r="S58" s="1114" t="s">
        <v>5385</v>
      </c>
      <c r="T58" s="1135" t="s">
        <v>5386</v>
      </c>
      <c r="U58" s="1114" t="s">
        <v>5387</v>
      </c>
      <c r="V58" s="1135" t="s">
        <v>5388</v>
      </c>
      <c r="W58" s="1114" t="s">
        <v>5389</v>
      </c>
      <c r="X58" s="1135" t="s">
        <v>5390</v>
      </c>
      <c r="Y58" s="1114" t="s">
        <v>5391</v>
      </c>
      <c r="Z58" s="1135" t="s">
        <v>5392</v>
      </c>
      <c r="AA58" s="1114" t="s">
        <v>5393</v>
      </c>
      <c r="AB58" s="1135" t="s">
        <v>5394</v>
      </c>
      <c r="AC58" s="1114" t="s">
        <v>5395</v>
      </c>
      <c r="AD58" s="1135" t="s">
        <v>5396</v>
      </c>
      <c r="AE58" s="1114" t="s">
        <v>5397</v>
      </c>
      <c r="AF58" s="1135" t="s">
        <v>5398</v>
      </c>
      <c r="AG58" s="1114" t="s">
        <v>5399</v>
      </c>
      <c r="AH58" s="1135" t="s">
        <v>5400</v>
      </c>
      <c r="AI58" s="1114" t="s">
        <v>5401</v>
      </c>
      <c r="AJ58" s="1135" t="s">
        <v>5402</v>
      </c>
      <c r="AK58" s="1114" t="s">
        <v>5403</v>
      </c>
      <c r="AL58" s="1135" t="s">
        <v>5404</v>
      </c>
      <c r="AM58" s="1114" t="s">
        <v>5405</v>
      </c>
      <c r="AN58" s="1135" t="s">
        <v>5406</v>
      </c>
      <c r="AO58" s="1114" t="s">
        <v>5407</v>
      </c>
      <c r="AP58" s="1135" t="s">
        <v>5408</v>
      </c>
      <c r="AQ58" s="1114" t="s">
        <v>5409</v>
      </c>
      <c r="AR58" s="1136" t="s">
        <v>5410</v>
      </c>
      <c r="AS58" s="1137" t="s">
        <v>5411</v>
      </c>
      <c r="AT58" s="1136" t="s">
        <v>5412</v>
      </c>
      <c r="AU58" s="1134" t="s">
        <v>5413</v>
      </c>
      <c r="AV58" s="1135" t="s">
        <v>5414</v>
      </c>
      <c r="AW58" s="1114" t="s">
        <v>5415</v>
      </c>
      <c r="AX58" s="1118" t="s">
        <v>5416</v>
      </c>
      <c r="AY58" s="1197" t="e">
        <f t="shared" si="106"/>
        <v>#VALUE!</v>
      </c>
      <c r="AZ58" s="1197"/>
      <c r="BA58" s="1197"/>
      <c r="BB58" s="1197"/>
      <c r="BC58" s="1197"/>
      <c r="BD58" s="1197"/>
      <c r="BE58" s="1197"/>
      <c r="BF58" s="1197"/>
      <c r="BG58" s="1197"/>
      <c r="BH58" s="1197"/>
      <c r="BI58" s="1197"/>
      <c r="BJ58" s="1191"/>
      <c r="BK58" s="1191"/>
      <c r="BL58" s="1191"/>
      <c r="BM58" s="1191"/>
      <c r="BV58" s="1191"/>
      <c r="BX58" s="1547"/>
      <c r="CB58" s="2195" t="str">
        <f t="shared" si="107"/>
        <v xml:space="preserve">* El total de Reactivos NO DEBE ser superior al total de Procesados. </v>
      </c>
      <c r="CC58" s="2195" t="e">
        <f t="shared" si="108"/>
        <v>#VALUE!</v>
      </c>
      <c r="CD58" s="2195" t="e">
        <f t="shared" si="109"/>
        <v>#VALUE!</v>
      </c>
      <c r="CE58" s="2195" t="str">
        <f t="shared" si="110"/>
        <v xml:space="preserve">* La columna Pueblos Originarios NO DEBE ser superior al total de Procesados. </v>
      </c>
      <c r="CF58" s="2195" t="str">
        <f t="shared" si="111"/>
        <v xml:space="preserve">* La columna Migrantes NO DEBE ser superior al total de Procesados. </v>
      </c>
      <c r="CG58" s="2195" t="str">
        <f t="shared" si="139"/>
        <v>* El total de procesados debe ser mayor o igual al total de Reactivos en el grupo de edad Menor de 6 meses</v>
      </c>
      <c r="CH58" s="2195" t="str">
        <f t="shared" si="140"/>
        <v>* El total de procesados debe ser mayor o igual al total de Reactivos en el grupo de edad 6 a 11 meses</v>
      </c>
      <c r="CI58" s="2195" t="str">
        <f t="shared" si="141"/>
        <v>* El total de procesados debe ser mayor o igual al total de Reactivos en el grupo de edad 12-24 meses</v>
      </c>
      <c r="CJ58" s="2195" t="str">
        <f t="shared" si="142"/>
        <v>* El total de procesados debe ser mayor o igual al total de Reactivos en el grupo de edad 3 a 4 años</v>
      </c>
      <c r="CK58" s="2195" t="str">
        <f t="shared" si="143"/>
        <v>* El total de procesados debe ser mayor o igual al total de Reactivos en el grupo de edad 5 a 9 años</v>
      </c>
      <c r="CL58" s="2195" t="str">
        <f t="shared" si="144"/>
        <v>* El total de procesados debe ser mayor o igual al total de Reactivos en el grupo de edad 10 - 14 años</v>
      </c>
      <c r="CM58" s="2195" t="str">
        <f t="shared" si="145"/>
        <v>* El total de procesados debe ser mayor o igual al total de Reactivos en el grupo de edad 15 - 19 años</v>
      </c>
      <c r="CN58" s="2195" t="str">
        <f t="shared" si="146"/>
        <v>* El total de procesados debe ser mayor o igual al total de Reactivos en el grupo de edad 20 - 24 años</v>
      </c>
      <c r="CO58" s="2195" t="str">
        <f t="shared" si="147"/>
        <v>* El total de procesados debe ser mayor o igual al total de Reactivos en el grupo de edad 25 a 29 años</v>
      </c>
      <c r="CP58" s="2195" t="str">
        <f t="shared" si="148"/>
        <v>* El total de procesados debe ser mayor o igual al total de Reactivos en el grupo de edad 30 a 34 años</v>
      </c>
      <c r="CQ58" s="2195" t="str">
        <f t="shared" si="149"/>
        <v>* El total de procesados debe ser mayor o igual al total de Reactivos en el grupo de edad 35 a 39 años</v>
      </c>
      <c r="CR58" s="2195" t="str">
        <f t="shared" si="150"/>
        <v>* El total de procesados debe ser mayor o igual al total de Reactivos en el grupo de edad 40 a 44 años</v>
      </c>
      <c r="CS58" s="2195" t="str">
        <f t="shared" si="151"/>
        <v>* El total de procesados debe ser mayor o igual al total de Reactivos en el grupo de edad 45 a 49 años</v>
      </c>
      <c r="CT58" s="2195" t="str">
        <f t="shared" si="152"/>
        <v>* El total de procesados debe ser mayor o igual al total de Reactivos en el grupo de edad 50 a 54 años</v>
      </c>
      <c r="CU58" s="2195" t="str">
        <f t="shared" si="153"/>
        <v>* El total de procesados debe ser mayor o igual al total de Reactivos en el grupo de edad 55 a 59 años</v>
      </c>
      <c r="CV58" s="2195" t="str">
        <f t="shared" si="154"/>
        <v>* El total de procesados debe ser mayor o igual al total de Reactivos en el grupo de edad 60 a 64 años</v>
      </c>
      <c r="CW58" s="2195" t="str">
        <f t="shared" si="155"/>
        <v>* El total de procesados debe ser mayor o igual al total de Reactivos en el grupo de edad 65 a 69 años</v>
      </c>
      <c r="CX58" s="2195" t="str">
        <f t="shared" si="156"/>
        <v>* El total de procesados debe ser mayor o igual al total de Reactivos en el grupo de edad 70 a 74 años</v>
      </c>
      <c r="CY58" s="2195" t="str">
        <f t="shared" si="157"/>
        <v>* El total de procesados debe ser mayor o igual al total de Reactivos en el grupo de edad 75 a 79 años</v>
      </c>
      <c r="CZ58" s="2195" t="str">
        <f t="shared" si="158"/>
        <v>* El total de procesados debe ser mayor o igual al total de Reactivos en el grupo de edad 80 y más años</v>
      </c>
      <c r="DA58" s="2195" t="str">
        <f t="shared" si="112"/>
        <v/>
      </c>
      <c r="DB58" s="1446">
        <f t="shared" si="113"/>
        <v>1</v>
      </c>
      <c r="DC58" s="1446" t="e">
        <f t="shared" si="114"/>
        <v>#VALUE!</v>
      </c>
      <c r="DD58" s="1446" t="e">
        <f t="shared" si="115"/>
        <v>#VALUE!</v>
      </c>
      <c r="DE58" s="1446">
        <f t="shared" si="116"/>
        <v>1</v>
      </c>
      <c r="DF58" s="1446">
        <f t="shared" si="117"/>
        <v>1</v>
      </c>
      <c r="DG58" s="1446">
        <f t="shared" si="118"/>
        <v>1</v>
      </c>
      <c r="DH58" s="1446">
        <f t="shared" si="119"/>
        <v>1</v>
      </c>
      <c r="DI58" s="1446">
        <f t="shared" si="120"/>
        <v>1</v>
      </c>
      <c r="DJ58" s="1446">
        <f t="shared" si="121"/>
        <v>1</v>
      </c>
      <c r="DK58" s="1446">
        <f t="shared" si="122"/>
        <v>1</v>
      </c>
      <c r="DL58" s="1446">
        <f t="shared" si="123"/>
        <v>1</v>
      </c>
      <c r="DM58" s="1446">
        <f t="shared" si="124"/>
        <v>1</v>
      </c>
      <c r="DN58" s="1446">
        <f t="shared" si="125"/>
        <v>1</v>
      </c>
      <c r="DO58" s="1446">
        <f t="shared" si="126"/>
        <v>1</v>
      </c>
      <c r="DP58" s="1446">
        <f t="shared" si="127"/>
        <v>1</v>
      </c>
      <c r="DQ58" s="1446">
        <f t="shared" si="128"/>
        <v>1</v>
      </c>
      <c r="DR58" s="1446">
        <f t="shared" si="129"/>
        <v>1</v>
      </c>
      <c r="DS58" s="1446">
        <f t="shared" si="130"/>
        <v>1</v>
      </c>
      <c r="DT58" s="1446">
        <f t="shared" si="131"/>
        <v>1</v>
      </c>
      <c r="DU58" s="1446">
        <f t="shared" si="132"/>
        <v>1</v>
      </c>
      <c r="DV58" s="1446">
        <f t="shared" si="133"/>
        <v>1</v>
      </c>
      <c r="DW58" s="1446">
        <f t="shared" si="134"/>
        <v>1</v>
      </c>
      <c r="DX58" s="1446">
        <f t="shared" si="135"/>
        <v>1</v>
      </c>
      <c r="DY58" s="1446">
        <f t="shared" si="136"/>
        <v>1</v>
      </c>
      <c r="DZ58" s="1446">
        <f t="shared" si="137"/>
        <v>1</v>
      </c>
      <c r="EA58" s="1446">
        <f t="shared" si="138"/>
        <v>0</v>
      </c>
    </row>
    <row r="59" spans="1:131" ht="16.2" customHeight="1" x14ac:dyDescent="0.3">
      <c r="A59" s="7258">
        <v>11056403</v>
      </c>
      <c r="B59" s="2000" t="s">
        <v>1788</v>
      </c>
      <c r="C59" s="1998" t="s">
        <v>5369</v>
      </c>
      <c r="D59" s="2044" t="s">
        <v>5370</v>
      </c>
      <c r="E59" s="1130" t="s">
        <v>5371</v>
      </c>
      <c r="F59" s="1131" t="s">
        <v>5372</v>
      </c>
      <c r="G59" s="1132" t="s">
        <v>5373</v>
      </c>
      <c r="H59" s="1131" t="s">
        <v>5374</v>
      </c>
      <c r="I59" s="1132" t="s">
        <v>5375</v>
      </c>
      <c r="J59" s="1131" t="s">
        <v>5376</v>
      </c>
      <c r="K59" s="1132" t="s">
        <v>5377</v>
      </c>
      <c r="L59" s="1131" t="s">
        <v>5378</v>
      </c>
      <c r="M59" s="1132" t="s">
        <v>5379</v>
      </c>
      <c r="N59" s="1133" t="s">
        <v>5380</v>
      </c>
      <c r="O59" s="1134" t="s">
        <v>5381</v>
      </c>
      <c r="P59" s="1135" t="s">
        <v>5382</v>
      </c>
      <c r="Q59" s="1114" t="s">
        <v>5383</v>
      </c>
      <c r="R59" s="1135" t="s">
        <v>5384</v>
      </c>
      <c r="S59" s="1114" t="s">
        <v>5385</v>
      </c>
      <c r="T59" s="1135" t="s">
        <v>5386</v>
      </c>
      <c r="U59" s="1114" t="s">
        <v>5387</v>
      </c>
      <c r="V59" s="1135" t="s">
        <v>5388</v>
      </c>
      <c r="W59" s="1114" t="s">
        <v>5389</v>
      </c>
      <c r="X59" s="1135" t="s">
        <v>5390</v>
      </c>
      <c r="Y59" s="1114" t="s">
        <v>5391</v>
      </c>
      <c r="Z59" s="1135" t="s">
        <v>5392</v>
      </c>
      <c r="AA59" s="1114" t="s">
        <v>5393</v>
      </c>
      <c r="AB59" s="1135" t="s">
        <v>5394</v>
      </c>
      <c r="AC59" s="1114" t="s">
        <v>5395</v>
      </c>
      <c r="AD59" s="1135" t="s">
        <v>5396</v>
      </c>
      <c r="AE59" s="1114" t="s">
        <v>5397</v>
      </c>
      <c r="AF59" s="1135" t="s">
        <v>5398</v>
      </c>
      <c r="AG59" s="1114" t="s">
        <v>5399</v>
      </c>
      <c r="AH59" s="1135" t="s">
        <v>5400</v>
      </c>
      <c r="AI59" s="1114" t="s">
        <v>5401</v>
      </c>
      <c r="AJ59" s="1135" t="s">
        <v>5402</v>
      </c>
      <c r="AK59" s="1114" t="s">
        <v>5403</v>
      </c>
      <c r="AL59" s="1135" t="s">
        <v>5404</v>
      </c>
      <c r="AM59" s="1114" t="s">
        <v>5405</v>
      </c>
      <c r="AN59" s="1135" t="s">
        <v>5406</v>
      </c>
      <c r="AO59" s="1114" t="s">
        <v>5407</v>
      </c>
      <c r="AP59" s="1135" t="s">
        <v>5408</v>
      </c>
      <c r="AQ59" s="1114" t="s">
        <v>5409</v>
      </c>
      <c r="AR59" s="1136" t="s">
        <v>5410</v>
      </c>
      <c r="AS59" s="1137" t="s">
        <v>5411</v>
      </c>
      <c r="AT59" s="1136" t="s">
        <v>5412</v>
      </c>
      <c r="AU59" s="1134" t="s">
        <v>5413</v>
      </c>
      <c r="AV59" s="1135" t="s">
        <v>5414</v>
      </c>
      <c r="AW59" s="1114" t="s">
        <v>5415</v>
      </c>
      <c r="AX59" s="1118" t="s">
        <v>5416</v>
      </c>
      <c r="AY59" s="1197" t="e">
        <f t="shared" si="106"/>
        <v>#VALUE!</v>
      </c>
      <c r="AZ59" s="1197"/>
      <c r="BA59" s="1197"/>
      <c r="BB59" s="1197"/>
      <c r="BC59" s="1197"/>
      <c r="BD59" s="1197"/>
      <c r="BE59" s="1197"/>
      <c r="BF59" s="1197"/>
      <c r="BG59" s="1197"/>
      <c r="BH59" s="1197"/>
      <c r="BI59" s="1197"/>
      <c r="BJ59" s="1191"/>
      <c r="BK59" s="1191"/>
      <c r="BL59" s="1191"/>
      <c r="BM59" s="1191"/>
      <c r="BV59" s="1191"/>
      <c r="BX59" s="1547"/>
      <c r="CB59" s="2195" t="str">
        <f t="shared" si="107"/>
        <v xml:space="preserve">* El total de Reactivos NO DEBE ser superior al total de Procesados. </v>
      </c>
      <c r="CC59" s="2195" t="e">
        <f t="shared" si="108"/>
        <v>#VALUE!</v>
      </c>
      <c r="CD59" s="2195" t="e">
        <f t="shared" si="109"/>
        <v>#VALUE!</v>
      </c>
      <c r="CE59" s="2195" t="str">
        <f t="shared" si="110"/>
        <v xml:space="preserve">* La columna Pueblos Originarios NO DEBE ser superior al total de Procesados. </v>
      </c>
      <c r="CF59" s="2195" t="str">
        <f t="shared" si="111"/>
        <v xml:space="preserve">* La columna Migrantes NO DEBE ser superior al total de Procesados. </v>
      </c>
      <c r="CG59" s="2195" t="str">
        <f t="shared" si="139"/>
        <v>* El total de procesados debe ser mayor o igual al total de Reactivos en el grupo de edad Menor de 6 meses</v>
      </c>
      <c r="CH59" s="2195" t="str">
        <f t="shared" si="140"/>
        <v>* El total de procesados debe ser mayor o igual al total de Reactivos en el grupo de edad 6 a 11 meses</v>
      </c>
      <c r="CI59" s="2195" t="str">
        <f t="shared" si="141"/>
        <v>* El total de procesados debe ser mayor o igual al total de Reactivos en el grupo de edad 12-24 meses</v>
      </c>
      <c r="CJ59" s="2195" t="str">
        <f t="shared" si="142"/>
        <v>* El total de procesados debe ser mayor o igual al total de Reactivos en el grupo de edad 3 a 4 años</v>
      </c>
      <c r="CK59" s="2195" t="str">
        <f t="shared" si="143"/>
        <v>* El total de procesados debe ser mayor o igual al total de Reactivos en el grupo de edad 5 a 9 años</v>
      </c>
      <c r="CL59" s="2195" t="str">
        <f t="shared" si="144"/>
        <v>* El total de procesados debe ser mayor o igual al total de Reactivos en el grupo de edad 10 - 14 años</v>
      </c>
      <c r="CM59" s="2195" t="str">
        <f t="shared" si="145"/>
        <v>* El total de procesados debe ser mayor o igual al total de Reactivos en el grupo de edad 15 - 19 años</v>
      </c>
      <c r="CN59" s="2195" t="str">
        <f t="shared" si="146"/>
        <v>* El total de procesados debe ser mayor o igual al total de Reactivos en el grupo de edad 20 - 24 años</v>
      </c>
      <c r="CO59" s="2195" t="str">
        <f t="shared" si="147"/>
        <v>* El total de procesados debe ser mayor o igual al total de Reactivos en el grupo de edad 25 a 29 años</v>
      </c>
      <c r="CP59" s="2195" t="str">
        <f t="shared" si="148"/>
        <v>* El total de procesados debe ser mayor o igual al total de Reactivos en el grupo de edad 30 a 34 años</v>
      </c>
      <c r="CQ59" s="2195" t="str">
        <f t="shared" si="149"/>
        <v>* El total de procesados debe ser mayor o igual al total de Reactivos en el grupo de edad 35 a 39 años</v>
      </c>
      <c r="CR59" s="2195" t="str">
        <f t="shared" si="150"/>
        <v>* El total de procesados debe ser mayor o igual al total de Reactivos en el grupo de edad 40 a 44 años</v>
      </c>
      <c r="CS59" s="2195" t="str">
        <f t="shared" si="151"/>
        <v>* El total de procesados debe ser mayor o igual al total de Reactivos en el grupo de edad 45 a 49 años</v>
      </c>
      <c r="CT59" s="2195" t="str">
        <f t="shared" si="152"/>
        <v>* El total de procesados debe ser mayor o igual al total de Reactivos en el grupo de edad 50 a 54 años</v>
      </c>
      <c r="CU59" s="2195" t="str">
        <f t="shared" si="153"/>
        <v>* El total de procesados debe ser mayor o igual al total de Reactivos en el grupo de edad 55 a 59 años</v>
      </c>
      <c r="CV59" s="2195" t="str">
        <f t="shared" si="154"/>
        <v>* El total de procesados debe ser mayor o igual al total de Reactivos en el grupo de edad 60 a 64 años</v>
      </c>
      <c r="CW59" s="2195" t="str">
        <f t="shared" si="155"/>
        <v>* El total de procesados debe ser mayor o igual al total de Reactivos en el grupo de edad 65 a 69 años</v>
      </c>
      <c r="CX59" s="2195" t="str">
        <f t="shared" si="156"/>
        <v>* El total de procesados debe ser mayor o igual al total de Reactivos en el grupo de edad 70 a 74 años</v>
      </c>
      <c r="CY59" s="2195" t="str">
        <f t="shared" si="157"/>
        <v>* El total de procesados debe ser mayor o igual al total de Reactivos en el grupo de edad 75 a 79 años</v>
      </c>
      <c r="CZ59" s="2195" t="str">
        <f t="shared" si="158"/>
        <v>* El total de procesados debe ser mayor o igual al total de Reactivos en el grupo de edad 80 y más años</v>
      </c>
      <c r="DA59" s="2195" t="str">
        <f t="shared" si="112"/>
        <v/>
      </c>
      <c r="DB59" s="1446">
        <f t="shared" si="113"/>
        <v>1</v>
      </c>
      <c r="DC59" s="1446" t="e">
        <f t="shared" si="114"/>
        <v>#VALUE!</v>
      </c>
      <c r="DD59" s="1446" t="e">
        <f t="shared" si="115"/>
        <v>#VALUE!</v>
      </c>
      <c r="DE59" s="1446">
        <f t="shared" si="116"/>
        <v>1</v>
      </c>
      <c r="DF59" s="1446">
        <f t="shared" si="117"/>
        <v>1</v>
      </c>
      <c r="DG59" s="1446">
        <f t="shared" si="118"/>
        <v>1</v>
      </c>
      <c r="DH59" s="1446">
        <f t="shared" si="119"/>
        <v>1</v>
      </c>
      <c r="DI59" s="1446">
        <f t="shared" si="120"/>
        <v>1</v>
      </c>
      <c r="DJ59" s="1446">
        <f t="shared" si="121"/>
        <v>1</v>
      </c>
      <c r="DK59" s="1446">
        <f t="shared" si="122"/>
        <v>1</v>
      </c>
      <c r="DL59" s="1446">
        <f t="shared" si="123"/>
        <v>1</v>
      </c>
      <c r="DM59" s="1446">
        <f t="shared" si="124"/>
        <v>1</v>
      </c>
      <c r="DN59" s="1446">
        <f t="shared" si="125"/>
        <v>1</v>
      </c>
      <c r="DO59" s="1446">
        <f t="shared" si="126"/>
        <v>1</v>
      </c>
      <c r="DP59" s="1446">
        <f t="shared" si="127"/>
        <v>1</v>
      </c>
      <c r="DQ59" s="1446">
        <f t="shared" si="128"/>
        <v>1</v>
      </c>
      <c r="DR59" s="1446">
        <f t="shared" si="129"/>
        <v>1</v>
      </c>
      <c r="DS59" s="1446">
        <f t="shared" si="130"/>
        <v>1</v>
      </c>
      <c r="DT59" s="1446">
        <f t="shared" si="131"/>
        <v>1</v>
      </c>
      <c r="DU59" s="1446">
        <f t="shared" si="132"/>
        <v>1</v>
      </c>
      <c r="DV59" s="1446">
        <f t="shared" si="133"/>
        <v>1</v>
      </c>
      <c r="DW59" s="1446">
        <f t="shared" si="134"/>
        <v>1</v>
      </c>
      <c r="DX59" s="1446">
        <f t="shared" si="135"/>
        <v>1</v>
      </c>
      <c r="DY59" s="1446">
        <f t="shared" si="136"/>
        <v>1</v>
      </c>
      <c r="DZ59" s="1446">
        <f t="shared" si="137"/>
        <v>1</v>
      </c>
      <c r="EA59" s="1446">
        <f t="shared" si="138"/>
        <v>0</v>
      </c>
    </row>
    <row r="60" spans="1:131" ht="16.2" customHeight="1" x14ac:dyDescent="0.3">
      <c r="A60" s="7258">
        <v>11056404</v>
      </c>
      <c r="B60" s="2045" t="s">
        <v>1789</v>
      </c>
      <c r="C60" s="1998" t="s">
        <v>5369</v>
      </c>
      <c r="D60" s="2044" t="s">
        <v>5370</v>
      </c>
      <c r="E60" s="1130" t="s">
        <v>5371</v>
      </c>
      <c r="F60" s="1131" t="s">
        <v>5372</v>
      </c>
      <c r="G60" s="1132" t="s">
        <v>5373</v>
      </c>
      <c r="H60" s="1131" t="s">
        <v>5374</v>
      </c>
      <c r="I60" s="1132" t="s">
        <v>5375</v>
      </c>
      <c r="J60" s="1131" t="s">
        <v>5376</v>
      </c>
      <c r="K60" s="1132" t="s">
        <v>5377</v>
      </c>
      <c r="L60" s="1131" t="s">
        <v>5378</v>
      </c>
      <c r="M60" s="1132" t="s">
        <v>5379</v>
      </c>
      <c r="N60" s="1133" t="s">
        <v>5380</v>
      </c>
      <c r="O60" s="1134" t="s">
        <v>5381</v>
      </c>
      <c r="P60" s="1135" t="s">
        <v>5382</v>
      </c>
      <c r="Q60" s="1114" t="s">
        <v>5383</v>
      </c>
      <c r="R60" s="1135" t="s">
        <v>5384</v>
      </c>
      <c r="S60" s="1114" t="s">
        <v>5385</v>
      </c>
      <c r="T60" s="1135" t="s">
        <v>5386</v>
      </c>
      <c r="U60" s="1114" t="s">
        <v>5387</v>
      </c>
      <c r="V60" s="1135" t="s">
        <v>5388</v>
      </c>
      <c r="W60" s="1114" t="s">
        <v>5389</v>
      </c>
      <c r="X60" s="1135" t="s">
        <v>5390</v>
      </c>
      <c r="Y60" s="1114" t="s">
        <v>5391</v>
      </c>
      <c r="Z60" s="1135" t="s">
        <v>5392</v>
      </c>
      <c r="AA60" s="1114" t="s">
        <v>5393</v>
      </c>
      <c r="AB60" s="1135" t="s">
        <v>5394</v>
      </c>
      <c r="AC60" s="1114" t="s">
        <v>5395</v>
      </c>
      <c r="AD60" s="1135" t="s">
        <v>5396</v>
      </c>
      <c r="AE60" s="1114" t="s">
        <v>5397</v>
      </c>
      <c r="AF60" s="1135" t="s">
        <v>5398</v>
      </c>
      <c r="AG60" s="1114" t="s">
        <v>5399</v>
      </c>
      <c r="AH60" s="1135" t="s">
        <v>5400</v>
      </c>
      <c r="AI60" s="1114" t="s">
        <v>5401</v>
      </c>
      <c r="AJ60" s="1135" t="s">
        <v>5402</v>
      </c>
      <c r="AK60" s="1114" t="s">
        <v>5403</v>
      </c>
      <c r="AL60" s="1135" t="s">
        <v>5404</v>
      </c>
      <c r="AM60" s="1114" t="s">
        <v>5405</v>
      </c>
      <c r="AN60" s="1135" t="s">
        <v>5406</v>
      </c>
      <c r="AO60" s="1114" t="s">
        <v>5407</v>
      </c>
      <c r="AP60" s="1135" t="s">
        <v>5408</v>
      </c>
      <c r="AQ60" s="1114" t="s">
        <v>5409</v>
      </c>
      <c r="AR60" s="1136" t="s">
        <v>5410</v>
      </c>
      <c r="AS60" s="1137" t="s">
        <v>5411</v>
      </c>
      <c r="AT60" s="1136" t="s">
        <v>5412</v>
      </c>
      <c r="AU60" s="1134" t="s">
        <v>5413</v>
      </c>
      <c r="AV60" s="1135" t="s">
        <v>5414</v>
      </c>
      <c r="AW60" s="1114" t="s">
        <v>5415</v>
      </c>
      <c r="AX60" s="1118" t="s">
        <v>5416</v>
      </c>
      <c r="AY60" s="1197" t="e">
        <f t="shared" si="106"/>
        <v>#VALUE!</v>
      </c>
      <c r="AZ60" s="1197"/>
      <c r="BA60" s="1197"/>
      <c r="BB60" s="1197"/>
      <c r="BC60" s="1197"/>
      <c r="BD60" s="1197"/>
      <c r="BE60" s="1197"/>
      <c r="BF60" s="1197"/>
      <c r="BG60" s="1197"/>
      <c r="BH60" s="1197"/>
      <c r="BI60" s="1197"/>
      <c r="BJ60" s="1191"/>
      <c r="BK60" s="1191"/>
      <c r="BL60" s="1191"/>
      <c r="BM60" s="1191"/>
      <c r="BV60" s="1191"/>
      <c r="BX60" s="1547"/>
      <c r="CB60" s="2195" t="str">
        <f t="shared" si="107"/>
        <v xml:space="preserve">* El total de Reactivos NO DEBE ser superior al total de Procesados. </v>
      </c>
      <c r="CC60" s="2195" t="e">
        <f t="shared" si="108"/>
        <v>#VALUE!</v>
      </c>
      <c r="CD60" s="2195" t="e">
        <f t="shared" si="109"/>
        <v>#VALUE!</v>
      </c>
      <c r="CE60" s="2195" t="str">
        <f t="shared" si="110"/>
        <v xml:space="preserve">* La columna Pueblos Originarios NO DEBE ser superior al total de Procesados. </v>
      </c>
      <c r="CF60" s="2195" t="str">
        <f t="shared" si="111"/>
        <v xml:space="preserve">* La columna Migrantes NO DEBE ser superior al total de Procesados. </v>
      </c>
      <c r="CG60" s="2195" t="str">
        <f t="shared" si="139"/>
        <v>* El total de procesados debe ser mayor o igual al total de Reactivos en el grupo de edad Menor de 6 meses</v>
      </c>
      <c r="CH60" s="2195" t="str">
        <f t="shared" si="140"/>
        <v>* El total de procesados debe ser mayor o igual al total de Reactivos en el grupo de edad 6 a 11 meses</v>
      </c>
      <c r="CI60" s="2195" t="str">
        <f t="shared" si="141"/>
        <v>* El total de procesados debe ser mayor o igual al total de Reactivos en el grupo de edad 12-24 meses</v>
      </c>
      <c r="CJ60" s="2195" t="str">
        <f t="shared" si="142"/>
        <v>* El total de procesados debe ser mayor o igual al total de Reactivos en el grupo de edad 3 a 4 años</v>
      </c>
      <c r="CK60" s="2195" t="str">
        <f t="shared" si="143"/>
        <v>* El total de procesados debe ser mayor o igual al total de Reactivos en el grupo de edad 5 a 9 años</v>
      </c>
      <c r="CL60" s="2195" t="str">
        <f t="shared" si="144"/>
        <v>* El total de procesados debe ser mayor o igual al total de Reactivos en el grupo de edad 10 - 14 años</v>
      </c>
      <c r="CM60" s="2195" t="str">
        <f t="shared" si="145"/>
        <v>* El total de procesados debe ser mayor o igual al total de Reactivos en el grupo de edad 15 - 19 años</v>
      </c>
      <c r="CN60" s="2195" t="str">
        <f t="shared" si="146"/>
        <v>* El total de procesados debe ser mayor o igual al total de Reactivos en el grupo de edad 20 - 24 años</v>
      </c>
      <c r="CO60" s="2195" t="str">
        <f t="shared" si="147"/>
        <v>* El total de procesados debe ser mayor o igual al total de Reactivos en el grupo de edad 25 a 29 años</v>
      </c>
      <c r="CP60" s="2195" t="str">
        <f t="shared" si="148"/>
        <v>* El total de procesados debe ser mayor o igual al total de Reactivos en el grupo de edad 30 a 34 años</v>
      </c>
      <c r="CQ60" s="2195" t="str">
        <f t="shared" si="149"/>
        <v>* El total de procesados debe ser mayor o igual al total de Reactivos en el grupo de edad 35 a 39 años</v>
      </c>
      <c r="CR60" s="2195" t="str">
        <f t="shared" si="150"/>
        <v>* El total de procesados debe ser mayor o igual al total de Reactivos en el grupo de edad 40 a 44 años</v>
      </c>
      <c r="CS60" s="2195" t="str">
        <f t="shared" si="151"/>
        <v>* El total de procesados debe ser mayor o igual al total de Reactivos en el grupo de edad 45 a 49 años</v>
      </c>
      <c r="CT60" s="2195" t="str">
        <f t="shared" si="152"/>
        <v>* El total de procesados debe ser mayor o igual al total de Reactivos en el grupo de edad 50 a 54 años</v>
      </c>
      <c r="CU60" s="2195" t="str">
        <f t="shared" si="153"/>
        <v>* El total de procesados debe ser mayor o igual al total de Reactivos en el grupo de edad 55 a 59 años</v>
      </c>
      <c r="CV60" s="2195" t="str">
        <f t="shared" si="154"/>
        <v>* El total de procesados debe ser mayor o igual al total de Reactivos en el grupo de edad 60 a 64 años</v>
      </c>
      <c r="CW60" s="2195" t="str">
        <f t="shared" si="155"/>
        <v>* El total de procesados debe ser mayor o igual al total de Reactivos en el grupo de edad 65 a 69 años</v>
      </c>
      <c r="CX60" s="2195" t="str">
        <f t="shared" si="156"/>
        <v>* El total de procesados debe ser mayor o igual al total de Reactivos en el grupo de edad 70 a 74 años</v>
      </c>
      <c r="CY60" s="2195" t="str">
        <f t="shared" si="157"/>
        <v>* El total de procesados debe ser mayor o igual al total de Reactivos en el grupo de edad 75 a 79 años</v>
      </c>
      <c r="CZ60" s="2195" t="str">
        <f t="shared" si="158"/>
        <v>* El total de procesados debe ser mayor o igual al total de Reactivos en el grupo de edad 80 y más años</v>
      </c>
      <c r="DA60" s="2195" t="str">
        <f t="shared" si="112"/>
        <v/>
      </c>
      <c r="DB60" s="1446">
        <f t="shared" si="113"/>
        <v>1</v>
      </c>
      <c r="DC60" s="1446" t="e">
        <f t="shared" si="114"/>
        <v>#VALUE!</v>
      </c>
      <c r="DD60" s="1446" t="e">
        <f t="shared" si="115"/>
        <v>#VALUE!</v>
      </c>
      <c r="DE60" s="1446">
        <f t="shared" si="116"/>
        <v>1</v>
      </c>
      <c r="DF60" s="1446">
        <f t="shared" si="117"/>
        <v>1</v>
      </c>
      <c r="DG60" s="1446">
        <f t="shared" si="118"/>
        <v>1</v>
      </c>
      <c r="DH60" s="1446">
        <f t="shared" si="119"/>
        <v>1</v>
      </c>
      <c r="DI60" s="1446">
        <f t="shared" si="120"/>
        <v>1</v>
      </c>
      <c r="DJ60" s="1446">
        <f t="shared" si="121"/>
        <v>1</v>
      </c>
      <c r="DK60" s="1446">
        <f t="shared" si="122"/>
        <v>1</v>
      </c>
      <c r="DL60" s="1446">
        <f t="shared" si="123"/>
        <v>1</v>
      </c>
      <c r="DM60" s="1446">
        <f t="shared" si="124"/>
        <v>1</v>
      </c>
      <c r="DN60" s="1446">
        <f t="shared" si="125"/>
        <v>1</v>
      </c>
      <c r="DO60" s="1446">
        <f t="shared" si="126"/>
        <v>1</v>
      </c>
      <c r="DP60" s="1446">
        <f t="shared" si="127"/>
        <v>1</v>
      </c>
      <c r="DQ60" s="1446">
        <f t="shared" si="128"/>
        <v>1</v>
      </c>
      <c r="DR60" s="1446">
        <f t="shared" si="129"/>
        <v>1</v>
      </c>
      <c r="DS60" s="1446">
        <f t="shared" si="130"/>
        <v>1</v>
      </c>
      <c r="DT60" s="1446">
        <f t="shared" si="131"/>
        <v>1</v>
      </c>
      <c r="DU60" s="1446">
        <f t="shared" si="132"/>
        <v>1</v>
      </c>
      <c r="DV60" s="1446">
        <f t="shared" si="133"/>
        <v>1</v>
      </c>
      <c r="DW60" s="1446">
        <f t="shared" si="134"/>
        <v>1</v>
      </c>
      <c r="DX60" s="1446">
        <f t="shared" si="135"/>
        <v>1</v>
      </c>
      <c r="DY60" s="1446">
        <f t="shared" si="136"/>
        <v>1</v>
      </c>
      <c r="DZ60" s="1446">
        <f t="shared" si="137"/>
        <v>1</v>
      </c>
      <c r="EA60" s="1446">
        <f t="shared" si="138"/>
        <v>0</v>
      </c>
    </row>
    <row r="61" spans="1:131" ht="19.5" customHeight="1" x14ac:dyDescent="0.3">
      <c r="A61" s="7258">
        <v>11056405</v>
      </c>
      <c r="B61" s="2045" t="s">
        <v>1790</v>
      </c>
      <c r="C61" s="1998" t="s">
        <v>5369</v>
      </c>
      <c r="D61" s="2044" t="s">
        <v>5370</v>
      </c>
      <c r="E61" s="1130" t="s">
        <v>5371</v>
      </c>
      <c r="F61" s="1131" t="s">
        <v>5372</v>
      </c>
      <c r="G61" s="1132" t="s">
        <v>5373</v>
      </c>
      <c r="H61" s="1131" t="s">
        <v>5374</v>
      </c>
      <c r="I61" s="1132" t="s">
        <v>5375</v>
      </c>
      <c r="J61" s="1131" t="s">
        <v>5376</v>
      </c>
      <c r="K61" s="1132" t="s">
        <v>5377</v>
      </c>
      <c r="L61" s="1131" t="s">
        <v>5378</v>
      </c>
      <c r="M61" s="1132" t="s">
        <v>5379</v>
      </c>
      <c r="N61" s="1133" t="s">
        <v>5380</v>
      </c>
      <c r="O61" s="1134" t="s">
        <v>5381</v>
      </c>
      <c r="P61" s="1135" t="s">
        <v>5382</v>
      </c>
      <c r="Q61" s="1114" t="s">
        <v>5383</v>
      </c>
      <c r="R61" s="1135" t="s">
        <v>5384</v>
      </c>
      <c r="S61" s="1114" t="s">
        <v>5385</v>
      </c>
      <c r="T61" s="1135" t="s">
        <v>5386</v>
      </c>
      <c r="U61" s="1114" t="s">
        <v>5387</v>
      </c>
      <c r="V61" s="1135" t="s">
        <v>5388</v>
      </c>
      <c r="W61" s="1114" t="s">
        <v>5389</v>
      </c>
      <c r="X61" s="1135" t="s">
        <v>5390</v>
      </c>
      <c r="Y61" s="1114" t="s">
        <v>5391</v>
      </c>
      <c r="Z61" s="1135" t="s">
        <v>5392</v>
      </c>
      <c r="AA61" s="1114" t="s">
        <v>5393</v>
      </c>
      <c r="AB61" s="1135" t="s">
        <v>5394</v>
      </c>
      <c r="AC61" s="1114" t="s">
        <v>5395</v>
      </c>
      <c r="AD61" s="1135" t="s">
        <v>5396</v>
      </c>
      <c r="AE61" s="1114" t="s">
        <v>5397</v>
      </c>
      <c r="AF61" s="1135" t="s">
        <v>5398</v>
      </c>
      <c r="AG61" s="1114" t="s">
        <v>5399</v>
      </c>
      <c r="AH61" s="1135" t="s">
        <v>5400</v>
      </c>
      <c r="AI61" s="1114" t="s">
        <v>5401</v>
      </c>
      <c r="AJ61" s="1135" t="s">
        <v>5402</v>
      </c>
      <c r="AK61" s="1114" t="s">
        <v>5403</v>
      </c>
      <c r="AL61" s="1135" t="s">
        <v>5404</v>
      </c>
      <c r="AM61" s="1114" t="s">
        <v>5405</v>
      </c>
      <c r="AN61" s="1135" t="s">
        <v>5406</v>
      </c>
      <c r="AO61" s="1114" t="s">
        <v>5407</v>
      </c>
      <c r="AP61" s="1135" t="s">
        <v>5408</v>
      </c>
      <c r="AQ61" s="1114" t="s">
        <v>5409</v>
      </c>
      <c r="AR61" s="1136" t="s">
        <v>5410</v>
      </c>
      <c r="AS61" s="1134" t="s">
        <v>5411</v>
      </c>
      <c r="AT61" s="1136" t="s">
        <v>5412</v>
      </c>
      <c r="AU61" s="1134" t="s">
        <v>5413</v>
      </c>
      <c r="AV61" s="1135" t="s">
        <v>5414</v>
      </c>
      <c r="AW61" s="1114" t="s">
        <v>5415</v>
      </c>
      <c r="AX61" s="1118" t="s">
        <v>5416</v>
      </c>
      <c r="AY61" s="1197" t="e">
        <f t="shared" si="106"/>
        <v>#VALUE!</v>
      </c>
      <c r="AZ61" s="1197"/>
      <c r="BA61" s="1197"/>
      <c r="BB61" s="1197"/>
      <c r="BC61" s="1197"/>
      <c r="BD61" s="1197"/>
      <c r="BE61" s="1197"/>
      <c r="BF61" s="1197"/>
      <c r="BG61" s="1197"/>
      <c r="BH61" s="1197"/>
      <c r="BI61" s="1197"/>
      <c r="BJ61" s="1191"/>
      <c r="BK61" s="1191"/>
      <c r="BL61" s="1191"/>
      <c r="BM61" s="1191"/>
      <c r="BV61" s="1191"/>
      <c r="BX61" s="1547"/>
      <c r="CB61" s="2195" t="str">
        <f t="shared" si="107"/>
        <v xml:space="preserve">* El total de Reactivos NO DEBE ser superior al total de Procesados. </v>
      </c>
      <c r="CC61" s="2195" t="e">
        <f t="shared" si="108"/>
        <v>#VALUE!</v>
      </c>
      <c r="CD61" s="2195" t="e">
        <f t="shared" si="109"/>
        <v>#VALUE!</v>
      </c>
      <c r="CE61" s="2195" t="str">
        <f t="shared" si="110"/>
        <v xml:space="preserve">* La columna Pueblos Originarios NO DEBE ser superior al total de Procesados. </v>
      </c>
      <c r="CF61" s="2195" t="str">
        <f t="shared" si="111"/>
        <v xml:space="preserve">* La columna Migrantes NO DEBE ser superior al total de Procesados. </v>
      </c>
      <c r="CG61" s="2195" t="str">
        <f t="shared" si="139"/>
        <v>* El total de procesados debe ser mayor o igual al total de Reactivos en el grupo de edad Menor de 6 meses</v>
      </c>
      <c r="CH61" s="2195" t="str">
        <f t="shared" si="140"/>
        <v>* El total de procesados debe ser mayor o igual al total de Reactivos en el grupo de edad 6 a 11 meses</v>
      </c>
      <c r="CI61" s="2195" t="str">
        <f t="shared" si="141"/>
        <v>* El total de procesados debe ser mayor o igual al total de Reactivos en el grupo de edad 12-24 meses</v>
      </c>
      <c r="CJ61" s="2195" t="str">
        <f t="shared" si="142"/>
        <v>* El total de procesados debe ser mayor o igual al total de Reactivos en el grupo de edad 3 a 4 años</v>
      </c>
      <c r="CK61" s="2195" t="str">
        <f t="shared" si="143"/>
        <v>* El total de procesados debe ser mayor o igual al total de Reactivos en el grupo de edad 5 a 9 años</v>
      </c>
      <c r="CL61" s="2195" t="str">
        <f t="shared" si="144"/>
        <v>* El total de procesados debe ser mayor o igual al total de Reactivos en el grupo de edad 10 - 14 años</v>
      </c>
      <c r="CM61" s="2195" t="str">
        <f t="shared" si="145"/>
        <v>* El total de procesados debe ser mayor o igual al total de Reactivos en el grupo de edad 15 - 19 años</v>
      </c>
      <c r="CN61" s="2195" t="str">
        <f t="shared" si="146"/>
        <v>* El total de procesados debe ser mayor o igual al total de Reactivos en el grupo de edad 20 - 24 años</v>
      </c>
      <c r="CO61" s="2195" t="str">
        <f t="shared" si="147"/>
        <v>* El total de procesados debe ser mayor o igual al total de Reactivos en el grupo de edad 25 a 29 años</v>
      </c>
      <c r="CP61" s="2195" t="str">
        <f t="shared" si="148"/>
        <v>* El total de procesados debe ser mayor o igual al total de Reactivos en el grupo de edad 30 a 34 años</v>
      </c>
      <c r="CQ61" s="2195" t="str">
        <f t="shared" si="149"/>
        <v>* El total de procesados debe ser mayor o igual al total de Reactivos en el grupo de edad 35 a 39 años</v>
      </c>
      <c r="CR61" s="2195" t="str">
        <f t="shared" si="150"/>
        <v>* El total de procesados debe ser mayor o igual al total de Reactivos en el grupo de edad 40 a 44 años</v>
      </c>
      <c r="CS61" s="2195" t="str">
        <f t="shared" si="151"/>
        <v>* El total de procesados debe ser mayor o igual al total de Reactivos en el grupo de edad 45 a 49 años</v>
      </c>
      <c r="CT61" s="2195" t="str">
        <f t="shared" si="152"/>
        <v>* El total de procesados debe ser mayor o igual al total de Reactivos en el grupo de edad 50 a 54 años</v>
      </c>
      <c r="CU61" s="2195" t="str">
        <f t="shared" si="153"/>
        <v>* El total de procesados debe ser mayor o igual al total de Reactivos en el grupo de edad 55 a 59 años</v>
      </c>
      <c r="CV61" s="2195" t="str">
        <f t="shared" si="154"/>
        <v>* El total de procesados debe ser mayor o igual al total de Reactivos en el grupo de edad 60 a 64 años</v>
      </c>
      <c r="CW61" s="2195" t="str">
        <f t="shared" si="155"/>
        <v>* El total de procesados debe ser mayor o igual al total de Reactivos en el grupo de edad 65 a 69 años</v>
      </c>
      <c r="CX61" s="2195" t="str">
        <f t="shared" si="156"/>
        <v>* El total de procesados debe ser mayor o igual al total de Reactivos en el grupo de edad 70 a 74 años</v>
      </c>
      <c r="CY61" s="2195" t="str">
        <f t="shared" si="157"/>
        <v>* El total de procesados debe ser mayor o igual al total de Reactivos en el grupo de edad 75 a 79 años</v>
      </c>
      <c r="CZ61" s="2195" t="str">
        <f t="shared" si="158"/>
        <v>* El total de procesados debe ser mayor o igual al total de Reactivos en el grupo de edad 80 y más años</v>
      </c>
      <c r="DA61" s="2195" t="str">
        <f t="shared" si="112"/>
        <v/>
      </c>
      <c r="DB61" s="1446">
        <f t="shared" si="113"/>
        <v>1</v>
      </c>
      <c r="DC61" s="1446" t="e">
        <f t="shared" si="114"/>
        <v>#VALUE!</v>
      </c>
      <c r="DD61" s="1446" t="e">
        <f t="shared" si="115"/>
        <v>#VALUE!</v>
      </c>
      <c r="DE61" s="1446">
        <f t="shared" si="116"/>
        <v>1</v>
      </c>
      <c r="DF61" s="1446">
        <f t="shared" si="117"/>
        <v>1</v>
      </c>
      <c r="DG61" s="1446">
        <f t="shared" si="118"/>
        <v>1</v>
      </c>
      <c r="DH61" s="1446">
        <f t="shared" si="119"/>
        <v>1</v>
      </c>
      <c r="DI61" s="1446">
        <f t="shared" si="120"/>
        <v>1</v>
      </c>
      <c r="DJ61" s="1446">
        <f t="shared" si="121"/>
        <v>1</v>
      </c>
      <c r="DK61" s="1446">
        <f t="shared" si="122"/>
        <v>1</v>
      </c>
      <c r="DL61" s="1446">
        <f t="shared" si="123"/>
        <v>1</v>
      </c>
      <c r="DM61" s="1446">
        <f t="shared" si="124"/>
        <v>1</v>
      </c>
      <c r="DN61" s="1446">
        <f t="shared" si="125"/>
        <v>1</v>
      </c>
      <c r="DO61" s="1446">
        <f t="shared" si="126"/>
        <v>1</v>
      </c>
      <c r="DP61" s="1446">
        <f t="shared" si="127"/>
        <v>1</v>
      </c>
      <c r="DQ61" s="1446">
        <f t="shared" si="128"/>
        <v>1</v>
      </c>
      <c r="DR61" s="1446">
        <f t="shared" si="129"/>
        <v>1</v>
      </c>
      <c r="DS61" s="1446">
        <f t="shared" si="130"/>
        <v>1</v>
      </c>
      <c r="DT61" s="1446">
        <f t="shared" si="131"/>
        <v>1</v>
      </c>
      <c r="DU61" s="1446">
        <f t="shared" si="132"/>
        <v>1</v>
      </c>
      <c r="DV61" s="1446">
        <f t="shared" si="133"/>
        <v>1</v>
      </c>
      <c r="DW61" s="1446">
        <f t="shared" si="134"/>
        <v>1</v>
      </c>
      <c r="DX61" s="1446">
        <f t="shared" si="135"/>
        <v>1</v>
      </c>
      <c r="DY61" s="1446">
        <f t="shared" si="136"/>
        <v>1</v>
      </c>
      <c r="DZ61" s="1446">
        <f t="shared" si="137"/>
        <v>1</v>
      </c>
      <c r="EA61" s="1446">
        <f t="shared" si="138"/>
        <v>0</v>
      </c>
    </row>
    <row r="62" spans="1:131" ht="24.75" customHeight="1" x14ac:dyDescent="0.3">
      <c r="A62" s="7258">
        <v>11056406</v>
      </c>
      <c r="B62" s="2045" t="s">
        <v>1791</v>
      </c>
      <c r="C62" s="1998" t="s">
        <v>5369</v>
      </c>
      <c r="D62" s="2044" t="s">
        <v>5370</v>
      </c>
      <c r="E62" s="1130" t="s">
        <v>5371</v>
      </c>
      <c r="F62" s="1131" t="s">
        <v>5372</v>
      </c>
      <c r="G62" s="1132" t="s">
        <v>5373</v>
      </c>
      <c r="H62" s="1131" t="s">
        <v>5374</v>
      </c>
      <c r="I62" s="1132" t="s">
        <v>5375</v>
      </c>
      <c r="J62" s="1131" t="s">
        <v>5376</v>
      </c>
      <c r="K62" s="1132" t="s">
        <v>5377</v>
      </c>
      <c r="L62" s="1131" t="s">
        <v>5378</v>
      </c>
      <c r="M62" s="1132" t="s">
        <v>5379</v>
      </c>
      <c r="N62" s="1133" t="s">
        <v>5380</v>
      </c>
      <c r="O62" s="1134" t="s">
        <v>5381</v>
      </c>
      <c r="P62" s="1135" t="s">
        <v>5382</v>
      </c>
      <c r="Q62" s="1114" t="s">
        <v>5383</v>
      </c>
      <c r="R62" s="1135" t="s">
        <v>5384</v>
      </c>
      <c r="S62" s="1114" t="s">
        <v>5385</v>
      </c>
      <c r="T62" s="1135" t="s">
        <v>5386</v>
      </c>
      <c r="U62" s="1114" t="s">
        <v>5387</v>
      </c>
      <c r="V62" s="1135" t="s">
        <v>5388</v>
      </c>
      <c r="W62" s="1114" t="s">
        <v>5389</v>
      </c>
      <c r="X62" s="1135" t="s">
        <v>5390</v>
      </c>
      <c r="Y62" s="1114" t="s">
        <v>5391</v>
      </c>
      <c r="Z62" s="1135" t="s">
        <v>5392</v>
      </c>
      <c r="AA62" s="1114" t="s">
        <v>5393</v>
      </c>
      <c r="AB62" s="1135" t="s">
        <v>5394</v>
      </c>
      <c r="AC62" s="1114" t="s">
        <v>5395</v>
      </c>
      <c r="AD62" s="1135" t="s">
        <v>5396</v>
      </c>
      <c r="AE62" s="1114" t="s">
        <v>5397</v>
      </c>
      <c r="AF62" s="1135" t="s">
        <v>5398</v>
      </c>
      <c r="AG62" s="1114" t="s">
        <v>5399</v>
      </c>
      <c r="AH62" s="1135" t="s">
        <v>5400</v>
      </c>
      <c r="AI62" s="1114" t="s">
        <v>5401</v>
      </c>
      <c r="AJ62" s="1135" t="s">
        <v>5402</v>
      </c>
      <c r="AK62" s="1114" t="s">
        <v>5403</v>
      </c>
      <c r="AL62" s="1135" t="s">
        <v>5404</v>
      </c>
      <c r="AM62" s="1114" t="s">
        <v>5405</v>
      </c>
      <c r="AN62" s="1135" t="s">
        <v>5406</v>
      </c>
      <c r="AO62" s="1114" t="s">
        <v>5407</v>
      </c>
      <c r="AP62" s="1135" t="s">
        <v>5408</v>
      </c>
      <c r="AQ62" s="1114" t="s">
        <v>5409</v>
      </c>
      <c r="AR62" s="1136" t="s">
        <v>5410</v>
      </c>
      <c r="AS62" s="1137" t="s">
        <v>5411</v>
      </c>
      <c r="AT62" s="1136" t="s">
        <v>5412</v>
      </c>
      <c r="AU62" s="1134" t="s">
        <v>5413</v>
      </c>
      <c r="AV62" s="1135" t="s">
        <v>5414</v>
      </c>
      <c r="AW62" s="1114" t="s">
        <v>5415</v>
      </c>
      <c r="AX62" s="1118" t="s">
        <v>5416</v>
      </c>
      <c r="AY62" s="1197" t="e">
        <f t="shared" si="106"/>
        <v>#VALUE!</v>
      </c>
      <c r="AZ62" s="1197"/>
      <c r="BA62" s="1197"/>
      <c r="BB62" s="1197"/>
      <c r="BC62" s="1197"/>
      <c r="BD62" s="1197"/>
      <c r="BE62" s="1197"/>
      <c r="BF62" s="1197"/>
      <c r="BG62" s="1197"/>
      <c r="BH62" s="1197"/>
      <c r="BI62" s="1197"/>
      <c r="BJ62" s="1191"/>
      <c r="BK62" s="1191"/>
      <c r="BL62" s="1191"/>
      <c r="BM62" s="1191"/>
      <c r="BV62" s="1191"/>
      <c r="BX62" s="1547"/>
      <c r="CB62" s="2195" t="str">
        <f t="shared" si="107"/>
        <v xml:space="preserve">* El total de Reactivos NO DEBE ser superior al total de Procesados. </v>
      </c>
      <c r="CC62" s="2195" t="e">
        <f t="shared" si="108"/>
        <v>#VALUE!</v>
      </c>
      <c r="CD62" s="2195" t="e">
        <f t="shared" si="109"/>
        <v>#VALUE!</v>
      </c>
      <c r="CE62" s="2195" t="str">
        <f t="shared" si="110"/>
        <v xml:space="preserve">* La columna Pueblos Originarios NO DEBE ser superior al total de Procesados. </v>
      </c>
      <c r="CF62" s="2195" t="str">
        <f t="shared" si="111"/>
        <v xml:space="preserve">* La columna Migrantes NO DEBE ser superior al total de Procesados. </v>
      </c>
      <c r="CG62" s="2195" t="str">
        <f t="shared" si="139"/>
        <v>* El total de procesados debe ser mayor o igual al total de Reactivos en el grupo de edad Menor de 6 meses</v>
      </c>
      <c r="CH62" s="2195" t="str">
        <f t="shared" si="140"/>
        <v>* El total de procesados debe ser mayor o igual al total de Reactivos en el grupo de edad 6 a 11 meses</v>
      </c>
      <c r="CI62" s="2195" t="str">
        <f t="shared" si="141"/>
        <v>* El total de procesados debe ser mayor o igual al total de Reactivos en el grupo de edad 12-24 meses</v>
      </c>
      <c r="CJ62" s="2195" t="str">
        <f t="shared" si="142"/>
        <v>* El total de procesados debe ser mayor o igual al total de Reactivos en el grupo de edad 3 a 4 años</v>
      </c>
      <c r="CK62" s="2195" t="str">
        <f t="shared" si="143"/>
        <v>* El total de procesados debe ser mayor o igual al total de Reactivos en el grupo de edad 5 a 9 años</v>
      </c>
      <c r="CL62" s="2195" t="str">
        <f t="shared" si="144"/>
        <v>* El total de procesados debe ser mayor o igual al total de Reactivos en el grupo de edad 10 - 14 años</v>
      </c>
      <c r="CM62" s="2195" t="str">
        <f t="shared" si="145"/>
        <v>* El total de procesados debe ser mayor o igual al total de Reactivos en el grupo de edad 15 - 19 años</v>
      </c>
      <c r="CN62" s="2195" t="str">
        <f t="shared" si="146"/>
        <v>* El total de procesados debe ser mayor o igual al total de Reactivos en el grupo de edad 20 - 24 años</v>
      </c>
      <c r="CO62" s="2195" t="str">
        <f t="shared" si="147"/>
        <v>* El total de procesados debe ser mayor o igual al total de Reactivos en el grupo de edad 25 a 29 años</v>
      </c>
      <c r="CP62" s="2195" t="str">
        <f t="shared" si="148"/>
        <v>* El total de procesados debe ser mayor o igual al total de Reactivos en el grupo de edad 30 a 34 años</v>
      </c>
      <c r="CQ62" s="2195" t="str">
        <f t="shared" si="149"/>
        <v>* El total de procesados debe ser mayor o igual al total de Reactivos en el grupo de edad 35 a 39 años</v>
      </c>
      <c r="CR62" s="2195" t="str">
        <f t="shared" si="150"/>
        <v>* El total de procesados debe ser mayor o igual al total de Reactivos en el grupo de edad 40 a 44 años</v>
      </c>
      <c r="CS62" s="2195" t="str">
        <f t="shared" si="151"/>
        <v>* El total de procesados debe ser mayor o igual al total de Reactivos en el grupo de edad 45 a 49 años</v>
      </c>
      <c r="CT62" s="2195" t="str">
        <f t="shared" si="152"/>
        <v>* El total de procesados debe ser mayor o igual al total de Reactivos en el grupo de edad 50 a 54 años</v>
      </c>
      <c r="CU62" s="2195" t="str">
        <f t="shared" si="153"/>
        <v>* El total de procesados debe ser mayor o igual al total de Reactivos en el grupo de edad 55 a 59 años</v>
      </c>
      <c r="CV62" s="2195" t="str">
        <f t="shared" si="154"/>
        <v>* El total de procesados debe ser mayor o igual al total de Reactivos en el grupo de edad 60 a 64 años</v>
      </c>
      <c r="CW62" s="2195" t="str">
        <f t="shared" si="155"/>
        <v>* El total de procesados debe ser mayor o igual al total de Reactivos en el grupo de edad 65 a 69 años</v>
      </c>
      <c r="CX62" s="2195" t="str">
        <f t="shared" si="156"/>
        <v>* El total de procesados debe ser mayor o igual al total de Reactivos en el grupo de edad 70 a 74 años</v>
      </c>
      <c r="CY62" s="2195" t="str">
        <f t="shared" si="157"/>
        <v>* El total de procesados debe ser mayor o igual al total de Reactivos en el grupo de edad 75 a 79 años</v>
      </c>
      <c r="CZ62" s="2195" t="str">
        <f t="shared" si="158"/>
        <v>* El total de procesados debe ser mayor o igual al total de Reactivos en el grupo de edad 80 y más años</v>
      </c>
      <c r="DA62" s="2195" t="str">
        <f t="shared" si="112"/>
        <v/>
      </c>
      <c r="DB62" s="1446">
        <f t="shared" si="113"/>
        <v>1</v>
      </c>
      <c r="DC62" s="1446" t="e">
        <f t="shared" si="114"/>
        <v>#VALUE!</v>
      </c>
      <c r="DD62" s="1446" t="e">
        <f t="shared" si="115"/>
        <v>#VALUE!</v>
      </c>
      <c r="DE62" s="1446">
        <f t="shared" si="116"/>
        <v>1</v>
      </c>
      <c r="DF62" s="1446">
        <f t="shared" si="117"/>
        <v>1</v>
      </c>
      <c r="DG62" s="1446">
        <f t="shared" si="118"/>
        <v>1</v>
      </c>
      <c r="DH62" s="1446">
        <f t="shared" si="119"/>
        <v>1</v>
      </c>
      <c r="DI62" s="1446">
        <f t="shared" si="120"/>
        <v>1</v>
      </c>
      <c r="DJ62" s="1446">
        <f t="shared" si="121"/>
        <v>1</v>
      </c>
      <c r="DK62" s="1446">
        <f t="shared" si="122"/>
        <v>1</v>
      </c>
      <c r="DL62" s="1446">
        <f t="shared" si="123"/>
        <v>1</v>
      </c>
      <c r="DM62" s="1446">
        <f t="shared" si="124"/>
        <v>1</v>
      </c>
      <c r="DN62" s="1446">
        <f t="shared" si="125"/>
        <v>1</v>
      </c>
      <c r="DO62" s="1446">
        <f t="shared" si="126"/>
        <v>1</v>
      </c>
      <c r="DP62" s="1446">
        <f t="shared" si="127"/>
        <v>1</v>
      </c>
      <c r="DQ62" s="1446">
        <f t="shared" si="128"/>
        <v>1</v>
      </c>
      <c r="DR62" s="1446">
        <f t="shared" si="129"/>
        <v>1</v>
      </c>
      <c r="DS62" s="1446">
        <f t="shared" si="130"/>
        <v>1</v>
      </c>
      <c r="DT62" s="1446">
        <f t="shared" si="131"/>
        <v>1</v>
      </c>
      <c r="DU62" s="1446">
        <f t="shared" si="132"/>
        <v>1</v>
      </c>
      <c r="DV62" s="1446">
        <f t="shared" si="133"/>
        <v>1</v>
      </c>
      <c r="DW62" s="1446">
        <f t="shared" si="134"/>
        <v>1</v>
      </c>
      <c r="DX62" s="1446">
        <f t="shared" si="135"/>
        <v>1</v>
      </c>
      <c r="DY62" s="1446">
        <f t="shared" si="136"/>
        <v>1</v>
      </c>
      <c r="DZ62" s="1446">
        <f t="shared" si="137"/>
        <v>1</v>
      </c>
      <c r="EA62" s="1446">
        <f t="shared" si="138"/>
        <v>0</v>
      </c>
    </row>
    <row r="63" spans="1:131" ht="16.2" customHeight="1" x14ac:dyDescent="0.3">
      <c r="A63" s="7258">
        <v>11056407</v>
      </c>
      <c r="B63" s="2000" t="s">
        <v>1792</v>
      </c>
      <c r="C63" s="1998" t="s">
        <v>5369</v>
      </c>
      <c r="D63" s="2044" t="s">
        <v>5370</v>
      </c>
      <c r="E63" s="1130" t="s">
        <v>5371</v>
      </c>
      <c r="F63" s="1131" t="s">
        <v>5372</v>
      </c>
      <c r="G63" s="1132" t="s">
        <v>5373</v>
      </c>
      <c r="H63" s="1131" t="s">
        <v>5374</v>
      </c>
      <c r="I63" s="1132" t="s">
        <v>5375</v>
      </c>
      <c r="J63" s="1131" t="s">
        <v>5376</v>
      </c>
      <c r="K63" s="1132" t="s">
        <v>5377</v>
      </c>
      <c r="L63" s="1131" t="s">
        <v>5378</v>
      </c>
      <c r="M63" s="1132" t="s">
        <v>5379</v>
      </c>
      <c r="N63" s="1133" t="s">
        <v>5380</v>
      </c>
      <c r="O63" s="1134" t="s">
        <v>5381</v>
      </c>
      <c r="P63" s="1135" t="s">
        <v>5382</v>
      </c>
      <c r="Q63" s="1114" t="s">
        <v>5383</v>
      </c>
      <c r="R63" s="1135" t="s">
        <v>5384</v>
      </c>
      <c r="S63" s="1114" t="s">
        <v>5385</v>
      </c>
      <c r="T63" s="1135" t="s">
        <v>5386</v>
      </c>
      <c r="U63" s="1114" t="s">
        <v>5387</v>
      </c>
      <c r="V63" s="1135" t="s">
        <v>5388</v>
      </c>
      <c r="W63" s="1114" t="s">
        <v>5389</v>
      </c>
      <c r="X63" s="1135" t="s">
        <v>5390</v>
      </c>
      <c r="Y63" s="1114" t="s">
        <v>5391</v>
      </c>
      <c r="Z63" s="1135" t="s">
        <v>5392</v>
      </c>
      <c r="AA63" s="1114" t="s">
        <v>5393</v>
      </c>
      <c r="AB63" s="1135" t="s">
        <v>5394</v>
      </c>
      <c r="AC63" s="1114" t="s">
        <v>5395</v>
      </c>
      <c r="AD63" s="1135" t="s">
        <v>5396</v>
      </c>
      <c r="AE63" s="1114" t="s">
        <v>5397</v>
      </c>
      <c r="AF63" s="1135" t="s">
        <v>5398</v>
      </c>
      <c r="AG63" s="1114" t="s">
        <v>5399</v>
      </c>
      <c r="AH63" s="1135" t="s">
        <v>5400</v>
      </c>
      <c r="AI63" s="1114" t="s">
        <v>5401</v>
      </c>
      <c r="AJ63" s="1135" t="s">
        <v>5402</v>
      </c>
      <c r="AK63" s="1114" t="s">
        <v>5403</v>
      </c>
      <c r="AL63" s="1135" t="s">
        <v>5404</v>
      </c>
      <c r="AM63" s="1114" t="s">
        <v>5405</v>
      </c>
      <c r="AN63" s="1135" t="s">
        <v>5406</v>
      </c>
      <c r="AO63" s="1114" t="s">
        <v>5407</v>
      </c>
      <c r="AP63" s="1135" t="s">
        <v>5408</v>
      </c>
      <c r="AQ63" s="1114" t="s">
        <v>5409</v>
      </c>
      <c r="AR63" s="1136" t="s">
        <v>5410</v>
      </c>
      <c r="AS63" s="1137" t="s">
        <v>5411</v>
      </c>
      <c r="AT63" s="1136" t="s">
        <v>5412</v>
      </c>
      <c r="AU63" s="1134" t="s">
        <v>5413</v>
      </c>
      <c r="AV63" s="1135" t="s">
        <v>5414</v>
      </c>
      <c r="AW63" s="1114" t="s">
        <v>5415</v>
      </c>
      <c r="AX63" s="1118" t="s">
        <v>5416</v>
      </c>
      <c r="AY63" s="1197" t="e">
        <f t="shared" si="106"/>
        <v>#VALUE!</v>
      </c>
      <c r="AZ63" s="1197"/>
      <c r="BA63" s="1197"/>
      <c r="BB63" s="1197"/>
      <c r="BC63" s="1197"/>
      <c r="BD63" s="1197"/>
      <c r="BE63" s="1197"/>
      <c r="BF63" s="1197"/>
      <c r="BG63" s="1197"/>
      <c r="BH63" s="1197"/>
      <c r="BI63" s="1197"/>
      <c r="BJ63" s="1191"/>
      <c r="BK63" s="1191"/>
      <c r="BL63" s="1191"/>
      <c r="BM63" s="1191"/>
      <c r="BV63" s="1191"/>
      <c r="BX63" s="1547"/>
      <c r="CB63" s="2195" t="str">
        <f t="shared" si="107"/>
        <v xml:space="preserve">* El total de Reactivos NO DEBE ser superior al total de Procesados. </v>
      </c>
      <c r="CC63" s="2195" t="e">
        <f t="shared" si="108"/>
        <v>#VALUE!</v>
      </c>
      <c r="CD63" s="2195" t="e">
        <f t="shared" si="109"/>
        <v>#VALUE!</v>
      </c>
      <c r="CE63" s="2195" t="str">
        <f t="shared" si="110"/>
        <v xml:space="preserve">* La columna Pueblos Originarios NO DEBE ser superior al total de Procesados. </v>
      </c>
      <c r="CF63" s="2195" t="str">
        <f t="shared" si="111"/>
        <v xml:space="preserve">* La columna Migrantes NO DEBE ser superior al total de Procesados. </v>
      </c>
      <c r="CG63" s="2195" t="str">
        <f t="shared" si="139"/>
        <v>* El total de procesados debe ser mayor o igual al total de Reactivos en el grupo de edad Menor de 6 meses</v>
      </c>
      <c r="CH63" s="2195" t="str">
        <f t="shared" si="140"/>
        <v>* El total de procesados debe ser mayor o igual al total de Reactivos en el grupo de edad 6 a 11 meses</v>
      </c>
      <c r="CI63" s="2195" t="str">
        <f t="shared" si="141"/>
        <v>* El total de procesados debe ser mayor o igual al total de Reactivos en el grupo de edad 12-24 meses</v>
      </c>
      <c r="CJ63" s="2195" t="str">
        <f t="shared" si="142"/>
        <v>* El total de procesados debe ser mayor o igual al total de Reactivos en el grupo de edad 3 a 4 años</v>
      </c>
      <c r="CK63" s="2195" t="str">
        <f t="shared" si="143"/>
        <v>* El total de procesados debe ser mayor o igual al total de Reactivos en el grupo de edad 5 a 9 años</v>
      </c>
      <c r="CL63" s="2195" t="str">
        <f t="shared" si="144"/>
        <v>* El total de procesados debe ser mayor o igual al total de Reactivos en el grupo de edad 10 - 14 años</v>
      </c>
      <c r="CM63" s="2195" t="str">
        <f t="shared" si="145"/>
        <v>* El total de procesados debe ser mayor o igual al total de Reactivos en el grupo de edad 15 - 19 años</v>
      </c>
      <c r="CN63" s="2195" t="str">
        <f t="shared" si="146"/>
        <v>* El total de procesados debe ser mayor o igual al total de Reactivos en el grupo de edad 20 - 24 años</v>
      </c>
      <c r="CO63" s="2195" t="str">
        <f t="shared" si="147"/>
        <v>* El total de procesados debe ser mayor o igual al total de Reactivos en el grupo de edad 25 a 29 años</v>
      </c>
      <c r="CP63" s="2195" t="str">
        <f t="shared" si="148"/>
        <v>* El total de procesados debe ser mayor o igual al total de Reactivos en el grupo de edad 30 a 34 años</v>
      </c>
      <c r="CQ63" s="2195" t="str">
        <f t="shared" si="149"/>
        <v>* El total de procesados debe ser mayor o igual al total de Reactivos en el grupo de edad 35 a 39 años</v>
      </c>
      <c r="CR63" s="2195" t="str">
        <f t="shared" si="150"/>
        <v>* El total de procesados debe ser mayor o igual al total de Reactivos en el grupo de edad 40 a 44 años</v>
      </c>
      <c r="CS63" s="2195" t="str">
        <f t="shared" si="151"/>
        <v>* El total de procesados debe ser mayor o igual al total de Reactivos en el grupo de edad 45 a 49 años</v>
      </c>
      <c r="CT63" s="2195" t="str">
        <f t="shared" si="152"/>
        <v>* El total de procesados debe ser mayor o igual al total de Reactivos en el grupo de edad 50 a 54 años</v>
      </c>
      <c r="CU63" s="2195" t="str">
        <f t="shared" si="153"/>
        <v>* El total de procesados debe ser mayor o igual al total de Reactivos en el grupo de edad 55 a 59 años</v>
      </c>
      <c r="CV63" s="2195" t="str">
        <f t="shared" si="154"/>
        <v>* El total de procesados debe ser mayor o igual al total de Reactivos en el grupo de edad 60 a 64 años</v>
      </c>
      <c r="CW63" s="2195" t="str">
        <f t="shared" si="155"/>
        <v>* El total de procesados debe ser mayor o igual al total de Reactivos en el grupo de edad 65 a 69 años</v>
      </c>
      <c r="CX63" s="2195" t="str">
        <f t="shared" si="156"/>
        <v>* El total de procesados debe ser mayor o igual al total de Reactivos en el grupo de edad 70 a 74 años</v>
      </c>
      <c r="CY63" s="2195" t="str">
        <f t="shared" si="157"/>
        <v>* El total de procesados debe ser mayor o igual al total de Reactivos en el grupo de edad 75 a 79 años</v>
      </c>
      <c r="CZ63" s="2195" t="str">
        <f t="shared" si="158"/>
        <v>* El total de procesados debe ser mayor o igual al total de Reactivos en el grupo de edad 80 y más años</v>
      </c>
      <c r="DA63" s="2195" t="str">
        <f t="shared" si="112"/>
        <v/>
      </c>
      <c r="DB63" s="1446">
        <f t="shared" si="113"/>
        <v>1</v>
      </c>
      <c r="DC63" s="1446" t="e">
        <f t="shared" si="114"/>
        <v>#VALUE!</v>
      </c>
      <c r="DD63" s="1446" t="e">
        <f t="shared" si="115"/>
        <v>#VALUE!</v>
      </c>
      <c r="DE63" s="1446">
        <f t="shared" si="116"/>
        <v>1</v>
      </c>
      <c r="DF63" s="1446">
        <f t="shared" si="117"/>
        <v>1</v>
      </c>
      <c r="DG63" s="1446">
        <f t="shared" si="118"/>
        <v>1</v>
      </c>
      <c r="DH63" s="1446">
        <f t="shared" si="119"/>
        <v>1</v>
      </c>
      <c r="DI63" s="1446">
        <f t="shared" si="120"/>
        <v>1</v>
      </c>
      <c r="DJ63" s="1446">
        <f t="shared" si="121"/>
        <v>1</v>
      </c>
      <c r="DK63" s="1446">
        <f t="shared" si="122"/>
        <v>1</v>
      </c>
      <c r="DL63" s="1446">
        <f t="shared" si="123"/>
        <v>1</v>
      </c>
      <c r="DM63" s="1446">
        <f t="shared" si="124"/>
        <v>1</v>
      </c>
      <c r="DN63" s="1446">
        <f t="shared" si="125"/>
        <v>1</v>
      </c>
      <c r="DO63" s="1446">
        <f t="shared" si="126"/>
        <v>1</v>
      </c>
      <c r="DP63" s="1446">
        <f t="shared" si="127"/>
        <v>1</v>
      </c>
      <c r="DQ63" s="1446">
        <f t="shared" si="128"/>
        <v>1</v>
      </c>
      <c r="DR63" s="1446">
        <f t="shared" si="129"/>
        <v>1</v>
      </c>
      <c r="DS63" s="1446">
        <f t="shared" si="130"/>
        <v>1</v>
      </c>
      <c r="DT63" s="1446">
        <f t="shared" si="131"/>
        <v>1</v>
      </c>
      <c r="DU63" s="1446">
        <f t="shared" si="132"/>
        <v>1</v>
      </c>
      <c r="DV63" s="1446">
        <f t="shared" si="133"/>
        <v>1</v>
      </c>
      <c r="DW63" s="1446">
        <f t="shared" si="134"/>
        <v>1</v>
      </c>
      <c r="DX63" s="1446">
        <f t="shared" si="135"/>
        <v>1</v>
      </c>
      <c r="DY63" s="1446">
        <f t="shared" si="136"/>
        <v>1</v>
      </c>
      <c r="DZ63" s="1446">
        <f t="shared" si="137"/>
        <v>1</v>
      </c>
      <c r="EA63" s="1446">
        <f t="shared" si="138"/>
        <v>0</v>
      </c>
    </row>
    <row r="64" spans="1:131" ht="16.2" customHeight="1" x14ac:dyDescent="0.3">
      <c r="A64" s="7258">
        <v>11056408</v>
      </c>
      <c r="B64" s="2000" t="s">
        <v>1793</v>
      </c>
      <c r="C64" s="1998" t="s">
        <v>5369</v>
      </c>
      <c r="D64" s="2044" t="s">
        <v>5370</v>
      </c>
      <c r="E64" s="1134" t="s">
        <v>5371</v>
      </c>
      <c r="F64" s="1135" t="s">
        <v>5372</v>
      </c>
      <c r="G64" s="1114" t="s">
        <v>5373</v>
      </c>
      <c r="H64" s="1135" t="s">
        <v>5374</v>
      </c>
      <c r="I64" s="1114" t="s">
        <v>5375</v>
      </c>
      <c r="J64" s="1118" t="s">
        <v>5376</v>
      </c>
      <c r="K64" s="1134" t="s">
        <v>5377</v>
      </c>
      <c r="L64" s="1134" t="s">
        <v>5378</v>
      </c>
      <c r="M64" s="1114" t="s">
        <v>5379</v>
      </c>
      <c r="N64" s="1118" t="s">
        <v>5380</v>
      </c>
      <c r="O64" s="1134" t="s">
        <v>5381</v>
      </c>
      <c r="P64" s="1135" t="s">
        <v>5382</v>
      </c>
      <c r="Q64" s="1114" t="s">
        <v>5383</v>
      </c>
      <c r="R64" s="1135" t="s">
        <v>5384</v>
      </c>
      <c r="S64" s="1114" t="s">
        <v>5385</v>
      </c>
      <c r="T64" s="1135" t="s">
        <v>5386</v>
      </c>
      <c r="U64" s="1114" t="s">
        <v>5387</v>
      </c>
      <c r="V64" s="1135" t="s">
        <v>5388</v>
      </c>
      <c r="W64" s="1114" t="s">
        <v>5389</v>
      </c>
      <c r="X64" s="1135" t="s">
        <v>5390</v>
      </c>
      <c r="Y64" s="1114" t="s">
        <v>5391</v>
      </c>
      <c r="Z64" s="1135" t="s">
        <v>5392</v>
      </c>
      <c r="AA64" s="1114" t="s">
        <v>5393</v>
      </c>
      <c r="AB64" s="1135" t="s">
        <v>5394</v>
      </c>
      <c r="AC64" s="1114" t="s">
        <v>5395</v>
      </c>
      <c r="AD64" s="1135" t="s">
        <v>5396</v>
      </c>
      <c r="AE64" s="1114" t="s">
        <v>5397</v>
      </c>
      <c r="AF64" s="1135" t="s">
        <v>5398</v>
      </c>
      <c r="AG64" s="1114" t="s">
        <v>5399</v>
      </c>
      <c r="AH64" s="1135" t="s">
        <v>5400</v>
      </c>
      <c r="AI64" s="1114" t="s">
        <v>5401</v>
      </c>
      <c r="AJ64" s="1135" t="s">
        <v>5402</v>
      </c>
      <c r="AK64" s="1114" t="s">
        <v>5403</v>
      </c>
      <c r="AL64" s="1135" t="s">
        <v>5404</v>
      </c>
      <c r="AM64" s="1114" t="s">
        <v>5405</v>
      </c>
      <c r="AN64" s="1135" t="s">
        <v>5406</v>
      </c>
      <c r="AO64" s="1114" t="s">
        <v>5407</v>
      </c>
      <c r="AP64" s="1135" t="s">
        <v>5408</v>
      </c>
      <c r="AQ64" s="1114" t="s">
        <v>5409</v>
      </c>
      <c r="AR64" s="1136" t="s">
        <v>5410</v>
      </c>
      <c r="AS64" s="1137" t="s">
        <v>5411</v>
      </c>
      <c r="AT64" s="1136" t="s">
        <v>5412</v>
      </c>
      <c r="AU64" s="1134" t="s">
        <v>5413</v>
      </c>
      <c r="AV64" s="1135" t="s">
        <v>5414</v>
      </c>
      <c r="AW64" s="1114" t="s">
        <v>5415</v>
      </c>
      <c r="AX64" s="1118" t="s">
        <v>5416</v>
      </c>
      <c r="AY64" s="1197" t="e">
        <f t="shared" si="106"/>
        <v>#VALUE!</v>
      </c>
      <c r="AZ64" s="1197"/>
      <c r="BA64" s="1197"/>
      <c r="BB64" s="1197"/>
      <c r="BC64" s="1197"/>
      <c r="BD64" s="1197"/>
      <c r="BE64" s="1197"/>
      <c r="BF64" s="1197"/>
      <c r="BG64" s="1197"/>
      <c r="BH64" s="1197"/>
      <c r="BI64" s="1197"/>
      <c r="BJ64" s="1191"/>
      <c r="BK64" s="1191"/>
      <c r="BL64" s="1191"/>
      <c r="BM64" s="1191"/>
      <c r="BV64" s="1191"/>
      <c r="BX64" s="1547"/>
      <c r="CB64" s="2195" t="str">
        <f t="shared" si="107"/>
        <v xml:space="preserve">* El total de Reactivos NO DEBE ser superior al total de Procesados. </v>
      </c>
      <c r="CC64" s="2195" t="e">
        <f t="shared" si="108"/>
        <v>#VALUE!</v>
      </c>
      <c r="CD64" s="2195" t="e">
        <f t="shared" si="109"/>
        <v>#VALUE!</v>
      </c>
      <c r="CE64" s="2195" t="str">
        <f t="shared" si="110"/>
        <v xml:space="preserve">* La columna Pueblos Originarios NO DEBE ser superior al total de Procesados. </v>
      </c>
      <c r="CF64" s="2195" t="str">
        <f t="shared" si="111"/>
        <v xml:space="preserve">* La columna Migrantes NO DEBE ser superior al total de Procesados. </v>
      </c>
      <c r="CG64" s="2195" t="str">
        <f t="shared" si="139"/>
        <v>* El total de procesados debe ser mayor o igual al total de Reactivos en el grupo de edad Menor de 6 meses</v>
      </c>
      <c r="CH64" s="2195" t="str">
        <f t="shared" si="140"/>
        <v>* El total de procesados debe ser mayor o igual al total de Reactivos en el grupo de edad 6 a 11 meses</v>
      </c>
      <c r="CI64" s="2195" t="str">
        <f t="shared" si="141"/>
        <v>* El total de procesados debe ser mayor o igual al total de Reactivos en el grupo de edad 12-24 meses</v>
      </c>
      <c r="CJ64" s="2195" t="str">
        <f t="shared" si="142"/>
        <v>* El total de procesados debe ser mayor o igual al total de Reactivos en el grupo de edad 3 a 4 años</v>
      </c>
      <c r="CK64" s="2195" t="str">
        <f t="shared" si="143"/>
        <v>* El total de procesados debe ser mayor o igual al total de Reactivos en el grupo de edad 5 a 9 años</v>
      </c>
      <c r="CL64" s="2195" t="str">
        <f t="shared" si="144"/>
        <v>* El total de procesados debe ser mayor o igual al total de Reactivos en el grupo de edad 10 - 14 años</v>
      </c>
      <c r="CM64" s="2195" t="str">
        <f t="shared" si="145"/>
        <v>* El total de procesados debe ser mayor o igual al total de Reactivos en el grupo de edad 15 - 19 años</v>
      </c>
      <c r="CN64" s="2195" t="str">
        <f t="shared" si="146"/>
        <v>* El total de procesados debe ser mayor o igual al total de Reactivos en el grupo de edad 20 - 24 años</v>
      </c>
      <c r="CO64" s="2195" t="str">
        <f t="shared" si="147"/>
        <v>* El total de procesados debe ser mayor o igual al total de Reactivos en el grupo de edad 25 a 29 años</v>
      </c>
      <c r="CP64" s="2195" t="str">
        <f t="shared" si="148"/>
        <v>* El total de procesados debe ser mayor o igual al total de Reactivos en el grupo de edad 30 a 34 años</v>
      </c>
      <c r="CQ64" s="2195" t="str">
        <f t="shared" si="149"/>
        <v>* El total de procesados debe ser mayor o igual al total de Reactivos en el grupo de edad 35 a 39 años</v>
      </c>
      <c r="CR64" s="2195" t="str">
        <f t="shared" si="150"/>
        <v>* El total de procesados debe ser mayor o igual al total de Reactivos en el grupo de edad 40 a 44 años</v>
      </c>
      <c r="CS64" s="2195" t="str">
        <f t="shared" si="151"/>
        <v>* El total de procesados debe ser mayor o igual al total de Reactivos en el grupo de edad 45 a 49 años</v>
      </c>
      <c r="CT64" s="2195" t="str">
        <f t="shared" si="152"/>
        <v>* El total de procesados debe ser mayor o igual al total de Reactivos en el grupo de edad 50 a 54 años</v>
      </c>
      <c r="CU64" s="2195" t="str">
        <f t="shared" si="153"/>
        <v>* El total de procesados debe ser mayor o igual al total de Reactivos en el grupo de edad 55 a 59 años</v>
      </c>
      <c r="CV64" s="2195" t="str">
        <f t="shared" si="154"/>
        <v>* El total de procesados debe ser mayor o igual al total de Reactivos en el grupo de edad 60 a 64 años</v>
      </c>
      <c r="CW64" s="2195" t="str">
        <f t="shared" si="155"/>
        <v>* El total de procesados debe ser mayor o igual al total de Reactivos en el grupo de edad 65 a 69 años</v>
      </c>
      <c r="CX64" s="2195" t="str">
        <f t="shared" si="156"/>
        <v>* El total de procesados debe ser mayor o igual al total de Reactivos en el grupo de edad 70 a 74 años</v>
      </c>
      <c r="CY64" s="2195" t="str">
        <f t="shared" si="157"/>
        <v>* El total de procesados debe ser mayor o igual al total de Reactivos en el grupo de edad 75 a 79 años</v>
      </c>
      <c r="CZ64" s="2195" t="str">
        <f t="shared" si="158"/>
        <v>* El total de procesados debe ser mayor o igual al total de Reactivos en el grupo de edad 80 y más años</v>
      </c>
      <c r="DA64" s="2195" t="str">
        <f t="shared" si="112"/>
        <v/>
      </c>
      <c r="DB64" s="1446">
        <f t="shared" si="113"/>
        <v>1</v>
      </c>
      <c r="DC64" s="1446" t="e">
        <f t="shared" si="114"/>
        <v>#VALUE!</v>
      </c>
      <c r="DD64" s="1446" t="e">
        <f t="shared" si="115"/>
        <v>#VALUE!</v>
      </c>
      <c r="DE64" s="1446">
        <f t="shared" si="116"/>
        <v>1</v>
      </c>
      <c r="DF64" s="1446">
        <f t="shared" si="117"/>
        <v>1</v>
      </c>
      <c r="DG64" s="1446">
        <f t="shared" si="118"/>
        <v>1</v>
      </c>
      <c r="DH64" s="1446">
        <f t="shared" si="119"/>
        <v>1</v>
      </c>
      <c r="DI64" s="1446">
        <f t="shared" si="120"/>
        <v>1</v>
      </c>
      <c r="DJ64" s="1446">
        <f t="shared" si="121"/>
        <v>1</v>
      </c>
      <c r="DK64" s="1446">
        <f t="shared" si="122"/>
        <v>1</v>
      </c>
      <c r="DL64" s="1446">
        <f t="shared" si="123"/>
        <v>1</v>
      </c>
      <c r="DM64" s="1446">
        <f t="shared" si="124"/>
        <v>1</v>
      </c>
      <c r="DN64" s="1446">
        <f t="shared" si="125"/>
        <v>1</v>
      </c>
      <c r="DO64" s="1446">
        <f t="shared" si="126"/>
        <v>1</v>
      </c>
      <c r="DP64" s="1446">
        <f t="shared" si="127"/>
        <v>1</v>
      </c>
      <c r="DQ64" s="1446">
        <f t="shared" si="128"/>
        <v>1</v>
      </c>
      <c r="DR64" s="1446">
        <f t="shared" si="129"/>
        <v>1</v>
      </c>
      <c r="DS64" s="1446">
        <f t="shared" si="130"/>
        <v>1</v>
      </c>
      <c r="DT64" s="1446">
        <f t="shared" si="131"/>
        <v>1</v>
      </c>
      <c r="DU64" s="1446">
        <f t="shared" si="132"/>
        <v>1</v>
      </c>
      <c r="DV64" s="1446">
        <f t="shared" si="133"/>
        <v>1</v>
      </c>
      <c r="DW64" s="1446">
        <f t="shared" si="134"/>
        <v>1</v>
      </c>
      <c r="DX64" s="1446">
        <f t="shared" si="135"/>
        <v>1</v>
      </c>
      <c r="DY64" s="1446">
        <f t="shared" si="136"/>
        <v>1</v>
      </c>
      <c r="DZ64" s="1446">
        <f t="shared" si="137"/>
        <v>1</v>
      </c>
      <c r="EA64" s="1446">
        <f t="shared" si="138"/>
        <v>0</v>
      </c>
    </row>
    <row r="65" spans="1:131" ht="24" customHeight="1" x14ac:dyDescent="0.3">
      <c r="A65" s="7258">
        <v>11056409</v>
      </c>
      <c r="B65" s="2045" t="s">
        <v>1794</v>
      </c>
      <c r="C65" s="1998" t="s">
        <v>5369</v>
      </c>
      <c r="D65" s="2044" t="s">
        <v>5370</v>
      </c>
      <c r="E65" s="1134" t="s">
        <v>5371</v>
      </c>
      <c r="F65" s="1135" t="s">
        <v>5372</v>
      </c>
      <c r="G65" s="1114" t="s">
        <v>5373</v>
      </c>
      <c r="H65" s="1135" t="s">
        <v>5374</v>
      </c>
      <c r="I65" s="1114" t="s">
        <v>5375</v>
      </c>
      <c r="J65" s="1118" t="s">
        <v>5376</v>
      </c>
      <c r="K65" s="1140" t="s">
        <v>5377</v>
      </c>
      <c r="L65" s="1141" t="s">
        <v>5378</v>
      </c>
      <c r="M65" s="1140" t="s">
        <v>5379</v>
      </c>
      <c r="N65" s="1141" t="s">
        <v>5380</v>
      </c>
      <c r="O65" s="1140" t="s">
        <v>5381</v>
      </c>
      <c r="P65" s="1141" t="s">
        <v>5382</v>
      </c>
      <c r="Q65" s="1140" t="s">
        <v>5383</v>
      </c>
      <c r="R65" s="1141" t="s">
        <v>5384</v>
      </c>
      <c r="S65" s="1140" t="s">
        <v>5385</v>
      </c>
      <c r="T65" s="1141" t="s">
        <v>5386</v>
      </c>
      <c r="U65" s="1140" t="s">
        <v>5387</v>
      </c>
      <c r="V65" s="1141" t="s">
        <v>5388</v>
      </c>
      <c r="W65" s="1140" t="s">
        <v>5389</v>
      </c>
      <c r="X65" s="1141" t="s">
        <v>5390</v>
      </c>
      <c r="Y65" s="1140" t="s">
        <v>5391</v>
      </c>
      <c r="Z65" s="1141" t="s">
        <v>5392</v>
      </c>
      <c r="AA65" s="1140" t="s">
        <v>5393</v>
      </c>
      <c r="AB65" s="1141" t="s">
        <v>5394</v>
      </c>
      <c r="AC65" s="1140" t="s">
        <v>5395</v>
      </c>
      <c r="AD65" s="1141" t="s">
        <v>5396</v>
      </c>
      <c r="AE65" s="1140" t="s">
        <v>5397</v>
      </c>
      <c r="AF65" s="1141" t="s">
        <v>5398</v>
      </c>
      <c r="AG65" s="1140" t="s">
        <v>5399</v>
      </c>
      <c r="AH65" s="1141" t="s">
        <v>5400</v>
      </c>
      <c r="AI65" s="1140" t="s">
        <v>5401</v>
      </c>
      <c r="AJ65" s="1141" t="s">
        <v>5402</v>
      </c>
      <c r="AK65" s="1140" t="s">
        <v>5403</v>
      </c>
      <c r="AL65" s="1141" t="s">
        <v>5404</v>
      </c>
      <c r="AM65" s="1140" t="s">
        <v>5405</v>
      </c>
      <c r="AN65" s="1141" t="s">
        <v>5406</v>
      </c>
      <c r="AO65" s="1140" t="s">
        <v>5407</v>
      </c>
      <c r="AP65" s="1141" t="s">
        <v>5408</v>
      </c>
      <c r="AQ65" s="1140" t="s">
        <v>5409</v>
      </c>
      <c r="AR65" s="1142" t="s">
        <v>5410</v>
      </c>
      <c r="AS65" s="1134" t="s">
        <v>5411</v>
      </c>
      <c r="AT65" s="1136" t="s">
        <v>5412</v>
      </c>
      <c r="AU65" s="1134" t="s">
        <v>5413</v>
      </c>
      <c r="AV65" s="1135" t="s">
        <v>5414</v>
      </c>
      <c r="AW65" s="1114" t="s">
        <v>5415</v>
      </c>
      <c r="AX65" s="1118" t="s">
        <v>5416</v>
      </c>
      <c r="AY65" s="1197" t="e">
        <f t="shared" si="106"/>
        <v>#VALUE!</v>
      </c>
      <c r="AZ65" s="1197"/>
      <c r="BA65" s="1197"/>
      <c r="BB65" s="1197"/>
      <c r="BC65" s="1197"/>
      <c r="BD65" s="1197"/>
      <c r="BE65" s="1197"/>
      <c r="BF65" s="1197"/>
      <c r="BG65" s="1197"/>
      <c r="BH65" s="1197"/>
      <c r="BI65" s="1197"/>
      <c r="BJ65" s="1191"/>
      <c r="BK65" s="1191"/>
      <c r="BL65" s="1191"/>
      <c r="BM65" s="1191"/>
      <c r="BV65" s="1191"/>
      <c r="BX65" s="1547"/>
      <c r="CB65" s="2195" t="str">
        <f t="shared" si="107"/>
        <v xml:space="preserve">* El total de Reactivos NO DEBE ser superior al total de Procesados. </v>
      </c>
      <c r="CC65" s="2195" t="e">
        <f t="shared" si="108"/>
        <v>#VALUE!</v>
      </c>
      <c r="CD65" s="2195" t="e">
        <f t="shared" si="109"/>
        <v>#VALUE!</v>
      </c>
      <c r="CE65" s="2195" t="str">
        <f t="shared" si="110"/>
        <v xml:space="preserve">* La columna Pueblos Originarios NO DEBE ser superior al total de Procesados. </v>
      </c>
      <c r="CF65" s="2195" t="str">
        <f t="shared" si="111"/>
        <v xml:space="preserve">* La columna Migrantes NO DEBE ser superior al total de Procesados. </v>
      </c>
      <c r="CG65" s="2195" t="str">
        <f t="shared" si="139"/>
        <v>* El total de procesados debe ser mayor o igual al total de Reactivos en el grupo de edad Menor de 6 meses</v>
      </c>
      <c r="CH65" s="2195" t="str">
        <f t="shared" si="140"/>
        <v>* El total de procesados debe ser mayor o igual al total de Reactivos en el grupo de edad 6 a 11 meses</v>
      </c>
      <c r="CI65" s="2195" t="str">
        <f t="shared" si="141"/>
        <v>* El total de procesados debe ser mayor o igual al total de Reactivos en el grupo de edad 12-24 meses</v>
      </c>
      <c r="CJ65" s="2195" t="str">
        <f t="shared" si="142"/>
        <v>* El total de procesados debe ser mayor o igual al total de Reactivos en el grupo de edad 3 a 4 años</v>
      </c>
      <c r="CK65" s="2195" t="str">
        <f t="shared" si="143"/>
        <v>* El total de procesados debe ser mayor o igual al total de Reactivos en el grupo de edad 5 a 9 años</v>
      </c>
      <c r="CL65" s="2195" t="str">
        <f t="shared" si="144"/>
        <v>* El total de procesados debe ser mayor o igual al total de Reactivos en el grupo de edad 10 - 14 años</v>
      </c>
      <c r="CM65" s="2195" t="str">
        <f t="shared" si="145"/>
        <v>* El total de procesados debe ser mayor o igual al total de Reactivos en el grupo de edad 15 - 19 años</v>
      </c>
      <c r="CN65" s="2195" t="str">
        <f t="shared" si="146"/>
        <v>* El total de procesados debe ser mayor o igual al total de Reactivos en el grupo de edad 20 - 24 años</v>
      </c>
      <c r="CO65" s="2195" t="str">
        <f t="shared" si="147"/>
        <v>* El total de procesados debe ser mayor o igual al total de Reactivos en el grupo de edad 25 a 29 años</v>
      </c>
      <c r="CP65" s="2195" t="str">
        <f t="shared" si="148"/>
        <v>* El total de procesados debe ser mayor o igual al total de Reactivos en el grupo de edad 30 a 34 años</v>
      </c>
      <c r="CQ65" s="2195" t="str">
        <f t="shared" si="149"/>
        <v>* El total de procesados debe ser mayor o igual al total de Reactivos en el grupo de edad 35 a 39 años</v>
      </c>
      <c r="CR65" s="2195" t="str">
        <f t="shared" si="150"/>
        <v>* El total de procesados debe ser mayor o igual al total de Reactivos en el grupo de edad 40 a 44 años</v>
      </c>
      <c r="CS65" s="2195" t="str">
        <f t="shared" si="151"/>
        <v>* El total de procesados debe ser mayor o igual al total de Reactivos en el grupo de edad 45 a 49 años</v>
      </c>
      <c r="CT65" s="2195" t="str">
        <f t="shared" si="152"/>
        <v>* El total de procesados debe ser mayor o igual al total de Reactivos en el grupo de edad 50 a 54 años</v>
      </c>
      <c r="CU65" s="2195" t="str">
        <f t="shared" si="153"/>
        <v>* El total de procesados debe ser mayor o igual al total de Reactivos en el grupo de edad 55 a 59 años</v>
      </c>
      <c r="CV65" s="2195" t="str">
        <f t="shared" si="154"/>
        <v>* El total de procesados debe ser mayor o igual al total de Reactivos en el grupo de edad 60 a 64 años</v>
      </c>
      <c r="CW65" s="2195" t="str">
        <f t="shared" si="155"/>
        <v>* El total de procesados debe ser mayor o igual al total de Reactivos en el grupo de edad 65 a 69 años</v>
      </c>
      <c r="CX65" s="2195" t="str">
        <f t="shared" si="156"/>
        <v>* El total de procesados debe ser mayor o igual al total de Reactivos en el grupo de edad 70 a 74 años</v>
      </c>
      <c r="CY65" s="2195" t="str">
        <f t="shared" si="157"/>
        <v>* El total de procesados debe ser mayor o igual al total de Reactivos en el grupo de edad 75 a 79 años</v>
      </c>
      <c r="CZ65" s="2195" t="str">
        <f t="shared" si="158"/>
        <v>* El total de procesados debe ser mayor o igual al total de Reactivos en el grupo de edad 80 y más años</v>
      </c>
      <c r="DA65" s="2195" t="str">
        <f t="shared" si="112"/>
        <v/>
      </c>
      <c r="DB65" s="1446">
        <f t="shared" si="113"/>
        <v>1</v>
      </c>
      <c r="DC65" s="1446" t="e">
        <f t="shared" si="114"/>
        <v>#VALUE!</v>
      </c>
      <c r="DD65" s="1446" t="e">
        <f t="shared" si="115"/>
        <v>#VALUE!</v>
      </c>
      <c r="DE65" s="1446">
        <f t="shared" si="116"/>
        <v>1</v>
      </c>
      <c r="DF65" s="1446">
        <f t="shared" si="117"/>
        <v>1</v>
      </c>
      <c r="DG65" s="1446">
        <f t="shared" si="118"/>
        <v>1</v>
      </c>
      <c r="DH65" s="1446">
        <f t="shared" si="119"/>
        <v>1</v>
      </c>
      <c r="DI65" s="1446">
        <f t="shared" si="120"/>
        <v>1</v>
      </c>
      <c r="DJ65" s="1446">
        <f t="shared" si="121"/>
        <v>1</v>
      </c>
      <c r="DK65" s="1446">
        <f t="shared" si="122"/>
        <v>1</v>
      </c>
      <c r="DL65" s="1446">
        <f t="shared" si="123"/>
        <v>1</v>
      </c>
      <c r="DM65" s="1446">
        <f t="shared" si="124"/>
        <v>1</v>
      </c>
      <c r="DN65" s="1446">
        <f t="shared" si="125"/>
        <v>1</v>
      </c>
      <c r="DO65" s="1446">
        <f t="shared" si="126"/>
        <v>1</v>
      </c>
      <c r="DP65" s="1446">
        <f t="shared" si="127"/>
        <v>1</v>
      </c>
      <c r="DQ65" s="1446">
        <f t="shared" si="128"/>
        <v>1</v>
      </c>
      <c r="DR65" s="1446">
        <f t="shared" si="129"/>
        <v>1</v>
      </c>
      <c r="DS65" s="1446">
        <f t="shared" si="130"/>
        <v>1</v>
      </c>
      <c r="DT65" s="1446">
        <f t="shared" si="131"/>
        <v>1</v>
      </c>
      <c r="DU65" s="1446">
        <f t="shared" si="132"/>
        <v>1</v>
      </c>
      <c r="DV65" s="1446">
        <f t="shared" si="133"/>
        <v>1</v>
      </c>
      <c r="DW65" s="1446">
        <f t="shared" si="134"/>
        <v>1</v>
      </c>
      <c r="DX65" s="1446">
        <f t="shared" si="135"/>
        <v>1</v>
      </c>
      <c r="DY65" s="1446">
        <f t="shared" si="136"/>
        <v>1</v>
      </c>
      <c r="DZ65" s="1446">
        <f t="shared" si="137"/>
        <v>1</v>
      </c>
      <c r="EA65" s="1446">
        <f t="shared" si="138"/>
        <v>0</v>
      </c>
    </row>
    <row r="66" spans="1:131" ht="18.75" customHeight="1" x14ac:dyDescent="0.3">
      <c r="A66" s="7258">
        <v>11056410</v>
      </c>
      <c r="B66" s="2045" t="s">
        <v>1795</v>
      </c>
      <c r="C66" s="1998" t="s">
        <v>5369</v>
      </c>
      <c r="D66" s="2044" t="s">
        <v>5370</v>
      </c>
      <c r="E66" s="1130" t="s">
        <v>5371</v>
      </c>
      <c r="F66" s="1131" t="s">
        <v>5372</v>
      </c>
      <c r="G66" s="1132" t="s">
        <v>5373</v>
      </c>
      <c r="H66" s="1131" t="s">
        <v>5374</v>
      </c>
      <c r="I66" s="1132" t="s">
        <v>5375</v>
      </c>
      <c r="J66" s="1131" t="s">
        <v>5376</v>
      </c>
      <c r="K66" s="1132" t="s">
        <v>5377</v>
      </c>
      <c r="L66" s="1131" t="s">
        <v>5378</v>
      </c>
      <c r="M66" s="1132" t="s">
        <v>5379</v>
      </c>
      <c r="N66" s="1133" t="s">
        <v>5380</v>
      </c>
      <c r="O66" s="1130" t="s">
        <v>5381</v>
      </c>
      <c r="P66" s="1131" t="s">
        <v>5382</v>
      </c>
      <c r="Q66" s="1114" t="s">
        <v>5383</v>
      </c>
      <c r="R66" s="1135" t="s">
        <v>5384</v>
      </c>
      <c r="S66" s="1114" t="s">
        <v>5385</v>
      </c>
      <c r="T66" s="1135" t="s">
        <v>5386</v>
      </c>
      <c r="U66" s="1114" t="s">
        <v>5387</v>
      </c>
      <c r="V66" s="1135" t="s">
        <v>5388</v>
      </c>
      <c r="W66" s="1114" t="s">
        <v>5389</v>
      </c>
      <c r="X66" s="1135" t="s">
        <v>5390</v>
      </c>
      <c r="Y66" s="1114" t="s">
        <v>5391</v>
      </c>
      <c r="Z66" s="1135" t="s">
        <v>5392</v>
      </c>
      <c r="AA66" s="1114" t="s">
        <v>5393</v>
      </c>
      <c r="AB66" s="1135" t="s">
        <v>5394</v>
      </c>
      <c r="AC66" s="1114" t="s">
        <v>5395</v>
      </c>
      <c r="AD66" s="1135" t="s">
        <v>5396</v>
      </c>
      <c r="AE66" s="1114" t="s">
        <v>5397</v>
      </c>
      <c r="AF66" s="1135" t="s">
        <v>5398</v>
      </c>
      <c r="AG66" s="1114" t="s">
        <v>5399</v>
      </c>
      <c r="AH66" s="1135" t="s">
        <v>5400</v>
      </c>
      <c r="AI66" s="1114" t="s">
        <v>5401</v>
      </c>
      <c r="AJ66" s="1135" t="s">
        <v>5402</v>
      </c>
      <c r="AK66" s="1114" t="s">
        <v>5403</v>
      </c>
      <c r="AL66" s="1135" t="s">
        <v>5404</v>
      </c>
      <c r="AM66" s="1114" t="s">
        <v>5405</v>
      </c>
      <c r="AN66" s="1135" t="s">
        <v>5406</v>
      </c>
      <c r="AO66" s="1114" t="s">
        <v>5407</v>
      </c>
      <c r="AP66" s="1135" t="s">
        <v>5408</v>
      </c>
      <c r="AQ66" s="1114" t="s">
        <v>5409</v>
      </c>
      <c r="AR66" s="1136" t="s">
        <v>5410</v>
      </c>
      <c r="AS66" s="1134" t="s">
        <v>5411</v>
      </c>
      <c r="AT66" s="1136" t="s">
        <v>5412</v>
      </c>
      <c r="AU66" s="1134" t="s">
        <v>5413</v>
      </c>
      <c r="AV66" s="1135" t="s">
        <v>5414</v>
      </c>
      <c r="AW66" s="1114" t="s">
        <v>5415</v>
      </c>
      <c r="AX66" s="1118" t="s">
        <v>5416</v>
      </c>
      <c r="AY66" s="1197" t="e">
        <f t="shared" si="106"/>
        <v>#VALUE!</v>
      </c>
      <c r="AZ66" s="1197"/>
      <c r="BA66" s="1197"/>
      <c r="BB66" s="1197"/>
      <c r="BC66" s="1197"/>
      <c r="BD66" s="1197"/>
      <c r="BE66" s="1197"/>
      <c r="BF66" s="1197"/>
      <c r="BG66" s="1197"/>
      <c r="BH66" s="1197"/>
      <c r="BI66" s="1197"/>
      <c r="BJ66" s="1191"/>
      <c r="BK66" s="1191"/>
      <c r="BL66" s="1191"/>
      <c r="BM66" s="1191"/>
      <c r="BV66" s="1191"/>
      <c r="BX66" s="1547"/>
      <c r="CB66" s="2195" t="str">
        <f t="shared" si="107"/>
        <v xml:space="preserve">* El total de Reactivos NO DEBE ser superior al total de Procesados. </v>
      </c>
      <c r="CC66" s="2195" t="e">
        <f t="shared" si="108"/>
        <v>#VALUE!</v>
      </c>
      <c r="CD66" s="2195" t="e">
        <f t="shared" si="109"/>
        <v>#VALUE!</v>
      </c>
      <c r="CE66" s="2195" t="str">
        <f t="shared" si="110"/>
        <v xml:space="preserve">* La columna Pueblos Originarios NO DEBE ser superior al total de Procesados. </v>
      </c>
      <c r="CF66" s="2195" t="str">
        <f t="shared" si="111"/>
        <v xml:space="preserve">* La columna Migrantes NO DEBE ser superior al total de Procesados. </v>
      </c>
      <c r="CG66" s="2195" t="str">
        <f t="shared" si="139"/>
        <v>* El total de procesados debe ser mayor o igual al total de Reactivos en el grupo de edad Menor de 6 meses</v>
      </c>
      <c r="CH66" s="2195" t="str">
        <f t="shared" si="140"/>
        <v>* El total de procesados debe ser mayor o igual al total de Reactivos en el grupo de edad 6 a 11 meses</v>
      </c>
      <c r="CI66" s="2195" t="str">
        <f t="shared" si="141"/>
        <v>* El total de procesados debe ser mayor o igual al total de Reactivos en el grupo de edad 12-24 meses</v>
      </c>
      <c r="CJ66" s="2195" t="str">
        <f t="shared" si="142"/>
        <v>* El total de procesados debe ser mayor o igual al total de Reactivos en el grupo de edad 3 a 4 años</v>
      </c>
      <c r="CK66" s="2195" t="str">
        <f t="shared" si="143"/>
        <v>* El total de procesados debe ser mayor o igual al total de Reactivos en el grupo de edad 5 a 9 años</v>
      </c>
      <c r="CL66" s="2195" t="str">
        <f t="shared" si="144"/>
        <v>* El total de procesados debe ser mayor o igual al total de Reactivos en el grupo de edad 10 - 14 años</v>
      </c>
      <c r="CM66" s="2195" t="str">
        <f t="shared" si="145"/>
        <v>* El total de procesados debe ser mayor o igual al total de Reactivos en el grupo de edad 15 - 19 años</v>
      </c>
      <c r="CN66" s="2195" t="str">
        <f t="shared" si="146"/>
        <v>* El total de procesados debe ser mayor o igual al total de Reactivos en el grupo de edad 20 - 24 años</v>
      </c>
      <c r="CO66" s="2195" t="str">
        <f t="shared" si="147"/>
        <v>* El total de procesados debe ser mayor o igual al total de Reactivos en el grupo de edad 25 a 29 años</v>
      </c>
      <c r="CP66" s="2195" t="str">
        <f t="shared" si="148"/>
        <v>* El total de procesados debe ser mayor o igual al total de Reactivos en el grupo de edad 30 a 34 años</v>
      </c>
      <c r="CQ66" s="2195" t="str">
        <f t="shared" si="149"/>
        <v>* El total de procesados debe ser mayor o igual al total de Reactivos en el grupo de edad 35 a 39 años</v>
      </c>
      <c r="CR66" s="2195" t="str">
        <f t="shared" si="150"/>
        <v>* El total de procesados debe ser mayor o igual al total de Reactivos en el grupo de edad 40 a 44 años</v>
      </c>
      <c r="CS66" s="2195" t="str">
        <f t="shared" si="151"/>
        <v>* El total de procesados debe ser mayor o igual al total de Reactivos en el grupo de edad 45 a 49 años</v>
      </c>
      <c r="CT66" s="2195" t="str">
        <f t="shared" si="152"/>
        <v>* El total de procesados debe ser mayor o igual al total de Reactivos en el grupo de edad 50 a 54 años</v>
      </c>
      <c r="CU66" s="2195" t="str">
        <f t="shared" si="153"/>
        <v>* El total de procesados debe ser mayor o igual al total de Reactivos en el grupo de edad 55 a 59 años</v>
      </c>
      <c r="CV66" s="2195" t="str">
        <f t="shared" si="154"/>
        <v>* El total de procesados debe ser mayor o igual al total de Reactivos en el grupo de edad 60 a 64 años</v>
      </c>
      <c r="CW66" s="2195" t="str">
        <f t="shared" si="155"/>
        <v>* El total de procesados debe ser mayor o igual al total de Reactivos en el grupo de edad 65 a 69 años</v>
      </c>
      <c r="CX66" s="2195" t="str">
        <f t="shared" si="156"/>
        <v>* El total de procesados debe ser mayor o igual al total de Reactivos en el grupo de edad 70 a 74 años</v>
      </c>
      <c r="CY66" s="2195" t="str">
        <f t="shared" si="157"/>
        <v>* El total de procesados debe ser mayor o igual al total de Reactivos en el grupo de edad 75 a 79 años</v>
      </c>
      <c r="CZ66" s="2195" t="str">
        <f t="shared" si="158"/>
        <v>* El total de procesados debe ser mayor o igual al total de Reactivos en el grupo de edad 80 y más años</v>
      </c>
      <c r="DA66" s="2195" t="str">
        <f t="shared" si="112"/>
        <v/>
      </c>
      <c r="DB66" s="1446">
        <f t="shared" si="113"/>
        <v>1</v>
      </c>
      <c r="DC66" s="1446" t="e">
        <f t="shared" si="114"/>
        <v>#VALUE!</v>
      </c>
      <c r="DD66" s="1446" t="e">
        <f t="shared" si="115"/>
        <v>#VALUE!</v>
      </c>
      <c r="DE66" s="1446">
        <f t="shared" si="116"/>
        <v>1</v>
      </c>
      <c r="DF66" s="1446">
        <f t="shared" si="117"/>
        <v>1</v>
      </c>
      <c r="DG66" s="1446">
        <f t="shared" si="118"/>
        <v>1</v>
      </c>
      <c r="DH66" s="1446">
        <f t="shared" si="119"/>
        <v>1</v>
      </c>
      <c r="DI66" s="1446">
        <f t="shared" si="120"/>
        <v>1</v>
      </c>
      <c r="DJ66" s="1446">
        <f t="shared" si="121"/>
        <v>1</v>
      </c>
      <c r="DK66" s="1446">
        <f t="shared" si="122"/>
        <v>1</v>
      </c>
      <c r="DL66" s="1446">
        <f t="shared" si="123"/>
        <v>1</v>
      </c>
      <c r="DM66" s="1446">
        <f t="shared" si="124"/>
        <v>1</v>
      </c>
      <c r="DN66" s="1446">
        <f t="shared" si="125"/>
        <v>1</v>
      </c>
      <c r="DO66" s="1446">
        <f t="shared" si="126"/>
        <v>1</v>
      </c>
      <c r="DP66" s="1446">
        <f t="shared" si="127"/>
        <v>1</v>
      </c>
      <c r="DQ66" s="1446">
        <f t="shared" si="128"/>
        <v>1</v>
      </c>
      <c r="DR66" s="1446">
        <f t="shared" si="129"/>
        <v>1</v>
      </c>
      <c r="DS66" s="1446">
        <f t="shared" si="130"/>
        <v>1</v>
      </c>
      <c r="DT66" s="1446">
        <f t="shared" si="131"/>
        <v>1</v>
      </c>
      <c r="DU66" s="1446">
        <f t="shared" si="132"/>
        <v>1</v>
      </c>
      <c r="DV66" s="1446">
        <f t="shared" si="133"/>
        <v>1</v>
      </c>
      <c r="DW66" s="1446">
        <f t="shared" si="134"/>
        <v>1</v>
      </c>
      <c r="DX66" s="1446">
        <f t="shared" si="135"/>
        <v>1</v>
      </c>
      <c r="DY66" s="1446">
        <f t="shared" si="136"/>
        <v>1</v>
      </c>
      <c r="DZ66" s="1446">
        <f t="shared" si="137"/>
        <v>1</v>
      </c>
      <c r="EA66" s="1446">
        <f t="shared" si="138"/>
        <v>0</v>
      </c>
    </row>
    <row r="67" spans="1:131" ht="16.2" customHeight="1" x14ac:dyDescent="0.3">
      <c r="A67" s="7258">
        <v>11056411</v>
      </c>
      <c r="B67" s="2000" t="s">
        <v>1796</v>
      </c>
      <c r="C67" s="1998" t="s">
        <v>5369</v>
      </c>
      <c r="D67" s="2044" t="s">
        <v>5370</v>
      </c>
      <c r="E67" s="1137" t="s">
        <v>5371</v>
      </c>
      <c r="F67" s="1141" t="s">
        <v>5372</v>
      </c>
      <c r="G67" s="1140" t="s">
        <v>5373</v>
      </c>
      <c r="H67" s="1141" t="s">
        <v>5374</v>
      </c>
      <c r="I67" s="1140" t="s">
        <v>5375</v>
      </c>
      <c r="J67" s="1143" t="s">
        <v>5376</v>
      </c>
      <c r="K67" s="1137" t="s">
        <v>5377</v>
      </c>
      <c r="L67" s="1137" t="s">
        <v>5378</v>
      </c>
      <c r="M67" s="1140" t="s">
        <v>5379</v>
      </c>
      <c r="N67" s="1143" t="s">
        <v>5380</v>
      </c>
      <c r="O67" s="1134" t="s">
        <v>5381</v>
      </c>
      <c r="P67" s="1135" t="s">
        <v>5382</v>
      </c>
      <c r="Q67" s="1114" t="s">
        <v>5383</v>
      </c>
      <c r="R67" s="1135" t="s">
        <v>5384</v>
      </c>
      <c r="S67" s="1114" t="s">
        <v>5385</v>
      </c>
      <c r="T67" s="1135" t="s">
        <v>5386</v>
      </c>
      <c r="U67" s="1114" t="s">
        <v>5387</v>
      </c>
      <c r="V67" s="1135" t="s">
        <v>5388</v>
      </c>
      <c r="W67" s="1114" t="s">
        <v>5389</v>
      </c>
      <c r="X67" s="1135" t="s">
        <v>5390</v>
      </c>
      <c r="Y67" s="1114" t="s">
        <v>5391</v>
      </c>
      <c r="Z67" s="1135" t="s">
        <v>5392</v>
      </c>
      <c r="AA67" s="1114" t="s">
        <v>5393</v>
      </c>
      <c r="AB67" s="1135" t="s">
        <v>5394</v>
      </c>
      <c r="AC67" s="1114" t="s">
        <v>5395</v>
      </c>
      <c r="AD67" s="1135" t="s">
        <v>5396</v>
      </c>
      <c r="AE67" s="1114" t="s">
        <v>5397</v>
      </c>
      <c r="AF67" s="1135" t="s">
        <v>5398</v>
      </c>
      <c r="AG67" s="1114" t="s">
        <v>5399</v>
      </c>
      <c r="AH67" s="1135" t="s">
        <v>5400</v>
      </c>
      <c r="AI67" s="1114" t="s">
        <v>5401</v>
      </c>
      <c r="AJ67" s="1135" t="s">
        <v>5402</v>
      </c>
      <c r="AK67" s="1114" t="s">
        <v>5403</v>
      </c>
      <c r="AL67" s="1135" t="s">
        <v>5404</v>
      </c>
      <c r="AM67" s="1114" t="s">
        <v>5405</v>
      </c>
      <c r="AN67" s="1135" t="s">
        <v>5406</v>
      </c>
      <c r="AO67" s="1114" t="s">
        <v>5407</v>
      </c>
      <c r="AP67" s="1135" t="s">
        <v>5408</v>
      </c>
      <c r="AQ67" s="1114" t="s">
        <v>5409</v>
      </c>
      <c r="AR67" s="1136" t="s">
        <v>5410</v>
      </c>
      <c r="AS67" s="1134" t="s">
        <v>5411</v>
      </c>
      <c r="AT67" s="1136" t="s">
        <v>5412</v>
      </c>
      <c r="AU67" s="1134" t="s">
        <v>5413</v>
      </c>
      <c r="AV67" s="1135" t="s">
        <v>5414</v>
      </c>
      <c r="AW67" s="1114" t="s">
        <v>5415</v>
      </c>
      <c r="AX67" s="1118" t="s">
        <v>5416</v>
      </c>
      <c r="AY67" s="1197" t="e">
        <f t="shared" si="106"/>
        <v>#VALUE!</v>
      </c>
      <c r="AZ67" s="1197"/>
      <c r="BA67" s="1197"/>
      <c r="BB67" s="1197"/>
      <c r="BC67" s="1197"/>
      <c r="BD67" s="1197"/>
      <c r="BE67" s="1197"/>
      <c r="BF67" s="1197"/>
      <c r="BG67" s="1197"/>
      <c r="BH67" s="1197"/>
      <c r="BI67" s="1197"/>
      <c r="BJ67" s="1191"/>
      <c r="BK67" s="1191"/>
      <c r="BL67" s="1191"/>
      <c r="BM67" s="1191"/>
      <c r="BV67" s="1191"/>
      <c r="BX67" s="1547"/>
      <c r="CB67" s="2195" t="str">
        <f t="shared" si="107"/>
        <v xml:space="preserve">* El total de Reactivos NO DEBE ser superior al total de Procesados. </v>
      </c>
      <c r="CC67" s="2195" t="e">
        <f t="shared" si="108"/>
        <v>#VALUE!</v>
      </c>
      <c r="CD67" s="2195" t="e">
        <f t="shared" si="109"/>
        <v>#VALUE!</v>
      </c>
      <c r="CE67" s="2195" t="str">
        <f t="shared" si="110"/>
        <v xml:space="preserve">* La columna Pueblos Originarios NO DEBE ser superior al total de Procesados. </v>
      </c>
      <c r="CF67" s="2195" t="str">
        <f t="shared" si="111"/>
        <v xml:space="preserve">* La columna Migrantes NO DEBE ser superior al total de Procesados. </v>
      </c>
      <c r="CG67" s="2195" t="str">
        <f t="shared" si="139"/>
        <v>* El total de procesados debe ser mayor o igual al total de Reactivos en el grupo de edad Menor de 6 meses</v>
      </c>
      <c r="CH67" s="2195" t="str">
        <f t="shared" si="140"/>
        <v>* El total de procesados debe ser mayor o igual al total de Reactivos en el grupo de edad 6 a 11 meses</v>
      </c>
      <c r="CI67" s="2195" t="str">
        <f t="shared" si="141"/>
        <v>* El total de procesados debe ser mayor o igual al total de Reactivos en el grupo de edad 12-24 meses</v>
      </c>
      <c r="CJ67" s="2195" t="str">
        <f t="shared" si="142"/>
        <v>* El total de procesados debe ser mayor o igual al total de Reactivos en el grupo de edad 3 a 4 años</v>
      </c>
      <c r="CK67" s="2195" t="str">
        <f t="shared" si="143"/>
        <v>* El total de procesados debe ser mayor o igual al total de Reactivos en el grupo de edad 5 a 9 años</v>
      </c>
      <c r="CL67" s="2195" t="str">
        <f t="shared" si="144"/>
        <v>* El total de procesados debe ser mayor o igual al total de Reactivos en el grupo de edad 10 - 14 años</v>
      </c>
      <c r="CM67" s="2195" t="str">
        <f t="shared" si="145"/>
        <v>* El total de procesados debe ser mayor o igual al total de Reactivos en el grupo de edad 15 - 19 años</v>
      </c>
      <c r="CN67" s="2195" t="str">
        <f t="shared" si="146"/>
        <v>* El total de procesados debe ser mayor o igual al total de Reactivos en el grupo de edad 20 - 24 años</v>
      </c>
      <c r="CO67" s="2195" t="str">
        <f t="shared" si="147"/>
        <v>* El total de procesados debe ser mayor o igual al total de Reactivos en el grupo de edad 25 a 29 años</v>
      </c>
      <c r="CP67" s="2195" t="str">
        <f t="shared" si="148"/>
        <v>* El total de procesados debe ser mayor o igual al total de Reactivos en el grupo de edad 30 a 34 años</v>
      </c>
      <c r="CQ67" s="2195" t="str">
        <f t="shared" si="149"/>
        <v>* El total de procesados debe ser mayor o igual al total de Reactivos en el grupo de edad 35 a 39 años</v>
      </c>
      <c r="CR67" s="2195" t="str">
        <f t="shared" si="150"/>
        <v>* El total de procesados debe ser mayor o igual al total de Reactivos en el grupo de edad 40 a 44 años</v>
      </c>
      <c r="CS67" s="2195" t="str">
        <f t="shared" si="151"/>
        <v>* El total de procesados debe ser mayor o igual al total de Reactivos en el grupo de edad 45 a 49 años</v>
      </c>
      <c r="CT67" s="2195" t="str">
        <f t="shared" si="152"/>
        <v>* El total de procesados debe ser mayor o igual al total de Reactivos en el grupo de edad 50 a 54 años</v>
      </c>
      <c r="CU67" s="2195" t="str">
        <f t="shared" si="153"/>
        <v>* El total de procesados debe ser mayor o igual al total de Reactivos en el grupo de edad 55 a 59 años</v>
      </c>
      <c r="CV67" s="2195" t="str">
        <f t="shared" si="154"/>
        <v>* El total de procesados debe ser mayor o igual al total de Reactivos en el grupo de edad 60 a 64 años</v>
      </c>
      <c r="CW67" s="2195" t="str">
        <f t="shared" si="155"/>
        <v>* El total de procesados debe ser mayor o igual al total de Reactivos en el grupo de edad 65 a 69 años</v>
      </c>
      <c r="CX67" s="2195" t="str">
        <f t="shared" si="156"/>
        <v>* El total de procesados debe ser mayor o igual al total de Reactivos en el grupo de edad 70 a 74 años</v>
      </c>
      <c r="CY67" s="2195" t="str">
        <f t="shared" si="157"/>
        <v>* El total de procesados debe ser mayor o igual al total de Reactivos en el grupo de edad 75 a 79 años</v>
      </c>
      <c r="CZ67" s="2195" t="str">
        <f t="shared" si="158"/>
        <v>* El total de procesados debe ser mayor o igual al total de Reactivos en el grupo de edad 80 y más años</v>
      </c>
      <c r="DA67" s="2195" t="str">
        <f t="shared" si="112"/>
        <v/>
      </c>
      <c r="DB67" s="1446">
        <f t="shared" si="113"/>
        <v>1</v>
      </c>
      <c r="DC67" s="1446" t="e">
        <f t="shared" si="114"/>
        <v>#VALUE!</v>
      </c>
      <c r="DD67" s="1446" t="e">
        <f t="shared" si="115"/>
        <v>#VALUE!</v>
      </c>
      <c r="DE67" s="1446">
        <f t="shared" si="116"/>
        <v>1</v>
      </c>
      <c r="DF67" s="1446">
        <f t="shared" si="117"/>
        <v>1</v>
      </c>
      <c r="DG67" s="1446">
        <f t="shared" si="118"/>
        <v>1</v>
      </c>
      <c r="DH67" s="1446">
        <f t="shared" si="119"/>
        <v>1</v>
      </c>
      <c r="DI67" s="1446">
        <f t="shared" si="120"/>
        <v>1</v>
      </c>
      <c r="DJ67" s="1446">
        <f t="shared" si="121"/>
        <v>1</v>
      </c>
      <c r="DK67" s="1446">
        <f t="shared" si="122"/>
        <v>1</v>
      </c>
      <c r="DL67" s="1446">
        <f t="shared" si="123"/>
        <v>1</v>
      </c>
      <c r="DM67" s="1446">
        <f t="shared" si="124"/>
        <v>1</v>
      </c>
      <c r="DN67" s="1446">
        <f t="shared" si="125"/>
        <v>1</v>
      </c>
      <c r="DO67" s="1446">
        <f t="shared" si="126"/>
        <v>1</v>
      </c>
      <c r="DP67" s="1446">
        <f t="shared" si="127"/>
        <v>1</v>
      </c>
      <c r="DQ67" s="1446">
        <f t="shared" si="128"/>
        <v>1</v>
      </c>
      <c r="DR67" s="1446">
        <f t="shared" si="129"/>
        <v>1</v>
      </c>
      <c r="DS67" s="1446">
        <f t="shared" si="130"/>
        <v>1</v>
      </c>
      <c r="DT67" s="1446">
        <f t="shared" si="131"/>
        <v>1</v>
      </c>
      <c r="DU67" s="1446">
        <f t="shared" si="132"/>
        <v>1</v>
      </c>
      <c r="DV67" s="1446">
        <f t="shared" si="133"/>
        <v>1</v>
      </c>
      <c r="DW67" s="1446">
        <f t="shared" si="134"/>
        <v>1</v>
      </c>
      <c r="DX67" s="1446">
        <f t="shared" si="135"/>
        <v>1</v>
      </c>
      <c r="DY67" s="1446">
        <f t="shared" si="136"/>
        <v>1</v>
      </c>
      <c r="DZ67" s="1446">
        <f t="shared" si="137"/>
        <v>1</v>
      </c>
      <c r="EA67" s="1446">
        <f t="shared" si="138"/>
        <v>0</v>
      </c>
    </row>
    <row r="68" spans="1:131" ht="16.2" customHeight="1" x14ac:dyDescent="0.3">
      <c r="A68" s="7258">
        <v>11056412</v>
      </c>
      <c r="B68" s="2000" t="s">
        <v>1797</v>
      </c>
      <c r="C68" s="1998" t="s">
        <v>5369</v>
      </c>
      <c r="D68" s="2044" t="s">
        <v>5370</v>
      </c>
      <c r="E68" s="1134" t="s">
        <v>5371</v>
      </c>
      <c r="F68" s="1135" t="s">
        <v>5372</v>
      </c>
      <c r="G68" s="1114" t="s">
        <v>5373</v>
      </c>
      <c r="H68" s="1135" t="s">
        <v>5374</v>
      </c>
      <c r="I68" s="1114" t="s">
        <v>5375</v>
      </c>
      <c r="J68" s="1118" t="s">
        <v>5376</v>
      </c>
      <c r="K68" s="1134" t="s">
        <v>5377</v>
      </c>
      <c r="L68" s="1134" t="s">
        <v>5378</v>
      </c>
      <c r="M68" s="1114" t="s">
        <v>5379</v>
      </c>
      <c r="N68" s="1118" t="s">
        <v>5380</v>
      </c>
      <c r="O68" s="1134" t="s">
        <v>5381</v>
      </c>
      <c r="P68" s="1135" t="s">
        <v>5382</v>
      </c>
      <c r="Q68" s="1114" t="s">
        <v>5383</v>
      </c>
      <c r="R68" s="1135" t="s">
        <v>5384</v>
      </c>
      <c r="S68" s="1114" t="s">
        <v>5385</v>
      </c>
      <c r="T68" s="1135" t="s">
        <v>5386</v>
      </c>
      <c r="U68" s="1114" t="s">
        <v>5387</v>
      </c>
      <c r="V68" s="1135" t="s">
        <v>5388</v>
      </c>
      <c r="W68" s="1114" t="s">
        <v>5389</v>
      </c>
      <c r="X68" s="1135" t="s">
        <v>5390</v>
      </c>
      <c r="Y68" s="1114" t="s">
        <v>5391</v>
      </c>
      <c r="Z68" s="1135" t="s">
        <v>5392</v>
      </c>
      <c r="AA68" s="1114" t="s">
        <v>5393</v>
      </c>
      <c r="AB68" s="1135" t="s">
        <v>5394</v>
      </c>
      <c r="AC68" s="1114" t="s">
        <v>5395</v>
      </c>
      <c r="AD68" s="1135" t="s">
        <v>5396</v>
      </c>
      <c r="AE68" s="1114" t="s">
        <v>5397</v>
      </c>
      <c r="AF68" s="1135" t="s">
        <v>5398</v>
      </c>
      <c r="AG68" s="1114" t="s">
        <v>5399</v>
      </c>
      <c r="AH68" s="1135" t="s">
        <v>5400</v>
      </c>
      <c r="AI68" s="1114" t="s">
        <v>5401</v>
      </c>
      <c r="AJ68" s="1135" t="s">
        <v>5402</v>
      </c>
      <c r="AK68" s="1114" t="s">
        <v>5403</v>
      </c>
      <c r="AL68" s="1135" t="s">
        <v>5404</v>
      </c>
      <c r="AM68" s="1114" t="s">
        <v>5405</v>
      </c>
      <c r="AN68" s="1135" t="s">
        <v>5406</v>
      </c>
      <c r="AO68" s="1114" t="s">
        <v>5407</v>
      </c>
      <c r="AP68" s="1135" t="s">
        <v>5408</v>
      </c>
      <c r="AQ68" s="1114" t="s">
        <v>5409</v>
      </c>
      <c r="AR68" s="1136" t="s">
        <v>5410</v>
      </c>
      <c r="AS68" s="1134" t="s">
        <v>5411</v>
      </c>
      <c r="AT68" s="1136" t="s">
        <v>5412</v>
      </c>
      <c r="AU68" s="1134" t="s">
        <v>5413</v>
      </c>
      <c r="AV68" s="1135" t="s">
        <v>5414</v>
      </c>
      <c r="AW68" s="1114" t="s">
        <v>5415</v>
      </c>
      <c r="AX68" s="1118" t="s">
        <v>5416</v>
      </c>
      <c r="AY68" s="1197" t="e">
        <f t="shared" si="106"/>
        <v>#VALUE!</v>
      </c>
      <c r="AZ68" s="1197"/>
      <c r="BA68" s="1197"/>
      <c r="BB68" s="1197"/>
      <c r="BC68" s="1197"/>
      <c r="BD68" s="1197"/>
      <c r="BE68" s="1197"/>
      <c r="BF68" s="1197"/>
      <c r="BG68" s="1197"/>
      <c r="BH68" s="1197"/>
      <c r="BI68" s="1197"/>
      <c r="BJ68" s="1191"/>
      <c r="BK68" s="1191"/>
      <c r="BL68" s="1191"/>
      <c r="BM68" s="1191"/>
      <c r="BV68" s="1191"/>
      <c r="BX68" s="1547"/>
      <c r="CB68" s="2195" t="str">
        <f t="shared" si="107"/>
        <v xml:space="preserve">* El total de Reactivos NO DEBE ser superior al total de Procesados. </v>
      </c>
      <c r="CC68" s="2195" t="e">
        <f t="shared" si="108"/>
        <v>#VALUE!</v>
      </c>
      <c r="CD68" s="2195" t="e">
        <f t="shared" si="109"/>
        <v>#VALUE!</v>
      </c>
      <c r="CE68" s="2195" t="str">
        <f t="shared" si="110"/>
        <v xml:space="preserve">* La columna Pueblos Originarios NO DEBE ser superior al total de Procesados. </v>
      </c>
      <c r="CF68" s="2195" t="str">
        <f t="shared" si="111"/>
        <v xml:space="preserve">* La columna Migrantes NO DEBE ser superior al total de Procesados. </v>
      </c>
      <c r="CG68" s="2195" t="str">
        <f t="shared" si="139"/>
        <v>* El total de procesados debe ser mayor o igual al total de Reactivos en el grupo de edad Menor de 6 meses</v>
      </c>
      <c r="CH68" s="2195" t="str">
        <f t="shared" si="140"/>
        <v>* El total de procesados debe ser mayor o igual al total de Reactivos en el grupo de edad 6 a 11 meses</v>
      </c>
      <c r="CI68" s="2195" t="str">
        <f t="shared" si="141"/>
        <v>* El total de procesados debe ser mayor o igual al total de Reactivos en el grupo de edad 12-24 meses</v>
      </c>
      <c r="CJ68" s="2195" t="str">
        <f t="shared" si="142"/>
        <v>* El total de procesados debe ser mayor o igual al total de Reactivos en el grupo de edad 3 a 4 años</v>
      </c>
      <c r="CK68" s="2195" t="str">
        <f t="shared" si="143"/>
        <v>* El total de procesados debe ser mayor o igual al total de Reactivos en el grupo de edad 5 a 9 años</v>
      </c>
      <c r="CL68" s="2195" t="str">
        <f t="shared" si="144"/>
        <v>* El total de procesados debe ser mayor o igual al total de Reactivos en el grupo de edad 10 - 14 años</v>
      </c>
      <c r="CM68" s="2195" t="str">
        <f t="shared" si="145"/>
        <v>* El total de procesados debe ser mayor o igual al total de Reactivos en el grupo de edad 15 - 19 años</v>
      </c>
      <c r="CN68" s="2195" t="str">
        <f t="shared" si="146"/>
        <v>* El total de procesados debe ser mayor o igual al total de Reactivos en el grupo de edad 20 - 24 años</v>
      </c>
      <c r="CO68" s="2195" t="str">
        <f t="shared" si="147"/>
        <v>* El total de procesados debe ser mayor o igual al total de Reactivos en el grupo de edad 25 a 29 años</v>
      </c>
      <c r="CP68" s="2195" t="str">
        <f t="shared" si="148"/>
        <v>* El total de procesados debe ser mayor o igual al total de Reactivos en el grupo de edad 30 a 34 años</v>
      </c>
      <c r="CQ68" s="2195" t="str">
        <f t="shared" si="149"/>
        <v>* El total de procesados debe ser mayor o igual al total de Reactivos en el grupo de edad 35 a 39 años</v>
      </c>
      <c r="CR68" s="2195" t="str">
        <f t="shared" si="150"/>
        <v>* El total de procesados debe ser mayor o igual al total de Reactivos en el grupo de edad 40 a 44 años</v>
      </c>
      <c r="CS68" s="2195" t="str">
        <f t="shared" si="151"/>
        <v>* El total de procesados debe ser mayor o igual al total de Reactivos en el grupo de edad 45 a 49 años</v>
      </c>
      <c r="CT68" s="2195" t="str">
        <f t="shared" si="152"/>
        <v>* El total de procesados debe ser mayor o igual al total de Reactivos en el grupo de edad 50 a 54 años</v>
      </c>
      <c r="CU68" s="2195" t="str">
        <f t="shared" si="153"/>
        <v>* El total de procesados debe ser mayor o igual al total de Reactivos en el grupo de edad 55 a 59 años</v>
      </c>
      <c r="CV68" s="2195" t="str">
        <f t="shared" si="154"/>
        <v>* El total de procesados debe ser mayor o igual al total de Reactivos en el grupo de edad 60 a 64 años</v>
      </c>
      <c r="CW68" s="2195" t="str">
        <f t="shared" si="155"/>
        <v>* El total de procesados debe ser mayor o igual al total de Reactivos en el grupo de edad 65 a 69 años</v>
      </c>
      <c r="CX68" s="2195" t="str">
        <f t="shared" si="156"/>
        <v>* El total de procesados debe ser mayor o igual al total de Reactivos en el grupo de edad 70 a 74 años</v>
      </c>
      <c r="CY68" s="2195" t="str">
        <f t="shared" si="157"/>
        <v>* El total de procesados debe ser mayor o igual al total de Reactivos en el grupo de edad 75 a 79 años</v>
      </c>
      <c r="CZ68" s="2195" t="str">
        <f t="shared" si="158"/>
        <v>* El total de procesados debe ser mayor o igual al total de Reactivos en el grupo de edad 80 y más años</v>
      </c>
      <c r="DA68" s="2195" t="str">
        <f t="shared" si="112"/>
        <v/>
      </c>
      <c r="DB68" s="1446">
        <f t="shared" si="113"/>
        <v>1</v>
      </c>
      <c r="DC68" s="1446" t="e">
        <f t="shared" si="114"/>
        <v>#VALUE!</v>
      </c>
      <c r="DD68" s="1446" t="e">
        <f t="shared" si="115"/>
        <v>#VALUE!</v>
      </c>
      <c r="DE68" s="1446">
        <f t="shared" si="116"/>
        <v>1</v>
      </c>
      <c r="DF68" s="1446">
        <f t="shared" si="117"/>
        <v>1</v>
      </c>
      <c r="DG68" s="1446">
        <f t="shared" si="118"/>
        <v>1</v>
      </c>
      <c r="DH68" s="1446">
        <f t="shared" si="119"/>
        <v>1</v>
      </c>
      <c r="DI68" s="1446">
        <f t="shared" si="120"/>
        <v>1</v>
      </c>
      <c r="DJ68" s="1446">
        <f t="shared" si="121"/>
        <v>1</v>
      </c>
      <c r="DK68" s="1446">
        <f t="shared" si="122"/>
        <v>1</v>
      </c>
      <c r="DL68" s="1446">
        <f t="shared" si="123"/>
        <v>1</v>
      </c>
      <c r="DM68" s="1446">
        <f t="shared" si="124"/>
        <v>1</v>
      </c>
      <c r="DN68" s="1446">
        <f t="shared" si="125"/>
        <v>1</v>
      </c>
      <c r="DO68" s="1446">
        <f t="shared" si="126"/>
        <v>1</v>
      </c>
      <c r="DP68" s="1446">
        <f t="shared" si="127"/>
        <v>1</v>
      </c>
      <c r="DQ68" s="1446">
        <f t="shared" si="128"/>
        <v>1</v>
      </c>
      <c r="DR68" s="1446">
        <f t="shared" si="129"/>
        <v>1</v>
      </c>
      <c r="DS68" s="1446">
        <f t="shared" si="130"/>
        <v>1</v>
      </c>
      <c r="DT68" s="1446">
        <f t="shared" si="131"/>
        <v>1</v>
      </c>
      <c r="DU68" s="1446">
        <f t="shared" si="132"/>
        <v>1</v>
      </c>
      <c r="DV68" s="1446">
        <f t="shared" si="133"/>
        <v>1</v>
      </c>
      <c r="DW68" s="1446">
        <f t="shared" si="134"/>
        <v>1</v>
      </c>
      <c r="DX68" s="1446">
        <f t="shared" si="135"/>
        <v>1</v>
      </c>
      <c r="DY68" s="1446">
        <f t="shared" si="136"/>
        <v>1</v>
      </c>
      <c r="DZ68" s="1446">
        <f t="shared" si="137"/>
        <v>1</v>
      </c>
      <c r="EA68" s="1446">
        <f t="shared" si="138"/>
        <v>0</v>
      </c>
    </row>
    <row r="69" spans="1:131" ht="16.2" customHeight="1" x14ac:dyDescent="0.3">
      <c r="A69" s="7258">
        <v>11056413</v>
      </c>
      <c r="B69" s="2032" t="s">
        <v>2184</v>
      </c>
      <c r="C69" s="1998" t="s">
        <v>5369</v>
      </c>
      <c r="D69" s="2044" t="s">
        <v>5370</v>
      </c>
      <c r="E69" s="1130" t="s">
        <v>5371</v>
      </c>
      <c r="F69" s="1131" t="s">
        <v>5372</v>
      </c>
      <c r="G69" s="1132" t="s">
        <v>5373</v>
      </c>
      <c r="H69" s="1131" t="s">
        <v>5374</v>
      </c>
      <c r="I69" s="1132" t="s">
        <v>5375</v>
      </c>
      <c r="J69" s="1131" t="s">
        <v>5376</v>
      </c>
      <c r="K69" s="1132" t="s">
        <v>5377</v>
      </c>
      <c r="L69" s="1131" t="s">
        <v>5378</v>
      </c>
      <c r="M69" s="1132" t="s">
        <v>5379</v>
      </c>
      <c r="N69" s="1133" t="s">
        <v>5380</v>
      </c>
      <c r="O69" s="1130" t="s">
        <v>5381</v>
      </c>
      <c r="P69" s="1131" t="s">
        <v>5382</v>
      </c>
      <c r="Q69" s="1114" t="s">
        <v>5383</v>
      </c>
      <c r="R69" s="1135" t="s">
        <v>5384</v>
      </c>
      <c r="S69" s="1114" t="s">
        <v>5385</v>
      </c>
      <c r="T69" s="1135" t="s">
        <v>5386</v>
      </c>
      <c r="U69" s="1114" t="s">
        <v>5387</v>
      </c>
      <c r="V69" s="1135" t="s">
        <v>5388</v>
      </c>
      <c r="W69" s="1114" t="s">
        <v>5389</v>
      </c>
      <c r="X69" s="1135" t="s">
        <v>5390</v>
      </c>
      <c r="Y69" s="1114" t="s">
        <v>5391</v>
      </c>
      <c r="Z69" s="1135" t="s">
        <v>5392</v>
      </c>
      <c r="AA69" s="1114" t="s">
        <v>5393</v>
      </c>
      <c r="AB69" s="1135" t="s">
        <v>5394</v>
      </c>
      <c r="AC69" s="1114" t="s">
        <v>5395</v>
      </c>
      <c r="AD69" s="1135" t="s">
        <v>5396</v>
      </c>
      <c r="AE69" s="1114" t="s">
        <v>5397</v>
      </c>
      <c r="AF69" s="1135" t="s">
        <v>5398</v>
      </c>
      <c r="AG69" s="1114" t="s">
        <v>5399</v>
      </c>
      <c r="AH69" s="1135" t="s">
        <v>5400</v>
      </c>
      <c r="AI69" s="1114" t="s">
        <v>5401</v>
      </c>
      <c r="AJ69" s="1135" t="s">
        <v>5402</v>
      </c>
      <c r="AK69" s="1114" t="s">
        <v>5403</v>
      </c>
      <c r="AL69" s="1135" t="s">
        <v>5404</v>
      </c>
      <c r="AM69" s="1114" t="s">
        <v>5405</v>
      </c>
      <c r="AN69" s="1135" t="s">
        <v>5406</v>
      </c>
      <c r="AO69" s="1114" t="s">
        <v>5407</v>
      </c>
      <c r="AP69" s="1135" t="s">
        <v>5408</v>
      </c>
      <c r="AQ69" s="1114" t="s">
        <v>5409</v>
      </c>
      <c r="AR69" s="1136" t="s">
        <v>5410</v>
      </c>
      <c r="AS69" s="1134" t="s">
        <v>5411</v>
      </c>
      <c r="AT69" s="1136" t="s">
        <v>5412</v>
      </c>
      <c r="AU69" s="1134" t="s">
        <v>5413</v>
      </c>
      <c r="AV69" s="1135" t="s">
        <v>5414</v>
      </c>
      <c r="AW69" s="1114" t="s">
        <v>5415</v>
      </c>
      <c r="AX69" s="1118" t="s">
        <v>5416</v>
      </c>
      <c r="AY69" s="1197" t="e">
        <f t="shared" si="106"/>
        <v>#VALUE!</v>
      </c>
      <c r="AZ69" s="1197"/>
      <c r="BA69" s="1197"/>
      <c r="BB69" s="1197"/>
      <c r="BC69" s="1197"/>
      <c r="BD69" s="1197"/>
      <c r="BE69" s="1197"/>
      <c r="BF69" s="1197"/>
      <c r="BG69" s="1197"/>
      <c r="BH69" s="1197"/>
      <c r="BI69" s="1197"/>
      <c r="BJ69" s="1191"/>
      <c r="BK69" s="1191"/>
      <c r="BL69" s="1191"/>
      <c r="BM69" s="1191"/>
      <c r="BV69" s="1191"/>
      <c r="BX69" s="1547"/>
      <c r="CB69" s="2195" t="str">
        <f t="shared" si="107"/>
        <v xml:space="preserve">* El total de Reactivos NO DEBE ser superior al total de Procesados. </v>
      </c>
      <c r="CC69" s="2195" t="e">
        <f t="shared" si="108"/>
        <v>#VALUE!</v>
      </c>
      <c r="CD69" s="2195" t="e">
        <f t="shared" si="109"/>
        <v>#VALUE!</v>
      </c>
      <c r="CE69" s="2195" t="str">
        <f t="shared" si="110"/>
        <v xml:space="preserve">* La columna Pueblos Originarios NO DEBE ser superior al total de Procesados. </v>
      </c>
      <c r="CF69" s="2195" t="str">
        <f t="shared" si="111"/>
        <v xml:space="preserve">* La columna Migrantes NO DEBE ser superior al total de Procesados. </v>
      </c>
      <c r="CG69" s="2195" t="str">
        <f t="shared" si="139"/>
        <v>* El total de procesados debe ser mayor o igual al total de Reactivos en el grupo de edad Menor de 6 meses</v>
      </c>
      <c r="CH69" s="2195" t="str">
        <f t="shared" si="140"/>
        <v>* El total de procesados debe ser mayor o igual al total de Reactivos en el grupo de edad 6 a 11 meses</v>
      </c>
      <c r="CI69" s="2195" t="str">
        <f t="shared" si="141"/>
        <v>* El total de procesados debe ser mayor o igual al total de Reactivos en el grupo de edad 12-24 meses</v>
      </c>
      <c r="CJ69" s="2195" t="str">
        <f t="shared" si="142"/>
        <v>* El total de procesados debe ser mayor o igual al total de Reactivos en el grupo de edad 3 a 4 años</v>
      </c>
      <c r="CK69" s="2195" t="str">
        <f t="shared" si="143"/>
        <v>* El total de procesados debe ser mayor o igual al total de Reactivos en el grupo de edad 5 a 9 años</v>
      </c>
      <c r="CL69" s="2195" t="str">
        <f t="shared" si="144"/>
        <v>* El total de procesados debe ser mayor o igual al total de Reactivos en el grupo de edad 10 - 14 años</v>
      </c>
      <c r="CM69" s="2195" t="str">
        <f t="shared" si="145"/>
        <v>* El total de procesados debe ser mayor o igual al total de Reactivos en el grupo de edad 15 - 19 años</v>
      </c>
      <c r="CN69" s="2195" t="str">
        <f t="shared" si="146"/>
        <v>* El total de procesados debe ser mayor o igual al total de Reactivos en el grupo de edad 20 - 24 años</v>
      </c>
      <c r="CO69" s="2195" t="str">
        <f t="shared" si="147"/>
        <v>* El total de procesados debe ser mayor o igual al total de Reactivos en el grupo de edad 25 a 29 años</v>
      </c>
      <c r="CP69" s="2195" t="str">
        <f t="shared" si="148"/>
        <v>* El total de procesados debe ser mayor o igual al total de Reactivos en el grupo de edad 30 a 34 años</v>
      </c>
      <c r="CQ69" s="2195" t="str">
        <f t="shared" si="149"/>
        <v>* El total de procesados debe ser mayor o igual al total de Reactivos en el grupo de edad 35 a 39 años</v>
      </c>
      <c r="CR69" s="2195" t="str">
        <f t="shared" si="150"/>
        <v>* El total de procesados debe ser mayor o igual al total de Reactivos en el grupo de edad 40 a 44 años</v>
      </c>
      <c r="CS69" s="2195" t="str">
        <f t="shared" si="151"/>
        <v>* El total de procesados debe ser mayor o igual al total de Reactivos en el grupo de edad 45 a 49 años</v>
      </c>
      <c r="CT69" s="2195" t="str">
        <f t="shared" si="152"/>
        <v>* El total de procesados debe ser mayor o igual al total de Reactivos en el grupo de edad 50 a 54 años</v>
      </c>
      <c r="CU69" s="2195" t="str">
        <f t="shared" si="153"/>
        <v>* El total de procesados debe ser mayor o igual al total de Reactivos en el grupo de edad 55 a 59 años</v>
      </c>
      <c r="CV69" s="2195" t="str">
        <f t="shared" si="154"/>
        <v>* El total de procesados debe ser mayor o igual al total de Reactivos en el grupo de edad 60 a 64 años</v>
      </c>
      <c r="CW69" s="2195" t="str">
        <f t="shared" si="155"/>
        <v>* El total de procesados debe ser mayor o igual al total de Reactivos en el grupo de edad 65 a 69 años</v>
      </c>
      <c r="CX69" s="2195" t="str">
        <f t="shared" si="156"/>
        <v>* El total de procesados debe ser mayor o igual al total de Reactivos en el grupo de edad 70 a 74 años</v>
      </c>
      <c r="CY69" s="2195" t="str">
        <f t="shared" si="157"/>
        <v>* El total de procesados debe ser mayor o igual al total de Reactivos en el grupo de edad 75 a 79 años</v>
      </c>
      <c r="CZ69" s="2195" t="str">
        <f t="shared" si="158"/>
        <v>* El total de procesados debe ser mayor o igual al total de Reactivos en el grupo de edad 80 y más años</v>
      </c>
      <c r="DA69" s="2195" t="str">
        <f t="shared" si="112"/>
        <v/>
      </c>
      <c r="DB69" s="1446">
        <f t="shared" si="113"/>
        <v>1</v>
      </c>
      <c r="DC69" s="1446" t="e">
        <f t="shared" si="114"/>
        <v>#VALUE!</v>
      </c>
      <c r="DD69" s="1446" t="e">
        <f t="shared" si="115"/>
        <v>#VALUE!</v>
      </c>
      <c r="DE69" s="1446">
        <f t="shared" si="116"/>
        <v>1</v>
      </c>
      <c r="DF69" s="1446">
        <f t="shared" si="117"/>
        <v>1</v>
      </c>
      <c r="DG69" s="1446">
        <f t="shared" si="118"/>
        <v>1</v>
      </c>
      <c r="DH69" s="1446">
        <f t="shared" si="119"/>
        <v>1</v>
      </c>
      <c r="DI69" s="1446">
        <f t="shared" si="120"/>
        <v>1</v>
      </c>
      <c r="DJ69" s="1446">
        <f t="shared" si="121"/>
        <v>1</v>
      </c>
      <c r="DK69" s="1446">
        <f t="shared" si="122"/>
        <v>1</v>
      </c>
      <c r="DL69" s="1446">
        <f t="shared" si="123"/>
        <v>1</v>
      </c>
      <c r="DM69" s="1446">
        <f t="shared" si="124"/>
        <v>1</v>
      </c>
      <c r="DN69" s="1446">
        <f t="shared" si="125"/>
        <v>1</v>
      </c>
      <c r="DO69" s="1446">
        <f t="shared" si="126"/>
        <v>1</v>
      </c>
      <c r="DP69" s="1446">
        <f t="shared" si="127"/>
        <v>1</v>
      </c>
      <c r="DQ69" s="1446">
        <f t="shared" si="128"/>
        <v>1</v>
      </c>
      <c r="DR69" s="1446">
        <f t="shared" si="129"/>
        <v>1</v>
      </c>
      <c r="DS69" s="1446">
        <f t="shared" si="130"/>
        <v>1</v>
      </c>
      <c r="DT69" s="1446">
        <f t="shared" si="131"/>
        <v>1</v>
      </c>
      <c r="DU69" s="1446">
        <f t="shared" si="132"/>
        <v>1</v>
      </c>
      <c r="DV69" s="1446">
        <f t="shared" si="133"/>
        <v>1</v>
      </c>
      <c r="DW69" s="1446">
        <f t="shared" si="134"/>
        <v>1</v>
      </c>
      <c r="DX69" s="1446">
        <f t="shared" si="135"/>
        <v>1</v>
      </c>
      <c r="DY69" s="1446">
        <f t="shared" si="136"/>
        <v>1</v>
      </c>
      <c r="DZ69" s="1446">
        <f t="shared" si="137"/>
        <v>1</v>
      </c>
      <c r="EA69" s="1446">
        <f t="shared" si="138"/>
        <v>0</v>
      </c>
    </row>
    <row r="70" spans="1:131" ht="16.2" customHeight="1" x14ac:dyDescent="0.3">
      <c r="A70" s="7258">
        <v>11056414</v>
      </c>
      <c r="B70" s="2000" t="s">
        <v>1798</v>
      </c>
      <c r="C70" s="1998" t="s">
        <v>5369</v>
      </c>
      <c r="D70" s="2044" t="s">
        <v>5370</v>
      </c>
      <c r="E70" s="1130" t="s">
        <v>5371</v>
      </c>
      <c r="F70" s="1131" t="s">
        <v>5372</v>
      </c>
      <c r="G70" s="1132" t="s">
        <v>5373</v>
      </c>
      <c r="H70" s="1131" t="s">
        <v>5374</v>
      </c>
      <c r="I70" s="1132" t="s">
        <v>5375</v>
      </c>
      <c r="J70" s="1131" t="s">
        <v>5376</v>
      </c>
      <c r="K70" s="1132" t="s">
        <v>5377</v>
      </c>
      <c r="L70" s="1131" t="s">
        <v>5378</v>
      </c>
      <c r="M70" s="1132" t="s">
        <v>5379</v>
      </c>
      <c r="N70" s="1133" t="s">
        <v>5380</v>
      </c>
      <c r="O70" s="1130" t="s">
        <v>5381</v>
      </c>
      <c r="P70" s="1131" t="s">
        <v>5382</v>
      </c>
      <c r="Q70" s="1114" t="s">
        <v>5383</v>
      </c>
      <c r="R70" s="1135" t="s">
        <v>5384</v>
      </c>
      <c r="S70" s="1114" t="s">
        <v>5385</v>
      </c>
      <c r="T70" s="1135" t="s">
        <v>5386</v>
      </c>
      <c r="U70" s="1114" t="s">
        <v>5387</v>
      </c>
      <c r="V70" s="1135" t="s">
        <v>5388</v>
      </c>
      <c r="W70" s="1114" t="s">
        <v>5389</v>
      </c>
      <c r="X70" s="1135" t="s">
        <v>5390</v>
      </c>
      <c r="Y70" s="1114" t="s">
        <v>5391</v>
      </c>
      <c r="Z70" s="1135" t="s">
        <v>5392</v>
      </c>
      <c r="AA70" s="1114" t="s">
        <v>5393</v>
      </c>
      <c r="AB70" s="1135" t="s">
        <v>5394</v>
      </c>
      <c r="AC70" s="1114" t="s">
        <v>5395</v>
      </c>
      <c r="AD70" s="1135" t="s">
        <v>5396</v>
      </c>
      <c r="AE70" s="1114" t="s">
        <v>5397</v>
      </c>
      <c r="AF70" s="1135" t="s">
        <v>5398</v>
      </c>
      <c r="AG70" s="1114" t="s">
        <v>5399</v>
      </c>
      <c r="AH70" s="1135" t="s">
        <v>5400</v>
      </c>
      <c r="AI70" s="1114" t="s">
        <v>5401</v>
      </c>
      <c r="AJ70" s="1135" t="s">
        <v>5402</v>
      </c>
      <c r="AK70" s="1132" t="s">
        <v>5403</v>
      </c>
      <c r="AL70" s="1131" t="s">
        <v>5404</v>
      </c>
      <c r="AM70" s="1132" t="s">
        <v>5405</v>
      </c>
      <c r="AN70" s="1131" t="s">
        <v>5406</v>
      </c>
      <c r="AO70" s="1132" t="s">
        <v>5407</v>
      </c>
      <c r="AP70" s="1131" t="s">
        <v>5408</v>
      </c>
      <c r="AQ70" s="1132" t="s">
        <v>5409</v>
      </c>
      <c r="AR70" s="1144" t="s">
        <v>5410</v>
      </c>
      <c r="AS70" s="1134" t="s">
        <v>5411</v>
      </c>
      <c r="AT70" s="1136" t="s">
        <v>5412</v>
      </c>
      <c r="AU70" s="1134" t="s">
        <v>5413</v>
      </c>
      <c r="AV70" s="1135" t="s">
        <v>5414</v>
      </c>
      <c r="AW70" s="1114" t="s">
        <v>5415</v>
      </c>
      <c r="AX70" s="1118" t="s">
        <v>5416</v>
      </c>
      <c r="AY70" s="1197" t="e">
        <f t="shared" si="106"/>
        <v>#VALUE!</v>
      </c>
      <c r="AZ70" s="1197"/>
      <c r="BA70" s="1197"/>
      <c r="BB70" s="1197"/>
      <c r="BC70" s="1197"/>
      <c r="BD70" s="1197"/>
      <c r="BE70" s="1197"/>
      <c r="BF70" s="1197"/>
      <c r="BG70" s="1197"/>
      <c r="BH70" s="1197"/>
      <c r="BI70" s="1197"/>
      <c r="BJ70" s="1191"/>
      <c r="BK70" s="1191"/>
      <c r="BL70" s="1191"/>
      <c r="BM70" s="1191"/>
      <c r="BV70" s="1191"/>
      <c r="BX70" s="1547"/>
      <c r="CB70" s="2195" t="str">
        <f t="shared" si="107"/>
        <v xml:space="preserve">* El total de Reactivos NO DEBE ser superior al total de Procesados. </v>
      </c>
      <c r="CC70" s="2195" t="e">
        <f t="shared" si="108"/>
        <v>#VALUE!</v>
      </c>
      <c r="CD70" s="2195" t="e">
        <f t="shared" si="109"/>
        <v>#VALUE!</v>
      </c>
      <c r="CE70" s="2195" t="str">
        <f t="shared" si="110"/>
        <v xml:space="preserve">* La columna Pueblos Originarios NO DEBE ser superior al total de Procesados. </v>
      </c>
      <c r="CF70" s="2195" t="str">
        <f t="shared" si="111"/>
        <v xml:space="preserve">* La columna Migrantes NO DEBE ser superior al total de Procesados. </v>
      </c>
      <c r="CG70" s="2195" t="str">
        <f t="shared" si="139"/>
        <v>* El total de procesados debe ser mayor o igual al total de Reactivos en el grupo de edad Menor de 6 meses</v>
      </c>
      <c r="CH70" s="2195" t="str">
        <f t="shared" si="140"/>
        <v>* El total de procesados debe ser mayor o igual al total de Reactivos en el grupo de edad 6 a 11 meses</v>
      </c>
      <c r="CI70" s="2195" t="str">
        <f t="shared" si="141"/>
        <v>* El total de procesados debe ser mayor o igual al total de Reactivos en el grupo de edad 12-24 meses</v>
      </c>
      <c r="CJ70" s="2195" t="str">
        <f t="shared" si="142"/>
        <v>* El total de procesados debe ser mayor o igual al total de Reactivos en el grupo de edad 3 a 4 años</v>
      </c>
      <c r="CK70" s="2195" t="str">
        <f t="shared" si="143"/>
        <v>* El total de procesados debe ser mayor o igual al total de Reactivos en el grupo de edad 5 a 9 años</v>
      </c>
      <c r="CL70" s="2195" t="str">
        <f t="shared" si="144"/>
        <v>* El total de procesados debe ser mayor o igual al total de Reactivos en el grupo de edad 10 - 14 años</v>
      </c>
      <c r="CM70" s="2195" t="str">
        <f t="shared" si="145"/>
        <v>* El total de procesados debe ser mayor o igual al total de Reactivos en el grupo de edad 15 - 19 años</v>
      </c>
      <c r="CN70" s="2195" t="str">
        <f t="shared" si="146"/>
        <v>* El total de procesados debe ser mayor o igual al total de Reactivos en el grupo de edad 20 - 24 años</v>
      </c>
      <c r="CO70" s="2195" t="str">
        <f t="shared" si="147"/>
        <v>* El total de procesados debe ser mayor o igual al total de Reactivos en el grupo de edad 25 a 29 años</v>
      </c>
      <c r="CP70" s="2195" t="str">
        <f t="shared" si="148"/>
        <v>* El total de procesados debe ser mayor o igual al total de Reactivos en el grupo de edad 30 a 34 años</v>
      </c>
      <c r="CQ70" s="2195" t="str">
        <f t="shared" si="149"/>
        <v>* El total de procesados debe ser mayor o igual al total de Reactivos en el grupo de edad 35 a 39 años</v>
      </c>
      <c r="CR70" s="2195" t="str">
        <f t="shared" si="150"/>
        <v>* El total de procesados debe ser mayor o igual al total de Reactivos en el grupo de edad 40 a 44 años</v>
      </c>
      <c r="CS70" s="2195" t="str">
        <f t="shared" si="151"/>
        <v>* El total de procesados debe ser mayor o igual al total de Reactivos en el grupo de edad 45 a 49 años</v>
      </c>
      <c r="CT70" s="2195" t="str">
        <f t="shared" si="152"/>
        <v>* El total de procesados debe ser mayor o igual al total de Reactivos en el grupo de edad 50 a 54 años</v>
      </c>
      <c r="CU70" s="2195" t="str">
        <f t="shared" si="153"/>
        <v>* El total de procesados debe ser mayor o igual al total de Reactivos en el grupo de edad 55 a 59 años</v>
      </c>
      <c r="CV70" s="2195" t="str">
        <f t="shared" si="154"/>
        <v>* El total de procesados debe ser mayor o igual al total de Reactivos en el grupo de edad 60 a 64 años</v>
      </c>
      <c r="CW70" s="2195" t="str">
        <f t="shared" si="155"/>
        <v>* El total de procesados debe ser mayor o igual al total de Reactivos en el grupo de edad 65 a 69 años</v>
      </c>
      <c r="CX70" s="2195" t="str">
        <f t="shared" si="156"/>
        <v>* El total de procesados debe ser mayor o igual al total de Reactivos en el grupo de edad 70 a 74 años</v>
      </c>
      <c r="CY70" s="2195" t="str">
        <f t="shared" si="157"/>
        <v>* El total de procesados debe ser mayor o igual al total de Reactivos en el grupo de edad 75 a 79 años</v>
      </c>
      <c r="CZ70" s="2195" t="str">
        <f t="shared" si="158"/>
        <v>* El total de procesados debe ser mayor o igual al total de Reactivos en el grupo de edad 80 y más años</v>
      </c>
      <c r="DA70" s="2195" t="str">
        <f t="shared" si="112"/>
        <v/>
      </c>
      <c r="DB70" s="1446">
        <f t="shared" si="113"/>
        <v>1</v>
      </c>
      <c r="DC70" s="1446" t="e">
        <f t="shared" si="114"/>
        <v>#VALUE!</v>
      </c>
      <c r="DD70" s="1446" t="e">
        <f t="shared" si="115"/>
        <v>#VALUE!</v>
      </c>
      <c r="DE70" s="1446">
        <f t="shared" si="116"/>
        <v>1</v>
      </c>
      <c r="DF70" s="1446">
        <f t="shared" si="117"/>
        <v>1</v>
      </c>
      <c r="DG70" s="1446">
        <f t="shared" si="118"/>
        <v>1</v>
      </c>
      <c r="DH70" s="1446">
        <f t="shared" si="119"/>
        <v>1</v>
      </c>
      <c r="DI70" s="1446">
        <f t="shared" si="120"/>
        <v>1</v>
      </c>
      <c r="DJ70" s="1446">
        <f t="shared" si="121"/>
        <v>1</v>
      </c>
      <c r="DK70" s="1446">
        <f t="shared" si="122"/>
        <v>1</v>
      </c>
      <c r="DL70" s="1446">
        <f t="shared" si="123"/>
        <v>1</v>
      </c>
      <c r="DM70" s="1446">
        <f t="shared" si="124"/>
        <v>1</v>
      </c>
      <c r="DN70" s="1446">
        <f t="shared" si="125"/>
        <v>1</v>
      </c>
      <c r="DO70" s="1446">
        <f t="shared" si="126"/>
        <v>1</v>
      </c>
      <c r="DP70" s="1446">
        <f t="shared" si="127"/>
        <v>1</v>
      </c>
      <c r="DQ70" s="1446">
        <f t="shared" si="128"/>
        <v>1</v>
      </c>
      <c r="DR70" s="1446">
        <f t="shared" si="129"/>
        <v>1</v>
      </c>
      <c r="DS70" s="1446">
        <f t="shared" si="130"/>
        <v>1</v>
      </c>
      <c r="DT70" s="1446">
        <f t="shared" si="131"/>
        <v>1</v>
      </c>
      <c r="DU70" s="1446">
        <f t="shared" si="132"/>
        <v>1</v>
      </c>
      <c r="DV70" s="1446">
        <f t="shared" si="133"/>
        <v>1</v>
      </c>
      <c r="DW70" s="1446">
        <f t="shared" si="134"/>
        <v>1</v>
      </c>
      <c r="DX70" s="1446">
        <f t="shared" si="135"/>
        <v>1</v>
      </c>
      <c r="DY70" s="1446">
        <f t="shared" si="136"/>
        <v>1</v>
      </c>
      <c r="DZ70" s="1446">
        <f t="shared" si="137"/>
        <v>1</v>
      </c>
      <c r="EA70" s="1446">
        <f t="shared" si="138"/>
        <v>0</v>
      </c>
    </row>
    <row r="71" spans="1:131" ht="16.2" customHeight="1" x14ac:dyDescent="0.3">
      <c r="A71" s="7258">
        <v>11056415</v>
      </c>
      <c r="B71" s="2000" t="s">
        <v>1799</v>
      </c>
      <c r="C71" s="1998" t="s">
        <v>5369</v>
      </c>
      <c r="D71" s="2044" t="s">
        <v>5370</v>
      </c>
      <c r="E71" s="1134" t="s">
        <v>5371</v>
      </c>
      <c r="F71" s="1135" t="s">
        <v>5372</v>
      </c>
      <c r="G71" s="1114" t="s">
        <v>5373</v>
      </c>
      <c r="H71" s="1135" t="s">
        <v>5374</v>
      </c>
      <c r="I71" s="1114" t="s">
        <v>5375</v>
      </c>
      <c r="J71" s="1118" t="s">
        <v>5376</v>
      </c>
      <c r="K71" s="1134" t="s">
        <v>5377</v>
      </c>
      <c r="L71" s="1134" t="s">
        <v>5378</v>
      </c>
      <c r="M71" s="1114" t="s">
        <v>5379</v>
      </c>
      <c r="N71" s="1118" t="s">
        <v>5380</v>
      </c>
      <c r="O71" s="1134" t="s">
        <v>5381</v>
      </c>
      <c r="P71" s="1135" t="s">
        <v>5382</v>
      </c>
      <c r="Q71" s="1114" t="s">
        <v>5383</v>
      </c>
      <c r="R71" s="1135" t="s">
        <v>5384</v>
      </c>
      <c r="S71" s="1114" t="s">
        <v>5385</v>
      </c>
      <c r="T71" s="1135" t="s">
        <v>5386</v>
      </c>
      <c r="U71" s="1114" t="s">
        <v>5387</v>
      </c>
      <c r="V71" s="1135" t="s">
        <v>5388</v>
      </c>
      <c r="W71" s="1114" t="s">
        <v>5389</v>
      </c>
      <c r="X71" s="1135" t="s">
        <v>5390</v>
      </c>
      <c r="Y71" s="1114" t="s">
        <v>5391</v>
      </c>
      <c r="Z71" s="1135" t="s">
        <v>5392</v>
      </c>
      <c r="AA71" s="1114" t="s">
        <v>5393</v>
      </c>
      <c r="AB71" s="1135" t="s">
        <v>5394</v>
      </c>
      <c r="AC71" s="1114" t="s">
        <v>5395</v>
      </c>
      <c r="AD71" s="1135" t="s">
        <v>5396</v>
      </c>
      <c r="AE71" s="1114" t="s">
        <v>5397</v>
      </c>
      <c r="AF71" s="1135" t="s">
        <v>5398</v>
      </c>
      <c r="AG71" s="1114" t="s">
        <v>5399</v>
      </c>
      <c r="AH71" s="1135" t="s">
        <v>5400</v>
      </c>
      <c r="AI71" s="1114" t="s">
        <v>5401</v>
      </c>
      <c r="AJ71" s="1135" t="s">
        <v>5402</v>
      </c>
      <c r="AK71" s="1114" t="s">
        <v>5403</v>
      </c>
      <c r="AL71" s="1135" t="s">
        <v>5404</v>
      </c>
      <c r="AM71" s="1114" t="s">
        <v>5405</v>
      </c>
      <c r="AN71" s="1135" t="s">
        <v>5406</v>
      </c>
      <c r="AO71" s="1114" t="s">
        <v>5407</v>
      </c>
      <c r="AP71" s="1135" t="s">
        <v>5408</v>
      </c>
      <c r="AQ71" s="1114" t="s">
        <v>5409</v>
      </c>
      <c r="AR71" s="1136" t="s">
        <v>5410</v>
      </c>
      <c r="AS71" s="1134" t="s">
        <v>5411</v>
      </c>
      <c r="AT71" s="1136" t="s">
        <v>5412</v>
      </c>
      <c r="AU71" s="1134" t="s">
        <v>5413</v>
      </c>
      <c r="AV71" s="1135" t="s">
        <v>5414</v>
      </c>
      <c r="AW71" s="1114" t="s">
        <v>5415</v>
      </c>
      <c r="AX71" s="1118" t="s">
        <v>5416</v>
      </c>
      <c r="AY71" s="1197" t="e">
        <f t="shared" si="106"/>
        <v>#VALUE!</v>
      </c>
      <c r="AZ71" s="1197"/>
      <c r="BA71" s="1197"/>
      <c r="BB71" s="1197"/>
      <c r="BC71" s="1197"/>
      <c r="BD71" s="1197"/>
      <c r="BE71" s="1197"/>
      <c r="BF71" s="1197"/>
      <c r="BG71" s="1197"/>
      <c r="BH71" s="1197"/>
      <c r="BI71" s="1197"/>
      <c r="BJ71" s="1191"/>
      <c r="BK71" s="1191"/>
      <c r="BL71" s="1191"/>
      <c r="BM71" s="1191"/>
      <c r="BV71" s="1191"/>
      <c r="BX71" s="1547"/>
      <c r="CB71" s="2195" t="str">
        <f t="shared" si="107"/>
        <v xml:space="preserve">* El total de Reactivos NO DEBE ser superior al total de Procesados. </v>
      </c>
      <c r="CC71" s="2195" t="e">
        <f t="shared" si="108"/>
        <v>#VALUE!</v>
      </c>
      <c r="CD71" s="2195" t="e">
        <f t="shared" si="109"/>
        <v>#VALUE!</v>
      </c>
      <c r="CE71" s="2195" t="str">
        <f t="shared" si="110"/>
        <v xml:space="preserve">* La columna Pueblos Originarios NO DEBE ser superior al total de Procesados. </v>
      </c>
      <c r="CF71" s="2195" t="str">
        <f t="shared" si="111"/>
        <v xml:space="preserve">* La columna Migrantes NO DEBE ser superior al total de Procesados. </v>
      </c>
      <c r="CG71" s="2195" t="str">
        <f t="shared" si="139"/>
        <v>* El total de procesados debe ser mayor o igual al total de Reactivos en el grupo de edad Menor de 6 meses</v>
      </c>
      <c r="CH71" s="2195" t="str">
        <f t="shared" si="140"/>
        <v>* El total de procesados debe ser mayor o igual al total de Reactivos en el grupo de edad 6 a 11 meses</v>
      </c>
      <c r="CI71" s="2195" t="str">
        <f t="shared" si="141"/>
        <v>* El total de procesados debe ser mayor o igual al total de Reactivos en el grupo de edad 12-24 meses</v>
      </c>
      <c r="CJ71" s="2195" t="str">
        <f t="shared" si="142"/>
        <v>* El total de procesados debe ser mayor o igual al total de Reactivos en el grupo de edad 3 a 4 años</v>
      </c>
      <c r="CK71" s="2195" t="str">
        <f t="shared" si="143"/>
        <v>* El total de procesados debe ser mayor o igual al total de Reactivos en el grupo de edad 5 a 9 años</v>
      </c>
      <c r="CL71" s="2195" t="str">
        <f t="shared" si="144"/>
        <v>* El total de procesados debe ser mayor o igual al total de Reactivos en el grupo de edad 10 - 14 años</v>
      </c>
      <c r="CM71" s="2195" t="str">
        <f t="shared" si="145"/>
        <v>* El total de procesados debe ser mayor o igual al total de Reactivos en el grupo de edad 15 - 19 años</v>
      </c>
      <c r="CN71" s="2195" t="str">
        <f t="shared" si="146"/>
        <v>* El total de procesados debe ser mayor o igual al total de Reactivos en el grupo de edad 20 - 24 años</v>
      </c>
      <c r="CO71" s="2195" t="str">
        <f t="shared" si="147"/>
        <v>* El total de procesados debe ser mayor o igual al total de Reactivos en el grupo de edad 25 a 29 años</v>
      </c>
      <c r="CP71" s="2195" t="str">
        <f t="shared" si="148"/>
        <v>* El total de procesados debe ser mayor o igual al total de Reactivos en el grupo de edad 30 a 34 años</v>
      </c>
      <c r="CQ71" s="2195" t="str">
        <f t="shared" si="149"/>
        <v>* El total de procesados debe ser mayor o igual al total de Reactivos en el grupo de edad 35 a 39 años</v>
      </c>
      <c r="CR71" s="2195" t="str">
        <f t="shared" si="150"/>
        <v>* El total de procesados debe ser mayor o igual al total de Reactivos en el grupo de edad 40 a 44 años</v>
      </c>
      <c r="CS71" s="2195" t="str">
        <f t="shared" si="151"/>
        <v>* El total de procesados debe ser mayor o igual al total de Reactivos en el grupo de edad 45 a 49 años</v>
      </c>
      <c r="CT71" s="2195" t="str">
        <f t="shared" si="152"/>
        <v>* El total de procesados debe ser mayor o igual al total de Reactivos en el grupo de edad 50 a 54 años</v>
      </c>
      <c r="CU71" s="2195" t="str">
        <f t="shared" si="153"/>
        <v>* El total de procesados debe ser mayor o igual al total de Reactivos en el grupo de edad 55 a 59 años</v>
      </c>
      <c r="CV71" s="2195" t="str">
        <f t="shared" si="154"/>
        <v>* El total de procesados debe ser mayor o igual al total de Reactivos en el grupo de edad 60 a 64 años</v>
      </c>
      <c r="CW71" s="2195" t="str">
        <f t="shared" si="155"/>
        <v>* El total de procesados debe ser mayor o igual al total de Reactivos en el grupo de edad 65 a 69 años</v>
      </c>
      <c r="CX71" s="2195" t="str">
        <f t="shared" si="156"/>
        <v>* El total de procesados debe ser mayor o igual al total de Reactivos en el grupo de edad 70 a 74 años</v>
      </c>
      <c r="CY71" s="2195" t="str">
        <f t="shared" si="157"/>
        <v>* El total de procesados debe ser mayor o igual al total de Reactivos en el grupo de edad 75 a 79 años</v>
      </c>
      <c r="CZ71" s="2195" t="str">
        <f t="shared" si="158"/>
        <v>* El total de procesados debe ser mayor o igual al total de Reactivos en el grupo de edad 80 y más años</v>
      </c>
      <c r="DA71" s="2195" t="str">
        <f t="shared" si="112"/>
        <v/>
      </c>
      <c r="DB71" s="1446">
        <f t="shared" si="113"/>
        <v>1</v>
      </c>
      <c r="DC71" s="1446" t="e">
        <f t="shared" si="114"/>
        <v>#VALUE!</v>
      </c>
      <c r="DD71" s="1446" t="e">
        <f t="shared" si="115"/>
        <v>#VALUE!</v>
      </c>
      <c r="DE71" s="1446">
        <f t="shared" si="116"/>
        <v>1</v>
      </c>
      <c r="DF71" s="1446">
        <f t="shared" si="117"/>
        <v>1</v>
      </c>
      <c r="DG71" s="1446">
        <f t="shared" si="118"/>
        <v>1</v>
      </c>
      <c r="DH71" s="1446">
        <f t="shared" si="119"/>
        <v>1</v>
      </c>
      <c r="DI71" s="1446">
        <f t="shared" si="120"/>
        <v>1</v>
      </c>
      <c r="DJ71" s="1446">
        <f t="shared" si="121"/>
        <v>1</v>
      </c>
      <c r="DK71" s="1446">
        <f t="shared" si="122"/>
        <v>1</v>
      </c>
      <c r="DL71" s="1446">
        <f t="shared" si="123"/>
        <v>1</v>
      </c>
      <c r="DM71" s="1446">
        <f t="shared" si="124"/>
        <v>1</v>
      </c>
      <c r="DN71" s="1446">
        <f t="shared" si="125"/>
        <v>1</v>
      </c>
      <c r="DO71" s="1446">
        <f t="shared" si="126"/>
        <v>1</v>
      </c>
      <c r="DP71" s="1446">
        <f t="shared" si="127"/>
        <v>1</v>
      </c>
      <c r="DQ71" s="1446">
        <f t="shared" si="128"/>
        <v>1</v>
      </c>
      <c r="DR71" s="1446">
        <f t="shared" si="129"/>
        <v>1</v>
      </c>
      <c r="DS71" s="1446">
        <f t="shared" si="130"/>
        <v>1</v>
      </c>
      <c r="DT71" s="1446">
        <f t="shared" si="131"/>
        <v>1</v>
      </c>
      <c r="DU71" s="1446">
        <f t="shared" si="132"/>
        <v>1</v>
      </c>
      <c r="DV71" s="1446">
        <f t="shared" si="133"/>
        <v>1</v>
      </c>
      <c r="DW71" s="1446">
        <f t="shared" si="134"/>
        <v>1</v>
      </c>
      <c r="DX71" s="1446">
        <f t="shared" si="135"/>
        <v>1</v>
      </c>
      <c r="DY71" s="1446">
        <f t="shared" si="136"/>
        <v>1</v>
      </c>
      <c r="DZ71" s="1446">
        <f t="shared" si="137"/>
        <v>1</v>
      </c>
      <c r="EA71" s="1446">
        <f t="shared" si="138"/>
        <v>0</v>
      </c>
    </row>
    <row r="72" spans="1:131" ht="16.2" customHeight="1" x14ac:dyDescent="0.3">
      <c r="A72" s="7258">
        <v>11056416</v>
      </c>
      <c r="B72" s="2000" t="s">
        <v>1800</v>
      </c>
      <c r="C72" s="1998" t="s">
        <v>5369</v>
      </c>
      <c r="D72" s="2044" t="s">
        <v>5370</v>
      </c>
      <c r="E72" s="1134" t="s">
        <v>5371</v>
      </c>
      <c r="F72" s="1135" t="s">
        <v>5372</v>
      </c>
      <c r="G72" s="1114" t="s">
        <v>5373</v>
      </c>
      <c r="H72" s="1135" t="s">
        <v>5374</v>
      </c>
      <c r="I72" s="1114" t="s">
        <v>5375</v>
      </c>
      <c r="J72" s="1118" t="s">
        <v>5376</v>
      </c>
      <c r="K72" s="1134" t="s">
        <v>5377</v>
      </c>
      <c r="L72" s="1134" t="s">
        <v>5378</v>
      </c>
      <c r="M72" s="1114" t="s">
        <v>5379</v>
      </c>
      <c r="N72" s="1118" t="s">
        <v>5380</v>
      </c>
      <c r="O72" s="1134" t="s">
        <v>5381</v>
      </c>
      <c r="P72" s="1135" t="s">
        <v>5382</v>
      </c>
      <c r="Q72" s="1114" t="s">
        <v>5383</v>
      </c>
      <c r="R72" s="1135" t="s">
        <v>5384</v>
      </c>
      <c r="S72" s="1114" t="s">
        <v>5385</v>
      </c>
      <c r="T72" s="1135" t="s">
        <v>5386</v>
      </c>
      <c r="U72" s="1114" t="s">
        <v>5387</v>
      </c>
      <c r="V72" s="1135" t="s">
        <v>5388</v>
      </c>
      <c r="W72" s="1114" t="s">
        <v>5389</v>
      </c>
      <c r="X72" s="1135" t="s">
        <v>5390</v>
      </c>
      <c r="Y72" s="1114" t="s">
        <v>5391</v>
      </c>
      <c r="Z72" s="1135" t="s">
        <v>5392</v>
      </c>
      <c r="AA72" s="1114" t="s">
        <v>5393</v>
      </c>
      <c r="AB72" s="1135" t="s">
        <v>5394</v>
      </c>
      <c r="AC72" s="1114" t="s">
        <v>5395</v>
      </c>
      <c r="AD72" s="1135" t="s">
        <v>5396</v>
      </c>
      <c r="AE72" s="1114" t="s">
        <v>5397</v>
      </c>
      <c r="AF72" s="1135" t="s">
        <v>5398</v>
      </c>
      <c r="AG72" s="1114" t="s">
        <v>5399</v>
      </c>
      <c r="AH72" s="1135" t="s">
        <v>5400</v>
      </c>
      <c r="AI72" s="1114" t="s">
        <v>5401</v>
      </c>
      <c r="AJ72" s="1135" t="s">
        <v>5402</v>
      </c>
      <c r="AK72" s="1114" t="s">
        <v>5403</v>
      </c>
      <c r="AL72" s="1135" t="s">
        <v>5404</v>
      </c>
      <c r="AM72" s="1114" t="s">
        <v>5405</v>
      </c>
      <c r="AN72" s="1135" t="s">
        <v>5406</v>
      </c>
      <c r="AO72" s="1114" t="s">
        <v>5407</v>
      </c>
      <c r="AP72" s="1135" t="s">
        <v>5408</v>
      </c>
      <c r="AQ72" s="1114" t="s">
        <v>5409</v>
      </c>
      <c r="AR72" s="1136" t="s">
        <v>5410</v>
      </c>
      <c r="AS72" s="1134" t="s">
        <v>5411</v>
      </c>
      <c r="AT72" s="1136" t="s">
        <v>5412</v>
      </c>
      <c r="AU72" s="1134" t="s">
        <v>5413</v>
      </c>
      <c r="AV72" s="1135" t="s">
        <v>5414</v>
      </c>
      <c r="AW72" s="1114" t="s">
        <v>5415</v>
      </c>
      <c r="AX72" s="1118" t="s">
        <v>5416</v>
      </c>
      <c r="AY72" s="1197" t="e">
        <f t="shared" si="106"/>
        <v>#VALUE!</v>
      </c>
      <c r="AZ72" s="1197"/>
      <c r="BA72" s="1197"/>
      <c r="BB72" s="1197"/>
      <c r="BC72" s="1197"/>
      <c r="BD72" s="1197"/>
      <c r="BE72" s="1197"/>
      <c r="BF72" s="1197"/>
      <c r="BG72" s="1197"/>
      <c r="BH72" s="1197"/>
      <c r="BI72" s="1197"/>
      <c r="BJ72" s="1191"/>
      <c r="BK72" s="1191"/>
      <c r="BL72" s="1191"/>
      <c r="BM72" s="1191"/>
      <c r="BV72" s="1191"/>
      <c r="BX72" s="1547"/>
      <c r="CB72" s="2195" t="str">
        <f t="shared" si="107"/>
        <v xml:space="preserve">* El total de Reactivos NO DEBE ser superior al total de Procesados. </v>
      </c>
      <c r="CC72" s="2195" t="e">
        <f t="shared" si="108"/>
        <v>#VALUE!</v>
      </c>
      <c r="CD72" s="2195" t="e">
        <f t="shared" si="109"/>
        <v>#VALUE!</v>
      </c>
      <c r="CE72" s="2195" t="str">
        <f t="shared" si="110"/>
        <v xml:space="preserve">* La columna Pueblos Originarios NO DEBE ser superior al total de Procesados. </v>
      </c>
      <c r="CF72" s="2195" t="str">
        <f t="shared" si="111"/>
        <v xml:space="preserve">* La columna Migrantes NO DEBE ser superior al total de Procesados. </v>
      </c>
      <c r="CG72" s="2195" t="str">
        <f t="shared" si="139"/>
        <v>* El total de procesados debe ser mayor o igual al total de Reactivos en el grupo de edad Menor de 6 meses</v>
      </c>
      <c r="CH72" s="2195" t="str">
        <f t="shared" si="140"/>
        <v>* El total de procesados debe ser mayor o igual al total de Reactivos en el grupo de edad 6 a 11 meses</v>
      </c>
      <c r="CI72" s="2195" t="str">
        <f t="shared" si="141"/>
        <v>* El total de procesados debe ser mayor o igual al total de Reactivos en el grupo de edad 12-24 meses</v>
      </c>
      <c r="CJ72" s="2195" t="str">
        <f t="shared" si="142"/>
        <v>* El total de procesados debe ser mayor o igual al total de Reactivos en el grupo de edad 3 a 4 años</v>
      </c>
      <c r="CK72" s="2195" t="str">
        <f t="shared" si="143"/>
        <v>* El total de procesados debe ser mayor o igual al total de Reactivos en el grupo de edad 5 a 9 años</v>
      </c>
      <c r="CL72" s="2195" t="str">
        <f t="shared" si="144"/>
        <v>* El total de procesados debe ser mayor o igual al total de Reactivos en el grupo de edad 10 - 14 años</v>
      </c>
      <c r="CM72" s="2195" t="str">
        <f t="shared" si="145"/>
        <v>* El total de procesados debe ser mayor o igual al total de Reactivos en el grupo de edad 15 - 19 años</v>
      </c>
      <c r="CN72" s="2195" t="str">
        <f t="shared" si="146"/>
        <v>* El total de procesados debe ser mayor o igual al total de Reactivos en el grupo de edad 20 - 24 años</v>
      </c>
      <c r="CO72" s="2195" t="str">
        <f t="shared" si="147"/>
        <v>* El total de procesados debe ser mayor o igual al total de Reactivos en el grupo de edad 25 a 29 años</v>
      </c>
      <c r="CP72" s="2195" t="str">
        <f t="shared" si="148"/>
        <v>* El total de procesados debe ser mayor o igual al total de Reactivos en el grupo de edad 30 a 34 años</v>
      </c>
      <c r="CQ72" s="2195" t="str">
        <f t="shared" si="149"/>
        <v>* El total de procesados debe ser mayor o igual al total de Reactivos en el grupo de edad 35 a 39 años</v>
      </c>
      <c r="CR72" s="2195" t="str">
        <f t="shared" si="150"/>
        <v>* El total de procesados debe ser mayor o igual al total de Reactivos en el grupo de edad 40 a 44 años</v>
      </c>
      <c r="CS72" s="2195" t="str">
        <f t="shared" si="151"/>
        <v>* El total de procesados debe ser mayor o igual al total de Reactivos en el grupo de edad 45 a 49 años</v>
      </c>
      <c r="CT72" s="2195" t="str">
        <f t="shared" si="152"/>
        <v>* El total de procesados debe ser mayor o igual al total de Reactivos en el grupo de edad 50 a 54 años</v>
      </c>
      <c r="CU72" s="2195" t="str">
        <f t="shared" si="153"/>
        <v>* El total de procesados debe ser mayor o igual al total de Reactivos en el grupo de edad 55 a 59 años</v>
      </c>
      <c r="CV72" s="2195" t="str">
        <f t="shared" si="154"/>
        <v>* El total de procesados debe ser mayor o igual al total de Reactivos en el grupo de edad 60 a 64 años</v>
      </c>
      <c r="CW72" s="2195" t="str">
        <f t="shared" si="155"/>
        <v>* El total de procesados debe ser mayor o igual al total de Reactivos en el grupo de edad 65 a 69 años</v>
      </c>
      <c r="CX72" s="2195" t="str">
        <f t="shared" si="156"/>
        <v>* El total de procesados debe ser mayor o igual al total de Reactivos en el grupo de edad 70 a 74 años</v>
      </c>
      <c r="CY72" s="2195" t="str">
        <f t="shared" si="157"/>
        <v>* El total de procesados debe ser mayor o igual al total de Reactivos en el grupo de edad 75 a 79 años</v>
      </c>
      <c r="CZ72" s="2195" t="str">
        <f t="shared" si="158"/>
        <v>* El total de procesados debe ser mayor o igual al total de Reactivos en el grupo de edad 80 y más años</v>
      </c>
      <c r="DA72" s="2195" t="str">
        <f t="shared" si="112"/>
        <v/>
      </c>
      <c r="DB72" s="1446">
        <f t="shared" si="113"/>
        <v>1</v>
      </c>
      <c r="DC72" s="1446" t="e">
        <f t="shared" si="114"/>
        <v>#VALUE!</v>
      </c>
      <c r="DD72" s="1446" t="e">
        <f t="shared" si="115"/>
        <v>#VALUE!</v>
      </c>
      <c r="DE72" s="1446">
        <f t="shared" si="116"/>
        <v>1</v>
      </c>
      <c r="DF72" s="1446">
        <f t="shared" si="117"/>
        <v>1</v>
      </c>
      <c r="DG72" s="1446">
        <f t="shared" si="118"/>
        <v>1</v>
      </c>
      <c r="DH72" s="1446">
        <f t="shared" si="119"/>
        <v>1</v>
      </c>
      <c r="DI72" s="1446">
        <f t="shared" si="120"/>
        <v>1</v>
      </c>
      <c r="DJ72" s="1446">
        <f t="shared" si="121"/>
        <v>1</v>
      </c>
      <c r="DK72" s="1446">
        <f t="shared" si="122"/>
        <v>1</v>
      </c>
      <c r="DL72" s="1446">
        <f t="shared" si="123"/>
        <v>1</v>
      </c>
      <c r="DM72" s="1446">
        <f t="shared" si="124"/>
        <v>1</v>
      </c>
      <c r="DN72" s="1446">
        <f t="shared" si="125"/>
        <v>1</v>
      </c>
      <c r="DO72" s="1446">
        <f t="shared" si="126"/>
        <v>1</v>
      </c>
      <c r="DP72" s="1446">
        <f t="shared" si="127"/>
        <v>1</v>
      </c>
      <c r="DQ72" s="1446">
        <f t="shared" si="128"/>
        <v>1</v>
      </c>
      <c r="DR72" s="1446">
        <f t="shared" si="129"/>
        <v>1</v>
      </c>
      <c r="DS72" s="1446">
        <f t="shared" si="130"/>
        <v>1</v>
      </c>
      <c r="DT72" s="1446">
        <f t="shared" si="131"/>
        <v>1</v>
      </c>
      <c r="DU72" s="1446">
        <f t="shared" si="132"/>
        <v>1</v>
      </c>
      <c r="DV72" s="1446">
        <f t="shared" si="133"/>
        <v>1</v>
      </c>
      <c r="DW72" s="1446">
        <f t="shared" si="134"/>
        <v>1</v>
      </c>
      <c r="DX72" s="1446">
        <f t="shared" si="135"/>
        <v>1</v>
      </c>
      <c r="DY72" s="1446">
        <f t="shared" si="136"/>
        <v>1</v>
      </c>
      <c r="DZ72" s="1446">
        <f t="shared" si="137"/>
        <v>1</v>
      </c>
      <c r="EA72" s="1446">
        <f t="shared" si="138"/>
        <v>0</v>
      </c>
    </row>
    <row r="73" spans="1:131" ht="16.2" customHeight="1" x14ac:dyDescent="0.3">
      <c r="A73" s="7263">
        <v>11056417</v>
      </c>
      <c r="B73" s="1898" t="s">
        <v>1801</v>
      </c>
      <c r="C73" s="1960" t="s">
        <v>5369</v>
      </c>
      <c r="D73" s="1898" t="s">
        <v>5370</v>
      </c>
      <c r="E73" s="102" t="s">
        <v>5371</v>
      </c>
      <c r="F73" s="83" t="s">
        <v>5372</v>
      </c>
      <c r="G73" s="125" t="s">
        <v>5373</v>
      </c>
      <c r="H73" s="83" t="s">
        <v>5374</v>
      </c>
      <c r="I73" s="125" t="s">
        <v>5375</v>
      </c>
      <c r="J73" s="101" t="s">
        <v>5376</v>
      </c>
      <c r="K73" s="102" t="s">
        <v>5377</v>
      </c>
      <c r="L73" s="102" t="s">
        <v>5378</v>
      </c>
      <c r="M73" s="125" t="s">
        <v>5379</v>
      </c>
      <c r="N73" s="101" t="s">
        <v>5380</v>
      </c>
      <c r="O73" s="102" t="s">
        <v>5381</v>
      </c>
      <c r="P73" s="83" t="s">
        <v>5382</v>
      </c>
      <c r="Q73" s="125" t="s">
        <v>5383</v>
      </c>
      <c r="R73" s="83" t="s">
        <v>5384</v>
      </c>
      <c r="S73" s="125" t="s">
        <v>5385</v>
      </c>
      <c r="T73" s="83" t="s">
        <v>5386</v>
      </c>
      <c r="U73" s="125" t="s">
        <v>5387</v>
      </c>
      <c r="V73" s="83" t="s">
        <v>5388</v>
      </c>
      <c r="W73" s="125" t="s">
        <v>5389</v>
      </c>
      <c r="X73" s="83" t="s">
        <v>5390</v>
      </c>
      <c r="Y73" s="125" t="s">
        <v>5391</v>
      </c>
      <c r="Z73" s="83" t="s">
        <v>5392</v>
      </c>
      <c r="AA73" s="125" t="s">
        <v>5393</v>
      </c>
      <c r="AB73" s="83" t="s">
        <v>5394</v>
      </c>
      <c r="AC73" s="125" t="s">
        <v>5395</v>
      </c>
      <c r="AD73" s="83" t="s">
        <v>5396</v>
      </c>
      <c r="AE73" s="125" t="s">
        <v>5397</v>
      </c>
      <c r="AF73" s="83" t="s">
        <v>5398</v>
      </c>
      <c r="AG73" s="125" t="s">
        <v>5399</v>
      </c>
      <c r="AH73" s="83" t="s">
        <v>5400</v>
      </c>
      <c r="AI73" s="125" t="s">
        <v>5401</v>
      </c>
      <c r="AJ73" s="83" t="s">
        <v>5402</v>
      </c>
      <c r="AK73" s="125" t="s">
        <v>5403</v>
      </c>
      <c r="AL73" s="83" t="s">
        <v>5404</v>
      </c>
      <c r="AM73" s="125" t="s">
        <v>5405</v>
      </c>
      <c r="AN73" s="83" t="s">
        <v>5406</v>
      </c>
      <c r="AO73" s="125" t="s">
        <v>5407</v>
      </c>
      <c r="AP73" s="83" t="s">
        <v>5408</v>
      </c>
      <c r="AQ73" s="125" t="s">
        <v>5409</v>
      </c>
      <c r="AR73" s="198" t="s">
        <v>5410</v>
      </c>
      <c r="AS73" s="102" t="s">
        <v>5411</v>
      </c>
      <c r="AT73" s="198" t="s">
        <v>5412</v>
      </c>
      <c r="AU73" s="102" t="s">
        <v>5413</v>
      </c>
      <c r="AV73" s="83" t="s">
        <v>5414</v>
      </c>
      <c r="AW73" s="125" t="s">
        <v>5415</v>
      </c>
      <c r="AX73" s="101" t="s">
        <v>5416</v>
      </c>
      <c r="AY73" s="1197" t="e">
        <f t="shared" si="106"/>
        <v>#VALUE!</v>
      </c>
      <c r="AZ73" s="1197"/>
      <c r="BA73" s="1197"/>
      <c r="BB73" s="1197"/>
      <c r="BC73" s="1197"/>
      <c r="BD73" s="1197"/>
      <c r="BE73" s="1197"/>
      <c r="BF73" s="1197"/>
      <c r="BG73" s="1197"/>
      <c r="BH73" s="1197"/>
      <c r="BI73" s="1197"/>
      <c r="BJ73" s="1191"/>
      <c r="BK73" s="1191"/>
      <c r="BL73" s="1191"/>
      <c r="BM73" s="1191"/>
      <c r="BV73" s="1191"/>
      <c r="BX73" s="1547"/>
      <c r="CB73" s="2195" t="str">
        <f t="shared" si="107"/>
        <v xml:space="preserve">* El total de Reactivos NO DEBE ser superior al total de Procesados. </v>
      </c>
      <c r="CC73" s="2195" t="e">
        <f t="shared" si="108"/>
        <v>#VALUE!</v>
      </c>
      <c r="CD73" s="2195" t="e">
        <f t="shared" si="109"/>
        <v>#VALUE!</v>
      </c>
      <c r="CE73" s="2195" t="str">
        <f t="shared" si="110"/>
        <v xml:space="preserve">* La columna Pueblos Originarios NO DEBE ser superior al total de Procesados. </v>
      </c>
      <c r="CF73" s="2195" t="str">
        <f t="shared" si="111"/>
        <v xml:space="preserve">* La columna Migrantes NO DEBE ser superior al total de Procesados. </v>
      </c>
      <c r="CG73" s="2195" t="str">
        <f t="shared" si="139"/>
        <v>* El total de procesados debe ser mayor o igual al total de Reactivos en el grupo de edad Menor de 6 meses</v>
      </c>
      <c r="CH73" s="2195" t="str">
        <f t="shared" si="140"/>
        <v>* El total de procesados debe ser mayor o igual al total de Reactivos en el grupo de edad 6 a 11 meses</v>
      </c>
      <c r="CI73" s="2195" t="str">
        <f t="shared" si="141"/>
        <v>* El total de procesados debe ser mayor o igual al total de Reactivos en el grupo de edad 12-24 meses</v>
      </c>
      <c r="CJ73" s="2195" t="str">
        <f t="shared" si="142"/>
        <v>* El total de procesados debe ser mayor o igual al total de Reactivos en el grupo de edad 3 a 4 años</v>
      </c>
      <c r="CK73" s="2195" t="str">
        <f t="shared" si="143"/>
        <v>* El total de procesados debe ser mayor o igual al total de Reactivos en el grupo de edad 5 a 9 años</v>
      </c>
      <c r="CL73" s="2195" t="str">
        <f t="shared" si="144"/>
        <v>* El total de procesados debe ser mayor o igual al total de Reactivos en el grupo de edad 10 - 14 años</v>
      </c>
      <c r="CM73" s="2195" t="str">
        <f t="shared" si="145"/>
        <v>* El total de procesados debe ser mayor o igual al total de Reactivos en el grupo de edad 15 - 19 años</v>
      </c>
      <c r="CN73" s="2195" t="str">
        <f t="shared" si="146"/>
        <v>* El total de procesados debe ser mayor o igual al total de Reactivos en el grupo de edad 20 - 24 años</v>
      </c>
      <c r="CO73" s="2195" t="str">
        <f t="shared" si="147"/>
        <v>* El total de procesados debe ser mayor o igual al total de Reactivos en el grupo de edad 25 a 29 años</v>
      </c>
      <c r="CP73" s="2195" t="str">
        <f t="shared" si="148"/>
        <v>* El total de procesados debe ser mayor o igual al total de Reactivos en el grupo de edad 30 a 34 años</v>
      </c>
      <c r="CQ73" s="2195" t="str">
        <f t="shared" si="149"/>
        <v>* El total de procesados debe ser mayor o igual al total de Reactivos en el grupo de edad 35 a 39 años</v>
      </c>
      <c r="CR73" s="2195" t="str">
        <f t="shared" si="150"/>
        <v>* El total de procesados debe ser mayor o igual al total de Reactivos en el grupo de edad 40 a 44 años</v>
      </c>
      <c r="CS73" s="2195" t="str">
        <f t="shared" si="151"/>
        <v>* El total de procesados debe ser mayor o igual al total de Reactivos en el grupo de edad 45 a 49 años</v>
      </c>
      <c r="CT73" s="2195" t="str">
        <f t="shared" si="152"/>
        <v>* El total de procesados debe ser mayor o igual al total de Reactivos en el grupo de edad 50 a 54 años</v>
      </c>
      <c r="CU73" s="2195" t="str">
        <f t="shared" si="153"/>
        <v>* El total de procesados debe ser mayor o igual al total de Reactivos en el grupo de edad 55 a 59 años</v>
      </c>
      <c r="CV73" s="2195" t="str">
        <f t="shared" si="154"/>
        <v>* El total de procesados debe ser mayor o igual al total de Reactivos en el grupo de edad 60 a 64 años</v>
      </c>
      <c r="CW73" s="2195" t="str">
        <f t="shared" si="155"/>
        <v>* El total de procesados debe ser mayor o igual al total de Reactivos en el grupo de edad 65 a 69 años</v>
      </c>
      <c r="CX73" s="2195" t="str">
        <f t="shared" si="156"/>
        <v>* El total de procesados debe ser mayor o igual al total de Reactivos en el grupo de edad 70 a 74 años</v>
      </c>
      <c r="CY73" s="2195" t="str">
        <f t="shared" si="157"/>
        <v>* El total de procesados debe ser mayor o igual al total de Reactivos en el grupo de edad 75 a 79 años</v>
      </c>
      <c r="CZ73" s="2195" t="str">
        <f t="shared" si="158"/>
        <v>* El total de procesados debe ser mayor o igual al total de Reactivos en el grupo de edad 80 y más años</v>
      </c>
      <c r="DA73" s="2195" t="str">
        <f t="shared" si="112"/>
        <v/>
      </c>
      <c r="DB73" s="1446">
        <f t="shared" si="113"/>
        <v>1</v>
      </c>
      <c r="DC73" s="1446" t="e">
        <f t="shared" si="114"/>
        <v>#VALUE!</v>
      </c>
      <c r="DD73" s="1446" t="e">
        <f t="shared" si="115"/>
        <v>#VALUE!</v>
      </c>
      <c r="DE73" s="1446">
        <f t="shared" si="116"/>
        <v>1</v>
      </c>
      <c r="DF73" s="1446">
        <f t="shared" si="117"/>
        <v>1</v>
      </c>
      <c r="DG73" s="1446">
        <f t="shared" si="118"/>
        <v>1</v>
      </c>
      <c r="DH73" s="1446">
        <f t="shared" si="119"/>
        <v>1</v>
      </c>
      <c r="DI73" s="1446">
        <f t="shared" si="120"/>
        <v>1</v>
      </c>
      <c r="DJ73" s="1446">
        <f t="shared" si="121"/>
        <v>1</v>
      </c>
      <c r="DK73" s="1446">
        <f t="shared" si="122"/>
        <v>1</v>
      </c>
      <c r="DL73" s="1446">
        <f t="shared" si="123"/>
        <v>1</v>
      </c>
      <c r="DM73" s="1446">
        <f t="shared" si="124"/>
        <v>1</v>
      </c>
      <c r="DN73" s="1446">
        <f t="shared" si="125"/>
        <v>1</v>
      </c>
      <c r="DO73" s="1446">
        <f t="shared" si="126"/>
        <v>1</v>
      </c>
      <c r="DP73" s="1446">
        <f t="shared" si="127"/>
        <v>1</v>
      </c>
      <c r="DQ73" s="1446">
        <f t="shared" si="128"/>
        <v>1</v>
      </c>
      <c r="DR73" s="1446">
        <f t="shared" si="129"/>
        <v>1</v>
      </c>
      <c r="DS73" s="1446">
        <f t="shared" si="130"/>
        <v>1</v>
      </c>
      <c r="DT73" s="1446">
        <f t="shared" si="131"/>
        <v>1</v>
      </c>
      <c r="DU73" s="1446">
        <f t="shared" si="132"/>
        <v>1</v>
      </c>
      <c r="DV73" s="1446">
        <f t="shared" si="133"/>
        <v>1</v>
      </c>
      <c r="DW73" s="1446">
        <f t="shared" si="134"/>
        <v>1</v>
      </c>
      <c r="DX73" s="1446">
        <f t="shared" si="135"/>
        <v>1</v>
      </c>
      <c r="DY73" s="1446">
        <f t="shared" si="136"/>
        <v>1</v>
      </c>
      <c r="DZ73" s="1446">
        <f t="shared" si="137"/>
        <v>1</v>
      </c>
      <c r="EA73" s="1446">
        <f t="shared" si="138"/>
        <v>0</v>
      </c>
    </row>
    <row r="74" spans="1:131" ht="31.95" customHeight="1" x14ac:dyDescent="0.3">
      <c r="B74" s="942" t="s">
        <v>1803</v>
      </c>
      <c r="C74" s="942"/>
      <c r="D74" s="942"/>
      <c r="E74" s="942"/>
      <c r="F74" s="942"/>
      <c r="G74" s="942"/>
      <c r="H74" s="942"/>
      <c r="J74" s="133"/>
      <c r="K74" s="108"/>
      <c r="L74" s="108"/>
      <c r="M74" s="108"/>
      <c r="N74" s="108"/>
      <c r="O74" s="108"/>
      <c r="P74" s="108"/>
      <c r="Q74" s="108"/>
      <c r="R74" s="140"/>
      <c r="AS74" s="827" t="s">
        <v>1804</v>
      </c>
      <c r="AY74" s="1191"/>
      <c r="AZ74" s="1191"/>
      <c r="BA74" s="1191"/>
      <c r="BB74" s="1191"/>
      <c r="BC74" s="1191"/>
      <c r="BD74" s="1191"/>
      <c r="BE74" s="1191"/>
      <c r="BF74" s="1191"/>
      <c r="BG74" s="1191"/>
      <c r="BH74" s="1191"/>
      <c r="BI74" s="1191"/>
      <c r="BJ74" s="1191"/>
      <c r="BK74" s="1191"/>
      <c r="BL74" s="1191"/>
      <c r="BM74" s="1191"/>
      <c r="BN74" s="1191"/>
      <c r="BU74" s="1123"/>
      <c r="BV74" s="1123"/>
      <c r="BW74" s="1547"/>
      <c r="BX74" s="1547"/>
    </row>
    <row r="75" spans="1:131" ht="31.95" customHeight="1" x14ac:dyDescent="0.3">
      <c r="B75" s="8638" t="s">
        <v>1781</v>
      </c>
      <c r="C75" s="9629" t="s">
        <v>24</v>
      </c>
      <c r="D75" s="9966"/>
      <c r="E75" s="8645" t="s">
        <v>725</v>
      </c>
      <c r="F75" s="8646"/>
      <c r="G75" s="8646"/>
      <c r="H75" s="8646"/>
      <c r="I75" s="8646"/>
      <c r="J75" s="8646"/>
      <c r="K75" s="8646"/>
      <c r="L75" s="8646"/>
      <c r="M75" s="8646"/>
      <c r="N75" s="8646"/>
      <c r="O75" s="8646"/>
      <c r="P75" s="8646"/>
      <c r="Q75" s="8646"/>
      <c r="R75" s="8646"/>
      <c r="S75" s="8646"/>
      <c r="T75" s="8646"/>
      <c r="U75" s="8646"/>
      <c r="V75" s="8646"/>
      <c r="W75" s="8646"/>
      <c r="X75" s="8646"/>
      <c r="Y75" s="8646"/>
      <c r="Z75" s="8646"/>
      <c r="AA75" s="8646"/>
      <c r="AB75" s="8646"/>
      <c r="AC75" s="8646"/>
      <c r="AD75" s="8646"/>
      <c r="AE75" s="8646"/>
      <c r="AF75" s="8646"/>
      <c r="AG75" s="8646"/>
      <c r="AH75" s="8646"/>
      <c r="AI75" s="8646"/>
      <c r="AJ75" s="8646"/>
      <c r="AK75" s="8646"/>
      <c r="AL75" s="8646"/>
      <c r="AM75" s="8646"/>
      <c r="AN75" s="8646"/>
      <c r="AO75" s="8646"/>
      <c r="AP75" s="8646"/>
      <c r="AQ75" s="8646"/>
      <c r="AR75" s="9969"/>
      <c r="AS75" s="9970" t="s">
        <v>1782</v>
      </c>
      <c r="AT75" s="9971"/>
      <c r="AU75" s="9972" t="s">
        <v>713</v>
      </c>
      <c r="AV75" s="9973"/>
      <c r="AW75" s="9976" t="s">
        <v>362</v>
      </c>
      <c r="AX75" s="9978" t="s">
        <v>361</v>
      </c>
      <c r="AY75" s="1191"/>
      <c r="AZ75" s="1191"/>
      <c r="BA75" s="1191"/>
      <c r="BB75" s="1191"/>
      <c r="BC75" s="1191"/>
      <c r="BD75" s="1191"/>
      <c r="BE75" s="1191"/>
      <c r="BF75" s="1191"/>
      <c r="BG75" s="1191"/>
      <c r="BH75" s="1191"/>
      <c r="BI75" s="1191"/>
      <c r="BJ75" s="1191"/>
      <c r="BK75" s="1191"/>
      <c r="BL75" s="1191"/>
      <c r="BM75" s="1191"/>
      <c r="BV75" s="1191"/>
      <c r="BW75" s="1547"/>
      <c r="BX75" s="1547"/>
    </row>
    <row r="76" spans="1:131" ht="16.2" customHeight="1" x14ac:dyDescent="0.3">
      <c r="B76" s="8705"/>
      <c r="C76" s="9967"/>
      <c r="D76" s="9968"/>
      <c r="E76" s="8648" t="s">
        <v>724</v>
      </c>
      <c r="F76" s="9970"/>
      <c r="G76" s="8648" t="s">
        <v>723</v>
      </c>
      <c r="H76" s="9970"/>
      <c r="I76" s="8648" t="s">
        <v>722</v>
      </c>
      <c r="J76" s="8650"/>
      <c r="K76" s="9970" t="s">
        <v>1823</v>
      </c>
      <c r="L76" s="9970"/>
      <c r="M76" s="8648" t="s">
        <v>1415</v>
      </c>
      <c r="N76" s="9970"/>
      <c r="O76" s="8648" t="s">
        <v>79</v>
      </c>
      <c r="P76" s="9970"/>
      <c r="Q76" s="8648" t="s">
        <v>80</v>
      </c>
      <c r="R76" s="9970"/>
      <c r="S76" s="8648" t="s">
        <v>81</v>
      </c>
      <c r="T76" s="9970"/>
      <c r="U76" s="8648" t="s">
        <v>115</v>
      </c>
      <c r="V76" s="8650"/>
      <c r="W76" s="8648" t="s">
        <v>116</v>
      </c>
      <c r="X76" s="8650"/>
      <c r="Y76" s="8648" t="s">
        <v>117</v>
      </c>
      <c r="Z76" s="8650"/>
      <c r="AA76" s="8648" t="s">
        <v>118</v>
      </c>
      <c r="AB76" s="8650"/>
      <c r="AC76" s="8648" t="s">
        <v>119</v>
      </c>
      <c r="AD76" s="8650"/>
      <c r="AE76" s="8648" t="s">
        <v>120</v>
      </c>
      <c r="AF76" s="8650"/>
      <c r="AG76" s="8648" t="s">
        <v>1414</v>
      </c>
      <c r="AH76" s="8650"/>
      <c r="AI76" s="8648" t="s">
        <v>1406</v>
      </c>
      <c r="AJ76" s="8650"/>
      <c r="AK76" s="8648" t="s">
        <v>1397</v>
      </c>
      <c r="AL76" s="8650"/>
      <c r="AM76" s="8648" t="s">
        <v>1396</v>
      </c>
      <c r="AN76" s="8650"/>
      <c r="AO76" s="8648" t="s">
        <v>1395</v>
      </c>
      <c r="AP76" s="8650"/>
      <c r="AQ76" s="8648" t="s">
        <v>1405</v>
      </c>
      <c r="AR76" s="9971"/>
      <c r="AS76" s="9979" t="s">
        <v>17</v>
      </c>
      <c r="AT76" s="9981" t="s">
        <v>18</v>
      </c>
      <c r="AU76" s="9974"/>
      <c r="AV76" s="9975"/>
      <c r="AW76" s="8596"/>
      <c r="AX76" s="8581"/>
      <c r="AY76" s="1191"/>
      <c r="AZ76" s="1191"/>
      <c r="BA76" s="1191"/>
      <c r="BB76" s="1191"/>
      <c r="BC76" s="1191"/>
      <c r="BD76" s="1191"/>
      <c r="BE76" s="1191"/>
      <c r="BF76" s="1191"/>
      <c r="BG76" s="1191"/>
      <c r="BH76" s="1191"/>
      <c r="BI76" s="1191"/>
      <c r="BJ76" s="1191"/>
      <c r="BK76" s="1191"/>
      <c r="BL76" s="1191"/>
      <c r="BM76" s="1191"/>
      <c r="BV76" s="1191"/>
      <c r="BW76" s="1547"/>
      <c r="BX76" s="1547"/>
    </row>
    <row r="77" spans="1:131" ht="16.2" customHeight="1" x14ac:dyDescent="0.3">
      <c r="B77" s="8639"/>
      <c r="C77" s="1127" t="s">
        <v>1783</v>
      </c>
      <c r="D77" s="940" t="s">
        <v>1784</v>
      </c>
      <c r="E77" s="1124" t="s">
        <v>1783</v>
      </c>
      <c r="F77" s="914" t="s">
        <v>1784</v>
      </c>
      <c r="G77" s="1124" t="s">
        <v>1783</v>
      </c>
      <c r="H77" s="914" t="s">
        <v>1784</v>
      </c>
      <c r="I77" s="1124" t="s">
        <v>1783</v>
      </c>
      <c r="J77" s="940" t="s">
        <v>1784</v>
      </c>
      <c r="K77" s="1127" t="s">
        <v>1783</v>
      </c>
      <c r="L77" s="914" t="s">
        <v>1784</v>
      </c>
      <c r="M77" s="1124" t="s">
        <v>1783</v>
      </c>
      <c r="N77" s="914" t="s">
        <v>1784</v>
      </c>
      <c r="O77" s="1124" t="s">
        <v>1783</v>
      </c>
      <c r="P77" s="914" t="s">
        <v>1784</v>
      </c>
      <c r="Q77" s="1124" t="s">
        <v>1783</v>
      </c>
      <c r="R77" s="914" t="s">
        <v>1784</v>
      </c>
      <c r="S77" s="1124" t="s">
        <v>1783</v>
      </c>
      <c r="T77" s="914" t="s">
        <v>1784</v>
      </c>
      <c r="U77" s="1124" t="s">
        <v>1783</v>
      </c>
      <c r="V77" s="914" t="s">
        <v>1784</v>
      </c>
      <c r="W77" s="1124" t="s">
        <v>1783</v>
      </c>
      <c r="X77" s="914" t="s">
        <v>1784</v>
      </c>
      <c r="Y77" s="1124" t="s">
        <v>1783</v>
      </c>
      <c r="Z77" s="914" t="s">
        <v>1784</v>
      </c>
      <c r="AA77" s="1124" t="s">
        <v>1783</v>
      </c>
      <c r="AB77" s="914" t="s">
        <v>1784</v>
      </c>
      <c r="AC77" s="1124" t="s">
        <v>1783</v>
      </c>
      <c r="AD77" s="914" t="s">
        <v>1784</v>
      </c>
      <c r="AE77" s="1124" t="s">
        <v>1783</v>
      </c>
      <c r="AF77" s="914" t="s">
        <v>1784</v>
      </c>
      <c r="AG77" s="1124" t="s">
        <v>1783</v>
      </c>
      <c r="AH77" s="914" t="s">
        <v>1784</v>
      </c>
      <c r="AI77" s="1124" t="s">
        <v>1783</v>
      </c>
      <c r="AJ77" s="914" t="s">
        <v>1784</v>
      </c>
      <c r="AK77" s="1124" t="s">
        <v>1783</v>
      </c>
      <c r="AL77" s="914" t="s">
        <v>1784</v>
      </c>
      <c r="AM77" s="1124" t="s">
        <v>1783</v>
      </c>
      <c r="AN77" s="914" t="s">
        <v>1784</v>
      </c>
      <c r="AO77" s="1124" t="s">
        <v>1783</v>
      </c>
      <c r="AP77" s="914" t="s">
        <v>1784</v>
      </c>
      <c r="AQ77" s="1124" t="s">
        <v>1783</v>
      </c>
      <c r="AR77" s="1128" t="s">
        <v>1784</v>
      </c>
      <c r="AS77" s="9980"/>
      <c r="AT77" s="9982"/>
      <c r="AU77" s="2147" t="s">
        <v>358</v>
      </c>
      <c r="AV77" s="2072" t="s">
        <v>359</v>
      </c>
      <c r="AW77" s="9977"/>
      <c r="AX77" s="8582"/>
      <c r="AY77" s="1191"/>
      <c r="AZ77" s="1191"/>
      <c r="BA77" s="1191"/>
      <c r="BB77" s="1191"/>
      <c r="BC77" s="1191"/>
      <c r="BD77" s="1191"/>
      <c r="BE77" s="1191"/>
      <c r="BF77" s="1191"/>
      <c r="BG77" s="1191"/>
      <c r="BH77" s="1191"/>
      <c r="BI77" s="1191"/>
      <c r="BJ77" s="1191"/>
      <c r="BK77" s="1191"/>
      <c r="BL77" s="1191"/>
      <c r="BM77" s="1191"/>
      <c r="BV77" s="1191"/>
      <c r="BW77" s="1547"/>
      <c r="BX77" s="1547"/>
    </row>
    <row r="78" spans="1:131" ht="16.2" customHeight="1" x14ac:dyDescent="0.3">
      <c r="A78" s="7258">
        <v>11056418</v>
      </c>
      <c r="B78" s="2031" t="s">
        <v>1785</v>
      </c>
      <c r="C78" s="1996" t="s">
        <v>5369</v>
      </c>
      <c r="D78" s="2043" t="s">
        <v>5370</v>
      </c>
      <c r="E78" s="1130" t="s">
        <v>5371</v>
      </c>
      <c r="F78" s="1131" t="s">
        <v>5372</v>
      </c>
      <c r="G78" s="1132" t="s">
        <v>5373</v>
      </c>
      <c r="H78" s="1131" t="s">
        <v>5374</v>
      </c>
      <c r="I78" s="1132" t="s">
        <v>5375</v>
      </c>
      <c r="J78" s="1131" t="s">
        <v>5376</v>
      </c>
      <c r="K78" s="1132" t="s">
        <v>5377</v>
      </c>
      <c r="L78" s="1131" t="s">
        <v>5378</v>
      </c>
      <c r="M78" s="1132" t="s">
        <v>5379</v>
      </c>
      <c r="N78" s="1133" t="s">
        <v>5380</v>
      </c>
      <c r="O78" s="1134" t="s">
        <v>5381</v>
      </c>
      <c r="P78" s="1135" t="s">
        <v>5382</v>
      </c>
      <c r="Q78" s="1114" t="s">
        <v>5383</v>
      </c>
      <c r="R78" s="1135" t="s">
        <v>5384</v>
      </c>
      <c r="S78" s="1114" t="s">
        <v>5385</v>
      </c>
      <c r="T78" s="1135" t="s">
        <v>5386</v>
      </c>
      <c r="U78" s="1114" t="s">
        <v>5387</v>
      </c>
      <c r="V78" s="1135" t="s">
        <v>5388</v>
      </c>
      <c r="W78" s="1114" t="s">
        <v>5389</v>
      </c>
      <c r="X78" s="1135" t="s">
        <v>5390</v>
      </c>
      <c r="Y78" s="1114" t="s">
        <v>5391</v>
      </c>
      <c r="Z78" s="1135" t="s">
        <v>5392</v>
      </c>
      <c r="AA78" s="1114" t="s">
        <v>5393</v>
      </c>
      <c r="AB78" s="1135" t="s">
        <v>5394</v>
      </c>
      <c r="AC78" s="1114" t="s">
        <v>5395</v>
      </c>
      <c r="AD78" s="1135" t="s">
        <v>5396</v>
      </c>
      <c r="AE78" s="1114" t="s">
        <v>5397</v>
      </c>
      <c r="AF78" s="1135" t="s">
        <v>5398</v>
      </c>
      <c r="AG78" s="1114" t="s">
        <v>5399</v>
      </c>
      <c r="AH78" s="1135" t="s">
        <v>5400</v>
      </c>
      <c r="AI78" s="1114" t="s">
        <v>5401</v>
      </c>
      <c r="AJ78" s="1135" t="s">
        <v>5402</v>
      </c>
      <c r="AK78" s="1114" t="s">
        <v>5403</v>
      </c>
      <c r="AL78" s="1135" t="s">
        <v>5404</v>
      </c>
      <c r="AM78" s="1114" t="s">
        <v>5405</v>
      </c>
      <c r="AN78" s="1135" t="s">
        <v>5406</v>
      </c>
      <c r="AO78" s="1114" t="s">
        <v>5407</v>
      </c>
      <c r="AP78" s="1135" t="s">
        <v>5408</v>
      </c>
      <c r="AQ78" s="1114" t="s">
        <v>5409</v>
      </c>
      <c r="AR78" s="1136" t="s">
        <v>5410</v>
      </c>
      <c r="AS78" s="1137" t="s">
        <v>5411</v>
      </c>
      <c r="AT78" s="1136" t="s">
        <v>5412</v>
      </c>
      <c r="AU78" s="1134" t="s">
        <v>5413</v>
      </c>
      <c r="AV78" s="1135" t="s">
        <v>5414</v>
      </c>
      <c r="AW78" s="1114" t="s">
        <v>5415</v>
      </c>
      <c r="AX78" s="1118" t="s">
        <v>5416</v>
      </c>
      <c r="AY78" s="1197" t="e">
        <f t="shared" ref="AY78:AY95" si="159">$CB78&amp;$CC78&amp;$CD78&amp;$CE78&amp;$CF78&amp;$CG78&amp;$CH78&amp;$CI78&amp;$CJ78&amp;$CK78&amp;$CL78&amp;$CM78&amp;$CN78&amp;$CO78&amp;$CP78&amp;$CQ78&amp;$CR78&amp;$CS78&amp;$CT78&amp;$CU78&amp;$CV78&amp;$CW78&amp;$CX78&amp;$CY78&amp;$CZ78&amp;$DA78</f>
        <v>#VALUE!</v>
      </c>
      <c r="AZ78" s="1197"/>
      <c r="BA78" s="1197"/>
      <c r="BB78" s="1197"/>
      <c r="BC78" s="1197"/>
      <c r="BD78" s="1197"/>
      <c r="BE78" s="1197"/>
      <c r="BF78" s="1197"/>
      <c r="BG78" s="1197"/>
      <c r="BH78" s="1197"/>
      <c r="BI78" s="1197"/>
      <c r="BJ78" s="1191"/>
      <c r="BK78" s="1191"/>
      <c r="BL78" s="1191"/>
      <c r="BM78" s="1191"/>
      <c r="BV78" s="1547"/>
      <c r="BW78" s="1547"/>
      <c r="BX78" s="1547"/>
      <c r="CB78" s="2195" t="str">
        <f t="shared" ref="CB78:CB95" si="160">IF(C78&lt;D78,"* El total de Reactivos NO DEBE ser superior al total de Procesados. ","")</f>
        <v xml:space="preserve">* El total de Reactivos NO DEBE ser superior al total de Procesados. </v>
      </c>
      <c r="CC78" s="2195" t="e">
        <f t="shared" ref="CC78:CC95" si="161">IF(C78&lt;&gt;(AS78+ AT78),"* La suma de las columnas Sexo DEBE SER IGUAL a los Procesados. ","")</f>
        <v>#VALUE!</v>
      </c>
      <c r="CD78" s="2195" t="e">
        <f t="shared" ref="CD78:CD95" si="162">IF(C78&lt;(AU78+ AV78),"* La suma de las columna Trans NO DEBE ser superior al total de Procesados. ","")</f>
        <v>#VALUE!</v>
      </c>
      <c r="CE78" s="2195" t="str">
        <f t="shared" ref="CE78:CE95" si="163">IF(C78&lt;AW78,"* La columna Pueblos Originarios NO DEBE ser superior al total de Procesados. ","")</f>
        <v xml:space="preserve">* La columna Pueblos Originarios NO DEBE ser superior al total de Procesados. </v>
      </c>
      <c r="CF78" s="2195" t="str">
        <f t="shared" ref="CF78:CF95" si="164">IF(C78&lt;AX78,"* La columna Migrantes NO DEBE ser superior al total de Procesados. ","")</f>
        <v xml:space="preserve">* La columna Migrantes NO DEBE ser superior al total de Procesados. </v>
      </c>
      <c r="CG78" s="2195" t="str">
        <f>IF(E78&lt;F78,CONCATENATE("* El total de procesados debe ser mayor o igual al total de Reactivos en el grupo de edad ",$E$76),"")</f>
        <v>* El total de procesados debe ser mayor o igual al total de Reactivos en el grupo de edad Menor de 6 meses</v>
      </c>
      <c r="CH78" s="2195" t="str">
        <f>IF(G78&lt;H78,CONCATENATE("* El total de procesados debe ser mayor o igual al total de Reactivos en el grupo de edad ",$G$76),"")</f>
        <v>* El total de procesados debe ser mayor o igual al total de Reactivos en el grupo de edad 6 a 11 meses</v>
      </c>
      <c r="CI78" s="2195" t="str">
        <f>IF(I78&lt;J78,CONCATENATE("* El total de procesados debe ser mayor o igual al total de Reactivos en el grupo de edad ",$I$76),"")</f>
        <v>* El total de procesados debe ser mayor o igual al total de Reactivos en el grupo de edad 12-24 meses</v>
      </c>
      <c r="CJ78" s="2195" t="str">
        <f>IF(K78&lt;L78,CONCATENATE("* El total de procesados debe ser mayor o igual al total de Reactivos en el grupo de edad ",$K$76),"")</f>
        <v>* El total de procesados debe ser mayor o igual al total de Reactivos en el grupo de edad 3 a 4 años</v>
      </c>
      <c r="CK78" s="2195" t="str">
        <f>IF(M78&lt;N78,CONCATENATE("* El total de procesados debe ser mayor o igual al total de Reactivos en el grupo de edad ",$M$76),"")</f>
        <v>* El total de procesados debe ser mayor o igual al total de Reactivos en el grupo de edad 5 a 9 años</v>
      </c>
      <c r="CL78" s="2195" t="str">
        <f>IF(O78&lt;P78,CONCATENATE("* El total de procesados debe ser mayor o igual al total de Reactivos en el grupo de edad ",$O$76),"")</f>
        <v>* El total de procesados debe ser mayor o igual al total de Reactivos en el grupo de edad 10 - 14 años</v>
      </c>
      <c r="CM78" s="2195" t="str">
        <f>IF(Q78&lt;R78,CONCATENATE("* El total de procesados debe ser mayor o igual al total de Reactivos en el grupo de edad ",$Q$76),"")</f>
        <v>* El total de procesados debe ser mayor o igual al total de Reactivos en el grupo de edad 15 - 19 años</v>
      </c>
      <c r="CN78" s="2195" t="str">
        <f>IF(S78&lt;T78,CONCATENATE("* El total de procesados debe ser mayor o igual al total de Reactivos en el grupo de edad ",$S$76),"")</f>
        <v>* El total de procesados debe ser mayor o igual al total de Reactivos en el grupo de edad 20 - 24 años</v>
      </c>
      <c r="CO78" s="2195" t="str">
        <f>IF(U78&lt;V78,CONCATENATE("* El total de procesados debe ser mayor o igual al total de Reactivos en el grupo de edad ",$U$76),"")</f>
        <v>* El total de procesados debe ser mayor o igual al total de Reactivos en el grupo de edad 25 a 29 años</v>
      </c>
      <c r="CP78" s="2195" t="str">
        <f>IF(W78&lt;X78,CONCATENATE("* El total de procesados debe ser mayor o igual al total de Reactivos en el grupo de edad ",$W$76),"")</f>
        <v>* El total de procesados debe ser mayor o igual al total de Reactivos en el grupo de edad 30 a 34 años</v>
      </c>
      <c r="CQ78" s="2195" t="str">
        <f>IF(Y78&lt;Z78,CONCATENATE("* El total de procesados debe ser mayor o igual al total de Reactivos en el grupo de edad ",$Y$76),"")</f>
        <v>* El total de procesados debe ser mayor o igual al total de Reactivos en el grupo de edad 35 a 39 años</v>
      </c>
      <c r="CR78" s="2195" t="str">
        <f>IF(AA78&lt;AB78,CONCATENATE("* El total de procesados debe ser mayor o igual al total de Reactivos en el grupo de edad ",$AA$76),"")</f>
        <v>* El total de procesados debe ser mayor o igual al total de Reactivos en el grupo de edad 40 a 44 años</v>
      </c>
      <c r="CS78" s="2195" t="str">
        <f>IF(AC78&lt;AD78,CONCATENATE("* El total de procesados debe ser mayor o igual al total de Reactivos en el grupo de edad ",$AC$76),"")</f>
        <v>* El total de procesados debe ser mayor o igual al total de Reactivos en el grupo de edad 45 a 49 años</v>
      </c>
      <c r="CT78" s="2195" t="str">
        <f>IF(AE78&lt;AF78,CONCATENATE("* El total de procesados debe ser mayor o igual al total de Reactivos en el grupo de edad ",$AE$76),"")</f>
        <v>* El total de procesados debe ser mayor o igual al total de Reactivos en el grupo de edad 50 a 54 años</v>
      </c>
      <c r="CU78" s="2195" t="str">
        <f>IF(AG78&lt;AH78,CONCATENATE("* El total de procesados debe ser mayor o igual al total de Reactivos en el grupo de edad ",$AG$76),"")</f>
        <v>* El total de procesados debe ser mayor o igual al total de Reactivos en el grupo de edad 55 a 59 años</v>
      </c>
      <c r="CV78" s="2195" t="str">
        <f>IF(AI78&lt;AJ78,CONCATENATE("* El total de procesados debe ser mayor o igual al total de Reactivos en el grupo de edad ",$AI$76),"")</f>
        <v>* El total de procesados debe ser mayor o igual al total de Reactivos en el grupo de edad 60 a 64 años</v>
      </c>
      <c r="CW78" s="2195" t="str">
        <f>IF(AK78&lt;AL78,CONCATENATE("* El total de procesados debe ser mayor o igual al total de Reactivos en el grupo de edad ",$AK$76),"")</f>
        <v>* El total de procesados debe ser mayor o igual al total de Reactivos en el grupo de edad 65 a 69 años</v>
      </c>
      <c r="CX78" s="2195" t="str">
        <f>IF(AM78&lt;AN78,CONCATENATE("* El total de procesados debe ser mayor o igual al total de Reactivos en el grupo de edad ",$AM$76),"")</f>
        <v>* El total de procesados debe ser mayor o igual al total de Reactivos en el grupo de edad 70 a 74 años</v>
      </c>
      <c r="CY78" s="2195" t="str">
        <f>IF(AO78&lt;AP78,CONCATENATE("* El total de procesados debe ser mayor o igual al total de Reactivos en el grupo de edad ",$AO$76),"")</f>
        <v>* El total de procesados debe ser mayor o igual al total de Reactivos en el grupo de edad 75 a 79 años</v>
      </c>
      <c r="CZ78" s="2195" t="str">
        <f>IF(AQ78&lt;AR78,CONCATENATE("* El total de procesados debe ser mayor o igual al total de Reactivos en el grupo de edad ",$AQ$76),"")</f>
        <v>* El total de procesados debe ser mayor o igual al total de Reactivos en el grupo de edad 80 y más años</v>
      </c>
      <c r="DA78" s="2195" t="str">
        <f t="shared" ref="DA78:DA95" si="165">IF(AND(C78&lt;&gt;0,OR(AU78="",AV78="",AW78="",AX78="")),"* No olvide digitar la columna Trans y/o Pueblos Originarios y/o Migrantes (Digite Cero si no tiene). ","")</f>
        <v/>
      </c>
      <c r="DB78" s="1446">
        <f t="shared" ref="DB78:DB95" si="166">IF(C78&lt;   D78,1,0)</f>
        <v>1</v>
      </c>
      <c r="DC78" s="1446" t="e">
        <f t="shared" ref="DC78:DC95" si="167">IF(C78&lt;&gt; AS78+AT78,1,0)</f>
        <v>#VALUE!</v>
      </c>
      <c r="DD78" s="1446" t="e">
        <f t="shared" ref="DD78:DD95" si="168">IF(C78&lt;  AU78+AV78,1,0)</f>
        <v>#VALUE!</v>
      </c>
      <c r="DE78" s="1446">
        <f t="shared" ref="DE78:DE95" si="169">IF(C78&lt;  AW78,1,0)</f>
        <v>1</v>
      </c>
      <c r="DF78" s="1446">
        <f t="shared" ref="DF78:DF95" si="170">IF(C78&lt;  AX78,1,0)</f>
        <v>1</v>
      </c>
      <c r="DG78" s="1446">
        <f t="shared" ref="DG78:DG95" si="171">IF(E78&lt;F78,1,0)</f>
        <v>1</v>
      </c>
      <c r="DH78" s="1446">
        <f t="shared" ref="DH78:DH95" si="172">IF(G78&lt;H78,1,0)</f>
        <v>1</v>
      </c>
      <c r="DI78" s="1446">
        <f t="shared" ref="DI78:DI95" si="173">IF(I78&lt;J78,1,0)</f>
        <v>1</v>
      </c>
      <c r="DJ78" s="1446">
        <f t="shared" ref="DJ78:DJ95" si="174">IF(K78&lt;L78,1,0)</f>
        <v>1</v>
      </c>
      <c r="DK78" s="1446">
        <f t="shared" ref="DK78:DK95" si="175">IF(M78&lt;N78,1,0)</f>
        <v>1</v>
      </c>
      <c r="DL78" s="1446">
        <f t="shared" ref="DL78:DL95" si="176">IF(O78&lt;P78,1,0)</f>
        <v>1</v>
      </c>
      <c r="DM78" s="1446">
        <f t="shared" ref="DM78:DM95" si="177">IF(Q78&lt;R78,1,0)</f>
        <v>1</v>
      </c>
      <c r="DN78" s="1446">
        <f t="shared" ref="DN78:DN95" si="178">IF(S78&lt;T78,1,0)</f>
        <v>1</v>
      </c>
      <c r="DO78" s="1446">
        <f t="shared" ref="DO78:DO95" si="179">IF(U78&lt;V78,1,0)</f>
        <v>1</v>
      </c>
      <c r="DP78" s="1446">
        <f t="shared" ref="DP78:DP95" si="180">IF(W78&lt;X78,1,0)</f>
        <v>1</v>
      </c>
      <c r="DQ78" s="1446">
        <f t="shared" ref="DQ78:DQ95" si="181">IF(Y78&lt;Z78,1,0)</f>
        <v>1</v>
      </c>
      <c r="DR78" s="1446">
        <f t="shared" ref="DR78:DR95" si="182">IF(AA78&lt;AB78,1,0)</f>
        <v>1</v>
      </c>
      <c r="DS78" s="1446">
        <f t="shared" ref="DS78:DS95" si="183">IF(AC78&lt;AD78,1,0)</f>
        <v>1</v>
      </c>
      <c r="DT78" s="1446">
        <f t="shared" ref="DT78:DT95" si="184">IF(AE78&lt;AF78,1,0)</f>
        <v>1</v>
      </c>
      <c r="DU78" s="1446">
        <f t="shared" ref="DU78:DU95" si="185">IF(AG78&lt;AH78,1,0)</f>
        <v>1</v>
      </c>
      <c r="DV78" s="1446">
        <f t="shared" ref="DV78:DV95" si="186">IF(AI78&lt;AJ78,1,0)</f>
        <v>1</v>
      </c>
      <c r="DW78" s="1446">
        <f t="shared" ref="DW78:DW95" si="187">IF(AK78&lt;AL78,1,0)</f>
        <v>1</v>
      </c>
      <c r="DX78" s="1446">
        <f t="shared" ref="DX78:DX95" si="188">IF(AM78&lt;AN78,1,0)</f>
        <v>1</v>
      </c>
      <c r="DY78" s="1446">
        <f t="shared" ref="DY78:DY95" si="189">IF(AO78&lt;AP78,1,0)</f>
        <v>1</v>
      </c>
      <c r="DZ78" s="1446">
        <f t="shared" ref="DZ78:DZ95" si="190">IF(AQ78&lt;AR78,1,0)</f>
        <v>1</v>
      </c>
      <c r="EA78" s="1446">
        <f t="shared" ref="EA78:EA95" si="191">IF(AND(C78&lt;&gt;0,OR(AU78="",AV78="",AW78="",AX78="")),1,0)</f>
        <v>0</v>
      </c>
    </row>
    <row r="79" spans="1:131" ht="16.2" customHeight="1" x14ac:dyDescent="0.3">
      <c r="A79" s="7258">
        <v>11056419</v>
      </c>
      <c r="B79" s="2000" t="s">
        <v>1786</v>
      </c>
      <c r="C79" s="1998" t="s">
        <v>5369</v>
      </c>
      <c r="D79" s="2044" t="s">
        <v>5370</v>
      </c>
      <c r="E79" s="1130" t="s">
        <v>5371</v>
      </c>
      <c r="F79" s="1131" t="s">
        <v>5372</v>
      </c>
      <c r="G79" s="1132" t="s">
        <v>5373</v>
      </c>
      <c r="H79" s="1131" t="s">
        <v>5374</v>
      </c>
      <c r="I79" s="1132" t="s">
        <v>5375</v>
      </c>
      <c r="J79" s="1131" t="s">
        <v>5376</v>
      </c>
      <c r="K79" s="1132" t="s">
        <v>5377</v>
      </c>
      <c r="L79" s="1131" t="s">
        <v>5378</v>
      </c>
      <c r="M79" s="1132" t="s">
        <v>5379</v>
      </c>
      <c r="N79" s="1133" t="s">
        <v>5380</v>
      </c>
      <c r="O79" s="1134" t="s">
        <v>5381</v>
      </c>
      <c r="P79" s="1135" t="s">
        <v>5382</v>
      </c>
      <c r="Q79" s="1114" t="s">
        <v>5383</v>
      </c>
      <c r="R79" s="1135" t="s">
        <v>5384</v>
      </c>
      <c r="S79" s="1114" t="s">
        <v>5385</v>
      </c>
      <c r="T79" s="1135" t="s">
        <v>5386</v>
      </c>
      <c r="U79" s="1114" t="s">
        <v>5387</v>
      </c>
      <c r="V79" s="1135" t="s">
        <v>5388</v>
      </c>
      <c r="W79" s="1114" t="s">
        <v>5389</v>
      </c>
      <c r="X79" s="1135" t="s">
        <v>5390</v>
      </c>
      <c r="Y79" s="1114" t="s">
        <v>5391</v>
      </c>
      <c r="Z79" s="1135" t="s">
        <v>5392</v>
      </c>
      <c r="AA79" s="1114" t="s">
        <v>5393</v>
      </c>
      <c r="AB79" s="1135" t="s">
        <v>5394</v>
      </c>
      <c r="AC79" s="1114" t="s">
        <v>5395</v>
      </c>
      <c r="AD79" s="1135" t="s">
        <v>5396</v>
      </c>
      <c r="AE79" s="1114" t="s">
        <v>5397</v>
      </c>
      <c r="AF79" s="1135" t="s">
        <v>5398</v>
      </c>
      <c r="AG79" s="1114" t="s">
        <v>5399</v>
      </c>
      <c r="AH79" s="1135" t="s">
        <v>5400</v>
      </c>
      <c r="AI79" s="1114" t="s">
        <v>5401</v>
      </c>
      <c r="AJ79" s="1135" t="s">
        <v>5402</v>
      </c>
      <c r="AK79" s="1114" t="s">
        <v>5403</v>
      </c>
      <c r="AL79" s="1135" t="s">
        <v>5404</v>
      </c>
      <c r="AM79" s="1114" t="s">
        <v>5405</v>
      </c>
      <c r="AN79" s="1135" t="s">
        <v>5406</v>
      </c>
      <c r="AO79" s="1114" t="s">
        <v>5407</v>
      </c>
      <c r="AP79" s="1135" t="s">
        <v>5408</v>
      </c>
      <c r="AQ79" s="1114" t="s">
        <v>5409</v>
      </c>
      <c r="AR79" s="1136" t="s">
        <v>5410</v>
      </c>
      <c r="AS79" s="1137" t="s">
        <v>5411</v>
      </c>
      <c r="AT79" s="1136" t="s">
        <v>5412</v>
      </c>
      <c r="AU79" s="1134" t="s">
        <v>5413</v>
      </c>
      <c r="AV79" s="1135" t="s">
        <v>5414</v>
      </c>
      <c r="AW79" s="1114" t="s">
        <v>5415</v>
      </c>
      <c r="AX79" s="1118" t="s">
        <v>5416</v>
      </c>
      <c r="AY79" s="1197" t="e">
        <f t="shared" si="159"/>
        <v>#VALUE!</v>
      </c>
      <c r="AZ79" s="1197"/>
      <c r="BA79" s="1197"/>
      <c r="BB79" s="1197"/>
      <c r="BC79" s="1197"/>
      <c r="BD79" s="1197"/>
      <c r="BE79" s="1197"/>
      <c r="BF79" s="1197"/>
      <c r="BG79" s="1197"/>
      <c r="BH79" s="1197"/>
      <c r="BI79" s="1197"/>
      <c r="BJ79" s="1191"/>
      <c r="BK79" s="1191"/>
      <c r="BL79" s="1191"/>
      <c r="BM79" s="1191"/>
      <c r="BV79" s="1547"/>
      <c r="BW79" s="1547"/>
      <c r="BX79" s="1547"/>
      <c r="CB79" s="2195" t="str">
        <f t="shared" si="160"/>
        <v xml:space="preserve">* El total de Reactivos NO DEBE ser superior al total de Procesados. </v>
      </c>
      <c r="CC79" s="2195" t="e">
        <f t="shared" si="161"/>
        <v>#VALUE!</v>
      </c>
      <c r="CD79" s="2195" t="e">
        <f t="shared" si="162"/>
        <v>#VALUE!</v>
      </c>
      <c r="CE79" s="2195" t="str">
        <f t="shared" si="163"/>
        <v xml:space="preserve">* La columna Pueblos Originarios NO DEBE ser superior al total de Procesados. </v>
      </c>
      <c r="CF79" s="2195" t="str">
        <f t="shared" si="164"/>
        <v xml:space="preserve">* La columna Migrantes NO DEBE ser superior al total de Procesados. </v>
      </c>
      <c r="CG79" s="2195" t="str">
        <f t="shared" ref="CG79:CG95" si="192">IF(E79&lt;F79,CONCATENATE("* El total de procesados debe ser mayor o igual al total de Reactivos en el grupo de edad ",$E$76),"")</f>
        <v>* El total de procesados debe ser mayor o igual al total de Reactivos en el grupo de edad Menor de 6 meses</v>
      </c>
      <c r="CH79" s="2195" t="str">
        <f t="shared" ref="CH79:CH95" si="193">IF(G79&lt;H79,CONCATENATE("* El total de procesados debe ser mayor o igual al total de Reactivos en el grupo de edad ",$G$76),"")</f>
        <v>* El total de procesados debe ser mayor o igual al total de Reactivos en el grupo de edad 6 a 11 meses</v>
      </c>
      <c r="CI79" s="2195" t="str">
        <f t="shared" ref="CI79:CI95" si="194">IF(I79&lt;J79,CONCATENATE("* El total de procesados debe ser mayor o igual al total de Reactivos en el grupo de edad ",$I$76),"")</f>
        <v>* El total de procesados debe ser mayor o igual al total de Reactivos en el grupo de edad 12-24 meses</v>
      </c>
      <c r="CJ79" s="2195" t="str">
        <f t="shared" ref="CJ79:CJ95" si="195">IF(K79&lt;L79,CONCATENATE("* El total de procesados debe ser mayor o igual al total de Reactivos en el grupo de edad ",$K$76),"")</f>
        <v>* El total de procesados debe ser mayor o igual al total de Reactivos en el grupo de edad 3 a 4 años</v>
      </c>
      <c r="CK79" s="2195" t="str">
        <f t="shared" ref="CK79:CK95" si="196">IF(M79&lt;N79,CONCATENATE("* El total de procesados debe ser mayor o igual al total de Reactivos en el grupo de edad ",$M$76),"")</f>
        <v>* El total de procesados debe ser mayor o igual al total de Reactivos en el grupo de edad 5 a 9 años</v>
      </c>
      <c r="CL79" s="2195" t="str">
        <f t="shared" ref="CL79:CL95" si="197">IF(O79&lt;P79,CONCATENATE("* El total de procesados debe ser mayor o igual al total de Reactivos en el grupo de edad ",$O$76),"")</f>
        <v>* El total de procesados debe ser mayor o igual al total de Reactivos en el grupo de edad 10 - 14 años</v>
      </c>
      <c r="CM79" s="2195" t="str">
        <f t="shared" ref="CM79:CM95" si="198">IF(Q79&lt;R79,CONCATENATE("* El total de procesados debe ser mayor o igual al total de Reactivos en el grupo de edad ",$Q$76),"")</f>
        <v>* El total de procesados debe ser mayor o igual al total de Reactivos en el grupo de edad 15 - 19 años</v>
      </c>
      <c r="CN79" s="2195" t="str">
        <f t="shared" ref="CN79:CN95" si="199">IF(S79&lt;T79,CONCATENATE("* El total de procesados debe ser mayor o igual al total de Reactivos en el grupo de edad ",$S$76),"")</f>
        <v>* El total de procesados debe ser mayor o igual al total de Reactivos en el grupo de edad 20 - 24 años</v>
      </c>
      <c r="CO79" s="2195" t="str">
        <f t="shared" ref="CO79:CO95" si="200">IF(U79&lt;V79,CONCATENATE("* El total de procesados debe ser mayor o igual al total de Reactivos en el grupo de edad ",$U$76),"")</f>
        <v>* El total de procesados debe ser mayor o igual al total de Reactivos en el grupo de edad 25 a 29 años</v>
      </c>
      <c r="CP79" s="2195" t="str">
        <f t="shared" ref="CP79:CP95" si="201">IF(W79&lt;X79,CONCATENATE("* El total de procesados debe ser mayor o igual al total de Reactivos en el grupo de edad ",$W$76),"")</f>
        <v>* El total de procesados debe ser mayor o igual al total de Reactivos en el grupo de edad 30 a 34 años</v>
      </c>
      <c r="CQ79" s="2195" t="str">
        <f t="shared" ref="CQ79:CQ95" si="202">IF(Y79&lt;Z79,CONCATENATE("* El total de procesados debe ser mayor o igual al total de Reactivos en el grupo de edad ",$Y$76),"")</f>
        <v>* El total de procesados debe ser mayor o igual al total de Reactivos en el grupo de edad 35 a 39 años</v>
      </c>
      <c r="CR79" s="2195" t="str">
        <f t="shared" ref="CR79:CR95" si="203">IF(AA79&lt;AB79,CONCATENATE("* El total de procesados debe ser mayor o igual al total de Reactivos en el grupo de edad ",$AA$76),"")</f>
        <v>* El total de procesados debe ser mayor o igual al total de Reactivos en el grupo de edad 40 a 44 años</v>
      </c>
      <c r="CS79" s="2195" t="str">
        <f t="shared" ref="CS79:CS95" si="204">IF(AC79&lt;AD79,CONCATENATE("* El total de procesados debe ser mayor o igual al total de Reactivos en el grupo de edad ",$AC$76),"")</f>
        <v>* El total de procesados debe ser mayor o igual al total de Reactivos en el grupo de edad 45 a 49 años</v>
      </c>
      <c r="CT79" s="2195" t="str">
        <f t="shared" ref="CT79:CT95" si="205">IF(AE79&lt;AF79,CONCATENATE("* El total de procesados debe ser mayor o igual al total de Reactivos en el grupo de edad ",$AE$76),"")</f>
        <v>* El total de procesados debe ser mayor o igual al total de Reactivos en el grupo de edad 50 a 54 años</v>
      </c>
      <c r="CU79" s="2195" t="str">
        <f t="shared" ref="CU79:CU95" si="206">IF(AG79&lt;AH79,CONCATENATE("* El total de procesados debe ser mayor o igual al total de Reactivos en el grupo de edad ",$AG$76),"")</f>
        <v>* El total de procesados debe ser mayor o igual al total de Reactivos en el grupo de edad 55 a 59 años</v>
      </c>
      <c r="CV79" s="2195" t="str">
        <f t="shared" ref="CV79:CV95" si="207">IF(AI79&lt;AJ79,CONCATENATE("* El total de procesados debe ser mayor o igual al total de Reactivos en el grupo de edad ",$AI$76),"")</f>
        <v>* El total de procesados debe ser mayor o igual al total de Reactivos en el grupo de edad 60 a 64 años</v>
      </c>
      <c r="CW79" s="2195" t="str">
        <f t="shared" ref="CW79:CW95" si="208">IF(AK79&lt;AL79,CONCATENATE("* El total de procesados debe ser mayor o igual al total de Reactivos en el grupo de edad ",$AK$76),"")</f>
        <v>* El total de procesados debe ser mayor o igual al total de Reactivos en el grupo de edad 65 a 69 años</v>
      </c>
      <c r="CX79" s="2195" t="str">
        <f t="shared" ref="CX79:CX95" si="209">IF(AM79&lt;AN79,CONCATENATE("* El total de procesados debe ser mayor o igual al total de Reactivos en el grupo de edad ",$AM$76),"")</f>
        <v>* El total de procesados debe ser mayor o igual al total de Reactivos en el grupo de edad 70 a 74 años</v>
      </c>
      <c r="CY79" s="2195" t="str">
        <f t="shared" ref="CY79:CY95" si="210">IF(AO79&lt;AP79,CONCATENATE("* El total de procesados debe ser mayor o igual al total de Reactivos en el grupo de edad ",$AO$76),"")</f>
        <v>* El total de procesados debe ser mayor o igual al total de Reactivos en el grupo de edad 75 a 79 años</v>
      </c>
      <c r="CZ79" s="2195" t="str">
        <f t="shared" ref="CZ79:CZ95" si="211">IF(AQ79&lt;AR79,CONCATENATE("* El total de procesados debe ser mayor o igual al total de Reactivos en el grupo de edad ",$AQ$76),"")</f>
        <v>* El total de procesados debe ser mayor o igual al total de Reactivos en el grupo de edad 80 y más años</v>
      </c>
      <c r="DA79" s="2195" t="str">
        <f t="shared" si="165"/>
        <v/>
      </c>
      <c r="DB79" s="1446">
        <f t="shared" si="166"/>
        <v>1</v>
      </c>
      <c r="DC79" s="1446" t="e">
        <f t="shared" si="167"/>
        <v>#VALUE!</v>
      </c>
      <c r="DD79" s="1446" t="e">
        <f t="shared" si="168"/>
        <v>#VALUE!</v>
      </c>
      <c r="DE79" s="1446">
        <f t="shared" si="169"/>
        <v>1</v>
      </c>
      <c r="DF79" s="1446">
        <f t="shared" si="170"/>
        <v>1</v>
      </c>
      <c r="DG79" s="1446">
        <f t="shared" si="171"/>
        <v>1</v>
      </c>
      <c r="DH79" s="1446">
        <f t="shared" si="172"/>
        <v>1</v>
      </c>
      <c r="DI79" s="1446">
        <f t="shared" si="173"/>
        <v>1</v>
      </c>
      <c r="DJ79" s="1446">
        <f t="shared" si="174"/>
        <v>1</v>
      </c>
      <c r="DK79" s="1446">
        <f t="shared" si="175"/>
        <v>1</v>
      </c>
      <c r="DL79" s="1446">
        <f t="shared" si="176"/>
        <v>1</v>
      </c>
      <c r="DM79" s="1446">
        <f t="shared" si="177"/>
        <v>1</v>
      </c>
      <c r="DN79" s="1446">
        <f t="shared" si="178"/>
        <v>1</v>
      </c>
      <c r="DO79" s="1446">
        <f t="shared" si="179"/>
        <v>1</v>
      </c>
      <c r="DP79" s="1446">
        <f t="shared" si="180"/>
        <v>1</v>
      </c>
      <c r="DQ79" s="1446">
        <f t="shared" si="181"/>
        <v>1</v>
      </c>
      <c r="DR79" s="1446">
        <f t="shared" si="182"/>
        <v>1</v>
      </c>
      <c r="DS79" s="1446">
        <f t="shared" si="183"/>
        <v>1</v>
      </c>
      <c r="DT79" s="1446">
        <f t="shared" si="184"/>
        <v>1</v>
      </c>
      <c r="DU79" s="1446">
        <f t="shared" si="185"/>
        <v>1</v>
      </c>
      <c r="DV79" s="1446">
        <f t="shared" si="186"/>
        <v>1</v>
      </c>
      <c r="DW79" s="1446">
        <f t="shared" si="187"/>
        <v>1</v>
      </c>
      <c r="DX79" s="1446">
        <f t="shared" si="188"/>
        <v>1</v>
      </c>
      <c r="DY79" s="1446">
        <f t="shared" si="189"/>
        <v>1</v>
      </c>
      <c r="DZ79" s="1446">
        <f t="shared" si="190"/>
        <v>1</v>
      </c>
      <c r="EA79" s="1446">
        <f t="shared" si="191"/>
        <v>0</v>
      </c>
    </row>
    <row r="80" spans="1:131" ht="16.2" customHeight="1" x14ac:dyDescent="0.3">
      <c r="A80" s="7258">
        <v>11056420</v>
      </c>
      <c r="B80" s="2000" t="s">
        <v>1787</v>
      </c>
      <c r="C80" s="1998" t="s">
        <v>5369</v>
      </c>
      <c r="D80" s="2044" t="s">
        <v>5370</v>
      </c>
      <c r="E80" s="1130" t="s">
        <v>5371</v>
      </c>
      <c r="F80" s="1131" t="s">
        <v>5372</v>
      </c>
      <c r="G80" s="1132" t="s">
        <v>5373</v>
      </c>
      <c r="H80" s="1131" t="s">
        <v>5374</v>
      </c>
      <c r="I80" s="1132" t="s">
        <v>5375</v>
      </c>
      <c r="J80" s="1131" t="s">
        <v>5376</v>
      </c>
      <c r="K80" s="1132" t="s">
        <v>5377</v>
      </c>
      <c r="L80" s="1131" t="s">
        <v>5378</v>
      </c>
      <c r="M80" s="1132" t="s">
        <v>5379</v>
      </c>
      <c r="N80" s="1133" t="s">
        <v>5380</v>
      </c>
      <c r="O80" s="1134" t="s">
        <v>5381</v>
      </c>
      <c r="P80" s="1135" t="s">
        <v>5382</v>
      </c>
      <c r="Q80" s="1114" t="s">
        <v>5383</v>
      </c>
      <c r="R80" s="1135" t="s">
        <v>5384</v>
      </c>
      <c r="S80" s="1114" t="s">
        <v>5385</v>
      </c>
      <c r="T80" s="1135" t="s">
        <v>5386</v>
      </c>
      <c r="U80" s="1114" t="s">
        <v>5387</v>
      </c>
      <c r="V80" s="1135" t="s">
        <v>5388</v>
      </c>
      <c r="W80" s="1114" t="s">
        <v>5389</v>
      </c>
      <c r="X80" s="1135" t="s">
        <v>5390</v>
      </c>
      <c r="Y80" s="1114" t="s">
        <v>5391</v>
      </c>
      <c r="Z80" s="1135" t="s">
        <v>5392</v>
      </c>
      <c r="AA80" s="1114" t="s">
        <v>5393</v>
      </c>
      <c r="AB80" s="1135" t="s">
        <v>5394</v>
      </c>
      <c r="AC80" s="1114" t="s">
        <v>5395</v>
      </c>
      <c r="AD80" s="1135" t="s">
        <v>5396</v>
      </c>
      <c r="AE80" s="1114" t="s">
        <v>5397</v>
      </c>
      <c r="AF80" s="1135" t="s">
        <v>5398</v>
      </c>
      <c r="AG80" s="1114" t="s">
        <v>5399</v>
      </c>
      <c r="AH80" s="1135" t="s">
        <v>5400</v>
      </c>
      <c r="AI80" s="1114" t="s">
        <v>5401</v>
      </c>
      <c r="AJ80" s="1135" t="s">
        <v>5402</v>
      </c>
      <c r="AK80" s="1114" t="s">
        <v>5403</v>
      </c>
      <c r="AL80" s="1135" t="s">
        <v>5404</v>
      </c>
      <c r="AM80" s="1114" t="s">
        <v>5405</v>
      </c>
      <c r="AN80" s="1135" t="s">
        <v>5406</v>
      </c>
      <c r="AO80" s="1114" t="s">
        <v>5407</v>
      </c>
      <c r="AP80" s="1135" t="s">
        <v>5408</v>
      </c>
      <c r="AQ80" s="1114" t="s">
        <v>5409</v>
      </c>
      <c r="AR80" s="1136" t="s">
        <v>5410</v>
      </c>
      <c r="AS80" s="1137" t="s">
        <v>5411</v>
      </c>
      <c r="AT80" s="1136" t="s">
        <v>5412</v>
      </c>
      <c r="AU80" s="1134" t="s">
        <v>5413</v>
      </c>
      <c r="AV80" s="1135" t="s">
        <v>5414</v>
      </c>
      <c r="AW80" s="1114" t="s">
        <v>5415</v>
      </c>
      <c r="AX80" s="1118" t="s">
        <v>5416</v>
      </c>
      <c r="AY80" s="1197" t="e">
        <f t="shared" si="159"/>
        <v>#VALUE!</v>
      </c>
      <c r="AZ80" s="1197"/>
      <c r="BA80" s="1197"/>
      <c r="BB80" s="1197"/>
      <c r="BC80" s="1197"/>
      <c r="BD80" s="1197"/>
      <c r="BE80" s="1197"/>
      <c r="BF80" s="1197"/>
      <c r="BG80" s="1197"/>
      <c r="BH80" s="1197"/>
      <c r="BI80" s="1197"/>
      <c r="BJ80" s="1191"/>
      <c r="BK80" s="1191"/>
      <c r="BL80" s="1191"/>
      <c r="BM80" s="1191"/>
      <c r="BV80" s="1547"/>
      <c r="BW80" s="1547"/>
      <c r="BX80" s="1547"/>
      <c r="CB80" s="2195" t="str">
        <f t="shared" si="160"/>
        <v xml:space="preserve">* El total de Reactivos NO DEBE ser superior al total de Procesados. </v>
      </c>
      <c r="CC80" s="2195" t="e">
        <f t="shared" si="161"/>
        <v>#VALUE!</v>
      </c>
      <c r="CD80" s="2195" t="e">
        <f t="shared" si="162"/>
        <v>#VALUE!</v>
      </c>
      <c r="CE80" s="2195" t="str">
        <f t="shared" si="163"/>
        <v xml:space="preserve">* La columna Pueblos Originarios NO DEBE ser superior al total de Procesados. </v>
      </c>
      <c r="CF80" s="2195" t="str">
        <f t="shared" si="164"/>
        <v xml:space="preserve">* La columna Migrantes NO DEBE ser superior al total de Procesados. </v>
      </c>
      <c r="CG80" s="2195" t="str">
        <f t="shared" si="192"/>
        <v>* El total de procesados debe ser mayor o igual al total de Reactivos en el grupo de edad Menor de 6 meses</v>
      </c>
      <c r="CH80" s="2195" t="str">
        <f t="shared" si="193"/>
        <v>* El total de procesados debe ser mayor o igual al total de Reactivos en el grupo de edad 6 a 11 meses</v>
      </c>
      <c r="CI80" s="2195" t="str">
        <f t="shared" si="194"/>
        <v>* El total de procesados debe ser mayor o igual al total de Reactivos en el grupo de edad 12-24 meses</v>
      </c>
      <c r="CJ80" s="2195" t="str">
        <f t="shared" si="195"/>
        <v>* El total de procesados debe ser mayor o igual al total de Reactivos en el grupo de edad 3 a 4 años</v>
      </c>
      <c r="CK80" s="2195" t="str">
        <f t="shared" si="196"/>
        <v>* El total de procesados debe ser mayor o igual al total de Reactivos en el grupo de edad 5 a 9 años</v>
      </c>
      <c r="CL80" s="2195" t="str">
        <f t="shared" si="197"/>
        <v>* El total de procesados debe ser mayor o igual al total de Reactivos en el grupo de edad 10 - 14 años</v>
      </c>
      <c r="CM80" s="2195" t="str">
        <f t="shared" si="198"/>
        <v>* El total de procesados debe ser mayor o igual al total de Reactivos en el grupo de edad 15 - 19 años</v>
      </c>
      <c r="CN80" s="2195" t="str">
        <f t="shared" si="199"/>
        <v>* El total de procesados debe ser mayor o igual al total de Reactivos en el grupo de edad 20 - 24 años</v>
      </c>
      <c r="CO80" s="2195" t="str">
        <f t="shared" si="200"/>
        <v>* El total de procesados debe ser mayor o igual al total de Reactivos en el grupo de edad 25 a 29 años</v>
      </c>
      <c r="CP80" s="2195" t="str">
        <f t="shared" si="201"/>
        <v>* El total de procesados debe ser mayor o igual al total de Reactivos en el grupo de edad 30 a 34 años</v>
      </c>
      <c r="CQ80" s="2195" t="str">
        <f t="shared" si="202"/>
        <v>* El total de procesados debe ser mayor o igual al total de Reactivos en el grupo de edad 35 a 39 años</v>
      </c>
      <c r="CR80" s="2195" t="str">
        <f t="shared" si="203"/>
        <v>* El total de procesados debe ser mayor o igual al total de Reactivos en el grupo de edad 40 a 44 años</v>
      </c>
      <c r="CS80" s="2195" t="str">
        <f t="shared" si="204"/>
        <v>* El total de procesados debe ser mayor o igual al total de Reactivos en el grupo de edad 45 a 49 años</v>
      </c>
      <c r="CT80" s="2195" t="str">
        <f t="shared" si="205"/>
        <v>* El total de procesados debe ser mayor o igual al total de Reactivos en el grupo de edad 50 a 54 años</v>
      </c>
      <c r="CU80" s="2195" t="str">
        <f t="shared" si="206"/>
        <v>* El total de procesados debe ser mayor o igual al total de Reactivos en el grupo de edad 55 a 59 años</v>
      </c>
      <c r="CV80" s="2195" t="str">
        <f t="shared" si="207"/>
        <v>* El total de procesados debe ser mayor o igual al total de Reactivos en el grupo de edad 60 a 64 años</v>
      </c>
      <c r="CW80" s="2195" t="str">
        <f t="shared" si="208"/>
        <v>* El total de procesados debe ser mayor o igual al total de Reactivos en el grupo de edad 65 a 69 años</v>
      </c>
      <c r="CX80" s="2195" t="str">
        <f t="shared" si="209"/>
        <v>* El total de procesados debe ser mayor o igual al total de Reactivos en el grupo de edad 70 a 74 años</v>
      </c>
      <c r="CY80" s="2195" t="str">
        <f t="shared" si="210"/>
        <v>* El total de procesados debe ser mayor o igual al total de Reactivos en el grupo de edad 75 a 79 años</v>
      </c>
      <c r="CZ80" s="2195" t="str">
        <f t="shared" si="211"/>
        <v>* El total de procesados debe ser mayor o igual al total de Reactivos en el grupo de edad 80 y más años</v>
      </c>
      <c r="DA80" s="2195" t="str">
        <f t="shared" si="165"/>
        <v/>
      </c>
      <c r="DB80" s="1446">
        <f t="shared" si="166"/>
        <v>1</v>
      </c>
      <c r="DC80" s="1446" t="e">
        <f t="shared" si="167"/>
        <v>#VALUE!</v>
      </c>
      <c r="DD80" s="1446" t="e">
        <f t="shared" si="168"/>
        <v>#VALUE!</v>
      </c>
      <c r="DE80" s="1446">
        <f t="shared" si="169"/>
        <v>1</v>
      </c>
      <c r="DF80" s="1446">
        <f t="shared" si="170"/>
        <v>1</v>
      </c>
      <c r="DG80" s="1446">
        <f t="shared" si="171"/>
        <v>1</v>
      </c>
      <c r="DH80" s="1446">
        <f t="shared" si="172"/>
        <v>1</v>
      </c>
      <c r="DI80" s="1446">
        <f t="shared" si="173"/>
        <v>1</v>
      </c>
      <c r="DJ80" s="1446">
        <f t="shared" si="174"/>
        <v>1</v>
      </c>
      <c r="DK80" s="1446">
        <f t="shared" si="175"/>
        <v>1</v>
      </c>
      <c r="DL80" s="1446">
        <f t="shared" si="176"/>
        <v>1</v>
      </c>
      <c r="DM80" s="1446">
        <f t="shared" si="177"/>
        <v>1</v>
      </c>
      <c r="DN80" s="1446">
        <f t="shared" si="178"/>
        <v>1</v>
      </c>
      <c r="DO80" s="1446">
        <f t="shared" si="179"/>
        <v>1</v>
      </c>
      <c r="DP80" s="1446">
        <f t="shared" si="180"/>
        <v>1</v>
      </c>
      <c r="DQ80" s="1446">
        <f t="shared" si="181"/>
        <v>1</v>
      </c>
      <c r="DR80" s="1446">
        <f t="shared" si="182"/>
        <v>1</v>
      </c>
      <c r="DS80" s="1446">
        <f t="shared" si="183"/>
        <v>1</v>
      </c>
      <c r="DT80" s="1446">
        <f t="shared" si="184"/>
        <v>1</v>
      </c>
      <c r="DU80" s="1446">
        <f t="shared" si="185"/>
        <v>1</v>
      </c>
      <c r="DV80" s="1446">
        <f t="shared" si="186"/>
        <v>1</v>
      </c>
      <c r="DW80" s="1446">
        <f t="shared" si="187"/>
        <v>1</v>
      </c>
      <c r="DX80" s="1446">
        <f t="shared" si="188"/>
        <v>1</v>
      </c>
      <c r="DY80" s="1446">
        <f t="shared" si="189"/>
        <v>1</v>
      </c>
      <c r="DZ80" s="1446">
        <f t="shared" si="190"/>
        <v>1</v>
      </c>
      <c r="EA80" s="1446">
        <f t="shared" si="191"/>
        <v>0</v>
      </c>
    </row>
    <row r="81" spans="1:131" ht="16.2" customHeight="1" x14ac:dyDescent="0.3">
      <c r="A81" s="7258">
        <v>11056421</v>
      </c>
      <c r="B81" s="2000" t="s">
        <v>1788</v>
      </c>
      <c r="C81" s="1998" t="s">
        <v>5369</v>
      </c>
      <c r="D81" s="2044" t="s">
        <v>5370</v>
      </c>
      <c r="E81" s="1130" t="s">
        <v>5371</v>
      </c>
      <c r="F81" s="1131" t="s">
        <v>5372</v>
      </c>
      <c r="G81" s="1132" t="s">
        <v>5373</v>
      </c>
      <c r="H81" s="1131" t="s">
        <v>5374</v>
      </c>
      <c r="I81" s="1132" t="s">
        <v>5375</v>
      </c>
      <c r="J81" s="1131" t="s">
        <v>5376</v>
      </c>
      <c r="K81" s="1132" t="s">
        <v>5377</v>
      </c>
      <c r="L81" s="1131" t="s">
        <v>5378</v>
      </c>
      <c r="M81" s="1132" t="s">
        <v>5379</v>
      </c>
      <c r="N81" s="1133" t="s">
        <v>5380</v>
      </c>
      <c r="O81" s="1134" t="s">
        <v>5381</v>
      </c>
      <c r="P81" s="1135" t="s">
        <v>5382</v>
      </c>
      <c r="Q81" s="1114" t="s">
        <v>5383</v>
      </c>
      <c r="R81" s="1135" t="s">
        <v>5384</v>
      </c>
      <c r="S81" s="1114" t="s">
        <v>5385</v>
      </c>
      <c r="T81" s="1135" t="s">
        <v>5386</v>
      </c>
      <c r="U81" s="1114" t="s">
        <v>5387</v>
      </c>
      <c r="V81" s="1135" t="s">
        <v>5388</v>
      </c>
      <c r="W81" s="1114" t="s">
        <v>5389</v>
      </c>
      <c r="X81" s="1135" t="s">
        <v>5390</v>
      </c>
      <c r="Y81" s="1114" t="s">
        <v>5391</v>
      </c>
      <c r="Z81" s="1135" t="s">
        <v>5392</v>
      </c>
      <c r="AA81" s="1114" t="s">
        <v>5393</v>
      </c>
      <c r="AB81" s="1135" t="s">
        <v>5394</v>
      </c>
      <c r="AC81" s="1114" t="s">
        <v>5395</v>
      </c>
      <c r="AD81" s="1135" t="s">
        <v>5396</v>
      </c>
      <c r="AE81" s="1114" t="s">
        <v>5397</v>
      </c>
      <c r="AF81" s="1135" t="s">
        <v>5398</v>
      </c>
      <c r="AG81" s="1114" t="s">
        <v>5399</v>
      </c>
      <c r="AH81" s="1135" t="s">
        <v>5400</v>
      </c>
      <c r="AI81" s="1114" t="s">
        <v>5401</v>
      </c>
      <c r="AJ81" s="1135" t="s">
        <v>5402</v>
      </c>
      <c r="AK81" s="1114" t="s">
        <v>5403</v>
      </c>
      <c r="AL81" s="1135" t="s">
        <v>5404</v>
      </c>
      <c r="AM81" s="1114" t="s">
        <v>5405</v>
      </c>
      <c r="AN81" s="1135" t="s">
        <v>5406</v>
      </c>
      <c r="AO81" s="1114" t="s">
        <v>5407</v>
      </c>
      <c r="AP81" s="1135" t="s">
        <v>5408</v>
      </c>
      <c r="AQ81" s="1114" t="s">
        <v>5409</v>
      </c>
      <c r="AR81" s="1136" t="s">
        <v>5410</v>
      </c>
      <c r="AS81" s="1137" t="s">
        <v>5411</v>
      </c>
      <c r="AT81" s="1136" t="s">
        <v>5412</v>
      </c>
      <c r="AU81" s="1134" t="s">
        <v>5413</v>
      </c>
      <c r="AV81" s="1135" t="s">
        <v>5414</v>
      </c>
      <c r="AW81" s="1114" t="s">
        <v>5415</v>
      </c>
      <c r="AX81" s="1118" t="s">
        <v>5416</v>
      </c>
      <c r="AY81" s="1197" t="e">
        <f t="shared" si="159"/>
        <v>#VALUE!</v>
      </c>
      <c r="AZ81" s="1197"/>
      <c r="BA81" s="1197"/>
      <c r="BB81" s="1197"/>
      <c r="BC81" s="1197"/>
      <c r="BD81" s="1197"/>
      <c r="BE81" s="1197"/>
      <c r="BF81" s="1197"/>
      <c r="BG81" s="1197"/>
      <c r="BH81" s="1197"/>
      <c r="BI81" s="1197"/>
      <c r="BJ81" s="1191"/>
      <c r="BK81" s="1191"/>
      <c r="BL81" s="1191"/>
      <c r="BM81" s="1191"/>
      <c r="BV81" s="1547"/>
      <c r="BW81" s="1547"/>
      <c r="BX81" s="1547"/>
      <c r="CB81" s="2195" t="str">
        <f t="shared" si="160"/>
        <v xml:space="preserve">* El total de Reactivos NO DEBE ser superior al total de Procesados. </v>
      </c>
      <c r="CC81" s="2195" t="e">
        <f t="shared" si="161"/>
        <v>#VALUE!</v>
      </c>
      <c r="CD81" s="2195" t="e">
        <f t="shared" si="162"/>
        <v>#VALUE!</v>
      </c>
      <c r="CE81" s="2195" t="str">
        <f t="shared" si="163"/>
        <v xml:space="preserve">* La columna Pueblos Originarios NO DEBE ser superior al total de Procesados. </v>
      </c>
      <c r="CF81" s="2195" t="str">
        <f t="shared" si="164"/>
        <v xml:space="preserve">* La columna Migrantes NO DEBE ser superior al total de Procesados. </v>
      </c>
      <c r="CG81" s="2195" t="str">
        <f t="shared" si="192"/>
        <v>* El total de procesados debe ser mayor o igual al total de Reactivos en el grupo de edad Menor de 6 meses</v>
      </c>
      <c r="CH81" s="2195" t="str">
        <f t="shared" si="193"/>
        <v>* El total de procesados debe ser mayor o igual al total de Reactivos en el grupo de edad 6 a 11 meses</v>
      </c>
      <c r="CI81" s="2195" t="str">
        <f t="shared" si="194"/>
        <v>* El total de procesados debe ser mayor o igual al total de Reactivos en el grupo de edad 12-24 meses</v>
      </c>
      <c r="CJ81" s="2195" t="str">
        <f t="shared" si="195"/>
        <v>* El total de procesados debe ser mayor o igual al total de Reactivos en el grupo de edad 3 a 4 años</v>
      </c>
      <c r="CK81" s="2195" t="str">
        <f t="shared" si="196"/>
        <v>* El total de procesados debe ser mayor o igual al total de Reactivos en el grupo de edad 5 a 9 años</v>
      </c>
      <c r="CL81" s="2195" t="str">
        <f t="shared" si="197"/>
        <v>* El total de procesados debe ser mayor o igual al total de Reactivos en el grupo de edad 10 - 14 años</v>
      </c>
      <c r="CM81" s="2195" t="str">
        <f t="shared" si="198"/>
        <v>* El total de procesados debe ser mayor o igual al total de Reactivos en el grupo de edad 15 - 19 años</v>
      </c>
      <c r="CN81" s="2195" t="str">
        <f t="shared" si="199"/>
        <v>* El total de procesados debe ser mayor o igual al total de Reactivos en el grupo de edad 20 - 24 años</v>
      </c>
      <c r="CO81" s="2195" t="str">
        <f t="shared" si="200"/>
        <v>* El total de procesados debe ser mayor o igual al total de Reactivos en el grupo de edad 25 a 29 años</v>
      </c>
      <c r="CP81" s="2195" t="str">
        <f t="shared" si="201"/>
        <v>* El total de procesados debe ser mayor o igual al total de Reactivos en el grupo de edad 30 a 34 años</v>
      </c>
      <c r="CQ81" s="2195" t="str">
        <f t="shared" si="202"/>
        <v>* El total de procesados debe ser mayor o igual al total de Reactivos en el grupo de edad 35 a 39 años</v>
      </c>
      <c r="CR81" s="2195" t="str">
        <f t="shared" si="203"/>
        <v>* El total de procesados debe ser mayor o igual al total de Reactivos en el grupo de edad 40 a 44 años</v>
      </c>
      <c r="CS81" s="2195" t="str">
        <f t="shared" si="204"/>
        <v>* El total de procesados debe ser mayor o igual al total de Reactivos en el grupo de edad 45 a 49 años</v>
      </c>
      <c r="CT81" s="2195" t="str">
        <f t="shared" si="205"/>
        <v>* El total de procesados debe ser mayor o igual al total de Reactivos en el grupo de edad 50 a 54 años</v>
      </c>
      <c r="CU81" s="2195" t="str">
        <f t="shared" si="206"/>
        <v>* El total de procesados debe ser mayor o igual al total de Reactivos en el grupo de edad 55 a 59 años</v>
      </c>
      <c r="CV81" s="2195" t="str">
        <f t="shared" si="207"/>
        <v>* El total de procesados debe ser mayor o igual al total de Reactivos en el grupo de edad 60 a 64 años</v>
      </c>
      <c r="CW81" s="2195" t="str">
        <f t="shared" si="208"/>
        <v>* El total de procesados debe ser mayor o igual al total de Reactivos en el grupo de edad 65 a 69 años</v>
      </c>
      <c r="CX81" s="2195" t="str">
        <f t="shared" si="209"/>
        <v>* El total de procesados debe ser mayor o igual al total de Reactivos en el grupo de edad 70 a 74 años</v>
      </c>
      <c r="CY81" s="2195" t="str">
        <f t="shared" si="210"/>
        <v>* El total de procesados debe ser mayor o igual al total de Reactivos en el grupo de edad 75 a 79 años</v>
      </c>
      <c r="CZ81" s="2195" t="str">
        <f t="shared" si="211"/>
        <v>* El total de procesados debe ser mayor o igual al total de Reactivos en el grupo de edad 80 y más años</v>
      </c>
      <c r="DA81" s="2195" t="str">
        <f t="shared" si="165"/>
        <v/>
      </c>
      <c r="DB81" s="1446">
        <f t="shared" si="166"/>
        <v>1</v>
      </c>
      <c r="DC81" s="1446" t="e">
        <f t="shared" si="167"/>
        <v>#VALUE!</v>
      </c>
      <c r="DD81" s="1446" t="e">
        <f t="shared" si="168"/>
        <v>#VALUE!</v>
      </c>
      <c r="DE81" s="1446">
        <f t="shared" si="169"/>
        <v>1</v>
      </c>
      <c r="DF81" s="1446">
        <f t="shared" si="170"/>
        <v>1</v>
      </c>
      <c r="DG81" s="1446">
        <f t="shared" si="171"/>
        <v>1</v>
      </c>
      <c r="DH81" s="1446">
        <f t="shared" si="172"/>
        <v>1</v>
      </c>
      <c r="DI81" s="1446">
        <f t="shared" si="173"/>
        <v>1</v>
      </c>
      <c r="DJ81" s="1446">
        <f t="shared" si="174"/>
        <v>1</v>
      </c>
      <c r="DK81" s="1446">
        <f t="shared" si="175"/>
        <v>1</v>
      </c>
      <c r="DL81" s="1446">
        <f t="shared" si="176"/>
        <v>1</v>
      </c>
      <c r="DM81" s="1446">
        <f t="shared" si="177"/>
        <v>1</v>
      </c>
      <c r="DN81" s="1446">
        <f t="shared" si="178"/>
        <v>1</v>
      </c>
      <c r="DO81" s="1446">
        <f t="shared" si="179"/>
        <v>1</v>
      </c>
      <c r="DP81" s="1446">
        <f t="shared" si="180"/>
        <v>1</v>
      </c>
      <c r="DQ81" s="1446">
        <f t="shared" si="181"/>
        <v>1</v>
      </c>
      <c r="DR81" s="1446">
        <f t="shared" si="182"/>
        <v>1</v>
      </c>
      <c r="DS81" s="1446">
        <f t="shared" si="183"/>
        <v>1</v>
      </c>
      <c r="DT81" s="1446">
        <f t="shared" si="184"/>
        <v>1</v>
      </c>
      <c r="DU81" s="1446">
        <f t="shared" si="185"/>
        <v>1</v>
      </c>
      <c r="DV81" s="1446">
        <f t="shared" si="186"/>
        <v>1</v>
      </c>
      <c r="DW81" s="1446">
        <f t="shared" si="187"/>
        <v>1</v>
      </c>
      <c r="DX81" s="1446">
        <f t="shared" si="188"/>
        <v>1</v>
      </c>
      <c r="DY81" s="1446">
        <f t="shared" si="189"/>
        <v>1</v>
      </c>
      <c r="DZ81" s="1446">
        <f t="shared" si="190"/>
        <v>1</v>
      </c>
      <c r="EA81" s="1446">
        <f t="shared" si="191"/>
        <v>0</v>
      </c>
    </row>
    <row r="82" spans="1:131" ht="16.2" customHeight="1" x14ac:dyDescent="0.3">
      <c r="A82" s="7258">
        <v>11056422</v>
      </c>
      <c r="B82" s="2045" t="s">
        <v>1789</v>
      </c>
      <c r="C82" s="1998" t="s">
        <v>5369</v>
      </c>
      <c r="D82" s="2044" t="s">
        <v>5370</v>
      </c>
      <c r="E82" s="1130" t="s">
        <v>5371</v>
      </c>
      <c r="F82" s="1131" t="s">
        <v>5372</v>
      </c>
      <c r="G82" s="1132" t="s">
        <v>5373</v>
      </c>
      <c r="H82" s="1131" t="s">
        <v>5374</v>
      </c>
      <c r="I82" s="1132" t="s">
        <v>5375</v>
      </c>
      <c r="J82" s="1131" t="s">
        <v>5376</v>
      </c>
      <c r="K82" s="1132" t="s">
        <v>5377</v>
      </c>
      <c r="L82" s="1131" t="s">
        <v>5378</v>
      </c>
      <c r="M82" s="1132" t="s">
        <v>5379</v>
      </c>
      <c r="N82" s="1133" t="s">
        <v>5380</v>
      </c>
      <c r="O82" s="1134" t="s">
        <v>5381</v>
      </c>
      <c r="P82" s="1135" t="s">
        <v>5382</v>
      </c>
      <c r="Q82" s="1114" t="s">
        <v>5383</v>
      </c>
      <c r="R82" s="1135" t="s">
        <v>5384</v>
      </c>
      <c r="S82" s="1114" t="s">
        <v>5385</v>
      </c>
      <c r="T82" s="1135" t="s">
        <v>5386</v>
      </c>
      <c r="U82" s="1114" t="s">
        <v>5387</v>
      </c>
      <c r="V82" s="1135" t="s">
        <v>5388</v>
      </c>
      <c r="W82" s="1114" t="s">
        <v>5389</v>
      </c>
      <c r="X82" s="1135" t="s">
        <v>5390</v>
      </c>
      <c r="Y82" s="1114" t="s">
        <v>5391</v>
      </c>
      <c r="Z82" s="1135" t="s">
        <v>5392</v>
      </c>
      <c r="AA82" s="1114" t="s">
        <v>5393</v>
      </c>
      <c r="AB82" s="1135" t="s">
        <v>5394</v>
      </c>
      <c r="AC82" s="1114" t="s">
        <v>5395</v>
      </c>
      <c r="AD82" s="1135" t="s">
        <v>5396</v>
      </c>
      <c r="AE82" s="1114" t="s">
        <v>5397</v>
      </c>
      <c r="AF82" s="1135" t="s">
        <v>5398</v>
      </c>
      <c r="AG82" s="1114" t="s">
        <v>5399</v>
      </c>
      <c r="AH82" s="1135" t="s">
        <v>5400</v>
      </c>
      <c r="AI82" s="1114" t="s">
        <v>5401</v>
      </c>
      <c r="AJ82" s="1135" t="s">
        <v>5402</v>
      </c>
      <c r="AK82" s="1114" t="s">
        <v>5403</v>
      </c>
      <c r="AL82" s="1135" t="s">
        <v>5404</v>
      </c>
      <c r="AM82" s="1114" t="s">
        <v>5405</v>
      </c>
      <c r="AN82" s="1135" t="s">
        <v>5406</v>
      </c>
      <c r="AO82" s="1114" t="s">
        <v>5407</v>
      </c>
      <c r="AP82" s="1135" t="s">
        <v>5408</v>
      </c>
      <c r="AQ82" s="1114" t="s">
        <v>5409</v>
      </c>
      <c r="AR82" s="1136" t="s">
        <v>5410</v>
      </c>
      <c r="AS82" s="1137" t="s">
        <v>5411</v>
      </c>
      <c r="AT82" s="1136" t="s">
        <v>5412</v>
      </c>
      <c r="AU82" s="1134" t="s">
        <v>5413</v>
      </c>
      <c r="AV82" s="1135" t="s">
        <v>5414</v>
      </c>
      <c r="AW82" s="1114" t="s">
        <v>5415</v>
      </c>
      <c r="AX82" s="1118" t="s">
        <v>5416</v>
      </c>
      <c r="AY82" s="1197" t="e">
        <f t="shared" si="159"/>
        <v>#VALUE!</v>
      </c>
      <c r="AZ82" s="1197"/>
      <c r="BA82" s="1197"/>
      <c r="BB82" s="1197"/>
      <c r="BC82" s="1197"/>
      <c r="BD82" s="1197"/>
      <c r="BE82" s="1197"/>
      <c r="BF82" s="1197"/>
      <c r="BG82" s="1197"/>
      <c r="BH82" s="1197"/>
      <c r="BI82" s="1197"/>
      <c r="BJ82" s="1191"/>
      <c r="BK82" s="1191"/>
      <c r="BL82" s="1191"/>
      <c r="BM82" s="1191"/>
      <c r="BV82" s="1547"/>
      <c r="BW82" s="1547"/>
      <c r="BX82" s="1547"/>
      <c r="CB82" s="2195" t="str">
        <f t="shared" si="160"/>
        <v xml:space="preserve">* El total de Reactivos NO DEBE ser superior al total de Procesados. </v>
      </c>
      <c r="CC82" s="2195" t="e">
        <f t="shared" si="161"/>
        <v>#VALUE!</v>
      </c>
      <c r="CD82" s="2195" t="e">
        <f t="shared" si="162"/>
        <v>#VALUE!</v>
      </c>
      <c r="CE82" s="2195" t="str">
        <f t="shared" si="163"/>
        <v xml:space="preserve">* La columna Pueblos Originarios NO DEBE ser superior al total de Procesados. </v>
      </c>
      <c r="CF82" s="2195" t="str">
        <f t="shared" si="164"/>
        <v xml:space="preserve">* La columna Migrantes NO DEBE ser superior al total de Procesados. </v>
      </c>
      <c r="CG82" s="2195" t="str">
        <f t="shared" si="192"/>
        <v>* El total de procesados debe ser mayor o igual al total de Reactivos en el grupo de edad Menor de 6 meses</v>
      </c>
      <c r="CH82" s="2195" t="str">
        <f t="shared" si="193"/>
        <v>* El total de procesados debe ser mayor o igual al total de Reactivos en el grupo de edad 6 a 11 meses</v>
      </c>
      <c r="CI82" s="2195" t="str">
        <f t="shared" si="194"/>
        <v>* El total de procesados debe ser mayor o igual al total de Reactivos en el grupo de edad 12-24 meses</v>
      </c>
      <c r="CJ82" s="2195" t="str">
        <f t="shared" si="195"/>
        <v>* El total de procesados debe ser mayor o igual al total de Reactivos en el grupo de edad 3 a 4 años</v>
      </c>
      <c r="CK82" s="2195" t="str">
        <f t="shared" si="196"/>
        <v>* El total de procesados debe ser mayor o igual al total de Reactivos en el grupo de edad 5 a 9 años</v>
      </c>
      <c r="CL82" s="2195" t="str">
        <f t="shared" si="197"/>
        <v>* El total de procesados debe ser mayor o igual al total de Reactivos en el grupo de edad 10 - 14 años</v>
      </c>
      <c r="CM82" s="2195" t="str">
        <f t="shared" si="198"/>
        <v>* El total de procesados debe ser mayor o igual al total de Reactivos en el grupo de edad 15 - 19 años</v>
      </c>
      <c r="CN82" s="2195" t="str">
        <f t="shared" si="199"/>
        <v>* El total de procesados debe ser mayor o igual al total de Reactivos en el grupo de edad 20 - 24 años</v>
      </c>
      <c r="CO82" s="2195" t="str">
        <f t="shared" si="200"/>
        <v>* El total de procesados debe ser mayor o igual al total de Reactivos en el grupo de edad 25 a 29 años</v>
      </c>
      <c r="CP82" s="2195" t="str">
        <f t="shared" si="201"/>
        <v>* El total de procesados debe ser mayor o igual al total de Reactivos en el grupo de edad 30 a 34 años</v>
      </c>
      <c r="CQ82" s="2195" t="str">
        <f t="shared" si="202"/>
        <v>* El total de procesados debe ser mayor o igual al total de Reactivos en el grupo de edad 35 a 39 años</v>
      </c>
      <c r="CR82" s="2195" t="str">
        <f t="shared" si="203"/>
        <v>* El total de procesados debe ser mayor o igual al total de Reactivos en el grupo de edad 40 a 44 años</v>
      </c>
      <c r="CS82" s="2195" t="str">
        <f t="shared" si="204"/>
        <v>* El total de procesados debe ser mayor o igual al total de Reactivos en el grupo de edad 45 a 49 años</v>
      </c>
      <c r="CT82" s="2195" t="str">
        <f t="shared" si="205"/>
        <v>* El total de procesados debe ser mayor o igual al total de Reactivos en el grupo de edad 50 a 54 años</v>
      </c>
      <c r="CU82" s="2195" t="str">
        <f t="shared" si="206"/>
        <v>* El total de procesados debe ser mayor o igual al total de Reactivos en el grupo de edad 55 a 59 años</v>
      </c>
      <c r="CV82" s="2195" t="str">
        <f t="shared" si="207"/>
        <v>* El total de procesados debe ser mayor o igual al total de Reactivos en el grupo de edad 60 a 64 años</v>
      </c>
      <c r="CW82" s="2195" t="str">
        <f t="shared" si="208"/>
        <v>* El total de procesados debe ser mayor o igual al total de Reactivos en el grupo de edad 65 a 69 años</v>
      </c>
      <c r="CX82" s="2195" t="str">
        <f t="shared" si="209"/>
        <v>* El total de procesados debe ser mayor o igual al total de Reactivos en el grupo de edad 70 a 74 años</v>
      </c>
      <c r="CY82" s="2195" t="str">
        <f t="shared" si="210"/>
        <v>* El total de procesados debe ser mayor o igual al total de Reactivos en el grupo de edad 75 a 79 años</v>
      </c>
      <c r="CZ82" s="2195" t="str">
        <f t="shared" si="211"/>
        <v>* El total de procesados debe ser mayor o igual al total de Reactivos en el grupo de edad 80 y más años</v>
      </c>
      <c r="DA82" s="2195" t="str">
        <f t="shared" si="165"/>
        <v/>
      </c>
      <c r="DB82" s="1446">
        <f t="shared" si="166"/>
        <v>1</v>
      </c>
      <c r="DC82" s="1446" t="e">
        <f t="shared" si="167"/>
        <v>#VALUE!</v>
      </c>
      <c r="DD82" s="1446" t="e">
        <f t="shared" si="168"/>
        <v>#VALUE!</v>
      </c>
      <c r="DE82" s="1446">
        <f t="shared" si="169"/>
        <v>1</v>
      </c>
      <c r="DF82" s="1446">
        <f t="shared" si="170"/>
        <v>1</v>
      </c>
      <c r="DG82" s="1446">
        <f t="shared" si="171"/>
        <v>1</v>
      </c>
      <c r="DH82" s="1446">
        <f t="shared" si="172"/>
        <v>1</v>
      </c>
      <c r="DI82" s="1446">
        <f t="shared" si="173"/>
        <v>1</v>
      </c>
      <c r="DJ82" s="1446">
        <f t="shared" si="174"/>
        <v>1</v>
      </c>
      <c r="DK82" s="1446">
        <f t="shared" si="175"/>
        <v>1</v>
      </c>
      <c r="DL82" s="1446">
        <f t="shared" si="176"/>
        <v>1</v>
      </c>
      <c r="DM82" s="1446">
        <f t="shared" si="177"/>
        <v>1</v>
      </c>
      <c r="DN82" s="1446">
        <f t="shared" si="178"/>
        <v>1</v>
      </c>
      <c r="DO82" s="1446">
        <f t="shared" si="179"/>
        <v>1</v>
      </c>
      <c r="DP82" s="1446">
        <f t="shared" si="180"/>
        <v>1</v>
      </c>
      <c r="DQ82" s="1446">
        <f t="shared" si="181"/>
        <v>1</v>
      </c>
      <c r="DR82" s="1446">
        <f t="shared" si="182"/>
        <v>1</v>
      </c>
      <c r="DS82" s="1446">
        <f t="shared" si="183"/>
        <v>1</v>
      </c>
      <c r="DT82" s="1446">
        <f t="shared" si="184"/>
        <v>1</v>
      </c>
      <c r="DU82" s="1446">
        <f t="shared" si="185"/>
        <v>1</v>
      </c>
      <c r="DV82" s="1446">
        <f t="shared" si="186"/>
        <v>1</v>
      </c>
      <c r="DW82" s="1446">
        <f t="shared" si="187"/>
        <v>1</v>
      </c>
      <c r="DX82" s="1446">
        <f t="shared" si="188"/>
        <v>1</v>
      </c>
      <c r="DY82" s="1446">
        <f t="shared" si="189"/>
        <v>1</v>
      </c>
      <c r="DZ82" s="1446">
        <f t="shared" si="190"/>
        <v>1</v>
      </c>
      <c r="EA82" s="1446">
        <f t="shared" si="191"/>
        <v>0</v>
      </c>
    </row>
    <row r="83" spans="1:131" ht="16.5" customHeight="1" x14ac:dyDescent="0.3">
      <c r="A83" s="7258">
        <v>11056423</v>
      </c>
      <c r="B83" s="2045" t="s">
        <v>1790</v>
      </c>
      <c r="C83" s="1998" t="s">
        <v>5369</v>
      </c>
      <c r="D83" s="2044" t="s">
        <v>5370</v>
      </c>
      <c r="E83" s="1130" t="s">
        <v>5371</v>
      </c>
      <c r="F83" s="1131" t="s">
        <v>5372</v>
      </c>
      <c r="G83" s="1132" t="s">
        <v>5373</v>
      </c>
      <c r="H83" s="1131" t="s">
        <v>5374</v>
      </c>
      <c r="I83" s="1132" t="s">
        <v>5375</v>
      </c>
      <c r="J83" s="1131" t="s">
        <v>5376</v>
      </c>
      <c r="K83" s="1132" t="s">
        <v>5377</v>
      </c>
      <c r="L83" s="1131" t="s">
        <v>5378</v>
      </c>
      <c r="M83" s="1132" t="s">
        <v>5379</v>
      </c>
      <c r="N83" s="1133" t="s">
        <v>5380</v>
      </c>
      <c r="O83" s="1134" t="s">
        <v>5381</v>
      </c>
      <c r="P83" s="1135" t="s">
        <v>5382</v>
      </c>
      <c r="Q83" s="1114" t="s">
        <v>5383</v>
      </c>
      <c r="R83" s="1135" t="s">
        <v>5384</v>
      </c>
      <c r="S83" s="1114" t="s">
        <v>5385</v>
      </c>
      <c r="T83" s="1135" t="s">
        <v>5386</v>
      </c>
      <c r="U83" s="1114" t="s">
        <v>5387</v>
      </c>
      <c r="V83" s="1135" t="s">
        <v>5388</v>
      </c>
      <c r="W83" s="1114" t="s">
        <v>5389</v>
      </c>
      <c r="X83" s="1135" t="s">
        <v>5390</v>
      </c>
      <c r="Y83" s="1114" t="s">
        <v>5391</v>
      </c>
      <c r="Z83" s="1135" t="s">
        <v>5392</v>
      </c>
      <c r="AA83" s="1114" t="s">
        <v>5393</v>
      </c>
      <c r="AB83" s="1135" t="s">
        <v>5394</v>
      </c>
      <c r="AC83" s="1114" t="s">
        <v>5395</v>
      </c>
      <c r="AD83" s="1135" t="s">
        <v>5396</v>
      </c>
      <c r="AE83" s="1114" t="s">
        <v>5397</v>
      </c>
      <c r="AF83" s="1135" t="s">
        <v>5398</v>
      </c>
      <c r="AG83" s="1114" t="s">
        <v>5399</v>
      </c>
      <c r="AH83" s="1135" t="s">
        <v>5400</v>
      </c>
      <c r="AI83" s="1114" t="s">
        <v>5401</v>
      </c>
      <c r="AJ83" s="1135" t="s">
        <v>5402</v>
      </c>
      <c r="AK83" s="1114" t="s">
        <v>5403</v>
      </c>
      <c r="AL83" s="1135" t="s">
        <v>5404</v>
      </c>
      <c r="AM83" s="1114" t="s">
        <v>5405</v>
      </c>
      <c r="AN83" s="1135" t="s">
        <v>5406</v>
      </c>
      <c r="AO83" s="1114" t="s">
        <v>5407</v>
      </c>
      <c r="AP83" s="1135" t="s">
        <v>5408</v>
      </c>
      <c r="AQ83" s="1114" t="s">
        <v>5409</v>
      </c>
      <c r="AR83" s="1136" t="s">
        <v>5410</v>
      </c>
      <c r="AS83" s="1134" t="s">
        <v>5411</v>
      </c>
      <c r="AT83" s="1136" t="s">
        <v>5412</v>
      </c>
      <c r="AU83" s="1134" t="s">
        <v>5413</v>
      </c>
      <c r="AV83" s="1135" t="s">
        <v>5414</v>
      </c>
      <c r="AW83" s="1114" t="s">
        <v>5415</v>
      </c>
      <c r="AX83" s="1118" t="s">
        <v>5416</v>
      </c>
      <c r="AY83" s="1197" t="e">
        <f t="shared" si="159"/>
        <v>#VALUE!</v>
      </c>
      <c r="AZ83" s="1197"/>
      <c r="BA83" s="1197"/>
      <c r="BB83" s="1197"/>
      <c r="BC83" s="1197"/>
      <c r="BD83" s="1197"/>
      <c r="BE83" s="1197"/>
      <c r="BF83" s="1197"/>
      <c r="BG83" s="1197"/>
      <c r="BH83" s="1197"/>
      <c r="BI83" s="1197"/>
      <c r="BJ83" s="1191"/>
      <c r="BK83" s="1191"/>
      <c r="BL83" s="1191"/>
      <c r="BM83" s="1191"/>
      <c r="BV83" s="1547"/>
      <c r="BW83" s="1547"/>
      <c r="BX83" s="1547"/>
      <c r="CB83" s="2195" t="str">
        <f t="shared" si="160"/>
        <v xml:space="preserve">* El total de Reactivos NO DEBE ser superior al total de Procesados. </v>
      </c>
      <c r="CC83" s="2195" t="e">
        <f t="shared" si="161"/>
        <v>#VALUE!</v>
      </c>
      <c r="CD83" s="2195" t="e">
        <f t="shared" si="162"/>
        <v>#VALUE!</v>
      </c>
      <c r="CE83" s="2195" t="str">
        <f t="shared" si="163"/>
        <v xml:space="preserve">* La columna Pueblos Originarios NO DEBE ser superior al total de Procesados. </v>
      </c>
      <c r="CF83" s="2195" t="str">
        <f t="shared" si="164"/>
        <v xml:space="preserve">* La columna Migrantes NO DEBE ser superior al total de Procesados. </v>
      </c>
      <c r="CG83" s="2195" t="str">
        <f t="shared" si="192"/>
        <v>* El total de procesados debe ser mayor o igual al total de Reactivos en el grupo de edad Menor de 6 meses</v>
      </c>
      <c r="CH83" s="2195" t="str">
        <f t="shared" si="193"/>
        <v>* El total de procesados debe ser mayor o igual al total de Reactivos en el grupo de edad 6 a 11 meses</v>
      </c>
      <c r="CI83" s="2195" t="str">
        <f t="shared" si="194"/>
        <v>* El total de procesados debe ser mayor o igual al total de Reactivos en el grupo de edad 12-24 meses</v>
      </c>
      <c r="CJ83" s="2195" t="str">
        <f t="shared" si="195"/>
        <v>* El total de procesados debe ser mayor o igual al total de Reactivos en el grupo de edad 3 a 4 años</v>
      </c>
      <c r="CK83" s="2195" t="str">
        <f t="shared" si="196"/>
        <v>* El total de procesados debe ser mayor o igual al total de Reactivos en el grupo de edad 5 a 9 años</v>
      </c>
      <c r="CL83" s="2195" t="str">
        <f t="shared" si="197"/>
        <v>* El total de procesados debe ser mayor o igual al total de Reactivos en el grupo de edad 10 - 14 años</v>
      </c>
      <c r="CM83" s="2195" t="str">
        <f t="shared" si="198"/>
        <v>* El total de procesados debe ser mayor o igual al total de Reactivos en el grupo de edad 15 - 19 años</v>
      </c>
      <c r="CN83" s="2195" t="str">
        <f t="shared" si="199"/>
        <v>* El total de procesados debe ser mayor o igual al total de Reactivos en el grupo de edad 20 - 24 años</v>
      </c>
      <c r="CO83" s="2195" t="str">
        <f t="shared" si="200"/>
        <v>* El total de procesados debe ser mayor o igual al total de Reactivos en el grupo de edad 25 a 29 años</v>
      </c>
      <c r="CP83" s="2195" t="str">
        <f t="shared" si="201"/>
        <v>* El total de procesados debe ser mayor o igual al total de Reactivos en el grupo de edad 30 a 34 años</v>
      </c>
      <c r="CQ83" s="2195" t="str">
        <f t="shared" si="202"/>
        <v>* El total de procesados debe ser mayor o igual al total de Reactivos en el grupo de edad 35 a 39 años</v>
      </c>
      <c r="CR83" s="2195" t="str">
        <f t="shared" si="203"/>
        <v>* El total de procesados debe ser mayor o igual al total de Reactivos en el grupo de edad 40 a 44 años</v>
      </c>
      <c r="CS83" s="2195" t="str">
        <f t="shared" si="204"/>
        <v>* El total de procesados debe ser mayor o igual al total de Reactivos en el grupo de edad 45 a 49 años</v>
      </c>
      <c r="CT83" s="2195" t="str">
        <f t="shared" si="205"/>
        <v>* El total de procesados debe ser mayor o igual al total de Reactivos en el grupo de edad 50 a 54 años</v>
      </c>
      <c r="CU83" s="2195" t="str">
        <f t="shared" si="206"/>
        <v>* El total de procesados debe ser mayor o igual al total de Reactivos en el grupo de edad 55 a 59 años</v>
      </c>
      <c r="CV83" s="2195" t="str">
        <f t="shared" si="207"/>
        <v>* El total de procesados debe ser mayor o igual al total de Reactivos en el grupo de edad 60 a 64 años</v>
      </c>
      <c r="CW83" s="2195" t="str">
        <f t="shared" si="208"/>
        <v>* El total de procesados debe ser mayor o igual al total de Reactivos en el grupo de edad 65 a 69 años</v>
      </c>
      <c r="CX83" s="2195" t="str">
        <f t="shared" si="209"/>
        <v>* El total de procesados debe ser mayor o igual al total de Reactivos en el grupo de edad 70 a 74 años</v>
      </c>
      <c r="CY83" s="2195" t="str">
        <f t="shared" si="210"/>
        <v>* El total de procesados debe ser mayor o igual al total de Reactivos en el grupo de edad 75 a 79 años</v>
      </c>
      <c r="CZ83" s="2195" t="str">
        <f t="shared" si="211"/>
        <v>* El total de procesados debe ser mayor o igual al total de Reactivos en el grupo de edad 80 y más años</v>
      </c>
      <c r="DA83" s="2195" t="str">
        <f t="shared" si="165"/>
        <v/>
      </c>
      <c r="DB83" s="1446">
        <f t="shared" si="166"/>
        <v>1</v>
      </c>
      <c r="DC83" s="1446" t="e">
        <f t="shared" si="167"/>
        <v>#VALUE!</v>
      </c>
      <c r="DD83" s="1446" t="e">
        <f t="shared" si="168"/>
        <v>#VALUE!</v>
      </c>
      <c r="DE83" s="1446">
        <f t="shared" si="169"/>
        <v>1</v>
      </c>
      <c r="DF83" s="1446">
        <f t="shared" si="170"/>
        <v>1</v>
      </c>
      <c r="DG83" s="1446">
        <f t="shared" si="171"/>
        <v>1</v>
      </c>
      <c r="DH83" s="1446">
        <f t="shared" si="172"/>
        <v>1</v>
      </c>
      <c r="DI83" s="1446">
        <f t="shared" si="173"/>
        <v>1</v>
      </c>
      <c r="DJ83" s="1446">
        <f t="shared" si="174"/>
        <v>1</v>
      </c>
      <c r="DK83" s="1446">
        <f t="shared" si="175"/>
        <v>1</v>
      </c>
      <c r="DL83" s="1446">
        <f t="shared" si="176"/>
        <v>1</v>
      </c>
      <c r="DM83" s="1446">
        <f t="shared" si="177"/>
        <v>1</v>
      </c>
      <c r="DN83" s="1446">
        <f t="shared" si="178"/>
        <v>1</v>
      </c>
      <c r="DO83" s="1446">
        <f t="shared" si="179"/>
        <v>1</v>
      </c>
      <c r="DP83" s="1446">
        <f t="shared" si="180"/>
        <v>1</v>
      </c>
      <c r="DQ83" s="1446">
        <f t="shared" si="181"/>
        <v>1</v>
      </c>
      <c r="DR83" s="1446">
        <f t="shared" si="182"/>
        <v>1</v>
      </c>
      <c r="DS83" s="1446">
        <f t="shared" si="183"/>
        <v>1</v>
      </c>
      <c r="DT83" s="1446">
        <f t="shared" si="184"/>
        <v>1</v>
      </c>
      <c r="DU83" s="1446">
        <f t="shared" si="185"/>
        <v>1</v>
      </c>
      <c r="DV83" s="1446">
        <f t="shared" si="186"/>
        <v>1</v>
      </c>
      <c r="DW83" s="1446">
        <f t="shared" si="187"/>
        <v>1</v>
      </c>
      <c r="DX83" s="1446">
        <f t="shared" si="188"/>
        <v>1</v>
      </c>
      <c r="DY83" s="1446">
        <f t="shared" si="189"/>
        <v>1</v>
      </c>
      <c r="DZ83" s="1446">
        <f t="shared" si="190"/>
        <v>1</v>
      </c>
      <c r="EA83" s="1446">
        <f t="shared" si="191"/>
        <v>0</v>
      </c>
    </row>
    <row r="84" spans="1:131" ht="19.95" customHeight="1" x14ac:dyDescent="0.3">
      <c r="A84" s="7258">
        <v>11056424</v>
      </c>
      <c r="B84" s="2045" t="s">
        <v>1791</v>
      </c>
      <c r="C84" s="1998" t="s">
        <v>5369</v>
      </c>
      <c r="D84" s="2044" t="s">
        <v>5370</v>
      </c>
      <c r="E84" s="1130" t="s">
        <v>5371</v>
      </c>
      <c r="F84" s="1131" t="s">
        <v>5372</v>
      </c>
      <c r="G84" s="1132" t="s">
        <v>5373</v>
      </c>
      <c r="H84" s="1131" t="s">
        <v>5374</v>
      </c>
      <c r="I84" s="1132" t="s">
        <v>5375</v>
      </c>
      <c r="J84" s="1131" t="s">
        <v>5376</v>
      </c>
      <c r="K84" s="1132" t="s">
        <v>5377</v>
      </c>
      <c r="L84" s="1131" t="s">
        <v>5378</v>
      </c>
      <c r="M84" s="1132" t="s">
        <v>5379</v>
      </c>
      <c r="N84" s="1133" t="s">
        <v>5380</v>
      </c>
      <c r="O84" s="1134" t="s">
        <v>5381</v>
      </c>
      <c r="P84" s="1135" t="s">
        <v>5382</v>
      </c>
      <c r="Q84" s="1114" t="s">
        <v>5383</v>
      </c>
      <c r="R84" s="1135" t="s">
        <v>5384</v>
      </c>
      <c r="S84" s="1114" t="s">
        <v>5385</v>
      </c>
      <c r="T84" s="1135" t="s">
        <v>5386</v>
      </c>
      <c r="U84" s="1114" t="s">
        <v>5387</v>
      </c>
      <c r="V84" s="1135" t="s">
        <v>5388</v>
      </c>
      <c r="W84" s="1114" t="s">
        <v>5389</v>
      </c>
      <c r="X84" s="1135" t="s">
        <v>5390</v>
      </c>
      <c r="Y84" s="1114" t="s">
        <v>5391</v>
      </c>
      <c r="Z84" s="1135" t="s">
        <v>5392</v>
      </c>
      <c r="AA84" s="1114" t="s">
        <v>5393</v>
      </c>
      <c r="AB84" s="1135" t="s">
        <v>5394</v>
      </c>
      <c r="AC84" s="1114" t="s">
        <v>5395</v>
      </c>
      <c r="AD84" s="1135" t="s">
        <v>5396</v>
      </c>
      <c r="AE84" s="1114" t="s">
        <v>5397</v>
      </c>
      <c r="AF84" s="1135" t="s">
        <v>5398</v>
      </c>
      <c r="AG84" s="1114" t="s">
        <v>5399</v>
      </c>
      <c r="AH84" s="1135" t="s">
        <v>5400</v>
      </c>
      <c r="AI84" s="1114" t="s">
        <v>5401</v>
      </c>
      <c r="AJ84" s="1135" t="s">
        <v>5402</v>
      </c>
      <c r="AK84" s="1114" t="s">
        <v>5403</v>
      </c>
      <c r="AL84" s="1135" t="s">
        <v>5404</v>
      </c>
      <c r="AM84" s="1114" t="s">
        <v>5405</v>
      </c>
      <c r="AN84" s="1135" t="s">
        <v>5406</v>
      </c>
      <c r="AO84" s="1114" t="s">
        <v>5407</v>
      </c>
      <c r="AP84" s="1135" t="s">
        <v>5408</v>
      </c>
      <c r="AQ84" s="1114" t="s">
        <v>5409</v>
      </c>
      <c r="AR84" s="1136" t="s">
        <v>5410</v>
      </c>
      <c r="AS84" s="1137" t="s">
        <v>5411</v>
      </c>
      <c r="AT84" s="1136" t="s">
        <v>5412</v>
      </c>
      <c r="AU84" s="1134" t="s">
        <v>5413</v>
      </c>
      <c r="AV84" s="1135" t="s">
        <v>5414</v>
      </c>
      <c r="AW84" s="1114" t="s">
        <v>5415</v>
      </c>
      <c r="AX84" s="1118" t="s">
        <v>5416</v>
      </c>
      <c r="AY84" s="1197" t="e">
        <f t="shared" si="159"/>
        <v>#VALUE!</v>
      </c>
      <c r="AZ84" s="1197"/>
      <c r="BA84" s="1197"/>
      <c r="BB84" s="1197"/>
      <c r="BC84" s="1197"/>
      <c r="BD84" s="1197"/>
      <c r="BE84" s="1197"/>
      <c r="BF84" s="1197"/>
      <c r="BG84" s="1197"/>
      <c r="BH84" s="1197"/>
      <c r="BI84" s="1197"/>
      <c r="BJ84" s="1191"/>
      <c r="BK84" s="1191"/>
      <c r="BL84" s="1191"/>
      <c r="BM84" s="1191"/>
      <c r="BV84" s="1547"/>
      <c r="BW84" s="1547"/>
      <c r="BX84" s="1547"/>
      <c r="CB84" s="2195" t="str">
        <f t="shared" si="160"/>
        <v xml:space="preserve">* El total de Reactivos NO DEBE ser superior al total de Procesados. </v>
      </c>
      <c r="CC84" s="2195" t="e">
        <f t="shared" si="161"/>
        <v>#VALUE!</v>
      </c>
      <c r="CD84" s="2195" t="e">
        <f t="shared" si="162"/>
        <v>#VALUE!</v>
      </c>
      <c r="CE84" s="2195" t="str">
        <f t="shared" si="163"/>
        <v xml:space="preserve">* La columna Pueblos Originarios NO DEBE ser superior al total de Procesados. </v>
      </c>
      <c r="CF84" s="2195" t="str">
        <f t="shared" si="164"/>
        <v xml:space="preserve">* La columna Migrantes NO DEBE ser superior al total de Procesados. </v>
      </c>
      <c r="CG84" s="2195" t="str">
        <f t="shared" si="192"/>
        <v>* El total de procesados debe ser mayor o igual al total de Reactivos en el grupo de edad Menor de 6 meses</v>
      </c>
      <c r="CH84" s="2195" t="str">
        <f t="shared" si="193"/>
        <v>* El total de procesados debe ser mayor o igual al total de Reactivos en el grupo de edad 6 a 11 meses</v>
      </c>
      <c r="CI84" s="2195" t="str">
        <f t="shared" si="194"/>
        <v>* El total de procesados debe ser mayor o igual al total de Reactivos en el grupo de edad 12-24 meses</v>
      </c>
      <c r="CJ84" s="2195" t="str">
        <f t="shared" si="195"/>
        <v>* El total de procesados debe ser mayor o igual al total de Reactivos en el grupo de edad 3 a 4 años</v>
      </c>
      <c r="CK84" s="2195" t="str">
        <f t="shared" si="196"/>
        <v>* El total de procesados debe ser mayor o igual al total de Reactivos en el grupo de edad 5 a 9 años</v>
      </c>
      <c r="CL84" s="2195" t="str">
        <f t="shared" si="197"/>
        <v>* El total de procesados debe ser mayor o igual al total de Reactivos en el grupo de edad 10 - 14 años</v>
      </c>
      <c r="CM84" s="2195" t="str">
        <f t="shared" si="198"/>
        <v>* El total de procesados debe ser mayor o igual al total de Reactivos en el grupo de edad 15 - 19 años</v>
      </c>
      <c r="CN84" s="2195" t="str">
        <f t="shared" si="199"/>
        <v>* El total de procesados debe ser mayor o igual al total de Reactivos en el grupo de edad 20 - 24 años</v>
      </c>
      <c r="CO84" s="2195" t="str">
        <f t="shared" si="200"/>
        <v>* El total de procesados debe ser mayor o igual al total de Reactivos en el grupo de edad 25 a 29 años</v>
      </c>
      <c r="CP84" s="2195" t="str">
        <f t="shared" si="201"/>
        <v>* El total de procesados debe ser mayor o igual al total de Reactivos en el grupo de edad 30 a 34 años</v>
      </c>
      <c r="CQ84" s="2195" t="str">
        <f t="shared" si="202"/>
        <v>* El total de procesados debe ser mayor o igual al total de Reactivos en el grupo de edad 35 a 39 años</v>
      </c>
      <c r="CR84" s="2195" t="str">
        <f t="shared" si="203"/>
        <v>* El total de procesados debe ser mayor o igual al total de Reactivos en el grupo de edad 40 a 44 años</v>
      </c>
      <c r="CS84" s="2195" t="str">
        <f t="shared" si="204"/>
        <v>* El total de procesados debe ser mayor o igual al total de Reactivos en el grupo de edad 45 a 49 años</v>
      </c>
      <c r="CT84" s="2195" t="str">
        <f t="shared" si="205"/>
        <v>* El total de procesados debe ser mayor o igual al total de Reactivos en el grupo de edad 50 a 54 años</v>
      </c>
      <c r="CU84" s="2195" t="str">
        <f t="shared" si="206"/>
        <v>* El total de procesados debe ser mayor o igual al total de Reactivos en el grupo de edad 55 a 59 años</v>
      </c>
      <c r="CV84" s="2195" t="str">
        <f t="shared" si="207"/>
        <v>* El total de procesados debe ser mayor o igual al total de Reactivos en el grupo de edad 60 a 64 años</v>
      </c>
      <c r="CW84" s="2195" t="str">
        <f t="shared" si="208"/>
        <v>* El total de procesados debe ser mayor o igual al total de Reactivos en el grupo de edad 65 a 69 años</v>
      </c>
      <c r="CX84" s="2195" t="str">
        <f t="shared" si="209"/>
        <v>* El total de procesados debe ser mayor o igual al total de Reactivos en el grupo de edad 70 a 74 años</v>
      </c>
      <c r="CY84" s="2195" t="str">
        <f t="shared" si="210"/>
        <v>* El total de procesados debe ser mayor o igual al total de Reactivos en el grupo de edad 75 a 79 años</v>
      </c>
      <c r="CZ84" s="2195" t="str">
        <f t="shared" si="211"/>
        <v>* El total de procesados debe ser mayor o igual al total de Reactivos en el grupo de edad 80 y más años</v>
      </c>
      <c r="DA84" s="2195" t="str">
        <f t="shared" si="165"/>
        <v/>
      </c>
      <c r="DB84" s="1446">
        <f t="shared" si="166"/>
        <v>1</v>
      </c>
      <c r="DC84" s="1446" t="e">
        <f t="shared" si="167"/>
        <v>#VALUE!</v>
      </c>
      <c r="DD84" s="1446" t="e">
        <f t="shared" si="168"/>
        <v>#VALUE!</v>
      </c>
      <c r="DE84" s="1446">
        <f t="shared" si="169"/>
        <v>1</v>
      </c>
      <c r="DF84" s="1446">
        <f t="shared" si="170"/>
        <v>1</v>
      </c>
      <c r="DG84" s="1446">
        <f t="shared" si="171"/>
        <v>1</v>
      </c>
      <c r="DH84" s="1446">
        <f t="shared" si="172"/>
        <v>1</v>
      </c>
      <c r="DI84" s="1446">
        <f t="shared" si="173"/>
        <v>1</v>
      </c>
      <c r="DJ84" s="1446">
        <f t="shared" si="174"/>
        <v>1</v>
      </c>
      <c r="DK84" s="1446">
        <f t="shared" si="175"/>
        <v>1</v>
      </c>
      <c r="DL84" s="1446">
        <f t="shared" si="176"/>
        <v>1</v>
      </c>
      <c r="DM84" s="1446">
        <f t="shared" si="177"/>
        <v>1</v>
      </c>
      <c r="DN84" s="1446">
        <f t="shared" si="178"/>
        <v>1</v>
      </c>
      <c r="DO84" s="1446">
        <f t="shared" si="179"/>
        <v>1</v>
      </c>
      <c r="DP84" s="1446">
        <f t="shared" si="180"/>
        <v>1</v>
      </c>
      <c r="DQ84" s="1446">
        <f t="shared" si="181"/>
        <v>1</v>
      </c>
      <c r="DR84" s="1446">
        <f t="shared" si="182"/>
        <v>1</v>
      </c>
      <c r="DS84" s="1446">
        <f t="shared" si="183"/>
        <v>1</v>
      </c>
      <c r="DT84" s="1446">
        <f t="shared" si="184"/>
        <v>1</v>
      </c>
      <c r="DU84" s="1446">
        <f t="shared" si="185"/>
        <v>1</v>
      </c>
      <c r="DV84" s="1446">
        <f t="shared" si="186"/>
        <v>1</v>
      </c>
      <c r="DW84" s="1446">
        <f t="shared" si="187"/>
        <v>1</v>
      </c>
      <c r="DX84" s="1446">
        <f t="shared" si="188"/>
        <v>1</v>
      </c>
      <c r="DY84" s="1446">
        <f t="shared" si="189"/>
        <v>1</v>
      </c>
      <c r="DZ84" s="1446">
        <f t="shared" si="190"/>
        <v>1</v>
      </c>
      <c r="EA84" s="1446">
        <f t="shared" si="191"/>
        <v>0</v>
      </c>
    </row>
    <row r="85" spans="1:131" ht="16.2" customHeight="1" x14ac:dyDescent="0.3">
      <c r="A85" s="7258">
        <v>11056425</v>
      </c>
      <c r="B85" s="2000" t="s">
        <v>1792</v>
      </c>
      <c r="C85" s="1998" t="s">
        <v>5369</v>
      </c>
      <c r="D85" s="2044" t="s">
        <v>5370</v>
      </c>
      <c r="E85" s="1130" t="s">
        <v>5371</v>
      </c>
      <c r="F85" s="1131" t="s">
        <v>5372</v>
      </c>
      <c r="G85" s="1132" t="s">
        <v>5373</v>
      </c>
      <c r="H85" s="1131" t="s">
        <v>5374</v>
      </c>
      <c r="I85" s="1132" t="s">
        <v>5375</v>
      </c>
      <c r="J85" s="1131" t="s">
        <v>5376</v>
      </c>
      <c r="K85" s="1132" t="s">
        <v>5377</v>
      </c>
      <c r="L85" s="1131" t="s">
        <v>5378</v>
      </c>
      <c r="M85" s="1132" t="s">
        <v>5379</v>
      </c>
      <c r="N85" s="1133" t="s">
        <v>5380</v>
      </c>
      <c r="O85" s="1134" t="s">
        <v>5381</v>
      </c>
      <c r="P85" s="1135" t="s">
        <v>5382</v>
      </c>
      <c r="Q85" s="1114" t="s">
        <v>5383</v>
      </c>
      <c r="R85" s="1135" t="s">
        <v>5384</v>
      </c>
      <c r="S85" s="1114" t="s">
        <v>5385</v>
      </c>
      <c r="T85" s="1135" t="s">
        <v>5386</v>
      </c>
      <c r="U85" s="1114" t="s">
        <v>5387</v>
      </c>
      <c r="V85" s="1135" t="s">
        <v>5388</v>
      </c>
      <c r="W85" s="1114" t="s">
        <v>5389</v>
      </c>
      <c r="X85" s="1135" t="s">
        <v>5390</v>
      </c>
      <c r="Y85" s="1114" t="s">
        <v>5391</v>
      </c>
      <c r="Z85" s="1135" t="s">
        <v>5392</v>
      </c>
      <c r="AA85" s="1114" t="s">
        <v>5393</v>
      </c>
      <c r="AB85" s="1135" t="s">
        <v>5394</v>
      </c>
      <c r="AC85" s="1114" t="s">
        <v>5395</v>
      </c>
      <c r="AD85" s="1135" t="s">
        <v>5396</v>
      </c>
      <c r="AE85" s="1114" t="s">
        <v>5397</v>
      </c>
      <c r="AF85" s="1135" t="s">
        <v>5398</v>
      </c>
      <c r="AG85" s="1114" t="s">
        <v>5399</v>
      </c>
      <c r="AH85" s="1135" t="s">
        <v>5400</v>
      </c>
      <c r="AI85" s="1114" t="s">
        <v>5401</v>
      </c>
      <c r="AJ85" s="1135" t="s">
        <v>5402</v>
      </c>
      <c r="AK85" s="1114" t="s">
        <v>5403</v>
      </c>
      <c r="AL85" s="1135" t="s">
        <v>5404</v>
      </c>
      <c r="AM85" s="1114" t="s">
        <v>5405</v>
      </c>
      <c r="AN85" s="1135" t="s">
        <v>5406</v>
      </c>
      <c r="AO85" s="1114" t="s">
        <v>5407</v>
      </c>
      <c r="AP85" s="1135" t="s">
        <v>5408</v>
      </c>
      <c r="AQ85" s="1114" t="s">
        <v>5409</v>
      </c>
      <c r="AR85" s="1136" t="s">
        <v>5410</v>
      </c>
      <c r="AS85" s="1137" t="s">
        <v>5411</v>
      </c>
      <c r="AT85" s="1136" t="s">
        <v>5412</v>
      </c>
      <c r="AU85" s="1134" t="s">
        <v>5413</v>
      </c>
      <c r="AV85" s="1135" t="s">
        <v>5414</v>
      </c>
      <c r="AW85" s="1114" t="s">
        <v>5415</v>
      </c>
      <c r="AX85" s="1118" t="s">
        <v>5416</v>
      </c>
      <c r="AY85" s="1197" t="e">
        <f t="shared" si="159"/>
        <v>#VALUE!</v>
      </c>
      <c r="AZ85" s="1197"/>
      <c r="BA85" s="1197"/>
      <c r="BB85" s="1197"/>
      <c r="BC85" s="1197"/>
      <c r="BD85" s="1197"/>
      <c r="BE85" s="1197"/>
      <c r="BF85" s="1197"/>
      <c r="BG85" s="1197"/>
      <c r="BH85" s="1197"/>
      <c r="BI85" s="1197"/>
      <c r="BJ85" s="1191"/>
      <c r="BK85" s="1191"/>
      <c r="BL85" s="1191"/>
      <c r="BM85" s="1191"/>
      <c r="BV85" s="1547"/>
      <c r="BW85" s="1547"/>
      <c r="BX85" s="1547"/>
      <c r="CB85" s="2195" t="str">
        <f t="shared" si="160"/>
        <v xml:space="preserve">* El total de Reactivos NO DEBE ser superior al total de Procesados. </v>
      </c>
      <c r="CC85" s="2195" t="e">
        <f t="shared" si="161"/>
        <v>#VALUE!</v>
      </c>
      <c r="CD85" s="2195" t="e">
        <f t="shared" si="162"/>
        <v>#VALUE!</v>
      </c>
      <c r="CE85" s="2195" t="str">
        <f t="shared" si="163"/>
        <v xml:space="preserve">* La columna Pueblos Originarios NO DEBE ser superior al total de Procesados. </v>
      </c>
      <c r="CF85" s="2195" t="str">
        <f t="shared" si="164"/>
        <v xml:space="preserve">* La columna Migrantes NO DEBE ser superior al total de Procesados. </v>
      </c>
      <c r="CG85" s="2195" t="str">
        <f t="shared" si="192"/>
        <v>* El total de procesados debe ser mayor o igual al total de Reactivos en el grupo de edad Menor de 6 meses</v>
      </c>
      <c r="CH85" s="2195" t="str">
        <f t="shared" si="193"/>
        <v>* El total de procesados debe ser mayor o igual al total de Reactivos en el grupo de edad 6 a 11 meses</v>
      </c>
      <c r="CI85" s="2195" t="str">
        <f t="shared" si="194"/>
        <v>* El total de procesados debe ser mayor o igual al total de Reactivos en el grupo de edad 12-24 meses</v>
      </c>
      <c r="CJ85" s="2195" t="str">
        <f t="shared" si="195"/>
        <v>* El total de procesados debe ser mayor o igual al total de Reactivos en el grupo de edad 3 a 4 años</v>
      </c>
      <c r="CK85" s="2195" t="str">
        <f t="shared" si="196"/>
        <v>* El total de procesados debe ser mayor o igual al total de Reactivos en el grupo de edad 5 a 9 años</v>
      </c>
      <c r="CL85" s="2195" t="str">
        <f t="shared" si="197"/>
        <v>* El total de procesados debe ser mayor o igual al total de Reactivos en el grupo de edad 10 - 14 años</v>
      </c>
      <c r="CM85" s="2195" t="str">
        <f t="shared" si="198"/>
        <v>* El total de procesados debe ser mayor o igual al total de Reactivos en el grupo de edad 15 - 19 años</v>
      </c>
      <c r="CN85" s="2195" t="str">
        <f t="shared" si="199"/>
        <v>* El total de procesados debe ser mayor o igual al total de Reactivos en el grupo de edad 20 - 24 años</v>
      </c>
      <c r="CO85" s="2195" t="str">
        <f t="shared" si="200"/>
        <v>* El total de procesados debe ser mayor o igual al total de Reactivos en el grupo de edad 25 a 29 años</v>
      </c>
      <c r="CP85" s="2195" t="str">
        <f t="shared" si="201"/>
        <v>* El total de procesados debe ser mayor o igual al total de Reactivos en el grupo de edad 30 a 34 años</v>
      </c>
      <c r="CQ85" s="2195" t="str">
        <f t="shared" si="202"/>
        <v>* El total de procesados debe ser mayor o igual al total de Reactivos en el grupo de edad 35 a 39 años</v>
      </c>
      <c r="CR85" s="2195" t="str">
        <f t="shared" si="203"/>
        <v>* El total de procesados debe ser mayor o igual al total de Reactivos en el grupo de edad 40 a 44 años</v>
      </c>
      <c r="CS85" s="2195" t="str">
        <f t="shared" si="204"/>
        <v>* El total de procesados debe ser mayor o igual al total de Reactivos en el grupo de edad 45 a 49 años</v>
      </c>
      <c r="CT85" s="2195" t="str">
        <f t="shared" si="205"/>
        <v>* El total de procesados debe ser mayor o igual al total de Reactivos en el grupo de edad 50 a 54 años</v>
      </c>
      <c r="CU85" s="2195" t="str">
        <f t="shared" si="206"/>
        <v>* El total de procesados debe ser mayor o igual al total de Reactivos en el grupo de edad 55 a 59 años</v>
      </c>
      <c r="CV85" s="2195" t="str">
        <f t="shared" si="207"/>
        <v>* El total de procesados debe ser mayor o igual al total de Reactivos en el grupo de edad 60 a 64 años</v>
      </c>
      <c r="CW85" s="2195" t="str">
        <f t="shared" si="208"/>
        <v>* El total de procesados debe ser mayor o igual al total de Reactivos en el grupo de edad 65 a 69 años</v>
      </c>
      <c r="CX85" s="2195" t="str">
        <f t="shared" si="209"/>
        <v>* El total de procesados debe ser mayor o igual al total de Reactivos en el grupo de edad 70 a 74 años</v>
      </c>
      <c r="CY85" s="2195" t="str">
        <f t="shared" si="210"/>
        <v>* El total de procesados debe ser mayor o igual al total de Reactivos en el grupo de edad 75 a 79 años</v>
      </c>
      <c r="CZ85" s="2195" t="str">
        <f t="shared" si="211"/>
        <v>* El total de procesados debe ser mayor o igual al total de Reactivos en el grupo de edad 80 y más años</v>
      </c>
      <c r="DA85" s="2195" t="str">
        <f t="shared" si="165"/>
        <v/>
      </c>
      <c r="DB85" s="1446">
        <f t="shared" si="166"/>
        <v>1</v>
      </c>
      <c r="DC85" s="1446" t="e">
        <f t="shared" si="167"/>
        <v>#VALUE!</v>
      </c>
      <c r="DD85" s="1446" t="e">
        <f t="shared" si="168"/>
        <v>#VALUE!</v>
      </c>
      <c r="DE85" s="1446">
        <f t="shared" si="169"/>
        <v>1</v>
      </c>
      <c r="DF85" s="1446">
        <f t="shared" si="170"/>
        <v>1</v>
      </c>
      <c r="DG85" s="1446">
        <f t="shared" si="171"/>
        <v>1</v>
      </c>
      <c r="DH85" s="1446">
        <f t="shared" si="172"/>
        <v>1</v>
      </c>
      <c r="DI85" s="1446">
        <f t="shared" si="173"/>
        <v>1</v>
      </c>
      <c r="DJ85" s="1446">
        <f t="shared" si="174"/>
        <v>1</v>
      </c>
      <c r="DK85" s="1446">
        <f t="shared" si="175"/>
        <v>1</v>
      </c>
      <c r="DL85" s="1446">
        <f t="shared" si="176"/>
        <v>1</v>
      </c>
      <c r="DM85" s="1446">
        <f t="shared" si="177"/>
        <v>1</v>
      </c>
      <c r="DN85" s="1446">
        <f t="shared" si="178"/>
        <v>1</v>
      </c>
      <c r="DO85" s="1446">
        <f t="shared" si="179"/>
        <v>1</v>
      </c>
      <c r="DP85" s="1446">
        <f t="shared" si="180"/>
        <v>1</v>
      </c>
      <c r="DQ85" s="1446">
        <f t="shared" si="181"/>
        <v>1</v>
      </c>
      <c r="DR85" s="1446">
        <f t="shared" si="182"/>
        <v>1</v>
      </c>
      <c r="DS85" s="1446">
        <f t="shared" si="183"/>
        <v>1</v>
      </c>
      <c r="DT85" s="1446">
        <f t="shared" si="184"/>
        <v>1</v>
      </c>
      <c r="DU85" s="1446">
        <f t="shared" si="185"/>
        <v>1</v>
      </c>
      <c r="DV85" s="1446">
        <f t="shared" si="186"/>
        <v>1</v>
      </c>
      <c r="DW85" s="1446">
        <f t="shared" si="187"/>
        <v>1</v>
      </c>
      <c r="DX85" s="1446">
        <f t="shared" si="188"/>
        <v>1</v>
      </c>
      <c r="DY85" s="1446">
        <f t="shared" si="189"/>
        <v>1</v>
      </c>
      <c r="DZ85" s="1446">
        <f t="shared" si="190"/>
        <v>1</v>
      </c>
      <c r="EA85" s="1446">
        <f t="shared" si="191"/>
        <v>0</v>
      </c>
    </row>
    <row r="86" spans="1:131" ht="16.2" customHeight="1" x14ac:dyDescent="0.3">
      <c r="A86" s="7258">
        <v>11056426</v>
      </c>
      <c r="B86" s="2000" t="s">
        <v>1793</v>
      </c>
      <c r="C86" s="1998" t="s">
        <v>5369</v>
      </c>
      <c r="D86" s="2044" t="s">
        <v>5370</v>
      </c>
      <c r="E86" s="1134" t="s">
        <v>5371</v>
      </c>
      <c r="F86" s="1135" t="s">
        <v>5372</v>
      </c>
      <c r="G86" s="1114" t="s">
        <v>5373</v>
      </c>
      <c r="H86" s="1135" t="s">
        <v>5374</v>
      </c>
      <c r="I86" s="1114" t="s">
        <v>5375</v>
      </c>
      <c r="J86" s="1118" t="s">
        <v>5376</v>
      </c>
      <c r="K86" s="1134" t="s">
        <v>5377</v>
      </c>
      <c r="L86" s="1134" t="s">
        <v>5378</v>
      </c>
      <c r="M86" s="1114" t="s">
        <v>5379</v>
      </c>
      <c r="N86" s="1118" t="s">
        <v>5380</v>
      </c>
      <c r="O86" s="1134" t="s">
        <v>5381</v>
      </c>
      <c r="P86" s="1135" t="s">
        <v>5382</v>
      </c>
      <c r="Q86" s="1114" t="s">
        <v>5383</v>
      </c>
      <c r="R86" s="1135" t="s">
        <v>5384</v>
      </c>
      <c r="S86" s="1114" t="s">
        <v>5385</v>
      </c>
      <c r="T86" s="1135" t="s">
        <v>5386</v>
      </c>
      <c r="U86" s="1114" t="s">
        <v>5387</v>
      </c>
      <c r="V86" s="1135" t="s">
        <v>5388</v>
      </c>
      <c r="W86" s="1114" t="s">
        <v>5389</v>
      </c>
      <c r="X86" s="1135" t="s">
        <v>5390</v>
      </c>
      <c r="Y86" s="1114" t="s">
        <v>5391</v>
      </c>
      <c r="Z86" s="1135" t="s">
        <v>5392</v>
      </c>
      <c r="AA86" s="1114" t="s">
        <v>5393</v>
      </c>
      <c r="AB86" s="1135" t="s">
        <v>5394</v>
      </c>
      <c r="AC86" s="1114" t="s">
        <v>5395</v>
      </c>
      <c r="AD86" s="1135" t="s">
        <v>5396</v>
      </c>
      <c r="AE86" s="1114" t="s">
        <v>5397</v>
      </c>
      <c r="AF86" s="1135" t="s">
        <v>5398</v>
      </c>
      <c r="AG86" s="1114" t="s">
        <v>5399</v>
      </c>
      <c r="AH86" s="1135" t="s">
        <v>5400</v>
      </c>
      <c r="AI86" s="1114" t="s">
        <v>5401</v>
      </c>
      <c r="AJ86" s="1135" t="s">
        <v>5402</v>
      </c>
      <c r="AK86" s="1114" t="s">
        <v>5403</v>
      </c>
      <c r="AL86" s="1135" t="s">
        <v>5404</v>
      </c>
      <c r="AM86" s="1114" t="s">
        <v>5405</v>
      </c>
      <c r="AN86" s="1135" t="s">
        <v>5406</v>
      </c>
      <c r="AO86" s="1114" t="s">
        <v>5407</v>
      </c>
      <c r="AP86" s="1135" t="s">
        <v>5408</v>
      </c>
      <c r="AQ86" s="1114" t="s">
        <v>5409</v>
      </c>
      <c r="AR86" s="1136" t="s">
        <v>5410</v>
      </c>
      <c r="AS86" s="1137" t="s">
        <v>5411</v>
      </c>
      <c r="AT86" s="1136" t="s">
        <v>5412</v>
      </c>
      <c r="AU86" s="1134" t="s">
        <v>5413</v>
      </c>
      <c r="AV86" s="1135" t="s">
        <v>5414</v>
      </c>
      <c r="AW86" s="1114" t="s">
        <v>5415</v>
      </c>
      <c r="AX86" s="1118" t="s">
        <v>5416</v>
      </c>
      <c r="AY86" s="1197" t="e">
        <f t="shared" si="159"/>
        <v>#VALUE!</v>
      </c>
      <c r="AZ86" s="1197"/>
      <c r="BA86" s="1197"/>
      <c r="BB86" s="1197"/>
      <c r="BC86" s="1197"/>
      <c r="BD86" s="1197"/>
      <c r="BE86" s="1197"/>
      <c r="BF86" s="1197"/>
      <c r="BG86" s="1197"/>
      <c r="BH86" s="1197"/>
      <c r="BI86" s="1197"/>
      <c r="BJ86" s="1191"/>
      <c r="BK86" s="1191"/>
      <c r="BL86" s="1191"/>
      <c r="BM86" s="1191"/>
      <c r="BV86" s="1547"/>
      <c r="BW86" s="1547"/>
      <c r="BX86" s="1547"/>
      <c r="CB86" s="2195" t="str">
        <f t="shared" si="160"/>
        <v xml:space="preserve">* El total de Reactivos NO DEBE ser superior al total de Procesados. </v>
      </c>
      <c r="CC86" s="2195" t="e">
        <f t="shared" si="161"/>
        <v>#VALUE!</v>
      </c>
      <c r="CD86" s="2195" t="e">
        <f t="shared" si="162"/>
        <v>#VALUE!</v>
      </c>
      <c r="CE86" s="2195" t="str">
        <f t="shared" si="163"/>
        <v xml:space="preserve">* La columna Pueblos Originarios NO DEBE ser superior al total de Procesados. </v>
      </c>
      <c r="CF86" s="2195" t="str">
        <f t="shared" si="164"/>
        <v xml:space="preserve">* La columna Migrantes NO DEBE ser superior al total de Procesados. </v>
      </c>
      <c r="CG86" s="2195" t="str">
        <f t="shared" si="192"/>
        <v>* El total de procesados debe ser mayor o igual al total de Reactivos en el grupo de edad Menor de 6 meses</v>
      </c>
      <c r="CH86" s="2195" t="str">
        <f t="shared" si="193"/>
        <v>* El total de procesados debe ser mayor o igual al total de Reactivos en el grupo de edad 6 a 11 meses</v>
      </c>
      <c r="CI86" s="2195" t="str">
        <f t="shared" si="194"/>
        <v>* El total de procesados debe ser mayor o igual al total de Reactivos en el grupo de edad 12-24 meses</v>
      </c>
      <c r="CJ86" s="2195" t="str">
        <f t="shared" si="195"/>
        <v>* El total de procesados debe ser mayor o igual al total de Reactivos en el grupo de edad 3 a 4 años</v>
      </c>
      <c r="CK86" s="2195" t="str">
        <f t="shared" si="196"/>
        <v>* El total de procesados debe ser mayor o igual al total de Reactivos en el grupo de edad 5 a 9 años</v>
      </c>
      <c r="CL86" s="2195" t="str">
        <f t="shared" si="197"/>
        <v>* El total de procesados debe ser mayor o igual al total de Reactivos en el grupo de edad 10 - 14 años</v>
      </c>
      <c r="CM86" s="2195" t="str">
        <f t="shared" si="198"/>
        <v>* El total de procesados debe ser mayor o igual al total de Reactivos en el grupo de edad 15 - 19 años</v>
      </c>
      <c r="CN86" s="2195" t="str">
        <f t="shared" si="199"/>
        <v>* El total de procesados debe ser mayor o igual al total de Reactivos en el grupo de edad 20 - 24 años</v>
      </c>
      <c r="CO86" s="2195" t="str">
        <f t="shared" si="200"/>
        <v>* El total de procesados debe ser mayor o igual al total de Reactivos en el grupo de edad 25 a 29 años</v>
      </c>
      <c r="CP86" s="2195" t="str">
        <f t="shared" si="201"/>
        <v>* El total de procesados debe ser mayor o igual al total de Reactivos en el grupo de edad 30 a 34 años</v>
      </c>
      <c r="CQ86" s="2195" t="str">
        <f t="shared" si="202"/>
        <v>* El total de procesados debe ser mayor o igual al total de Reactivos en el grupo de edad 35 a 39 años</v>
      </c>
      <c r="CR86" s="2195" t="str">
        <f t="shared" si="203"/>
        <v>* El total de procesados debe ser mayor o igual al total de Reactivos en el grupo de edad 40 a 44 años</v>
      </c>
      <c r="CS86" s="2195" t="str">
        <f t="shared" si="204"/>
        <v>* El total de procesados debe ser mayor o igual al total de Reactivos en el grupo de edad 45 a 49 años</v>
      </c>
      <c r="CT86" s="2195" t="str">
        <f t="shared" si="205"/>
        <v>* El total de procesados debe ser mayor o igual al total de Reactivos en el grupo de edad 50 a 54 años</v>
      </c>
      <c r="CU86" s="2195" t="str">
        <f t="shared" si="206"/>
        <v>* El total de procesados debe ser mayor o igual al total de Reactivos en el grupo de edad 55 a 59 años</v>
      </c>
      <c r="CV86" s="2195" t="str">
        <f t="shared" si="207"/>
        <v>* El total de procesados debe ser mayor o igual al total de Reactivos en el grupo de edad 60 a 64 años</v>
      </c>
      <c r="CW86" s="2195" t="str">
        <f t="shared" si="208"/>
        <v>* El total de procesados debe ser mayor o igual al total de Reactivos en el grupo de edad 65 a 69 años</v>
      </c>
      <c r="CX86" s="2195" t="str">
        <f t="shared" si="209"/>
        <v>* El total de procesados debe ser mayor o igual al total de Reactivos en el grupo de edad 70 a 74 años</v>
      </c>
      <c r="CY86" s="2195" t="str">
        <f t="shared" si="210"/>
        <v>* El total de procesados debe ser mayor o igual al total de Reactivos en el grupo de edad 75 a 79 años</v>
      </c>
      <c r="CZ86" s="2195" t="str">
        <f t="shared" si="211"/>
        <v>* El total de procesados debe ser mayor o igual al total de Reactivos en el grupo de edad 80 y más años</v>
      </c>
      <c r="DA86" s="2195" t="str">
        <f t="shared" si="165"/>
        <v/>
      </c>
      <c r="DB86" s="1446">
        <f t="shared" si="166"/>
        <v>1</v>
      </c>
      <c r="DC86" s="1446" t="e">
        <f t="shared" si="167"/>
        <v>#VALUE!</v>
      </c>
      <c r="DD86" s="1446" t="e">
        <f t="shared" si="168"/>
        <v>#VALUE!</v>
      </c>
      <c r="DE86" s="1446">
        <f t="shared" si="169"/>
        <v>1</v>
      </c>
      <c r="DF86" s="1446">
        <f t="shared" si="170"/>
        <v>1</v>
      </c>
      <c r="DG86" s="1446">
        <f t="shared" si="171"/>
        <v>1</v>
      </c>
      <c r="DH86" s="1446">
        <f t="shared" si="172"/>
        <v>1</v>
      </c>
      <c r="DI86" s="1446">
        <f t="shared" si="173"/>
        <v>1</v>
      </c>
      <c r="DJ86" s="1446">
        <f t="shared" si="174"/>
        <v>1</v>
      </c>
      <c r="DK86" s="1446">
        <f t="shared" si="175"/>
        <v>1</v>
      </c>
      <c r="DL86" s="1446">
        <f t="shared" si="176"/>
        <v>1</v>
      </c>
      <c r="DM86" s="1446">
        <f t="shared" si="177"/>
        <v>1</v>
      </c>
      <c r="DN86" s="1446">
        <f t="shared" si="178"/>
        <v>1</v>
      </c>
      <c r="DO86" s="1446">
        <f t="shared" si="179"/>
        <v>1</v>
      </c>
      <c r="DP86" s="1446">
        <f t="shared" si="180"/>
        <v>1</v>
      </c>
      <c r="DQ86" s="1446">
        <f t="shared" si="181"/>
        <v>1</v>
      </c>
      <c r="DR86" s="1446">
        <f t="shared" si="182"/>
        <v>1</v>
      </c>
      <c r="DS86" s="1446">
        <f t="shared" si="183"/>
        <v>1</v>
      </c>
      <c r="DT86" s="1446">
        <f t="shared" si="184"/>
        <v>1</v>
      </c>
      <c r="DU86" s="1446">
        <f t="shared" si="185"/>
        <v>1</v>
      </c>
      <c r="DV86" s="1446">
        <f t="shared" si="186"/>
        <v>1</v>
      </c>
      <c r="DW86" s="1446">
        <f t="shared" si="187"/>
        <v>1</v>
      </c>
      <c r="DX86" s="1446">
        <f t="shared" si="188"/>
        <v>1</v>
      </c>
      <c r="DY86" s="1446">
        <f t="shared" si="189"/>
        <v>1</v>
      </c>
      <c r="DZ86" s="1446">
        <f t="shared" si="190"/>
        <v>1</v>
      </c>
      <c r="EA86" s="1446">
        <f t="shared" si="191"/>
        <v>0</v>
      </c>
    </row>
    <row r="87" spans="1:131" ht="24" customHeight="1" x14ac:dyDescent="0.3">
      <c r="A87" s="7258">
        <v>11056427</v>
      </c>
      <c r="B87" s="2045" t="s">
        <v>1794</v>
      </c>
      <c r="C87" s="1998" t="s">
        <v>5369</v>
      </c>
      <c r="D87" s="2044" t="s">
        <v>5370</v>
      </c>
      <c r="E87" s="1134" t="s">
        <v>5371</v>
      </c>
      <c r="F87" s="1135" t="s">
        <v>5372</v>
      </c>
      <c r="G87" s="1114" t="s">
        <v>5373</v>
      </c>
      <c r="H87" s="1135" t="s">
        <v>5374</v>
      </c>
      <c r="I87" s="1114" t="s">
        <v>5375</v>
      </c>
      <c r="J87" s="1118" t="s">
        <v>5376</v>
      </c>
      <c r="K87" s="1140" t="s">
        <v>5377</v>
      </c>
      <c r="L87" s="1141" t="s">
        <v>5378</v>
      </c>
      <c r="M87" s="1140" t="s">
        <v>5379</v>
      </c>
      <c r="N87" s="1141" t="s">
        <v>5380</v>
      </c>
      <c r="O87" s="1140" t="s">
        <v>5381</v>
      </c>
      <c r="P87" s="1141" t="s">
        <v>5382</v>
      </c>
      <c r="Q87" s="1140" t="s">
        <v>5383</v>
      </c>
      <c r="R87" s="1141" t="s">
        <v>5384</v>
      </c>
      <c r="S87" s="1140" t="s">
        <v>5385</v>
      </c>
      <c r="T87" s="1141" t="s">
        <v>5386</v>
      </c>
      <c r="U87" s="1140" t="s">
        <v>5387</v>
      </c>
      <c r="V87" s="1141" t="s">
        <v>5388</v>
      </c>
      <c r="W87" s="1140" t="s">
        <v>5389</v>
      </c>
      <c r="X87" s="1141" t="s">
        <v>5390</v>
      </c>
      <c r="Y87" s="1140" t="s">
        <v>5391</v>
      </c>
      <c r="Z87" s="1141" t="s">
        <v>5392</v>
      </c>
      <c r="AA87" s="1140" t="s">
        <v>5393</v>
      </c>
      <c r="AB87" s="1141" t="s">
        <v>5394</v>
      </c>
      <c r="AC87" s="1140" t="s">
        <v>5395</v>
      </c>
      <c r="AD87" s="1141" t="s">
        <v>5396</v>
      </c>
      <c r="AE87" s="1140" t="s">
        <v>5397</v>
      </c>
      <c r="AF87" s="1141" t="s">
        <v>5398</v>
      </c>
      <c r="AG87" s="1140" t="s">
        <v>5399</v>
      </c>
      <c r="AH87" s="1141" t="s">
        <v>5400</v>
      </c>
      <c r="AI87" s="1140" t="s">
        <v>5401</v>
      </c>
      <c r="AJ87" s="1141" t="s">
        <v>5402</v>
      </c>
      <c r="AK87" s="1140" t="s">
        <v>5403</v>
      </c>
      <c r="AL87" s="1141" t="s">
        <v>5404</v>
      </c>
      <c r="AM87" s="1140" t="s">
        <v>5405</v>
      </c>
      <c r="AN87" s="1141" t="s">
        <v>5406</v>
      </c>
      <c r="AO87" s="1140" t="s">
        <v>5407</v>
      </c>
      <c r="AP87" s="1141" t="s">
        <v>5408</v>
      </c>
      <c r="AQ87" s="1140" t="s">
        <v>5409</v>
      </c>
      <c r="AR87" s="1142" t="s">
        <v>5410</v>
      </c>
      <c r="AS87" s="1134" t="s">
        <v>5411</v>
      </c>
      <c r="AT87" s="1136" t="s">
        <v>5412</v>
      </c>
      <c r="AU87" s="1134" t="s">
        <v>5413</v>
      </c>
      <c r="AV87" s="1135" t="s">
        <v>5414</v>
      </c>
      <c r="AW87" s="1114" t="s">
        <v>5415</v>
      </c>
      <c r="AX87" s="1118" t="s">
        <v>5416</v>
      </c>
      <c r="AY87" s="1197" t="e">
        <f t="shared" si="159"/>
        <v>#VALUE!</v>
      </c>
      <c r="AZ87" s="1197"/>
      <c r="BA87" s="1197"/>
      <c r="BB87" s="1197"/>
      <c r="BC87" s="1197"/>
      <c r="BD87" s="1197"/>
      <c r="BE87" s="1197"/>
      <c r="BF87" s="1197"/>
      <c r="BG87" s="1197"/>
      <c r="BH87" s="1197"/>
      <c r="BI87" s="1197"/>
      <c r="BJ87" s="1191"/>
      <c r="BK87" s="1191"/>
      <c r="BL87" s="1191"/>
      <c r="BM87" s="1191"/>
      <c r="BV87" s="1547"/>
      <c r="BW87" s="1547"/>
      <c r="BX87" s="1547"/>
      <c r="CB87" s="2195" t="str">
        <f t="shared" si="160"/>
        <v xml:space="preserve">* El total de Reactivos NO DEBE ser superior al total de Procesados. </v>
      </c>
      <c r="CC87" s="2195" t="e">
        <f t="shared" si="161"/>
        <v>#VALUE!</v>
      </c>
      <c r="CD87" s="2195" t="e">
        <f t="shared" si="162"/>
        <v>#VALUE!</v>
      </c>
      <c r="CE87" s="2195" t="str">
        <f t="shared" si="163"/>
        <v xml:space="preserve">* La columna Pueblos Originarios NO DEBE ser superior al total de Procesados. </v>
      </c>
      <c r="CF87" s="2195" t="str">
        <f t="shared" si="164"/>
        <v xml:space="preserve">* La columna Migrantes NO DEBE ser superior al total de Procesados. </v>
      </c>
      <c r="CG87" s="2195" t="str">
        <f t="shared" si="192"/>
        <v>* El total de procesados debe ser mayor o igual al total de Reactivos en el grupo de edad Menor de 6 meses</v>
      </c>
      <c r="CH87" s="2195" t="str">
        <f t="shared" si="193"/>
        <v>* El total de procesados debe ser mayor o igual al total de Reactivos en el grupo de edad 6 a 11 meses</v>
      </c>
      <c r="CI87" s="2195" t="str">
        <f t="shared" si="194"/>
        <v>* El total de procesados debe ser mayor o igual al total de Reactivos en el grupo de edad 12-24 meses</v>
      </c>
      <c r="CJ87" s="2195" t="str">
        <f t="shared" si="195"/>
        <v>* El total de procesados debe ser mayor o igual al total de Reactivos en el grupo de edad 3 a 4 años</v>
      </c>
      <c r="CK87" s="2195" t="str">
        <f t="shared" si="196"/>
        <v>* El total de procesados debe ser mayor o igual al total de Reactivos en el grupo de edad 5 a 9 años</v>
      </c>
      <c r="CL87" s="2195" t="str">
        <f t="shared" si="197"/>
        <v>* El total de procesados debe ser mayor o igual al total de Reactivos en el grupo de edad 10 - 14 años</v>
      </c>
      <c r="CM87" s="2195" t="str">
        <f t="shared" si="198"/>
        <v>* El total de procesados debe ser mayor o igual al total de Reactivos en el grupo de edad 15 - 19 años</v>
      </c>
      <c r="CN87" s="2195" t="str">
        <f t="shared" si="199"/>
        <v>* El total de procesados debe ser mayor o igual al total de Reactivos en el grupo de edad 20 - 24 años</v>
      </c>
      <c r="CO87" s="2195" t="str">
        <f t="shared" si="200"/>
        <v>* El total de procesados debe ser mayor o igual al total de Reactivos en el grupo de edad 25 a 29 años</v>
      </c>
      <c r="CP87" s="2195" t="str">
        <f t="shared" si="201"/>
        <v>* El total de procesados debe ser mayor o igual al total de Reactivos en el grupo de edad 30 a 34 años</v>
      </c>
      <c r="CQ87" s="2195" t="str">
        <f t="shared" si="202"/>
        <v>* El total de procesados debe ser mayor o igual al total de Reactivos en el grupo de edad 35 a 39 años</v>
      </c>
      <c r="CR87" s="2195" t="str">
        <f t="shared" si="203"/>
        <v>* El total de procesados debe ser mayor o igual al total de Reactivos en el grupo de edad 40 a 44 años</v>
      </c>
      <c r="CS87" s="2195" t="str">
        <f t="shared" si="204"/>
        <v>* El total de procesados debe ser mayor o igual al total de Reactivos en el grupo de edad 45 a 49 años</v>
      </c>
      <c r="CT87" s="2195" t="str">
        <f t="shared" si="205"/>
        <v>* El total de procesados debe ser mayor o igual al total de Reactivos en el grupo de edad 50 a 54 años</v>
      </c>
      <c r="CU87" s="2195" t="str">
        <f t="shared" si="206"/>
        <v>* El total de procesados debe ser mayor o igual al total de Reactivos en el grupo de edad 55 a 59 años</v>
      </c>
      <c r="CV87" s="2195" t="str">
        <f t="shared" si="207"/>
        <v>* El total de procesados debe ser mayor o igual al total de Reactivos en el grupo de edad 60 a 64 años</v>
      </c>
      <c r="CW87" s="2195" t="str">
        <f t="shared" si="208"/>
        <v>* El total de procesados debe ser mayor o igual al total de Reactivos en el grupo de edad 65 a 69 años</v>
      </c>
      <c r="CX87" s="2195" t="str">
        <f t="shared" si="209"/>
        <v>* El total de procesados debe ser mayor o igual al total de Reactivos en el grupo de edad 70 a 74 años</v>
      </c>
      <c r="CY87" s="2195" t="str">
        <f t="shared" si="210"/>
        <v>* El total de procesados debe ser mayor o igual al total de Reactivos en el grupo de edad 75 a 79 años</v>
      </c>
      <c r="CZ87" s="2195" t="str">
        <f t="shared" si="211"/>
        <v>* El total de procesados debe ser mayor o igual al total de Reactivos en el grupo de edad 80 y más años</v>
      </c>
      <c r="DA87" s="2195" t="str">
        <f t="shared" si="165"/>
        <v/>
      </c>
      <c r="DB87" s="1446">
        <f t="shared" si="166"/>
        <v>1</v>
      </c>
      <c r="DC87" s="1446" t="e">
        <f t="shared" si="167"/>
        <v>#VALUE!</v>
      </c>
      <c r="DD87" s="1446" t="e">
        <f t="shared" si="168"/>
        <v>#VALUE!</v>
      </c>
      <c r="DE87" s="1446">
        <f t="shared" si="169"/>
        <v>1</v>
      </c>
      <c r="DF87" s="1446">
        <f t="shared" si="170"/>
        <v>1</v>
      </c>
      <c r="DG87" s="1446">
        <f t="shared" si="171"/>
        <v>1</v>
      </c>
      <c r="DH87" s="1446">
        <f t="shared" si="172"/>
        <v>1</v>
      </c>
      <c r="DI87" s="1446">
        <f t="shared" si="173"/>
        <v>1</v>
      </c>
      <c r="DJ87" s="1446">
        <f t="shared" si="174"/>
        <v>1</v>
      </c>
      <c r="DK87" s="1446">
        <f t="shared" si="175"/>
        <v>1</v>
      </c>
      <c r="DL87" s="1446">
        <f t="shared" si="176"/>
        <v>1</v>
      </c>
      <c r="DM87" s="1446">
        <f t="shared" si="177"/>
        <v>1</v>
      </c>
      <c r="DN87" s="1446">
        <f t="shared" si="178"/>
        <v>1</v>
      </c>
      <c r="DO87" s="1446">
        <f t="shared" si="179"/>
        <v>1</v>
      </c>
      <c r="DP87" s="1446">
        <f t="shared" si="180"/>
        <v>1</v>
      </c>
      <c r="DQ87" s="1446">
        <f t="shared" si="181"/>
        <v>1</v>
      </c>
      <c r="DR87" s="1446">
        <f t="shared" si="182"/>
        <v>1</v>
      </c>
      <c r="DS87" s="1446">
        <f t="shared" si="183"/>
        <v>1</v>
      </c>
      <c r="DT87" s="1446">
        <f t="shared" si="184"/>
        <v>1</v>
      </c>
      <c r="DU87" s="1446">
        <f t="shared" si="185"/>
        <v>1</v>
      </c>
      <c r="DV87" s="1446">
        <f t="shared" si="186"/>
        <v>1</v>
      </c>
      <c r="DW87" s="1446">
        <f t="shared" si="187"/>
        <v>1</v>
      </c>
      <c r="DX87" s="1446">
        <f t="shared" si="188"/>
        <v>1</v>
      </c>
      <c r="DY87" s="1446">
        <f t="shared" si="189"/>
        <v>1</v>
      </c>
      <c r="DZ87" s="1446">
        <f t="shared" si="190"/>
        <v>1</v>
      </c>
      <c r="EA87" s="1446">
        <f t="shared" si="191"/>
        <v>0</v>
      </c>
    </row>
    <row r="88" spans="1:131" ht="18.75" customHeight="1" x14ac:dyDescent="0.3">
      <c r="A88" s="7258">
        <v>11056428</v>
      </c>
      <c r="B88" s="2045" t="s">
        <v>1795</v>
      </c>
      <c r="C88" s="1998" t="s">
        <v>5369</v>
      </c>
      <c r="D88" s="2044" t="s">
        <v>5370</v>
      </c>
      <c r="E88" s="1130" t="s">
        <v>5371</v>
      </c>
      <c r="F88" s="1131" t="s">
        <v>5372</v>
      </c>
      <c r="G88" s="1132" t="s">
        <v>5373</v>
      </c>
      <c r="H88" s="1131" t="s">
        <v>5374</v>
      </c>
      <c r="I88" s="1132" t="s">
        <v>5375</v>
      </c>
      <c r="J88" s="1131" t="s">
        <v>5376</v>
      </c>
      <c r="K88" s="1132" t="s">
        <v>5377</v>
      </c>
      <c r="L88" s="1131" t="s">
        <v>5378</v>
      </c>
      <c r="M88" s="1132" t="s">
        <v>5379</v>
      </c>
      <c r="N88" s="1133" t="s">
        <v>5380</v>
      </c>
      <c r="O88" s="1130" t="s">
        <v>5381</v>
      </c>
      <c r="P88" s="1131" t="s">
        <v>5382</v>
      </c>
      <c r="Q88" s="1114" t="s">
        <v>5383</v>
      </c>
      <c r="R88" s="1135" t="s">
        <v>5384</v>
      </c>
      <c r="S88" s="1114" t="s">
        <v>5385</v>
      </c>
      <c r="T88" s="1135" t="s">
        <v>5386</v>
      </c>
      <c r="U88" s="1114" t="s">
        <v>5387</v>
      </c>
      <c r="V88" s="1135" t="s">
        <v>5388</v>
      </c>
      <c r="W88" s="1114" t="s">
        <v>5389</v>
      </c>
      <c r="X88" s="1135" t="s">
        <v>5390</v>
      </c>
      <c r="Y88" s="1114" t="s">
        <v>5391</v>
      </c>
      <c r="Z88" s="1135" t="s">
        <v>5392</v>
      </c>
      <c r="AA88" s="1114" t="s">
        <v>5393</v>
      </c>
      <c r="AB88" s="1135" t="s">
        <v>5394</v>
      </c>
      <c r="AC88" s="1114" t="s">
        <v>5395</v>
      </c>
      <c r="AD88" s="1135" t="s">
        <v>5396</v>
      </c>
      <c r="AE88" s="1114" t="s">
        <v>5397</v>
      </c>
      <c r="AF88" s="1135" t="s">
        <v>5398</v>
      </c>
      <c r="AG88" s="1114" t="s">
        <v>5399</v>
      </c>
      <c r="AH88" s="1135" t="s">
        <v>5400</v>
      </c>
      <c r="AI88" s="1114" t="s">
        <v>5401</v>
      </c>
      <c r="AJ88" s="1135" t="s">
        <v>5402</v>
      </c>
      <c r="AK88" s="1114" t="s">
        <v>5403</v>
      </c>
      <c r="AL88" s="1135" t="s">
        <v>5404</v>
      </c>
      <c r="AM88" s="1114" t="s">
        <v>5405</v>
      </c>
      <c r="AN88" s="1135" t="s">
        <v>5406</v>
      </c>
      <c r="AO88" s="1114" t="s">
        <v>5407</v>
      </c>
      <c r="AP88" s="1135" t="s">
        <v>5408</v>
      </c>
      <c r="AQ88" s="1114" t="s">
        <v>5409</v>
      </c>
      <c r="AR88" s="1136" t="s">
        <v>5410</v>
      </c>
      <c r="AS88" s="1134" t="s">
        <v>5411</v>
      </c>
      <c r="AT88" s="1136" t="s">
        <v>5412</v>
      </c>
      <c r="AU88" s="1134" t="s">
        <v>5413</v>
      </c>
      <c r="AV88" s="1135" t="s">
        <v>5414</v>
      </c>
      <c r="AW88" s="1114" t="s">
        <v>5415</v>
      </c>
      <c r="AX88" s="1118" t="s">
        <v>5416</v>
      </c>
      <c r="AY88" s="1197" t="e">
        <f t="shared" si="159"/>
        <v>#VALUE!</v>
      </c>
      <c r="AZ88" s="1197"/>
      <c r="BA88" s="1197"/>
      <c r="BB88" s="1197"/>
      <c r="BC88" s="1197"/>
      <c r="BD88" s="1197"/>
      <c r="BE88" s="1197"/>
      <c r="BF88" s="1197"/>
      <c r="BG88" s="1197"/>
      <c r="BH88" s="1197"/>
      <c r="BI88" s="1197"/>
      <c r="BJ88" s="1191"/>
      <c r="BK88" s="1191"/>
      <c r="BL88" s="1191"/>
      <c r="BM88" s="1191"/>
      <c r="BV88" s="1547"/>
      <c r="BW88" s="1547"/>
      <c r="BX88" s="1547"/>
      <c r="CB88" s="2195" t="str">
        <f t="shared" si="160"/>
        <v xml:space="preserve">* El total de Reactivos NO DEBE ser superior al total de Procesados. </v>
      </c>
      <c r="CC88" s="2195" t="e">
        <f t="shared" si="161"/>
        <v>#VALUE!</v>
      </c>
      <c r="CD88" s="2195" t="e">
        <f t="shared" si="162"/>
        <v>#VALUE!</v>
      </c>
      <c r="CE88" s="2195" t="str">
        <f t="shared" si="163"/>
        <v xml:space="preserve">* La columna Pueblos Originarios NO DEBE ser superior al total de Procesados. </v>
      </c>
      <c r="CF88" s="2195" t="str">
        <f t="shared" si="164"/>
        <v xml:space="preserve">* La columna Migrantes NO DEBE ser superior al total de Procesados. </v>
      </c>
      <c r="CG88" s="2195" t="str">
        <f t="shared" si="192"/>
        <v>* El total de procesados debe ser mayor o igual al total de Reactivos en el grupo de edad Menor de 6 meses</v>
      </c>
      <c r="CH88" s="2195" t="str">
        <f t="shared" si="193"/>
        <v>* El total de procesados debe ser mayor o igual al total de Reactivos en el grupo de edad 6 a 11 meses</v>
      </c>
      <c r="CI88" s="2195" t="str">
        <f t="shared" si="194"/>
        <v>* El total de procesados debe ser mayor o igual al total de Reactivos en el grupo de edad 12-24 meses</v>
      </c>
      <c r="CJ88" s="2195" t="str">
        <f t="shared" si="195"/>
        <v>* El total de procesados debe ser mayor o igual al total de Reactivos en el grupo de edad 3 a 4 años</v>
      </c>
      <c r="CK88" s="2195" t="str">
        <f t="shared" si="196"/>
        <v>* El total de procesados debe ser mayor o igual al total de Reactivos en el grupo de edad 5 a 9 años</v>
      </c>
      <c r="CL88" s="2195" t="str">
        <f t="shared" si="197"/>
        <v>* El total de procesados debe ser mayor o igual al total de Reactivos en el grupo de edad 10 - 14 años</v>
      </c>
      <c r="CM88" s="2195" t="str">
        <f t="shared" si="198"/>
        <v>* El total de procesados debe ser mayor o igual al total de Reactivos en el grupo de edad 15 - 19 años</v>
      </c>
      <c r="CN88" s="2195" t="str">
        <f t="shared" si="199"/>
        <v>* El total de procesados debe ser mayor o igual al total de Reactivos en el grupo de edad 20 - 24 años</v>
      </c>
      <c r="CO88" s="2195" t="str">
        <f t="shared" si="200"/>
        <v>* El total de procesados debe ser mayor o igual al total de Reactivos en el grupo de edad 25 a 29 años</v>
      </c>
      <c r="CP88" s="2195" t="str">
        <f t="shared" si="201"/>
        <v>* El total de procesados debe ser mayor o igual al total de Reactivos en el grupo de edad 30 a 34 años</v>
      </c>
      <c r="CQ88" s="2195" t="str">
        <f t="shared" si="202"/>
        <v>* El total de procesados debe ser mayor o igual al total de Reactivos en el grupo de edad 35 a 39 años</v>
      </c>
      <c r="CR88" s="2195" t="str">
        <f t="shared" si="203"/>
        <v>* El total de procesados debe ser mayor o igual al total de Reactivos en el grupo de edad 40 a 44 años</v>
      </c>
      <c r="CS88" s="2195" t="str">
        <f t="shared" si="204"/>
        <v>* El total de procesados debe ser mayor o igual al total de Reactivos en el grupo de edad 45 a 49 años</v>
      </c>
      <c r="CT88" s="2195" t="str">
        <f t="shared" si="205"/>
        <v>* El total de procesados debe ser mayor o igual al total de Reactivos en el grupo de edad 50 a 54 años</v>
      </c>
      <c r="CU88" s="2195" t="str">
        <f t="shared" si="206"/>
        <v>* El total de procesados debe ser mayor o igual al total de Reactivos en el grupo de edad 55 a 59 años</v>
      </c>
      <c r="CV88" s="2195" t="str">
        <f t="shared" si="207"/>
        <v>* El total de procesados debe ser mayor o igual al total de Reactivos en el grupo de edad 60 a 64 años</v>
      </c>
      <c r="CW88" s="2195" t="str">
        <f t="shared" si="208"/>
        <v>* El total de procesados debe ser mayor o igual al total de Reactivos en el grupo de edad 65 a 69 años</v>
      </c>
      <c r="CX88" s="2195" t="str">
        <f t="shared" si="209"/>
        <v>* El total de procesados debe ser mayor o igual al total de Reactivos en el grupo de edad 70 a 74 años</v>
      </c>
      <c r="CY88" s="2195" t="str">
        <f t="shared" si="210"/>
        <v>* El total de procesados debe ser mayor o igual al total de Reactivos en el grupo de edad 75 a 79 años</v>
      </c>
      <c r="CZ88" s="2195" t="str">
        <f t="shared" si="211"/>
        <v>* El total de procesados debe ser mayor o igual al total de Reactivos en el grupo de edad 80 y más años</v>
      </c>
      <c r="DA88" s="2195" t="str">
        <f t="shared" si="165"/>
        <v/>
      </c>
      <c r="DB88" s="1446">
        <f t="shared" si="166"/>
        <v>1</v>
      </c>
      <c r="DC88" s="1446" t="e">
        <f t="shared" si="167"/>
        <v>#VALUE!</v>
      </c>
      <c r="DD88" s="1446" t="e">
        <f t="shared" si="168"/>
        <v>#VALUE!</v>
      </c>
      <c r="DE88" s="1446">
        <f t="shared" si="169"/>
        <v>1</v>
      </c>
      <c r="DF88" s="1446">
        <f t="shared" si="170"/>
        <v>1</v>
      </c>
      <c r="DG88" s="1446">
        <f t="shared" si="171"/>
        <v>1</v>
      </c>
      <c r="DH88" s="1446">
        <f t="shared" si="172"/>
        <v>1</v>
      </c>
      <c r="DI88" s="1446">
        <f t="shared" si="173"/>
        <v>1</v>
      </c>
      <c r="DJ88" s="1446">
        <f t="shared" si="174"/>
        <v>1</v>
      </c>
      <c r="DK88" s="1446">
        <f t="shared" si="175"/>
        <v>1</v>
      </c>
      <c r="DL88" s="1446">
        <f t="shared" si="176"/>
        <v>1</v>
      </c>
      <c r="DM88" s="1446">
        <f t="shared" si="177"/>
        <v>1</v>
      </c>
      <c r="DN88" s="1446">
        <f t="shared" si="178"/>
        <v>1</v>
      </c>
      <c r="DO88" s="1446">
        <f t="shared" si="179"/>
        <v>1</v>
      </c>
      <c r="DP88" s="1446">
        <f t="shared" si="180"/>
        <v>1</v>
      </c>
      <c r="DQ88" s="1446">
        <f t="shared" si="181"/>
        <v>1</v>
      </c>
      <c r="DR88" s="1446">
        <f t="shared" si="182"/>
        <v>1</v>
      </c>
      <c r="DS88" s="1446">
        <f t="shared" si="183"/>
        <v>1</v>
      </c>
      <c r="DT88" s="1446">
        <f t="shared" si="184"/>
        <v>1</v>
      </c>
      <c r="DU88" s="1446">
        <f t="shared" si="185"/>
        <v>1</v>
      </c>
      <c r="DV88" s="1446">
        <f t="shared" si="186"/>
        <v>1</v>
      </c>
      <c r="DW88" s="1446">
        <f t="shared" si="187"/>
        <v>1</v>
      </c>
      <c r="DX88" s="1446">
        <f t="shared" si="188"/>
        <v>1</v>
      </c>
      <c r="DY88" s="1446">
        <f t="shared" si="189"/>
        <v>1</v>
      </c>
      <c r="DZ88" s="1446">
        <f t="shared" si="190"/>
        <v>1</v>
      </c>
      <c r="EA88" s="1446">
        <f t="shared" si="191"/>
        <v>0</v>
      </c>
    </row>
    <row r="89" spans="1:131" ht="16.2" customHeight="1" x14ac:dyDescent="0.3">
      <c r="A89" s="7258">
        <v>11056429</v>
      </c>
      <c r="B89" s="2000" t="s">
        <v>1796</v>
      </c>
      <c r="C89" s="1998" t="s">
        <v>5369</v>
      </c>
      <c r="D89" s="2044" t="s">
        <v>5370</v>
      </c>
      <c r="E89" s="1137" t="s">
        <v>5371</v>
      </c>
      <c r="F89" s="1141" t="s">
        <v>5372</v>
      </c>
      <c r="G89" s="1140" t="s">
        <v>5373</v>
      </c>
      <c r="H89" s="1141" t="s">
        <v>5374</v>
      </c>
      <c r="I89" s="1140" t="s">
        <v>5375</v>
      </c>
      <c r="J89" s="1143" t="s">
        <v>5376</v>
      </c>
      <c r="K89" s="1137" t="s">
        <v>5377</v>
      </c>
      <c r="L89" s="1137" t="s">
        <v>5378</v>
      </c>
      <c r="M89" s="1140" t="s">
        <v>5379</v>
      </c>
      <c r="N89" s="1143" t="s">
        <v>5380</v>
      </c>
      <c r="O89" s="1134" t="s">
        <v>5381</v>
      </c>
      <c r="P89" s="1135" t="s">
        <v>5382</v>
      </c>
      <c r="Q89" s="1114" t="s">
        <v>5383</v>
      </c>
      <c r="R89" s="1135" t="s">
        <v>5384</v>
      </c>
      <c r="S89" s="1114" t="s">
        <v>5385</v>
      </c>
      <c r="T89" s="1135" t="s">
        <v>5386</v>
      </c>
      <c r="U89" s="1114" t="s">
        <v>5387</v>
      </c>
      <c r="V89" s="1135" t="s">
        <v>5388</v>
      </c>
      <c r="W89" s="1114" t="s">
        <v>5389</v>
      </c>
      <c r="X89" s="1135" t="s">
        <v>5390</v>
      </c>
      <c r="Y89" s="1114" t="s">
        <v>5391</v>
      </c>
      <c r="Z89" s="1135" t="s">
        <v>5392</v>
      </c>
      <c r="AA89" s="1114" t="s">
        <v>5393</v>
      </c>
      <c r="AB89" s="1135" t="s">
        <v>5394</v>
      </c>
      <c r="AC89" s="1114" t="s">
        <v>5395</v>
      </c>
      <c r="AD89" s="1135" t="s">
        <v>5396</v>
      </c>
      <c r="AE89" s="1114" t="s">
        <v>5397</v>
      </c>
      <c r="AF89" s="1135" t="s">
        <v>5398</v>
      </c>
      <c r="AG89" s="1114" t="s">
        <v>5399</v>
      </c>
      <c r="AH89" s="1135" t="s">
        <v>5400</v>
      </c>
      <c r="AI89" s="1114" t="s">
        <v>5401</v>
      </c>
      <c r="AJ89" s="1135" t="s">
        <v>5402</v>
      </c>
      <c r="AK89" s="1114" t="s">
        <v>5403</v>
      </c>
      <c r="AL89" s="1135" t="s">
        <v>5404</v>
      </c>
      <c r="AM89" s="1114" t="s">
        <v>5405</v>
      </c>
      <c r="AN89" s="1135" t="s">
        <v>5406</v>
      </c>
      <c r="AO89" s="1114" t="s">
        <v>5407</v>
      </c>
      <c r="AP89" s="1135" t="s">
        <v>5408</v>
      </c>
      <c r="AQ89" s="1114" t="s">
        <v>5409</v>
      </c>
      <c r="AR89" s="1136" t="s">
        <v>5410</v>
      </c>
      <c r="AS89" s="1134" t="s">
        <v>5411</v>
      </c>
      <c r="AT89" s="1136" t="s">
        <v>5412</v>
      </c>
      <c r="AU89" s="1134" t="s">
        <v>5413</v>
      </c>
      <c r="AV89" s="1135" t="s">
        <v>5414</v>
      </c>
      <c r="AW89" s="1114" t="s">
        <v>5415</v>
      </c>
      <c r="AX89" s="1118" t="s">
        <v>5416</v>
      </c>
      <c r="AY89" s="1197" t="e">
        <f t="shared" si="159"/>
        <v>#VALUE!</v>
      </c>
      <c r="AZ89" s="1197"/>
      <c r="BA89" s="1197"/>
      <c r="BB89" s="1197"/>
      <c r="BC89" s="1197"/>
      <c r="BD89" s="1197"/>
      <c r="BE89" s="1197"/>
      <c r="BF89" s="1197"/>
      <c r="BG89" s="1197"/>
      <c r="BH89" s="1197"/>
      <c r="BI89" s="1197"/>
      <c r="BJ89" s="1191"/>
      <c r="BK89" s="1191"/>
      <c r="BL89" s="1191"/>
      <c r="BM89" s="1191"/>
      <c r="BV89" s="1547"/>
      <c r="BW89" s="1547"/>
      <c r="BX89" s="1547"/>
      <c r="CB89" s="2195" t="str">
        <f t="shared" si="160"/>
        <v xml:space="preserve">* El total de Reactivos NO DEBE ser superior al total de Procesados. </v>
      </c>
      <c r="CC89" s="2195" t="e">
        <f t="shared" si="161"/>
        <v>#VALUE!</v>
      </c>
      <c r="CD89" s="2195" t="e">
        <f t="shared" si="162"/>
        <v>#VALUE!</v>
      </c>
      <c r="CE89" s="2195" t="str">
        <f t="shared" si="163"/>
        <v xml:space="preserve">* La columna Pueblos Originarios NO DEBE ser superior al total de Procesados. </v>
      </c>
      <c r="CF89" s="2195" t="str">
        <f t="shared" si="164"/>
        <v xml:space="preserve">* La columna Migrantes NO DEBE ser superior al total de Procesados. </v>
      </c>
      <c r="CG89" s="2195" t="str">
        <f t="shared" si="192"/>
        <v>* El total de procesados debe ser mayor o igual al total de Reactivos en el grupo de edad Menor de 6 meses</v>
      </c>
      <c r="CH89" s="2195" t="str">
        <f t="shared" si="193"/>
        <v>* El total de procesados debe ser mayor o igual al total de Reactivos en el grupo de edad 6 a 11 meses</v>
      </c>
      <c r="CI89" s="2195" t="str">
        <f t="shared" si="194"/>
        <v>* El total de procesados debe ser mayor o igual al total de Reactivos en el grupo de edad 12-24 meses</v>
      </c>
      <c r="CJ89" s="2195" t="str">
        <f t="shared" si="195"/>
        <v>* El total de procesados debe ser mayor o igual al total de Reactivos en el grupo de edad 3 a 4 años</v>
      </c>
      <c r="CK89" s="2195" t="str">
        <f t="shared" si="196"/>
        <v>* El total de procesados debe ser mayor o igual al total de Reactivos en el grupo de edad 5 a 9 años</v>
      </c>
      <c r="CL89" s="2195" t="str">
        <f t="shared" si="197"/>
        <v>* El total de procesados debe ser mayor o igual al total de Reactivos en el grupo de edad 10 - 14 años</v>
      </c>
      <c r="CM89" s="2195" t="str">
        <f t="shared" si="198"/>
        <v>* El total de procesados debe ser mayor o igual al total de Reactivos en el grupo de edad 15 - 19 años</v>
      </c>
      <c r="CN89" s="2195" t="str">
        <f t="shared" si="199"/>
        <v>* El total de procesados debe ser mayor o igual al total de Reactivos en el grupo de edad 20 - 24 años</v>
      </c>
      <c r="CO89" s="2195" t="str">
        <f t="shared" si="200"/>
        <v>* El total de procesados debe ser mayor o igual al total de Reactivos en el grupo de edad 25 a 29 años</v>
      </c>
      <c r="CP89" s="2195" t="str">
        <f t="shared" si="201"/>
        <v>* El total de procesados debe ser mayor o igual al total de Reactivos en el grupo de edad 30 a 34 años</v>
      </c>
      <c r="CQ89" s="2195" t="str">
        <f t="shared" si="202"/>
        <v>* El total de procesados debe ser mayor o igual al total de Reactivos en el grupo de edad 35 a 39 años</v>
      </c>
      <c r="CR89" s="2195" t="str">
        <f t="shared" si="203"/>
        <v>* El total de procesados debe ser mayor o igual al total de Reactivos en el grupo de edad 40 a 44 años</v>
      </c>
      <c r="CS89" s="2195" t="str">
        <f t="shared" si="204"/>
        <v>* El total de procesados debe ser mayor o igual al total de Reactivos en el grupo de edad 45 a 49 años</v>
      </c>
      <c r="CT89" s="2195" t="str">
        <f t="shared" si="205"/>
        <v>* El total de procesados debe ser mayor o igual al total de Reactivos en el grupo de edad 50 a 54 años</v>
      </c>
      <c r="CU89" s="2195" t="str">
        <f t="shared" si="206"/>
        <v>* El total de procesados debe ser mayor o igual al total de Reactivos en el grupo de edad 55 a 59 años</v>
      </c>
      <c r="CV89" s="2195" t="str">
        <f t="shared" si="207"/>
        <v>* El total de procesados debe ser mayor o igual al total de Reactivos en el grupo de edad 60 a 64 años</v>
      </c>
      <c r="CW89" s="2195" t="str">
        <f t="shared" si="208"/>
        <v>* El total de procesados debe ser mayor o igual al total de Reactivos en el grupo de edad 65 a 69 años</v>
      </c>
      <c r="CX89" s="2195" t="str">
        <f t="shared" si="209"/>
        <v>* El total de procesados debe ser mayor o igual al total de Reactivos en el grupo de edad 70 a 74 años</v>
      </c>
      <c r="CY89" s="2195" t="str">
        <f t="shared" si="210"/>
        <v>* El total de procesados debe ser mayor o igual al total de Reactivos en el grupo de edad 75 a 79 años</v>
      </c>
      <c r="CZ89" s="2195" t="str">
        <f t="shared" si="211"/>
        <v>* El total de procesados debe ser mayor o igual al total de Reactivos en el grupo de edad 80 y más años</v>
      </c>
      <c r="DA89" s="2195" t="str">
        <f t="shared" si="165"/>
        <v/>
      </c>
      <c r="DB89" s="1446">
        <f t="shared" si="166"/>
        <v>1</v>
      </c>
      <c r="DC89" s="1446" t="e">
        <f t="shared" si="167"/>
        <v>#VALUE!</v>
      </c>
      <c r="DD89" s="1446" t="e">
        <f t="shared" si="168"/>
        <v>#VALUE!</v>
      </c>
      <c r="DE89" s="1446">
        <f t="shared" si="169"/>
        <v>1</v>
      </c>
      <c r="DF89" s="1446">
        <f t="shared" si="170"/>
        <v>1</v>
      </c>
      <c r="DG89" s="1446">
        <f t="shared" si="171"/>
        <v>1</v>
      </c>
      <c r="DH89" s="1446">
        <f t="shared" si="172"/>
        <v>1</v>
      </c>
      <c r="DI89" s="1446">
        <f t="shared" si="173"/>
        <v>1</v>
      </c>
      <c r="DJ89" s="1446">
        <f t="shared" si="174"/>
        <v>1</v>
      </c>
      <c r="DK89" s="1446">
        <f t="shared" si="175"/>
        <v>1</v>
      </c>
      <c r="DL89" s="1446">
        <f t="shared" si="176"/>
        <v>1</v>
      </c>
      <c r="DM89" s="1446">
        <f t="shared" si="177"/>
        <v>1</v>
      </c>
      <c r="DN89" s="1446">
        <f t="shared" si="178"/>
        <v>1</v>
      </c>
      <c r="DO89" s="1446">
        <f t="shared" si="179"/>
        <v>1</v>
      </c>
      <c r="DP89" s="1446">
        <f t="shared" si="180"/>
        <v>1</v>
      </c>
      <c r="DQ89" s="1446">
        <f t="shared" si="181"/>
        <v>1</v>
      </c>
      <c r="DR89" s="1446">
        <f t="shared" si="182"/>
        <v>1</v>
      </c>
      <c r="DS89" s="1446">
        <f t="shared" si="183"/>
        <v>1</v>
      </c>
      <c r="DT89" s="1446">
        <f t="shared" si="184"/>
        <v>1</v>
      </c>
      <c r="DU89" s="1446">
        <f t="shared" si="185"/>
        <v>1</v>
      </c>
      <c r="DV89" s="1446">
        <f t="shared" si="186"/>
        <v>1</v>
      </c>
      <c r="DW89" s="1446">
        <f t="shared" si="187"/>
        <v>1</v>
      </c>
      <c r="DX89" s="1446">
        <f t="shared" si="188"/>
        <v>1</v>
      </c>
      <c r="DY89" s="1446">
        <f t="shared" si="189"/>
        <v>1</v>
      </c>
      <c r="DZ89" s="1446">
        <f t="shared" si="190"/>
        <v>1</v>
      </c>
      <c r="EA89" s="1446">
        <f t="shared" si="191"/>
        <v>0</v>
      </c>
    </row>
    <row r="90" spans="1:131" ht="16.2" customHeight="1" x14ac:dyDescent="0.3">
      <c r="A90" s="7258">
        <v>11056430</v>
      </c>
      <c r="B90" s="2000" t="s">
        <v>1797</v>
      </c>
      <c r="C90" s="1998" t="s">
        <v>5369</v>
      </c>
      <c r="D90" s="2044" t="s">
        <v>5370</v>
      </c>
      <c r="E90" s="1134" t="s">
        <v>5371</v>
      </c>
      <c r="F90" s="1135" t="s">
        <v>5372</v>
      </c>
      <c r="G90" s="1114" t="s">
        <v>5373</v>
      </c>
      <c r="H90" s="1135" t="s">
        <v>5374</v>
      </c>
      <c r="I90" s="1114" t="s">
        <v>5375</v>
      </c>
      <c r="J90" s="1118" t="s">
        <v>5376</v>
      </c>
      <c r="K90" s="1134" t="s">
        <v>5377</v>
      </c>
      <c r="L90" s="1134" t="s">
        <v>5378</v>
      </c>
      <c r="M90" s="1114" t="s">
        <v>5379</v>
      </c>
      <c r="N90" s="1118" t="s">
        <v>5380</v>
      </c>
      <c r="O90" s="1134" t="s">
        <v>5381</v>
      </c>
      <c r="P90" s="1135" t="s">
        <v>5382</v>
      </c>
      <c r="Q90" s="1114" t="s">
        <v>5383</v>
      </c>
      <c r="R90" s="1135" t="s">
        <v>5384</v>
      </c>
      <c r="S90" s="1114" t="s">
        <v>5385</v>
      </c>
      <c r="T90" s="1135" t="s">
        <v>5386</v>
      </c>
      <c r="U90" s="1114" t="s">
        <v>5387</v>
      </c>
      <c r="V90" s="1135" t="s">
        <v>5388</v>
      </c>
      <c r="W90" s="1114" t="s">
        <v>5389</v>
      </c>
      <c r="X90" s="1135" t="s">
        <v>5390</v>
      </c>
      <c r="Y90" s="1114" t="s">
        <v>5391</v>
      </c>
      <c r="Z90" s="1135" t="s">
        <v>5392</v>
      </c>
      <c r="AA90" s="1114" t="s">
        <v>5393</v>
      </c>
      <c r="AB90" s="1135" t="s">
        <v>5394</v>
      </c>
      <c r="AC90" s="1114" t="s">
        <v>5395</v>
      </c>
      <c r="AD90" s="1135" t="s">
        <v>5396</v>
      </c>
      <c r="AE90" s="1114" t="s">
        <v>5397</v>
      </c>
      <c r="AF90" s="1135" t="s">
        <v>5398</v>
      </c>
      <c r="AG90" s="1114" t="s">
        <v>5399</v>
      </c>
      <c r="AH90" s="1135" t="s">
        <v>5400</v>
      </c>
      <c r="AI90" s="1114" t="s">
        <v>5401</v>
      </c>
      <c r="AJ90" s="1135" t="s">
        <v>5402</v>
      </c>
      <c r="AK90" s="1114" t="s">
        <v>5403</v>
      </c>
      <c r="AL90" s="1135" t="s">
        <v>5404</v>
      </c>
      <c r="AM90" s="1114" t="s">
        <v>5405</v>
      </c>
      <c r="AN90" s="1135" t="s">
        <v>5406</v>
      </c>
      <c r="AO90" s="1114" t="s">
        <v>5407</v>
      </c>
      <c r="AP90" s="1135" t="s">
        <v>5408</v>
      </c>
      <c r="AQ90" s="1114" t="s">
        <v>5409</v>
      </c>
      <c r="AR90" s="1136" t="s">
        <v>5410</v>
      </c>
      <c r="AS90" s="1134" t="s">
        <v>5411</v>
      </c>
      <c r="AT90" s="1136" t="s">
        <v>5412</v>
      </c>
      <c r="AU90" s="1134" t="s">
        <v>5413</v>
      </c>
      <c r="AV90" s="1135" t="s">
        <v>5414</v>
      </c>
      <c r="AW90" s="1114" t="s">
        <v>5415</v>
      </c>
      <c r="AX90" s="1118" t="s">
        <v>5416</v>
      </c>
      <c r="AY90" s="1197" t="e">
        <f t="shared" si="159"/>
        <v>#VALUE!</v>
      </c>
      <c r="AZ90" s="1197"/>
      <c r="BA90" s="1197"/>
      <c r="BB90" s="1197"/>
      <c r="BC90" s="1197"/>
      <c r="BD90" s="1197"/>
      <c r="BE90" s="1197"/>
      <c r="BF90" s="1197"/>
      <c r="BG90" s="1197"/>
      <c r="BH90" s="1197"/>
      <c r="BI90" s="1197"/>
      <c r="BJ90" s="1191"/>
      <c r="BK90" s="1191"/>
      <c r="BL90" s="1191"/>
      <c r="BM90" s="1191"/>
      <c r="BV90" s="1547"/>
      <c r="BW90" s="1547"/>
      <c r="BX90" s="1547"/>
      <c r="CB90" s="2195" t="str">
        <f t="shared" si="160"/>
        <v xml:space="preserve">* El total de Reactivos NO DEBE ser superior al total de Procesados. </v>
      </c>
      <c r="CC90" s="2195" t="e">
        <f t="shared" si="161"/>
        <v>#VALUE!</v>
      </c>
      <c r="CD90" s="2195" t="e">
        <f t="shared" si="162"/>
        <v>#VALUE!</v>
      </c>
      <c r="CE90" s="2195" t="str">
        <f t="shared" si="163"/>
        <v xml:space="preserve">* La columna Pueblos Originarios NO DEBE ser superior al total de Procesados. </v>
      </c>
      <c r="CF90" s="2195" t="str">
        <f t="shared" si="164"/>
        <v xml:space="preserve">* La columna Migrantes NO DEBE ser superior al total de Procesados. </v>
      </c>
      <c r="CG90" s="2195" t="str">
        <f t="shared" si="192"/>
        <v>* El total de procesados debe ser mayor o igual al total de Reactivos en el grupo de edad Menor de 6 meses</v>
      </c>
      <c r="CH90" s="2195" t="str">
        <f t="shared" si="193"/>
        <v>* El total de procesados debe ser mayor o igual al total de Reactivos en el grupo de edad 6 a 11 meses</v>
      </c>
      <c r="CI90" s="2195" t="str">
        <f t="shared" si="194"/>
        <v>* El total de procesados debe ser mayor o igual al total de Reactivos en el grupo de edad 12-24 meses</v>
      </c>
      <c r="CJ90" s="2195" t="str">
        <f t="shared" si="195"/>
        <v>* El total de procesados debe ser mayor o igual al total de Reactivos en el grupo de edad 3 a 4 años</v>
      </c>
      <c r="CK90" s="2195" t="str">
        <f t="shared" si="196"/>
        <v>* El total de procesados debe ser mayor o igual al total de Reactivos en el grupo de edad 5 a 9 años</v>
      </c>
      <c r="CL90" s="2195" t="str">
        <f t="shared" si="197"/>
        <v>* El total de procesados debe ser mayor o igual al total de Reactivos en el grupo de edad 10 - 14 años</v>
      </c>
      <c r="CM90" s="2195" t="str">
        <f t="shared" si="198"/>
        <v>* El total de procesados debe ser mayor o igual al total de Reactivos en el grupo de edad 15 - 19 años</v>
      </c>
      <c r="CN90" s="2195" t="str">
        <f t="shared" si="199"/>
        <v>* El total de procesados debe ser mayor o igual al total de Reactivos en el grupo de edad 20 - 24 años</v>
      </c>
      <c r="CO90" s="2195" t="str">
        <f t="shared" si="200"/>
        <v>* El total de procesados debe ser mayor o igual al total de Reactivos en el grupo de edad 25 a 29 años</v>
      </c>
      <c r="CP90" s="2195" t="str">
        <f t="shared" si="201"/>
        <v>* El total de procesados debe ser mayor o igual al total de Reactivos en el grupo de edad 30 a 34 años</v>
      </c>
      <c r="CQ90" s="2195" t="str">
        <f t="shared" si="202"/>
        <v>* El total de procesados debe ser mayor o igual al total de Reactivos en el grupo de edad 35 a 39 años</v>
      </c>
      <c r="CR90" s="2195" t="str">
        <f t="shared" si="203"/>
        <v>* El total de procesados debe ser mayor o igual al total de Reactivos en el grupo de edad 40 a 44 años</v>
      </c>
      <c r="CS90" s="2195" t="str">
        <f t="shared" si="204"/>
        <v>* El total de procesados debe ser mayor o igual al total de Reactivos en el grupo de edad 45 a 49 años</v>
      </c>
      <c r="CT90" s="2195" t="str">
        <f t="shared" si="205"/>
        <v>* El total de procesados debe ser mayor o igual al total de Reactivos en el grupo de edad 50 a 54 años</v>
      </c>
      <c r="CU90" s="2195" t="str">
        <f t="shared" si="206"/>
        <v>* El total de procesados debe ser mayor o igual al total de Reactivos en el grupo de edad 55 a 59 años</v>
      </c>
      <c r="CV90" s="2195" t="str">
        <f t="shared" si="207"/>
        <v>* El total de procesados debe ser mayor o igual al total de Reactivos en el grupo de edad 60 a 64 años</v>
      </c>
      <c r="CW90" s="2195" t="str">
        <f t="shared" si="208"/>
        <v>* El total de procesados debe ser mayor o igual al total de Reactivos en el grupo de edad 65 a 69 años</v>
      </c>
      <c r="CX90" s="2195" t="str">
        <f t="shared" si="209"/>
        <v>* El total de procesados debe ser mayor o igual al total de Reactivos en el grupo de edad 70 a 74 años</v>
      </c>
      <c r="CY90" s="2195" t="str">
        <f t="shared" si="210"/>
        <v>* El total de procesados debe ser mayor o igual al total de Reactivos en el grupo de edad 75 a 79 años</v>
      </c>
      <c r="CZ90" s="2195" t="str">
        <f t="shared" si="211"/>
        <v>* El total de procesados debe ser mayor o igual al total de Reactivos en el grupo de edad 80 y más años</v>
      </c>
      <c r="DA90" s="2195" t="str">
        <f t="shared" si="165"/>
        <v/>
      </c>
      <c r="DB90" s="1446">
        <f t="shared" si="166"/>
        <v>1</v>
      </c>
      <c r="DC90" s="1446" t="e">
        <f t="shared" si="167"/>
        <v>#VALUE!</v>
      </c>
      <c r="DD90" s="1446" t="e">
        <f t="shared" si="168"/>
        <v>#VALUE!</v>
      </c>
      <c r="DE90" s="1446">
        <f t="shared" si="169"/>
        <v>1</v>
      </c>
      <c r="DF90" s="1446">
        <f t="shared" si="170"/>
        <v>1</v>
      </c>
      <c r="DG90" s="1446">
        <f t="shared" si="171"/>
        <v>1</v>
      </c>
      <c r="DH90" s="1446">
        <f t="shared" si="172"/>
        <v>1</v>
      </c>
      <c r="DI90" s="1446">
        <f t="shared" si="173"/>
        <v>1</v>
      </c>
      <c r="DJ90" s="1446">
        <f t="shared" si="174"/>
        <v>1</v>
      </c>
      <c r="DK90" s="1446">
        <f t="shared" si="175"/>
        <v>1</v>
      </c>
      <c r="DL90" s="1446">
        <f t="shared" si="176"/>
        <v>1</v>
      </c>
      <c r="DM90" s="1446">
        <f t="shared" si="177"/>
        <v>1</v>
      </c>
      <c r="DN90" s="1446">
        <f t="shared" si="178"/>
        <v>1</v>
      </c>
      <c r="DO90" s="1446">
        <f t="shared" si="179"/>
        <v>1</v>
      </c>
      <c r="DP90" s="1446">
        <f t="shared" si="180"/>
        <v>1</v>
      </c>
      <c r="DQ90" s="1446">
        <f t="shared" si="181"/>
        <v>1</v>
      </c>
      <c r="DR90" s="1446">
        <f t="shared" si="182"/>
        <v>1</v>
      </c>
      <c r="DS90" s="1446">
        <f t="shared" si="183"/>
        <v>1</v>
      </c>
      <c r="DT90" s="1446">
        <f t="shared" si="184"/>
        <v>1</v>
      </c>
      <c r="DU90" s="1446">
        <f t="shared" si="185"/>
        <v>1</v>
      </c>
      <c r="DV90" s="1446">
        <f t="shared" si="186"/>
        <v>1</v>
      </c>
      <c r="DW90" s="1446">
        <f t="shared" si="187"/>
        <v>1</v>
      </c>
      <c r="DX90" s="1446">
        <f t="shared" si="188"/>
        <v>1</v>
      </c>
      <c r="DY90" s="1446">
        <f t="shared" si="189"/>
        <v>1</v>
      </c>
      <c r="DZ90" s="1446">
        <f t="shared" si="190"/>
        <v>1</v>
      </c>
      <c r="EA90" s="1446">
        <f t="shared" si="191"/>
        <v>0</v>
      </c>
    </row>
    <row r="91" spans="1:131" ht="16.2" customHeight="1" x14ac:dyDescent="0.3">
      <c r="A91" s="7258">
        <v>11056431</v>
      </c>
      <c r="B91" s="2032" t="s">
        <v>2184</v>
      </c>
      <c r="C91" s="1998" t="s">
        <v>5369</v>
      </c>
      <c r="D91" s="2044" t="s">
        <v>5370</v>
      </c>
      <c r="E91" s="1130" t="s">
        <v>5371</v>
      </c>
      <c r="F91" s="1131" t="s">
        <v>5372</v>
      </c>
      <c r="G91" s="1132" t="s">
        <v>5373</v>
      </c>
      <c r="H91" s="1131" t="s">
        <v>5374</v>
      </c>
      <c r="I91" s="1132" t="s">
        <v>5375</v>
      </c>
      <c r="J91" s="1131" t="s">
        <v>5376</v>
      </c>
      <c r="K91" s="1132" t="s">
        <v>5377</v>
      </c>
      <c r="L91" s="1131" t="s">
        <v>5378</v>
      </c>
      <c r="M91" s="1132" t="s">
        <v>5379</v>
      </c>
      <c r="N91" s="1133" t="s">
        <v>5380</v>
      </c>
      <c r="O91" s="1130" t="s">
        <v>5381</v>
      </c>
      <c r="P91" s="1131" t="s">
        <v>5382</v>
      </c>
      <c r="Q91" s="1114" t="s">
        <v>5383</v>
      </c>
      <c r="R91" s="1135" t="s">
        <v>5384</v>
      </c>
      <c r="S91" s="1114" t="s">
        <v>5385</v>
      </c>
      <c r="T91" s="1135" t="s">
        <v>5386</v>
      </c>
      <c r="U91" s="1114" t="s">
        <v>5387</v>
      </c>
      <c r="V91" s="1135" t="s">
        <v>5388</v>
      </c>
      <c r="W91" s="1114" t="s">
        <v>5389</v>
      </c>
      <c r="X91" s="1135" t="s">
        <v>5390</v>
      </c>
      <c r="Y91" s="1114" t="s">
        <v>5391</v>
      </c>
      <c r="Z91" s="1135" t="s">
        <v>5392</v>
      </c>
      <c r="AA91" s="1114" t="s">
        <v>5393</v>
      </c>
      <c r="AB91" s="1135" t="s">
        <v>5394</v>
      </c>
      <c r="AC91" s="1114" t="s">
        <v>5395</v>
      </c>
      <c r="AD91" s="1135" t="s">
        <v>5396</v>
      </c>
      <c r="AE91" s="1114" t="s">
        <v>5397</v>
      </c>
      <c r="AF91" s="1135" t="s">
        <v>5398</v>
      </c>
      <c r="AG91" s="1114" t="s">
        <v>5399</v>
      </c>
      <c r="AH91" s="1135" t="s">
        <v>5400</v>
      </c>
      <c r="AI91" s="1114" t="s">
        <v>5401</v>
      </c>
      <c r="AJ91" s="1135" t="s">
        <v>5402</v>
      </c>
      <c r="AK91" s="1114" t="s">
        <v>5403</v>
      </c>
      <c r="AL91" s="1135" t="s">
        <v>5404</v>
      </c>
      <c r="AM91" s="1114" t="s">
        <v>5405</v>
      </c>
      <c r="AN91" s="1135" t="s">
        <v>5406</v>
      </c>
      <c r="AO91" s="1114" t="s">
        <v>5407</v>
      </c>
      <c r="AP91" s="1135" t="s">
        <v>5408</v>
      </c>
      <c r="AQ91" s="1114" t="s">
        <v>5409</v>
      </c>
      <c r="AR91" s="1136" t="s">
        <v>5410</v>
      </c>
      <c r="AS91" s="1134" t="s">
        <v>5411</v>
      </c>
      <c r="AT91" s="1136" t="s">
        <v>5412</v>
      </c>
      <c r="AU91" s="1134" t="s">
        <v>5413</v>
      </c>
      <c r="AV91" s="1135" t="s">
        <v>5414</v>
      </c>
      <c r="AW91" s="1114" t="s">
        <v>5415</v>
      </c>
      <c r="AX91" s="1118" t="s">
        <v>5416</v>
      </c>
      <c r="AY91" s="1197" t="e">
        <f t="shared" si="159"/>
        <v>#VALUE!</v>
      </c>
      <c r="AZ91" s="1197"/>
      <c r="BA91" s="1197"/>
      <c r="BB91" s="1197"/>
      <c r="BC91" s="1197"/>
      <c r="BD91" s="1197"/>
      <c r="BE91" s="1197"/>
      <c r="BF91" s="1197"/>
      <c r="BG91" s="1197"/>
      <c r="BH91" s="1197"/>
      <c r="BI91" s="1197"/>
      <c r="BJ91" s="1191"/>
      <c r="BK91" s="1191"/>
      <c r="BL91" s="1191"/>
      <c r="BM91" s="1191"/>
      <c r="BV91" s="1547"/>
      <c r="BW91" s="1547"/>
      <c r="BX91" s="1547"/>
      <c r="CB91" s="2195" t="str">
        <f t="shared" si="160"/>
        <v xml:space="preserve">* El total de Reactivos NO DEBE ser superior al total de Procesados. </v>
      </c>
      <c r="CC91" s="2195" t="e">
        <f t="shared" si="161"/>
        <v>#VALUE!</v>
      </c>
      <c r="CD91" s="2195" t="e">
        <f t="shared" si="162"/>
        <v>#VALUE!</v>
      </c>
      <c r="CE91" s="2195" t="str">
        <f t="shared" si="163"/>
        <v xml:space="preserve">* La columna Pueblos Originarios NO DEBE ser superior al total de Procesados. </v>
      </c>
      <c r="CF91" s="2195" t="str">
        <f t="shared" si="164"/>
        <v xml:space="preserve">* La columna Migrantes NO DEBE ser superior al total de Procesados. </v>
      </c>
      <c r="CG91" s="2195" t="str">
        <f t="shared" si="192"/>
        <v>* El total de procesados debe ser mayor o igual al total de Reactivos en el grupo de edad Menor de 6 meses</v>
      </c>
      <c r="CH91" s="2195" t="str">
        <f t="shared" si="193"/>
        <v>* El total de procesados debe ser mayor o igual al total de Reactivos en el grupo de edad 6 a 11 meses</v>
      </c>
      <c r="CI91" s="2195" t="str">
        <f t="shared" si="194"/>
        <v>* El total de procesados debe ser mayor o igual al total de Reactivos en el grupo de edad 12-24 meses</v>
      </c>
      <c r="CJ91" s="2195" t="str">
        <f t="shared" si="195"/>
        <v>* El total de procesados debe ser mayor o igual al total de Reactivos en el grupo de edad 3 a 4 años</v>
      </c>
      <c r="CK91" s="2195" t="str">
        <f t="shared" si="196"/>
        <v>* El total de procesados debe ser mayor o igual al total de Reactivos en el grupo de edad 5 a 9 años</v>
      </c>
      <c r="CL91" s="2195" t="str">
        <f t="shared" si="197"/>
        <v>* El total de procesados debe ser mayor o igual al total de Reactivos en el grupo de edad 10 - 14 años</v>
      </c>
      <c r="CM91" s="2195" t="str">
        <f t="shared" si="198"/>
        <v>* El total de procesados debe ser mayor o igual al total de Reactivos en el grupo de edad 15 - 19 años</v>
      </c>
      <c r="CN91" s="2195" t="str">
        <f t="shared" si="199"/>
        <v>* El total de procesados debe ser mayor o igual al total de Reactivos en el grupo de edad 20 - 24 años</v>
      </c>
      <c r="CO91" s="2195" t="str">
        <f t="shared" si="200"/>
        <v>* El total de procesados debe ser mayor o igual al total de Reactivos en el grupo de edad 25 a 29 años</v>
      </c>
      <c r="CP91" s="2195" t="str">
        <f t="shared" si="201"/>
        <v>* El total de procesados debe ser mayor o igual al total de Reactivos en el grupo de edad 30 a 34 años</v>
      </c>
      <c r="CQ91" s="2195" t="str">
        <f t="shared" si="202"/>
        <v>* El total de procesados debe ser mayor o igual al total de Reactivos en el grupo de edad 35 a 39 años</v>
      </c>
      <c r="CR91" s="2195" t="str">
        <f t="shared" si="203"/>
        <v>* El total de procesados debe ser mayor o igual al total de Reactivos en el grupo de edad 40 a 44 años</v>
      </c>
      <c r="CS91" s="2195" t="str">
        <f t="shared" si="204"/>
        <v>* El total de procesados debe ser mayor o igual al total de Reactivos en el grupo de edad 45 a 49 años</v>
      </c>
      <c r="CT91" s="2195" t="str">
        <f t="shared" si="205"/>
        <v>* El total de procesados debe ser mayor o igual al total de Reactivos en el grupo de edad 50 a 54 años</v>
      </c>
      <c r="CU91" s="2195" t="str">
        <f t="shared" si="206"/>
        <v>* El total de procesados debe ser mayor o igual al total de Reactivos en el grupo de edad 55 a 59 años</v>
      </c>
      <c r="CV91" s="2195" t="str">
        <f t="shared" si="207"/>
        <v>* El total de procesados debe ser mayor o igual al total de Reactivos en el grupo de edad 60 a 64 años</v>
      </c>
      <c r="CW91" s="2195" t="str">
        <f t="shared" si="208"/>
        <v>* El total de procesados debe ser mayor o igual al total de Reactivos en el grupo de edad 65 a 69 años</v>
      </c>
      <c r="CX91" s="2195" t="str">
        <f t="shared" si="209"/>
        <v>* El total de procesados debe ser mayor o igual al total de Reactivos en el grupo de edad 70 a 74 años</v>
      </c>
      <c r="CY91" s="2195" t="str">
        <f t="shared" si="210"/>
        <v>* El total de procesados debe ser mayor o igual al total de Reactivos en el grupo de edad 75 a 79 años</v>
      </c>
      <c r="CZ91" s="2195" t="str">
        <f t="shared" si="211"/>
        <v>* El total de procesados debe ser mayor o igual al total de Reactivos en el grupo de edad 80 y más años</v>
      </c>
      <c r="DA91" s="2195" t="str">
        <f t="shared" si="165"/>
        <v/>
      </c>
      <c r="DB91" s="1446">
        <f t="shared" si="166"/>
        <v>1</v>
      </c>
      <c r="DC91" s="1446" t="e">
        <f t="shared" si="167"/>
        <v>#VALUE!</v>
      </c>
      <c r="DD91" s="1446" t="e">
        <f t="shared" si="168"/>
        <v>#VALUE!</v>
      </c>
      <c r="DE91" s="1446">
        <f t="shared" si="169"/>
        <v>1</v>
      </c>
      <c r="DF91" s="1446">
        <f t="shared" si="170"/>
        <v>1</v>
      </c>
      <c r="DG91" s="1446">
        <f t="shared" si="171"/>
        <v>1</v>
      </c>
      <c r="DH91" s="1446">
        <f t="shared" si="172"/>
        <v>1</v>
      </c>
      <c r="DI91" s="1446">
        <f t="shared" si="173"/>
        <v>1</v>
      </c>
      <c r="DJ91" s="1446">
        <f t="shared" si="174"/>
        <v>1</v>
      </c>
      <c r="DK91" s="1446">
        <f t="shared" si="175"/>
        <v>1</v>
      </c>
      <c r="DL91" s="1446">
        <f t="shared" si="176"/>
        <v>1</v>
      </c>
      <c r="DM91" s="1446">
        <f t="shared" si="177"/>
        <v>1</v>
      </c>
      <c r="DN91" s="1446">
        <f t="shared" si="178"/>
        <v>1</v>
      </c>
      <c r="DO91" s="1446">
        <f t="shared" si="179"/>
        <v>1</v>
      </c>
      <c r="DP91" s="1446">
        <f t="shared" si="180"/>
        <v>1</v>
      </c>
      <c r="DQ91" s="1446">
        <f t="shared" si="181"/>
        <v>1</v>
      </c>
      <c r="DR91" s="1446">
        <f t="shared" si="182"/>
        <v>1</v>
      </c>
      <c r="DS91" s="1446">
        <f t="shared" si="183"/>
        <v>1</v>
      </c>
      <c r="DT91" s="1446">
        <f t="shared" si="184"/>
        <v>1</v>
      </c>
      <c r="DU91" s="1446">
        <f t="shared" si="185"/>
        <v>1</v>
      </c>
      <c r="DV91" s="1446">
        <f t="shared" si="186"/>
        <v>1</v>
      </c>
      <c r="DW91" s="1446">
        <f t="shared" si="187"/>
        <v>1</v>
      </c>
      <c r="DX91" s="1446">
        <f t="shared" si="188"/>
        <v>1</v>
      </c>
      <c r="DY91" s="1446">
        <f t="shared" si="189"/>
        <v>1</v>
      </c>
      <c r="DZ91" s="1446">
        <f t="shared" si="190"/>
        <v>1</v>
      </c>
      <c r="EA91" s="1446">
        <f t="shared" si="191"/>
        <v>0</v>
      </c>
    </row>
    <row r="92" spans="1:131" ht="16.2" customHeight="1" x14ac:dyDescent="0.3">
      <c r="A92" s="7258">
        <v>11056432</v>
      </c>
      <c r="B92" s="2000" t="s">
        <v>1798</v>
      </c>
      <c r="C92" s="1998" t="s">
        <v>5369</v>
      </c>
      <c r="D92" s="2044" t="s">
        <v>5370</v>
      </c>
      <c r="E92" s="1130" t="s">
        <v>5371</v>
      </c>
      <c r="F92" s="1131" t="s">
        <v>5372</v>
      </c>
      <c r="G92" s="1132" t="s">
        <v>5373</v>
      </c>
      <c r="H92" s="1131" t="s">
        <v>5374</v>
      </c>
      <c r="I92" s="1132" t="s">
        <v>5375</v>
      </c>
      <c r="J92" s="1131" t="s">
        <v>5376</v>
      </c>
      <c r="K92" s="1132" t="s">
        <v>5377</v>
      </c>
      <c r="L92" s="1131" t="s">
        <v>5378</v>
      </c>
      <c r="M92" s="1132" t="s">
        <v>5379</v>
      </c>
      <c r="N92" s="1133" t="s">
        <v>5380</v>
      </c>
      <c r="O92" s="1130" t="s">
        <v>5381</v>
      </c>
      <c r="P92" s="1131" t="s">
        <v>5382</v>
      </c>
      <c r="Q92" s="1114" t="s">
        <v>5383</v>
      </c>
      <c r="R92" s="1135" t="s">
        <v>5384</v>
      </c>
      <c r="S92" s="1114" t="s">
        <v>5385</v>
      </c>
      <c r="T92" s="1135" t="s">
        <v>5386</v>
      </c>
      <c r="U92" s="1114" t="s">
        <v>5387</v>
      </c>
      <c r="V92" s="1135" t="s">
        <v>5388</v>
      </c>
      <c r="W92" s="1114" t="s">
        <v>5389</v>
      </c>
      <c r="X92" s="1135" t="s">
        <v>5390</v>
      </c>
      <c r="Y92" s="1114" t="s">
        <v>5391</v>
      </c>
      <c r="Z92" s="1135" t="s">
        <v>5392</v>
      </c>
      <c r="AA92" s="1114" t="s">
        <v>5393</v>
      </c>
      <c r="AB92" s="1135" t="s">
        <v>5394</v>
      </c>
      <c r="AC92" s="1114" t="s">
        <v>5395</v>
      </c>
      <c r="AD92" s="1135" t="s">
        <v>5396</v>
      </c>
      <c r="AE92" s="1114" t="s">
        <v>5397</v>
      </c>
      <c r="AF92" s="1135" t="s">
        <v>5398</v>
      </c>
      <c r="AG92" s="1114" t="s">
        <v>5399</v>
      </c>
      <c r="AH92" s="1135" t="s">
        <v>5400</v>
      </c>
      <c r="AI92" s="1114" t="s">
        <v>5401</v>
      </c>
      <c r="AJ92" s="1135" t="s">
        <v>5402</v>
      </c>
      <c r="AK92" s="1132" t="s">
        <v>5403</v>
      </c>
      <c r="AL92" s="1131" t="s">
        <v>5404</v>
      </c>
      <c r="AM92" s="1132" t="s">
        <v>5405</v>
      </c>
      <c r="AN92" s="1131" t="s">
        <v>5406</v>
      </c>
      <c r="AO92" s="1132" t="s">
        <v>5407</v>
      </c>
      <c r="AP92" s="1131" t="s">
        <v>5408</v>
      </c>
      <c r="AQ92" s="1132" t="s">
        <v>5409</v>
      </c>
      <c r="AR92" s="1144" t="s">
        <v>5410</v>
      </c>
      <c r="AS92" s="1134" t="s">
        <v>5411</v>
      </c>
      <c r="AT92" s="1136" t="s">
        <v>5412</v>
      </c>
      <c r="AU92" s="1134" t="s">
        <v>5413</v>
      </c>
      <c r="AV92" s="1135" t="s">
        <v>5414</v>
      </c>
      <c r="AW92" s="1114" t="s">
        <v>5415</v>
      </c>
      <c r="AX92" s="1118" t="s">
        <v>5416</v>
      </c>
      <c r="AY92" s="1197" t="e">
        <f t="shared" si="159"/>
        <v>#VALUE!</v>
      </c>
      <c r="AZ92" s="1197"/>
      <c r="BA92" s="1197"/>
      <c r="BB92" s="1197"/>
      <c r="BC92" s="1197"/>
      <c r="BD92" s="1197"/>
      <c r="BE92" s="1197"/>
      <c r="BF92" s="1197"/>
      <c r="BG92" s="1197"/>
      <c r="BH92" s="1197"/>
      <c r="BI92" s="1197"/>
      <c r="BJ92" s="1191"/>
      <c r="BK92" s="1191"/>
      <c r="BL92" s="1191"/>
      <c r="BM92" s="1191"/>
      <c r="BV92" s="1547"/>
      <c r="BW92" s="1547"/>
      <c r="BX92" s="1547"/>
      <c r="CB92" s="2195" t="str">
        <f t="shared" si="160"/>
        <v xml:space="preserve">* El total de Reactivos NO DEBE ser superior al total de Procesados. </v>
      </c>
      <c r="CC92" s="2195" t="e">
        <f t="shared" si="161"/>
        <v>#VALUE!</v>
      </c>
      <c r="CD92" s="2195" t="e">
        <f t="shared" si="162"/>
        <v>#VALUE!</v>
      </c>
      <c r="CE92" s="2195" t="str">
        <f t="shared" si="163"/>
        <v xml:space="preserve">* La columna Pueblos Originarios NO DEBE ser superior al total de Procesados. </v>
      </c>
      <c r="CF92" s="2195" t="str">
        <f t="shared" si="164"/>
        <v xml:space="preserve">* La columna Migrantes NO DEBE ser superior al total de Procesados. </v>
      </c>
      <c r="CG92" s="2195" t="str">
        <f t="shared" si="192"/>
        <v>* El total de procesados debe ser mayor o igual al total de Reactivos en el grupo de edad Menor de 6 meses</v>
      </c>
      <c r="CH92" s="2195" t="str">
        <f t="shared" si="193"/>
        <v>* El total de procesados debe ser mayor o igual al total de Reactivos en el grupo de edad 6 a 11 meses</v>
      </c>
      <c r="CI92" s="2195" t="str">
        <f t="shared" si="194"/>
        <v>* El total de procesados debe ser mayor o igual al total de Reactivos en el grupo de edad 12-24 meses</v>
      </c>
      <c r="CJ92" s="2195" t="str">
        <f t="shared" si="195"/>
        <v>* El total de procesados debe ser mayor o igual al total de Reactivos en el grupo de edad 3 a 4 años</v>
      </c>
      <c r="CK92" s="2195" t="str">
        <f t="shared" si="196"/>
        <v>* El total de procesados debe ser mayor o igual al total de Reactivos en el grupo de edad 5 a 9 años</v>
      </c>
      <c r="CL92" s="2195" t="str">
        <f t="shared" si="197"/>
        <v>* El total de procesados debe ser mayor o igual al total de Reactivos en el grupo de edad 10 - 14 años</v>
      </c>
      <c r="CM92" s="2195" t="str">
        <f t="shared" si="198"/>
        <v>* El total de procesados debe ser mayor o igual al total de Reactivos en el grupo de edad 15 - 19 años</v>
      </c>
      <c r="CN92" s="2195" t="str">
        <f t="shared" si="199"/>
        <v>* El total de procesados debe ser mayor o igual al total de Reactivos en el grupo de edad 20 - 24 años</v>
      </c>
      <c r="CO92" s="2195" t="str">
        <f t="shared" si="200"/>
        <v>* El total de procesados debe ser mayor o igual al total de Reactivos en el grupo de edad 25 a 29 años</v>
      </c>
      <c r="CP92" s="2195" t="str">
        <f t="shared" si="201"/>
        <v>* El total de procesados debe ser mayor o igual al total de Reactivos en el grupo de edad 30 a 34 años</v>
      </c>
      <c r="CQ92" s="2195" t="str">
        <f t="shared" si="202"/>
        <v>* El total de procesados debe ser mayor o igual al total de Reactivos en el grupo de edad 35 a 39 años</v>
      </c>
      <c r="CR92" s="2195" t="str">
        <f t="shared" si="203"/>
        <v>* El total de procesados debe ser mayor o igual al total de Reactivos en el grupo de edad 40 a 44 años</v>
      </c>
      <c r="CS92" s="2195" t="str">
        <f t="shared" si="204"/>
        <v>* El total de procesados debe ser mayor o igual al total de Reactivos en el grupo de edad 45 a 49 años</v>
      </c>
      <c r="CT92" s="2195" t="str">
        <f t="shared" si="205"/>
        <v>* El total de procesados debe ser mayor o igual al total de Reactivos en el grupo de edad 50 a 54 años</v>
      </c>
      <c r="CU92" s="2195" t="str">
        <f t="shared" si="206"/>
        <v>* El total de procesados debe ser mayor o igual al total de Reactivos en el grupo de edad 55 a 59 años</v>
      </c>
      <c r="CV92" s="2195" t="str">
        <f t="shared" si="207"/>
        <v>* El total de procesados debe ser mayor o igual al total de Reactivos en el grupo de edad 60 a 64 años</v>
      </c>
      <c r="CW92" s="2195" t="str">
        <f t="shared" si="208"/>
        <v>* El total de procesados debe ser mayor o igual al total de Reactivos en el grupo de edad 65 a 69 años</v>
      </c>
      <c r="CX92" s="2195" t="str">
        <f t="shared" si="209"/>
        <v>* El total de procesados debe ser mayor o igual al total de Reactivos en el grupo de edad 70 a 74 años</v>
      </c>
      <c r="CY92" s="2195" t="str">
        <f t="shared" si="210"/>
        <v>* El total de procesados debe ser mayor o igual al total de Reactivos en el grupo de edad 75 a 79 años</v>
      </c>
      <c r="CZ92" s="2195" t="str">
        <f t="shared" si="211"/>
        <v>* El total de procesados debe ser mayor o igual al total de Reactivos en el grupo de edad 80 y más años</v>
      </c>
      <c r="DA92" s="2195" t="str">
        <f t="shared" si="165"/>
        <v/>
      </c>
      <c r="DB92" s="1446">
        <f t="shared" si="166"/>
        <v>1</v>
      </c>
      <c r="DC92" s="1446" t="e">
        <f t="shared" si="167"/>
        <v>#VALUE!</v>
      </c>
      <c r="DD92" s="1446" t="e">
        <f t="shared" si="168"/>
        <v>#VALUE!</v>
      </c>
      <c r="DE92" s="1446">
        <f t="shared" si="169"/>
        <v>1</v>
      </c>
      <c r="DF92" s="1446">
        <f t="shared" si="170"/>
        <v>1</v>
      </c>
      <c r="DG92" s="1446">
        <f t="shared" si="171"/>
        <v>1</v>
      </c>
      <c r="DH92" s="1446">
        <f t="shared" si="172"/>
        <v>1</v>
      </c>
      <c r="DI92" s="1446">
        <f t="shared" si="173"/>
        <v>1</v>
      </c>
      <c r="DJ92" s="1446">
        <f t="shared" si="174"/>
        <v>1</v>
      </c>
      <c r="DK92" s="1446">
        <f t="shared" si="175"/>
        <v>1</v>
      </c>
      <c r="DL92" s="1446">
        <f t="shared" si="176"/>
        <v>1</v>
      </c>
      <c r="DM92" s="1446">
        <f t="shared" si="177"/>
        <v>1</v>
      </c>
      <c r="DN92" s="1446">
        <f t="shared" si="178"/>
        <v>1</v>
      </c>
      <c r="DO92" s="1446">
        <f t="shared" si="179"/>
        <v>1</v>
      </c>
      <c r="DP92" s="1446">
        <f t="shared" si="180"/>
        <v>1</v>
      </c>
      <c r="DQ92" s="1446">
        <f t="shared" si="181"/>
        <v>1</v>
      </c>
      <c r="DR92" s="1446">
        <f t="shared" si="182"/>
        <v>1</v>
      </c>
      <c r="DS92" s="1446">
        <f t="shared" si="183"/>
        <v>1</v>
      </c>
      <c r="DT92" s="1446">
        <f t="shared" si="184"/>
        <v>1</v>
      </c>
      <c r="DU92" s="1446">
        <f t="shared" si="185"/>
        <v>1</v>
      </c>
      <c r="DV92" s="1446">
        <f t="shared" si="186"/>
        <v>1</v>
      </c>
      <c r="DW92" s="1446">
        <f t="shared" si="187"/>
        <v>1</v>
      </c>
      <c r="DX92" s="1446">
        <f t="shared" si="188"/>
        <v>1</v>
      </c>
      <c r="DY92" s="1446">
        <f t="shared" si="189"/>
        <v>1</v>
      </c>
      <c r="DZ92" s="1446">
        <f t="shared" si="190"/>
        <v>1</v>
      </c>
      <c r="EA92" s="1446">
        <f t="shared" si="191"/>
        <v>0</v>
      </c>
    </row>
    <row r="93" spans="1:131" ht="16.2" customHeight="1" x14ac:dyDescent="0.3">
      <c r="A93" s="7258">
        <v>11056433</v>
      </c>
      <c r="B93" s="2000" t="s">
        <v>1799</v>
      </c>
      <c r="C93" s="1998" t="s">
        <v>5369</v>
      </c>
      <c r="D93" s="2044" t="s">
        <v>5370</v>
      </c>
      <c r="E93" s="1134" t="s">
        <v>5371</v>
      </c>
      <c r="F93" s="1135" t="s">
        <v>5372</v>
      </c>
      <c r="G93" s="1114" t="s">
        <v>5373</v>
      </c>
      <c r="H93" s="1135" t="s">
        <v>5374</v>
      </c>
      <c r="I93" s="1114" t="s">
        <v>5375</v>
      </c>
      <c r="J93" s="1118" t="s">
        <v>5376</v>
      </c>
      <c r="K93" s="1134" t="s">
        <v>5377</v>
      </c>
      <c r="L93" s="1134" t="s">
        <v>5378</v>
      </c>
      <c r="M93" s="1114" t="s">
        <v>5379</v>
      </c>
      <c r="N93" s="1118" t="s">
        <v>5380</v>
      </c>
      <c r="O93" s="1134" t="s">
        <v>5381</v>
      </c>
      <c r="P93" s="1135" t="s">
        <v>5382</v>
      </c>
      <c r="Q93" s="1114" t="s">
        <v>5383</v>
      </c>
      <c r="R93" s="1135" t="s">
        <v>5384</v>
      </c>
      <c r="S93" s="1114" t="s">
        <v>5385</v>
      </c>
      <c r="T93" s="1135" t="s">
        <v>5386</v>
      </c>
      <c r="U93" s="1114" t="s">
        <v>5387</v>
      </c>
      <c r="V93" s="1135" t="s">
        <v>5388</v>
      </c>
      <c r="W93" s="1114" t="s">
        <v>5389</v>
      </c>
      <c r="X93" s="1135" t="s">
        <v>5390</v>
      </c>
      <c r="Y93" s="1114" t="s">
        <v>5391</v>
      </c>
      <c r="Z93" s="1135" t="s">
        <v>5392</v>
      </c>
      <c r="AA93" s="1114" t="s">
        <v>5393</v>
      </c>
      <c r="AB93" s="1135" t="s">
        <v>5394</v>
      </c>
      <c r="AC93" s="1114" t="s">
        <v>5395</v>
      </c>
      <c r="AD93" s="1135" t="s">
        <v>5396</v>
      </c>
      <c r="AE93" s="1114" t="s">
        <v>5397</v>
      </c>
      <c r="AF93" s="1135" t="s">
        <v>5398</v>
      </c>
      <c r="AG93" s="1114" t="s">
        <v>5399</v>
      </c>
      <c r="AH93" s="1135" t="s">
        <v>5400</v>
      </c>
      <c r="AI93" s="1114" t="s">
        <v>5401</v>
      </c>
      <c r="AJ93" s="1135" t="s">
        <v>5402</v>
      </c>
      <c r="AK93" s="1114" t="s">
        <v>5403</v>
      </c>
      <c r="AL93" s="1135" t="s">
        <v>5404</v>
      </c>
      <c r="AM93" s="1114" t="s">
        <v>5405</v>
      </c>
      <c r="AN93" s="1135" t="s">
        <v>5406</v>
      </c>
      <c r="AO93" s="1114" t="s">
        <v>5407</v>
      </c>
      <c r="AP93" s="1135" t="s">
        <v>5408</v>
      </c>
      <c r="AQ93" s="1114" t="s">
        <v>5409</v>
      </c>
      <c r="AR93" s="1136" t="s">
        <v>5410</v>
      </c>
      <c r="AS93" s="1134" t="s">
        <v>5411</v>
      </c>
      <c r="AT93" s="1136" t="s">
        <v>5412</v>
      </c>
      <c r="AU93" s="1134" t="s">
        <v>5413</v>
      </c>
      <c r="AV93" s="1135" t="s">
        <v>5414</v>
      </c>
      <c r="AW93" s="1114" t="s">
        <v>5415</v>
      </c>
      <c r="AX93" s="1118" t="s">
        <v>5416</v>
      </c>
      <c r="AY93" s="1197" t="e">
        <f t="shared" si="159"/>
        <v>#VALUE!</v>
      </c>
      <c r="AZ93" s="1197"/>
      <c r="BA93" s="1197"/>
      <c r="BB93" s="1197"/>
      <c r="BC93" s="1197"/>
      <c r="BD93" s="1197"/>
      <c r="BE93" s="1197"/>
      <c r="BF93" s="1197"/>
      <c r="BG93" s="1197"/>
      <c r="BH93" s="1197"/>
      <c r="BI93" s="1197"/>
      <c r="BJ93" s="1191"/>
      <c r="BK93" s="1191"/>
      <c r="BL93" s="1191"/>
      <c r="BM93" s="1191"/>
      <c r="BV93" s="1547"/>
      <c r="BW93" s="1547"/>
      <c r="BX93" s="1547"/>
      <c r="CB93" s="2195" t="str">
        <f t="shared" si="160"/>
        <v xml:space="preserve">* El total de Reactivos NO DEBE ser superior al total de Procesados. </v>
      </c>
      <c r="CC93" s="2195" t="e">
        <f t="shared" si="161"/>
        <v>#VALUE!</v>
      </c>
      <c r="CD93" s="2195" t="e">
        <f t="shared" si="162"/>
        <v>#VALUE!</v>
      </c>
      <c r="CE93" s="2195" t="str">
        <f t="shared" si="163"/>
        <v xml:space="preserve">* La columna Pueblos Originarios NO DEBE ser superior al total de Procesados. </v>
      </c>
      <c r="CF93" s="2195" t="str">
        <f t="shared" si="164"/>
        <v xml:space="preserve">* La columna Migrantes NO DEBE ser superior al total de Procesados. </v>
      </c>
      <c r="CG93" s="2195" t="str">
        <f t="shared" si="192"/>
        <v>* El total de procesados debe ser mayor o igual al total de Reactivos en el grupo de edad Menor de 6 meses</v>
      </c>
      <c r="CH93" s="2195" t="str">
        <f t="shared" si="193"/>
        <v>* El total de procesados debe ser mayor o igual al total de Reactivos en el grupo de edad 6 a 11 meses</v>
      </c>
      <c r="CI93" s="2195" t="str">
        <f t="shared" si="194"/>
        <v>* El total de procesados debe ser mayor o igual al total de Reactivos en el grupo de edad 12-24 meses</v>
      </c>
      <c r="CJ93" s="2195" t="str">
        <f t="shared" si="195"/>
        <v>* El total de procesados debe ser mayor o igual al total de Reactivos en el grupo de edad 3 a 4 años</v>
      </c>
      <c r="CK93" s="2195" t="str">
        <f t="shared" si="196"/>
        <v>* El total de procesados debe ser mayor o igual al total de Reactivos en el grupo de edad 5 a 9 años</v>
      </c>
      <c r="CL93" s="2195" t="str">
        <f t="shared" si="197"/>
        <v>* El total de procesados debe ser mayor o igual al total de Reactivos en el grupo de edad 10 - 14 años</v>
      </c>
      <c r="CM93" s="2195" t="str">
        <f t="shared" si="198"/>
        <v>* El total de procesados debe ser mayor o igual al total de Reactivos en el grupo de edad 15 - 19 años</v>
      </c>
      <c r="CN93" s="2195" t="str">
        <f t="shared" si="199"/>
        <v>* El total de procesados debe ser mayor o igual al total de Reactivos en el grupo de edad 20 - 24 años</v>
      </c>
      <c r="CO93" s="2195" t="str">
        <f t="shared" si="200"/>
        <v>* El total de procesados debe ser mayor o igual al total de Reactivos en el grupo de edad 25 a 29 años</v>
      </c>
      <c r="CP93" s="2195" t="str">
        <f t="shared" si="201"/>
        <v>* El total de procesados debe ser mayor o igual al total de Reactivos en el grupo de edad 30 a 34 años</v>
      </c>
      <c r="CQ93" s="2195" t="str">
        <f t="shared" si="202"/>
        <v>* El total de procesados debe ser mayor o igual al total de Reactivos en el grupo de edad 35 a 39 años</v>
      </c>
      <c r="CR93" s="2195" t="str">
        <f t="shared" si="203"/>
        <v>* El total de procesados debe ser mayor o igual al total de Reactivos en el grupo de edad 40 a 44 años</v>
      </c>
      <c r="CS93" s="2195" t="str">
        <f t="shared" si="204"/>
        <v>* El total de procesados debe ser mayor o igual al total de Reactivos en el grupo de edad 45 a 49 años</v>
      </c>
      <c r="CT93" s="2195" t="str">
        <f t="shared" si="205"/>
        <v>* El total de procesados debe ser mayor o igual al total de Reactivos en el grupo de edad 50 a 54 años</v>
      </c>
      <c r="CU93" s="2195" t="str">
        <f t="shared" si="206"/>
        <v>* El total de procesados debe ser mayor o igual al total de Reactivos en el grupo de edad 55 a 59 años</v>
      </c>
      <c r="CV93" s="2195" t="str">
        <f t="shared" si="207"/>
        <v>* El total de procesados debe ser mayor o igual al total de Reactivos en el grupo de edad 60 a 64 años</v>
      </c>
      <c r="CW93" s="2195" t="str">
        <f t="shared" si="208"/>
        <v>* El total de procesados debe ser mayor o igual al total de Reactivos en el grupo de edad 65 a 69 años</v>
      </c>
      <c r="CX93" s="2195" t="str">
        <f t="shared" si="209"/>
        <v>* El total de procesados debe ser mayor o igual al total de Reactivos en el grupo de edad 70 a 74 años</v>
      </c>
      <c r="CY93" s="2195" t="str">
        <f t="shared" si="210"/>
        <v>* El total de procesados debe ser mayor o igual al total de Reactivos en el grupo de edad 75 a 79 años</v>
      </c>
      <c r="CZ93" s="2195" t="str">
        <f t="shared" si="211"/>
        <v>* El total de procesados debe ser mayor o igual al total de Reactivos en el grupo de edad 80 y más años</v>
      </c>
      <c r="DA93" s="2195" t="str">
        <f t="shared" si="165"/>
        <v/>
      </c>
      <c r="DB93" s="1446">
        <f t="shared" si="166"/>
        <v>1</v>
      </c>
      <c r="DC93" s="1446" t="e">
        <f t="shared" si="167"/>
        <v>#VALUE!</v>
      </c>
      <c r="DD93" s="1446" t="e">
        <f t="shared" si="168"/>
        <v>#VALUE!</v>
      </c>
      <c r="DE93" s="1446">
        <f t="shared" si="169"/>
        <v>1</v>
      </c>
      <c r="DF93" s="1446">
        <f t="shared" si="170"/>
        <v>1</v>
      </c>
      <c r="DG93" s="1446">
        <f t="shared" si="171"/>
        <v>1</v>
      </c>
      <c r="DH93" s="1446">
        <f t="shared" si="172"/>
        <v>1</v>
      </c>
      <c r="DI93" s="1446">
        <f t="shared" si="173"/>
        <v>1</v>
      </c>
      <c r="DJ93" s="1446">
        <f t="shared" si="174"/>
        <v>1</v>
      </c>
      <c r="DK93" s="1446">
        <f t="shared" si="175"/>
        <v>1</v>
      </c>
      <c r="DL93" s="1446">
        <f t="shared" si="176"/>
        <v>1</v>
      </c>
      <c r="DM93" s="1446">
        <f t="shared" si="177"/>
        <v>1</v>
      </c>
      <c r="DN93" s="1446">
        <f t="shared" si="178"/>
        <v>1</v>
      </c>
      <c r="DO93" s="1446">
        <f t="shared" si="179"/>
        <v>1</v>
      </c>
      <c r="DP93" s="1446">
        <f t="shared" si="180"/>
        <v>1</v>
      </c>
      <c r="DQ93" s="1446">
        <f t="shared" si="181"/>
        <v>1</v>
      </c>
      <c r="DR93" s="1446">
        <f t="shared" si="182"/>
        <v>1</v>
      </c>
      <c r="DS93" s="1446">
        <f t="shared" si="183"/>
        <v>1</v>
      </c>
      <c r="DT93" s="1446">
        <f t="shared" si="184"/>
        <v>1</v>
      </c>
      <c r="DU93" s="1446">
        <f t="shared" si="185"/>
        <v>1</v>
      </c>
      <c r="DV93" s="1446">
        <f t="shared" si="186"/>
        <v>1</v>
      </c>
      <c r="DW93" s="1446">
        <f t="shared" si="187"/>
        <v>1</v>
      </c>
      <c r="DX93" s="1446">
        <f t="shared" si="188"/>
        <v>1</v>
      </c>
      <c r="DY93" s="1446">
        <f t="shared" si="189"/>
        <v>1</v>
      </c>
      <c r="DZ93" s="1446">
        <f t="shared" si="190"/>
        <v>1</v>
      </c>
      <c r="EA93" s="1446">
        <f t="shared" si="191"/>
        <v>0</v>
      </c>
    </row>
    <row r="94" spans="1:131" ht="16.2" customHeight="1" x14ac:dyDescent="0.3">
      <c r="A94" s="7258">
        <v>11056434</v>
      </c>
      <c r="B94" s="2000" t="s">
        <v>1800</v>
      </c>
      <c r="C94" s="1998" t="s">
        <v>5369</v>
      </c>
      <c r="D94" s="2044" t="s">
        <v>5370</v>
      </c>
      <c r="E94" s="1134" t="s">
        <v>5371</v>
      </c>
      <c r="F94" s="1135" t="s">
        <v>5372</v>
      </c>
      <c r="G94" s="1114" t="s">
        <v>5373</v>
      </c>
      <c r="H94" s="1135" t="s">
        <v>5374</v>
      </c>
      <c r="I94" s="1114" t="s">
        <v>5375</v>
      </c>
      <c r="J94" s="1118" t="s">
        <v>5376</v>
      </c>
      <c r="K94" s="1134" t="s">
        <v>5377</v>
      </c>
      <c r="L94" s="1134" t="s">
        <v>5378</v>
      </c>
      <c r="M94" s="1114" t="s">
        <v>5379</v>
      </c>
      <c r="N94" s="1118" t="s">
        <v>5380</v>
      </c>
      <c r="O94" s="1134" t="s">
        <v>5381</v>
      </c>
      <c r="P94" s="1135" t="s">
        <v>5382</v>
      </c>
      <c r="Q94" s="1114" t="s">
        <v>5383</v>
      </c>
      <c r="R94" s="1135" t="s">
        <v>5384</v>
      </c>
      <c r="S94" s="1114" t="s">
        <v>5385</v>
      </c>
      <c r="T94" s="1135" t="s">
        <v>5386</v>
      </c>
      <c r="U94" s="1114" t="s">
        <v>5387</v>
      </c>
      <c r="V94" s="1135" t="s">
        <v>5388</v>
      </c>
      <c r="W94" s="1114" t="s">
        <v>5389</v>
      </c>
      <c r="X94" s="1135" t="s">
        <v>5390</v>
      </c>
      <c r="Y94" s="1114" t="s">
        <v>5391</v>
      </c>
      <c r="Z94" s="1135" t="s">
        <v>5392</v>
      </c>
      <c r="AA94" s="1114" t="s">
        <v>5393</v>
      </c>
      <c r="AB94" s="1135" t="s">
        <v>5394</v>
      </c>
      <c r="AC94" s="1114" t="s">
        <v>5395</v>
      </c>
      <c r="AD94" s="1135" t="s">
        <v>5396</v>
      </c>
      <c r="AE94" s="1114" t="s">
        <v>5397</v>
      </c>
      <c r="AF94" s="1135" t="s">
        <v>5398</v>
      </c>
      <c r="AG94" s="1114" t="s">
        <v>5399</v>
      </c>
      <c r="AH94" s="1135" t="s">
        <v>5400</v>
      </c>
      <c r="AI94" s="1114" t="s">
        <v>5401</v>
      </c>
      <c r="AJ94" s="1135" t="s">
        <v>5402</v>
      </c>
      <c r="AK94" s="1114" t="s">
        <v>5403</v>
      </c>
      <c r="AL94" s="1135" t="s">
        <v>5404</v>
      </c>
      <c r="AM94" s="1114" t="s">
        <v>5405</v>
      </c>
      <c r="AN94" s="1135" t="s">
        <v>5406</v>
      </c>
      <c r="AO94" s="1114" t="s">
        <v>5407</v>
      </c>
      <c r="AP94" s="1135" t="s">
        <v>5408</v>
      </c>
      <c r="AQ94" s="1114" t="s">
        <v>5409</v>
      </c>
      <c r="AR94" s="1136" t="s">
        <v>5410</v>
      </c>
      <c r="AS94" s="1134" t="s">
        <v>5411</v>
      </c>
      <c r="AT94" s="1136" t="s">
        <v>5412</v>
      </c>
      <c r="AU94" s="1134" t="s">
        <v>5413</v>
      </c>
      <c r="AV94" s="1135" t="s">
        <v>5414</v>
      </c>
      <c r="AW94" s="1114" t="s">
        <v>5415</v>
      </c>
      <c r="AX94" s="1118" t="s">
        <v>5416</v>
      </c>
      <c r="AY94" s="1197" t="e">
        <f t="shared" si="159"/>
        <v>#VALUE!</v>
      </c>
      <c r="AZ94" s="1197"/>
      <c r="BA94" s="1197"/>
      <c r="BB94" s="1197"/>
      <c r="BC94" s="1197"/>
      <c r="BD94" s="1197"/>
      <c r="BE94" s="1197"/>
      <c r="BF94" s="1197"/>
      <c r="BG94" s="1197"/>
      <c r="BH94" s="1197"/>
      <c r="BI94" s="1197"/>
      <c r="BJ94" s="1191"/>
      <c r="BK94" s="1191"/>
      <c r="BL94" s="1191"/>
      <c r="BM94" s="1191"/>
      <c r="BV94" s="1547"/>
      <c r="BW94" s="1547"/>
      <c r="BX94" s="1547"/>
      <c r="CB94" s="2195" t="str">
        <f t="shared" si="160"/>
        <v xml:space="preserve">* El total de Reactivos NO DEBE ser superior al total de Procesados. </v>
      </c>
      <c r="CC94" s="2195" t="e">
        <f t="shared" si="161"/>
        <v>#VALUE!</v>
      </c>
      <c r="CD94" s="2195" t="e">
        <f t="shared" si="162"/>
        <v>#VALUE!</v>
      </c>
      <c r="CE94" s="2195" t="str">
        <f t="shared" si="163"/>
        <v xml:space="preserve">* La columna Pueblos Originarios NO DEBE ser superior al total de Procesados. </v>
      </c>
      <c r="CF94" s="2195" t="str">
        <f t="shared" si="164"/>
        <v xml:space="preserve">* La columna Migrantes NO DEBE ser superior al total de Procesados. </v>
      </c>
      <c r="CG94" s="2195" t="str">
        <f t="shared" si="192"/>
        <v>* El total de procesados debe ser mayor o igual al total de Reactivos en el grupo de edad Menor de 6 meses</v>
      </c>
      <c r="CH94" s="2195" t="str">
        <f t="shared" si="193"/>
        <v>* El total de procesados debe ser mayor o igual al total de Reactivos en el grupo de edad 6 a 11 meses</v>
      </c>
      <c r="CI94" s="2195" t="str">
        <f t="shared" si="194"/>
        <v>* El total de procesados debe ser mayor o igual al total de Reactivos en el grupo de edad 12-24 meses</v>
      </c>
      <c r="CJ94" s="2195" t="str">
        <f t="shared" si="195"/>
        <v>* El total de procesados debe ser mayor o igual al total de Reactivos en el grupo de edad 3 a 4 años</v>
      </c>
      <c r="CK94" s="2195" t="str">
        <f t="shared" si="196"/>
        <v>* El total de procesados debe ser mayor o igual al total de Reactivos en el grupo de edad 5 a 9 años</v>
      </c>
      <c r="CL94" s="2195" t="str">
        <f t="shared" si="197"/>
        <v>* El total de procesados debe ser mayor o igual al total de Reactivos en el grupo de edad 10 - 14 años</v>
      </c>
      <c r="CM94" s="2195" t="str">
        <f t="shared" si="198"/>
        <v>* El total de procesados debe ser mayor o igual al total de Reactivos en el grupo de edad 15 - 19 años</v>
      </c>
      <c r="CN94" s="2195" t="str">
        <f t="shared" si="199"/>
        <v>* El total de procesados debe ser mayor o igual al total de Reactivos en el grupo de edad 20 - 24 años</v>
      </c>
      <c r="CO94" s="2195" t="str">
        <f t="shared" si="200"/>
        <v>* El total de procesados debe ser mayor o igual al total de Reactivos en el grupo de edad 25 a 29 años</v>
      </c>
      <c r="CP94" s="2195" t="str">
        <f t="shared" si="201"/>
        <v>* El total de procesados debe ser mayor o igual al total de Reactivos en el grupo de edad 30 a 34 años</v>
      </c>
      <c r="CQ94" s="2195" t="str">
        <f t="shared" si="202"/>
        <v>* El total de procesados debe ser mayor o igual al total de Reactivos en el grupo de edad 35 a 39 años</v>
      </c>
      <c r="CR94" s="2195" t="str">
        <f t="shared" si="203"/>
        <v>* El total de procesados debe ser mayor o igual al total de Reactivos en el grupo de edad 40 a 44 años</v>
      </c>
      <c r="CS94" s="2195" t="str">
        <f t="shared" si="204"/>
        <v>* El total de procesados debe ser mayor o igual al total de Reactivos en el grupo de edad 45 a 49 años</v>
      </c>
      <c r="CT94" s="2195" t="str">
        <f t="shared" si="205"/>
        <v>* El total de procesados debe ser mayor o igual al total de Reactivos en el grupo de edad 50 a 54 años</v>
      </c>
      <c r="CU94" s="2195" t="str">
        <f t="shared" si="206"/>
        <v>* El total de procesados debe ser mayor o igual al total de Reactivos en el grupo de edad 55 a 59 años</v>
      </c>
      <c r="CV94" s="2195" t="str">
        <f t="shared" si="207"/>
        <v>* El total de procesados debe ser mayor o igual al total de Reactivos en el grupo de edad 60 a 64 años</v>
      </c>
      <c r="CW94" s="2195" t="str">
        <f t="shared" si="208"/>
        <v>* El total de procesados debe ser mayor o igual al total de Reactivos en el grupo de edad 65 a 69 años</v>
      </c>
      <c r="CX94" s="2195" t="str">
        <f t="shared" si="209"/>
        <v>* El total de procesados debe ser mayor o igual al total de Reactivos en el grupo de edad 70 a 74 años</v>
      </c>
      <c r="CY94" s="2195" t="str">
        <f t="shared" si="210"/>
        <v>* El total de procesados debe ser mayor o igual al total de Reactivos en el grupo de edad 75 a 79 años</v>
      </c>
      <c r="CZ94" s="2195" t="str">
        <f t="shared" si="211"/>
        <v>* El total de procesados debe ser mayor o igual al total de Reactivos en el grupo de edad 80 y más años</v>
      </c>
      <c r="DA94" s="2195" t="str">
        <f t="shared" si="165"/>
        <v/>
      </c>
      <c r="DB94" s="1446">
        <f t="shared" si="166"/>
        <v>1</v>
      </c>
      <c r="DC94" s="1446" t="e">
        <f t="shared" si="167"/>
        <v>#VALUE!</v>
      </c>
      <c r="DD94" s="1446" t="e">
        <f t="shared" si="168"/>
        <v>#VALUE!</v>
      </c>
      <c r="DE94" s="1446">
        <f t="shared" si="169"/>
        <v>1</v>
      </c>
      <c r="DF94" s="1446">
        <f t="shared" si="170"/>
        <v>1</v>
      </c>
      <c r="DG94" s="1446">
        <f t="shared" si="171"/>
        <v>1</v>
      </c>
      <c r="DH94" s="1446">
        <f t="shared" si="172"/>
        <v>1</v>
      </c>
      <c r="DI94" s="1446">
        <f t="shared" si="173"/>
        <v>1</v>
      </c>
      <c r="DJ94" s="1446">
        <f t="shared" si="174"/>
        <v>1</v>
      </c>
      <c r="DK94" s="1446">
        <f t="shared" si="175"/>
        <v>1</v>
      </c>
      <c r="DL94" s="1446">
        <f t="shared" si="176"/>
        <v>1</v>
      </c>
      <c r="DM94" s="1446">
        <f t="shared" si="177"/>
        <v>1</v>
      </c>
      <c r="DN94" s="1446">
        <f t="shared" si="178"/>
        <v>1</v>
      </c>
      <c r="DO94" s="1446">
        <f t="shared" si="179"/>
        <v>1</v>
      </c>
      <c r="DP94" s="1446">
        <f t="shared" si="180"/>
        <v>1</v>
      </c>
      <c r="DQ94" s="1446">
        <f t="shared" si="181"/>
        <v>1</v>
      </c>
      <c r="DR94" s="1446">
        <f t="shared" si="182"/>
        <v>1</v>
      </c>
      <c r="DS94" s="1446">
        <f t="shared" si="183"/>
        <v>1</v>
      </c>
      <c r="DT94" s="1446">
        <f t="shared" si="184"/>
        <v>1</v>
      </c>
      <c r="DU94" s="1446">
        <f t="shared" si="185"/>
        <v>1</v>
      </c>
      <c r="DV94" s="1446">
        <f t="shared" si="186"/>
        <v>1</v>
      </c>
      <c r="DW94" s="1446">
        <f t="shared" si="187"/>
        <v>1</v>
      </c>
      <c r="DX94" s="1446">
        <f t="shared" si="188"/>
        <v>1</v>
      </c>
      <c r="DY94" s="1446">
        <f t="shared" si="189"/>
        <v>1</v>
      </c>
      <c r="DZ94" s="1446">
        <f t="shared" si="190"/>
        <v>1</v>
      </c>
      <c r="EA94" s="1446">
        <f t="shared" si="191"/>
        <v>0</v>
      </c>
    </row>
    <row r="95" spans="1:131" ht="16.2" customHeight="1" x14ac:dyDescent="0.3">
      <c r="A95" s="7263">
        <v>11056435</v>
      </c>
      <c r="B95" s="1898" t="s">
        <v>1801</v>
      </c>
      <c r="C95" s="1960" t="s">
        <v>5369</v>
      </c>
      <c r="D95" s="1898" t="s">
        <v>5370</v>
      </c>
      <c r="E95" s="102" t="s">
        <v>5371</v>
      </c>
      <c r="F95" s="83" t="s">
        <v>5372</v>
      </c>
      <c r="G95" s="125" t="s">
        <v>5373</v>
      </c>
      <c r="H95" s="83" t="s">
        <v>5374</v>
      </c>
      <c r="I95" s="125" t="s">
        <v>5375</v>
      </c>
      <c r="J95" s="101" t="s">
        <v>5376</v>
      </c>
      <c r="K95" s="102" t="s">
        <v>5377</v>
      </c>
      <c r="L95" s="102" t="s">
        <v>5378</v>
      </c>
      <c r="M95" s="125" t="s">
        <v>5379</v>
      </c>
      <c r="N95" s="101" t="s">
        <v>5380</v>
      </c>
      <c r="O95" s="102" t="s">
        <v>5381</v>
      </c>
      <c r="P95" s="83" t="s">
        <v>5382</v>
      </c>
      <c r="Q95" s="125" t="s">
        <v>5383</v>
      </c>
      <c r="R95" s="83" t="s">
        <v>5384</v>
      </c>
      <c r="S95" s="125" t="s">
        <v>5385</v>
      </c>
      <c r="T95" s="83" t="s">
        <v>5386</v>
      </c>
      <c r="U95" s="125" t="s">
        <v>5387</v>
      </c>
      <c r="V95" s="83" t="s">
        <v>5388</v>
      </c>
      <c r="W95" s="125" t="s">
        <v>5389</v>
      </c>
      <c r="X95" s="83" t="s">
        <v>5390</v>
      </c>
      <c r="Y95" s="125" t="s">
        <v>5391</v>
      </c>
      <c r="Z95" s="83" t="s">
        <v>5392</v>
      </c>
      <c r="AA95" s="125" t="s">
        <v>5393</v>
      </c>
      <c r="AB95" s="83" t="s">
        <v>5394</v>
      </c>
      <c r="AC95" s="125" t="s">
        <v>5395</v>
      </c>
      <c r="AD95" s="83" t="s">
        <v>5396</v>
      </c>
      <c r="AE95" s="125" t="s">
        <v>5397</v>
      </c>
      <c r="AF95" s="83" t="s">
        <v>5398</v>
      </c>
      <c r="AG95" s="125" t="s">
        <v>5399</v>
      </c>
      <c r="AH95" s="83" t="s">
        <v>5400</v>
      </c>
      <c r="AI95" s="125" t="s">
        <v>5401</v>
      </c>
      <c r="AJ95" s="83" t="s">
        <v>5402</v>
      </c>
      <c r="AK95" s="125" t="s">
        <v>5403</v>
      </c>
      <c r="AL95" s="83" t="s">
        <v>5404</v>
      </c>
      <c r="AM95" s="125" t="s">
        <v>5405</v>
      </c>
      <c r="AN95" s="83" t="s">
        <v>5406</v>
      </c>
      <c r="AO95" s="125" t="s">
        <v>5407</v>
      </c>
      <c r="AP95" s="83" t="s">
        <v>5408</v>
      </c>
      <c r="AQ95" s="125" t="s">
        <v>5409</v>
      </c>
      <c r="AR95" s="198" t="s">
        <v>5410</v>
      </c>
      <c r="AS95" s="102" t="s">
        <v>5411</v>
      </c>
      <c r="AT95" s="198" t="s">
        <v>5412</v>
      </c>
      <c r="AU95" s="102" t="s">
        <v>5413</v>
      </c>
      <c r="AV95" s="83" t="s">
        <v>5414</v>
      </c>
      <c r="AW95" s="125" t="s">
        <v>5415</v>
      </c>
      <c r="AX95" s="101" t="s">
        <v>5416</v>
      </c>
      <c r="AY95" s="1197" t="e">
        <f t="shared" si="159"/>
        <v>#VALUE!</v>
      </c>
      <c r="AZ95" s="1197"/>
      <c r="BA95" s="1197"/>
      <c r="BB95" s="1197"/>
      <c r="BC95" s="1197"/>
      <c r="BD95" s="1197"/>
      <c r="BE95" s="1197"/>
      <c r="BF95" s="1197"/>
      <c r="BG95" s="1197"/>
      <c r="BH95" s="1197"/>
      <c r="BI95" s="1197"/>
      <c r="BJ95" s="1191"/>
      <c r="BK95" s="1191"/>
      <c r="BL95" s="1191"/>
      <c r="BM95" s="1191"/>
      <c r="BV95" s="1547"/>
      <c r="BW95" s="1547"/>
      <c r="BX95" s="1547"/>
      <c r="CB95" s="2195" t="str">
        <f t="shared" si="160"/>
        <v xml:space="preserve">* El total de Reactivos NO DEBE ser superior al total de Procesados. </v>
      </c>
      <c r="CC95" s="2195" t="e">
        <f t="shared" si="161"/>
        <v>#VALUE!</v>
      </c>
      <c r="CD95" s="2195" t="e">
        <f t="shared" si="162"/>
        <v>#VALUE!</v>
      </c>
      <c r="CE95" s="2195" t="str">
        <f t="shared" si="163"/>
        <v xml:space="preserve">* La columna Pueblos Originarios NO DEBE ser superior al total de Procesados. </v>
      </c>
      <c r="CF95" s="2195" t="str">
        <f t="shared" si="164"/>
        <v xml:space="preserve">* La columna Migrantes NO DEBE ser superior al total de Procesados. </v>
      </c>
      <c r="CG95" s="2195" t="str">
        <f t="shared" si="192"/>
        <v>* El total de procesados debe ser mayor o igual al total de Reactivos en el grupo de edad Menor de 6 meses</v>
      </c>
      <c r="CH95" s="2195" t="str">
        <f t="shared" si="193"/>
        <v>* El total de procesados debe ser mayor o igual al total de Reactivos en el grupo de edad 6 a 11 meses</v>
      </c>
      <c r="CI95" s="2195" t="str">
        <f t="shared" si="194"/>
        <v>* El total de procesados debe ser mayor o igual al total de Reactivos en el grupo de edad 12-24 meses</v>
      </c>
      <c r="CJ95" s="2195" t="str">
        <f t="shared" si="195"/>
        <v>* El total de procesados debe ser mayor o igual al total de Reactivos en el grupo de edad 3 a 4 años</v>
      </c>
      <c r="CK95" s="2195" t="str">
        <f t="shared" si="196"/>
        <v>* El total de procesados debe ser mayor o igual al total de Reactivos en el grupo de edad 5 a 9 años</v>
      </c>
      <c r="CL95" s="2195" t="str">
        <f t="shared" si="197"/>
        <v>* El total de procesados debe ser mayor o igual al total de Reactivos en el grupo de edad 10 - 14 años</v>
      </c>
      <c r="CM95" s="2195" t="str">
        <f t="shared" si="198"/>
        <v>* El total de procesados debe ser mayor o igual al total de Reactivos en el grupo de edad 15 - 19 años</v>
      </c>
      <c r="CN95" s="2195" t="str">
        <f t="shared" si="199"/>
        <v>* El total de procesados debe ser mayor o igual al total de Reactivos en el grupo de edad 20 - 24 años</v>
      </c>
      <c r="CO95" s="2195" t="str">
        <f t="shared" si="200"/>
        <v>* El total de procesados debe ser mayor o igual al total de Reactivos en el grupo de edad 25 a 29 años</v>
      </c>
      <c r="CP95" s="2195" t="str">
        <f t="shared" si="201"/>
        <v>* El total de procesados debe ser mayor o igual al total de Reactivos en el grupo de edad 30 a 34 años</v>
      </c>
      <c r="CQ95" s="2195" t="str">
        <f t="shared" si="202"/>
        <v>* El total de procesados debe ser mayor o igual al total de Reactivos en el grupo de edad 35 a 39 años</v>
      </c>
      <c r="CR95" s="2195" t="str">
        <f t="shared" si="203"/>
        <v>* El total de procesados debe ser mayor o igual al total de Reactivos en el grupo de edad 40 a 44 años</v>
      </c>
      <c r="CS95" s="2195" t="str">
        <f t="shared" si="204"/>
        <v>* El total de procesados debe ser mayor o igual al total de Reactivos en el grupo de edad 45 a 49 años</v>
      </c>
      <c r="CT95" s="2195" t="str">
        <f t="shared" si="205"/>
        <v>* El total de procesados debe ser mayor o igual al total de Reactivos en el grupo de edad 50 a 54 años</v>
      </c>
      <c r="CU95" s="2195" t="str">
        <f t="shared" si="206"/>
        <v>* El total de procesados debe ser mayor o igual al total de Reactivos en el grupo de edad 55 a 59 años</v>
      </c>
      <c r="CV95" s="2195" t="str">
        <f t="shared" si="207"/>
        <v>* El total de procesados debe ser mayor o igual al total de Reactivos en el grupo de edad 60 a 64 años</v>
      </c>
      <c r="CW95" s="2195" t="str">
        <f t="shared" si="208"/>
        <v>* El total de procesados debe ser mayor o igual al total de Reactivos en el grupo de edad 65 a 69 años</v>
      </c>
      <c r="CX95" s="2195" t="str">
        <f t="shared" si="209"/>
        <v>* El total de procesados debe ser mayor o igual al total de Reactivos en el grupo de edad 70 a 74 años</v>
      </c>
      <c r="CY95" s="2195" t="str">
        <f t="shared" si="210"/>
        <v>* El total de procesados debe ser mayor o igual al total de Reactivos en el grupo de edad 75 a 79 años</v>
      </c>
      <c r="CZ95" s="2195" t="str">
        <f t="shared" si="211"/>
        <v>* El total de procesados debe ser mayor o igual al total de Reactivos en el grupo de edad 80 y más años</v>
      </c>
      <c r="DA95" s="2195" t="str">
        <f t="shared" si="165"/>
        <v/>
      </c>
      <c r="DB95" s="1446">
        <f t="shared" si="166"/>
        <v>1</v>
      </c>
      <c r="DC95" s="1446" t="e">
        <f t="shared" si="167"/>
        <v>#VALUE!</v>
      </c>
      <c r="DD95" s="1446" t="e">
        <f t="shared" si="168"/>
        <v>#VALUE!</v>
      </c>
      <c r="DE95" s="1446">
        <f t="shared" si="169"/>
        <v>1</v>
      </c>
      <c r="DF95" s="1446">
        <f t="shared" si="170"/>
        <v>1</v>
      </c>
      <c r="DG95" s="1446">
        <f t="shared" si="171"/>
        <v>1</v>
      </c>
      <c r="DH95" s="1446">
        <f t="shared" si="172"/>
        <v>1</v>
      </c>
      <c r="DI95" s="1446">
        <f t="shared" si="173"/>
        <v>1</v>
      </c>
      <c r="DJ95" s="1446">
        <f t="shared" si="174"/>
        <v>1</v>
      </c>
      <c r="DK95" s="1446">
        <f t="shared" si="175"/>
        <v>1</v>
      </c>
      <c r="DL95" s="1446">
        <f t="shared" si="176"/>
        <v>1</v>
      </c>
      <c r="DM95" s="1446">
        <f t="shared" si="177"/>
        <v>1</v>
      </c>
      <c r="DN95" s="1446">
        <f t="shared" si="178"/>
        <v>1</v>
      </c>
      <c r="DO95" s="1446">
        <f t="shared" si="179"/>
        <v>1</v>
      </c>
      <c r="DP95" s="1446">
        <f t="shared" si="180"/>
        <v>1</v>
      </c>
      <c r="DQ95" s="1446">
        <f t="shared" si="181"/>
        <v>1</v>
      </c>
      <c r="DR95" s="1446">
        <f t="shared" si="182"/>
        <v>1</v>
      </c>
      <c r="DS95" s="1446">
        <f t="shared" si="183"/>
        <v>1</v>
      </c>
      <c r="DT95" s="1446">
        <f t="shared" si="184"/>
        <v>1</v>
      </c>
      <c r="DU95" s="1446">
        <f t="shared" si="185"/>
        <v>1</v>
      </c>
      <c r="DV95" s="1446">
        <f t="shared" si="186"/>
        <v>1</v>
      </c>
      <c r="DW95" s="1446">
        <f t="shared" si="187"/>
        <v>1</v>
      </c>
      <c r="DX95" s="1446">
        <f t="shared" si="188"/>
        <v>1</v>
      </c>
      <c r="DY95" s="1446">
        <f t="shared" si="189"/>
        <v>1</v>
      </c>
      <c r="DZ95" s="1446">
        <f t="shared" si="190"/>
        <v>1</v>
      </c>
      <c r="EA95" s="1446">
        <f t="shared" si="191"/>
        <v>0</v>
      </c>
    </row>
    <row r="96" spans="1:131" ht="31.95" customHeight="1" x14ac:dyDescent="0.3">
      <c r="B96" s="942" t="s">
        <v>2543</v>
      </c>
      <c r="C96" s="942"/>
      <c r="D96" s="942"/>
      <c r="E96" s="133"/>
      <c r="F96" s="133"/>
      <c r="G96" s="133"/>
      <c r="H96" s="133"/>
      <c r="I96" s="133"/>
      <c r="J96" s="133"/>
      <c r="K96" s="108"/>
      <c r="L96" s="108"/>
      <c r="M96" s="108"/>
      <c r="N96" s="108"/>
      <c r="O96" s="108"/>
      <c r="P96" s="108"/>
      <c r="Q96" s="108"/>
      <c r="R96" s="140"/>
      <c r="AY96" s="1191"/>
      <c r="AZ96" s="1191"/>
      <c r="BA96" s="1191"/>
      <c r="BB96" s="1191"/>
      <c r="BC96" s="1191"/>
      <c r="BD96" s="1191"/>
      <c r="BE96" s="1191"/>
      <c r="BF96" s="1191"/>
      <c r="BG96" s="1191"/>
      <c r="BH96" s="1191"/>
      <c r="BI96" s="1191"/>
      <c r="BJ96" s="1191"/>
      <c r="BK96" s="1191"/>
      <c r="BL96" s="1191"/>
      <c r="BM96" s="1191"/>
      <c r="BN96" s="1191"/>
      <c r="BU96" s="1123"/>
      <c r="BV96" s="1123"/>
      <c r="BW96" s="1547"/>
      <c r="BX96" s="1547"/>
    </row>
    <row r="97" spans="1:131" ht="31.95" customHeight="1" x14ac:dyDescent="0.3">
      <c r="B97" s="8638" t="s">
        <v>1781</v>
      </c>
      <c r="C97" s="9629" t="s">
        <v>24</v>
      </c>
      <c r="D97" s="9966"/>
      <c r="E97" s="8645" t="s">
        <v>725</v>
      </c>
      <c r="F97" s="8646"/>
      <c r="G97" s="8646"/>
      <c r="H97" s="8646"/>
      <c r="I97" s="8646"/>
      <c r="J97" s="8646"/>
      <c r="K97" s="8646"/>
      <c r="L97" s="8646"/>
      <c r="M97" s="8646"/>
      <c r="N97" s="8646"/>
      <c r="O97" s="8646"/>
      <c r="P97" s="8646"/>
      <c r="Q97" s="8646"/>
      <c r="R97" s="8646"/>
      <c r="S97" s="8646"/>
      <c r="T97" s="8646"/>
      <c r="U97" s="8646"/>
      <c r="V97" s="8646"/>
      <c r="W97" s="8646"/>
      <c r="X97" s="8646"/>
      <c r="Y97" s="8646"/>
      <c r="Z97" s="8646"/>
      <c r="AA97" s="8646"/>
      <c r="AB97" s="8646"/>
      <c r="AC97" s="8646"/>
      <c r="AD97" s="8646"/>
      <c r="AE97" s="8646"/>
      <c r="AF97" s="8646"/>
      <c r="AG97" s="8646"/>
      <c r="AH97" s="8646"/>
      <c r="AI97" s="8646"/>
      <c r="AJ97" s="8646"/>
      <c r="AK97" s="8646"/>
      <c r="AL97" s="8646"/>
      <c r="AM97" s="8646"/>
      <c r="AN97" s="8646"/>
      <c r="AO97" s="8646"/>
      <c r="AP97" s="8646"/>
      <c r="AQ97" s="8646"/>
      <c r="AR97" s="9969"/>
      <c r="AS97" s="9970" t="s">
        <v>1782</v>
      </c>
      <c r="AT97" s="9971"/>
      <c r="AU97" s="9972" t="s">
        <v>713</v>
      </c>
      <c r="AV97" s="9973"/>
      <c r="AW97" s="9976" t="s">
        <v>362</v>
      </c>
      <c r="AX97" s="9978" t="s">
        <v>361</v>
      </c>
      <c r="AY97" s="1191"/>
      <c r="AZ97" s="1191"/>
      <c r="BA97" s="1191"/>
      <c r="BB97" s="1191"/>
      <c r="BC97" s="1191"/>
      <c r="BD97" s="1191"/>
      <c r="BE97" s="1191"/>
      <c r="BF97" s="1191"/>
      <c r="BG97" s="1191"/>
      <c r="BH97" s="1191"/>
      <c r="BI97" s="1191"/>
      <c r="BJ97" s="1191"/>
      <c r="BK97" s="1191"/>
      <c r="BL97" s="1191"/>
      <c r="BM97" s="1191"/>
      <c r="BV97" s="1191"/>
      <c r="BW97" s="1547"/>
      <c r="BX97" s="1547"/>
    </row>
    <row r="98" spans="1:131" ht="16.2" customHeight="1" x14ac:dyDescent="0.3">
      <c r="B98" s="8705"/>
      <c r="C98" s="9967"/>
      <c r="D98" s="9968"/>
      <c r="E98" s="8648" t="s">
        <v>724</v>
      </c>
      <c r="F98" s="9970"/>
      <c r="G98" s="8648" t="s">
        <v>723</v>
      </c>
      <c r="H98" s="9970"/>
      <c r="I98" s="8648" t="s">
        <v>722</v>
      </c>
      <c r="J98" s="8650"/>
      <c r="K98" s="9970" t="s">
        <v>1823</v>
      </c>
      <c r="L98" s="9970"/>
      <c r="M98" s="8648" t="s">
        <v>1415</v>
      </c>
      <c r="N98" s="9970"/>
      <c r="O98" s="8648" t="s">
        <v>79</v>
      </c>
      <c r="P98" s="9970"/>
      <c r="Q98" s="8648" t="s">
        <v>80</v>
      </c>
      <c r="R98" s="9970"/>
      <c r="S98" s="8648" t="s">
        <v>81</v>
      </c>
      <c r="T98" s="9970"/>
      <c r="U98" s="8648" t="s">
        <v>115</v>
      </c>
      <c r="V98" s="8650"/>
      <c r="W98" s="8648" t="s">
        <v>116</v>
      </c>
      <c r="X98" s="8650"/>
      <c r="Y98" s="8648" t="s">
        <v>117</v>
      </c>
      <c r="Z98" s="8650"/>
      <c r="AA98" s="8648" t="s">
        <v>118</v>
      </c>
      <c r="AB98" s="8650"/>
      <c r="AC98" s="8648" t="s">
        <v>119</v>
      </c>
      <c r="AD98" s="8650"/>
      <c r="AE98" s="8648" t="s">
        <v>120</v>
      </c>
      <c r="AF98" s="8650"/>
      <c r="AG98" s="8648" t="s">
        <v>1414</v>
      </c>
      <c r="AH98" s="8650"/>
      <c r="AI98" s="8648" t="s">
        <v>1406</v>
      </c>
      <c r="AJ98" s="8650"/>
      <c r="AK98" s="8648" t="s">
        <v>1397</v>
      </c>
      <c r="AL98" s="8650"/>
      <c r="AM98" s="8648" t="s">
        <v>1396</v>
      </c>
      <c r="AN98" s="8650"/>
      <c r="AO98" s="8648" t="s">
        <v>1395</v>
      </c>
      <c r="AP98" s="8650"/>
      <c r="AQ98" s="8648" t="s">
        <v>1405</v>
      </c>
      <c r="AR98" s="9971"/>
      <c r="AS98" s="9979" t="s">
        <v>17</v>
      </c>
      <c r="AT98" s="9981" t="s">
        <v>18</v>
      </c>
      <c r="AU98" s="9974"/>
      <c r="AV98" s="9975"/>
      <c r="AW98" s="8596"/>
      <c r="AX98" s="8581"/>
      <c r="AY98" s="1191"/>
      <c r="AZ98" s="1191"/>
      <c r="BA98" s="1191"/>
      <c r="BB98" s="1191"/>
      <c r="BC98" s="1191"/>
      <c r="BD98" s="1191"/>
      <c r="BE98" s="1191"/>
      <c r="BF98" s="1191"/>
      <c r="BG98" s="1191"/>
      <c r="BH98" s="1191"/>
      <c r="BI98" s="1191"/>
      <c r="BJ98" s="1191"/>
      <c r="BK98" s="1191"/>
      <c r="BL98" s="1191"/>
      <c r="BM98" s="1191"/>
      <c r="BV98" s="1191"/>
    </row>
    <row r="99" spans="1:131" ht="16.2" customHeight="1" x14ac:dyDescent="0.3">
      <c r="B99" s="8639"/>
      <c r="C99" s="1127" t="s">
        <v>1783</v>
      </c>
      <c r="D99" s="940" t="s">
        <v>1784</v>
      </c>
      <c r="E99" s="1124" t="s">
        <v>1783</v>
      </c>
      <c r="F99" s="914" t="s">
        <v>1784</v>
      </c>
      <c r="G99" s="1124" t="s">
        <v>1783</v>
      </c>
      <c r="H99" s="914" t="s">
        <v>1784</v>
      </c>
      <c r="I99" s="1124" t="s">
        <v>1783</v>
      </c>
      <c r="J99" s="940" t="s">
        <v>1784</v>
      </c>
      <c r="K99" s="1127" t="s">
        <v>1783</v>
      </c>
      <c r="L99" s="914" t="s">
        <v>1784</v>
      </c>
      <c r="M99" s="1124" t="s">
        <v>1783</v>
      </c>
      <c r="N99" s="914" t="s">
        <v>1784</v>
      </c>
      <c r="O99" s="1124" t="s">
        <v>1783</v>
      </c>
      <c r="P99" s="914" t="s">
        <v>1784</v>
      </c>
      <c r="Q99" s="1124" t="s">
        <v>1783</v>
      </c>
      <c r="R99" s="914" t="s">
        <v>1784</v>
      </c>
      <c r="S99" s="1124" t="s">
        <v>1783</v>
      </c>
      <c r="T99" s="914" t="s">
        <v>1784</v>
      </c>
      <c r="U99" s="1124" t="s">
        <v>1783</v>
      </c>
      <c r="V99" s="914" t="s">
        <v>1784</v>
      </c>
      <c r="W99" s="1124" t="s">
        <v>1783</v>
      </c>
      <c r="X99" s="914" t="s">
        <v>1784</v>
      </c>
      <c r="Y99" s="1124" t="s">
        <v>1783</v>
      </c>
      <c r="Z99" s="914" t="s">
        <v>1784</v>
      </c>
      <c r="AA99" s="1124" t="s">
        <v>1783</v>
      </c>
      <c r="AB99" s="914" t="s">
        <v>1784</v>
      </c>
      <c r="AC99" s="1124" t="s">
        <v>1783</v>
      </c>
      <c r="AD99" s="914" t="s">
        <v>1784</v>
      </c>
      <c r="AE99" s="1124" t="s">
        <v>1783</v>
      </c>
      <c r="AF99" s="914" t="s">
        <v>1784</v>
      </c>
      <c r="AG99" s="1124" t="s">
        <v>1783</v>
      </c>
      <c r="AH99" s="914" t="s">
        <v>1784</v>
      </c>
      <c r="AI99" s="1124" t="s">
        <v>1783</v>
      </c>
      <c r="AJ99" s="914" t="s">
        <v>1784</v>
      </c>
      <c r="AK99" s="1124" t="s">
        <v>1783</v>
      </c>
      <c r="AL99" s="914" t="s">
        <v>1784</v>
      </c>
      <c r="AM99" s="1124" t="s">
        <v>1783</v>
      </c>
      <c r="AN99" s="914" t="s">
        <v>1784</v>
      </c>
      <c r="AO99" s="1124" t="s">
        <v>1783</v>
      </c>
      <c r="AP99" s="914" t="s">
        <v>1784</v>
      </c>
      <c r="AQ99" s="1124" t="s">
        <v>1783</v>
      </c>
      <c r="AR99" s="1128" t="s">
        <v>1784</v>
      </c>
      <c r="AS99" s="9980"/>
      <c r="AT99" s="9982"/>
      <c r="AU99" s="2147" t="s">
        <v>358</v>
      </c>
      <c r="AV99" s="2072" t="s">
        <v>359</v>
      </c>
      <c r="AW99" s="9977"/>
      <c r="AX99" s="8582"/>
      <c r="AY99" s="1191"/>
      <c r="AZ99" s="1191"/>
      <c r="BA99" s="1191"/>
      <c r="BB99" s="1191"/>
      <c r="BC99" s="1191"/>
      <c r="BD99" s="1191"/>
      <c r="BE99" s="1191"/>
      <c r="BF99" s="1191"/>
      <c r="BG99" s="1191"/>
      <c r="BH99" s="1191"/>
      <c r="BI99" s="1191"/>
      <c r="BJ99" s="1191"/>
      <c r="BK99" s="1191"/>
      <c r="BL99" s="1191"/>
      <c r="BM99" s="1191"/>
      <c r="BV99" s="1191"/>
    </row>
    <row r="100" spans="1:131" ht="16.2" customHeight="1" x14ac:dyDescent="0.3">
      <c r="A100" s="7258">
        <v>11056436</v>
      </c>
      <c r="B100" s="2031" t="s">
        <v>1785</v>
      </c>
      <c r="C100" s="1996" t="s">
        <v>5369</v>
      </c>
      <c r="D100" s="2043" t="s">
        <v>5370</v>
      </c>
      <c r="E100" s="1130" t="s">
        <v>5371</v>
      </c>
      <c r="F100" s="1131" t="s">
        <v>5372</v>
      </c>
      <c r="G100" s="1132" t="s">
        <v>5373</v>
      </c>
      <c r="H100" s="1131" t="s">
        <v>5374</v>
      </c>
      <c r="I100" s="1132" t="s">
        <v>5375</v>
      </c>
      <c r="J100" s="1131" t="s">
        <v>5376</v>
      </c>
      <c r="K100" s="1132" t="s">
        <v>5377</v>
      </c>
      <c r="L100" s="1131" t="s">
        <v>5378</v>
      </c>
      <c r="M100" s="1132" t="s">
        <v>5379</v>
      </c>
      <c r="N100" s="1133" t="s">
        <v>5380</v>
      </c>
      <c r="O100" s="1134" t="s">
        <v>5381</v>
      </c>
      <c r="P100" s="1135" t="s">
        <v>5382</v>
      </c>
      <c r="Q100" s="1114" t="s">
        <v>5383</v>
      </c>
      <c r="R100" s="1135" t="s">
        <v>5384</v>
      </c>
      <c r="S100" s="1114" t="s">
        <v>5385</v>
      </c>
      <c r="T100" s="1135" t="s">
        <v>5386</v>
      </c>
      <c r="U100" s="1114" t="s">
        <v>5387</v>
      </c>
      <c r="V100" s="1135" t="s">
        <v>5388</v>
      </c>
      <c r="W100" s="1114" t="s">
        <v>5389</v>
      </c>
      <c r="X100" s="1135" t="s">
        <v>5390</v>
      </c>
      <c r="Y100" s="1114" t="s">
        <v>5391</v>
      </c>
      <c r="Z100" s="1135" t="s">
        <v>5392</v>
      </c>
      <c r="AA100" s="1114" t="s">
        <v>5393</v>
      </c>
      <c r="AB100" s="1135" t="s">
        <v>5394</v>
      </c>
      <c r="AC100" s="1114" t="s">
        <v>5395</v>
      </c>
      <c r="AD100" s="1135" t="s">
        <v>5396</v>
      </c>
      <c r="AE100" s="1114" t="s">
        <v>5397</v>
      </c>
      <c r="AF100" s="1135" t="s">
        <v>5398</v>
      </c>
      <c r="AG100" s="1114" t="s">
        <v>5399</v>
      </c>
      <c r="AH100" s="1135" t="s">
        <v>5400</v>
      </c>
      <c r="AI100" s="1114" t="s">
        <v>5401</v>
      </c>
      <c r="AJ100" s="1135" t="s">
        <v>5402</v>
      </c>
      <c r="AK100" s="1114" t="s">
        <v>5403</v>
      </c>
      <c r="AL100" s="1135" t="s">
        <v>5404</v>
      </c>
      <c r="AM100" s="1114" t="s">
        <v>5405</v>
      </c>
      <c r="AN100" s="1135" t="s">
        <v>5406</v>
      </c>
      <c r="AO100" s="1114" t="s">
        <v>5407</v>
      </c>
      <c r="AP100" s="1135" t="s">
        <v>5408</v>
      </c>
      <c r="AQ100" s="1114" t="s">
        <v>5409</v>
      </c>
      <c r="AR100" s="1136" t="s">
        <v>5410</v>
      </c>
      <c r="AS100" s="1137" t="s">
        <v>5411</v>
      </c>
      <c r="AT100" s="1136" t="s">
        <v>5412</v>
      </c>
      <c r="AU100" s="1134" t="s">
        <v>5413</v>
      </c>
      <c r="AV100" s="1135" t="s">
        <v>5414</v>
      </c>
      <c r="AW100" s="1114" t="s">
        <v>5415</v>
      </c>
      <c r="AX100" s="1118" t="s">
        <v>5416</v>
      </c>
      <c r="AY100" s="1197" t="e">
        <f t="shared" ref="AY100:AY117" si="212">$CB100&amp;$CC100&amp;$CD100&amp;$CE100&amp;$CF100&amp;$CG100&amp;$CH100&amp;$CI100&amp;$CJ100&amp;$CK100&amp;$CL100&amp;$CM100&amp;$CN100&amp;$CO100&amp;$CP100&amp;$CQ100&amp;$CR100&amp;$CS100&amp;$CT100&amp;$CU100&amp;$CV100&amp;$CW100&amp;$CX100&amp;$CY100&amp;$CZ100&amp;$DA100</f>
        <v>#VALUE!</v>
      </c>
      <c r="AZ100" s="1197"/>
      <c r="BA100" s="1197"/>
      <c r="BB100" s="1197"/>
      <c r="BC100" s="1197"/>
      <c r="BD100" s="1197"/>
      <c r="BE100" s="1197"/>
      <c r="BF100" s="1197"/>
      <c r="BG100" s="1197"/>
      <c r="BH100" s="1197"/>
      <c r="BI100" s="1197"/>
      <c r="BJ100" s="1191"/>
      <c r="BK100" s="1191"/>
      <c r="BL100" s="1191"/>
      <c r="BM100" s="1191"/>
      <c r="BV100" s="1191"/>
      <c r="BX100" s="1547"/>
      <c r="CB100" s="2195" t="str">
        <f t="shared" ref="CB100:CB117" si="213">IF(C100&lt;D100,"* El total de Reactivos NO DEBE ser superior al total de Procesados. ","")</f>
        <v xml:space="preserve">* El total de Reactivos NO DEBE ser superior al total de Procesados. </v>
      </c>
      <c r="CC100" s="2195" t="e">
        <f t="shared" ref="CC100:CC117" si="214">IF(C100&lt;&gt;(AS100+ AT100),"* La suma de las columnas Sexo DEBE SER IGUAL a los Procesados. ","")</f>
        <v>#VALUE!</v>
      </c>
      <c r="CD100" s="2195" t="e">
        <f t="shared" ref="CD100:CD117" si="215">IF(C100&lt;(AU100+ AV100),"* La suma de las columna Trans NO DEBE ser superior al total de Procesados. ","")</f>
        <v>#VALUE!</v>
      </c>
      <c r="CE100" s="2195" t="str">
        <f t="shared" ref="CE100:CE117" si="216">IF(C100&lt;AW100,"* La columna Pueblos Originarios NO DEBE ser superior al total de Procesados. ","")</f>
        <v xml:space="preserve">* La columna Pueblos Originarios NO DEBE ser superior al total de Procesados. </v>
      </c>
      <c r="CF100" s="2195" t="str">
        <f t="shared" ref="CF100:CF117" si="217">IF(C100&lt;AX100,"* La columna Migrantes NO DEBE ser superior al total de Procesados. ","")</f>
        <v xml:space="preserve">* La columna Migrantes NO DEBE ser superior al total de Procesados. </v>
      </c>
      <c r="CG100" s="2195" t="str">
        <f>IF(E100&lt;F100,CONCATENATE("* El total de procesados debe ser mayor o igual al total de Reactivos en el grupo de edad ",$E$98),"")</f>
        <v>* El total de procesados debe ser mayor o igual al total de Reactivos en el grupo de edad Menor de 6 meses</v>
      </c>
      <c r="CH100" s="2195" t="str">
        <f>IF(G100&lt;H100,CONCATENATE("* El total de procesados debe ser mayor o igual al total de Reactivos en el grupo de edad ",$G$98),"")</f>
        <v>* El total de procesados debe ser mayor o igual al total de Reactivos en el grupo de edad 6 a 11 meses</v>
      </c>
      <c r="CI100" s="2195" t="str">
        <f>IF(I100&lt;J100,CONCATENATE("* El total de procesados debe ser mayor o igual al total de Reactivos en el grupo de edad ",$I$98),"")</f>
        <v>* El total de procesados debe ser mayor o igual al total de Reactivos en el grupo de edad 12-24 meses</v>
      </c>
      <c r="CJ100" s="2195" t="str">
        <f>IF(K100&lt;L100,CONCATENATE("* El total de procesados debe ser mayor o igual al total de Reactivos en el grupo de edad ",$K$98),"")</f>
        <v>* El total de procesados debe ser mayor o igual al total de Reactivos en el grupo de edad 3 a 4 años</v>
      </c>
      <c r="CK100" s="2195" t="str">
        <f>IF(M100&lt;N100,CONCATENATE("* El total de procesados debe ser mayor o igual al total de Reactivos en el grupo de edad ",$M$98),"")</f>
        <v>* El total de procesados debe ser mayor o igual al total de Reactivos en el grupo de edad 5 a 9 años</v>
      </c>
      <c r="CL100" s="2195" t="str">
        <f>IF(O100&lt;P100,CONCATENATE("* El total de procesados debe ser mayor o igual al total de Reactivos en el grupo de edad ",$O$98),"")</f>
        <v>* El total de procesados debe ser mayor o igual al total de Reactivos en el grupo de edad 10 - 14 años</v>
      </c>
      <c r="CM100" s="2195" t="str">
        <f>IF(Q100&lt;R100,CONCATENATE("* El total de procesados debe ser mayor o igual al total de Reactivos en el grupo de edad ",$Q$98),"")</f>
        <v>* El total de procesados debe ser mayor o igual al total de Reactivos en el grupo de edad 15 - 19 años</v>
      </c>
      <c r="CN100" s="2195" t="str">
        <f>IF(S100&lt;T100,CONCATENATE("* El total de procesados debe ser mayor o igual al total de Reactivos en el grupo de edad ",$S$98),"")</f>
        <v>* El total de procesados debe ser mayor o igual al total de Reactivos en el grupo de edad 20 - 24 años</v>
      </c>
      <c r="CO100" s="2195" t="str">
        <f>IF(U100&lt;V100,CONCATENATE("* El total de procesados debe ser mayor o igual al total de Reactivos en el grupo de edad ",$U$98),"")</f>
        <v>* El total de procesados debe ser mayor o igual al total de Reactivos en el grupo de edad 25 a 29 años</v>
      </c>
      <c r="CP100" s="2195" t="str">
        <f>IF(W100&lt;X100,CONCATENATE("* El total de procesados debe ser mayor o igual al total de Reactivos en el grupo de edad ",$W$98),"")</f>
        <v>* El total de procesados debe ser mayor o igual al total de Reactivos en el grupo de edad 30 a 34 años</v>
      </c>
      <c r="CQ100" s="2195" t="str">
        <f>IF(Y100&lt;Z100,CONCATENATE("* El total de procesados debe ser mayor o igual al total de Reactivos en el grupo de edad ",$Y$98),"")</f>
        <v>* El total de procesados debe ser mayor o igual al total de Reactivos en el grupo de edad 35 a 39 años</v>
      </c>
      <c r="CR100" s="2195" t="str">
        <f>IF(AA100&lt;AB100,CONCATENATE("* El total de procesados debe ser mayor o igual al total de Reactivos en el grupo de edad ",$AA$98),"")</f>
        <v>* El total de procesados debe ser mayor o igual al total de Reactivos en el grupo de edad 40 a 44 años</v>
      </c>
      <c r="CS100" s="2195" t="str">
        <f>IF(AC100&lt;AD100,CONCATENATE("* El total de procesados debe ser mayor o igual al total de Reactivos en el grupo de edad ",$AC$98),"")</f>
        <v>* El total de procesados debe ser mayor o igual al total de Reactivos en el grupo de edad 45 a 49 años</v>
      </c>
      <c r="CT100" s="2195" t="str">
        <f>IF(AE100&lt;AF100,CONCATENATE("* El total de procesados debe ser mayor o igual al total de Reactivos en el grupo de edad ",$AE$98),"")</f>
        <v>* El total de procesados debe ser mayor o igual al total de Reactivos en el grupo de edad 50 a 54 años</v>
      </c>
      <c r="CU100" s="2195" t="str">
        <f>IF(AG100&lt;AH100,CONCATENATE("* El total de procesados debe ser mayor o igual al total de Reactivos en el grupo de edad ",$AG$98),"")</f>
        <v>* El total de procesados debe ser mayor o igual al total de Reactivos en el grupo de edad 55 a 59 años</v>
      </c>
      <c r="CV100" s="2195" t="str">
        <f>IF(AI100&lt;AJ100,CONCATENATE("* El total de procesados debe ser mayor o igual al total de Reactivos en el grupo de edad ",$AI$98),"")</f>
        <v>* El total de procesados debe ser mayor o igual al total de Reactivos en el grupo de edad 60 a 64 años</v>
      </c>
      <c r="CW100" s="2195" t="str">
        <f>IF(AK100&lt;AL100,CONCATENATE("* El total de procesados debe ser mayor o igual al total de Reactivos en el grupo de edad ",$AK$98),"")</f>
        <v>* El total de procesados debe ser mayor o igual al total de Reactivos en el grupo de edad 65 a 69 años</v>
      </c>
      <c r="CX100" s="2195" t="str">
        <f>IF(AM100&lt;AN100,CONCATENATE("* El total de procesados debe ser mayor o igual al total de Reactivos en el grupo de edad ",$AM$98),"")</f>
        <v>* El total de procesados debe ser mayor o igual al total de Reactivos en el grupo de edad 70 a 74 años</v>
      </c>
      <c r="CY100" s="2195" t="str">
        <f>IF(AO100&lt;AP100,CONCATENATE("* El total de procesados debe ser mayor o igual al total de Reactivos en el grupo de edad ",$AO$98),"")</f>
        <v>* El total de procesados debe ser mayor o igual al total de Reactivos en el grupo de edad 75 a 79 años</v>
      </c>
      <c r="CZ100" s="2195" t="str">
        <f>IF(AQ100&lt;AR100,CONCATENATE("* El total de procesados debe ser mayor o igual al total de Reactivos en el grupo de edad ",$AQ$98),"")</f>
        <v>* El total de procesados debe ser mayor o igual al total de Reactivos en el grupo de edad 80 y más años</v>
      </c>
      <c r="DA100" s="2195" t="str">
        <f t="shared" ref="DA100:DA117" si="218">IF(AND(C100&lt;&gt;0,OR(AU100="",AV100="",AW100="",AX100="")),"* No olvide digitar la columna Trans y/o Pueblos Originarios y/o Migrantes (Digite Cero si no tiene). ","")</f>
        <v/>
      </c>
      <c r="DB100" s="1446">
        <f t="shared" ref="DB100:DB117" si="219">IF(C100&lt;   D100,1,0)</f>
        <v>1</v>
      </c>
      <c r="DC100" s="1446" t="e">
        <f t="shared" ref="DC100:DC117" si="220">IF(C100&lt;&gt; AS100+AT100,1,0)</f>
        <v>#VALUE!</v>
      </c>
      <c r="DD100" s="1446" t="e">
        <f t="shared" ref="DD100:DD117" si="221">IF(C100&lt;  AU100+AV100,1,0)</f>
        <v>#VALUE!</v>
      </c>
      <c r="DE100" s="1446">
        <f t="shared" ref="DE100:DE117" si="222">IF(C100&lt;  AW100,1,0)</f>
        <v>1</v>
      </c>
      <c r="DF100" s="1446">
        <f t="shared" ref="DF100:DF117" si="223">IF(C100&lt;  AX100,1,0)</f>
        <v>1</v>
      </c>
      <c r="DG100" s="1446">
        <f t="shared" ref="DG100:DG117" si="224">IF(E100&lt;F100,1,0)</f>
        <v>1</v>
      </c>
      <c r="DH100" s="1446">
        <f t="shared" ref="DH100:DH117" si="225">IF(G100&lt;H100,1,0)</f>
        <v>1</v>
      </c>
      <c r="DI100" s="1446">
        <f t="shared" ref="DI100:DI117" si="226">IF(I100&lt;J100,1,0)</f>
        <v>1</v>
      </c>
      <c r="DJ100" s="1446">
        <f t="shared" ref="DJ100:DJ117" si="227">IF(K100&lt;L100,1,0)</f>
        <v>1</v>
      </c>
      <c r="DK100" s="1446">
        <f t="shared" ref="DK100:DK117" si="228">IF(M100&lt;N100,1,0)</f>
        <v>1</v>
      </c>
      <c r="DL100" s="1446">
        <f t="shared" ref="DL100:DL117" si="229">IF(O100&lt;P100,1,0)</f>
        <v>1</v>
      </c>
      <c r="DM100" s="1446">
        <f t="shared" ref="DM100:DM117" si="230">IF(Q100&lt;R100,1,0)</f>
        <v>1</v>
      </c>
      <c r="DN100" s="1446">
        <f t="shared" ref="DN100:DN117" si="231">IF(S100&lt;T100,1,0)</f>
        <v>1</v>
      </c>
      <c r="DO100" s="1446">
        <f t="shared" ref="DO100:DO117" si="232">IF(U100&lt;V100,1,0)</f>
        <v>1</v>
      </c>
      <c r="DP100" s="1446">
        <f t="shared" ref="DP100:DP117" si="233">IF(W100&lt;X100,1,0)</f>
        <v>1</v>
      </c>
      <c r="DQ100" s="1446">
        <f t="shared" ref="DQ100:DQ117" si="234">IF(Y100&lt;Z100,1,0)</f>
        <v>1</v>
      </c>
      <c r="DR100" s="1446">
        <f t="shared" ref="DR100:DR117" si="235">IF(AA100&lt;AB100,1,0)</f>
        <v>1</v>
      </c>
      <c r="DS100" s="1446">
        <f t="shared" ref="DS100:DS117" si="236">IF(AC100&lt;AD100,1,0)</f>
        <v>1</v>
      </c>
      <c r="DT100" s="1446">
        <f t="shared" ref="DT100:DT117" si="237">IF(AE100&lt;AF100,1,0)</f>
        <v>1</v>
      </c>
      <c r="DU100" s="1446">
        <f t="shared" ref="DU100:DU117" si="238">IF(AG100&lt;AH100,1,0)</f>
        <v>1</v>
      </c>
      <c r="DV100" s="1446">
        <f t="shared" ref="DV100:DV117" si="239">IF(AI100&lt;AJ100,1,0)</f>
        <v>1</v>
      </c>
      <c r="DW100" s="1446">
        <f t="shared" ref="DW100:DW117" si="240">IF(AK100&lt;AL100,1,0)</f>
        <v>1</v>
      </c>
      <c r="DX100" s="1446">
        <f t="shared" ref="DX100:DX117" si="241">IF(AM100&lt;AN100,1,0)</f>
        <v>1</v>
      </c>
      <c r="DY100" s="1446">
        <f t="shared" ref="DY100:DY117" si="242">IF(AO100&lt;AP100,1,0)</f>
        <v>1</v>
      </c>
      <c r="DZ100" s="1446">
        <f t="shared" ref="DZ100:DZ117" si="243">IF(AQ100&lt;AR100,1,0)</f>
        <v>1</v>
      </c>
      <c r="EA100" s="1446">
        <f t="shared" ref="EA100:EA117" si="244">IF(AND(C100&lt;&gt;0,OR(AU100="",AV100="",AW100="",AX100="")),1,0)</f>
        <v>0</v>
      </c>
    </row>
    <row r="101" spans="1:131" ht="16.2" customHeight="1" x14ac:dyDescent="0.3">
      <c r="A101" s="7258">
        <v>11056437</v>
      </c>
      <c r="B101" s="2000" t="s">
        <v>1786</v>
      </c>
      <c r="C101" s="1998" t="s">
        <v>5369</v>
      </c>
      <c r="D101" s="2044" t="s">
        <v>5370</v>
      </c>
      <c r="E101" s="1130" t="s">
        <v>5371</v>
      </c>
      <c r="F101" s="1131" t="s">
        <v>5372</v>
      </c>
      <c r="G101" s="1132" t="s">
        <v>5373</v>
      </c>
      <c r="H101" s="1131" t="s">
        <v>5374</v>
      </c>
      <c r="I101" s="1132" t="s">
        <v>5375</v>
      </c>
      <c r="J101" s="1131" t="s">
        <v>5376</v>
      </c>
      <c r="K101" s="1132" t="s">
        <v>5377</v>
      </c>
      <c r="L101" s="1131" t="s">
        <v>5378</v>
      </c>
      <c r="M101" s="1132" t="s">
        <v>5379</v>
      </c>
      <c r="N101" s="1133" t="s">
        <v>5380</v>
      </c>
      <c r="O101" s="1134" t="s">
        <v>5381</v>
      </c>
      <c r="P101" s="1135" t="s">
        <v>5382</v>
      </c>
      <c r="Q101" s="1114" t="s">
        <v>5383</v>
      </c>
      <c r="R101" s="1135" t="s">
        <v>5384</v>
      </c>
      <c r="S101" s="1114" t="s">
        <v>5385</v>
      </c>
      <c r="T101" s="1135" t="s">
        <v>5386</v>
      </c>
      <c r="U101" s="1114" t="s">
        <v>5387</v>
      </c>
      <c r="V101" s="1135" t="s">
        <v>5388</v>
      </c>
      <c r="W101" s="1114" t="s">
        <v>5389</v>
      </c>
      <c r="X101" s="1135" t="s">
        <v>5390</v>
      </c>
      <c r="Y101" s="1114" t="s">
        <v>5391</v>
      </c>
      <c r="Z101" s="1135" t="s">
        <v>5392</v>
      </c>
      <c r="AA101" s="1114" t="s">
        <v>5393</v>
      </c>
      <c r="AB101" s="1135" t="s">
        <v>5394</v>
      </c>
      <c r="AC101" s="1114" t="s">
        <v>5395</v>
      </c>
      <c r="AD101" s="1135" t="s">
        <v>5396</v>
      </c>
      <c r="AE101" s="1114" t="s">
        <v>5397</v>
      </c>
      <c r="AF101" s="1135" t="s">
        <v>5398</v>
      </c>
      <c r="AG101" s="1114" t="s">
        <v>5399</v>
      </c>
      <c r="AH101" s="1135" t="s">
        <v>5400</v>
      </c>
      <c r="AI101" s="1114" t="s">
        <v>5401</v>
      </c>
      <c r="AJ101" s="1135" t="s">
        <v>5402</v>
      </c>
      <c r="AK101" s="1114" t="s">
        <v>5403</v>
      </c>
      <c r="AL101" s="1135" t="s">
        <v>5404</v>
      </c>
      <c r="AM101" s="1114" t="s">
        <v>5405</v>
      </c>
      <c r="AN101" s="1135" t="s">
        <v>5406</v>
      </c>
      <c r="AO101" s="1114" t="s">
        <v>5407</v>
      </c>
      <c r="AP101" s="1135" t="s">
        <v>5408</v>
      </c>
      <c r="AQ101" s="1114" t="s">
        <v>5409</v>
      </c>
      <c r="AR101" s="1136" t="s">
        <v>5410</v>
      </c>
      <c r="AS101" s="1137" t="s">
        <v>5411</v>
      </c>
      <c r="AT101" s="1136" t="s">
        <v>5412</v>
      </c>
      <c r="AU101" s="1134" t="s">
        <v>5413</v>
      </c>
      <c r="AV101" s="1135" t="s">
        <v>5414</v>
      </c>
      <c r="AW101" s="1114" t="s">
        <v>5415</v>
      </c>
      <c r="AX101" s="1118" t="s">
        <v>5416</v>
      </c>
      <c r="AY101" s="1197" t="e">
        <f t="shared" si="212"/>
        <v>#VALUE!</v>
      </c>
      <c r="AZ101" s="1197"/>
      <c r="BA101" s="1197"/>
      <c r="BB101" s="1197"/>
      <c r="BC101" s="1197"/>
      <c r="BD101" s="1197"/>
      <c r="BE101" s="1197"/>
      <c r="BF101" s="1197"/>
      <c r="BG101" s="1197"/>
      <c r="BH101" s="1197"/>
      <c r="BI101" s="1197"/>
      <c r="BJ101" s="1191"/>
      <c r="BK101" s="1191"/>
      <c r="BL101" s="1191"/>
      <c r="BM101" s="1191"/>
      <c r="BV101" s="1191"/>
      <c r="BX101" s="1547"/>
      <c r="CB101" s="2195" t="str">
        <f t="shared" si="213"/>
        <v xml:space="preserve">* El total de Reactivos NO DEBE ser superior al total de Procesados. </v>
      </c>
      <c r="CC101" s="2195" t="e">
        <f t="shared" si="214"/>
        <v>#VALUE!</v>
      </c>
      <c r="CD101" s="2195" t="e">
        <f t="shared" si="215"/>
        <v>#VALUE!</v>
      </c>
      <c r="CE101" s="2195" t="str">
        <f t="shared" si="216"/>
        <v xml:space="preserve">* La columna Pueblos Originarios NO DEBE ser superior al total de Procesados. </v>
      </c>
      <c r="CF101" s="2195" t="str">
        <f t="shared" si="217"/>
        <v xml:space="preserve">* La columna Migrantes NO DEBE ser superior al total de Procesados. </v>
      </c>
      <c r="CG101" s="2195" t="str">
        <f t="shared" ref="CG101:CG117" si="245">IF(E101&lt;F101,CONCATENATE("* El total de procesados debe ser mayor o igual al total de Reactivos en el grupo de edad ",$E$98),"")</f>
        <v>* El total de procesados debe ser mayor o igual al total de Reactivos en el grupo de edad Menor de 6 meses</v>
      </c>
      <c r="CH101" s="2195" t="str">
        <f t="shared" ref="CH101:CH117" si="246">IF(G101&lt;H101,CONCATENATE("* El total de procesados debe ser mayor o igual al total de Reactivos en el grupo de edad ",$G$98),"")</f>
        <v>* El total de procesados debe ser mayor o igual al total de Reactivos en el grupo de edad 6 a 11 meses</v>
      </c>
      <c r="CI101" s="2195" t="str">
        <f t="shared" ref="CI101:CI117" si="247">IF(I101&lt;J101,CONCATENATE("* El total de procesados debe ser mayor o igual al total de Reactivos en el grupo de edad ",$I$98),"")</f>
        <v>* El total de procesados debe ser mayor o igual al total de Reactivos en el grupo de edad 12-24 meses</v>
      </c>
      <c r="CJ101" s="2195" t="str">
        <f t="shared" ref="CJ101:CJ117" si="248">IF(K101&lt;L101,CONCATENATE("* El total de procesados debe ser mayor o igual al total de Reactivos en el grupo de edad ",$K$98),"")</f>
        <v>* El total de procesados debe ser mayor o igual al total de Reactivos en el grupo de edad 3 a 4 años</v>
      </c>
      <c r="CK101" s="2195" t="str">
        <f t="shared" ref="CK101:CK117" si="249">IF(M101&lt;N101,CONCATENATE("* El total de procesados debe ser mayor o igual al total de Reactivos en el grupo de edad ",$M$98),"")</f>
        <v>* El total de procesados debe ser mayor o igual al total de Reactivos en el grupo de edad 5 a 9 años</v>
      </c>
      <c r="CL101" s="2195" t="str">
        <f t="shared" ref="CL101:CL117" si="250">IF(O101&lt;P101,CONCATENATE("* El total de procesados debe ser mayor o igual al total de Reactivos en el grupo de edad ",$O$98),"")</f>
        <v>* El total de procesados debe ser mayor o igual al total de Reactivos en el grupo de edad 10 - 14 años</v>
      </c>
      <c r="CM101" s="2195" t="str">
        <f t="shared" ref="CM101:CM117" si="251">IF(Q101&lt;R101,CONCATENATE("* El total de procesados debe ser mayor o igual al total de Reactivos en el grupo de edad ",$Q$98),"")</f>
        <v>* El total de procesados debe ser mayor o igual al total de Reactivos en el grupo de edad 15 - 19 años</v>
      </c>
      <c r="CN101" s="2195" t="str">
        <f t="shared" ref="CN101:CN117" si="252">IF(S101&lt;T101,CONCATENATE("* El total de procesados debe ser mayor o igual al total de Reactivos en el grupo de edad ",$S$98),"")</f>
        <v>* El total de procesados debe ser mayor o igual al total de Reactivos en el grupo de edad 20 - 24 años</v>
      </c>
      <c r="CO101" s="2195" t="str">
        <f t="shared" ref="CO101:CO117" si="253">IF(U101&lt;V101,CONCATENATE("* El total de procesados debe ser mayor o igual al total de Reactivos en el grupo de edad ",$U$98),"")</f>
        <v>* El total de procesados debe ser mayor o igual al total de Reactivos en el grupo de edad 25 a 29 años</v>
      </c>
      <c r="CP101" s="2195" t="str">
        <f t="shared" ref="CP101:CP117" si="254">IF(W101&lt;X101,CONCATENATE("* El total de procesados debe ser mayor o igual al total de Reactivos en el grupo de edad ",$W$98),"")</f>
        <v>* El total de procesados debe ser mayor o igual al total de Reactivos en el grupo de edad 30 a 34 años</v>
      </c>
      <c r="CQ101" s="2195" t="str">
        <f t="shared" ref="CQ101:CQ117" si="255">IF(Y101&lt;Z101,CONCATENATE("* El total de procesados debe ser mayor o igual al total de Reactivos en el grupo de edad ",$Y$98),"")</f>
        <v>* El total de procesados debe ser mayor o igual al total de Reactivos en el grupo de edad 35 a 39 años</v>
      </c>
      <c r="CR101" s="2195" t="str">
        <f t="shared" ref="CR101:CR117" si="256">IF(AA101&lt;AB101,CONCATENATE("* El total de procesados debe ser mayor o igual al total de Reactivos en el grupo de edad ",$AA$98),"")</f>
        <v>* El total de procesados debe ser mayor o igual al total de Reactivos en el grupo de edad 40 a 44 años</v>
      </c>
      <c r="CS101" s="2195" t="str">
        <f t="shared" ref="CS101:CS117" si="257">IF(AC101&lt;AD101,CONCATENATE("* El total de procesados debe ser mayor o igual al total de Reactivos en el grupo de edad ",$AC$98),"")</f>
        <v>* El total de procesados debe ser mayor o igual al total de Reactivos en el grupo de edad 45 a 49 años</v>
      </c>
      <c r="CT101" s="2195" t="str">
        <f t="shared" ref="CT101:CT117" si="258">IF(AE101&lt;AF101,CONCATENATE("* El total de procesados debe ser mayor o igual al total de Reactivos en el grupo de edad ",$AE$98),"")</f>
        <v>* El total de procesados debe ser mayor o igual al total de Reactivos en el grupo de edad 50 a 54 años</v>
      </c>
      <c r="CU101" s="2195" t="str">
        <f t="shared" ref="CU101:CU117" si="259">IF(AG101&lt;AH101,CONCATENATE("* El total de procesados debe ser mayor o igual al total de Reactivos en el grupo de edad ",$AG$98),"")</f>
        <v>* El total de procesados debe ser mayor o igual al total de Reactivos en el grupo de edad 55 a 59 años</v>
      </c>
      <c r="CV101" s="2195" t="str">
        <f t="shared" ref="CV101:CV117" si="260">IF(AI101&lt;AJ101,CONCATENATE("* El total de procesados debe ser mayor o igual al total de Reactivos en el grupo de edad ",$AI$98),"")</f>
        <v>* El total de procesados debe ser mayor o igual al total de Reactivos en el grupo de edad 60 a 64 años</v>
      </c>
      <c r="CW101" s="2195" t="str">
        <f t="shared" ref="CW101:CW117" si="261">IF(AK101&lt;AL101,CONCATENATE("* El total de procesados debe ser mayor o igual al total de Reactivos en el grupo de edad ",$AK$98),"")</f>
        <v>* El total de procesados debe ser mayor o igual al total de Reactivos en el grupo de edad 65 a 69 años</v>
      </c>
      <c r="CX101" s="2195" t="str">
        <f t="shared" ref="CX101:CX117" si="262">IF(AM101&lt;AN101,CONCATENATE("* El total de procesados debe ser mayor o igual al total de Reactivos en el grupo de edad ",$AM$98),"")</f>
        <v>* El total de procesados debe ser mayor o igual al total de Reactivos en el grupo de edad 70 a 74 años</v>
      </c>
      <c r="CY101" s="2195" t="str">
        <f t="shared" ref="CY101:CY117" si="263">IF(AO101&lt;AP101,CONCATENATE("* El total de procesados debe ser mayor o igual al total de Reactivos en el grupo de edad ",$AO$98),"")</f>
        <v>* El total de procesados debe ser mayor o igual al total de Reactivos en el grupo de edad 75 a 79 años</v>
      </c>
      <c r="CZ101" s="2195" t="str">
        <f t="shared" ref="CZ101:CZ117" si="264">IF(AQ101&lt;AR101,CONCATENATE("* El total de procesados debe ser mayor o igual al total de Reactivos en el grupo de edad ",$AQ$98),"")</f>
        <v>* El total de procesados debe ser mayor o igual al total de Reactivos en el grupo de edad 80 y más años</v>
      </c>
      <c r="DA101" s="2195" t="str">
        <f t="shared" si="218"/>
        <v/>
      </c>
      <c r="DB101" s="1446">
        <f t="shared" si="219"/>
        <v>1</v>
      </c>
      <c r="DC101" s="1446" t="e">
        <f t="shared" si="220"/>
        <v>#VALUE!</v>
      </c>
      <c r="DD101" s="1446" t="e">
        <f t="shared" si="221"/>
        <v>#VALUE!</v>
      </c>
      <c r="DE101" s="1446">
        <f t="shared" si="222"/>
        <v>1</v>
      </c>
      <c r="DF101" s="1446">
        <f t="shared" si="223"/>
        <v>1</v>
      </c>
      <c r="DG101" s="1446">
        <f t="shared" si="224"/>
        <v>1</v>
      </c>
      <c r="DH101" s="1446">
        <f t="shared" si="225"/>
        <v>1</v>
      </c>
      <c r="DI101" s="1446">
        <f t="shared" si="226"/>
        <v>1</v>
      </c>
      <c r="DJ101" s="1446">
        <f t="shared" si="227"/>
        <v>1</v>
      </c>
      <c r="DK101" s="1446">
        <f t="shared" si="228"/>
        <v>1</v>
      </c>
      <c r="DL101" s="1446">
        <f t="shared" si="229"/>
        <v>1</v>
      </c>
      <c r="DM101" s="1446">
        <f t="shared" si="230"/>
        <v>1</v>
      </c>
      <c r="DN101" s="1446">
        <f t="shared" si="231"/>
        <v>1</v>
      </c>
      <c r="DO101" s="1446">
        <f t="shared" si="232"/>
        <v>1</v>
      </c>
      <c r="DP101" s="1446">
        <f t="shared" si="233"/>
        <v>1</v>
      </c>
      <c r="DQ101" s="1446">
        <f t="shared" si="234"/>
        <v>1</v>
      </c>
      <c r="DR101" s="1446">
        <f t="shared" si="235"/>
        <v>1</v>
      </c>
      <c r="DS101" s="1446">
        <f t="shared" si="236"/>
        <v>1</v>
      </c>
      <c r="DT101" s="1446">
        <f t="shared" si="237"/>
        <v>1</v>
      </c>
      <c r="DU101" s="1446">
        <f t="shared" si="238"/>
        <v>1</v>
      </c>
      <c r="DV101" s="1446">
        <f t="shared" si="239"/>
        <v>1</v>
      </c>
      <c r="DW101" s="1446">
        <f t="shared" si="240"/>
        <v>1</v>
      </c>
      <c r="DX101" s="1446">
        <f t="shared" si="241"/>
        <v>1</v>
      </c>
      <c r="DY101" s="1446">
        <f t="shared" si="242"/>
        <v>1</v>
      </c>
      <c r="DZ101" s="1446">
        <f t="shared" si="243"/>
        <v>1</v>
      </c>
      <c r="EA101" s="1446">
        <f t="shared" si="244"/>
        <v>0</v>
      </c>
    </row>
    <row r="102" spans="1:131" ht="16.2" customHeight="1" x14ac:dyDescent="0.3">
      <c r="A102" s="7258">
        <v>11056438</v>
      </c>
      <c r="B102" s="2000" t="s">
        <v>1787</v>
      </c>
      <c r="C102" s="1998" t="s">
        <v>5369</v>
      </c>
      <c r="D102" s="2044" t="s">
        <v>5370</v>
      </c>
      <c r="E102" s="1130" t="s">
        <v>5371</v>
      </c>
      <c r="F102" s="1131" t="s">
        <v>5372</v>
      </c>
      <c r="G102" s="1132" t="s">
        <v>5373</v>
      </c>
      <c r="H102" s="1131" t="s">
        <v>5374</v>
      </c>
      <c r="I102" s="1132" t="s">
        <v>5375</v>
      </c>
      <c r="J102" s="1131" t="s">
        <v>5376</v>
      </c>
      <c r="K102" s="1132" t="s">
        <v>5377</v>
      </c>
      <c r="L102" s="1131" t="s">
        <v>5378</v>
      </c>
      <c r="M102" s="1132" t="s">
        <v>5379</v>
      </c>
      <c r="N102" s="1133" t="s">
        <v>5380</v>
      </c>
      <c r="O102" s="1134" t="s">
        <v>5381</v>
      </c>
      <c r="P102" s="1135" t="s">
        <v>5382</v>
      </c>
      <c r="Q102" s="1114" t="s">
        <v>5383</v>
      </c>
      <c r="R102" s="1135" t="s">
        <v>5384</v>
      </c>
      <c r="S102" s="1114" t="s">
        <v>5385</v>
      </c>
      <c r="T102" s="1135" t="s">
        <v>5386</v>
      </c>
      <c r="U102" s="1114" t="s">
        <v>5387</v>
      </c>
      <c r="V102" s="1135" t="s">
        <v>5388</v>
      </c>
      <c r="W102" s="1114" t="s">
        <v>5389</v>
      </c>
      <c r="X102" s="1135" t="s">
        <v>5390</v>
      </c>
      <c r="Y102" s="1114" t="s">
        <v>5391</v>
      </c>
      <c r="Z102" s="1135" t="s">
        <v>5392</v>
      </c>
      <c r="AA102" s="1114" t="s">
        <v>5393</v>
      </c>
      <c r="AB102" s="1135" t="s">
        <v>5394</v>
      </c>
      <c r="AC102" s="1114" t="s">
        <v>5395</v>
      </c>
      <c r="AD102" s="1135" t="s">
        <v>5396</v>
      </c>
      <c r="AE102" s="1114" t="s">
        <v>5397</v>
      </c>
      <c r="AF102" s="1135" t="s">
        <v>5398</v>
      </c>
      <c r="AG102" s="1114" t="s">
        <v>5399</v>
      </c>
      <c r="AH102" s="1135" t="s">
        <v>5400</v>
      </c>
      <c r="AI102" s="1114" t="s">
        <v>5401</v>
      </c>
      <c r="AJ102" s="1135" t="s">
        <v>5402</v>
      </c>
      <c r="AK102" s="1114" t="s">
        <v>5403</v>
      </c>
      <c r="AL102" s="1135" t="s">
        <v>5404</v>
      </c>
      <c r="AM102" s="1114" t="s">
        <v>5405</v>
      </c>
      <c r="AN102" s="1135" t="s">
        <v>5406</v>
      </c>
      <c r="AO102" s="1114" t="s">
        <v>5407</v>
      </c>
      <c r="AP102" s="1135" t="s">
        <v>5408</v>
      </c>
      <c r="AQ102" s="1114" t="s">
        <v>5409</v>
      </c>
      <c r="AR102" s="1136" t="s">
        <v>5410</v>
      </c>
      <c r="AS102" s="1137" t="s">
        <v>5411</v>
      </c>
      <c r="AT102" s="1136" t="s">
        <v>5412</v>
      </c>
      <c r="AU102" s="1134" t="s">
        <v>5413</v>
      </c>
      <c r="AV102" s="1135" t="s">
        <v>5414</v>
      </c>
      <c r="AW102" s="1114" t="s">
        <v>5415</v>
      </c>
      <c r="AX102" s="1118" t="s">
        <v>5416</v>
      </c>
      <c r="AY102" s="1197" t="e">
        <f t="shared" si="212"/>
        <v>#VALUE!</v>
      </c>
      <c r="AZ102" s="1197"/>
      <c r="BA102" s="1197"/>
      <c r="BB102" s="1197"/>
      <c r="BC102" s="1197"/>
      <c r="BD102" s="1197"/>
      <c r="BE102" s="1197"/>
      <c r="BF102" s="1197"/>
      <c r="BG102" s="1197"/>
      <c r="BH102" s="1197"/>
      <c r="BI102" s="1197"/>
      <c r="BJ102" s="1191"/>
      <c r="BK102" s="1191"/>
      <c r="BL102" s="1191"/>
      <c r="BM102" s="1191"/>
      <c r="BV102" s="1191"/>
      <c r="BX102" s="1547"/>
      <c r="CB102" s="2195" t="str">
        <f t="shared" si="213"/>
        <v xml:space="preserve">* El total de Reactivos NO DEBE ser superior al total de Procesados. </v>
      </c>
      <c r="CC102" s="2195" t="e">
        <f t="shared" si="214"/>
        <v>#VALUE!</v>
      </c>
      <c r="CD102" s="2195" t="e">
        <f t="shared" si="215"/>
        <v>#VALUE!</v>
      </c>
      <c r="CE102" s="2195" t="str">
        <f t="shared" si="216"/>
        <v xml:space="preserve">* La columna Pueblos Originarios NO DEBE ser superior al total de Procesados. </v>
      </c>
      <c r="CF102" s="2195" t="str">
        <f t="shared" si="217"/>
        <v xml:space="preserve">* La columna Migrantes NO DEBE ser superior al total de Procesados. </v>
      </c>
      <c r="CG102" s="2195" t="str">
        <f t="shared" si="245"/>
        <v>* El total de procesados debe ser mayor o igual al total de Reactivos en el grupo de edad Menor de 6 meses</v>
      </c>
      <c r="CH102" s="2195" t="str">
        <f t="shared" si="246"/>
        <v>* El total de procesados debe ser mayor o igual al total de Reactivos en el grupo de edad 6 a 11 meses</v>
      </c>
      <c r="CI102" s="2195" t="str">
        <f t="shared" si="247"/>
        <v>* El total de procesados debe ser mayor o igual al total de Reactivos en el grupo de edad 12-24 meses</v>
      </c>
      <c r="CJ102" s="2195" t="str">
        <f t="shared" si="248"/>
        <v>* El total de procesados debe ser mayor o igual al total de Reactivos en el grupo de edad 3 a 4 años</v>
      </c>
      <c r="CK102" s="2195" t="str">
        <f t="shared" si="249"/>
        <v>* El total de procesados debe ser mayor o igual al total de Reactivos en el grupo de edad 5 a 9 años</v>
      </c>
      <c r="CL102" s="2195" t="str">
        <f t="shared" si="250"/>
        <v>* El total de procesados debe ser mayor o igual al total de Reactivos en el grupo de edad 10 - 14 años</v>
      </c>
      <c r="CM102" s="2195" t="str">
        <f t="shared" si="251"/>
        <v>* El total de procesados debe ser mayor o igual al total de Reactivos en el grupo de edad 15 - 19 años</v>
      </c>
      <c r="CN102" s="2195" t="str">
        <f t="shared" si="252"/>
        <v>* El total de procesados debe ser mayor o igual al total de Reactivos en el grupo de edad 20 - 24 años</v>
      </c>
      <c r="CO102" s="2195" t="str">
        <f t="shared" si="253"/>
        <v>* El total de procesados debe ser mayor o igual al total de Reactivos en el grupo de edad 25 a 29 años</v>
      </c>
      <c r="CP102" s="2195" t="str">
        <f t="shared" si="254"/>
        <v>* El total de procesados debe ser mayor o igual al total de Reactivos en el grupo de edad 30 a 34 años</v>
      </c>
      <c r="CQ102" s="2195" t="str">
        <f t="shared" si="255"/>
        <v>* El total de procesados debe ser mayor o igual al total de Reactivos en el grupo de edad 35 a 39 años</v>
      </c>
      <c r="CR102" s="2195" t="str">
        <f t="shared" si="256"/>
        <v>* El total de procesados debe ser mayor o igual al total de Reactivos en el grupo de edad 40 a 44 años</v>
      </c>
      <c r="CS102" s="2195" t="str">
        <f t="shared" si="257"/>
        <v>* El total de procesados debe ser mayor o igual al total de Reactivos en el grupo de edad 45 a 49 años</v>
      </c>
      <c r="CT102" s="2195" t="str">
        <f t="shared" si="258"/>
        <v>* El total de procesados debe ser mayor o igual al total de Reactivos en el grupo de edad 50 a 54 años</v>
      </c>
      <c r="CU102" s="2195" t="str">
        <f t="shared" si="259"/>
        <v>* El total de procesados debe ser mayor o igual al total de Reactivos en el grupo de edad 55 a 59 años</v>
      </c>
      <c r="CV102" s="2195" t="str">
        <f t="shared" si="260"/>
        <v>* El total de procesados debe ser mayor o igual al total de Reactivos en el grupo de edad 60 a 64 años</v>
      </c>
      <c r="CW102" s="2195" t="str">
        <f t="shared" si="261"/>
        <v>* El total de procesados debe ser mayor o igual al total de Reactivos en el grupo de edad 65 a 69 años</v>
      </c>
      <c r="CX102" s="2195" t="str">
        <f t="shared" si="262"/>
        <v>* El total de procesados debe ser mayor o igual al total de Reactivos en el grupo de edad 70 a 74 años</v>
      </c>
      <c r="CY102" s="2195" t="str">
        <f t="shared" si="263"/>
        <v>* El total de procesados debe ser mayor o igual al total de Reactivos en el grupo de edad 75 a 79 años</v>
      </c>
      <c r="CZ102" s="2195" t="str">
        <f t="shared" si="264"/>
        <v>* El total de procesados debe ser mayor o igual al total de Reactivos en el grupo de edad 80 y más años</v>
      </c>
      <c r="DA102" s="2195" t="str">
        <f t="shared" si="218"/>
        <v/>
      </c>
      <c r="DB102" s="1446">
        <f t="shared" si="219"/>
        <v>1</v>
      </c>
      <c r="DC102" s="1446" t="e">
        <f t="shared" si="220"/>
        <v>#VALUE!</v>
      </c>
      <c r="DD102" s="1446" t="e">
        <f t="shared" si="221"/>
        <v>#VALUE!</v>
      </c>
      <c r="DE102" s="1446">
        <f t="shared" si="222"/>
        <v>1</v>
      </c>
      <c r="DF102" s="1446">
        <f t="shared" si="223"/>
        <v>1</v>
      </c>
      <c r="DG102" s="1446">
        <f t="shared" si="224"/>
        <v>1</v>
      </c>
      <c r="DH102" s="1446">
        <f t="shared" si="225"/>
        <v>1</v>
      </c>
      <c r="DI102" s="1446">
        <f t="shared" si="226"/>
        <v>1</v>
      </c>
      <c r="DJ102" s="1446">
        <f t="shared" si="227"/>
        <v>1</v>
      </c>
      <c r="DK102" s="1446">
        <f t="shared" si="228"/>
        <v>1</v>
      </c>
      <c r="DL102" s="1446">
        <f t="shared" si="229"/>
        <v>1</v>
      </c>
      <c r="DM102" s="1446">
        <f t="shared" si="230"/>
        <v>1</v>
      </c>
      <c r="DN102" s="1446">
        <f t="shared" si="231"/>
        <v>1</v>
      </c>
      <c r="DO102" s="1446">
        <f t="shared" si="232"/>
        <v>1</v>
      </c>
      <c r="DP102" s="1446">
        <f t="shared" si="233"/>
        <v>1</v>
      </c>
      <c r="DQ102" s="1446">
        <f t="shared" si="234"/>
        <v>1</v>
      </c>
      <c r="DR102" s="1446">
        <f t="shared" si="235"/>
        <v>1</v>
      </c>
      <c r="DS102" s="1446">
        <f t="shared" si="236"/>
        <v>1</v>
      </c>
      <c r="DT102" s="1446">
        <f t="shared" si="237"/>
        <v>1</v>
      </c>
      <c r="DU102" s="1446">
        <f t="shared" si="238"/>
        <v>1</v>
      </c>
      <c r="DV102" s="1446">
        <f t="shared" si="239"/>
        <v>1</v>
      </c>
      <c r="DW102" s="1446">
        <f t="shared" si="240"/>
        <v>1</v>
      </c>
      <c r="DX102" s="1446">
        <f t="shared" si="241"/>
        <v>1</v>
      </c>
      <c r="DY102" s="1446">
        <f t="shared" si="242"/>
        <v>1</v>
      </c>
      <c r="DZ102" s="1446">
        <f t="shared" si="243"/>
        <v>1</v>
      </c>
      <c r="EA102" s="1446">
        <f t="shared" si="244"/>
        <v>0</v>
      </c>
    </row>
    <row r="103" spans="1:131" ht="16.2" customHeight="1" x14ac:dyDescent="0.3">
      <c r="A103" s="7258">
        <v>11056439</v>
      </c>
      <c r="B103" s="2000" t="s">
        <v>1788</v>
      </c>
      <c r="C103" s="1998" t="s">
        <v>5369</v>
      </c>
      <c r="D103" s="2044" t="s">
        <v>5370</v>
      </c>
      <c r="E103" s="1130" t="s">
        <v>5371</v>
      </c>
      <c r="F103" s="1131" t="s">
        <v>5372</v>
      </c>
      <c r="G103" s="1132" t="s">
        <v>5373</v>
      </c>
      <c r="H103" s="1131" t="s">
        <v>5374</v>
      </c>
      <c r="I103" s="1132" t="s">
        <v>5375</v>
      </c>
      <c r="J103" s="1131" t="s">
        <v>5376</v>
      </c>
      <c r="K103" s="1132" t="s">
        <v>5377</v>
      </c>
      <c r="L103" s="1131" t="s">
        <v>5378</v>
      </c>
      <c r="M103" s="1132" t="s">
        <v>5379</v>
      </c>
      <c r="N103" s="1133" t="s">
        <v>5380</v>
      </c>
      <c r="O103" s="1134" t="s">
        <v>5381</v>
      </c>
      <c r="P103" s="1135" t="s">
        <v>5382</v>
      </c>
      <c r="Q103" s="1114" t="s">
        <v>5383</v>
      </c>
      <c r="R103" s="1135" t="s">
        <v>5384</v>
      </c>
      <c r="S103" s="1114" t="s">
        <v>5385</v>
      </c>
      <c r="T103" s="1135" t="s">
        <v>5386</v>
      </c>
      <c r="U103" s="1114" t="s">
        <v>5387</v>
      </c>
      <c r="V103" s="1135" t="s">
        <v>5388</v>
      </c>
      <c r="W103" s="1114" t="s">
        <v>5389</v>
      </c>
      <c r="X103" s="1135" t="s">
        <v>5390</v>
      </c>
      <c r="Y103" s="1114" t="s">
        <v>5391</v>
      </c>
      <c r="Z103" s="1135" t="s">
        <v>5392</v>
      </c>
      <c r="AA103" s="1114" t="s">
        <v>5393</v>
      </c>
      <c r="AB103" s="1135" t="s">
        <v>5394</v>
      </c>
      <c r="AC103" s="1114" t="s">
        <v>5395</v>
      </c>
      <c r="AD103" s="1135" t="s">
        <v>5396</v>
      </c>
      <c r="AE103" s="1114" t="s">
        <v>5397</v>
      </c>
      <c r="AF103" s="1135" t="s">
        <v>5398</v>
      </c>
      <c r="AG103" s="1114" t="s">
        <v>5399</v>
      </c>
      <c r="AH103" s="1135" t="s">
        <v>5400</v>
      </c>
      <c r="AI103" s="1114" t="s">
        <v>5401</v>
      </c>
      <c r="AJ103" s="1135" t="s">
        <v>5402</v>
      </c>
      <c r="AK103" s="1114" t="s">
        <v>5403</v>
      </c>
      <c r="AL103" s="1135" t="s">
        <v>5404</v>
      </c>
      <c r="AM103" s="1114" t="s">
        <v>5405</v>
      </c>
      <c r="AN103" s="1135" t="s">
        <v>5406</v>
      </c>
      <c r="AO103" s="1114" t="s">
        <v>5407</v>
      </c>
      <c r="AP103" s="1135" t="s">
        <v>5408</v>
      </c>
      <c r="AQ103" s="1114" t="s">
        <v>5409</v>
      </c>
      <c r="AR103" s="1136" t="s">
        <v>5410</v>
      </c>
      <c r="AS103" s="1137" t="s">
        <v>5411</v>
      </c>
      <c r="AT103" s="1136" t="s">
        <v>5412</v>
      </c>
      <c r="AU103" s="1134" t="s">
        <v>5413</v>
      </c>
      <c r="AV103" s="1135" t="s">
        <v>5414</v>
      </c>
      <c r="AW103" s="1114" t="s">
        <v>5415</v>
      </c>
      <c r="AX103" s="1118" t="s">
        <v>5416</v>
      </c>
      <c r="AY103" s="1197" t="e">
        <f t="shared" si="212"/>
        <v>#VALUE!</v>
      </c>
      <c r="AZ103" s="1197"/>
      <c r="BA103" s="1197"/>
      <c r="BB103" s="1197"/>
      <c r="BC103" s="1197"/>
      <c r="BD103" s="1197"/>
      <c r="BE103" s="1197"/>
      <c r="BF103" s="1197"/>
      <c r="BG103" s="1197"/>
      <c r="BH103" s="1197"/>
      <c r="BI103" s="1197"/>
      <c r="BJ103" s="1191"/>
      <c r="BK103" s="1191"/>
      <c r="BL103" s="1191"/>
      <c r="BM103" s="1191"/>
      <c r="BV103" s="1191"/>
      <c r="BX103" s="1547"/>
      <c r="CB103" s="2195" t="str">
        <f t="shared" si="213"/>
        <v xml:space="preserve">* El total de Reactivos NO DEBE ser superior al total de Procesados. </v>
      </c>
      <c r="CC103" s="2195" t="e">
        <f t="shared" si="214"/>
        <v>#VALUE!</v>
      </c>
      <c r="CD103" s="2195" t="e">
        <f t="shared" si="215"/>
        <v>#VALUE!</v>
      </c>
      <c r="CE103" s="2195" t="str">
        <f t="shared" si="216"/>
        <v xml:space="preserve">* La columna Pueblos Originarios NO DEBE ser superior al total de Procesados. </v>
      </c>
      <c r="CF103" s="2195" t="str">
        <f t="shared" si="217"/>
        <v xml:space="preserve">* La columna Migrantes NO DEBE ser superior al total de Procesados. </v>
      </c>
      <c r="CG103" s="2195" t="str">
        <f t="shared" si="245"/>
        <v>* El total de procesados debe ser mayor o igual al total de Reactivos en el grupo de edad Menor de 6 meses</v>
      </c>
      <c r="CH103" s="2195" t="str">
        <f t="shared" si="246"/>
        <v>* El total de procesados debe ser mayor o igual al total de Reactivos en el grupo de edad 6 a 11 meses</v>
      </c>
      <c r="CI103" s="2195" t="str">
        <f t="shared" si="247"/>
        <v>* El total de procesados debe ser mayor o igual al total de Reactivos en el grupo de edad 12-24 meses</v>
      </c>
      <c r="CJ103" s="2195" t="str">
        <f t="shared" si="248"/>
        <v>* El total de procesados debe ser mayor o igual al total de Reactivos en el grupo de edad 3 a 4 años</v>
      </c>
      <c r="CK103" s="2195" t="str">
        <f t="shared" si="249"/>
        <v>* El total de procesados debe ser mayor o igual al total de Reactivos en el grupo de edad 5 a 9 años</v>
      </c>
      <c r="CL103" s="2195" t="str">
        <f t="shared" si="250"/>
        <v>* El total de procesados debe ser mayor o igual al total de Reactivos en el grupo de edad 10 - 14 años</v>
      </c>
      <c r="CM103" s="2195" t="str">
        <f t="shared" si="251"/>
        <v>* El total de procesados debe ser mayor o igual al total de Reactivos en el grupo de edad 15 - 19 años</v>
      </c>
      <c r="CN103" s="2195" t="str">
        <f t="shared" si="252"/>
        <v>* El total de procesados debe ser mayor o igual al total de Reactivos en el grupo de edad 20 - 24 años</v>
      </c>
      <c r="CO103" s="2195" t="str">
        <f t="shared" si="253"/>
        <v>* El total de procesados debe ser mayor o igual al total de Reactivos en el grupo de edad 25 a 29 años</v>
      </c>
      <c r="CP103" s="2195" t="str">
        <f t="shared" si="254"/>
        <v>* El total de procesados debe ser mayor o igual al total de Reactivos en el grupo de edad 30 a 34 años</v>
      </c>
      <c r="CQ103" s="2195" t="str">
        <f t="shared" si="255"/>
        <v>* El total de procesados debe ser mayor o igual al total de Reactivos en el grupo de edad 35 a 39 años</v>
      </c>
      <c r="CR103" s="2195" t="str">
        <f t="shared" si="256"/>
        <v>* El total de procesados debe ser mayor o igual al total de Reactivos en el grupo de edad 40 a 44 años</v>
      </c>
      <c r="CS103" s="2195" t="str">
        <f t="shared" si="257"/>
        <v>* El total de procesados debe ser mayor o igual al total de Reactivos en el grupo de edad 45 a 49 años</v>
      </c>
      <c r="CT103" s="2195" t="str">
        <f t="shared" si="258"/>
        <v>* El total de procesados debe ser mayor o igual al total de Reactivos en el grupo de edad 50 a 54 años</v>
      </c>
      <c r="CU103" s="2195" t="str">
        <f t="shared" si="259"/>
        <v>* El total de procesados debe ser mayor o igual al total de Reactivos en el grupo de edad 55 a 59 años</v>
      </c>
      <c r="CV103" s="2195" t="str">
        <f t="shared" si="260"/>
        <v>* El total de procesados debe ser mayor o igual al total de Reactivos en el grupo de edad 60 a 64 años</v>
      </c>
      <c r="CW103" s="2195" t="str">
        <f t="shared" si="261"/>
        <v>* El total de procesados debe ser mayor o igual al total de Reactivos en el grupo de edad 65 a 69 años</v>
      </c>
      <c r="CX103" s="2195" t="str">
        <f t="shared" si="262"/>
        <v>* El total de procesados debe ser mayor o igual al total de Reactivos en el grupo de edad 70 a 74 años</v>
      </c>
      <c r="CY103" s="2195" t="str">
        <f t="shared" si="263"/>
        <v>* El total de procesados debe ser mayor o igual al total de Reactivos en el grupo de edad 75 a 79 años</v>
      </c>
      <c r="CZ103" s="2195" t="str">
        <f t="shared" si="264"/>
        <v>* El total de procesados debe ser mayor o igual al total de Reactivos en el grupo de edad 80 y más años</v>
      </c>
      <c r="DA103" s="2195" t="str">
        <f t="shared" si="218"/>
        <v/>
      </c>
      <c r="DB103" s="1446">
        <f t="shared" si="219"/>
        <v>1</v>
      </c>
      <c r="DC103" s="1446" t="e">
        <f t="shared" si="220"/>
        <v>#VALUE!</v>
      </c>
      <c r="DD103" s="1446" t="e">
        <f t="shared" si="221"/>
        <v>#VALUE!</v>
      </c>
      <c r="DE103" s="1446">
        <f t="shared" si="222"/>
        <v>1</v>
      </c>
      <c r="DF103" s="1446">
        <f t="shared" si="223"/>
        <v>1</v>
      </c>
      <c r="DG103" s="1446">
        <f t="shared" si="224"/>
        <v>1</v>
      </c>
      <c r="DH103" s="1446">
        <f t="shared" si="225"/>
        <v>1</v>
      </c>
      <c r="DI103" s="1446">
        <f t="shared" si="226"/>
        <v>1</v>
      </c>
      <c r="DJ103" s="1446">
        <f t="shared" si="227"/>
        <v>1</v>
      </c>
      <c r="DK103" s="1446">
        <f t="shared" si="228"/>
        <v>1</v>
      </c>
      <c r="DL103" s="1446">
        <f t="shared" si="229"/>
        <v>1</v>
      </c>
      <c r="DM103" s="1446">
        <f t="shared" si="230"/>
        <v>1</v>
      </c>
      <c r="DN103" s="1446">
        <f t="shared" si="231"/>
        <v>1</v>
      </c>
      <c r="DO103" s="1446">
        <f t="shared" si="232"/>
        <v>1</v>
      </c>
      <c r="DP103" s="1446">
        <f t="shared" si="233"/>
        <v>1</v>
      </c>
      <c r="DQ103" s="1446">
        <f t="shared" si="234"/>
        <v>1</v>
      </c>
      <c r="DR103" s="1446">
        <f t="shared" si="235"/>
        <v>1</v>
      </c>
      <c r="DS103" s="1446">
        <f t="shared" si="236"/>
        <v>1</v>
      </c>
      <c r="DT103" s="1446">
        <f t="shared" si="237"/>
        <v>1</v>
      </c>
      <c r="DU103" s="1446">
        <f t="shared" si="238"/>
        <v>1</v>
      </c>
      <c r="DV103" s="1446">
        <f t="shared" si="239"/>
        <v>1</v>
      </c>
      <c r="DW103" s="1446">
        <f t="shared" si="240"/>
        <v>1</v>
      </c>
      <c r="DX103" s="1446">
        <f t="shared" si="241"/>
        <v>1</v>
      </c>
      <c r="DY103" s="1446">
        <f t="shared" si="242"/>
        <v>1</v>
      </c>
      <c r="DZ103" s="1446">
        <f t="shared" si="243"/>
        <v>1</v>
      </c>
      <c r="EA103" s="1446">
        <f t="shared" si="244"/>
        <v>0</v>
      </c>
    </row>
    <row r="104" spans="1:131" ht="16.2" customHeight="1" x14ac:dyDescent="0.3">
      <c r="A104" s="7258">
        <v>11056440</v>
      </c>
      <c r="B104" s="2045" t="s">
        <v>1789</v>
      </c>
      <c r="C104" s="1998" t="s">
        <v>5369</v>
      </c>
      <c r="D104" s="2044" t="s">
        <v>5370</v>
      </c>
      <c r="E104" s="1130" t="s">
        <v>5371</v>
      </c>
      <c r="F104" s="1131" t="s">
        <v>5372</v>
      </c>
      <c r="G104" s="1132" t="s">
        <v>5373</v>
      </c>
      <c r="H104" s="1131" t="s">
        <v>5374</v>
      </c>
      <c r="I104" s="1132" t="s">
        <v>5375</v>
      </c>
      <c r="J104" s="1131" t="s">
        <v>5376</v>
      </c>
      <c r="K104" s="1132" t="s">
        <v>5377</v>
      </c>
      <c r="L104" s="1131" t="s">
        <v>5378</v>
      </c>
      <c r="M104" s="1132" t="s">
        <v>5379</v>
      </c>
      <c r="N104" s="1133" t="s">
        <v>5380</v>
      </c>
      <c r="O104" s="1134" t="s">
        <v>5381</v>
      </c>
      <c r="P104" s="1135" t="s">
        <v>5382</v>
      </c>
      <c r="Q104" s="1114" t="s">
        <v>5383</v>
      </c>
      <c r="R104" s="1135" t="s">
        <v>5384</v>
      </c>
      <c r="S104" s="1114" t="s">
        <v>5385</v>
      </c>
      <c r="T104" s="1135" t="s">
        <v>5386</v>
      </c>
      <c r="U104" s="1114" t="s">
        <v>5387</v>
      </c>
      <c r="V104" s="1135" t="s">
        <v>5388</v>
      </c>
      <c r="W104" s="1114" t="s">
        <v>5389</v>
      </c>
      <c r="X104" s="1135" t="s">
        <v>5390</v>
      </c>
      <c r="Y104" s="1114" t="s">
        <v>5391</v>
      </c>
      <c r="Z104" s="1135" t="s">
        <v>5392</v>
      </c>
      <c r="AA104" s="1114" t="s">
        <v>5393</v>
      </c>
      <c r="AB104" s="1135" t="s">
        <v>5394</v>
      </c>
      <c r="AC104" s="1114" t="s">
        <v>5395</v>
      </c>
      <c r="AD104" s="1135" t="s">
        <v>5396</v>
      </c>
      <c r="AE104" s="1114" t="s">
        <v>5397</v>
      </c>
      <c r="AF104" s="1135" t="s">
        <v>5398</v>
      </c>
      <c r="AG104" s="1114" t="s">
        <v>5399</v>
      </c>
      <c r="AH104" s="1135" t="s">
        <v>5400</v>
      </c>
      <c r="AI104" s="1114" t="s">
        <v>5401</v>
      </c>
      <c r="AJ104" s="1135" t="s">
        <v>5402</v>
      </c>
      <c r="AK104" s="1114" t="s">
        <v>5403</v>
      </c>
      <c r="AL104" s="1135" t="s">
        <v>5404</v>
      </c>
      <c r="AM104" s="1114" t="s">
        <v>5405</v>
      </c>
      <c r="AN104" s="1135" t="s">
        <v>5406</v>
      </c>
      <c r="AO104" s="1114" t="s">
        <v>5407</v>
      </c>
      <c r="AP104" s="1135" t="s">
        <v>5408</v>
      </c>
      <c r="AQ104" s="1114" t="s">
        <v>5409</v>
      </c>
      <c r="AR104" s="1136" t="s">
        <v>5410</v>
      </c>
      <c r="AS104" s="1137" t="s">
        <v>5411</v>
      </c>
      <c r="AT104" s="1136" t="s">
        <v>5412</v>
      </c>
      <c r="AU104" s="1134" t="s">
        <v>5413</v>
      </c>
      <c r="AV104" s="1135" t="s">
        <v>5414</v>
      </c>
      <c r="AW104" s="1114" t="s">
        <v>5415</v>
      </c>
      <c r="AX104" s="1118" t="s">
        <v>5416</v>
      </c>
      <c r="AY104" s="1197" t="e">
        <f t="shared" si="212"/>
        <v>#VALUE!</v>
      </c>
      <c r="AZ104" s="1197"/>
      <c r="BA104" s="1197"/>
      <c r="BB104" s="1197"/>
      <c r="BC104" s="1197"/>
      <c r="BD104" s="1197"/>
      <c r="BE104" s="1197"/>
      <c r="BF104" s="1197"/>
      <c r="BG104" s="1197"/>
      <c r="BH104" s="1197"/>
      <c r="BI104" s="1197"/>
      <c r="BJ104" s="1191"/>
      <c r="BK104" s="1191"/>
      <c r="BL104" s="1191"/>
      <c r="BM104" s="1191"/>
      <c r="BV104" s="1191"/>
      <c r="BX104" s="1547"/>
      <c r="CB104" s="2195" t="str">
        <f t="shared" si="213"/>
        <v xml:space="preserve">* El total de Reactivos NO DEBE ser superior al total de Procesados. </v>
      </c>
      <c r="CC104" s="2195" t="e">
        <f t="shared" si="214"/>
        <v>#VALUE!</v>
      </c>
      <c r="CD104" s="2195" t="e">
        <f t="shared" si="215"/>
        <v>#VALUE!</v>
      </c>
      <c r="CE104" s="2195" t="str">
        <f t="shared" si="216"/>
        <v xml:space="preserve">* La columna Pueblos Originarios NO DEBE ser superior al total de Procesados. </v>
      </c>
      <c r="CF104" s="2195" t="str">
        <f t="shared" si="217"/>
        <v xml:space="preserve">* La columna Migrantes NO DEBE ser superior al total de Procesados. </v>
      </c>
      <c r="CG104" s="2195" t="str">
        <f t="shared" si="245"/>
        <v>* El total de procesados debe ser mayor o igual al total de Reactivos en el grupo de edad Menor de 6 meses</v>
      </c>
      <c r="CH104" s="2195" t="str">
        <f t="shared" si="246"/>
        <v>* El total de procesados debe ser mayor o igual al total de Reactivos en el grupo de edad 6 a 11 meses</v>
      </c>
      <c r="CI104" s="2195" t="str">
        <f t="shared" si="247"/>
        <v>* El total de procesados debe ser mayor o igual al total de Reactivos en el grupo de edad 12-24 meses</v>
      </c>
      <c r="CJ104" s="2195" t="str">
        <f t="shared" si="248"/>
        <v>* El total de procesados debe ser mayor o igual al total de Reactivos en el grupo de edad 3 a 4 años</v>
      </c>
      <c r="CK104" s="2195" t="str">
        <f t="shared" si="249"/>
        <v>* El total de procesados debe ser mayor o igual al total de Reactivos en el grupo de edad 5 a 9 años</v>
      </c>
      <c r="CL104" s="2195" t="str">
        <f t="shared" si="250"/>
        <v>* El total de procesados debe ser mayor o igual al total de Reactivos en el grupo de edad 10 - 14 años</v>
      </c>
      <c r="CM104" s="2195" t="str">
        <f t="shared" si="251"/>
        <v>* El total de procesados debe ser mayor o igual al total de Reactivos en el grupo de edad 15 - 19 años</v>
      </c>
      <c r="CN104" s="2195" t="str">
        <f t="shared" si="252"/>
        <v>* El total de procesados debe ser mayor o igual al total de Reactivos en el grupo de edad 20 - 24 años</v>
      </c>
      <c r="CO104" s="2195" t="str">
        <f t="shared" si="253"/>
        <v>* El total de procesados debe ser mayor o igual al total de Reactivos en el grupo de edad 25 a 29 años</v>
      </c>
      <c r="CP104" s="2195" t="str">
        <f t="shared" si="254"/>
        <v>* El total de procesados debe ser mayor o igual al total de Reactivos en el grupo de edad 30 a 34 años</v>
      </c>
      <c r="CQ104" s="2195" t="str">
        <f t="shared" si="255"/>
        <v>* El total de procesados debe ser mayor o igual al total de Reactivos en el grupo de edad 35 a 39 años</v>
      </c>
      <c r="CR104" s="2195" t="str">
        <f t="shared" si="256"/>
        <v>* El total de procesados debe ser mayor o igual al total de Reactivos en el grupo de edad 40 a 44 años</v>
      </c>
      <c r="CS104" s="2195" t="str">
        <f t="shared" si="257"/>
        <v>* El total de procesados debe ser mayor o igual al total de Reactivos en el grupo de edad 45 a 49 años</v>
      </c>
      <c r="CT104" s="2195" t="str">
        <f t="shared" si="258"/>
        <v>* El total de procesados debe ser mayor o igual al total de Reactivos en el grupo de edad 50 a 54 años</v>
      </c>
      <c r="CU104" s="2195" t="str">
        <f t="shared" si="259"/>
        <v>* El total de procesados debe ser mayor o igual al total de Reactivos en el grupo de edad 55 a 59 años</v>
      </c>
      <c r="CV104" s="2195" t="str">
        <f t="shared" si="260"/>
        <v>* El total de procesados debe ser mayor o igual al total de Reactivos en el grupo de edad 60 a 64 años</v>
      </c>
      <c r="CW104" s="2195" t="str">
        <f t="shared" si="261"/>
        <v>* El total de procesados debe ser mayor o igual al total de Reactivos en el grupo de edad 65 a 69 años</v>
      </c>
      <c r="CX104" s="2195" t="str">
        <f t="shared" si="262"/>
        <v>* El total de procesados debe ser mayor o igual al total de Reactivos en el grupo de edad 70 a 74 años</v>
      </c>
      <c r="CY104" s="2195" t="str">
        <f t="shared" si="263"/>
        <v>* El total de procesados debe ser mayor o igual al total de Reactivos en el grupo de edad 75 a 79 años</v>
      </c>
      <c r="CZ104" s="2195" t="str">
        <f t="shared" si="264"/>
        <v>* El total de procesados debe ser mayor o igual al total de Reactivos en el grupo de edad 80 y más años</v>
      </c>
      <c r="DA104" s="2195" t="str">
        <f t="shared" si="218"/>
        <v/>
      </c>
      <c r="DB104" s="1446">
        <f t="shared" si="219"/>
        <v>1</v>
      </c>
      <c r="DC104" s="1446" t="e">
        <f t="shared" si="220"/>
        <v>#VALUE!</v>
      </c>
      <c r="DD104" s="1446" t="e">
        <f t="shared" si="221"/>
        <v>#VALUE!</v>
      </c>
      <c r="DE104" s="1446">
        <f t="shared" si="222"/>
        <v>1</v>
      </c>
      <c r="DF104" s="1446">
        <f t="shared" si="223"/>
        <v>1</v>
      </c>
      <c r="DG104" s="1446">
        <f t="shared" si="224"/>
        <v>1</v>
      </c>
      <c r="DH104" s="1446">
        <f t="shared" si="225"/>
        <v>1</v>
      </c>
      <c r="DI104" s="1446">
        <f t="shared" si="226"/>
        <v>1</v>
      </c>
      <c r="DJ104" s="1446">
        <f t="shared" si="227"/>
        <v>1</v>
      </c>
      <c r="DK104" s="1446">
        <f t="shared" si="228"/>
        <v>1</v>
      </c>
      <c r="DL104" s="1446">
        <f t="shared" si="229"/>
        <v>1</v>
      </c>
      <c r="DM104" s="1446">
        <f t="shared" si="230"/>
        <v>1</v>
      </c>
      <c r="DN104" s="1446">
        <f t="shared" si="231"/>
        <v>1</v>
      </c>
      <c r="DO104" s="1446">
        <f t="shared" si="232"/>
        <v>1</v>
      </c>
      <c r="DP104" s="1446">
        <f t="shared" si="233"/>
        <v>1</v>
      </c>
      <c r="DQ104" s="1446">
        <f t="shared" si="234"/>
        <v>1</v>
      </c>
      <c r="DR104" s="1446">
        <f t="shared" si="235"/>
        <v>1</v>
      </c>
      <c r="DS104" s="1446">
        <f t="shared" si="236"/>
        <v>1</v>
      </c>
      <c r="DT104" s="1446">
        <f t="shared" si="237"/>
        <v>1</v>
      </c>
      <c r="DU104" s="1446">
        <f t="shared" si="238"/>
        <v>1</v>
      </c>
      <c r="DV104" s="1446">
        <f t="shared" si="239"/>
        <v>1</v>
      </c>
      <c r="DW104" s="1446">
        <f t="shared" si="240"/>
        <v>1</v>
      </c>
      <c r="DX104" s="1446">
        <f t="shared" si="241"/>
        <v>1</v>
      </c>
      <c r="DY104" s="1446">
        <f t="shared" si="242"/>
        <v>1</v>
      </c>
      <c r="DZ104" s="1446">
        <f t="shared" si="243"/>
        <v>1</v>
      </c>
      <c r="EA104" s="1446">
        <f t="shared" si="244"/>
        <v>0</v>
      </c>
    </row>
    <row r="105" spans="1:131" ht="19.5" customHeight="1" x14ac:dyDescent="0.3">
      <c r="A105" s="7258">
        <v>11056441</v>
      </c>
      <c r="B105" s="2045" t="s">
        <v>1790</v>
      </c>
      <c r="C105" s="1998" t="s">
        <v>5369</v>
      </c>
      <c r="D105" s="2044" t="s">
        <v>5370</v>
      </c>
      <c r="E105" s="1130" t="s">
        <v>5371</v>
      </c>
      <c r="F105" s="1131" t="s">
        <v>5372</v>
      </c>
      <c r="G105" s="1132" t="s">
        <v>5373</v>
      </c>
      <c r="H105" s="1131" t="s">
        <v>5374</v>
      </c>
      <c r="I105" s="1132" t="s">
        <v>5375</v>
      </c>
      <c r="J105" s="1131" t="s">
        <v>5376</v>
      </c>
      <c r="K105" s="1132" t="s">
        <v>5377</v>
      </c>
      <c r="L105" s="1131" t="s">
        <v>5378</v>
      </c>
      <c r="M105" s="1132" t="s">
        <v>5379</v>
      </c>
      <c r="N105" s="1133" t="s">
        <v>5380</v>
      </c>
      <c r="O105" s="1134" t="s">
        <v>5381</v>
      </c>
      <c r="P105" s="1135" t="s">
        <v>5382</v>
      </c>
      <c r="Q105" s="1114" t="s">
        <v>5383</v>
      </c>
      <c r="R105" s="1135" t="s">
        <v>5384</v>
      </c>
      <c r="S105" s="1114" t="s">
        <v>5385</v>
      </c>
      <c r="T105" s="1135" t="s">
        <v>5386</v>
      </c>
      <c r="U105" s="1114" t="s">
        <v>5387</v>
      </c>
      <c r="V105" s="1135" t="s">
        <v>5388</v>
      </c>
      <c r="W105" s="1114" t="s">
        <v>5389</v>
      </c>
      <c r="X105" s="1135" t="s">
        <v>5390</v>
      </c>
      <c r="Y105" s="1114" t="s">
        <v>5391</v>
      </c>
      <c r="Z105" s="1135" t="s">
        <v>5392</v>
      </c>
      <c r="AA105" s="1114" t="s">
        <v>5393</v>
      </c>
      <c r="AB105" s="1135" t="s">
        <v>5394</v>
      </c>
      <c r="AC105" s="1114" t="s">
        <v>5395</v>
      </c>
      <c r="AD105" s="1135" t="s">
        <v>5396</v>
      </c>
      <c r="AE105" s="1114" t="s">
        <v>5397</v>
      </c>
      <c r="AF105" s="1135" t="s">
        <v>5398</v>
      </c>
      <c r="AG105" s="1114" t="s">
        <v>5399</v>
      </c>
      <c r="AH105" s="1135" t="s">
        <v>5400</v>
      </c>
      <c r="AI105" s="1114" t="s">
        <v>5401</v>
      </c>
      <c r="AJ105" s="1135" t="s">
        <v>5402</v>
      </c>
      <c r="AK105" s="1114" t="s">
        <v>5403</v>
      </c>
      <c r="AL105" s="1135" t="s">
        <v>5404</v>
      </c>
      <c r="AM105" s="1114" t="s">
        <v>5405</v>
      </c>
      <c r="AN105" s="1135" t="s">
        <v>5406</v>
      </c>
      <c r="AO105" s="1114" t="s">
        <v>5407</v>
      </c>
      <c r="AP105" s="1135" t="s">
        <v>5408</v>
      </c>
      <c r="AQ105" s="1114" t="s">
        <v>5409</v>
      </c>
      <c r="AR105" s="1136" t="s">
        <v>5410</v>
      </c>
      <c r="AS105" s="1134" t="s">
        <v>5411</v>
      </c>
      <c r="AT105" s="1136" t="s">
        <v>5412</v>
      </c>
      <c r="AU105" s="1134" t="s">
        <v>5413</v>
      </c>
      <c r="AV105" s="1135" t="s">
        <v>5414</v>
      </c>
      <c r="AW105" s="1114" t="s">
        <v>5415</v>
      </c>
      <c r="AX105" s="1118" t="s">
        <v>5416</v>
      </c>
      <c r="AY105" s="1197" t="e">
        <f t="shared" si="212"/>
        <v>#VALUE!</v>
      </c>
      <c r="AZ105" s="1197"/>
      <c r="BA105" s="1197"/>
      <c r="BB105" s="1197"/>
      <c r="BC105" s="1197"/>
      <c r="BD105" s="1197"/>
      <c r="BE105" s="1197"/>
      <c r="BF105" s="1197"/>
      <c r="BG105" s="1197"/>
      <c r="BH105" s="1197"/>
      <c r="BI105" s="1197"/>
      <c r="BJ105" s="1191"/>
      <c r="BK105" s="1191"/>
      <c r="BL105" s="1191"/>
      <c r="BM105" s="1191"/>
      <c r="BV105" s="1191"/>
      <c r="BX105" s="1547"/>
      <c r="CB105" s="2195" t="str">
        <f t="shared" si="213"/>
        <v xml:space="preserve">* El total de Reactivos NO DEBE ser superior al total de Procesados. </v>
      </c>
      <c r="CC105" s="2195" t="e">
        <f t="shared" si="214"/>
        <v>#VALUE!</v>
      </c>
      <c r="CD105" s="2195" t="e">
        <f t="shared" si="215"/>
        <v>#VALUE!</v>
      </c>
      <c r="CE105" s="2195" t="str">
        <f t="shared" si="216"/>
        <v xml:space="preserve">* La columna Pueblos Originarios NO DEBE ser superior al total de Procesados. </v>
      </c>
      <c r="CF105" s="2195" t="str">
        <f t="shared" si="217"/>
        <v xml:space="preserve">* La columna Migrantes NO DEBE ser superior al total de Procesados. </v>
      </c>
      <c r="CG105" s="2195" t="str">
        <f t="shared" si="245"/>
        <v>* El total de procesados debe ser mayor o igual al total de Reactivos en el grupo de edad Menor de 6 meses</v>
      </c>
      <c r="CH105" s="2195" t="str">
        <f t="shared" si="246"/>
        <v>* El total de procesados debe ser mayor o igual al total de Reactivos en el grupo de edad 6 a 11 meses</v>
      </c>
      <c r="CI105" s="2195" t="str">
        <f t="shared" si="247"/>
        <v>* El total de procesados debe ser mayor o igual al total de Reactivos en el grupo de edad 12-24 meses</v>
      </c>
      <c r="CJ105" s="2195" t="str">
        <f t="shared" si="248"/>
        <v>* El total de procesados debe ser mayor o igual al total de Reactivos en el grupo de edad 3 a 4 años</v>
      </c>
      <c r="CK105" s="2195" t="str">
        <f t="shared" si="249"/>
        <v>* El total de procesados debe ser mayor o igual al total de Reactivos en el grupo de edad 5 a 9 años</v>
      </c>
      <c r="CL105" s="2195" t="str">
        <f t="shared" si="250"/>
        <v>* El total de procesados debe ser mayor o igual al total de Reactivos en el grupo de edad 10 - 14 años</v>
      </c>
      <c r="CM105" s="2195" t="str">
        <f t="shared" si="251"/>
        <v>* El total de procesados debe ser mayor o igual al total de Reactivos en el grupo de edad 15 - 19 años</v>
      </c>
      <c r="CN105" s="2195" t="str">
        <f t="shared" si="252"/>
        <v>* El total de procesados debe ser mayor o igual al total de Reactivos en el grupo de edad 20 - 24 años</v>
      </c>
      <c r="CO105" s="2195" t="str">
        <f t="shared" si="253"/>
        <v>* El total de procesados debe ser mayor o igual al total de Reactivos en el grupo de edad 25 a 29 años</v>
      </c>
      <c r="CP105" s="2195" t="str">
        <f t="shared" si="254"/>
        <v>* El total de procesados debe ser mayor o igual al total de Reactivos en el grupo de edad 30 a 34 años</v>
      </c>
      <c r="CQ105" s="2195" t="str">
        <f t="shared" si="255"/>
        <v>* El total de procesados debe ser mayor o igual al total de Reactivos en el grupo de edad 35 a 39 años</v>
      </c>
      <c r="CR105" s="2195" t="str">
        <f t="shared" si="256"/>
        <v>* El total de procesados debe ser mayor o igual al total de Reactivos en el grupo de edad 40 a 44 años</v>
      </c>
      <c r="CS105" s="2195" t="str">
        <f t="shared" si="257"/>
        <v>* El total de procesados debe ser mayor o igual al total de Reactivos en el grupo de edad 45 a 49 años</v>
      </c>
      <c r="CT105" s="2195" t="str">
        <f t="shared" si="258"/>
        <v>* El total de procesados debe ser mayor o igual al total de Reactivos en el grupo de edad 50 a 54 años</v>
      </c>
      <c r="CU105" s="2195" t="str">
        <f t="shared" si="259"/>
        <v>* El total de procesados debe ser mayor o igual al total de Reactivos en el grupo de edad 55 a 59 años</v>
      </c>
      <c r="CV105" s="2195" t="str">
        <f t="shared" si="260"/>
        <v>* El total de procesados debe ser mayor o igual al total de Reactivos en el grupo de edad 60 a 64 años</v>
      </c>
      <c r="CW105" s="2195" t="str">
        <f t="shared" si="261"/>
        <v>* El total de procesados debe ser mayor o igual al total de Reactivos en el grupo de edad 65 a 69 años</v>
      </c>
      <c r="CX105" s="2195" t="str">
        <f t="shared" si="262"/>
        <v>* El total de procesados debe ser mayor o igual al total de Reactivos en el grupo de edad 70 a 74 años</v>
      </c>
      <c r="CY105" s="2195" t="str">
        <f t="shared" si="263"/>
        <v>* El total de procesados debe ser mayor o igual al total de Reactivos en el grupo de edad 75 a 79 años</v>
      </c>
      <c r="CZ105" s="2195" t="str">
        <f t="shared" si="264"/>
        <v>* El total de procesados debe ser mayor o igual al total de Reactivos en el grupo de edad 80 y más años</v>
      </c>
      <c r="DA105" s="2195" t="str">
        <f t="shared" si="218"/>
        <v/>
      </c>
      <c r="DB105" s="1446">
        <f t="shared" si="219"/>
        <v>1</v>
      </c>
      <c r="DC105" s="1446" t="e">
        <f t="shared" si="220"/>
        <v>#VALUE!</v>
      </c>
      <c r="DD105" s="1446" t="e">
        <f t="shared" si="221"/>
        <v>#VALUE!</v>
      </c>
      <c r="DE105" s="1446">
        <f t="shared" si="222"/>
        <v>1</v>
      </c>
      <c r="DF105" s="1446">
        <f t="shared" si="223"/>
        <v>1</v>
      </c>
      <c r="DG105" s="1446">
        <f t="shared" si="224"/>
        <v>1</v>
      </c>
      <c r="DH105" s="1446">
        <f t="shared" si="225"/>
        <v>1</v>
      </c>
      <c r="DI105" s="1446">
        <f t="shared" si="226"/>
        <v>1</v>
      </c>
      <c r="DJ105" s="1446">
        <f t="shared" si="227"/>
        <v>1</v>
      </c>
      <c r="DK105" s="1446">
        <f t="shared" si="228"/>
        <v>1</v>
      </c>
      <c r="DL105" s="1446">
        <f t="shared" si="229"/>
        <v>1</v>
      </c>
      <c r="DM105" s="1446">
        <f t="shared" si="230"/>
        <v>1</v>
      </c>
      <c r="DN105" s="1446">
        <f t="shared" si="231"/>
        <v>1</v>
      </c>
      <c r="DO105" s="1446">
        <f t="shared" si="232"/>
        <v>1</v>
      </c>
      <c r="DP105" s="1446">
        <f t="shared" si="233"/>
        <v>1</v>
      </c>
      <c r="DQ105" s="1446">
        <f t="shared" si="234"/>
        <v>1</v>
      </c>
      <c r="DR105" s="1446">
        <f t="shared" si="235"/>
        <v>1</v>
      </c>
      <c r="DS105" s="1446">
        <f t="shared" si="236"/>
        <v>1</v>
      </c>
      <c r="DT105" s="1446">
        <f t="shared" si="237"/>
        <v>1</v>
      </c>
      <c r="DU105" s="1446">
        <f t="shared" si="238"/>
        <v>1</v>
      </c>
      <c r="DV105" s="1446">
        <f t="shared" si="239"/>
        <v>1</v>
      </c>
      <c r="DW105" s="1446">
        <f t="shared" si="240"/>
        <v>1</v>
      </c>
      <c r="DX105" s="1446">
        <f t="shared" si="241"/>
        <v>1</v>
      </c>
      <c r="DY105" s="1446">
        <f t="shared" si="242"/>
        <v>1</v>
      </c>
      <c r="DZ105" s="1446">
        <f t="shared" si="243"/>
        <v>1</v>
      </c>
      <c r="EA105" s="1446">
        <f t="shared" si="244"/>
        <v>0</v>
      </c>
    </row>
    <row r="106" spans="1:131" ht="20.399999999999999" customHeight="1" x14ac:dyDescent="0.3">
      <c r="A106" s="7258">
        <v>11056442</v>
      </c>
      <c r="B106" s="2045" t="s">
        <v>1791</v>
      </c>
      <c r="C106" s="1998" t="s">
        <v>5369</v>
      </c>
      <c r="D106" s="2044" t="s">
        <v>5370</v>
      </c>
      <c r="E106" s="1130" t="s">
        <v>5371</v>
      </c>
      <c r="F106" s="1131" t="s">
        <v>5372</v>
      </c>
      <c r="G106" s="1132" t="s">
        <v>5373</v>
      </c>
      <c r="H106" s="1131" t="s">
        <v>5374</v>
      </c>
      <c r="I106" s="1132" t="s">
        <v>5375</v>
      </c>
      <c r="J106" s="1131" t="s">
        <v>5376</v>
      </c>
      <c r="K106" s="1132" t="s">
        <v>5377</v>
      </c>
      <c r="L106" s="1131" t="s">
        <v>5378</v>
      </c>
      <c r="M106" s="1132" t="s">
        <v>5379</v>
      </c>
      <c r="N106" s="1133" t="s">
        <v>5380</v>
      </c>
      <c r="O106" s="1134" t="s">
        <v>5381</v>
      </c>
      <c r="P106" s="1135" t="s">
        <v>5382</v>
      </c>
      <c r="Q106" s="1114" t="s">
        <v>5383</v>
      </c>
      <c r="R106" s="1135" t="s">
        <v>5384</v>
      </c>
      <c r="S106" s="1114" t="s">
        <v>5385</v>
      </c>
      <c r="T106" s="1135" t="s">
        <v>5386</v>
      </c>
      <c r="U106" s="1114" t="s">
        <v>5387</v>
      </c>
      <c r="V106" s="1135" t="s">
        <v>5388</v>
      </c>
      <c r="W106" s="1114" t="s">
        <v>5389</v>
      </c>
      <c r="X106" s="1135" t="s">
        <v>5390</v>
      </c>
      <c r="Y106" s="1114" t="s">
        <v>5391</v>
      </c>
      <c r="Z106" s="1135" t="s">
        <v>5392</v>
      </c>
      <c r="AA106" s="1114" t="s">
        <v>5393</v>
      </c>
      <c r="AB106" s="1135" t="s">
        <v>5394</v>
      </c>
      <c r="AC106" s="1114" t="s">
        <v>5395</v>
      </c>
      <c r="AD106" s="1135" t="s">
        <v>5396</v>
      </c>
      <c r="AE106" s="1114" t="s">
        <v>5397</v>
      </c>
      <c r="AF106" s="1135" t="s">
        <v>5398</v>
      </c>
      <c r="AG106" s="1114" t="s">
        <v>5399</v>
      </c>
      <c r="AH106" s="1135" t="s">
        <v>5400</v>
      </c>
      <c r="AI106" s="1114" t="s">
        <v>5401</v>
      </c>
      <c r="AJ106" s="1135" t="s">
        <v>5402</v>
      </c>
      <c r="AK106" s="1114" t="s">
        <v>5403</v>
      </c>
      <c r="AL106" s="1135" t="s">
        <v>5404</v>
      </c>
      <c r="AM106" s="1114" t="s">
        <v>5405</v>
      </c>
      <c r="AN106" s="1135" t="s">
        <v>5406</v>
      </c>
      <c r="AO106" s="1114" t="s">
        <v>5407</v>
      </c>
      <c r="AP106" s="1135" t="s">
        <v>5408</v>
      </c>
      <c r="AQ106" s="1114" t="s">
        <v>5409</v>
      </c>
      <c r="AR106" s="1136" t="s">
        <v>5410</v>
      </c>
      <c r="AS106" s="1137" t="s">
        <v>5411</v>
      </c>
      <c r="AT106" s="1136" t="s">
        <v>5412</v>
      </c>
      <c r="AU106" s="1134" t="s">
        <v>5413</v>
      </c>
      <c r="AV106" s="1135" t="s">
        <v>5414</v>
      </c>
      <c r="AW106" s="1114" t="s">
        <v>5415</v>
      </c>
      <c r="AX106" s="1118" t="s">
        <v>5416</v>
      </c>
      <c r="AY106" s="1197" t="e">
        <f t="shared" si="212"/>
        <v>#VALUE!</v>
      </c>
      <c r="AZ106" s="1197"/>
      <c r="BA106" s="1197"/>
      <c r="BB106" s="1197"/>
      <c r="BC106" s="1197"/>
      <c r="BD106" s="1197"/>
      <c r="BE106" s="1197"/>
      <c r="BF106" s="1197"/>
      <c r="BG106" s="1197"/>
      <c r="BH106" s="1197"/>
      <c r="BI106" s="1197"/>
      <c r="BJ106" s="1191"/>
      <c r="BK106" s="1191"/>
      <c r="BL106" s="1191"/>
      <c r="BM106" s="1191"/>
      <c r="BV106" s="1191"/>
      <c r="BX106" s="1547"/>
      <c r="CB106" s="2195" t="str">
        <f t="shared" si="213"/>
        <v xml:space="preserve">* El total de Reactivos NO DEBE ser superior al total de Procesados. </v>
      </c>
      <c r="CC106" s="2195" t="e">
        <f t="shared" si="214"/>
        <v>#VALUE!</v>
      </c>
      <c r="CD106" s="2195" t="e">
        <f t="shared" si="215"/>
        <v>#VALUE!</v>
      </c>
      <c r="CE106" s="2195" t="str">
        <f t="shared" si="216"/>
        <v xml:space="preserve">* La columna Pueblos Originarios NO DEBE ser superior al total de Procesados. </v>
      </c>
      <c r="CF106" s="2195" t="str">
        <f t="shared" si="217"/>
        <v xml:space="preserve">* La columna Migrantes NO DEBE ser superior al total de Procesados. </v>
      </c>
      <c r="CG106" s="2195" t="str">
        <f t="shared" si="245"/>
        <v>* El total de procesados debe ser mayor o igual al total de Reactivos en el grupo de edad Menor de 6 meses</v>
      </c>
      <c r="CH106" s="2195" t="str">
        <f t="shared" si="246"/>
        <v>* El total de procesados debe ser mayor o igual al total de Reactivos en el grupo de edad 6 a 11 meses</v>
      </c>
      <c r="CI106" s="2195" t="str">
        <f t="shared" si="247"/>
        <v>* El total de procesados debe ser mayor o igual al total de Reactivos en el grupo de edad 12-24 meses</v>
      </c>
      <c r="CJ106" s="2195" t="str">
        <f t="shared" si="248"/>
        <v>* El total de procesados debe ser mayor o igual al total de Reactivos en el grupo de edad 3 a 4 años</v>
      </c>
      <c r="CK106" s="2195" t="str">
        <f t="shared" si="249"/>
        <v>* El total de procesados debe ser mayor o igual al total de Reactivos en el grupo de edad 5 a 9 años</v>
      </c>
      <c r="CL106" s="2195" t="str">
        <f t="shared" si="250"/>
        <v>* El total de procesados debe ser mayor o igual al total de Reactivos en el grupo de edad 10 - 14 años</v>
      </c>
      <c r="CM106" s="2195" t="str">
        <f t="shared" si="251"/>
        <v>* El total de procesados debe ser mayor o igual al total de Reactivos en el grupo de edad 15 - 19 años</v>
      </c>
      <c r="CN106" s="2195" t="str">
        <f t="shared" si="252"/>
        <v>* El total de procesados debe ser mayor o igual al total de Reactivos en el grupo de edad 20 - 24 años</v>
      </c>
      <c r="CO106" s="2195" t="str">
        <f t="shared" si="253"/>
        <v>* El total de procesados debe ser mayor o igual al total de Reactivos en el grupo de edad 25 a 29 años</v>
      </c>
      <c r="CP106" s="2195" t="str">
        <f t="shared" si="254"/>
        <v>* El total de procesados debe ser mayor o igual al total de Reactivos en el grupo de edad 30 a 34 años</v>
      </c>
      <c r="CQ106" s="2195" t="str">
        <f t="shared" si="255"/>
        <v>* El total de procesados debe ser mayor o igual al total de Reactivos en el grupo de edad 35 a 39 años</v>
      </c>
      <c r="CR106" s="2195" t="str">
        <f t="shared" si="256"/>
        <v>* El total de procesados debe ser mayor o igual al total de Reactivos en el grupo de edad 40 a 44 años</v>
      </c>
      <c r="CS106" s="2195" t="str">
        <f t="shared" si="257"/>
        <v>* El total de procesados debe ser mayor o igual al total de Reactivos en el grupo de edad 45 a 49 años</v>
      </c>
      <c r="CT106" s="2195" t="str">
        <f t="shared" si="258"/>
        <v>* El total de procesados debe ser mayor o igual al total de Reactivos en el grupo de edad 50 a 54 años</v>
      </c>
      <c r="CU106" s="2195" t="str">
        <f t="shared" si="259"/>
        <v>* El total de procesados debe ser mayor o igual al total de Reactivos en el grupo de edad 55 a 59 años</v>
      </c>
      <c r="CV106" s="2195" t="str">
        <f t="shared" si="260"/>
        <v>* El total de procesados debe ser mayor o igual al total de Reactivos en el grupo de edad 60 a 64 años</v>
      </c>
      <c r="CW106" s="2195" t="str">
        <f t="shared" si="261"/>
        <v>* El total de procesados debe ser mayor o igual al total de Reactivos en el grupo de edad 65 a 69 años</v>
      </c>
      <c r="CX106" s="2195" t="str">
        <f t="shared" si="262"/>
        <v>* El total de procesados debe ser mayor o igual al total de Reactivos en el grupo de edad 70 a 74 años</v>
      </c>
      <c r="CY106" s="2195" t="str">
        <f t="shared" si="263"/>
        <v>* El total de procesados debe ser mayor o igual al total de Reactivos en el grupo de edad 75 a 79 años</v>
      </c>
      <c r="CZ106" s="2195" t="str">
        <f t="shared" si="264"/>
        <v>* El total de procesados debe ser mayor o igual al total de Reactivos en el grupo de edad 80 y más años</v>
      </c>
      <c r="DA106" s="2195" t="str">
        <f t="shared" si="218"/>
        <v/>
      </c>
      <c r="DB106" s="1446">
        <f t="shared" si="219"/>
        <v>1</v>
      </c>
      <c r="DC106" s="1446" t="e">
        <f t="shared" si="220"/>
        <v>#VALUE!</v>
      </c>
      <c r="DD106" s="1446" t="e">
        <f t="shared" si="221"/>
        <v>#VALUE!</v>
      </c>
      <c r="DE106" s="1446">
        <f t="shared" si="222"/>
        <v>1</v>
      </c>
      <c r="DF106" s="1446">
        <f t="shared" si="223"/>
        <v>1</v>
      </c>
      <c r="DG106" s="1446">
        <f t="shared" si="224"/>
        <v>1</v>
      </c>
      <c r="DH106" s="1446">
        <f t="shared" si="225"/>
        <v>1</v>
      </c>
      <c r="DI106" s="1446">
        <f t="shared" si="226"/>
        <v>1</v>
      </c>
      <c r="DJ106" s="1446">
        <f t="shared" si="227"/>
        <v>1</v>
      </c>
      <c r="DK106" s="1446">
        <f t="shared" si="228"/>
        <v>1</v>
      </c>
      <c r="DL106" s="1446">
        <f t="shared" si="229"/>
        <v>1</v>
      </c>
      <c r="DM106" s="1446">
        <f t="shared" si="230"/>
        <v>1</v>
      </c>
      <c r="DN106" s="1446">
        <f t="shared" si="231"/>
        <v>1</v>
      </c>
      <c r="DO106" s="1446">
        <f t="shared" si="232"/>
        <v>1</v>
      </c>
      <c r="DP106" s="1446">
        <f t="shared" si="233"/>
        <v>1</v>
      </c>
      <c r="DQ106" s="1446">
        <f t="shared" si="234"/>
        <v>1</v>
      </c>
      <c r="DR106" s="1446">
        <f t="shared" si="235"/>
        <v>1</v>
      </c>
      <c r="DS106" s="1446">
        <f t="shared" si="236"/>
        <v>1</v>
      </c>
      <c r="DT106" s="1446">
        <f t="shared" si="237"/>
        <v>1</v>
      </c>
      <c r="DU106" s="1446">
        <f t="shared" si="238"/>
        <v>1</v>
      </c>
      <c r="DV106" s="1446">
        <f t="shared" si="239"/>
        <v>1</v>
      </c>
      <c r="DW106" s="1446">
        <f t="shared" si="240"/>
        <v>1</v>
      </c>
      <c r="DX106" s="1446">
        <f t="shared" si="241"/>
        <v>1</v>
      </c>
      <c r="DY106" s="1446">
        <f t="shared" si="242"/>
        <v>1</v>
      </c>
      <c r="DZ106" s="1446">
        <f t="shared" si="243"/>
        <v>1</v>
      </c>
      <c r="EA106" s="1446">
        <f t="shared" si="244"/>
        <v>0</v>
      </c>
    </row>
    <row r="107" spans="1:131" ht="16.2" customHeight="1" x14ac:dyDescent="0.3">
      <c r="A107" s="7258">
        <v>11056443</v>
      </c>
      <c r="B107" s="2000" t="s">
        <v>1792</v>
      </c>
      <c r="C107" s="1998" t="s">
        <v>5369</v>
      </c>
      <c r="D107" s="2044" t="s">
        <v>5370</v>
      </c>
      <c r="E107" s="1130" t="s">
        <v>5371</v>
      </c>
      <c r="F107" s="1131" t="s">
        <v>5372</v>
      </c>
      <c r="G107" s="1132" t="s">
        <v>5373</v>
      </c>
      <c r="H107" s="1131" t="s">
        <v>5374</v>
      </c>
      <c r="I107" s="1132" t="s">
        <v>5375</v>
      </c>
      <c r="J107" s="1131" t="s">
        <v>5376</v>
      </c>
      <c r="K107" s="1132" t="s">
        <v>5377</v>
      </c>
      <c r="L107" s="1131" t="s">
        <v>5378</v>
      </c>
      <c r="M107" s="1132" t="s">
        <v>5379</v>
      </c>
      <c r="N107" s="1133" t="s">
        <v>5380</v>
      </c>
      <c r="O107" s="1134" t="s">
        <v>5381</v>
      </c>
      <c r="P107" s="1135" t="s">
        <v>5382</v>
      </c>
      <c r="Q107" s="1114" t="s">
        <v>5383</v>
      </c>
      <c r="R107" s="1135" t="s">
        <v>5384</v>
      </c>
      <c r="S107" s="1114" t="s">
        <v>5385</v>
      </c>
      <c r="T107" s="1135" t="s">
        <v>5386</v>
      </c>
      <c r="U107" s="1114" t="s">
        <v>5387</v>
      </c>
      <c r="V107" s="1135" t="s">
        <v>5388</v>
      </c>
      <c r="W107" s="1114" t="s">
        <v>5389</v>
      </c>
      <c r="X107" s="1135" t="s">
        <v>5390</v>
      </c>
      <c r="Y107" s="1114" t="s">
        <v>5391</v>
      </c>
      <c r="Z107" s="1135" t="s">
        <v>5392</v>
      </c>
      <c r="AA107" s="1114" t="s">
        <v>5393</v>
      </c>
      <c r="AB107" s="1135" t="s">
        <v>5394</v>
      </c>
      <c r="AC107" s="1114" t="s">
        <v>5395</v>
      </c>
      <c r="AD107" s="1135" t="s">
        <v>5396</v>
      </c>
      <c r="AE107" s="1114" t="s">
        <v>5397</v>
      </c>
      <c r="AF107" s="1135" t="s">
        <v>5398</v>
      </c>
      <c r="AG107" s="1114" t="s">
        <v>5399</v>
      </c>
      <c r="AH107" s="1135" t="s">
        <v>5400</v>
      </c>
      <c r="AI107" s="1114" t="s">
        <v>5401</v>
      </c>
      <c r="AJ107" s="1135" t="s">
        <v>5402</v>
      </c>
      <c r="AK107" s="1114" t="s">
        <v>5403</v>
      </c>
      <c r="AL107" s="1135" t="s">
        <v>5404</v>
      </c>
      <c r="AM107" s="1114" t="s">
        <v>5405</v>
      </c>
      <c r="AN107" s="1135" t="s">
        <v>5406</v>
      </c>
      <c r="AO107" s="1114" t="s">
        <v>5407</v>
      </c>
      <c r="AP107" s="1135" t="s">
        <v>5408</v>
      </c>
      <c r="AQ107" s="1114" t="s">
        <v>5409</v>
      </c>
      <c r="AR107" s="1136" t="s">
        <v>5410</v>
      </c>
      <c r="AS107" s="1137" t="s">
        <v>5411</v>
      </c>
      <c r="AT107" s="1136" t="s">
        <v>5412</v>
      </c>
      <c r="AU107" s="1134" t="s">
        <v>5413</v>
      </c>
      <c r="AV107" s="1135" t="s">
        <v>5414</v>
      </c>
      <c r="AW107" s="1114" t="s">
        <v>5415</v>
      </c>
      <c r="AX107" s="1118" t="s">
        <v>5416</v>
      </c>
      <c r="AY107" s="1197" t="e">
        <f t="shared" si="212"/>
        <v>#VALUE!</v>
      </c>
      <c r="AZ107" s="1197"/>
      <c r="BA107" s="1197"/>
      <c r="BB107" s="1197"/>
      <c r="BC107" s="1197"/>
      <c r="BD107" s="1197"/>
      <c r="BE107" s="1197"/>
      <c r="BF107" s="1197"/>
      <c r="BG107" s="1197"/>
      <c r="BH107" s="1197"/>
      <c r="BI107" s="1197"/>
      <c r="BJ107" s="1191"/>
      <c r="BK107" s="1191"/>
      <c r="BL107" s="1191"/>
      <c r="BM107" s="1191"/>
      <c r="BV107" s="1191"/>
      <c r="BX107" s="1547"/>
      <c r="CB107" s="2195" t="str">
        <f t="shared" si="213"/>
        <v xml:space="preserve">* El total de Reactivos NO DEBE ser superior al total de Procesados. </v>
      </c>
      <c r="CC107" s="2195" t="e">
        <f t="shared" si="214"/>
        <v>#VALUE!</v>
      </c>
      <c r="CD107" s="2195" t="e">
        <f t="shared" si="215"/>
        <v>#VALUE!</v>
      </c>
      <c r="CE107" s="2195" t="str">
        <f t="shared" si="216"/>
        <v xml:space="preserve">* La columna Pueblos Originarios NO DEBE ser superior al total de Procesados. </v>
      </c>
      <c r="CF107" s="2195" t="str">
        <f t="shared" si="217"/>
        <v xml:space="preserve">* La columna Migrantes NO DEBE ser superior al total de Procesados. </v>
      </c>
      <c r="CG107" s="2195" t="str">
        <f t="shared" si="245"/>
        <v>* El total de procesados debe ser mayor o igual al total de Reactivos en el grupo de edad Menor de 6 meses</v>
      </c>
      <c r="CH107" s="2195" t="str">
        <f t="shared" si="246"/>
        <v>* El total de procesados debe ser mayor o igual al total de Reactivos en el grupo de edad 6 a 11 meses</v>
      </c>
      <c r="CI107" s="2195" t="str">
        <f t="shared" si="247"/>
        <v>* El total de procesados debe ser mayor o igual al total de Reactivos en el grupo de edad 12-24 meses</v>
      </c>
      <c r="CJ107" s="2195" t="str">
        <f t="shared" si="248"/>
        <v>* El total de procesados debe ser mayor o igual al total de Reactivos en el grupo de edad 3 a 4 años</v>
      </c>
      <c r="CK107" s="2195" t="str">
        <f t="shared" si="249"/>
        <v>* El total de procesados debe ser mayor o igual al total de Reactivos en el grupo de edad 5 a 9 años</v>
      </c>
      <c r="CL107" s="2195" t="str">
        <f t="shared" si="250"/>
        <v>* El total de procesados debe ser mayor o igual al total de Reactivos en el grupo de edad 10 - 14 años</v>
      </c>
      <c r="CM107" s="2195" t="str">
        <f t="shared" si="251"/>
        <v>* El total de procesados debe ser mayor o igual al total de Reactivos en el grupo de edad 15 - 19 años</v>
      </c>
      <c r="CN107" s="2195" t="str">
        <f t="shared" si="252"/>
        <v>* El total de procesados debe ser mayor o igual al total de Reactivos en el grupo de edad 20 - 24 años</v>
      </c>
      <c r="CO107" s="2195" t="str">
        <f t="shared" si="253"/>
        <v>* El total de procesados debe ser mayor o igual al total de Reactivos en el grupo de edad 25 a 29 años</v>
      </c>
      <c r="CP107" s="2195" t="str">
        <f t="shared" si="254"/>
        <v>* El total de procesados debe ser mayor o igual al total de Reactivos en el grupo de edad 30 a 34 años</v>
      </c>
      <c r="CQ107" s="2195" t="str">
        <f t="shared" si="255"/>
        <v>* El total de procesados debe ser mayor o igual al total de Reactivos en el grupo de edad 35 a 39 años</v>
      </c>
      <c r="CR107" s="2195" t="str">
        <f t="shared" si="256"/>
        <v>* El total de procesados debe ser mayor o igual al total de Reactivos en el grupo de edad 40 a 44 años</v>
      </c>
      <c r="CS107" s="2195" t="str">
        <f t="shared" si="257"/>
        <v>* El total de procesados debe ser mayor o igual al total de Reactivos en el grupo de edad 45 a 49 años</v>
      </c>
      <c r="CT107" s="2195" t="str">
        <f t="shared" si="258"/>
        <v>* El total de procesados debe ser mayor o igual al total de Reactivos en el grupo de edad 50 a 54 años</v>
      </c>
      <c r="CU107" s="2195" t="str">
        <f t="shared" si="259"/>
        <v>* El total de procesados debe ser mayor o igual al total de Reactivos en el grupo de edad 55 a 59 años</v>
      </c>
      <c r="CV107" s="2195" t="str">
        <f t="shared" si="260"/>
        <v>* El total de procesados debe ser mayor o igual al total de Reactivos en el grupo de edad 60 a 64 años</v>
      </c>
      <c r="CW107" s="2195" t="str">
        <f t="shared" si="261"/>
        <v>* El total de procesados debe ser mayor o igual al total de Reactivos en el grupo de edad 65 a 69 años</v>
      </c>
      <c r="CX107" s="2195" t="str">
        <f t="shared" si="262"/>
        <v>* El total de procesados debe ser mayor o igual al total de Reactivos en el grupo de edad 70 a 74 años</v>
      </c>
      <c r="CY107" s="2195" t="str">
        <f t="shared" si="263"/>
        <v>* El total de procesados debe ser mayor o igual al total de Reactivos en el grupo de edad 75 a 79 años</v>
      </c>
      <c r="CZ107" s="2195" t="str">
        <f t="shared" si="264"/>
        <v>* El total de procesados debe ser mayor o igual al total de Reactivos en el grupo de edad 80 y más años</v>
      </c>
      <c r="DA107" s="2195" t="str">
        <f t="shared" si="218"/>
        <v/>
      </c>
      <c r="DB107" s="1446">
        <f t="shared" si="219"/>
        <v>1</v>
      </c>
      <c r="DC107" s="1446" t="e">
        <f t="shared" si="220"/>
        <v>#VALUE!</v>
      </c>
      <c r="DD107" s="1446" t="e">
        <f t="shared" si="221"/>
        <v>#VALUE!</v>
      </c>
      <c r="DE107" s="1446">
        <f t="shared" si="222"/>
        <v>1</v>
      </c>
      <c r="DF107" s="1446">
        <f t="shared" si="223"/>
        <v>1</v>
      </c>
      <c r="DG107" s="1446">
        <f t="shared" si="224"/>
        <v>1</v>
      </c>
      <c r="DH107" s="1446">
        <f t="shared" si="225"/>
        <v>1</v>
      </c>
      <c r="DI107" s="1446">
        <f t="shared" si="226"/>
        <v>1</v>
      </c>
      <c r="DJ107" s="1446">
        <f t="shared" si="227"/>
        <v>1</v>
      </c>
      <c r="DK107" s="1446">
        <f t="shared" si="228"/>
        <v>1</v>
      </c>
      <c r="DL107" s="1446">
        <f t="shared" si="229"/>
        <v>1</v>
      </c>
      <c r="DM107" s="1446">
        <f t="shared" si="230"/>
        <v>1</v>
      </c>
      <c r="DN107" s="1446">
        <f t="shared" si="231"/>
        <v>1</v>
      </c>
      <c r="DO107" s="1446">
        <f t="shared" si="232"/>
        <v>1</v>
      </c>
      <c r="DP107" s="1446">
        <f t="shared" si="233"/>
        <v>1</v>
      </c>
      <c r="DQ107" s="1446">
        <f t="shared" si="234"/>
        <v>1</v>
      </c>
      <c r="DR107" s="1446">
        <f t="shared" si="235"/>
        <v>1</v>
      </c>
      <c r="DS107" s="1446">
        <f t="shared" si="236"/>
        <v>1</v>
      </c>
      <c r="DT107" s="1446">
        <f t="shared" si="237"/>
        <v>1</v>
      </c>
      <c r="DU107" s="1446">
        <f t="shared" si="238"/>
        <v>1</v>
      </c>
      <c r="DV107" s="1446">
        <f t="shared" si="239"/>
        <v>1</v>
      </c>
      <c r="DW107" s="1446">
        <f t="shared" si="240"/>
        <v>1</v>
      </c>
      <c r="DX107" s="1446">
        <f t="shared" si="241"/>
        <v>1</v>
      </c>
      <c r="DY107" s="1446">
        <f t="shared" si="242"/>
        <v>1</v>
      </c>
      <c r="DZ107" s="1446">
        <f t="shared" si="243"/>
        <v>1</v>
      </c>
      <c r="EA107" s="1446">
        <f t="shared" si="244"/>
        <v>0</v>
      </c>
    </row>
    <row r="108" spans="1:131" ht="16.2" customHeight="1" x14ac:dyDescent="0.3">
      <c r="A108" s="7258">
        <v>11056444</v>
      </c>
      <c r="B108" s="2000" t="s">
        <v>1793</v>
      </c>
      <c r="C108" s="1998" t="s">
        <v>5369</v>
      </c>
      <c r="D108" s="2044" t="s">
        <v>5370</v>
      </c>
      <c r="E108" s="1134" t="s">
        <v>5371</v>
      </c>
      <c r="F108" s="1135" t="s">
        <v>5372</v>
      </c>
      <c r="G108" s="1114" t="s">
        <v>5373</v>
      </c>
      <c r="H108" s="1135" t="s">
        <v>5374</v>
      </c>
      <c r="I108" s="1114" t="s">
        <v>5375</v>
      </c>
      <c r="J108" s="1118" t="s">
        <v>5376</v>
      </c>
      <c r="K108" s="1134" t="s">
        <v>5377</v>
      </c>
      <c r="L108" s="1134" t="s">
        <v>5378</v>
      </c>
      <c r="M108" s="1114" t="s">
        <v>5379</v>
      </c>
      <c r="N108" s="1118" t="s">
        <v>5380</v>
      </c>
      <c r="O108" s="1134" t="s">
        <v>5381</v>
      </c>
      <c r="P108" s="1135" t="s">
        <v>5382</v>
      </c>
      <c r="Q108" s="1114" t="s">
        <v>5383</v>
      </c>
      <c r="R108" s="1135" t="s">
        <v>5384</v>
      </c>
      <c r="S108" s="1114" t="s">
        <v>5385</v>
      </c>
      <c r="T108" s="1135" t="s">
        <v>5386</v>
      </c>
      <c r="U108" s="1114" t="s">
        <v>5387</v>
      </c>
      <c r="V108" s="1135" t="s">
        <v>5388</v>
      </c>
      <c r="W108" s="1114" t="s">
        <v>5389</v>
      </c>
      <c r="X108" s="1135" t="s">
        <v>5390</v>
      </c>
      <c r="Y108" s="1114" t="s">
        <v>5391</v>
      </c>
      <c r="Z108" s="1135" t="s">
        <v>5392</v>
      </c>
      <c r="AA108" s="1114" t="s">
        <v>5393</v>
      </c>
      <c r="AB108" s="1135" t="s">
        <v>5394</v>
      </c>
      <c r="AC108" s="1114" t="s">
        <v>5395</v>
      </c>
      <c r="AD108" s="1135" t="s">
        <v>5396</v>
      </c>
      <c r="AE108" s="1114" t="s">
        <v>5397</v>
      </c>
      <c r="AF108" s="1135" t="s">
        <v>5398</v>
      </c>
      <c r="AG108" s="1114" t="s">
        <v>5399</v>
      </c>
      <c r="AH108" s="1135" t="s">
        <v>5400</v>
      </c>
      <c r="AI108" s="1114" t="s">
        <v>5401</v>
      </c>
      <c r="AJ108" s="1135" t="s">
        <v>5402</v>
      </c>
      <c r="AK108" s="1114" t="s">
        <v>5403</v>
      </c>
      <c r="AL108" s="1135" t="s">
        <v>5404</v>
      </c>
      <c r="AM108" s="1114" t="s">
        <v>5405</v>
      </c>
      <c r="AN108" s="1135" t="s">
        <v>5406</v>
      </c>
      <c r="AO108" s="1114" t="s">
        <v>5407</v>
      </c>
      <c r="AP108" s="1135" t="s">
        <v>5408</v>
      </c>
      <c r="AQ108" s="1114" t="s">
        <v>5409</v>
      </c>
      <c r="AR108" s="1136" t="s">
        <v>5410</v>
      </c>
      <c r="AS108" s="1137" t="s">
        <v>5411</v>
      </c>
      <c r="AT108" s="1136" t="s">
        <v>5412</v>
      </c>
      <c r="AU108" s="1134" t="s">
        <v>5413</v>
      </c>
      <c r="AV108" s="1135" t="s">
        <v>5414</v>
      </c>
      <c r="AW108" s="1114" t="s">
        <v>5415</v>
      </c>
      <c r="AX108" s="1118" t="s">
        <v>5416</v>
      </c>
      <c r="AY108" s="1197" t="e">
        <f t="shared" si="212"/>
        <v>#VALUE!</v>
      </c>
      <c r="AZ108" s="1197"/>
      <c r="BA108" s="1197"/>
      <c r="BB108" s="1197"/>
      <c r="BC108" s="1197"/>
      <c r="BD108" s="1197"/>
      <c r="BE108" s="1197"/>
      <c r="BF108" s="1197"/>
      <c r="BG108" s="1197"/>
      <c r="BH108" s="1197"/>
      <c r="BI108" s="1197"/>
      <c r="BJ108" s="1191"/>
      <c r="BK108" s="1191"/>
      <c r="BL108" s="1191"/>
      <c r="BM108" s="1191"/>
      <c r="BV108" s="1191"/>
      <c r="BX108" s="1547"/>
      <c r="CB108" s="2195" t="str">
        <f t="shared" si="213"/>
        <v xml:space="preserve">* El total de Reactivos NO DEBE ser superior al total de Procesados. </v>
      </c>
      <c r="CC108" s="2195" t="e">
        <f t="shared" si="214"/>
        <v>#VALUE!</v>
      </c>
      <c r="CD108" s="2195" t="e">
        <f t="shared" si="215"/>
        <v>#VALUE!</v>
      </c>
      <c r="CE108" s="2195" t="str">
        <f t="shared" si="216"/>
        <v xml:space="preserve">* La columna Pueblos Originarios NO DEBE ser superior al total de Procesados. </v>
      </c>
      <c r="CF108" s="2195" t="str">
        <f t="shared" si="217"/>
        <v xml:space="preserve">* La columna Migrantes NO DEBE ser superior al total de Procesados. </v>
      </c>
      <c r="CG108" s="2195" t="str">
        <f t="shared" si="245"/>
        <v>* El total de procesados debe ser mayor o igual al total de Reactivos en el grupo de edad Menor de 6 meses</v>
      </c>
      <c r="CH108" s="2195" t="str">
        <f t="shared" si="246"/>
        <v>* El total de procesados debe ser mayor o igual al total de Reactivos en el grupo de edad 6 a 11 meses</v>
      </c>
      <c r="CI108" s="2195" t="str">
        <f t="shared" si="247"/>
        <v>* El total de procesados debe ser mayor o igual al total de Reactivos en el grupo de edad 12-24 meses</v>
      </c>
      <c r="CJ108" s="2195" t="str">
        <f t="shared" si="248"/>
        <v>* El total de procesados debe ser mayor o igual al total de Reactivos en el grupo de edad 3 a 4 años</v>
      </c>
      <c r="CK108" s="2195" t="str">
        <f t="shared" si="249"/>
        <v>* El total de procesados debe ser mayor o igual al total de Reactivos en el grupo de edad 5 a 9 años</v>
      </c>
      <c r="CL108" s="2195" t="str">
        <f t="shared" si="250"/>
        <v>* El total de procesados debe ser mayor o igual al total de Reactivos en el grupo de edad 10 - 14 años</v>
      </c>
      <c r="CM108" s="2195" t="str">
        <f t="shared" si="251"/>
        <v>* El total de procesados debe ser mayor o igual al total de Reactivos en el grupo de edad 15 - 19 años</v>
      </c>
      <c r="CN108" s="2195" t="str">
        <f t="shared" si="252"/>
        <v>* El total de procesados debe ser mayor o igual al total de Reactivos en el grupo de edad 20 - 24 años</v>
      </c>
      <c r="CO108" s="2195" t="str">
        <f t="shared" si="253"/>
        <v>* El total de procesados debe ser mayor o igual al total de Reactivos en el grupo de edad 25 a 29 años</v>
      </c>
      <c r="CP108" s="2195" t="str">
        <f t="shared" si="254"/>
        <v>* El total de procesados debe ser mayor o igual al total de Reactivos en el grupo de edad 30 a 34 años</v>
      </c>
      <c r="CQ108" s="2195" t="str">
        <f t="shared" si="255"/>
        <v>* El total de procesados debe ser mayor o igual al total de Reactivos en el grupo de edad 35 a 39 años</v>
      </c>
      <c r="CR108" s="2195" t="str">
        <f t="shared" si="256"/>
        <v>* El total de procesados debe ser mayor o igual al total de Reactivos en el grupo de edad 40 a 44 años</v>
      </c>
      <c r="CS108" s="2195" t="str">
        <f t="shared" si="257"/>
        <v>* El total de procesados debe ser mayor o igual al total de Reactivos en el grupo de edad 45 a 49 años</v>
      </c>
      <c r="CT108" s="2195" t="str">
        <f t="shared" si="258"/>
        <v>* El total de procesados debe ser mayor o igual al total de Reactivos en el grupo de edad 50 a 54 años</v>
      </c>
      <c r="CU108" s="2195" t="str">
        <f t="shared" si="259"/>
        <v>* El total de procesados debe ser mayor o igual al total de Reactivos en el grupo de edad 55 a 59 años</v>
      </c>
      <c r="CV108" s="2195" t="str">
        <f t="shared" si="260"/>
        <v>* El total de procesados debe ser mayor o igual al total de Reactivos en el grupo de edad 60 a 64 años</v>
      </c>
      <c r="CW108" s="2195" t="str">
        <f t="shared" si="261"/>
        <v>* El total de procesados debe ser mayor o igual al total de Reactivos en el grupo de edad 65 a 69 años</v>
      </c>
      <c r="CX108" s="2195" t="str">
        <f t="shared" si="262"/>
        <v>* El total de procesados debe ser mayor o igual al total de Reactivos en el grupo de edad 70 a 74 años</v>
      </c>
      <c r="CY108" s="2195" t="str">
        <f t="shared" si="263"/>
        <v>* El total de procesados debe ser mayor o igual al total de Reactivos en el grupo de edad 75 a 79 años</v>
      </c>
      <c r="CZ108" s="2195" t="str">
        <f t="shared" si="264"/>
        <v>* El total de procesados debe ser mayor o igual al total de Reactivos en el grupo de edad 80 y más años</v>
      </c>
      <c r="DA108" s="2195" t="str">
        <f t="shared" si="218"/>
        <v/>
      </c>
      <c r="DB108" s="1446">
        <f t="shared" si="219"/>
        <v>1</v>
      </c>
      <c r="DC108" s="1446" t="e">
        <f t="shared" si="220"/>
        <v>#VALUE!</v>
      </c>
      <c r="DD108" s="1446" t="e">
        <f t="shared" si="221"/>
        <v>#VALUE!</v>
      </c>
      <c r="DE108" s="1446">
        <f t="shared" si="222"/>
        <v>1</v>
      </c>
      <c r="DF108" s="1446">
        <f t="shared" si="223"/>
        <v>1</v>
      </c>
      <c r="DG108" s="1446">
        <f t="shared" si="224"/>
        <v>1</v>
      </c>
      <c r="DH108" s="1446">
        <f t="shared" si="225"/>
        <v>1</v>
      </c>
      <c r="DI108" s="1446">
        <f t="shared" si="226"/>
        <v>1</v>
      </c>
      <c r="DJ108" s="1446">
        <f t="shared" si="227"/>
        <v>1</v>
      </c>
      <c r="DK108" s="1446">
        <f t="shared" si="228"/>
        <v>1</v>
      </c>
      <c r="DL108" s="1446">
        <f t="shared" si="229"/>
        <v>1</v>
      </c>
      <c r="DM108" s="1446">
        <f t="shared" si="230"/>
        <v>1</v>
      </c>
      <c r="DN108" s="1446">
        <f t="shared" si="231"/>
        <v>1</v>
      </c>
      <c r="DO108" s="1446">
        <f t="shared" si="232"/>
        <v>1</v>
      </c>
      <c r="DP108" s="1446">
        <f t="shared" si="233"/>
        <v>1</v>
      </c>
      <c r="DQ108" s="1446">
        <f t="shared" si="234"/>
        <v>1</v>
      </c>
      <c r="DR108" s="1446">
        <f t="shared" si="235"/>
        <v>1</v>
      </c>
      <c r="DS108" s="1446">
        <f t="shared" si="236"/>
        <v>1</v>
      </c>
      <c r="DT108" s="1446">
        <f t="shared" si="237"/>
        <v>1</v>
      </c>
      <c r="DU108" s="1446">
        <f t="shared" si="238"/>
        <v>1</v>
      </c>
      <c r="DV108" s="1446">
        <f t="shared" si="239"/>
        <v>1</v>
      </c>
      <c r="DW108" s="1446">
        <f t="shared" si="240"/>
        <v>1</v>
      </c>
      <c r="DX108" s="1446">
        <f t="shared" si="241"/>
        <v>1</v>
      </c>
      <c r="DY108" s="1446">
        <f t="shared" si="242"/>
        <v>1</v>
      </c>
      <c r="DZ108" s="1446">
        <f t="shared" si="243"/>
        <v>1</v>
      </c>
      <c r="EA108" s="1446">
        <f t="shared" si="244"/>
        <v>0</v>
      </c>
    </row>
    <row r="109" spans="1:131" ht="24" customHeight="1" x14ac:dyDescent="0.3">
      <c r="A109" s="7258">
        <v>11056445</v>
      </c>
      <c r="B109" s="2045" t="s">
        <v>1794</v>
      </c>
      <c r="C109" s="1998" t="s">
        <v>5369</v>
      </c>
      <c r="D109" s="2044" t="s">
        <v>5370</v>
      </c>
      <c r="E109" s="1134" t="s">
        <v>5371</v>
      </c>
      <c r="F109" s="1135" t="s">
        <v>5372</v>
      </c>
      <c r="G109" s="1114" t="s">
        <v>5373</v>
      </c>
      <c r="H109" s="1135" t="s">
        <v>5374</v>
      </c>
      <c r="I109" s="1114" t="s">
        <v>5375</v>
      </c>
      <c r="J109" s="1118" t="s">
        <v>5376</v>
      </c>
      <c r="K109" s="1140" t="s">
        <v>5377</v>
      </c>
      <c r="L109" s="1141" t="s">
        <v>5378</v>
      </c>
      <c r="M109" s="1140" t="s">
        <v>5379</v>
      </c>
      <c r="N109" s="1141" t="s">
        <v>5380</v>
      </c>
      <c r="O109" s="1140" t="s">
        <v>5381</v>
      </c>
      <c r="P109" s="1141" t="s">
        <v>5382</v>
      </c>
      <c r="Q109" s="1140" t="s">
        <v>5383</v>
      </c>
      <c r="R109" s="1141" t="s">
        <v>5384</v>
      </c>
      <c r="S109" s="1140" t="s">
        <v>5385</v>
      </c>
      <c r="T109" s="1141" t="s">
        <v>5386</v>
      </c>
      <c r="U109" s="1140" t="s">
        <v>5387</v>
      </c>
      <c r="V109" s="1141" t="s">
        <v>5388</v>
      </c>
      <c r="W109" s="1140" t="s">
        <v>5389</v>
      </c>
      <c r="X109" s="1141" t="s">
        <v>5390</v>
      </c>
      <c r="Y109" s="1140" t="s">
        <v>5391</v>
      </c>
      <c r="Z109" s="1141" t="s">
        <v>5392</v>
      </c>
      <c r="AA109" s="1140" t="s">
        <v>5393</v>
      </c>
      <c r="AB109" s="1141" t="s">
        <v>5394</v>
      </c>
      <c r="AC109" s="1140" t="s">
        <v>5395</v>
      </c>
      <c r="AD109" s="1141" t="s">
        <v>5396</v>
      </c>
      <c r="AE109" s="1140" t="s">
        <v>5397</v>
      </c>
      <c r="AF109" s="1141" t="s">
        <v>5398</v>
      </c>
      <c r="AG109" s="1140" t="s">
        <v>5399</v>
      </c>
      <c r="AH109" s="1141" t="s">
        <v>5400</v>
      </c>
      <c r="AI109" s="1140" t="s">
        <v>5401</v>
      </c>
      <c r="AJ109" s="1141" t="s">
        <v>5402</v>
      </c>
      <c r="AK109" s="1140" t="s">
        <v>5403</v>
      </c>
      <c r="AL109" s="1141" t="s">
        <v>5404</v>
      </c>
      <c r="AM109" s="1140" t="s">
        <v>5405</v>
      </c>
      <c r="AN109" s="1141" t="s">
        <v>5406</v>
      </c>
      <c r="AO109" s="1140" t="s">
        <v>5407</v>
      </c>
      <c r="AP109" s="1141" t="s">
        <v>5408</v>
      </c>
      <c r="AQ109" s="1140" t="s">
        <v>5409</v>
      </c>
      <c r="AR109" s="1142" t="s">
        <v>5410</v>
      </c>
      <c r="AS109" s="1134" t="s">
        <v>5411</v>
      </c>
      <c r="AT109" s="1136" t="s">
        <v>5412</v>
      </c>
      <c r="AU109" s="1134" t="s">
        <v>5413</v>
      </c>
      <c r="AV109" s="1135" t="s">
        <v>5414</v>
      </c>
      <c r="AW109" s="1114" t="s">
        <v>5415</v>
      </c>
      <c r="AX109" s="1118" t="s">
        <v>5416</v>
      </c>
      <c r="AY109" s="1197" t="e">
        <f t="shared" si="212"/>
        <v>#VALUE!</v>
      </c>
      <c r="AZ109" s="1197"/>
      <c r="BA109" s="1197"/>
      <c r="BB109" s="1197"/>
      <c r="BC109" s="1197"/>
      <c r="BD109" s="1197"/>
      <c r="BE109" s="1197"/>
      <c r="BF109" s="1197"/>
      <c r="BG109" s="1197"/>
      <c r="BH109" s="1197"/>
      <c r="BI109" s="1197"/>
      <c r="BJ109" s="1191"/>
      <c r="BK109" s="1191"/>
      <c r="BL109" s="1191"/>
      <c r="BM109" s="1191"/>
      <c r="BV109" s="1191"/>
      <c r="BX109" s="1547"/>
      <c r="CB109" s="2195" t="str">
        <f t="shared" si="213"/>
        <v xml:space="preserve">* El total de Reactivos NO DEBE ser superior al total de Procesados. </v>
      </c>
      <c r="CC109" s="2195" t="e">
        <f t="shared" si="214"/>
        <v>#VALUE!</v>
      </c>
      <c r="CD109" s="2195" t="e">
        <f t="shared" si="215"/>
        <v>#VALUE!</v>
      </c>
      <c r="CE109" s="2195" t="str">
        <f t="shared" si="216"/>
        <v xml:space="preserve">* La columna Pueblos Originarios NO DEBE ser superior al total de Procesados. </v>
      </c>
      <c r="CF109" s="2195" t="str">
        <f t="shared" si="217"/>
        <v xml:space="preserve">* La columna Migrantes NO DEBE ser superior al total de Procesados. </v>
      </c>
      <c r="CG109" s="2195" t="str">
        <f t="shared" si="245"/>
        <v>* El total de procesados debe ser mayor o igual al total de Reactivos en el grupo de edad Menor de 6 meses</v>
      </c>
      <c r="CH109" s="2195" t="str">
        <f t="shared" si="246"/>
        <v>* El total de procesados debe ser mayor o igual al total de Reactivos en el grupo de edad 6 a 11 meses</v>
      </c>
      <c r="CI109" s="2195" t="str">
        <f t="shared" si="247"/>
        <v>* El total de procesados debe ser mayor o igual al total de Reactivos en el grupo de edad 12-24 meses</v>
      </c>
      <c r="CJ109" s="2195" t="str">
        <f t="shared" si="248"/>
        <v>* El total de procesados debe ser mayor o igual al total de Reactivos en el grupo de edad 3 a 4 años</v>
      </c>
      <c r="CK109" s="2195" t="str">
        <f t="shared" si="249"/>
        <v>* El total de procesados debe ser mayor o igual al total de Reactivos en el grupo de edad 5 a 9 años</v>
      </c>
      <c r="CL109" s="2195" t="str">
        <f t="shared" si="250"/>
        <v>* El total de procesados debe ser mayor o igual al total de Reactivos en el grupo de edad 10 - 14 años</v>
      </c>
      <c r="CM109" s="2195" t="str">
        <f t="shared" si="251"/>
        <v>* El total de procesados debe ser mayor o igual al total de Reactivos en el grupo de edad 15 - 19 años</v>
      </c>
      <c r="CN109" s="2195" t="str">
        <f t="shared" si="252"/>
        <v>* El total de procesados debe ser mayor o igual al total de Reactivos en el grupo de edad 20 - 24 años</v>
      </c>
      <c r="CO109" s="2195" t="str">
        <f t="shared" si="253"/>
        <v>* El total de procesados debe ser mayor o igual al total de Reactivos en el grupo de edad 25 a 29 años</v>
      </c>
      <c r="CP109" s="2195" t="str">
        <f t="shared" si="254"/>
        <v>* El total de procesados debe ser mayor o igual al total de Reactivos en el grupo de edad 30 a 34 años</v>
      </c>
      <c r="CQ109" s="2195" t="str">
        <f t="shared" si="255"/>
        <v>* El total de procesados debe ser mayor o igual al total de Reactivos en el grupo de edad 35 a 39 años</v>
      </c>
      <c r="CR109" s="2195" t="str">
        <f t="shared" si="256"/>
        <v>* El total de procesados debe ser mayor o igual al total de Reactivos en el grupo de edad 40 a 44 años</v>
      </c>
      <c r="CS109" s="2195" t="str">
        <f t="shared" si="257"/>
        <v>* El total de procesados debe ser mayor o igual al total de Reactivos en el grupo de edad 45 a 49 años</v>
      </c>
      <c r="CT109" s="2195" t="str">
        <f t="shared" si="258"/>
        <v>* El total de procesados debe ser mayor o igual al total de Reactivos en el grupo de edad 50 a 54 años</v>
      </c>
      <c r="CU109" s="2195" t="str">
        <f t="shared" si="259"/>
        <v>* El total de procesados debe ser mayor o igual al total de Reactivos en el grupo de edad 55 a 59 años</v>
      </c>
      <c r="CV109" s="2195" t="str">
        <f t="shared" si="260"/>
        <v>* El total de procesados debe ser mayor o igual al total de Reactivos en el grupo de edad 60 a 64 años</v>
      </c>
      <c r="CW109" s="2195" t="str">
        <f t="shared" si="261"/>
        <v>* El total de procesados debe ser mayor o igual al total de Reactivos en el grupo de edad 65 a 69 años</v>
      </c>
      <c r="CX109" s="2195" t="str">
        <f t="shared" si="262"/>
        <v>* El total de procesados debe ser mayor o igual al total de Reactivos en el grupo de edad 70 a 74 años</v>
      </c>
      <c r="CY109" s="2195" t="str">
        <f t="shared" si="263"/>
        <v>* El total de procesados debe ser mayor o igual al total de Reactivos en el grupo de edad 75 a 79 años</v>
      </c>
      <c r="CZ109" s="2195" t="str">
        <f t="shared" si="264"/>
        <v>* El total de procesados debe ser mayor o igual al total de Reactivos en el grupo de edad 80 y más años</v>
      </c>
      <c r="DA109" s="2195" t="str">
        <f t="shared" si="218"/>
        <v/>
      </c>
      <c r="DB109" s="1446">
        <f t="shared" si="219"/>
        <v>1</v>
      </c>
      <c r="DC109" s="1446" t="e">
        <f t="shared" si="220"/>
        <v>#VALUE!</v>
      </c>
      <c r="DD109" s="1446" t="e">
        <f t="shared" si="221"/>
        <v>#VALUE!</v>
      </c>
      <c r="DE109" s="1446">
        <f t="shared" si="222"/>
        <v>1</v>
      </c>
      <c r="DF109" s="1446">
        <f t="shared" si="223"/>
        <v>1</v>
      </c>
      <c r="DG109" s="1446">
        <f t="shared" si="224"/>
        <v>1</v>
      </c>
      <c r="DH109" s="1446">
        <f t="shared" si="225"/>
        <v>1</v>
      </c>
      <c r="DI109" s="1446">
        <f t="shared" si="226"/>
        <v>1</v>
      </c>
      <c r="DJ109" s="1446">
        <f t="shared" si="227"/>
        <v>1</v>
      </c>
      <c r="DK109" s="1446">
        <f t="shared" si="228"/>
        <v>1</v>
      </c>
      <c r="DL109" s="1446">
        <f t="shared" si="229"/>
        <v>1</v>
      </c>
      <c r="DM109" s="1446">
        <f t="shared" si="230"/>
        <v>1</v>
      </c>
      <c r="DN109" s="1446">
        <f t="shared" si="231"/>
        <v>1</v>
      </c>
      <c r="DO109" s="1446">
        <f t="shared" si="232"/>
        <v>1</v>
      </c>
      <c r="DP109" s="1446">
        <f t="shared" si="233"/>
        <v>1</v>
      </c>
      <c r="DQ109" s="1446">
        <f t="shared" si="234"/>
        <v>1</v>
      </c>
      <c r="DR109" s="1446">
        <f t="shared" si="235"/>
        <v>1</v>
      </c>
      <c r="DS109" s="1446">
        <f t="shared" si="236"/>
        <v>1</v>
      </c>
      <c r="DT109" s="1446">
        <f t="shared" si="237"/>
        <v>1</v>
      </c>
      <c r="DU109" s="1446">
        <f t="shared" si="238"/>
        <v>1</v>
      </c>
      <c r="DV109" s="1446">
        <f t="shared" si="239"/>
        <v>1</v>
      </c>
      <c r="DW109" s="1446">
        <f t="shared" si="240"/>
        <v>1</v>
      </c>
      <c r="DX109" s="1446">
        <f t="shared" si="241"/>
        <v>1</v>
      </c>
      <c r="DY109" s="1446">
        <f t="shared" si="242"/>
        <v>1</v>
      </c>
      <c r="DZ109" s="1446">
        <f t="shared" si="243"/>
        <v>1</v>
      </c>
      <c r="EA109" s="1446">
        <f t="shared" si="244"/>
        <v>0</v>
      </c>
    </row>
    <row r="110" spans="1:131" ht="18" customHeight="1" x14ac:dyDescent="0.3">
      <c r="A110" s="7258">
        <v>11056446</v>
      </c>
      <c r="B110" s="2045" t="s">
        <v>1795</v>
      </c>
      <c r="C110" s="1998" t="s">
        <v>5369</v>
      </c>
      <c r="D110" s="2044" t="s">
        <v>5370</v>
      </c>
      <c r="E110" s="1130" t="s">
        <v>5371</v>
      </c>
      <c r="F110" s="1131" t="s">
        <v>5372</v>
      </c>
      <c r="G110" s="1132" t="s">
        <v>5373</v>
      </c>
      <c r="H110" s="1131" t="s">
        <v>5374</v>
      </c>
      <c r="I110" s="1132" t="s">
        <v>5375</v>
      </c>
      <c r="J110" s="1131" t="s">
        <v>5376</v>
      </c>
      <c r="K110" s="1132" t="s">
        <v>5377</v>
      </c>
      <c r="L110" s="1131" t="s">
        <v>5378</v>
      </c>
      <c r="M110" s="1132" t="s">
        <v>5379</v>
      </c>
      <c r="N110" s="1133" t="s">
        <v>5380</v>
      </c>
      <c r="O110" s="1130" t="s">
        <v>5381</v>
      </c>
      <c r="P110" s="1131" t="s">
        <v>5382</v>
      </c>
      <c r="Q110" s="1114" t="s">
        <v>5383</v>
      </c>
      <c r="R110" s="1135" t="s">
        <v>5384</v>
      </c>
      <c r="S110" s="1114" t="s">
        <v>5385</v>
      </c>
      <c r="T110" s="1135" t="s">
        <v>5386</v>
      </c>
      <c r="U110" s="1114" t="s">
        <v>5387</v>
      </c>
      <c r="V110" s="1135" t="s">
        <v>5388</v>
      </c>
      <c r="W110" s="1114" t="s">
        <v>5389</v>
      </c>
      <c r="X110" s="1135" t="s">
        <v>5390</v>
      </c>
      <c r="Y110" s="1114" t="s">
        <v>5391</v>
      </c>
      <c r="Z110" s="1135" t="s">
        <v>5392</v>
      </c>
      <c r="AA110" s="1114" t="s">
        <v>5393</v>
      </c>
      <c r="AB110" s="1135" t="s">
        <v>5394</v>
      </c>
      <c r="AC110" s="1114" t="s">
        <v>5395</v>
      </c>
      <c r="AD110" s="1135" t="s">
        <v>5396</v>
      </c>
      <c r="AE110" s="1114" t="s">
        <v>5397</v>
      </c>
      <c r="AF110" s="1135" t="s">
        <v>5398</v>
      </c>
      <c r="AG110" s="1114" t="s">
        <v>5399</v>
      </c>
      <c r="AH110" s="1135" t="s">
        <v>5400</v>
      </c>
      <c r="AI110" s="1114" t="s">
        <v>5401</v>
      </c>
      <c r="AJ110" s="1135" t="s">
        <v>5402</v>
      </c>
      <c r="AK110" s="1114" t="s">
        <v>5403</v>
      </c>
      <c r="AL110" s="1135" t="s">
        <v>5404</v>
      </c>
      <c r="AM110" s="1114" t="s">
        <v>5405</v>
      </c>
      <c r="AN110" s="1135" t="s">
        <v>5406</v>
      </c>
      <c r="AO110" s="1114" t="s">
        <v>5407</v>
      </c>
      <c r="AP110" s="1135" t="s">
        <v>5408</v>
      </c>
      <c r="AQ110" s="1114" t="s">
        <v>5409</v>
      </c>
      <c r="AR110" s="1136" t="s">
        <v>5410</v>
      </c>
      <c r="AS110" s="1134" t="s">
        <v>5411</v>
      </c>
      <c r="AT110" s="1136" t="s">
        <v>5412</v>
      </c>
      <c r="AU110" s="1134" t="s">
        <v>5413</v>
      </c>
      <c r="AV110" s="1135" t="s">
        <v>5414</v>
      </c>
      <c r="AW110" s="1114" t="s">
        <v>5415</v>
      </c>
      <c r="AX110" s="1118" t="s">
        <v>5416</v>
      </c>
      <c r="AY110" s="1197" t="e">
        <f t="shared" si="212"/>
        <v>#VALUE!</v>
      </c>
      <c r="AZ110" s="1197"/>
      <c r="BA110" s="1197"/>
      <c r="BB110" s="1197"/>
      <c r="BC110" s="1197"/>
      <c r="BD110" s="1197"/>
      <c r="BE110" s="1197"/>
      <c r="BF110" s="1197"/>
      <c r="BG110" s="1197"/>
      <c r="BH110" s="1197"/>
      <c r="BI110" s="1197"/>
      <c r="BJ110" s="1191"/>
      <c r="BK110" s="1191"/>
      <c r="BL110" s="1191"/>
      <c r="BM110" s="1191"/>
      <c r="BV110" s="1191"/>
      <c r="BX110" s="1547"/>
      <c r="CB110" s="2195" t="str">
        <f t="shared" si="213"/>
        <v xml:space="preserve">* El total de Reactivos NO DEBE ser superior al total de Procesados. </v>
      </c>
      <c r="CC110" s="2195" t="e">
        <f t="shared" si="214"/>
        <v>#VALUE!</v>
      </c>
      <c r="CD110" s="2195" t="e">
        <f t="shared" si="215"/>
        <v>#VALUE!</v>
      </c>
      <c r="CE110" s="2195" t="str">
        <f t="shared" si="216"/>
        <v xml:space="preserve">* La columna Pueblos Originarios NO DEBE ser superior al total de Procesados. </v>
      </c>
      <c r="CF110" s="2195" t="str">
        <f t="shared" si="217"/>
        <v xml:space="preserve">* La columna Migrantes NO DEBE ser superior al total de Procesados. </v>
      </c>
      <c r="CG110" s="2195" t="str">
        <f t="shared" si="245"/>
        <v>* El total de procesados debe ser mayor o igual al total de Reactivos en el grupo de edad Menor de 6 meses</v>
      </c>
      <c r="CH110" s="2195" t="str">
        <f t="shared" si="246"/>
        <v>* El total de procesados debe ser mayor o igual al total de Reactivos en el grupo de edad 6 a 11 meses</v>
      </c>
      <c r="CI110" s="2195" t="str">
        <f t="shared" si="247"/>
        <v>* El total de procesados debe ser mayor o igual al total de Reactivos en el grupo de edad 12-24 meses</v>
      </c>
      <c r="CJ110" s="2195" t="str">
        <f t="shared" si="248"/>
        <v>* El total de procesados debe ser mayor o igual al total de Reactivos en el grupo de edad 3 a 4 años</v>
      </c>
      <c r="CK110" s="2195" t="str">
        <f t="shared" si="249"/>
        <v>* El total de procesados debe ser mayor o igual al total de Reactivos en el grupo de edad 5 a 9 años</v>
      </c>
      <c r="CL110" s="2195" t="str">
        <f t="shared" si="250"/>
        <v>* El total de procesados debe ser mayor o igual al total de Reactivos en el grupo de edad 10 - 14 años</v>
      </c>
      <c r="CM110" s="2195" t="str">
        <f t="shared" si="251"/>
        <v>* El total de procesados debe ser mayor o igual al total de Reactivos en el grupo de edad 15 - 19 años</v>
      </c>
      <c r="CN110" s="2195" t="str">
        <f t="shared" si="252"/>
        <v>* El total de procesados debe ser mayor o igual al total de Reactivos en el grupo de edad 20 - 24 años</v>
      </c>
      <c r="CO110" s="2195" t="str">
        <f t="shared" si="253"/>
        <v>* El total de procesados debe ser mayor o igual al total de Reactivos en el grupo de edad 25 a 29 años</v>
      </c>
      <c r="CP110" s="2195" t="str">
        <f t="shared" si="254"/>
        <v>* El total de procesados debe ser mayor o igual al total de Reactivos en el grupo de edad 30 a 34 años</v>
      </c>
      <c r="CQ110" s="2195" t="str">
        <f t="shared" si="255"/>
        <v>* El total de procesados debe ser mayor o igual al total de Reactivos en el grupo de edad 35 a 39 años</v>
      </c>
      <c r="CR110" s="2195" t="str">
        <f t="shared" si="256"/>
        <v>* El total de procesados debe ser mayor o igual al total de Reactivos en el grupo de edad 40 a 44 años</v>
      </c>
      <c r="CS110" s="2195" t="str">
        <f t="shared" si="257"/>
        <v>* El total de procesados debe ser mayor o igual al total de Reactivos en el grupo de edad 45 a 49 años</v>
      </c>
      <c r="CT110" s="2195" t="str">
        <f t="shared" si="258"/>
        <v>* El total de procesados debe ser mayor o igual al total de Reactivos en el grupo de edad 50 a 54 años</v>
      </c>
      <c r="CU110" s="2195" t="str">
        <f t="shared" si="259"/>
        <v>* El total de procesados debe ser mayor o igual al total de Reactivos en el grupo de edad 55 a 59 años</v>
      </c>
      <c r="CV110" s="2195" t="str">
        <f t="shared" si="260"/>
        <v>* El total de procesados debe ser mayor o igual al total de Reactivos en el grupo de edad 60 a 64 años</v>
      </c>
      <c r="CW110" s="2195" t="str">
        <f t="shared" si="261"/>
        <v>* El total de procesados debe ser mayor o igual al total de Reactivos en el grupo de edad 65 a 69 años</v>
      </c>
      <c r="CX110" s="2195" t="str">
        <f t="shared" si="262"/>
        <v>* El total de procesados debe ser mayor o igual al total de Reactivos en el grupo de edad 70 a 74 años</v>
      </c>
      <c r="CY110" s="2195" t="str">
        <f t="shared" si="263"/>
        <v>* El total de procesados debe ser mayor o igual al total de Reactivos en el grupo de edad 75 a 79 años</v>
      </c>
      <c r="CZ110" s="2195" t="str">
        <f t="shared" si="264"/>
        <v>* El total de procesados debe ser mayor o igual al total de Reactivos en el grupo de edad 80 y más años</v>
      </c>
      <c r="DA110" s="2195" t="str">
        <f t="shared" si="218"/>
        <v/>
      </c>
      <c r="DB110" s="1446">
        <f t="shared" si="219"/>
        <v>1</v>
      </c>
      <c r="DC110" s="1446" t="e">
        <f t="shared" si="220"/>
        <v>#VALUE!</v>
      </c>
      <c r="DD110" s="1446" t="e">
        <f t="shared" si="221"/>
        <v>#VALUE!</v>
      </c>
      <c r="DE110" s="1446">
        <f t="shared" si="222"/>
        <v>1</v>
      </c>
      <c r="DF110" s="1446">
        <f t="shared" si="223"/>
        <v>1</v>
      </c>
      <c r="DG110" s="1446">
        <f t="shared" si="224"/>
        <v>1</v>
      </c>
      <c r="DH110" s="1446">
        <f t="shared" si="225"/>
        <v>1</v>
      </c>
      <c r="DI110" s="1446">
        <f t="shared" si="226"/>
        <v>1</v>
      </c>
      <c r="DJ110" s="1446">
        <f t="shared" si="227"/>
        <v>1</v>
      </c>
      <c r="DK110" s="1446">
        <f t="shared" si="228"/>
        <v>1</v>
      </c>
      <c r="DL110" s="1446">
        <f t="shared" si="229"/>
        <v>1</v>
      </c>
      <c r="DM110" s="1446">
        <f t="shared" si="230"/>
        <v>1</v>
      </c>
      <c r="DN110" s="1446">
        <f t="shared" si="231"/>
        <v>1</v>
      </c>
      <c r="DO110" s="1446">
        <f t="shared" si="232"/>
        <v>1</v>
      </c>
      <c r="DP110" s="1446">
        <f t="shared" si="233"/>
        <v>1</v>
      </c>
      <c r="DQ110" s="1446">
        <f t="shared" si="234"/>
        <v>1</v>
      </c>
      <c r="DR110" s="1446">
        <f t="shared" si="235"/>
        <v>1</v>
      </c>
      <c r="DS110" s="1446">
        <f t="shared" si="236"/>
        <v>1</v>
      </c>
      <c r="DT110" s="1446">
        <f t="shared" si="237"/>
        <v>1</v>
      </c>
      <c r="DU110" s="1446">
        <f t="shared" si="238"/>
        <v>1</v>
      </c>
      <c r="DV110" s="1446">
        <f t="shared" si="239"/>
        <v>1</v>
      </c>
      <c r="DW110" s="1446">
        <f t="shared" si="240"/>
        <v>1</v>
      </c>
      <c r="DX110" s="1446">
        <f t="shared" si="241"/>
        <v>1</v>
      </c>
      <c r="DY110" s="1446">
        <f t="shared" si="242"/>
        <v>1</v>
      </c>
      <c r="DZ110" s="1446">
        <f t="shared" si="243"/>
        <v>1</v>
      </c>
      <c r="EA110" s="1446">
        <f t="shared" si="244"/>
        <v>0</v>
      </c>
    </row>
    <row r="111" spans="1:131" ht="16.2" customHeight="1" x14ac:dyDescent="0.3">
      <c r="A111" s="7258">
        <v>11056447</v>
      </c>
      <c r="B111" s="2000" t="s">
        <v>1796</v>
      </c>
      <c r="C111" s="1998" t="s">
        <v>5369</v>
      </c>
      <c r="D111" s="2044" t="s">
        <v>5370</v>
      </c>
      <c r="E111" s="1137" t="s">
        <v>5371</v>
      </c>
      <c r="F111" s="1141" t="s">
        <v>5372</v>
      </c>
      <c r="G111" s="1140" t="s">
        <v>5373</v>
      </c>
      <c r="H111" s="1141" t="s">
        <v>5374</v>
      </c>
      <c r="I111" s="1140" t="s">
        <v>5375</v>
      </c>
      <c r="J111" s="1143" t="s">
        <v>5376</v>
      </c>
      <c r="K111" s="1137" t="s">
        <v>5377</v>
      </c>
      <c r="L111" s="1137" t="s">
        <v>5378</v>
      </c>
      <c r="M111" s="1140" t="s">
        <v>5379</v>
      </c>
      <c r="N111" s="1143" t="s">
        <v>5380</v>
      </c>
      <c r="O111" s="1134" t="s">
        <v>5381</v>
      </c>
      <c r="P111" s="1135" t="s">
        <v>5382</v>
      </c>
      <c r="Q111" s="1114" t="s">
        <v>5383</v>
      </c>
      <c r="R111" s="1135" t="s">
        <v>5384</v>
      </c>
      <c r="S111" s="1114" t="s">
        <v>5385</v>
      </c>
      <c r="T111" s="1135" t="s">
        <v>5386</v>
      </c>
      <c r="U111" s="1114" t="s">
        <v>5387</v>
      </c>
      <c r="V111" s="1135" t="s">
        <v>5388</v>
      </c>
      <c r="W111" s="1114" t="s">
        <v>5389</v>
      </c>
      <c r="X111" s="1135" t="s">
        <v>5390</v>
      </c>
      <c r="Y111" s="1114" t="s">
        <v>5391</v>
      </c>
      <c r="Z111" s="1135" t="s">
        <v>5392</v>
      </c>
      <c r="AA111" s="1114" t="s">
        <v>5393</v>
      </c>
      <c r="AB111" s="1135" t="s">
        <v>5394</v>
      </c>
      <c r="AC111" s="1114" t="s">
        <v>5395</v>
      </c>
      <c r="AD111" s="1135" t="s">
        <v>5396</v>
      </c>
      <c r="AE111" s="1114" t="s">
        <v>5397</v>
      </c>
      <c r="AF111" s="1135" t="s">
        <v>5398</v>
      </c>
      <c r="AG111" s="1114" t="s">
        <v>5399</v>
      </c>
      <c r="AH111" s="1135" t="s">
        <v>5400</v>
      </c>
      <c r="AI111" s="1114" t="s">
        <v>5401</v>
      </c>
      <c r="AJ111" s="1135" t="s">
        <v>5402</v>
      </c>
      <c r="AK111" s="1114" t="s">
        <v>5403</v>
      </c>
      <c r="AL111" s="1135" t="s">
        <v>5404</v>
      </c>
      <c r="AM111" s="1114" t="s">
        <v>5405</v>
      </c>
      <c r="AN111" s="1135" t="s">
        <v>5406</v>
      </c>
      <c r="AO111" s="1114" t="s">
        <v>5407</v>
      </c>
      <c r="AP111" s="1135" t="s">
        <v>5408</v>
      </c>
      <c r="AQ111" s="1114" t="s">
        <v>5409</v>
      </c>
      <c r="AR111" s="1136" t="s">
        <v>5410</v>
      </c>
      <c r="AS111" s="1134" t="s">
        <v>5411</v>
      </c>
      <c r="AT111" s="1136" t="s">
        <v>5412</v>
      </c>
      <c r="AU111" s="1134" t="s">
        <v>5413</v>
      </c>
      <c r="AV111" s="1135" t="s">
        <v>5414</v>
      </c>
      <c r="AW111" s="1114" t="s">
        <v>5415</v>
      </c>
      <c r="AX111" s="1118" t="s">
        <v>5416</v>
      </c>
      <c r="AY111" s="1197" t="e">
        <f t="shared" si="212"/>
        <v>#VALUE!</v>
      </c>
      <c r="AZ111" s="1197"/>
      <c r="BA111" s="1197"/>
      <c r="BB111" s="1197"/>
      <c r="BC111" s="1197"/>
      <c r="BD111" s="1197"/>
      <c r="BE111" s="1197"/>
      <c r="BF111" s="1197"/>
      <c r="BG111" s="1197"/>
      <c r="BH111" s="1197"/>
      <c r="BI111" s="1197"/>
      <c r="BJ111" s="1191"/>
      <c r="BK111" s="1191"/>
      <c r="BL111" s="1191"/>
      <c r="BM111" s="1191"/>
      <c r="BV111" s="1191"/>
      <c r="BX111" s="1547"/>
      <c r="CB111" s="2195" t="str">
        <f t="shared" si="213"/>
        <v xml:space="preserve">* El total de Reactivos NO DEBE ser superior al total de Procesados. </v>
      </c>
      <c r="CC111" s="2195" t="e">
        <f t="shared" si="214"/>
        <v>#VALUE!</v>
      </c>
      <c r="CD111" s="2195" t="e">
        <f t="shared" si="215"/>
        <v>#VALUE!</v>
      </c>
      <c r="CE111" s="2195" t="str">
        <f t="shared" si="216"/>
        <v xml:space="preserve">* La columna Pueblos Originarios NO DEBE ser superior al total de Procesados. </v>
      </c>
      <c r="CF111" s="2195" t="str">
        <f t="shared" si="217"/>
        <v xml:space="preserve">* La columna Migrantes NO DEBE ser superior al total de Procesados. </v>
      </c>
      <c r="CG111" s="2195" t="str">
        <f t="shared" si="245"/>
        <v>* El total de procesados debe ser mayor o igual al total de Reactivos en el grupo de edad Menor de 6 meses</v>
      </c>
      <c r="CH111" s="2195" t="str">
        <f t="shared" si="246"/>
        <v>* El total de procesados debe ser mayor o igual al total de Reactivos en el grupo de edad 6 a 11 meses</v>
      </c>
      <c r="CI111" s="2195" t="str">
        <f t="shared" si="247"/>
        <v>* El total de procesados debe ser mayor o igual al total de Reactivos en el grupo de edad 12-24 meses</v>
      </c>
      <c r="CJ111" s="2195" t="str">
        <f t="shared" si="248"/>
        <v>* El total de procesados debe ser mayor o igual al total de Reactivos en el grupo de edad 3 a 4 años</v>
      </c>
      <c r="CK111" s="2195" t="str">
        <f t="shared" si="249"/>
        <v>* El total de procesados debe ser mayor o igual al total de Reactivos en el grupo de edad 5 a 9 años</v>
      </c>
      <c r="CL111" s="2195" t="str">
        <f t="shared" si="250"/>
        <v>* El total de procesados debe ser mayor o igual al total de Reactivos en el grupo de edad 10 - 14 años</v>
      </c>
      <c r="CM111" s="2195" t="str">
        <f t="shared" si="251"/>
        <v>* El total de procesados debe ser mayor o igual al total de Reactivos en el grupo de edad 15 - 19 años</v>
      </c>
      <c r="CN111" s="2195" t="str">
        <f t="shared" si="252"/>
        <v>* El total de procesados debe ser mayor o igual al total de Reactivos en el grupo de edad 20 - 24 años</v>
      </c>
      <c r="CO111" s="2195" t="str">
        <f t="shared" si="253"/>
        <v>* El total de procesados debe ser mayor o igual al total de Reactivos en el grupo de edad 25 a 29 años</v>
      </c>
      <c r="CP111" s="2195" t="str">
        <f t="shared" si="254"/>
        <v>* El total de procesados debe ser mayor o igual al total de Reactivos en el grupo de edad 30 a 34 años</v>
      </c>
      <c r="CQ111" s="2195" t="str">
        <f t="shared" si="255"/>
        <v>* El total de procesados debe ser mayor o igual al total de Reactivos en el grupo de edad 35 a 39 años</v>
      </c>
      <c r="CR111" s="2195" t="str">
        <f t="shared" si="256"/>
        <v>* El total de procesados debe ser mayor o igual al total de Reactivos en el grupo de edad 40 a 44 años</v>
      </c>
      <c r="CS111" s="2195" t="str">
        <f t="shared" si="257"/>
        <v>* El total de procesados debe ser mayor o igual al total de Reactivos en el grupo de edad 45 a 49 años</v>
      </c>
      <c r="CT111" s="2195" t="str">
        <f t="shared" si="258"/>
        <v>* El total de procesados debe ser mayor o igual al total de Reactivos en el grupo de edad 50 a 54 años</v>
      </c>
      <c r="CU111" s="2195" t="str">
        <f t="shared" si="259"/>
        <v>* El total de procesados debe ser mayor o igual al total de Reactivos en el grupo de edad 55 a 59 años</v>
      </c>
      <c r="CV111" s="2195" t="str">
        <f t="shared" si="260"/>
        <v>* El total de procesados debe ser mayor o igual al total de Reactivos en el grupo de edad 60 a 64 años</v>
      </c>
      <c r="CW111" s="2195" t="str">
        <f t="shared" si="261"/>
        <v>* El total de procesados debe ser mayor o igual al total de Reactivos en el grupo de edad 65 a 69 años</v>
      </c>
      <c r="CX111" s="2195" t="str">
        <f t="shared" si="262"/>
        <v>* El total de procesados debe ser mayor o igual al total de Reactivos en el grupo de edad 70 a 74 años</v>
      </c>
      <c r="CY111" s="2195" t="str">
        <f t="shared" si="263"/>
        <v>* El total de procesados debe ser mayor o igual al total de Reactivos en el grupo de edad 75 a 79 años</v>
      </c>
      <c r="CZ111" s="2195" t="str">
        <f t="shared" si="264"/>
        <v>* El total de procesados debe ser mayor o igual al total de Reactivos en el grupo de edad 80 y más años</v>
      </c>
      <c r="DA111" s="2195" t="str">
        <f t="shared" si="218"/>
        <v/>
      </c>
      <c r="DB111" s="1446">
        <f t="shared" si="219"/>
        <v>1</v>
      </c>
      <c r="DC111" s="1446" t="e">
        <f t="shared" si="220"/>
        <v>#VALUE!</v>
      </c>
      <c r="DD111" s="1446" t="e">
        <f t="shared" si="221"/>
        <v>#VALUE!</v>
      </c>
      <c r="DE111" s="1446">
        <f t="shared" si="222"/>
        <v>1</v>
      </c>
      <c r="DF111" s="1446">
        <f t="shared" si="223"/>
        <v>1</v>
      </c>
      <c r="DG111" s="1446">
        <f t="shared" si="224"/>
        <v>1</v>
      </c>
      <c r="DH111" s="1446">
        <f t="shared" si="225"/>
        <v>1</v>
      </c>
      <c r="DI111" s="1446">
        <f t="shared" si="226"/>
        <v>1</v>
      </c>
      <c r="DJ111" s="1446">
        <f t="shared" si="227"/>
        <v>1</v>
      </c>
      <c r="DK111" s="1446">
        <f t="shared" si="228"/>
        <v>1</v>
      </c>
      <c r="DL111" s="1446">
        <f t="shared" si="229"/>
        <v>1</v>
      </c>
      <c r="DM111" s="1446">
        <f t="shared" si="230"/>
        <v>1</v>
      </c>
      <c r="DN111" s="1446">
        <f t="shared" si="231"/>
        <v>1</v>
      </c>
      <c r="DO111" s="1446">
        <f t="shared" si="232"/>
        <v>1</v>
      </c>
      <c r="DP111" s="1446">
        <f t="shared" si="233"/>
        <v>1</v>
      </c>
      <c r="DQ111" s="1446">
        <f t="shared" si="234"/>
        <v>1</v>
      </c>
      <c r="DR111" s="1446">
        <f t="shared" si="235"/>
        <v>1</v>
      </c>
      <c r="DS111" s="1446">
        <f t="shared" si="236"/>
        <v>1</v>
      </c>
      <c r="DT111" s="1446">
        <f t="shared" si="237"/>
        <v>1</v>
      </c>
      <c r="DU111" s="1446">
        <f t="shared" si="238"/>
        <v>1</v>
      </c>
      <c r="DV111" s="1446">
        <f t="shared" si="239"/>
        <v>1</v>
      </c>
      <c r="DW111" s="1446">
        <f t="shared" si="240"/>
        <v>1</v>
      </c>
      <c r="DX111" s="1446">
        <f t="shared" si="241"/>
        <v>1</v>
      </c>
      <c r="DY111" s="1446">
        <f t="shared" si="242"/>
        <v>1</v>
      </c>
      <c r="DZ111" s="1446">
        <f t="shared" si="243"/>
        <v>1</v>
      </c>
      <c r="EA111" s="1446">
        <f t="shared" si="244"/>
        <v>0</v>
      </c>
    </row>
    <row r="112" spans="1:131" ht="16.2" customHeight="1" x14ac:dyDescent="0.3">
      <c r="A112" s="7258">
        <v>11056448</v>
      </c>
      <c r="B112" s="2000" t="s">
        <v>1797</v>
      </c>
      <c r="C112" s="1998" t="s">
        <v>5369</v>
      </c>
      <c r="D112" s="2044" t="s">
        <v>5370</v>
      </c>
      <c r="E112" s="1134" t="s">
        <v>5371</v>
      </c>
      <c r="F112" s="1135" t="s">
        <v>5372</v>
      </c>
      <c r="G112" s="1114" t="s">
        <v>5373</v>
      </c>
      <c r="H112" s="1135" t="s">
        <v>5374</v>
      </c>
      <c r="I112" s="1114" t="s">
        <v>5375</v>
      </c>
      <c r="J112" s="1118" t="s">
        <v>5376</v>
      </c>
      <c r="K112" s="1134" t="s">
        <v>5377</v>
      </c>
      <c r="L112" s="1134" t="s">
        <v>5378</v>
      </c>
      <c r="M112" s="1114" t="s">
        <v>5379</v>
      </c>
      <c r="N112" s="1118" t="s">
        <v>5380</v>
      </c>
      <c r="O112" s="1134" t="s">
        <v>5381</v>
      </c>
      <c r="P112" s="1135" t="s">
        <v>5382</v>
      </c>
      <c r="Q112" s="1114" t="s">
        <v>5383</v>
      </c>
      <c r="R112" s="1135" t="s">
        <v>5384</v>
      </c>
      <c r="S112" s="1114" t="s">
        <v>5385</v>
      </c>
      <c r="T112" s="1135" t="s">
        <v>5386</v>
      </c>
      <c r="U112" s="1114" t="s">
        <v>5387</v>
      </c>
      <c r="V112" s="1135" t="s">
        <v>5388</v>
      </c>
      <c r="W112" s="1114" t="s">
        <v>5389</v>
      </c>
      <c r="X112" s="1135" t="s">
        <v>5390</v>
      </c>
      <c r="Y112" s="1114" t="s">
        <v>5391</v>
      </c>
      <c r="Z112" s="1135" t="s">
        <v>5392</v>
      </c>
      <c r="AA112" s="1114" t="s">
        <v>5393</v>
      </c>
      <c r="AB112" s="1135" t="s">
        <v>5394</v>
      </c>
      <c r="AC112" s="1114" t="s">
        <v>5395</v>
      </c>
      <c r="AD112" s="1135" t="s">
        <v>5396</v>
      </c>
      <c r="AE112" s="1114" t="s">
        <v>5397</v>
      </c>
      <c r="AF112" s="1135" t="s">
        <v>5398</v>
      </c>
      <c r="AG112" s="1114" t="s">
        <v>5399</v>
      </c>
      <c r="AH112" s="1135" t="s">
        <v>5400</v>
      </c>
      <c r="AI112" s="1114" t="s">
        <v>5401</v>
      </c>
      <c r="AJ112" s="1135" t="s">
        <v>5402</v>
      </c>
      <c r="AK112" s="1114" t="s">
        <v>5403</v>
      </c>
      <c r="AL112" s="1135" t="s">
        <v>5404</v>
      </c>
      <c r="AM112" s="1114" t="s">
        <v>5405</v>
      </c>
      <c r="AN112" s="1135" t="s">
        <v>5406</v>
      </c>
      <c r="AO112" s="1114" t="s">
        <v>5407</v>
      </c>
      <c r="AP112" s="1135" t="s">
        <v>5408</v>
      </c>
      <c r="AQ112" s="1114" t="s">
        <v>5409</v>
      </c>
      <c r="AR112" s="1136" t="s">
        <v>5410</v>
      </c>
      <c r="AS112" s="1134" t="s">
        <v>5411</v>
      </c>
      <c r="AT112" s="1136" t="s">
        <v>5412</v>
      </c>
      <c r="AU112" s="1134" t="s">
        <v>5413</v>
      </c>
      <c r="AV112" s="1135" t="s">
        <v>5414</v>
      </c>
      <c r="AW112" s="1114" t="s">
        <v>5415</v>
      </c>
      <c r="AX112" s="1118" t="s">
        <v>5416</v>
      </c>
      <c r="AY112" s="1197" t="e">
        <f t="shared" si="212"/>
        <v>#VALUE!</v>
      </c>
      <c r="AZ112" s="1197"/>
      <c r="BA112" s="1197"/>
      <c r="BB112" s="1197"/>
      <c r="BC112" s="1197"/>
      <c r="BD112" s="1197"/>
      <c r="BE112" s="1197"/>
      <c r="BF112" s="1197"/>
      <c r="BG112" s="1197"/>
      <c r="BH112" s="1197"/>
      <c r="BI112" s="1197"/>
      <c r="BJ112" s="1191"/>
      <c r="BK112" s="1191"/>
      <c r="BL112" s="1191"/>
      <c r="BM112" s="1191"/>
      <c r="BV112" s="1191"/>
      <c r="BX112" s="1547"/>
      <c r="CB112" s="2195" t="str">
        <f t="shared" si="213"/>
        <v xml:space="preserve">* El total de Reactivos NO DEBE ser superior al total de Procesados. </v>
      </c>
      <c r="CC112" s="2195" t="e">
        <f t="shared" si="214"/>
        <v>#VALUE!</v>
      </c>
      <c r="CD112" s="2195" t="e">
        <f t="shared" si="215"/>
        <v>#VALUE!</v>
      </c>
      <c r="CE112" s="2195" t="str">
        <f t="shared" si="216"/>
        <v xml:space="preserve">* La columna Pueblos Originarios NO DEBE ser superior al total de Procesados. </v>
      </c>
      <c r="CF112" s="2195" t="str">
        <f t="shared" si="217"/>
        <v xml:space="preserve">* La columna Migrantes NO DEBE ser superior al total de Procesados. </v>
      </c>
      <c r="CG112" s="2195" t="str">
        <f t="shared" si="245"/>
        <v>* El total de procesados debe ser mayor o igual al total de Reactivos en el grupo de edad Menor de 6 meses</v>
      </c>
      <c r="CH112" s="2195" t="str">
        <f t="shared" si="246"/>
        <v>* El total de procesados debe ser mayor o igual al total de Reactivos en el grupo de edad 6 a 11 meses</v>
      </c>
      <c r="CI112" s="2195" t="str">
        <f t="shared" si="247"/>
        <v>* El total de procesados debe ser mayor o igual al total de Reactivos en el grupo de edad 12-24 meses</v>
      </c>
      <c r="CJ112" s="2195" t="str">
        <f t="shared" si="248"/>
        <v>* El total de procesados debe ser mayor o igual al total de Reactivos en el grupo de edad 3 a 4 años</v>
      </c>
      <c r="CK112" s="2195" t="str">
        <f t="shared" si="249"/>
        <v>* El total de procesados debe ser mayor o igual al total de Reactivos en el grupo de edad 5 a 9 años</v>
      </c>
      <c r="CL112" s="2195" t="str">
        <f t="shared" si="250"/>
        <v>* El total de procesados debe ser mayor o igual al total de Reactivos en el grupo de edad 10 - 14 años</v>
      </c>
      <c r="CM112" s="2195" t="str">
        <f t="shared" si="251"/>
        <v>* El total de procesados debe ser mayor o igual al total de Reactivos en el grupo de edad 15 - 19 años</v>
      </c>
      <c r="CN112" s="2195" t="str">
        <f t="shared" si="252"/>
        <v>* El total de procesados debe ser mayor o igual al total de Reactivos en el grupo de edad 20 - 24 años</v>
      </c>
      <c r="CO112" s="2195" t="str">
        <f t="shared" si="253"/>
        <v>* El total de procesados debe ser mayor o igual al total de Reactivos en el grupo de edad 25 a 29 años</v>
      </c>
      <c r="CP112" s="2195" t="str">
        <f t="shared" si="254"/>
        <v>* El total de procesados debe ser mayor o igual al total de Reactivos en el grupo de edad 30 a 34 años</v>
      </c>
      <c r="CQ112" s="2195" t="str">
        <f t="shared" si="255"/>
        <v>* El total de procesados debe ser mayor o igual al total de Reactivos en el grupo de edad 35 a 39 años</v>
      </c>
      <c r="CR112" s="2195" t="str">
        <f t="shared" si="256"/>
        <v>* El total de procesados debe ser mayor o igual al total de Reactivos en el grupo de edad 40 a 44 años</v>
      </c>
      <c r="CS112" s="2195" t="str">
        <f t="shared" si="257"/>
        <v>* El total de procesados debe ser mayor o igual al total de Reactivos en el grupo de edad 45 a 49 años</v>
      </c>
      <c r="CT112" s="2195" t="str">
        <f t="shared" si="258"/>
        <v>* El total de procesados debe ser mayor o igual al total de Reactivos en el grupo de edad 50 a 54 años</v>
      </c>
      <c r="CU112" s="2195" t="str">
        <f t="shared" si="259"/>
        <v>* El total de procesados debe ser mayor o igual al total de Reactivos en el grupo de edad 55 a 59 años</v>
      </c>
      <c r="CV112" s="2195" t="str">
        <f t="shared" si="260"/>
        <v>* El total de procesados debe ser mayor o igual al total de Reactivos en el grupo de edad 60 a 64 años</v>
      </c>
      <c r="CW112" s="2195" t="str">
        <f t="shared" si="261"/>
        <v>* El total de procesados debe ser mayor o igual al total de Reactivos en el grupo de edad 65 a 69 años</v>
      </c>
      <c r="CX112" s="2195" t="str">
        <f t="shared" si="262"/>
        <v>* El total de procesados debe ser mayor o igual al total de Reactivos en el grupo de edad 70 a 74 años</v>
      </c>
      <c r="CY112" s="2195" t="str">
        <f t="shared" si="263"/>
        <v>* El total de procesados debe ser mayor o igual al total de Reactivos en el grupo de edad 75 a 79 años</v>
      </c>
      <c r="CZ112" s="2195" t="str">
        <f t="shared" si="264"/>
        <v>* El total de procesados debe ser mayor o igual al total de Reactivos en el grupo de edad 80 y más años</v>
      </c>
      <c r="DA112" s="2195" t="str">
        <f t="shared" si="218"/>
        <v/>
      </c>
      <c r="DB112" s="1446">
        <f t="shared" si="219"/>
        <v>1</v>
      </c>
      <c r="DC112" s="1446" t="e">
        <f t="shared" si="220"/>
        <v>#VALUE!</v>
      </c>
      <c r="DD112" s="1446" t="e">
        <f t="shared" si="221"/>
        <v>#VALUE!</v>
      </c>
      <c r="DE112" s="1446">
        <f t="shared" si="222"/>
        <v>1</v>
      </c>
      <c r="DF112" s="1446">
        <f t="shared" si="223"/>
        <v>1</v>
      </c>
      <c r="DG112" s="1446">
        <f t="shared" si="224"/>
        <v>1</v>
      </c>
      <c r="DH112" s="1446">
        <f t="shared" si="225"/>
        <v>1</v>
      </c>
      <c r="DI112" s="1446">
        <f t="shared" si="226"/>
        <v>1</v>
      </c>
      <c r="DJ112" s="1446">
        <f t="shared" si="227"/>
        <v>1</v>
      </c>
      <c r="DK112" s="1446">
        <f t="shared" si="228"/>
        <v>1</v>
      </c>
      <c r="DL112" s="1446">
        <f t="shared" si="229"/>
        <v>1</v>
      </c>
      <c r="DM112" s="1446">
        <f t="shared" si="230"/>
        <v>1</v>
      </c>
      <c r="DN112" s="1446">
        <f t="shared" si="231"/>
        <v>1</v>
      </c>
      <c r="DO112" s="1446">
        <f t="shared" si="232"/>
        <v>1</v>
      </c>
      <c r="DP112" s="1446">
        <f t="shared" si="233"/>
        <v>1</v>
      </c>
      <c r="DQ112" s="1446">
        <f t="shared" si="234"/>
        <v>1</v>
      </c>
      <c r="DR112" s="1446">
        <f t="shared" si="235"/>
        <v>1</v>
      </c>
      <c r="DS112" s="1446">
        <f t="shared" si="236"/>
        <v>1</v>
      </c>
      <c r="DT112" s="1446">
        <f t="shared" si="237"/>
        <v>1</v>
      </c>
      <c r="DU112" s="1446">
        <f t="shared" si="238"/>
        <v>1</v>
      </c>
      <c r="DV112" s="1446">
        <f t="shared" si="239"/>
        <v>1</v>
      </c>
      <c r="DW112" s="1446">
        <f t="shared" si="240"/>
        <v>1</v>
      </c>
      <c r="DX112" s="1446">
        <f t="shared" si="241"/>
        <v>1</v>
      </c>
      <c r="DY112" s="1446">
        <f t="shared" si="242"/>
        <v>1</v>
      </c>
      <c r="DZ112" s="1446">
        <f t="shared" si="243"/>
        <v>1</v>
      </c>
      <c r="EA112" s="1446">
        <f t="shared" si="244"/>
        <v>0</v>
      </c>
    </row>
    <row r="113" spans="1:131" ht="16.2" customHeight="1" x14ac:dyDescent="0.3">
      <c r="A113" s="7258">
        <v>11056449</v>
      </c>
      <c r="B113" s="2032" t="s">
        <v>2184</v>
      </c>
      <c r="C113" s="1998" t="s">
        <v>5369</v>
      </c>
      <c r="D113" s="2044" t="s">
        <v>5370</v>
      </c>
      <c r="E113" s="1130" t="s">
        <v>5371</v>
      </c>
      <c r="F113" s="1131" t="s">
        <v>5372</v>
      </c>
      <c r="G113" s="1132" t="s">
        <v>5373</v>
      </c>
      <c r="H113" s="1131" t="s">
        <v>5374</v>
      </c>
      <c r="I113" s="1132" t="s">
        <v>5375</v>
      </c>
      <c r="J113" s="1131" t="s">
        <v>5376</v>
      </c>
      <c r="K113" s="1132" t="s">
        <v>5377</v>
      </c>
      <c r="L113" s="1131" t="s">
        <v>5378</v>
      </c>
      <c r="M113" s="1132" t="s">
        <v>5379</v>
      </c>
      <c r="N113" s="1133" t="s">
        <v>5380</v>
      </c>
      <c r="O113" s="1130" t="s">
        <v>5381</v>
      </c>
      <c r="P113" s="1131" t="s">
        <v>5382</v>
      </c>
      <c r="Q113" s="1114" t="s">
        <v>5383</v>
      </c>
      <c r="R113" s="1135" t="s">
        <v>5384</v>
      </c>
      <c r="S113" s="1114" t="s">
        <v>5385</v>
      </c>
      <c r="T113" s="1135" t="s">
        <v>5386</v>
      </c>
      <c r="U113" s="1114" t="s">
        <v>5387</v>
      </c>
      <c r="V113" s="1135" t="s">
        <v>5388</v>
      </c>
      <c r="W113" s="1114" t="s">
        <v>5389</v>
      </c>
      <c r="X113" s="1135" t="s">
        <v>5390</v>
      </c>
      <c r="Y113" s="1114" t="s">
        <v>5391</v>
      </c>
      <c r="Z113" s="1135" t="s">
        <v>5392</v>
      </c>
      <c r="AA113" s="1114" t="s">
        <v>5393</v>
      </c>
      <c r="AB113" s="1135" t="s">
        <v>5394</v>
      </c>
      <c r="AC113" s="1114" t="s">
        <v>5395</v>
      </c>
      <c r="AD113" s="1135" t="s">
        <v>5396</v>
      </c>
      <c r="AE113" s="1114" t="s">
        <v>5397</v>
      </c>
      <c r="AF113" s="1135" t="s">
        <v>5398</v>
      </c>
      <c r="AG113" s="1114" t="s">
        <v>5399</v>
      </c>
      <c r="AH113" s="1135" t="s">
        <v>5400</v>
      </c>
      <c r="AI113" s="1114" t="s">
        <v>5401</v>
      </c>
      <c r="AJ113" s="1135" t="s">
        <v>5402</v>
      </c>
      <c r="AK113" s="1114" t="s">
        <v>5403</v>
      </c>
      <c r="AL113" s="1135" t="s">
        <v>5404</v>
      </c>
      <c r="AM113" s="1114" t="s">
        <v>5405</v>
      </c>
      <c r="AN113" s="1135" t="s">
        <v>5406</v>
      </c>
      <c r="AO113" s="1114" t="s">
        <v>5407</v>
      </c>
      <c r="AP113" s="1135" t="s">
        <v>5408</v>
      </c>
      <c r="AQ113" s="1114" t="s">
        <v>5409</v>
      </c>
      <c r="AR113" s="1136" t="s">
        <v>5410</v>
      </c>
      <c r="AS113" s="1134" t="s">
        <v>5411</v>
      </c>
      <c r="AT113" s="1136" t="s">
        <v>5412</v>
      </c>
      <c r="AU113" s="1134" t="s">
        <v>5413</v>
      </c>
      <c r="AV113" s="1135" t="s">
        <v>5414</v>
      </c>
      <c r="AW113" s="1114" t="s">
        <v>5415</v>
      </c>
      <c r="AX113" s="1118" t="s">
        <v>5416</v>
      </c>
      <c r="AY113" s="1197" t="e">
        <f t="shared" si="212"/>
        <v>#VALUE!</v>
      </c>
      <c r="AZ113" s="1197"/>
      <c r="BA113" s="1197"/>
      <c r="BB113" s="1197"/>
      <c r="BC113" s="1197"/>
      <c r="BD113" s="1197"/>
      <c r="BE113" s="1197"/>
      <c r="BF113" s="1197"/>
      <c r="BG113" s="1197"/>
      <c r="BH113" s="1197"/>
      <c r="BI113" s="1197"/>
      <c r="BJ113" s="1191"/>
      <c r="BK113" s="1191"/>
      <c r="BL113" s="1191"/>
      <c r="BM113" s="1191"/>
      <c r="BV113" s="1191"/>
      <c r="BX113" s="1547"/>
      <c r="CB113" s="2195" t="str">
        <f t="shared" si="213"/>
        <v xml:space="preserve">* El total de Reactivos NO DEBE ser superior al total de Procesados. </v>
      </c>
      <c r="CC113" s="2195" t="e">
        <f t="shared" si="214"/>
        <v>#VALUE!</v>
      </c>
      <c r="CD113" s="2195" t="e">
        <f t="shared" si="215"/>
        <v>#VALUE!</v>
      </c>
      <c r="CE113" s="2195" t="str">
        <f t="shared" si="216"/>
        <v xml:space="preserve">* La columna Pueblos Originarios NO DEBE ser superior al total de Procesados. </v>
      </c>
      <c r="CF113" s="2195" t="str">
        <f t="shared" si="217"/>
        <v xml:space="preserve">* La columna Migrantes NO DEBE ser superior al total de Procesados. </v>
      </c>
      <c r="CG113" s="2195" t="str">
        <f t="shared" si="245"/>
        <v>* El total de procesados debe ser mayor o igual al total de Reactivos en el grupo de edad Menor de 6 meses</v>
      </c>
      <c r="CH113" s="2195" t="str">
        <f t="shared" si="246"/>
        <v>* El total de procesados debe ser mayor o igual al total de Reactivos en el grupo de edad 6 a 11 meses</v>
      </c>
      <c r="CI113" s="2195" t="str">
        <f t="shared" si="247"/>
        <v>* El total de procesados debe ser mayor o igual al total de Reactivos en el grupo de edad 12-24 meses</v>
      </c>
      <c r="CJ113" s="2195" t="str">
        <f t="shared" si="248"/>
        <v>* El total de procesados debe ser mayor o igual al total de Reactivos en el grupo de edad 3 a 4 años</v>
      </c>
      <c r="CK113" s="2195" t="str">
        <f t="shared" si="249"/>
        <v>* El total de procesados debe ser mayor o igual al total de Reactivos en el grupo de edad 5 a 9 años</v>
      </c>
      <c r="CL113" s="2195" t="str">
        <f t="shared" si="250"/>
        <v>* El total de procesados debe ser mayor o igual al total de Reactivos en el grupo de edad 10 - 14 años</v>
      </c>
      <c r="CM113" s="2195" t="str">
        <f t="shared" si="251"/>
        <v>* El total de procesados debe ser mayor o igual al total de Reactivos en el grupo de edad 15 - 19 años</v>
      </c>
      <c r="CN113" s="2195" t="str">
        <f t="shared" si="252"/>
        <v>* El total de procesados debe ser mayor o igual al total de Reactivos en el grupo de edad 20 - 24 años</v>
      </c>
      <c r="CO113" s="2195" t="str">
        <f t="shared" si="253"/>
        <v>* El total de procesados debe ser mayor o igual al total de Reactivos en el grupo de edad 25 a 29 años</v>
      </c>
      <c r="CP113" s="2195" t="str">
        <f t="shared" si="254"/>
        <v>* El total de procesados debe ser mayor o igual al total de Reactivos en el grupo de edad 30 a 34 años</v>
      </c>
      <c r="CQ113" s="2195" t="str">
        <f t="shared" si="255"/>
        <v>* El total de procesados debe ser mayor o igual al total de Reactivos en el grupo de edad 35 a 39 años</v>
      </c>
      <c r="CR113" s="2195" t="str">
        <f t="shared" si="256"/>
        <v>* El total de procesados debe ser mayor o igual al total de Reactivos en el grupo de edad 40 a 44 años</v>
      </c>
      <c r="CS113" s="2195" t="str">
        <f t="shared" si="257"/>
        <v>* El total de procesados debe ser mayor o igual al total de Reactivos en el grupo de edad 45 a 49 años</v>
      </c>
      <c r="CT113" s="2195" t="str">
        <f t="shared" si="258"/>
        <v>* El total de procesados debe ser mayor o igual al total de Reactivos en el grupo de edad 50 a 54 años</v>
      </c>
      <c r="CU113" s="2195" t="str">
        <f t="shared" si="259"/>
        <v>* El total de procesados debe ser mayor o igual al total de Reactivos en el grupo de edad 55 a 59 años</v>
      </c>
      <c r="CV113" s="2195" t="str">
        <f t="shared" si="260"/>
        <v>* El total de procesados debe ser mayor o igual al total de Reactivos en el grupo de edad 60 a 64 años</v>
      </c>
      <c r="CW113" s="2195" t="str">
        <f t="shared" si="261"/>
        <v>* El total de procesados debe ser mayor o igual al total de Reactivos en el grupo de edad 65 a 69 años</v>
      </c>
      <c r="CX113" s="2195" t="str">
        <f t="shared" si="262"/>
        <v>* El total de procesados debe ser mayor o igual al total de Reactivos en el grupo de edad 70 a 74 años</v>
      </c>
      <c r="CY113" s="2195" t="str">
        <f t="shared" si="263"/>
        <v>* El total de procesados debe ser mayor o igual al total de Reactivos en el grupo de edad 75 a 79 años</v>
      </c>
      <c r="CZ113" s="2195" t="str">
        <f t="shared" si="264"/>
        <v>* El total de procesados debe ser mayor o igual al total de Reactivos en el grupo de edad 80 y más años</v>
      </c>
      <c r="DA113" s="2195" t="str">
        <f t="shared" si="218"/>
        <v/>
      </c>
      <c r="DB113" s="1446">
        <f t="shared" si="219"/>
        <v>1</v>
      </c>
      <c r="DC113" s="1446" t="e">
        <f t="shared" si="220"/>
        <v>#VALUE!</v>
      </c>
      <c r="DD113" s="1446" t="e">
        <f t="shared" si="221"/>
        <v>#VALUE!</v>
      </c>
      <c r="DE113" s="1446">
        <f t="shared" si="222"/>
        <v>1</v>
      </c>
      <c r="DF113" s="1446">
        <f t="shared" si="223"/>
        <v>1</v>
      </c>
      <c r="DG113" s="1446">
        <f t="shared" si="224"/>
        <v>1</v>
      </c>
      <c r="DH113" s="1446">
        <f t="shared" si="225"/>
        <v>1</v>
      </c>
      <c r="DI113" s="1446">
        <f t="shared" si="226"/>
        <v>1</v>
      </c>
      <c r="DJ113" s="1446">
        <f t="shared" si="227"/>
        <v>1</v>
      </c>
      <c r="DK113" s="1446">
        <f t="shared" si="228"/>
        <v>1</v>
      </c>
      <c r="DL113" s="1446">
        <f t="shared" si="229"/>
        <v>1</v>
      </c>
      <c r="DM113" s="1446">
        <f t="shared" si="230"/>
        <v>1</v>
      </c>
      <c r="DN113" s="1446">
        <f t="shared" si="231"/>
        <v>1</v>
      </c>
      <c r="DO113" s="1446">
        <f t="shared" si="232"/>
        <v>1</v>
      </c>
      <c r="DP113" s="1446">
        <f t="shared" si="233"/>
        <v>1</v>
      </c>
      <c r="DQ113" s="1446">
        <f t="shared" si="234"/>
        <v>1</v>
      </c>
      <c r="DR113" s="1446">
        <f t="shared" si="235"/>
        <v>1</v>
      </c>
      <c r="DS113" s="1446">
        <f t="shared" si="236"/>
        <v>1</v>
      </c>
      <c r="DT113" s="1446">
        <f t="shared" si="237"/>
        <v>1</v>
      </c>
      <c r="DU113" s="1446">
        <f t="shared" si="238"/>
        <v>1</v>
      </c>
      <c r="DV113" s="1446">
        <f t="shared" si="239"/>
        <v>1</v>
      </c>
      <c r="DW113" s="1446">
        <f t="shared" si="240"/>
        <v>1</v>
      </c>
      <c r="DX113" s="1446">
        <f t="shared" si="241"/>
        <v>1</v>
      </c>
      <c r="DY113" s="1446">
        <f t="shared" si="242"/>
        <v>1</v>
      </c>
      <c r="DZ113" s="1446">
        <f t="shared" si="243"/>
        <v>1</v>
      </c>
      <c r="EA113" s="1446">
        <f t="shared" si="244"/>
        <v>0</v>
      </c>
    </row>
    <row r="114" spans="1:131" ht="16.2" customHeight="1" x14ac:dyDescent="0.3">
      <c r="A114" s="7258">
        <v>11056450</v>
      </c>
      <c r="B114" s="2000" t="s">
        <v>1798</v>
      </c>
      <c r="C114" s="1998" t="s">
        <v>5369</v>
      </c>
      <c r="D114" s="2044" t="s">
        <v>5370</v>
      </c>
      <c r="E114" s="1130" t="s">
        <v>5371</v>
      </c>
      <c r="F114" s="1131" t="s">
        <v>5372</v>
      </c>
      <c r="G114" s="1132" t="s">
        <v>5373</v>
      </c>
      <c r="H114" s="1131" t="s">
        <v>5374</v>
      </c>
      <c r="I114" s="1132" t="s">
        <v>5375</v>
      </c>
      <c r="J114" s="1131" t="s">
        <v>5376</v>
      </c>
      <c r="K114" s="1132" t="s">
        <v>5377</v>
      </c>
      <c r="L114" s="1131" t="s">
        <v>5378</v>
      </c>
      <c r="M114" s="1132" t="s">
        <v>5379</v>
      </c>
      <c r="N114" s="1133" t="s">
        <v>5380</v>
      </c>
      <c r="O114" s="1130" t="s">
        <v>5381</v>
      </c>
      <c r="P114" s="1131" t="s">
        <v>5382</v>
      </c>
      <c r="Q114" s="1114" t="s">
        <v>5383</v>
      </c>
      <c r="R114" s="1135" t="s">
        <v>5384</v>
      </c>
      <c r="S114" s="1114" t="s">
        <v>5385</v>
      </c>
      <c r="T114" s="1135" t="s">
        <v>5386</v>
      </c>
      <c r="U114" s="1114" t="s">
        <v>5387</v>
      </c>
      <c r="V114" s="1135" t="s">
        <v>5388</v>
      </c>
      <c r="W114" s="1114" t="s">
        <v>5389</v>
      </c>
      <c r="X114" s="1135" t="s">
        <v>5390</v>
      </c>
      <c r="Y114" s="1114" t="s">
        <v>5391</v>
      </c>
      <c r="Z114" s="1135" t="s">
        <v>5392</v>
      </c>
      <c r="AA114" s="1114" t="s">
        <v>5393</v>
      </c>
      <c r="AB114" s="1135" t="s">
        <v>5394</v>
      </c>
      <c r="AC114" s="1114" t="s">
        <v>5395</v>
      </c>
      <c r="AD114" s="1135" t="s">
        <v>5396</v>
      </c>
      <c r="AE114" s="1114" t="s">
        <v>5397</v>
      </c>
      <c r="AF114" s="1135" t="s">
        <v>5398</v>
      </c>
      <c r="AG114" s="1114" t="s">
        <v>5399</v>
      </c>
      <c r="AH114" s="1135" t="s">
        <v>5400</v>
      </c>
      <c r="AI114" s="1114" t="s">
        <v>5401</v>
      </c>
      <c r="AJ114" s="1135" t="s">
        <v>5402</v>
      </c>
      <c r="AK114" s="1132" t="s">
        <v>5403</v>
      </c>
      <c r="AL114" s="1131" t="s">
        <v>5404</v>
      </c>
      <c r="AM114" s="1132" t="s">
        <v>5405</v>
      </c>
      <c r="AN114" s="1131" t="s">
        <v>5406</v>
      </c>
      <c r="AO114" s="1132" t="s">
        <v>5407</v>
      </c>
      <c r="AP114" s="1131" t="s">
        <v>5408</v>
      </c>
      <c r="AQ114" s="1132" t="s">
        <v>5409</v>
      </c>
      <c r="AR114" s="1144" t="s">
        <v>5410</v>
      </c>
      <c r="AS114" s="1134" t="s">
        <v>5411</v>
      </c>
      <c r="AT114" s="1136" t="s">
        <v>5412</v>
      </c>
      <c r="AU114" s="1134" t="s">
        <v>5413</v>
      </c>
      <c r="AV114" s="1135" t="s">
        <v>5414</v>
      </c>
      <c r="AW114" s="1114" t="s">
        <v>5415</v>
      </c>
      <c r="AX114" s="1118" t="s">
        <v>5416</v>
      </c>
      <c r="AY114" s="1197" t="e">
        <f t="shared" si="212"/>
        <v>#VALUE!</v>
      </c>
      <c r="AZ114" s="1197"/>
      <c r="BA114" s="1197"/>
      <c r="BB114" s="1197"/>
      <c r="BC114" s="1197"/>
      <c r="BD114" s="1197"/>
      <c r="BE114" s="1197"/>
      <c r="BF114" s="1197"/>
      <c r="BG114" s="1197"/>
      <c r="BH114" s="1197"/>
      <c r="BI114" s="1197"/>
      <c r="BJ114" s="1191"/>
      <c r="BK114" s="1191"/>
      <c r="BL114" s="1191"/>
      <c r="BM114" s="1191"/>
      <c r="BV114" s="1191"/>
      <c r="BX114" s="1547"/>
      <c r="CB114" s="2195" t="str">
        <f t="shared" si="213"/>
        <v xml:space="preserve">* El total de Reactivos NO DEBE ser superior al total de Procesados. </v>
      </c>
      <c r="CC114" s="2195" t="e">
        <f t="shared" si="214"/>
        <v>#VALUE!</v>
      </c>
      <c r="CD114" s="2195" t="e">
        <f t="shared" si="215"/>
        <v>#VALUE!</v>
      </c>
      <c r="CE114" s="2195" t="str">
        <f t="shared" si="216"/>
        <v xml:space="preserve">* La columna Pueblos Originarios NO DEBE ser superior al total de Procesados. </v>
      </c>
      <c r="CF114" s="2195" t="str">
        <f t="shared" si="217"/>
        <v xml:space="preserve">* La columna Migrantes NO DEBE ser superior al total de Procesados. </v>
      </c>
      <c r="CG114" s="2195" t="str">
        <f t="shared" si="245"/>
        <v>* El total de procesados debe ser mayor o igual al total de Reactivos en el grupo de edad Menor de 6 meses</v>
      </c>
      <c r="CH114" s="2195" t="str">
        <f t="shared" si="246"/>
        <v>* El total de procesados debe ser mayor o igual al total de Reactivos en el grupo de edad 6 a 11 meses</v>
      </c>
      <c r="CI114" s="2195" t="str">
        <f t="shared" si="247"/>
        <v>* El total de procesados debe ser mayor o igual al total de Reactivos en el grupo de edad 12-24 meses</v>
      </c>
      <c r="CJ114" s="2195" t="str">
        <f t="shared" si="248"/>
        <v>* El total de procesados debe ser mayor o igual al total de Reactivos en el grupo de edad 3 a 4 años</v>
      </c>
      <c r="CK114" s="2195" t="str">
        <f t="shared" si="249"/>
        <v>* El total de procesados debe ser mayor o igual al total de Reactivos en el grupo de edad 5 a 9 años</v>
      </c>
      <c r="CL114" s="2195" t="str">
        <f t="shared" si="250"/>
        <v>* El total de procesados debe ser mayor o igual al total de Reactivos en el grupo de edad 10 - 14 años</v>
      </c>
      <c r="CM114" s="2195" t="str">
        <f t="shared" si="251"/>
        <v>* El total de procesados debe ser mayor o igual al total de Reactivos en el grupo de edad 15 - 19 años</v>
      </c>
      <c r="CN114" s="2195" t="str">
        <f t="shared" si="252"/>
        <v>* El total de procesados debe ser mayor o igual al total de Reactivos en el grupo de edad 20 - 24 años</v>
      </c>
      <c r="CO114" s="2195" t="str">
        <f t="shared" si="253"/>
        <v>* El total de procesados debe ser mayor o igual al total de Reactivos en el grupo de edad 25 a 29 años</v>
      </c>
      <c r="CP114" s="2195" t="str">
        <f t="shared" si="254"/>
        <v>* El total de procesados debe ser mayor o igual al total de Reactivos en el grupo de edad 30 a 34 años</v>
      </c>
      <c r="CQ114" s="2195" t="str">
        <f t="shared" si="255"/>
        <v>* El total de procesados debe ser mayor o igual al total de Reactivos en el grupo de edad 35 a 39 años</v>
      </c>
      <c r="CR114" s="2195" t="str">
        <f t="shared" si="256"/>
        <v>* El total de procesados debe ser mayor o igual al total de Reactivos en el grupo de edad 40 a 44 años</v>
      </c>
      <c r="CS114" s="2195" t="str">
        <f t="shared" si="257"/>
        <v>* El total de procesados debe ser mayor o igual al total de Reactivos en el grupo de edad 45 a 49 años</v>
      </c>
      <c r="CT114" s="2195" t="str">
        <f t="shared" si="258"/>
        <v>* El total de procesados debe ser mayor o igual al total de Reactivos en el grupo de edad 50 a 54 años</v>
      </c>
      <c r="CU114" s="2195" t="str">
        <f t="shared" si="259"/>
        <v>* El total de procesados debe ser mayor o igual al total de Reactivos en el grupo de edad 55 a 59 años</v>
      </c>
      <c r="CV114" s="2195" t="str">
        <f t="shared" si="260"/>
        <v>* El total de procesados debe ser mayor o igual al total de Reactivos en el grupo de edad 60 a 64 años</v>
      </c>
      <c r="CW114" s="2195" t="str">
        <f t="shared" si="261"/>
        <v>* El total de procesados debe ser mayor o igual al total de Reactivos en el grupo de edad 65 a 69 años</v>
      </c>
      <c r="CX114" s="2195" t="str">
        <f t="shared" si="262"/>
        <v>* El total de procesados debe ser mayor o igual al total de Reactivos en el grupo de edad 70 a 74 años</v>
      </c>
      <c r="CY114" s="2195" t="str">
        <f t="shared" si="263"/>
        <v>* El total de procesados debe ser mayor o igual al total de Reactivos en el grupo de edad 75 a 79 años</v>
      </c>
      <c r="CZ114" s="2195" t="str">
        <f t="shared" si="264"/>
        <v>* El total de procesados debe ser mayor o igual al total de Reactivos en el grupo de edad 80 y más años</v>
      </c>
      <c r="DA114" s="2195" t="str">
        <f t="shared" si="218"/>
        <v/>
      </c>
      <c r="DB114" s="1446">
        <f t="shared" si="219"/>
        <v>1</v>
      </c>
      <c r="DC114" s="1446" t="e">
        <f t="shared" si="220"/>
        <v>#VALUE!</v>
      </c>
      <c r="DD114" s="1446" t="e">
        <f t="shared" si="221"/>
        <v>#VALUE!</v>
      </c>
      <c r="DE114" s="1446">
        <f t="shared" si="222"/>
        <v>1</v>
      </c>
      <c r="DF114" s="1446">
        <f t="shared" si="223"/>
        <v>1</v>
      </c>
      <c r="DG114" s="1446">
        <f t="shared" si="224"/>
        <v>1</v>
      </c>
      <c r="DH114" s="1446">
        <f t="shared" si="225"/>
        <v>1</v>
      </c>
      <c r="DI114" s="1446">
        <f t="shared" si="226"/>
        <v>1</v>
      </c>
      <c r="DJ114" s="1446">
        <f t="shared" si="227"/>
        <v>1</v>
      </c>
      <c r="DK114" s="1446">
        <f t="shared" si="228"/>
        <v>1</v>
      </c>
      <c r="DL114" s="1446">
        <f t="shared" si="229"/>
        <v>1</v>
      </c>
      <c r="DM114" s="1446">
        <f t="shared" si="230"/>
        <v>1</v>
      </c>
      <c r="DN114" s="1446">
        <f t="shared" si="231"/>
        <v>1</v>
      </c>
      <c r="DO114" s="1446">
        <f t="shared" si="232"/>
        <v>1</v>
      </c>
      <c r="DP114" s="1446">
        <f t="shared" si="233"/>
        <v>1</v>
      </c>
      <c r="DQ114" s="1446">
        <f t="shared" si="234"/>
        <v>1</v>
      </c>
      <c r="DR114" s="1446">
        <f t="shared" si="235"/>
        <v>1</v>
      </c>
      <c r="DS114" s="1446">
        <f t="shared" si="236"/>
        <v>1</v>
      </c>
      <c r="DT114" s="1446">
        <f t="shared" si="237"/>
        <v>1</v>
      </c>
      <c r="DU114" s="1446">
        <f t="shared" si="238"/>
        <v>1</v>
      </c>
      <c r="DV114" s="1446">
        <f t="shared" si="239"/>
        <v>1</v>
      </c>
      <c r="DW114" s="1446">
        <f t="shared" si="240"/>
        <v>1</v>
      </c>
      <c r="DX114" s="1446">
        <f t="shared" si="241"/>
        <v>1</v>
      </c>
      <c r="DY114" s="1446">
        <f t="shared" si="242"/>
        <v>1</v>
      </c>
      <c r="DZ114" s="1446">
        <f t="shared" si="243"/>
        <v>1</v>
      </c>
      <c r="EA114" s="1446">
        <f t="shared" si="244"/>
        <v>0</v>
      </c>
    </row>
    <row r="115" spans="1:131" ht="16.2" customHeight="1" x14ac:dyDescent="0.3">
      <c r="A115" s="7258">
        <v>11056451</v>
      </c>
      <c r="B115" s="2000" t="s">
        <v>1799</v>
      </c>
      <c r="C115" s="1998" t="s">
        <v>5369</v>
      </c>
      <c r="D115" s="2044" t="s">
        <v>5370</v>
      </c>
      <c r="E115" s="1134" t="s">
        <v>5371</v>
      </c>
      <c r="F115" s="1135" t="s">
        <v>5372</v>
      </c>
      <c r="G115" s="1114" t="s">
        <v>5373</v>
      </c>
      <c r="H115" s="1135" t="s">
        <v>5374</v>
      </c>
      <c r="I115" s="1114" t="s">
        <v>5375</v>
      </c>
      <c r="J115" s="1118" t="s">
        <v>5376</v>
      </c>
      <c r="K115" s="1134" t="s">
        <v>5377</v>
      </c>
      <c r="L115" s="1134" t="s">
        <v>5378</v>
      </c>
      <c r="M115" s="1114" t="s">
        <v>5379</v>
      </c>
      <c r="N115" s="1118" t="s">
        <v>5380</v>
      </c>
      <c r="O115" s="1134" t="s">
        <v>5381</v>
      </c>
      <c r="P115" s="1135" t="s">
        <v>5382</v>
      </c>
      <c r="Q115" s="1114" t="s">
        <v>5383</v>
      </c>
      <c r="R115" s="1135" t="s">
        <v>5384</v>
      </c>
      <c r="S115" s="1114" t="s">
        <v>5385</v>
      </c>
      <c r="T115" s="1135" t="s">
        <v>5386</v>
      </c>
      <c r="U115" s="1114" t="s">
        <v>5387</v>
      </c>
      <c r="V115" s="1135" t="s">
        <v>5388</v>
      </c>
      <c r="W115" s="1114" t="s">
        <v>5389</v>
      </c>
      <c r="X115" s="1135" t="s">
        <v>5390</v>
      </c>
      <c r="Y115" s="1114" t="s">
        <v>5391</v>
      </c>
      <c r="Z115" s="1135" t="s">
        <v>5392</v>
      </c>
      <c r="AA115" s="1114" t="s">
        <v>5393</v>
      </c>
      <c r="AB115" s="1135" t="s">
        <v>5394</v>
      </c>
      <c r="AC115" s="1114" t="s">
        <v>5395</v>
      </c>
      <c r="AD115" s="1135" t="s">
        <v>5396</v>
      </c>
      <c r="AE115" s="1114" t="s">
        <v>5397</v>
      </c>
      <c r="AF115" s="1135" t="s">
        <v>5398</v>
      </c>
      <c r="AG115" s="1114" t="s">
        <v>5399</v>
      </c>
      <c r="AH115" s="1135" t="s">
        <v>5400</v>
      </c>
      <c r="AI115" s="1114" t="s">
        <v>5401</v>
      </c>
      <c r="AJ115" s="1135" t="s">
        <v>5402</v>
      </c>
      <c r="AK115" s="1114" t="s">
        <v>5403</v>
      </c>
      <c r="AL115" s="1135" t="s">
        <v>5404</v>
      </c>
      <c r="AM115" s="1114" t="s">
        <v>5405</v>
      </c>
      <c r="AN115" s="1135" t="s">
        <v>5406</v>
      </c>
      <c r="AO115" s="1114" t="s">
        <v>5407</v>
      </c>
      <c r="AP115" s="1135" t="s">
        <v>5408</v>
      </c>
      <c r="AQ115" s="1114" t="s">
        <v>5409</v>
      </c>
      <c r="AR115" s="1136" t="s">
        <v>5410</v>
      </c>
      <c r="AS115" s="1134" t="s">
        <v>5411</v>
      </c>
      <c r="AT115" s="1136" t="s">
        <v>5412</v>
      </c>
      <c r="AU115" s="1134" t="s">
        <v>5413</v>
      </c>
      <c r="AV115" s="1135" t="s">
        <v>5414</v>
      </c>
      <c r="AW115" s="1114" t="s">
        <v>5415</v>
      </c>
      <c r="AX115" s="1118" t="s">
        <v>5416</v>
      </c>
      <c r="AY115" s="1197" t="e">
        <f t="shared" si="212"/>
        <v>#VALUE!</v>
      </c>
      <c r="AZ115" s="1197"/>
      <c r="BA115" s="1197"/>
      <c r="BB115" s="1197"/>
      <c r="BC115" s="1197"/>
      <c r="BD115" s="1197"/>
      <c r="BE115" s="1197"/>
      <c r="BF115" s="1197"/>
      <c r="BG115" s="1197"/>
      <c r="BH115" s="1197"/>
      <c r="BI115" s="1197"/>
      <c r="BJ115" s="1191"/>
      <c r="BK115" s="1191"/>
      <c r="BL115" s="1191"/>
      <c r="BM115" s="1191"/>
      <c r="BV115" s="1191"/>
      <c r="BX115" s="1547"/>
      <c r="CB115" s="2195" t="str">
        <f t="shared" si="213"/>
        <v xml:space="preserve">* El total de Reactivos NO DEBE ser superior al total de Procesados. </v>
      </c>
      <c r="CC115" s="2195" t="e">
        <f t="shared" si="214"/>
        <v>#VALUE!</v>
      </c>
      <c r="CD115" s="2195" t="e">
        <f t="shared" si="215"/>
        <v>#VALUE!</v>
      </c>
      <c r="CE115" s="2195" t="str">
        <f t="shared" si="216"/>
        <v xml:space="preserve">* La columna Pueblos Originarios NO DEBE ser superior al total de Procesados. </v>
      </c>
      <c r="CF115" s="2195" t="str">
        <f t="shared" si="217"/>
        <v xml:space="preserve">* La columna Migrantes NO DEBE ser superior al total de Procesados. </v>
      </c>
      <c r="CG115" s="2195" t="str">
        <f t="shared" si="245"/>
        <v>* El total de procesados debe ser mayor o igual al total de Reactivos en el grupo de edad Menor de 6 meses</v>
      </c>
      <c r="CH115" s="2195" t="str">
        <f t="shared" si="246"/>
        <v>* El total de procesados debe ser mayor o igual al total de Reactivos en el grupo de edad 6 a 11 meses</v>
      </c>
      <c r="CI115" s="2195" t="str">
        <f t="shared" si="247"/>
        <v>* El total de procesados debe ser mayor o igual al total de Reactivos en el grupo de edad 12-24 meses</v>
      </c>
      <c r="CJ115" s="2195" t="str">
        <f t="shared" si="248"/>
        <v>* El total de procesados debe ser mayor o igual al total de Reactivos en el grupo de edad 3 a 4 años</v>
      </c>
      <c r="CK115" s="2195" t="str">
        <f t="shared" si="249"/>
        <v>* El total de procesados debe ser mayor o igual al total de Reactivos en el grupo de edad 5 a 9 años</v>
      </c>
      <c r="CL115" s="2195" t="str">
        <f t="shared" si="250"/>
        <v>* El total de procesados debe ser mayor o igual al total de Reactivos en el grupo de edad 10 - 14 años</v>
      </c>
      <c r="CM115" s="2195" t="str">
        <f t="shared" si="251"/>
        <v>* El total de procesados debe ser mayor o igual al total de Reactivos en el grupo de edad 15 - 19 años</v>
      </c>
      <c r="CN115" s="2195" t="str">
        <f t="shared" si="252"/>
        <v>* El total de procesados debe ser mayor o igual al total de Reactivos en el grupo de edad 20 - 24 años</v>
      </c>
      <c r="CO115" s="2195" t="str">
        <f t="shared" si="253"/>
        <v>* El total de procesados debe ser mayor o igual al total de Reactivos en el grupo de edad 25 a 29 años</v>
      </c>
      <c r="CP115" s="2195" t="str">
        <f t="shared" si="254"/>
        <v>* El total de procesados debe ser mayor o igual al total de Reactivos en el grupo de edad 30 a 34 años</v>
      </c>
      <c r="CQ115" s="2195" t="str">
        <f t="shared" si="255"/>
        <v>* El total de procesados debe ser mayor o igual al total de Reactivos en el grupo de edad 35 a 39 años</v>
      </c>
      <c r="CR115" s="2195" t="str">
        <f t="shared" si="256"/>
        <v>* El total de procesados debe ser mayor o igual al total de Reactivos en el grupo de edad 40 a 44 años</v>
      </c>
      <c r="CS115" s="2195" t="str">
        <f t="shared" si="257"/>
        <v>* El total de procesados debe ser mayor o igual al total de Reactivos en el grupo de edad 45 a 49 años</v>
      </c>
      <c r="CT115" s="2195" t="str">
        <f t="shared" si="258"/>
        <v>* El total de procesados debe ser mayor o igual al total de Reactivos en el grupo de edad 50 a 54 años</v>
      </c>
      <c r="CU115" s="2195" t="str">
        <f t="shared" si="259"/>
        <v>* El total de procesados debe ser mayor o igual al total de Reactivos en el grupo de edad 55 a 59 años</v>
      </c>
      <c r="CV115" s="2195" t="str">
        <f t="shared" si="260"/>
        <v>* El total de procesados debe ser mayor o igual al total de Reactivos en el grupo de edad 60 a 64 años</v>
      </c>
      <c r="CW115" s="2195" t="str">
        <f t="shared" si="261"/>
        <v>* El total de procesados debe ser mayor o igual al total de Reactivos en el grupo de edad 65 a 69 años</v>
      </c>
      <c r="CX115" s="2195" t="str">
        <f t="shared" si="262"/>
        <v>* El total de procesados debe ser mayor o igual al total de Reactivos en el grupo de edad 70 a 74 años</v>
      </c>
      <c r="CY115" s="2195" t="str">
        <f t="shared" si="263"/>
        <v>* El total de procesados debe ser mayor o igual al total de Reactivos en el grupo de edad 75 a 79 años</v>
      </c>
      <c r="CZ115" s="2195" t="str">
        <f t="shared" si="264"/>
        <v>* El total de procesados debe ser mayor o igual al total de Reactivos en el grupo de edad 80 y más años</v>
      </c>
      <c r="DA115" s="2195" t="str">
        <f t="shared" si="218"/>
        <v/>
      </c>
      <c r="DB115" s="1446">
        <f t="shared" si="219"/>
        <v>1</v>
      </c>
      <c r="DC115" s="1446" t="e">
        <f t="shared" si="220"/>
        <v>#VALUE!</v>
      </c>
      <c r="DD115" s="1446" t="e">
        <f t="shared" si="221"/>
        <v>#VALUE!</v>
      </c>
      <c r="DE115" s="1446">
        <f t="shared" si="222"/>
        <v>1</v>
      </c>
      <c r="DF115" s="1446">
        <f t="shared" si="223"/>
        <v>1</v>
      </c>
      <c r="DG115" s="1446">
        <f t="shared" si="224"/>
        <v>1</v>
      </c>
      <c r="DH115" s="1446">
        <f t="shared" si="225"/>
        <v>1</v>
      </c>
      <c r="DI115" s="1446">
        <f t="shared" si="226"/>
        <v>1</v>
      </c>
      <c r="DJ115" s="1446">
        <f t="shared" si="227"/>
        <v>1</v>
      </c>
      <c r="DK115" s="1446">
        <f t="shared" si="228"/>
        <v>1</v>
      </c>
      <c r="DL115" s="1446">
        <f t="shared" si="229"/>
        <v>1</v>
      </c>
      <c r="DM115" s="1446">
        <f t="shared" si="230"/>
        <v>1</v>
      </c>
      <c r="DN115" s="1446">
        <f t="shared" si="231"/>
        <v>1</v>
      </c>
      <c r="DO115" s="1446">
        <f t="shared" si="232"/>
        <v>1</v>
      </c>
      <c r="DP115" s="1446">
        <f t="shared" si="233"/>
        <v>1</v>
      </c>
      <c r="DQ115" s="1446">
        <f t="shared" si="234"/>
        <v>1</v>
      </c>
      <c r="DR115" s="1446">
        <f t="shared" si="235"/>
        <v>1</v>
      </c>
      <c r="DS115" s="1446">
        <f t="shared" si="236"/>
        <v>1</v>
      </c>
      <c r="DT115" s="1446">
        <f t="shared" si="237"/>
        <v>1</v>
      </c>
      <c r="DU115" s="1446">
        <f t="shared" si="238"/>
        <v>1</v>
      </c>
      <c r="DV115" s="1446">
        <f t="shared" si="239"/>
        <v>1</v>
      </c>
      <c r="DW115" s="1446">
        <f t="shared" si="240"/>
        <v>1</v>
      </c>
      <c r="DX115" s="1446">
        <f t="shared" si="241"/>
        <v>1</v>
      </c>
      <c r="DY115" s="1446">
        <f t="shared" si="242"/>
        <v>1</v>
      </c>
      <c r="DZ115" s="1446">
        <f t="shared" si="243"/>
        <v>1</v>
      </c>
      <c r="EA115" s="1446">
        <f t="shared" si="244"/>
        <v>0</v>
      </c>
    </row>
    <row r="116" spans="1:131" ht="16.2" customHeight="1" x14ac:dyDescent="0.3">
      <c r="A116" s="7258">
        <v>11056452</v>
      </c>
      <c r="B116" s="2000" t="s">
        <v>1800</v>
      </c>
      <c r="C116" s="1998" t="s">
        <v>5369</v>
      </c>
      <c r="D116" s="2044" t="s">
        <v>5370</v>
      </c>
      <c r="E116" s="1134" t="s">
        <v>5371</v>
      </c>
      <c r="F116" s="1135" t="s">
        <v>5372</v>
      </c>
      <c r="G116" s="1114" t="s">
        <v>5373</v>
      </c>
      <c r="H116" s="1135" t="s">
        <v>5374</v>
      </c>
      <c r="I116" s="1114" t="s">
        <v>5375</v>
      </c>
      <c r="J116" s="1118" t="s">
        <v>5376</v>
      </c>
      <c r="K116" s="1134" t="s">
        <v>5377</v>
      </c>
      <c r="L116" s="1134" t="s">
        <v>5378</v>
      </c>
      <c r="M116" s="1114" t="s">
        <v>5379</v>
      </c>
      <c r="N116" s="1118" t="s">
        <v>5380</v>
      </c>
      <c r="O116" s="1134" t="s">
        <v>5381</v>
      </c>
      <c r="P116" s="1135" t="s">
        <v>5382</v>
      </c>
      <c r="Q116" s="1114" t="s">
        <v>5383</v>
      </c>
      <c r="R116" s="1135" t="s">
        <v>5384</v>
      </c>
      <c r="S116" s="1114" t="s">
        <v>5385</v>
      </c>
      <c r="T116" s="1135" t="s">
        <v>5386</v>
      </c>
      <c r="U116" s="1114" t="s">
        <v>5387</v>
      </c>
      <c r="V116" s="1135" t="s">
        <v>5388</v>
      </c>
      <c r="W116" s="1114" t="s">
        <v>5389</v>
      </c>
      <c r="X116" s="1135" t="s">
        <v>5390</v>
      </c>
      <c r="Y116" s="1114" t="s">
        <v>5391</v>
      </c>
      <c r="Z116" s="1135" t="s">
        <v>5392</v>
      </c>
      <c r="AA116" s="1114" t="s">
        <v>5393</v>
      </c>
      <c r="AB116" s="1135" t="s">
        <v>5394</v>
      </c>
      <c r="AC116" s="1114" t="s">
        <v>5395</v>
      </c>
      <c r="AD116" s="1135" t="s">
        <v>5396</v>
      </c>
      <c r="AE116" s="1114" t="s">
        <v>5397</v>
      </c>
      <c r="AF116" s="1135" t="s">
        <v>5398</v>
      </c>
      <c r="AG116" s="1114" t="s">
        <v>5399</v>
      </c>
      <c r="AH116" s="1135" t="s">
        <v>5400</v>
      </c>
      <c r="AI116" s="1114" t="s">
        <v>5401</v>
      </c>
      <c r="AJ116" s="1135" t="s">
        <v>5402</v>
      </c>
      <c r="AK116" s="1114" t="s">
        <v>5403</v>
      </c>
      <c r="AL116" s="1135" t="s">
        <v>5404</v>
      </c>
      <c r="AM116" s="1114" t="s">
        <v>5405</v>
      </c>
      <c r="AN116" s="1135" t="s">
        <v>5406</v>
      </c>
      <c r="AO116" s="1114" t="s">
        <v>5407</v>
      </c>
      <c r="AP116" s="1135" t="s">
        <v>5408</v>
      </c>
      <c r="AQ116" s="1114" t="s">
        <v>5409</v>
      </c>
      <c r="AR116" s="1136" t="s">
        <v>5410</v>
      </c>
      <c r="AS116" s="1134" t="s">
        <v>5411</v>
      </c>
      <c r="AT116" s="1136" t="s">
        <v>5412</v>
      </c>
      <c r="AU116" s="1134" t="s">
        <v>5413</v>
      </c>
      <c r="AV116" s="1135" t="s">
        <v>5414</v>
      </c>
      <c r="AW116" s="1114" t="s">
        <v>5415</v>
      </c>
      <c r="AX116" s="1118" t="s">
        <v>5416</v>
      </c>
      <c r="AY116" s="1197" t="e">
        <f t="shared" si="212"/>
        <v>#VALUE!</v>
      </c>
      <c r="AZ116" s="1197"/>
      <c r="BA116" s="1197"/>
      <c r="BB116" s="1197"/>
      <c r="BC116" s="1197"/>
      <c r="BD116" s="1197"/>
      <c r="BE116" s="1197"/>
      <c r="BF116" s="1197"/>
      <c r="BG116" s="1197"/>
      <c r="BH116" s="1197"/>
      <c r="BI116" s="1197"/>
      <c r="BJ116" s="1191"/>
      <c r="BK116" s="1191"/>
      <c r="BL116" s="1191"/>
      <c r="BM116" s="1191"/>
      <c r="BV116" s="1191"/>
      <c r="BX116" s="1547"/>
      <c r="CB116" s="2195" t="str">
        <f t="shared" si="213"/>
        <v xml:space="preserve">* El total de Reactivos NO DEBE ser superior al total de Procesados. </v>
      </c>
      <c r="CC116" s="2195" t="e">
        <f t="shared" si="214"/>
        <v>#VALUE!</v>
      </c>
      <c r="CD116" s="2195" t="e">
        <f t="shared" si="215"/>
        <v>#VALUE!</v>
      </c>
      <c r="CE116" s="2195" t="str">
        <f t="shared" si="216"/>
        <v xml:space="preserve">* La columna Pueblos Originarios NO DEBE ser superior al total de Procesados. </v>
      </c>
      <c r="CF116" s="2195" t="str">
        <f t="shared" si="217"/>
        <v xml:space="preserve">* La columna Migrantes NO DEBE ser superior al total de Procesados. </v>
      </c>
      <c r="CG116" s="2195" t="str">
        <f t="shared" si="245"/>
        <v>* El total de procesados debe ser mayor o igual al total de Reactivos en el grupo de edad Menor de 6 meses</v>
      </c>
      <c r="CH116" s="2195" t="str">
        <f t="shared" si="246"/>
        <v>* El total de procesados debe ser mayor o igual al total de Reactivos en el grupo de edad 6 a 11 meses</v>
      </c>
      <c r="CI116" s="2195" t="str">
        <f t="shared" si="247"/>
        <v>* El total de procesados debe ser mayor o igual al total de Reactivos en el grupo de edad 12-24 meses</v>
      </c>
      <c r="CJ116" s="2195" t="str">
        <f t="shared" si="248"/>
        <v>* El total de procesados debe ser mayor o igual al total de Reactivos en el grupo de edad 3 a 4 años</v>
      </c>
      <c r="CK116" s="2195" t="str">
        <f t="shared" si="249"/>
        <v>* El total de procesados debe ser mayor o igual al total de Reactivos en el grupo de edad 5 a 9 años</v>
      </c>
      <c r="CL116" s="2195" t="str">
        <f t="shared" si="250"/>
        <v>* El total de procesados debe ser mayor o igual al total de Reactivos en el grupo de edad 10 - 14 años</v>
      </c>
      <c r="CM116" s="2195" t="str">
        <f t="shared" si="251"/>
        <v>* El total de procesados debe ser mayor o igual al total de Reactivos en el grupo de edad 15 - 19 años</v>
      </c>
      <c r="CN116" s="2195" t="str">
        <f t="shared" si="252"/>
        <v>* El total de procesados debe ser mayor o igual al total de Reactivos en el grupo de edad 20 - 24 años</v>
      </c>
      <c r="CO116" s="2195" t="str">
        <f t="shared" si="253"/>
        <v>* El total de procesados debe ser mayor o igual al total de Reactivos en el grupo de edad 25 a 29 años</v>
      </c>
      <c r="CP116" s="2195" t="str">
        <f t="shared" si="254"/>
        <v>* El total de procesados debe ser mayor o igual al total de Reactivos en el grupo de edad 30 a 34 años</v>
      </c>
      <c r="CQ116" s="2195" t="str">
        <f t="shared" si="255"/>
        <v>* El total de procesados debe ser mayor o igual al total de Reactivos en el grupo de edad 35 a 39 años</v>
      </c>
      <c r="CR116" s="2195" t="str">
        <f t="shared" si="256"/>
        <v>* El total de procesados debe ser mayor o igual al total de Reactivos en el grupo de edad 40 a 44 años</v>
      </c>
      <c r="CS116" s="2195" t="str">
        <f t="shared" si="257"/>
        <v>* El total de procesados debe ser mayor o igual al total de Reactivos en el grupo de edad 45 a 49 años</v>
      </c>
      <c r="CT116" s="2195" t="str">
        <f t="shared" si="258"/>
        <v>* El total de procesados debe ser mayor o igual al total de Reactivos en el grupo de edad 50 a 54 años</v>
      </c>
      <c r="CU116" s="2195" t="str">
        <f t="shared" si="259"/>
        <v>* El total de procesados debe ser mayor o igual al total de Reactivos en el grupo de edad 55 a 59 años</v>
      </c>
      <c r="CV116" s="2195" t="str">
        <f t="shared" si="260"/>
        <v>* El total de procesados debe ser mayor o igual al total de Reactivos en el grupo de edad 60 a 64 años</v>
      </c>
      <c r="CW116" s="2195" t="str">
        <f t="shared" si="261"/>
        <v>* El total de procesados debe ser mayor o igual al total de Reactivos en el grupo de edad 65 a 69 años</v>
      </c>
      <c r="CX116" s="2195" t="str">
        <f t="shared" si="262"/>
        <v>* El total de procesados debe ser mayor o igual al total de Reactivos en el grupo de edad 70 a 74 años</v>
      </c>
      <c r="CY116" s="2195" t="str">
        <f t="shared" si="263"/>
        <v>* El total de procesados debe ser mayor o igual al total de Reactivos en el grupo de edad 75 a 79 años</v>
      </c>
      <c r="CZ116" s="2195" t="str">
        <f t="shared" si="264"/>
        <v>* El total de procesados debe ser mayor o igual al total de Reactivos en el grupo de edad 80 y más años</v>
      </c>
      <c r="DA116" s="2195" t="str">
        <f t="shared" si="218"/>
        <v/>
      </c>
      <c r="DB116" s="1446">
        <f t="shared" si="219"/>
        <v>1</v>
      </c>
      <c r="DC116" s="1446" t="e">
        <f t="shared" si="220"/>
        <v>#VALUE!</v>
      </c>
      <c r="DD116" s="1446" t="e">
        <f t="shared" si="221"/>
        <v>#VALUE!</v>
      </c>
      <c r="DE116" s="1446">
        <f t="shared" si="222"/>
        <v>1</v>
      </c>
      <c r="DF116" s="1446">
        <f t="shared" si="223"/>
        <v>1</v>
      </c>
      <c r="DG116" s="1446">
        <f t="shared" si="224"/>
        <v>1</v>
      </c>
      <c r="DH116" s="1446">
        <f t="shared" si="225"/>
        <v>1</v>
      </c>
      <c r="DI116" s="1446">
        <f t="shared" si="226"/>
        <v>1</v>
      </c>
      <c r="DJ116" s="1446">
        <f t="shared" si="227"/>
        <v>1</v>
      </c>
      <c r="DK116" s="1446">
        <f t="shared" si="228"/>
        <v>1</v>
      </c>
      <c r="DL116" s="1446">
        <f t="shared" si="229"/>
        <v>1</v>
      </c>
      <c r="DM116" s="1446">
        <f t="shared" si="230"/>
        <v>1</v>
      </c>
      <c r="DN116" s="1446">
        <f t="shared" si="231"/>
        <v>1</v>
      </c>
      <c r="DO116" s="1446">
        <f t="shared" si="232"/>
        <v>1</v>
      </c>
      <c r="DP116" s="1446">
        <f t="shared" si="233"/>
        <v>1</v>
      </c>
      <c r="DQ116" s="1446">
        <f t="shared" si="234"/>
        <v>1</v>
      </c>
      <c r="DR116" s="1446">
        <f t="shared" si="235"/>
        <v>1</v>
      </c>
      <c r="DS116" s="1446">
        <f t="shared" si="236"/>
        <v>1</v>
      </c>
      <c r="DT116" s="1446">
        <f t="shared" si="237"/>
        <v>1</v>
      </c>
      <c r="DU116" s="1446">
        <f t="shared" si="238"/>
        <v>1</v>
      </c>
      <c r="DV116" s="1446">
        <f t="shared" si="239"/>
        <v>1</v>
      </c>
      <c r="DW116" s="1446">
        <f t="shared" si="240"/>
        <v>1</v>
      </c>
      <c r="DX116" s="1446">
        <f t="shared" si="241"/>
        <v>1</v>
      </c>
      <c r="DY116" s="1446">
        <f t="shared" si="242"/>
        <v>1</v>
      </c>
      <c r="DZ116" s="1446">
        <f t="shared" si="243"/>
        <v>1</v>
      </c>
      <c r="EA116" s="1446">
        <f t="shared" si="244"/>
        <v>0</v>
      </c>
    </row>
    <row r="117" spans="1:131" ht="16.2" customHeight="1" x14ac:dyDescent="0.3">
      <c r="A117" s="7263">
        <v>11056453</v>
      </c>
      <c r="B117" s="1898" t="s">
        <v>1801</v>
      </c>
      <c r="C117" s="1960" t="s">
        <v>5369</v>
      </c>
      <c r="D117" s="1898" t="s">
        <v>5370</v>
      </c>
      <c r="E117" s="102" t="s">
        <v>5371</v>
      </c>
      <c r="F117" s="83" t="s">
        <v>5372</v>
      </c>
      <c r="G117" s="125" t="s">
        <v>5373</v>
      </c>
      <c r="H117" s="83" t="s">
        <v>5374</v>
      </c>
      <c r="I117" s="125" t="s">
        <v>5375</v>
      </c>
      <c r="J117" s="101" t="s">
        <v>5376</v>
      </c>
      <c r="K117" s="102" t="s">
        <v>5377</v>
      </c>
      <c r="L117" s="102" t="s">
        <v>5378</v>
      </c>
      <c r="M117" s="125" t="s">
        <v>5379</v>
      </c>
      <c r="N117" s="101" t="s">
        <v>5380</v>
      </c>
      <c r="O117" s="102" t="s">
        <v>5381</v>
      </c>
      <c r="P117" s="83" t="s">
        <v>5382</v>
      </c>
      <c r="Q117" s="125" t="s">
        <v>5383</v>
      </c>
      <c r="R117" s="83" t="s">
        <v>5384</v>
      </c>
      <c r="S117" s="125" t="s">
        <v>5385</v>
      </c>
      <c r="T117" s="83" t="s">
        <v>5386</v>
      </c>
      <c r="U117" s="125" t="s">
        <v>5387</v>
      </c>
      <c r="V117" s="83" t="s">
        <v>5388</v>
      </c>
      <c r="W117" s="125" t="s">
        <v>5389</v>
      </c>
      <c r="X117" s="83" t="s">
        <v>5390</v>
      </c>
      <c r="Y117" s="125" t="s">
        <v>5391</v>
      </c>
      <c r="Z117" s="83" t="s">
        <v>5392</v>
      </c>
      <c r="AA117" s="125" t="s">
        <v>5393</v>
      </c>
      <c r="AB117" s="83" t="s">
        <v>5394</v>
      </c>
      <c r="AC117" s="125" t="s">
        <v>5395</v>
      </c>
      <c r="AD117" s="83" t="s">
        <v>5396</v>
      </c>
      <c r="AE117" s="125" t="s">
        <v>5397</v>
      </c>
      <c r="AF117" s="83" t="s">
        <v>5398</v>
      </c>
      <c r="AG117" s="125" t="s">
        <v>5399</v>
      </c>
      <c r="AH117" s="83" t="s">
        <v>5400</v>
      </c>
      <c r="AI117" s="125" t="s">
        <v>5401</v>
      </c>
      <c r="AJ117" s="83" t="s">
        <v>5402</v>
      </c>
      <c r="AK117" s="125" t="s">
        <v>5403</v>
      </c>
      <c r="AL117" s="83" t="s">
        <v>5404</v>
      </c>
      <c r="AM117" s="125" t="s">
        <v>5405</v>
      </c>
      <c r="AN117" s="83" t="s">
        <v>5406</v>
      </c>
      <c r="AO117" s="125" t="s">
        <v>5407</v>
      </c>
      <c r="AP117" s="83" t="s">
        <v>5408</v>
      </c>
      <c r="AQ117" s="125" t="s">
        <v>5409</v>
      </c>
      <c r="AR117" s="198" t="s">
        <v>5410</v>
      </c>
      <c r="AS117" s="102" t="s">
        <v>5411</v>
      </c>
      <c r="AT117" s="198" t="s">
        <v>5412</v>
      </c>
      <c r="AU117" s="102" t="s">
        <v>5413</v>
      </c>
      <c r="AV117" s="83" t="s">
        <v>5414</v>
      </c>
      <c r="AW117" s="125" t="s">
        <v>5415</v>
      </c>
      <c r="AX117" s="101" t="s">
        <v>5416</v>
      </c>
      <c r="AY117" s="1197" t="e">
        <f t="shared" si="212"/>
        <v>#VALUE!</v>
      </c>
      <c r="AZ117" s="1197"/>
      <c r="BA117" s="1197"/>
      <c r="BB117" s="1197"/>
      <c r="BC117" s="1197"/>
      <c r="BD117" s="1197"/>
      <c r="BE117" s="1197"/>
      <c r="BF117" s="1197"/>
      <c r="BG117" s="1197"/>
      <c r="BH117" s="1197"/>
      <c r="BI117" s="1197"/>
      <c r="BJ117" s="1191"/>
      <c r="BK117" s="1191"/>
      <c r="BL117" s="1191"/>
      <c r="BM117" s="1191"/>
      <c r="BV117" s="1191"/>
      <c r="BX117" s="1547"/>
      <c r="CB117" s="2195" t="str">
        <f t="shared" si="213"/>
        <v xml:space="preserve">* El total de Reactivos NO DEBE ser superior al total de Procesados. </v>
      </c>
      <c r="CC117" s="2195" t="e">
        <f t="shared" si="214"/>
        <v>#VALUE!</v>
      </c>
      <c r="CD117" s="2195" t="e">
        <f t="shared" si="215"/>
        <v>#VALUE!</v>
      </c>
      <c r="CE117" s="2195" t="str">
        <f t="shared" si="216"/>
        <v xml:space="preserve">* La columna Pueblos Originarios NO DEBE ser superior al total de Procesados. </v>
      </c>
      <c r="CF117" s="2195" t="str">
        <f t="shared" si="217"/>
        <v xml:space="preserve">* La columna Migrantes NO DEBE ser superior al total de Procesados. </v>
      </c>
      <c r="CG117" s="2195" t="str">
        <f t="shared" si="245"/>
        <v>* El total de procesados debe ser mayor o igual al total de Reactivos en el grupo de edad Menor de 6 meses</v>
      </c>
      <c r="CH117" s="2195" t="str">
        <f t="shared" si="246"/>
        <v>* El total de procesados debe ser mayor o igual al total de Reactivos en el grupo de edad 6 a 11 meses</v>
      </c>
      <c r="CI117" s="2195" t="str">
        <f t="shared" si="247"/>
        <v>* El total de procesados debe ser mayor o igual al total de Reactivos en el grupo de edad 12-24 meses</v>
      </c>
      <c r="CJ117" s="2195" t="str">
        <f t="shared" si="248"/>
        <v>* El total de procesados debe ser mayor o igual al total de Reactivos en el grupo de edad 3 a 4 años</v>
      </c>
      <c r="CK117" s="2195" t="str">
        <f t="shared" si="249"/>
        <v>* El total de procesados debe ser mayor o igual al total de Reactivos en el grupo de edad 5 a 9 años</v>
      </c>
      <c r="CL117" s="2195" t="str">
        <f t="shared" si="250"/>
        <v>* El total de procesados debe ser mayor o igual al total de Reactivos en el grupo de edad 10 - 14 años</v>
      </c>
      <c r="CM117" s="2195" t="str">
        <f t="shared" si="251"/>
        <v>* El total de procesados debe ser mayor o igual al total de Reactivos en el grupo de edad 15 - 19 años</v>
      </c>
      <c r="CN117" s="2195" t="str">
        <f t="shared" si="252"/>
        <v>* El total de procesados debe ser mayor o igual al total de Reactivos en el grupo de edad 20 - 24 años</v>
      </c>
      <c r="CO117" s="2195" t="str">
        <f t="shared" si="253"/>
        <v>* El total de procesados debe ser mayor o igual al total de Reactivos en el grupo de edad 25 a 29 años</v>
      </c>
      <c r="CP117" s="2195" t="str">
        <f t="shared" si="254"/>
        <v>* El total de procesados debe ser mayor o igual al total de Reactivos en el grupo de edad 30 a 34 años</v>
      </c>
      <c r="CQ117" s="2195" t="str">
        <f t="shared" si="255"/>
        <v>* El total de procesados debe ser mayor o igual al total de Reactivos en el grupo de edad 35 a 39 años</v>
      </c>
      <c r="CR117" s="2195" t="str">
        <f t="shared" si="256"/>
        <v>* El total de procesados debe ser mayor o igual al total de Reactivos en el grupo de edad 40 a 44 años</v>
      </c>
      <c r="CS117" s="2195" t="str">
        <f t="shared" si="257"/>
        <v>* El total de procesados debe ser mayor o igual al total de Reactivos en el grupo de edad 45 a 49 años</v>
      </c>
      <c r="CT117" s="2195" t="str">
        <f t="shared" si="258"/>
        <v>* El total de procesados debe ser mayor o igual al total de Reactivos en el grupo de edad 50 a 54 años</v>
      </c>
      <c r="CU117" s="2195" t="str">
        <f t="shared" si="259"/>
        <v>* El total de procesados debe ser mayor o igual al total de Reactivos en el grupo de edad 55 a 59 años</v>
      </c>
      <c r="CV117" s="2195" t="str">
        <f t="shared" si="260"/>
        <v>* El total de procesados debe ser mayor o igual al total de Reactivos en el grupo de edad 60 a 64 años</v>
      </c>
      <c r="CW117" s="2195" t="str">
        <f t="shared" si="261"/>
        <v>* El total de procesados debe ser mayor o igual al total de Reactivos en el grupo de edad 65 a 69 años</v>
      </c>
      <c r="CX117" s="2195" t="str">
        <f t="shared" si="262"/>
        <v>* El total de procesados debe ser mayor o igual al total de Reactivos en el grupo de edad 70 a 74 años</v>
      </c>
      <c r="CY117" s="2195" t="str">
        <f t="shared" si="263"/>
        <v>* El total de procesados debe ser mayor o igual al total de Reactivos en el grupo de edad 75 a 79 años</v>
      </c>
      <c r="CZ117" s="2195" t="str">
        <f t="shared" si="264"/>
        <v>* El total de procesados debe ser mayor o igual al total de Reactivos en el grupo de edad 80 y más años</v>
      </c>
      <c r="DA117" s="2195" t="str">
        <f t="shared" si="218"/>
        <v/>
      </c>
      <c r="DB117" s="1446">
        <f t="shared" si="219"/>
        <v>1</v>
      </c>
      <c r="DC117" s="1446" t="e">
        <f t="shared" si="220"/>
        <v>#VALUE!</v>
      </c>
      <c r="DD117" s="1446" t="e">
        <f t="shared" si="221"/>
        <v>#VALUE!</v>
      </c>
      <c r="DE117" s="1446">
        <f t="shared" si="222"/>
        <v>1</v>
      </c>
      <c r="DF117" s="1446">
        <f t="shared" si="223"/>
        <v>1</v>
      </c>
      <c r="DG117" s="1446">
        <f t="shared" si="224"/>
        <v>1</v>
      </c>
      <c r="DH117" s="1446">
        <f t="shared" si="225"/>
        <v>1</v>
      </c>
      <c r="DI117" s="1446">
        <f t="shared" si="226"/>
        <v>1</v>
      </c>
      <c r="DJ117" s="1446">
        <f t="shared" si="227"/>
        <v>1</v>
      </c>
      <c r="DK117" s="1446">
        <f t="shared" si="228"/>
        <v>1</v>
      </c>
      <c r="DL117" s="1446">
        <f t="shared" si="229"/>
        <v>1</v>
      </c>
      <c r="DM117" s="1446">
        <f t="shared" si="230"/>
        <v>1</v>
      </c>
      <c r="DN117" s="1446">
        <f t="shared" si="231"/>
        <v>1</v>
      </c>
      <c r="DO117" s="1446">
        <f t="shared" si="232"/>
        <v>1</v>
      </c>
      <c r="DP117" s="1446">
        <f t="shared" si="233"/>
        <v>1</v>
      </c>
      <c r="DQ117" s="1446">
        <f t="shared" si="234"/>
        <v>1</v>
      </c>
      <c r="DR117" s="1446">
        <f t="shared" si="235"/>
        <v>1</v>
      </c>
      <c r="DS117" s="1446">
        <f t="shared" si="236"/>
        <v>1</v>
      </c>
      <c r="DT117" s="1446">
        <f t="shared" si="237"/>
        <v>1</v>
      </c>
      <c r="DU117" s="1446">
        <f t="shared" si="238"/>
        <v>1</v>
      </c>
      <c r="DV117" s="1446">
        <f t="shared" si="239"/>
        <v>1</v>
      </c>
      <c r="DW117" s="1446">
        <f t="shared" si="240"/>
        <v>1</v>
      </c>
      <c r="DX117" s="1446">
        <f t="shared" si="241"/>
        <v>1</v>
      </c>
      <c r="DY117" s="1446">
        <f t="shared" si="242"/>
        <v>1</v>
      </c>
      <c r="DZ117" s="1446">
        <f t="shared" si="243"/>
        <v>1</v>
      </c>
      <c r="EA117" s="1446">
        <f t="shared" si="244"/>
        <v>0</v>
      </c>
    </row>
    <row r="118" spans="1:131" ht="31.95" customHeight="1" x14ac:dyDescent="0.3">
      <c r="B118" s="942" t="s">
        <v>1805</v>
      </c>
      <c r="C118" s="942"/>
      <c r="D118" s="942"/>
      <c r="E118" s="942"/>
      <c r="F118" s="942"/>
      <c r="G118" s="942"/>
      <c r="H118" s="942"/>
      <c r="I118" s="133"/>
      <c r="J118" s="133"/>
      <c r="K118" s="108"/>
      <c r="L118" s="108"/>
      <c r="M118" s="108"/>
      <c r="N118" s="108"/>
      <c r="O118" s="108"/>
      <c r="P118" s="108"/>
      <c r="Q118" s="108"/>
      <c r="R118" s="140"/>
      <c r="AY118" s="1191"/>
      <c r="AZ118" s="1191"/>
      <c r="BA118" s="1191"/>
      <c r="BB118" s="1191"/>
      <c r="BC118" s="1191"/>
      <c r="BD118" s="1191"/>
      <c r="BE118" s="1191"/>
      <c r="BF118" s="1191"/>
      <c r="BG118" s="1191"/>
      <c r="BH118" s="1191"/>
      <c r="BI118" s="1191"/>
      <c r="BJ118" s="1191"/>
      <c r="BK118" s="1191"/>
      <c r="BL118" s="1191"/>
      <c r="BM118" s="1191"/>
      <c r="BN118" s="1191"/>
      <c r="BU118" s="1123"/>
      <c r="BV118" s="1123"/>
      <c r="BW118" s="1547"/>
      <c r="BX118" s="1547"/>
    </row>
    <row r="119" spans="1:131" ht="31.95" customHeight="1" x14ac:dyDescent="0.3">
      <c r="B119" s="8638" t="s">
        <v>1781</v>
      </c>
      <c r="C119" s="9629" t="s">
        <v>24</v>
      </c>
      <c r="D119" s="9966"/>
      <c r="E119" s="8645" t="s">
        <v>725</v>
      </c>
      <c r="F119" s="8646"/>
      <c r="G119" s="8646"/>
      <c r="H119" s="8646"/>
      <c r="I119" s="8646"/>
      <c r="J119" s="8646"/>
      <c r="K119" s="8646"/>
      <c r="L119" s="8646"/>
      <c r="M119" s="8646"/>
      <c r="N119" s="8646"/>
      <c r="O119" s="8646"/>
      <c r="P119" s="8646"/>
      <c r="Q119" s="8646"/>
      <c r="R119" s="8646"/>
      <c r="S119" s="8646"/>
      <c r="T119" s="8646"/>
      <c r="U119" s="8646"/>
      <c r="V119" s="8646"/>
      <c r="W119" s="8646"/>
      <c r="X119" s="8646"/>
      <c r="Y119" s="8646"/>
      <c r="Z119" s="8646"/>
      <c r="AA119" s="8646"/>
      <c r="AB119" s="8646"/>
      <c r="AC119" s="8646"/>
      <c r="AD119" s="8646"/>
      <c r="AE119" s="8646"/>
      <c r="AF119" s="8646"/>
      <c r="AG119" s="8646"/>
      <c r="AH119" s="8646"/>
      <c r="AI119" s="8646"/>
      <c r="AJ119" s="8646"/>
      <c r="AK119" s="8646"/>
      <c r="AL119" s="8646"/>
      <c r="AM119" s="8646"/>
      <c r="AN119" s="8646"/>
      <c r="AO119" s="8646"/>
      <c r="AP119" s="8646"/>
      <c r="AQ119" s="8646"/>
      <c r="AR119" s="9969"/>
      <c r="AS119" s="9970" t="s">
        <v>1782</v>
      </c>
      <c r="AT119" s="9971"/>
      <c r="AU119" s="9972" t="s">
        <v>713</v>
      </c>
      <c r="AV119" s="9973"/>
      <c r="AW119" s="9976" t="s">
        <v>362</v>
      </c>
      <c r="AX119" s="9978" t="s">
        <v>361</v>
      </c>
      <c r="AY119" s="1191"/>
      <c r="AZ119" s="1191"/>
      <c r="BA119" s="1191"/>
      <c r="BB119" s="1191"/>
      <c r="BC119" s="1191"/>
      <c r="BD119" s="1191"/>
      <c r="BE119" s="1191"/>
      <c r="BF119" s="1191"/>
      <c r="BG119" s="1191"/>
      <c r="BH119" s="1191"/>
      <c r="BI119" s="1191"/>
      <c r="BJ119" s="1191"/>
      <c r="BK119" s="1191"/>
      <c r="BL119" s="1191"/>
      <c r="BM119" s="1191"/>
      <c r="BV119" s="1191"/>
      <c r="BW119" s="1547"/>
      <c r="BX119" s="1547"/>
    </row>
    <row r="120" spans="1:131" ht="16.2" customHeight="1" x14ac:dyDescent="0.3">
      <c r="B120" s="8705"/>
      <c r="C120" s="9967"/>
      <c r="D120" s="9968"/>
      <c r="E120" s="8648" t="s">
        <v>724</v>
      </c>
      <c r="F120" s="9970"/>
      <c r="G120" s="8648" t="s">
        <v>723</v>
      </c>
      <c r="H120" s="9970"/>
      <c r="I120" s="8648" t="s">
        <v>722</v>
      </c>
      <c r="J120" s="8650"/>
      <c r="K120" s="9970" t="s">
        <v>1823</v>
      </c>
      <c r="L120" s="9970"/>
      <c r="M120" s="8648" t="s">
        <v>1415</v>
      </c>
      <c r="N120" s="9970"/>
      <c r="O120" s="8648" t="s">
        <v>79</v>
      </c>
      <c r="P120" s="9970"/>
      <c r="Q120" s="8648" t="s">
        <v>80</v>
      </c>
      <c r="R120" s="9970"/>
      <c r="S120" s="8648" t="s">
        <v>81</v>
      </c>
      <c r="T120" s="9970"/>
      <c r="U120" s="8648" t="s">
        <v>115</v>
      </c>
      <c r="V120" s="8650"/>
      <c r="W120" s="8648" t="s">
        <v>116</v>
      </c>
      <c r="X120" s="8650"/>
      <c r="Y120" s="8648" t="s">
        <v>117</v>
      </c>
      <c r="Z120" s="8650"/>
      <c r="AA120" s="8648" t="s">
        <v>118</v>
      </c>
      <c r="AB120" s="8650"/>
      <c r="AC120" s="8648" t="s">
        <v>119</v>
      </c>
      <c r="AD120" s="8650"/>
      <c r="AE120" s="8648" t="s">
        <v>120</v>
      </c>
      <c r="AF120" s="8650"/>
      <c r="AG120" s="8648" t="s">
        <v>1414</v>
      </c>
      <c r="AH120" s="8650"/>
      <c r="AI120" s="8648" t="s">
        <v>1406</v>
      </c>
      <c r="AJ120" s="8650"/>
      <c r="AK120" s="8648" t="s">
        <v>1397</v>
      </c>
      <c r="AL120" s="8650"/>
      <c r="AM120" s="8648" t="s">
        <v>1396</v>
      </c>
      <c r="AN120" s="8650"/>
      <c r="AO120" s="8648" t="s">
        <v>1395</v>
      </c>
      <c r="AP120" s="8650"/>
      <c r="AQ120" s="8648" t="s">
        <v>1405</v>
      </c>
      <c r="AR120" s="9971"/>
      <c r="AS120" s="9979" t="s">
        <v>17</v>
      </c>
      <c r="AT120" s="9981" t="s">
        <v>18</v>
      </c>
      <c r="AU120" s="9974"/>
      <c r="AV120" s="9975"/>
      <c r="AW120" s="8596"/>
      <c r="AX120" s="8581"/>
      <c r="AY120" s="1191"/>
      <c r="AZ120" s="1191"/>
      <c r="BA120" s="1191"/>
      <c r="BB120" s="1191"/>
      <c r="BC120" s="1191"/>
      <c r="BD120" s="1191"/>
      <c r="BE120" s="1191"/>
      <c r="BF120" s="1191"/>
      <c r="BG120" s="1191"/>
      <c r="BH120" s="1191"/>
      <c r="BI120" s="1191"/>
      <c r="BJ120" s="1191"/>
      <c r="BK120" s="1191"/>
      <c r="BL120" s="1191"/>
      <c r="BM120" s="1191"/>
      <c r="BV120" s="1191"/>
      <c r="BW120" s="1547"/>
      <c r="BX120" s="1547"/>
    </row>
    <row r="121" spans="1:131" ht="16.2" customHeight="1" x14ac:dyDescent="0.3">
      <c r="B121" s="8639"/>
      <c r="C121" s="1127" t="s">
        <v>1783</v>
      </c>
      <c r="D121" s="940" t="s">
        <v>1784</v>
      </c>
      <c r="E121" s="1124" t="s">
        <v>1783</v>
      </c>
      <c r="F121" s="914" t="s">
        <v>1784</v>
      </c>
      <c r="G121" s="1124" t="s">
        <v>1783</v>
      </c>
      <c r="H121" s="914" t="s">
        <v>1784</v>
      </c>
      <c r="I121" s="1124" t="s">
        <v>1783</v>
      </c>
      <c r="J121" s="940" t="s">
        <v>1784</v>
      </c>
      <c r="K121" s="1127" t="s">
        <v>1783</v>
      </c>
      <c r="L121" s="914" t="s">
        <v>1784</v>
      </c>
      <c r="M121" s="1124" t="s">
        <v>1783</v>
      </c>
      <c r="N121" s="914" t="s">
        <v>1784</v>
      </c>
      <c r="O121" s="1124" t="s">
        <v>1783</v>
      </c>
      <c r="P121" s="914" t="s">
        <v>1784</v>
      </c>
      <c r="Q121" s="1124" t="s">
        <v>1783</v>
      </c>
      <c r="R121" s="914" t="s">
        <v>1784</v>
      </c>
      <c r="S121" s="1124" t="s">
        <v>1783</v>
      </c>
      <c r="T121" s="914" t="s">
        <v>1784</v>
      </c>
      <c r="U121" s="1124" t="s">
        <v>1783</v>
      </c>
      <c r="V121" s="914" t="s">
        <v>1784</v>
      </c>
      <c r="W121" s="1124" t="s">
        <v>1783</v>
      </c>
      <c r="X121" s="914" t="s">
        <v>1784</v>
      </c>
      <c r="Y121" s="1124" t="s">
        <v>1783</v>
      </c>
      <c r="Z121" s="914" t="s">
        <v>1784</v>
      </c>
      <c r="AA121" s="1124" t="s">
        <v>1783</v>
      </c>
      <c r="AB121" s="914" t="s">
        <v>1784</v>
      </c>
      <c r="AC121" s="1124" t="s">
        <v>1783</v>
      </c>
      <c r="AD121" s="914" t="s">
        <v>1784</v>
      </c>
      <c r="AE121" s="1124" t="s">
        <v>1783</v>
      </c>
      <c r="AF121" s="914" t="s">
        <v>1784</v>
      </c>
      <c r="AG121" s="1124" t="s">
        <v>1783</v>
      </c>
      <c r="AH121" s="914" t="s">
        <v>1784</v>
      </c>
      <c r="AI121" s="1124" t="s">
        <v>1783</v>
      </c>
      <c r="AJ121" s="914" t="s">
        <v>1784</v>
      </c>
      <c r="AK121" s="1124" t="s">
        <v>1783</v>
      </c>
      <c r="AL121" s="914" t="s">
        <v>1784</v>
      </c>
      <c r="AM121" s="1124" t="s">
        <v>1783</v>
      </c>
      <c r="AN121" s="914" t="s">
        <v>1784</v>
      </c>
      <c r="AO121" s="1124" t="s">
        <v>1783</v>
      </c>
      <c r="AP121" s="914" t="s">
        <v>1784</v>
      </c>
      <c r="AQ121" s="1124" t="s">
        <v>1783</v>
      </c>
      <c r="AR121" s="1128" t="s">
        <v>1784</v>
      </c>
      <c r="AS121" s="9980"/>
      <c r="AT121" s="9982"/>
      <c r="AU121" s="2147" t="s">
        <v>358</v>
      </c>
      <c r="AV121" s="2072" t="s">
        <v>359</v>
      </c>
      <c r="AW121" s="9977"/>
      <c r="AX121" s="8582"/>
      <c r="AY121" s="1191"/>
      <c r="AZ121" s="1191"/>
      <c r="BA121" s="1191"/>
      <c r="BB121" s="1191"/>
      <c r="BC121" s="1191"/>
      <c r="BD121" s="1191"/>
      <c r="BE121" s="1191"/>
      <c r="BF121" s="1191"/>
      <c r="BG121" s="1191"/>
      <c r="BH121" s="1191"/>
      <c r="BI121" s="1191"/>
      <c r="BJ121" s="1191"/>
      <c r="BK121" s="1191"/>
      <c r="BL121" s="1191"/>
      <c r="BM121" s="1191"/>
      <c r="BV121" s="1191"/>
      <c r="BW121" s="1547"/>
      <c r="BX121" s="1547"/>
    </row>
    <row r="122" spans="1:131" ht="16.2" customHeight="1" x14ac:dyDescent="0.3">
      <c r="A122" s="7258">
        <v>11056454</v>
      </c>
      <c r="B122" s="2031" t="s">
        <v>1785</v>
      </c>
      <c r="C122" s="1996" t="s">
        <v>5369</v>
      </c>
      <c r="D122" s="2043" t="s">
        <v>5370</v>
      </c>
      <c r="E122" s="1130" t="s">
        <v>5371</v>
      </c>
      <c r="F122" s="1131" t="s">
        <v>5372</v>
      </c>
      <c r="G122" s="1132" t="s">
        <v>5373</v>
      </c>
      <c r="H122" s="1131" t="s">
        <v>5374</v>
      </c>
      <c r="I122" s="1132" t="s">
        <v>5375</v>
      </c>
      <c r="J122" s="1131" t="s">
        <v>5376</v>
      </c>
      <c r="K122" s="1132" t="s">
        <v>5377</v>
      </c>
      <c r="L122" s="1131" t="s">
        <v>5378</v>
      </c>
      <c r="M122" s="1132" t="s">
        <v>5379</v>
      </c>
      <c r="N122" s="1133" t="s">
        <v>5380</v>
      </c>
      <c r="O122" s="1134" t="s">
        <v>5381</v>
      </c>
      <c r="P122" s="1135" t="s">
        <v>5382</v>
      </c>
      <c r="Q122" s="1114" t="s">
        <v>5383</v>
      </c>
      <c r="R122" s="1135" t="s">
        <v>5384</v>
      </c>
      <c r="S122" s="1114" t="s">
        <v>5385</v>
      </c>
      <c r="T122" s="1135" t="s">
        <v>5386</v>
      </c>
      <c r="U122" s="1114" t="s">
        <v>5387</v>
      </c>
      <c r="V122" s="1135" t="s">
        <v>5388</v>
      </c>
      <c r="W122" s="1114" t="s">
        <v>5389</v>
      </c>
      <c r="X122" s="1135" t="s">
        <v>5390</v>
      </c>
      <c r="Y122" s="1114" t="s">
        <v>5391</v>
      </c>
      <c r="Z122" s="1135" t="s">
        <v>5392</v>
      </c>
      <c r="AA122" s="1114" t="s">
        <v>5393</v>
      </c>
      <c r="AB122" s="1135" t="s">
        <v>5394</v>
      </c>
      <c r="AC122" s="1114" t="s">
        <v>5395</v>
      </c>
      <c r="AD122" s="1135" t="s">
        <v>5396</v>
      </c>
      <c r="AE122" s="1114" t="s">
        <v>5397</v>
      </c>
      <c r="AF122" s="1135" t="s">
        <v>5398</v>
      </c>
      <c r="AG122" s="1114" t="s">
        <v>5399</v>
      </c>
      <c r="AH122" s="1135" t="s">
        <v>5400</v>
      </c>
      <c r="AI122" s="1114" t="s">
        <v>5401</v>
      </c>
      <c r="AJ122" s="1135" t="s">
        <v>5402</v>
      </c>
      <c r="AK122" s="1114" t="s">
        <v>5403</v>
      </c>
      <c r="AL122" s="1135" t="s">
        <v>5404</v>
      </c>
      <c r="AM122" s="1114" t="s">
        <v>5405</v>
      </c>
      <c r="AN122" s="1135" t="s">
        <v>5406</v>
      </c>
      <c r="AO122" s="1114" t="s">
        <v>5407</v>
      </c>
      <c r="AP122" s="1135" t="s">
        <v>5408</v>
      </c>
      <c r="AQ122" s="1114" t="s">
        <v>5409</v>
      </c>
      <c r="AR122" s="1136" t="s">
        <v>5410</v>
      </c>
      <c r="AS122" s="1137" t="s">
        <v>5411</v>
      </c>
      <c r="AT122" s="1136" t="s">
        <v>5412</v>
      </c>
      <c r="AU122" s="1134" t="s">
        <v>5413</v>
      </c>
      <c r="AV122" s="1135" t="s">
        <v>5414</v>
      </c>
      <c r="AW122" s="1114" t="s">
        <v>5415</v>
      </c>
      <c r="AX122" s="1118" t="s">
        <v>5416</v>
      </c>
      <c r="AY122" s="1197" t="e">
        <f t="shared" ref="AY122:AY139" si="265">$CB122&amp;$CC122&amp;$CD122&amp;$CE122&amp;$CF122&amp;$CG122&amp;$CH122&amp;$CI122&amp;$CJ122&amp;$CK122&amp;$CL122&amp;$CM122&amp;$CN122&amp;$CO122&amp;$CP122&amp;$CQ122&amp;$CR122&amp;$CS122&amp;$CT122&amp;$CU122&amp;$CV122&amp;$CW122&amp;$CX122&amp;$CY122&amp;$CZ122&amp;$DA122</f>
        <v>#VALUE!</v>
      </c>
      <c r="AZ122" s="1197"/>
      <c r="BA122" s="1197"/>
      <c r="BB122" s="1197"/>
      <c r="BC122" s="1197"/>
      <c r="BD122" s="1197"/>
      <c r="BE122" s="1197"/>
      <c r="BF122" s="1197"/>
      <c r="BG122" s="1197"/>
      <c r="BH122" s="1197"/>
      <c r="BI122" s="1197"/>
      <c r="BJ122" s="1191"/>
      <c r="BK122" s="1191"/>
      <c r="BL122" s="1191"/>
      <c r="BM122" s="1191"/>
      <c r="BV122" s="1547"/>
      <c r="BW122" s="1547"/>
      <c r="BX122" s="1547"/>
      <c r="CB122" s="2195" t="str">
        <f t="shared" ref="CB122:CB139" si="266">IF(C122&lt;D122,"* El total de Reactivos NO DEBE ser superior al total de Procesados. ","")</f>
        <v xml:space="preserve">* El total de Reactivos NO DEBE ser superior al total de Procesados. </v>
      </c>
      <c r="CC122" s="2195" t="e">
        <f t="shared" ref="CC122:CC138" si="267">IF(C122&lt;&gt;(AS122+ AT122),"* La suma de las columnas Sexo DEBE SER IGUAL a los Procesados. ","")</f>
        <v>#VALUE!</v>
      </c>
      <c r="CD122" s="2195" t="e">
        <f t="shared" ref="CD122:CD139" si="268">IF(C122&lt;(AU122+ AV122),"* La suma de las columna Trans NO DEBE ser superior al total de Procesados. ","")</f>
        <v>#VALUE!</v>
      </c>
      <c r="CE122" s="2195" t="str">
        <f t="shared" ref="CE122:CE139" si="269">IF(C122&lt;AW122,"* La columna Pueblos Originarios NO DEBE ser superior al total de Procesados. ","")</f>
        <v xml:space="preserve">* La columna Pueblos Originarios NO DEBE ser superior al total de Procesados. </v>
      </c>
      <c r="CF122" s="2195" t="str">
        <f t="shared" ref="CF122:CF139" si="270">IF(C122&lt;AX122,"* La columna Migrantes NO DEBE ser superior al total de Procesados. ","")</f>
        <v xml:space="preserve">* La columna Migrantes NO DEBE ser superior al total de Procesados. </v>
      </c>
      <c r="CG122" s="2195" t="str">
        <f>IF(E122&lt;F122,CONCATENATE("* El total de procesados debe ser mayor o igual al total de Reactivos en el grupo de edad ",$E$120),"")</f>
        <v>* El total de procesados debe ser mayor o igual al total de Reactivos en el grupo de edad Menor de 6 meses</v>
      </c>
      <c r="CH122" s="2195" t="str">
        <f>IF(G122&lt;H122,CONCATENATE("* El total de procesados debe ser mayor o igual al total de Reactivos en el grupo de edad ",$G$120),"")</f>
        <v>* El total de procesados debe ser mayor o igual al total de Reactivos en el grupo de edad 6 a 11 meses</v>
      </c>
      <c r="CI122" s="2195" t="str">
        <f>IF(I122&lt;J122,CONCATENATE("* El total de procesados debe ser mayor o igual al total de Reactivos en el grupo de edad ",$I$120),"")</f>
        <v>* El total de procesados debe ser mayor o igual al total de Reactivos en el grupo de edad 12-24 meses</v>
      </c>
      <c r="CJ122" s="2195" t="str">
        <f>IF(K122&lt;L122,CONCATENATE("* El total de procesados debe ser mayor o igual al total de Reactivos en el grupo de edad ",$K$120),"")</f>
        <v>* El total de procesados debe ser mayor o igual al total de Reactivos en el grupo de edad 3 a 4 años</v>
      </c>
      <c r="CK122" s="2195" t="str">
        <f>IF(M122&lt;N122,CONCATENATE("* El total de procesados debe ser mayor o igual al total de Reactivos en el grupo de edad ",$M$120),"")</f>
        <v>* El total de procesados debe ser mayor o igual al total de Reactivos en el grupo de edad 5 a 9 años</v>
      </c>
      <c r="CL122" s="2195" t="str">
        <f>IF(O122&lt;P122,CONCATENATE("* El total de procesados debe ser mayor o igual al total de Reactivos en el grupo de edad ",$O$120),"")</f>
        <v>* El total de procesados debe ser mayor o igual al total de Reactivos en el grupo de edad 10 - 14 años</v>
      </c>
      <c r="CM122" s="2195" t="str">
        <f>IF(Q122&lt;R122,CONCATENATE("* El total de procesados debe ser mayor o igual al total de Reactivos en el grupo de edad ",$Q$120),"")</f>
        <v>* El total de procesados debe ser mayor o igual al total de Reactivos en el grupo de edad 15 - 19 años</v>
      </c>
      <c r="CN122" s="2195" t="str">
        <f>IF(S122&lt;T122,CONCATENATE("* El total de procesados debe ser mayor o igual al total de Reactivos en el grupo de edad ",$S$120),"")</f>
        <v>* El total de procesados debe ser mayor o igual al total de Reactivos en el grupo de edad 20 - 24 años</v>
      </c>
      <c r="CO122" s="2195" t="str">
        <f>IF(U122&lt;V122,CONCATENATE("* El total de procesados debe ser mayor o igual al total de Reactivos en el grupo de edad ",$U$120),"")</f>
        <v>* El total de procesados debe ser mayor o igual al total de Reactivos en el grupo de edad 25 a 29 años</v>
      </c>
      <c r="CP122" s="2195" t="str">
        <f>IF(W122&lt;X122,CONCATENATE("* El total de procesados debe ser mayor o igual al total de Reactivos en el grupo de edad ",$W$120),"")</f>
        <v>* El total de procesados debe ser mayor o igual al total de Reactivos en el grupo de edad 30 a 34 años</v>
      </c>
      <c r="CQ122" s="2195" t="str">
        <f>IF(Y122&lt;Z122,CONCATENATE("* El total de procesados debe ser mayor o igual al total de Reactivos en el grupo de edad ",$Y$120),"")</f>
        <v>* El total de procesados debe ser mayor o igual al total de Reactivos en el grupo de edad 35 a 39 años</v>
      </c>
      <c r="CR122" s="2195" t="str">
        <f>IF(AA122&lt;AB122,CONCATENATE("* El total de procesados debe ser mayor o igual al total de Reactivos en el grupo de edad ",$AA$120),"")</f>
        <v>* El total de procesados debe ser mayor o igual al total de Reactivos en el grupo de edad 40 a 44 años</v>
      </c>
      <c r="CS122" s="2195" t="str">
        <f>IF(AC122&lt;AD122,CONCATENATE("* El total de procesados debe ser mayor o igual al total de Reactivos en el grupo de edad ",$AC$120),"")</f>
        <v>* El total de procesados debe ser mayor o igual al total de Reactivos en el grupo de edad 45 a 49 años</v>
      </c>
      <c r="CT122" s="2195" t="str">
        <f>IF(AE122&lt;AF122,CONCATENATE("* El total de procesados debe ser mayor o igual al total de Reactivos en el grupo de edad ",$AE$120),"")</f>
        <v>* El total de procesados debe ser mayor o igual al total de Reactivos en el grupo de edad 50 a 54 años</v>
      </c>
      <c r="CU122" s="2195" t="str">
        <f>IF(AG122&lt;AH122,CONCATENATE("* El total de procesados debe ser mayor o igual al total de Reactivos en el grupo de edad ",$AG$120),"")</f>
        <v>* El total de procesados debe ser mayor o igual al total de Reactivos en el grupo de edad 55 a 59 años</v>
      </c>
      <c r="CV122" s="2195" t="str">
        <f>IF(AI122&lt;AJ122,CONCATENATE("* El total de procesados debe ser mayor o igual al total de Reactivos en el grupo de edad ",$AI$120),"")</f>
        <v>* El total de procesados debe ser mayor o igual al total de Reactivos en el grupo de edad 60 a 64 años</v>
      </c>
      <c r="CW122" s="2195" t="str">
        <f>IF(AK122&lt;AL122,CONCATENATE("* El total de procesados debe ser mayor o igual al total de Reactivos en el grupo de edad ",$AK$120),"")</f>
        <v>* El total de procesados debe ser mayor o igual al total de Reactivos en el grupo de edad 65 a 69 años</v>
      </c>
      <c r="CX122" s="2195" t="str">
        <f>IF(AM122&lt;AN122,CONCATENATE("* El total de procesados debe ser mayor o igual al total de Reactivos en el grupo de edad ",$AM$120),"")</f>
        <v>* El total de procesados debe ser mayor o igual al total de Reactivos en el grupo de edad 70 a 74 años</v>
      </c>
      <c r="CY122" s="2195" t="str">
        <f>IF(AO122&lt;AP122,CONCATENATE("* El total de procesados debe ser mayor o igual al total de Reactivos en el grupo de edad ",$AO$120),"")</f>
        <v>* El total de procesados debe ser mayor o igual al total de Reactivos en el grupo de edad 75 a 79 años</v>
      </c>
      <c r="CZ122" s="2195" t="str">
        <f>IF(AQ122&lt;AR122,CONCATENATE("* El total de procesados debe ser mayor o igual al total de Reactivos en el grupo de edad ",$AQ$120),"")</f>
        <v>* El total de procesados debe ser mayor o igual al total de Reactivos en el grupo de edad 80 y más años</v>
      </c>
      <c r="DA122" s="2195" t="str">
        <f t="shared" ref="DA122:DA139" si="271">IF(AND(C122&lt;&gt;0,OR(AU122="",AV122="",AW122="",AX122="")),"* No olvide digitar la columna Trans y/o Pueblos Originarios y/o Migrantes (Digite Cero si no tiene). ","")</f>
        <v/>
      </c>
      <c r="DB122" s="1446">
        <f t="shared" ref="DB122:DB139" si="272">IF(C122&lt;   D122,1,0)</f>
        <v>1</v>
      </c>
      <c r="DC122" s="1446" t="e">
        <f t="shared" ref="DC122:DC139" si="273">IF(C122&lt;&gt; AS122+AT122,1,0)</f>
        <v>#VALUE!</v>
      </c>
      <c r="DD122" s="1446" t="e">
        <f t="shared" ref="DD122:DD139" si="274">IF(C122&lt;  AU122+AV122,1,0)</f>
        <v>#VALUE!</v>
      </c>
      <c r="DE122" s="1446">
        <f t="shared" ref="DE122:DE139" si="275">IF(C122&lt;  AW122,1,0)</f>
        <v>1</v>
      </c>
      <c r="DF122" s="1446">
        <f t="shared" ref="DF122:DF139" si="276">IF(C122&lt;  AX122,1,0)</f>
        <v>1</v>
      </c>
      <c r="DG122" s="1446">
        <f t="shared" ref="DG122:DG139" si="277">IF(E122&lt;F122,1,0)</f>
        <v>1</v>
      </c>
      <c r="DH122" s="1446">
        <f t="shared" ref="DH122:DH139" si="278">IF(G122&lt;H122,1,0)</f>
        <v>1</v>
      </c>
      <c r="DI122" s="1446">
        <f t="shared" ref="DI122:DI139" si="279">IF(I122&lt;J122,1,0)</f>
        <v>1</v>
      </c>
      <c r="DJ122" s="1446">
        <f t="shared" ref="DJ122:DJ139" si="280">IF(K122&lt;L122,1,0)</f>
        <v>1</v>
      </c>
      <c r="DK122" s="1446">
        <f t="shared" ref="DK122:DK139" si="281">IF(M122&lt;N122,1,0)</f>
        <v>1</v>
      </c>
      <c r="DL122" s="1446">
        <f t="shared" ref="DL122:DL139" si="282">IF(O122&lt;P122,1,0)</f>
        <v>1</v>
      </c>
      <c r="DM122" s="1446">
        <f t="shared" ref="DM122:DM139" si="283">IF(Q122&lt;R122,1,0)</f>
        <v>1</v>
      </c>
      <c r="DN122" s="1446">
        <f t="shared" ref="DN122:DN139" si="284">IF(S122&lt;T122,1,0)</f>
        <v>1</v>
      </c>
      <c r="DO122" s="1446">
        <f t="shared" ref="DO122:DO139" si="285">IF(U122&lt;V122,1,0)</f>
        <v>1</v>
      </c>
      <c r="DP122" s="1446">
        <f t="shared" ref="DP122:DP139" si="286">IF(W122&lt;X122,1,0)</f>
        <v>1</v>
      </c>
      <c r="DQ122" s="1446">
        <f t="shared" ref="DQ122:DQ139" si="287">IF(Y122&lt;Z122,1,0)</f>
        <v>1</v>
      </c>
      <c r="DR122" s="1446">
        <f t="shared" ref="DR122:DR139" si="288">IF(AA122&lt;AB122,1,0)</f>
        <v>1</v>
      </c>
      <c r="DS122" s="1446">
        <f t="shared" ref="DS122:DS139" si="289">IF(AC122&lt;AD122,1,0)</f>
        <v>1</v>
      </c>
      <c r="DT122" s="1446">
        <f t="shared" ref="DT122:DT139" si="290">IF(AE122&lt;AF122,1,0)</f>
        <v>1</v>
      </c>
      <c r="DU122" s="1446">
        <f t="shared" ref="DU122:DU139" si="291">IF(AG122&lt;AH122,1,0)</f>
        <v>1</v>
      </c>
      <c r="DV122" s="1446">
        <f t="shared" ref="DV122:DV139" si="292">IF(AI122&lt;AJ122,1,0)</f>
        <v>1</v>
      </c>
      <c r="DW122" s="1446">
        <f t="shared" ref="DW122:DW139" si="293">IF(AK122&lt;AL122,1,0)</f>
        <v>1</v>
      </c>
      <c r="DX122" s="1446">
        <f t="shared" ref="DX122:DX139" si="294">IF(AM122&lt;AN122,1,0)</f>
        <v>1</v>
      </c>
      <c r="DY122" s="1446">
        <f t="shared" ref="DY122:DY139" si="295">IF(AO122&lt;AP122,1,0)</f>
        <v>1</v>
      </c>
      <c r="DZ122" s="1446">
        <f t="shared" ref="DZ122:DZ139" si="296">IF(AQ122&lt;AR122,1,0)</f>
        <v>1</v>
      </c>
      <c r="EA122" s="1446">
        <f t="shared" ref="EA122:EA139" si="297">IF(AND(C122&lt;&gt;0,OR(AU122="",AV122="",AW122="",AX122="")),1,0)</f>
        <v>0</v>
      </c>
    </row>
    <row r="123" spans="1:131" ht="16.2" customHeight="1" x14ac:dyDescent="0.3">
      <c r="A123" s="7258">
        <v>11056455</v>
      </c>
      <c r="B123" s="2000" t="s">
        <v>1786</v>
      </c>
      <c r="C123" s="1998" t="s">
        <v>5369</v>
      </c>
      <c r="D123" s="2044" t="s">
        <v>5370</v>
      </c>
      <c r="E123" s="1130" t="s">
        <v>5371</v>
      </c>
      <c r="F123" s="1131" t="s">
        <v>5372</v>
      </c>
      <c r="G123" s="1132" t="s">
        <v>5373</v>
      </c>
      <c r="H123" s="1131" t="s">
        <v>5374</v>
      </c>
      <c r="I123" s="1132" t="s">
        <v>5375</v>
      </c>
      <c r="J123" s="1131" t="s">
        <v>5376</v>
      </c>
      <c r="K123" s="1132" t="s">
        <v>5377</v>
      </c>
      <c r="L123" s="1131" t="s">
        <v>5378</v>
      </c>
      <c r="M123" s="1132" t="s">
        <v>5379</v>
      </c>
      <c r="N123" s="1133" t="s">
        <v>5380</v>
      </c>
      <c r="O123" s="1134" t="s">
        <v>5381</v>
      </c>
      <c r="P123" s="1135" t="s">
        <v>5382</v>
      </c>
      <c r="Q123" s="1114" t="s">
        <v>5383</v>
      </c>
      <c r="R123" s="1135" t="s">
        <v>5384</v>
      </c>
      <c r="S123" s="1114" t="s">
        <v>5385</v>
      </c>
      <c r="T123" s="1135" t="s">
        <v>5386</v>
      </c>
      <c r="U123" s="1114" t="s">
        <v>5387</v>
      </c>
      <c r="V123" s="1135" t="s">
        <v>5388</v>
      </c>
      <c r="W123" s="1114" t="s">
        <v>5389</v>
      </c>
      <c r="X123" s="1135" t="s">
        <v>5390</v>
      </c>
      <c r="Y123" s="1114" t="s">
        <v>5391</v>
      </c>
      <c r="Z123" s="1135" t="s">
        <v>5392</v>
      </c>
      <c r="AA123" s="1114" t="s">
        <v>5393</v>
      </c>
      <c r="AB123" s="1135" t="s">
        <v>5394</v>
      </c>
      <c r="AC123" s="1114" t="s">
        <v>5395</v>
      </c>
      <c r="AD123" s="1135" t="s">
        <v>5396</v>
      </c>
      <c r="AE123" s="1114" t="s">
        <v>5397</v>
      </c>
      <c r="AF123" s="1135" t="s">
        <v>5398</v>
      </c>
      <c r="AG123" s="1114" t="s">
        <v>5399</v>
      </c>
      <c r="AH123" s="1135" t="s">
        <v>5400</v>
      </c>
      <c r="AI123" s="1114" t="s">
        <v>5401</v>
      </c>
      <c r="AJ123" s="1135" t="s">
        <v>5402</v>
      </c>
      <c r="AK123" s="1114" t="s">
        <v>5403</v>
      </c>
      <c r="AL123" s="1135" t="s">
        <v>5404</v>
      </c>
      <c r="AM123" s="1114" t="s">
        <v>5405</v>
      </c>
      <c r="AN123" s="1135" t="s">
        <v>5406</v>
      </c>
      <c r="AO123" s="1114" t="s">
        <v>5407</v>
      </c>
      <c r="AP123" s="1135" t="s">
        <v>5408</v>
      </c>
      <c r="AQ123" s="1114" t="s">
        <v>5409</v>
      </c>
      <c r="AR123" s="1136" t="s">
        <v>5410</v>
      </c>
      <c r="AS123" s="1137" t="s">
        <v>5411</v>
      </c>
      <c r="AT123" s="1136" t="s">
        <v>5412</v>
      </c>
      <c r="AU123" s="1134" t="s">
        <v>5413</v>
      </c>
      <c r="AV123" s="1135" t="s">
        <v>5414</v>
      </c>
      <c r="AW123" s="1114" t="s">
        <v>5415</v>
      </c>
      <c r="AX123" s="1118" t="s">
        <v>5416</v>
      </c>
      <c r="AY123" s="1197" t="e">
        <f t="shared" si="265"/>
        <v>#VALUE!</v>
      </c>
      <c r="AZ123" s="1197"/>
      <c r="BA123" s="1197"/>
      <c r="BB123" s="1197"/>
      <c r="BC123" s="1197"/>
      <c r="BD123" s="1197"/>
      <c r="BE123" s="1197"/>
      <c r="BF123" s="1197"/>
      <c r="BG123" s="1197"/>
      <c r="BH123" s="1197"/>
      <c r="BI123" s="1197"/>
      <c r="BJ123" s="1191"/>
      <c r="BK123" s="1191"/>
      <c r="BL123" s="1191"/>
      <c r="BM123" s="1191"/>
      <c r="BV123" s="1547"/>
      <c r="BW123" s="1547"/>
      <c r="BX123" s="1547"/>
      <c r="CB123" s="2195" t="str">
        <f t="shared" si="266"/>
        <v xml:space="preserve">* El total de Reactivos NO DEBE ser superior al total de Procesados. </v>
      </c>
      <c r="CC123" s="2195" t="e">
        <f t="shared" si="267"/>
        <v>#VALUE!</v>
      </c>
      <c r="CD123" s="2195" t="e">
        <f t="shared" si="268"/>
        <v>#VALUE!</v>
      </c>
      <c r="CE123" s="2195" t="str">
        <f t="shared" si="269"/>
        <v xml:space="preserve">* La columna Pueblos Originarios NO DEBE ser superior al total de Procesados. </v>
      </c>
      <c r="CF123" s="2195" t="str">
        <f t="shared" si="270"/>
        <v xml:space="preserve">* La columna Migrantes NO DEBE ser superior al total de Procesados. </v>
      </c>
      <c r="CG123" s="2195" t="str">
        <f t="shared" ref="CG123:CG139" si="298">IF(E123&lt;F123,CONCATENATE("* El total de procesados debe ser mayor o igual al total de Reactivos en el grupo de edad ",$E$120),"")</f>
        <v>* El total de procesados debe ser mayor o igual al total de Reactivos en el grupo de edad Menor de 6 meses</v>
      </c>
      <c r="CH123" s="2195" t="str">
        <f t="shared" ref="CH123:CH139" si="299">IF(G123&lt;H123,CONCATENATE("* El total de procesados debe ser mayor o igual al total de Reactivos en el grupo de edad ",$G$120),"")</f>
        <v>* El total de procesados debe ser mayor o igual al total de Reactivos en el grupo de edad 6 a 11 meses</v>
      </c>
      <c r="CI123" s="2195" t="str">
        <f t="shared" ref="CI123:CI139" si="300">IF(I123&lt;J123,CONCATENATE("* El total de procesados debe ser mayor o igual al total de Reactivos en el grupo de edad ",$I$120),"")</f>
        <v>* El total de procesados debe ser mayor o igual al total de Reactivos en el grupo de edad 12-24 meses</v>
      </c>
      <c r="CJ123" s="2195" t="str">
        <f t="shared" ref="CJ123:CJ139" si="301">IF(K123&lt;L123,CONCATENATE("* El total de procesados debe ser mayor o igual al total de Reactivos en el grupo de edad ",$K$120),"")</f>
        <v>* El total de procesados debe ser mayor o igual al total de Reactivos en el grupo de edad 3 a 4 años</v>
      </c>
      <c r="CK123" s="2195" t="str">
        <f t="shared" ref="CK123:CK139" si="302">IF(M123&lt;N123,CONCATENATE("* El total de procesados debe ser mayor o igual al total de Reactivos en el grupo de edad ",$M$120),"")</f>
        <v>* El total de procesados debe ser mayor o igual al total de Reactivos en el grupo de edad 5 a 9 años</v>
      </c>
      <c r="CL123" s="2195" t="str">
        <f t="shared" ref="CL123:CL139" si="303">IF(O123&lt;P123,CONCATENATE("* El total de procesados debe ser mayor o igual al total de Reactivos en el grupo de edad ",$O$120),"")</f>
        <v>* El total de procesados debe ser mayor o igual al total de Reactivos en el grupo de edad 10 - 14 años</v>
      </c>
      <c r="CM123" s="2195" t="str">
        <f t="shared" ref="CM123:CM139" si="304">IF(Q123&lt;R123,CONCATENATE("* El total de procesados debe ser mayor o igual al total de Reactivos en el grupo de edad ",$Q$120),"")</f>
        <v>* El total de procesados debe ser mayor o igual al total de Reactivos en el grupo de edad 15 - 19 años</v>
      </c>
      <c r="CN123" s="2195" t="str">
        <f t="shared" ref="CN123:CN139" si="305">IF(S123&lt;T123,CONCATENATE("* El total de procesados debe ser mayor o igual al total de Reactivos en el grupo de edad ",$S$120),"")</f>
        <v>* El total de procesados debe ser mayor o igual al total de Reactivos en el grupo de edad 20 - 24 años</v>
      </c>
      <c r="CO123" s="2195" t="str">
        <f t="shared" ref="CO123:CO139" si="306">IF(U123&lt;V123,CONCATENATE("* El total de procesados debe ser mayor o igual al total de Reactivos en el grupo de edad ",$U$120),"")</f>
        <v>* El total de procesados debe ser mayor o igual al total de Reactivos en el grupo de edad 25 a 29 años</v>
      </c>
      <c r="CP123" s="2195" t="str">
        <f t="shared" ref="CP123:CP139" si="307">IF(W123&lt;X123,CONCATENATE("* El total de procesados debe ser mayor o igual al total de Reactivos en el grupo de edad ",$W$120),"")</f>
        <v>* El total de procesados debe ser mayor o igual al total de Reactivos en el grupo de edad 30 a 34 años</v>
      </c>
      <c r="CQ123" s="2195" t="str">
        <f t="shared" ref="CQ123:CQ139" si="308">IF(Y123&lt;Z123,CONCATENATE("* El total de procesados debe ser mayor o igual al total de Reactivos en el grupo de edad ",$Y$120),"")</f>
        <v>* El total de procesados debe ser mayor o igual al total de Reactivos en el grupo de edad 35 a 39 años</v>
      </c>
      <c r="CR123" s="2195" t="str">
        <f t="shared" ref="CR123:CR139" si="309">IF(AA123&lt;AB123,CONCATENATE("* El total de procesados debe ser mayor o igual al total de Reactivos en el grupo de edad ",$AA$120),"")</f>
        <v>* El total de procesados debe ser mayor o igual al total de Reactivos en el grupo de edad 40 a 44 años</v>
      </c>
      <c r="CS123" s="2195" t="str">
        <f t="shared" ref="CS123:CS139" si="310">IF(AC123&lt;AD123,CONCATENATE("* El total de procesados debe ser mayor o igual al total de Reactivos en el grupo de edad ",$AC$120),"")</f>
        <v>* El total de procesados debe ser mayor o igual al total de Reactivos en el grupo de edad 45 a 49 años</v>
      </c>
      <c r="CT123" s="2195" t="str">
        <f t="shared" ref="CT123:CT139" si="311">IF(AE123&lt;AF123,CONCATENATE("* El total de procesados debe ser mayor o igual al total de Reactivos en el grupo de edad ",$AE$120),"")</f>
        <v>* El total de procesados debe ser mayor o igual al total de Reactivos en el grupo de edad 50 a 54 años</v>
      </c>
      <c r="CU123" s="2195" t="str">
        <f t="shared" ref="CU123:CU139" si="312">IF(AG123&lt;AH123,CONCATENATE("* El total de procesados debe ser mayor o igual al total de Reactivos en el grupo de edad ",$AG$120),"")</f>
        <v>* El total de procesados debe ser mayor o igual al total de Reactivos en el grupo de edad 55 a 59 años</v>
      </c>
      <c r="CV123" s="2195" t="str">
        <f t="shared" ref="CV123:CV139" si="313">IF(AI123&lt;AJ123,CONCATENATE("* El total de procesados debe ser mayor o igual al total de Reactivos en el grupo de edad ",$AI$120),"")</f>
        <v>* El total de procesados debe ser mayor o igual al total de Reactivos en el grupo de edad 60 a 64 años</v>
      </c>
      <c r="CW123" s="2195" t="str">
        <f t="shared" ref="CW123:CW139" si="314">IF(AK123&lt;AL123,CONCATENATE("* El total de procesados debe ser mayor o igual al total de Reactivos en el grupo de edad ",$AK$120),"")</f>
        <v>* El total de procesados debe ser mayor o igual al total de Reactivos en el grupo de edad 65 a 69 años</v>
      </c>
      <c r="CX123" s="2195" t="str">
        <f t="shared" ref="CX123:CX139" si="315">IF(AM123&lt;AN123,CONCATENATE("* El total de procesados debe ser mayor o igual al total de Reactivos en el grupo de edad ",$AM$120),"")</f>
        <v>* El total de procesados debe ser mayor o igual al total de Reactivos en el grupo de edad 70 a 74 años</v>
      </c>
      <c r="CY123" s="2195" t="str">
        <f t="shared" ref="CY123:CY139" si="316">IF(AO123&lt;AP123,CONCATENATE("* El total de procesados debe ser mayor o igual al total de Reactivos en el grupo de edad ",$AO$120),"")</f>
        <v>* El total de procesados debe ser mayor o igual al total de Reactivos en el grupo de edad 75 a 79 años</v>
      </c>
      <c r="CZ123" s="2195" t="str">
        <f t="shared" ref="CZ123:CZ139" si="317">IF(AQ123&lt;AR123,CONCATENATE("* El total de procesados debe ser mayor o igual al total de Reactivos en el grupo de edad ",$AQ$120),"")</f>
        <v>* El total de procesados debe ser mayor o igual al total de Reactivos en el grupo de edad 80 y más años</v>
      </c>
      <c r="DA123" s="2195" t="str">
        <f t="shared" si="271"/>
        <v/>
      </c>
      <c r="DB123" s="1446">
        <f t="shared" si="272"/>
        <v>1</v>
      </c>
      <c r="DC123" s="1446" t="e">
        <f t="shared" si="273"/>
        <v>#VALUE!</v>
      </c>
      <c r="DD123" s="1446" t="e">
        <f t="shared" si="274"/>
        <v>#VALUE!</v>
      </c>
      <c r="DE123" s="1446">
        <f t="shared" si="275"/>
        <v>1</v>
      </c>
      <c r="DF123" s="1446">
        <f t="shared" si="276"/>
        <v>1</v>
      </c>
      <c r="DG123" s="1446">
        <f t="shared" si="277"/>
        <v>1</v>
      </c>
      <c r="DH123" s="1446">
        <f t="shared" si="278"/>
        <v>1</v>
      </c>
      <c r="DI123" s="1446">
        <f t="shared" si="279"/>
        <v>1</v>
      </c>
      <c r="DJ123" s="1446">
        <f t="shared" si="280"/>
        <v>1</v>
      </c>
      <c r="DK123" s="1446">
        <f t="shared" si="281"/>
        <v>1</v>
      </c>
      <c r="DL123" s="1446">
        <f t="shared" si="282"/>
        <v>1</v>
      </c>
      <c r="DM123" s="1446">
        <f t="shared" si="283"/>
        <v>1</v>
      </c>
      <c r="DN123" s="1446">
        <f t="shared" si="284"/>
        <v>1</v>
      </c>
      <c r="DO123" s="1446">
        <f t="shared" si="285"/>
        <v>1</v>
      </c>
      <c r="DP123" s="1446">
        <f t="shared" si="286"/>
        <v>1</v>
      </c>
      <c r="DQ123" s="1446">
        <f t="shared" si="287"/>
        <v>1</v>
      </c>
      <c r="DR123" s="1446">
        <f t="shared" si="288"/>
        <v>1</v>
      </c>
      <c r="DS123" s="1446">
        <f t="shared" si="289"/>
        <v>1</v>
      </c>
      <c r="DT123" s="1446">
        <f t="shared" si="290"/>
        <v>1</v>
      </c>
      <c r="DU123" s="1446">
        <f t="shared" si="291"/>
        <v>1</v>
      </c>
      <c r="DV123" s="1446">
        <f t="shared" si="292"/>
        <v>1</v>
      </c>
      <c r="DW123" s="1446">
        <f t="shared" si="293"/>
        <v>1</v>
      </c>
      <c r="DX123" s="1446">
        <f t="shared" si="294"/>
        <v>1</v>
      </c>
      <c r="DY123" s="1446">
        <f t="shared" si="295"/>
        <v>1</v>
      </c>
      <c r="DZ123" s="1446">
        <f t="shared" si="296"/>
        <v>1</v>
      </c>
      <c r="EA123" s="1446">
        <f t="shared" si="297"/>
        <v>0</v>
      </c>
    </row>
    <row r="124" spans="1:131" ht="16.2" customHeight="1" x14ac:dyDescent="0.3">
      <c r="A124" s="7258">
        <v>11056456</v>
      </c>
      <c r="B124" s="2000" t="s">
        <v>1787</v>
      </c>
      <c r="C124" s="1998" t="s">
        <v>5369</v>
      </c>
      <c r="D124" s="2044" t="s">
        <v>5370</v>
      </c>
      <c r="E124" s="1130" t="s">
        <v>5371</v>
      </c>
      <c r="F124" s="1131" t="s">
        <v>5372</v>
      </c>
      <c r="G124" s="1132" t="s">
        <v>5373</v>
      </c>
      <c r="H124" s="1131" t="s">
        <v>5374</v>
      </c>
      <c r="I124" s="1132" t="s">
        <v>5375</v>
      </c>
      <c r="J124" s="1131" t="s">
        <v>5376</v>
      </c>
      <c r="K124" s="1132" t="s">
        <v>5377</v>
      </c>
      <c r="L124" s="1131" t="s">
        <v>5378</v>
      </c>
      <c r="M124" s="1132" t="s">
        <v>5379</v>
      </c>
      <c r="N124" s="1133" t="s">
        <v>5380</v>
      </c>
      <c r="O124" s="1134" t="s">
        <v>5381</v>
      </c>
      <c r="P124" s="1135" t="s">
        <v>5382</v>
      </c>
      <c r="Q124" s="1114" t="s">
        <v>5383</v>
      </c>
      <c r="R124" s="1135" t="s">
        <v>5384</v>
      </c>
      <c r="S124" s="1114" t="s">
        <v>5385</v>
      </c>
      <c r="T124" s="1135" t="s">
        <v>5386</v>
      </c>
      <c r="U124" s="1114" t="s">
        <v>5387</v>
      </c>
      <c r="V124" s="1135" t="s">
        <v>5388</v>
      </c>
      <c r="W124" s="1114" t="s">
        <v>5389</v>
      </c>
      <c r="X124" s="1135" t="s">
        <v>5390</v>
      </c>
      <c r="Y124" s="1114" t="s">
        <v>5391</v>
      </c>
      <c r="Z124" s="1135" t="s">
        <v>5392</v>
      </c>
      <c r="AA124" s="1114" t="s">
        <v>5393</v>
      </c>
      <c r="AB124" s="1135" t="s">
        <v>5394</v>
      </c>
      <c r="AC124" s="1114" t="s">
        <v>5395</v>
      </c>
      <c r="AD124" s="1135" t="s">
        <v>5396</v>
      </c>
      <c r="AE124" s="1114" t="s">
        <v>5397</v>
      </c>
      <c r="AF124" s="1135" t="s">
        <v>5398</v>
      </c>
      <c r="AG124" s="1114" t="s">
        <v>5399</v>
      </c>
      <c r="AH124" s="1135" t="s">
        <v>5400</v>
      </c>
      <c r="AI124" s="1114" t="s">
        <v>5401</v>
      </c>
      <c r="AJ124" s="1135" t="s">
        <v>5402</v>
      </c>
      <c r="AK124" s="1114" t="s">
        <v>5403</v>
      </c>
      <c r="AL124" s="1135" t="s">
        <v>5404</v>
      </c>
      <c r="AM124" s="1114" t="s">
        <v>5405</v>
      </c>
      <c r="AN124" s="1135" t="s">
        <v>5406</v>
      </c>
      <c r="AO124" s="1114" t="s">
        <v>5407</v>
      </c>
      <c r="AP124" s="1135" t="s">
        <v>5408</v>
      </c>
      <c r="AQ124" s="1114" t="s">
        <v>5409</v>
      </c>
      <c r="AR124" s="1136" t="s">
        <v>5410</v>
      </c>
      <c r="AS124" s="1137" t="s">
        <v>5411</v>
      </c>
      <c r="AT124" s="1136" t="s">
        <v>5412</v>
      </c>
      <c r="AU124" s="1134" t="s">
        <v>5413</v>
      </c>
      <c r="AV124" s="1135" t="s">
        <v>5414</v>
      </c>
      <c r="AW124" s="1114" t="s">
        <v>5415</v>
      </c>
      <c r="AX124" s="1118" t="s">
        <v>5416</v>
      </c>
      <c r="AY124" s="1197" t="e">
        <f t="shared" si="265"/>
        <v>#VALUE!</v>
      </c>
      <c r="AZ124" s="1197"/>
      <c r="BA124" s="1197"/>
      <c r="BB124" s="1197"/>
      <c r="BC124" s="1197"/>
      <c r="BD124" s="1197"/>
      <c r="BE124" s="1197"/>
      <c r="BF124" s="1197"/>
      <c r="BG124" s="1197"/>
      <c r="BH124" s="1197"/>
      <c r="BI124" s="1197"/>
      <c r="BJ124" s="1191"/>
      <c r="BK124" s="1191"/>
      <c r="BL124" s="1191"/>
      <c r="BM124" s="1191"/>
      <c r="BV124" s="1547"/>
      <c r="BW124" s="1547"/>
      <c r="BX124" s="1547"/>
      <c r="CB124" s="2195" t="str">
        <f t="shared" si="266"/>
        <v xml:space="preserve">* El total de Reactivos NO DEBE ser superior al total de Procesados. </v>
      </c>
      <c r="CC124" s="2195" t="e">
        <f t="shared" si="267"/>
        <v>#VALUE!</v>
      </c>
      <c r="CD124" s="2195" t="e">
        <f t="shared" si="268"/>
        <v>#VALUE!</v>
      </c>
      <c r="CE124" s="2195" t="str">
        <f t="shared" si="269"/>
        <v xml:space="preserve">* La columna Pueblos Originarios NO DEBE ser superior al total de Procesados. </v>
      </c>
      <c r="CF124" s="2195" t="str">
        <f t="shared" si="270"/>
        <v xml:space="preserve">* La columna Migrantes NO DEBE ser superior al total de Procesados. </v>
      </c>
      <c r="CG124" s="2195" t="str">
        <f t="shared" si="298"/>
        <v>* El total de procesados debe ser mayor o igual al total de Reactivos en el grupo de edad Menor de 6 meses</v>
      </c>
      <c r="CH124" s="2195" t="str">
        <f t="shared" si="299"/>
        <v>* El total de procesados debe ser mayor o igual al total de Reactivos en el grupo de edad 6 a 11 meses</v>
      </c>
      <c r="CI124" s="2195" t="str">
        <f t="shared" si="300"/>
        <v>* El total de procesados debe ser mayor o igual al total de Reactivos en el grupo de edad 12-24 meses</v>
      </c>
      <c r="CJ124" s="2195" t="str">
        <f t="shared" si="301"/>
        <v>* El total de procesados debe ser mayor o igual al total de Reactivos en el grupo de edad 3 a 4 años</v>
      </c>
      <c r="CK124" s="2195" t="str">
        <f t="shared" si="302"/>
        <v>* El total de procesados debe ser mayor o igual al total de Reactivos en el grupo de edad 5 a 9 años</v>
      </c>
      <c r="CL124" s="2195" t="str">
        <f t="shared" si="303"/>
        <v>* El total de procesados debe ser mayor o igual al total de Reactivos en el grupo de edad 10 - 14 años</v>
      </c>
      <c r="CM124" s="2195" t="str">
        <f t="shared" si="304"/>
        <v>* El total de procesados debe ser mayor o igual al total de Reactivos en el grupo de edad 15 - 19 años</v>
      </c>
      <c r="CN124" s="2195" t="str">
        <f t="shared" si="305"/>
        <v>* El total de procesados debe ser mayor o igual al total de Reactivos en el grupo de edad 20 - 24 años</v>
      </c>
      <c r="CO124" s="2195" t="str">
        <f t="shared" si="306"/>
        <v>* El total de procesados debe ser mayor o igual al total de Reactivos en el grupo de edad 25 a 29 años</v>
      </c>
      <c r="CP124" s="2195" t="str">
        <f t="shared" si="307"/>
        <v>* El total de procesados debe ser mayor o igual al total de Reactivos en el grupo de edad 30 a 34 años</v>
      </c>
      <c r="CQ124" s="2195" t="str">
        <f t="shared" si="308"/>
        <v>* El total de procesados debe ser mayor o igual al total de Reactivos en el grupo de edad 35 a 39 años</v>
      </c>
      <c r="CR124" s="2195" t="str">
        <f t="shared" si="309"/>
        <v>* El total de procesados debe ser mayor o igual al total de Reactivos en el grupo de edad 40 a 44 años</v>
      </c>
      <c r="CS124" s="2195" t="str">
        <f t="shared" si="310"/>
        <v>* El total de procesados debe ser mayor o igual al total de Reactivos en el grupo de edad 45 a 49 años</v>
      </c>
      <c r="CT124" s="2195" t="str">
        <f t="shared" si="311"/>
        <v>* El total de procesados debe ser mayor o igual al total de Reactivos en el grupo de edad 50 a 54 años</v>
      </c>
      <c r="CU124" s="2195" t="str">
        <f t="shared" si="312"/>
        <v>* El total de procesados debe ser mayor o igual al total de Reactivos en el grupo de edad 55 a 59 años</v>
      </c>
      <c r="CV124" s="2195" t="str">
        <f t="shared" si="313"/>
        <v>* El total de procesados debe ser mayor o igual al total de Reactivos en el grupo de edad 60 a 64 años</v>
      </c>
      <c r="CW124" s="2195" t="str">
        <f t="shared" si="314"/>
        <v>* El total de procesados debe ser mayor o igual al total de Reactivos en el grupo de edad 65 a 69 años</v>
      </c>
      <c r="CX124" s="2195" t="str">
        <f t="shared" si="315"/>
        <v>* El total de procesados debe ser mayor o igual al total de Reactivos en el grupo de edad 70 a 74 años</v>
      </c>
      <c r="CY124" s="2195" t="str">
        <f t="shared" si="316"/>
        <v>* El total de procesados debe ser mayor o igual al total de Reactivos en el grupo de edad 75 a 79 años</v>
      </c>
      <c r="CZ124" s="2195" t="str">
        <f t="shared" si="317"/>
        <v>* El total de procesados debe ser mayor o igual al total de Reactivos en el grupo de edad 80 y más años</v>
      </c>
      <c r="DA124" s="2195" t="str">
        <f t="shared" si="271"/>
        <v/>
      </c>
      <c r="DB124" s="1446">
        <f t="shared" si="272"/>
        <v>1</v>
      </c>
      <c r="DC124" s="1446" t="e">
        <f t="shared" si="273"/>
        <v>#VALUE!</v>
      </c>
      <c r="DD124" s="1446" t="e">
        <f t="shared" si="274"/>
        <v>#VALUE!</v>
      </c>
      <c r="DE124" s="1446">
        <f t="shared" si="275"/>
        <v>1</v>
      </c>
      <c r="DF124" s="1446">
        <f t="shared" si="276"/>
        <v>1</v>
      </c>
      <c r="DG124" s="1446">
        <f t="shared" si="277"/>
        <v>1</v>
      </c>
      <c r="DH124" s="1446">
        <f t="shared" si="278"/>
        <v>1</v>
      </c>
      <c r="DI124" s="1446">
        <f t="shared" si="279"/>
        <v>1</v>
      </c>
      <c r="DJ124" s="1446">
        <f t="shared" si="280"/>
        <v>1</v>
      </c>
      <c r="DK124" s="1446">
        <f t="shared" si="281"/>
        <v>1</v>
      </c>
      <c r="DL124" s="1446">
        <f t="shared" si="282"/>
        <v>1</v>
      </c>
      <c r="DM124" s="1446">
        <f t="shared" si="283"/>
        <v>1</v>
      </c>
      <c r="DN124" s="1446">
        <f t="shared" si="284"/>
        <v>1</v>
      </c>
      <c r="DO124" s="1446">
        <f t="shared" si="285"/>
        <v>1</v>
      </c>
      <c r="DP124" s="1446">
        <f t="shared" si="286"/>
        <v>1</v>
      </c>
      <c r="DQ124" s="1446">
        <f t="shared" si="287"/>
        <v>1</v>
      </c>
      <c r="DR124" s="1446">
        <f t="shared" si="288"/>
        <v>1</v>
      </c>
      <c r="DS124" s="1446">
        <f t="shared" si="289"/>
        <v>1</v>
      </c>
      <c r="DT124" s="1446">
        <f t="shared" si="290"/>
        <v>1</v>
      </c>
      <c r="DU124" s="1446">
        <f t="shared" si="291"/>
        <v>1</v>
      </c>
      <c r="DV124" s="1446">
        <f t="shared" si="292"/>
        <v>1</v>
      </c>
      <c r="DW124" s="1446">
        <f t="shared" si="293"/>
        <v>1</v>
      </c>
      <c r="DX124" s="1446">
        <f t="shared" si="294"/>
        <v>1</v>
      </c>
      <c r="DY124" s="1446">
        <f t="shared" si="295"/>
        <v>1</v>
      </c>
      <c r="DZ124" s="1446">
        <f t="shared" si="296"/>
        <v>1</v>
      </c>
      <c r="EA124" s="1446">
        <f t="shared" si="297"/>
        <v>0</v>
      </c>
    </row>
    <row r="125" spans="1:131" ht="16.2" customHeight="1" x14ac:dyDescent="0.3">
      <c r="A125" s="7258">
        <v>11056457</v>
      </c>
      <c r="B125" s="2000" t="s">
        <v>1788</v>
      </c>
      <c r="C125" s="1998" t="s">
        <v>5369</v>
      </c>
      <c r="D125" s="2044" t="s">
        <v>5370</v>
      </c>
      <c r="E125" s="1130" t="s">
        <v>5371</v>
      </c>
      <c r="F125" s="1131" t="s">
        <v>5372</v>
      </c>
      <c r="G125" s="1132" t="s">
        <v>5373</v>
      </c>
      <c r="H125" s="1131" t="s">
        <v>5374</v>
      </c>
      <c r="I125" s="1132" t="s">
        <v>5375</v>
      </c>
      <c r="J125" s="1131" t="s">
        <v>5376</v>
      </c>
      <c r="K125" s="1132" t="s">
        <v>5377</v>
      </c>
      <c r="L125" s="1131" t="s">
        <v>5378</v>
      </c>
      <c r="M125" s="1132" t="s">
        <v>5379</v>
      </c>
      <c r="N125" s="1133" t="s">
        <v>5380</v>
      </c>
      <c r="O125" s="1134" t="s">
        <v>5381</v>
      </c>
      <c r="P125" s="1135" t="s">
        <v>5382</v>
      </c>
      <c r="Q125" s="1114" t="s">
        <v>5383</v>
      </c>
      <c r="R125" s="1135" t="s">
        <v>5384</v>
      </c>
      <c r="S125" s="1114" t="s">
        <v>5385</v>
      </c>
      <c r="T125" s="1135" t="s">
        <v>5386</v>
      </c>
      <c r="U125" s="1114" t="s">
        <v>5387</v>
      </c>
      <c r="V125" s="1135" t="s">
        <v>5388</v>
      </c>
      <c r="W125" s="1114" t="s">
        <v>5389</v>
      </c>
      <c r="X125" s="1135" t="s">
        <v>5390</v>
      </c>
      <c r="Y125" s="1114" t="s">
        <v>5391</v>
      </c>
      <c r="Z125" s="1135" t="s">
        <v>5392</v>
      </c>
      <c r="AA125" s="1114" t="s">
        <v>5393</v>
      </c>
      <c r="AB125" s="1135" t="s">
        <v>5394</v>
      </c>
      <c r="AC125" s="1114" t="s">
        <v>5395</v>
      </c>
      <c r="AD125" s="1135" t="s">
        <v>5396</v>
      </c>
      <c r="AE125" s="1114" t="s">
        <v>5397</v>
      </c>
      <c r="AF125" s="1135" t="s">
        <v>5398</v>
      </c>
      <c r="AG125" s="1114" t="s">
        <v>5399</v>
      </c>
      <c r="AH125" s="1135" t="s">
        <v>5400</v>
      </c>
      <c r="AI125" s="1114" t="s">
        <v>5401</v>
      </c>
      <c r="AJ125" s="1135" t="s">
        <v>5402</v>
      </c>
      <c r="AK125" s="1114" t="s">
        <v>5403</v>
      </c>
      <c r="AL125" s="1135" t="s">
        <v>5404</v>
      </c>
      <c r="AM125" s="1114" t="s">
        <v>5405</v>
      </c>
      <c r="AN125" s="1135" t="s">
        <v>5406</v>
      </c>
      <c r="AO125" s="1114" t="s">
        <v>5407</v>
      </c>
      <c r="AP125" s="1135" t="s">
        <v>5408</v>
      </c>
      <c r="AQ125" s="1114" t="s">
        <v>5409</v>
      </c>
      <c r="AR125" s="1136" t="s">
        <v>5410</v>
      </c>
      <c r="AS125" s="1137" t="s">
        <v>5411</v>
      </c>
      <c r="AT125" s="1136" t="s">
        <v>5412</v>
      </c>
      <c r="AU125" s="1134" t="s">
        <v>5413</v>
      </c>
      <c r="AV125" s="1135" t="s">
        <v>5414</v>
      </c>
      <c r="AW125" s="1114" t="s">
        <v>5415</v>
      </c>
      <c r="AX125" s="1118" t="s">
        <v>5416</v>
      </c>
      <c r="AY125" s="1197" t="e">
        <f t="shared" si="265"/>
        <v>#VALUE!</v>
      </c>
      <c r="AZ125" s="1197"/>
      <c r="BA125" s="1197"/>
      <c r="BB125" s="1197"/>
      <c r="BC125" s="1197"/>
      <c r="BD125" s="1197"/>
      <c r="BE125" s="1197"/>
      <c r="BF125" s="1197"/>
      <c r="BG125" s="1197"/>
      <c r="BH125" s="1197"/>
      <c r="BI125" s="1197"/>
      <c r="BJ125" s="1191"/>
      <c r="BK125" s="1191"/>
      <c r="BL125" s="1191"/>
      <c r="BM125" s="1191"/>
      <c r="BV125" s="1547"/>
      <c r="BW125" s="1547"/>
      <c r="BX125" s="1547"/>
      <c r="CB125" s="2195" t="str">
        <f t="shared" si="266"/>
        <v xml:space="preserve">* El total de Reactivos NO DEBE ser superior al total de Procesados. </v>
      </c>
      <c r="CC125" s="2195" t="e">
        <f t="shared" si="267"/>
        <v>#VALUE!</v>
      </c>
      <c r="CD125" s="2195" t="e">
        <f t="shared" si="268"/>
        <v>#VALUE!</v>
      </c>
      <c r="CE125" s="2195" t="str">
        <f t="shared" si="269"/>
        <v xml:space="preserve">* La columna Pueblos Originarios NO DEBE ser superior al total de Procesados. </v>
      </c>
      <c r="CF125" s="2195" t="str">
        <f t="shared" si="270"/>
        <v xml:space="preserve">* La columna Migrantes NO DEBE ser superior al total de Procesados. </v>
      </c>
      <c r="CG125" s="2195" t="str">
        <f t="shared" si="298"/>
        <v>* El total de procesados debe ser mayor o igual al total de Reactivos en el grupo de edad Menor de 6 meses</v>
      </c>
      <c r="CH125" s="2195" t="str">
        <f t="shared" si="299"/>
        <v>* El total de procesados debe ser mayor o igual al total de Reactivos en el grupo de edad 6 a 11 meses</v>
      </c>
      <c r="CI125" s="2195" t="str">
        <f t="shared" si="300"/>
        <v>* El total de procesados debe ser mayor o igual al total de Reactivos en el grupo de edad 12-24 meses</v>
      </c>
      <c r="CJ125" s="2195" t="str">
        <f t="shared" si="301"/>
        <v>* El total de procesados debe ser mayor o igual al total de Reactivos en el grupo de edad 3 a 4 años</v>
      </c>
      <c r="CK125" s="2195" t="str">
        <f t="shared" si="302"/>
        <v>* El total de procesados debe ser mayor o igual al total de Reactivos en el grupo de edad 5 a 9 años</v>
      </c>
      <c r="CL125" s="2195" t="str">
        <f t="shared" si="303"/>
        <v>* El total de procesados debe ser mayor o igual al total de Reactivos en el grupo de edad 10 - 14 años</v>
      </c>
      <c r="CM125" s="2195" t="str">
        <f t="shared" si="304"/>
        <v>* El total de procesados debe ser mayor o igual al total de Reactivos en el grupo de edad 15 - 19 años</v>
      </c>
      <c r="CN125" s="2195" t="str">
        <f t="shared" si="305"/>
        <v>* El total de procesados debe ser mayor o igual al total de Reactivos en el grupo de edad 20 - 24 años</v>
      </c>
      <c r="CO125" s="2195" t="str">
        <f t="shared" si="306"/>
        <v>* El total de procesados debe ser mayor o igual al total de Reactivos en el grupo de edad 25 a 29 años</v>
      </c>
      <c r="CP125" s="2195" t="str">
        <f t="shared" si="307"/>
        <v>* El total de procesados debe ser mayor o igual al total de Reactivos en el grupo de edad 30 a 34 años</v>
      </c>
      <c r="CQ125" s="2195" t="str">
        <f t="shared" si="308"/>
        <v>* El total de procesados debe ser mayor o igual al total de Reactivos en el grupo de edad 35 a 39 años</v>
      </c>
      <c r="CR125" s="2195" t="str">
        <f t="shared" si="309"/>
        <v>* El total de procesados debe ser mayor o igual al total de Reactivos en el grupo de edad 40 a 44 años</v>
      </c>
      <c r="CS125" s="2195" t="str">
        <f t="shared" si="310"/>
        <v>* El total de procesados debe ser mayor o igual al total de Reactivos en el grupo de edad 45 a 49 años</v>
      </c>
      <c r="CT125" s="2195" t="str">
        <f t="shared" si="311"/>
        <v>* El total de procesados debe ser mayor o igual al total de Reactivos en el grupo de edad 50 a 54 años</v>
      </c>
      <c r="CU125" s="2195" t="str">
        <f t="shared" si="312"/>
        <v>* El total de procesados debe ser mayor o igual al total de Reactivos en el grupo de edad 55 a 59 años</v>
      </c>
      <c r="CV125" s="2195" t="str">
        <f t="shared" si="313"/>
        <v>* El total de procesados debe ser mayor o igual al total de Reactivos en el grupo de edad 60 a 64 años</v>
      </c>
      <c r="CW125" s="2195" t="str">
        <f t="shared" si="314"/>
        <v>* El total de procesados debe ser mayor o igual al total de Reactivos en el grupo de edad 65 a 69 años</v>
      </c>
      <c r="CX125" s="2195" t="str">
        <f t="shared" si="315"/>
        <v>* El total de procesados debe ser mayor o igual al total de Reactivos en el grupo de edad 70 a 74 años</v>
      </c>
      <c r="CY125" s="2195" t="str">
        <f t="shared" si="316"/>
        <v>* El total de procesados debe ser mayor o igual al total de Reactivos en el grupo de edad 75 a 79 años</v>
      </c>
      <c r="CZ125" s="2195" t="str">
        <f t="shared" si="317"/>
        <v>* El total de procesados debe ser mayor o igual al total de Reactivos en el grupo de edad 80 y más años</v>
      </c>
      <c r="DA125" s="2195" t="str">
        <f t="shared" si="271"/>
        <v/>
      </c>
      <c r="DB125" s="1446">
        <f t="shared" si="272"/>
        <v>1</v>
      </c>
      <c r="DC125" s="1446" t="e">
        <f t="shared" si="273"/>
        <v>#VALUE!</v>
      </c>
      <c r="DD125" s="1446" t="e">
        <f t="shared" si="274"/>
        <v>#VALUE!</v>
      </c>
      <c r="DE125" s="1446">
        <f t="shared" si="275"/>
        <v>1</v>
      </c>
      <c r="DF125" s="1446">
        <f t="shared" si="276"/>
        <v>1</v>
      </c>
      <c r="DG125" s="1446">
        <f t="shared" si="277"/>
        <v>1</v>
      </c>
      <c r="DH125" s="1446">
        <f t="shared" si="278"/>
        <v>1</v>
      </c>
      <c r="DI125" s="1446">
        <f t="shared" si="279"/>
        <v>1</v>
      </c>
      <c r="DJ125" s="1446">
        <f t="shared" si="280"/>
        <v>1</v>
      </c>
      <c r="DK125" s="1446">
        <f t="shared" si="281"/>
        <v>1</v>
      </c>
      <c r="DL125" s="1446">
        <f t="shared" si="282"/>
        <v>1</v>
      </c>
      <c r="DM125" s="1446">
        <f t="shared" si="283"/>
        <v>1</v>
      </c>
      <c r="DN125" s="1446">
        <f t="shared" si="284"/>
        <v>1</v>
      </c>
      <c r="DO125" s="1446">
        <f t="shared" si="285"/>
        <v>1</v>
      </c>
      <c r="DP125" s="1446">
        <f t="shared" si="286"/>
        <v>1</v>
      </c>
      <c r="DQ125" s="1446">
        <f t="shared" si="287"/>
        <v>1</v>
      </c>
      <c r="DR125" s="1446">
        <f t="shared" si="288"/>
        <v>1</v>
      </c>
      <c r="DS125" s="1446">
        <f t="shared" si="289"/>
        <v>1</v>
      </c>
      <c r="DT125" s="1446">
        <f t="shared" si="290"/>
        <v>1</v>
      </c>
      <c r="DU125" s="1446">
        <f t="shared" si="291"/>
        <v>1</v>
      </c>
      <c r="DV125" s="1446">
        <f t="shared" si="292"/>
        <v>1</v>
      </c>
      <c r="DW125" s="1446">
        <f t="shared" si="293"/>
        <v>1</v>
      </c>
      <c r="DX125" s="1446">
        <f t="shared" si="294"/>
        <v>1</v>
      </c>
      <c r="DY125" s="1446">
        <f t="shared" si="295"/>
        <v>1</v>
      </c>
      <c r="DZ125" s="1446">
        <f t="shared" si="296"/>
        <v>1</v>
      </c>
      <c r="EA125" s="1446">
        <f t="shared" si="297"/>
        <v>0</v>
      </c>
    </row>
    <row r="126" spans="1:131" ht="16.2" customHeight="1" x14ac:dyDescent="0.3">
      <c r="A126" s="7258">
        <v>11056458</v>
      </c>
      <c r="B126" s="2045" t="s">
        <v>1789</v>
      </c>
      <c r="C126" s="1998" t="s">
        <v>5369</v>
      </c>
      <c r="D126" s="2044" t="s">
        <v>5370</v>
      </c>
      <c r="E126" s="1130" t="s">
        <v>5371</v>
      </c>
      <c r="F126" s="1131" t="s">
        <v>5372</v>
      </c>
      <c r="G126" s="1132" t="s">
        <v>5373</v>
      </c>
      <c r="H126" s="1131" t="s">
        <v>5374</v>
      </c>
      <c r="I126" s="1132" t="s">
        <v>5375</v>
      </c>
      <c r="J126" s="1131" t="s">
        <v>5376</v>
      </c>
      <c r="K126" s="1132" t="s">
        <v>5377</v>
      </c>
      <c r="L126" s="1131" t="s">
        <v>5378</v>
      </c>
      <c r="M126" s="1132" t="s">
        <v>5379</v>
      </c>
      <c r="N126" s="1133" t="s">
        <v>5380</v>
      </c>
      <c r="O126" s="1134" t="s">
        <v>5381</v>
      </c>
      <c r="P126" s="1135" t="s">
        <v>5382</v>
      </c>
      <c r="Q126" s="1114" t="s">
        <v>5383</v>
      </c>
      <c r="R126" s="1135" t="s">
        <v>5384</v>
      </c>
      <c r="S126" s="1114" t="s">
        <v>5385</v>
      </c>
      <c r="T126" s="1135" t="s">
        <v>5386</v>
      </c>
      <c r="U126" s="1114" t="s">
        <v>5387</v>
      </c>
      <c r="V126" s="1135" t="s">
        <v>5388</v>
      </c>
      <c r="W126" s="1114" t="s">
        <v>5389</v>
      </c>
      <c r="X126" s="1135" t="s">
        <v>5390</v>
      </c>
      <c r="Y126" s="1114" t="s">
        <v>5391</v>
      </c>
      <c r="Z126" s="1135" t="s">
        <v>5392</v>
      </c>
      <c r="AA126" s="1114" t="s">
        <v>5393</v>
      </c>
      <c r="AB126" s="1135" t="s">
        <v>5394</v>
      </c>
      <c r="AC126" s="1114" t="s">
        <v>5395</v>
      </c>
      <c r="AD126" s="1135" t="s">
        <v>5396</v>
      </c>
      <c r="AE126" s="1114" t="s">
        <v>5397</v>
      </c>
      <c r="AF126" s="1135" t="s">
        <v>5398</v>
      </c>
      <c r="AG126" s="1114" t="s">
        <v>5399</v>
      </c>
      <c r="AH126" s="1135" t="s">
        <v>5400</v>
      </c>
      <c r="AI126" s="1114" t="s">
        <v>5401</v>
      </c>
      <c r="AJ126" s="1135" t="s">
        <v>5402</v>
      </c>
      <c r="AK126" s="1114" t="s">
        <v>5403</v>
      </c>
      <c r="AL126" s="1135" t="s">
        <v>5404</v>
      </c>
      <c r="AM126" s="1114" t="s">
        <v>5405</v>
      </c>
      <c r="AN126" s="1135" t="s">
        <v>5406</v>
      </c>
      <c r="AO126" s="1114" t="s">
        <v>5407</v>
      </c>
      <c r="AP126" s="1135" t="s">
        <v>5408</v>
      </c>
      <c r="AQ126" s="1114" t="s">
        <v>5409</v>
      </c>
      <c r="AR126" s="1136" t="s">
        <v>5410</v>
      </c>
      <c r="AS126" s="1137" t="s">
        <v>5411</v>
      </c>
      <c r="AT126" s="1136" t="s">
        <v>5412</v>
      </c>
      <c r="AU126" s="1134" t="s">
        <v>5413</v>
      </c>
      <c r="AV126" s="1135" t="s">
        <v>5414</v>
      </c>
      <c r="AW126" s="1114" t="s">
        <v>5415</v>
      </c>
      <c r="AX126" s="1118" t="s">
        <v>5416</v>
      </c>
      <c r="AY126" s="1197" t="e">
        <f t="shared" si="265"/>
        <v>#VALUE!</v>
      </c>
      <c r="AZ126" s="1197"/>
      <c r="BA126" s="1197"/>
      <c r="BB126" s="1197"/>
      <c r="BC126" s="1197"/>
      <c r="BD126" s="1197"/>
      <c r="BE126" s="1197"/>
      <c r="BF126" s="1197"/>
      <c r="BG126" s="1197"/>
      <c r="BH126" s="1197"/>
      <c r="BI126" s="1197"/>
      <c r="BJ126" s="1191"/>
      <c r="BK126" s="1191"/>
      <c r="BL126" s="1191"/>
      <c r="BM126" s="1191"/>
      <c r="BV126" s="1547"/>
      <c r="BW126" s="1547"/>
      <c r="BX126" s="1547"/>
      <c r="CB126" s="2195" t="str">
        <f t="shared" si="266"/>
        <v xml:space="preserve">* El total de Reactivos NO DEBE ser superior al total de Procesados. </v>
      </c>
      <c r="CC126" s="2195" t="e">
        <f t="shared" si="267"/>
        <v>#VALUE!</v>
      </c>
      <c r="CD126" s="2195" t="e">
        <f t="shared" si="268"/>
        <v>#VALUE!</v>
      </c>
      <c r="CE126" s="2195" t="str">
        <f t="shared" si="269"/>
        <v xml:space="preserve">* La columna Pueblos Originarios NO DEBE ser superior al total de Procesados. </v>
      </c>
      <c r="CF126" s="2195" t="str">
        <f t="shared" si="270"/>
        <v xml:space="preserve">* La columna Migrantes NO DEBE ser superior al total de Procesados. </v>
      </c>
      <c r="CG126" s="2195" t="str">
        <f t="shared" si="298"/>
        <v>* El total de procesados debe ser mayor o igual al total de Reactivos en el grupo de edad Menor de 6 meses</v>
      </c>
      <c r="CH126" s="2195" t="str">
        <f t="shared" si="299"/>
        <v>* El total de procesados debe ser mayor o igual al total de Reactivos en el grupo de edad 6 a 11 meses</v>
      </c>
      <c r="CI126" s="2195" t="str">
        <f t="shared" si="300"/>
        <v>* El total de procesados debe ser mayor o igual al total de Reactivos en el grupo de edad 12-24 meses</v>
      </c>
      <c r="CJ126" s="2195" t="str">
        <f t="shared" si="301"/>
        <v>* El total de procesados debe ser mayor o igual al total de Reactivos en el grupo de edad 3 a 4 años</v>
      </c>
      <c r="CK126" s="2195" t="str">
        <f t="shared" si="302"/>
        <v>* El total de procesados debe ser mayor o igual al total de Reactivos en el grupo de edad 5 a 9 años</v>
      </c>
      <c r="CL126" s="2195" t="str">
        <f t="shared" si="303"/>
        <v>* El total de procesados debe ser mayor o igual al total de Reactivos en el grupo de edad 10 - 14 años</v>
      </c>
      <c r="CM126" s="2195" t="str">
        <f t="shared" si="304"/>
        <v>* El total de procesados debe ser mayor o igual al total de Reactivos en el grupo de edad 15 - 19 años</v>
      </c>
      <c r="CN126" s="2195" t="str">
        <f t="shared" si="305"/>
        <v>* El total de procesados debe ser mayor o igual al total de Reactivos en el grupo de edad 20 - 24 años</v>
      </c>
      <c r="CO126" s="2195" t="str">
        <f t="shared" si="306"/>
        <v>* El total de procesados debe ser mayor o igual al total de Reactivos en el grupo de edad 25 a 29 años</v>
      </c>
      <c r="CP126" s="2195" t="str">
        <f t="shared" si="307"/>
        <v>* El total de procesados debe ser mayor o igual al total de Reactivos en el grupo de edad 30 a 34 años</v>
      </c>
      <c r="CQ126" s="2195" t="str">
        <f t="shared" si="308"/>
        <v>* El total de procesados debe ser mayor o igual al total de Reactivos en el grupo de edad 35 a 39 años</v>
      </c>
      <c r="CR126" s="2195" t="str">
        <f t="shared" si="309"/>
        <v>* El total de procesados debe ser mayor o igual al total de Reactivos en el grupo de edad 40 a 44 años</v>
      </c>
      <c r="CS126" s="2195" t="str">
        <f t="shared" si="310"/>
        <v>* El total de procesados debe ser mayor o igual al total de Reactivos en el grupo de edad 45 a 49 años</v>
      </c>
      <c r="CT126" s="2195" t="str">
        <f t="shared" si="311"/>
        <v>* El total de procesados debe ser mayor o igual al total de Reactivos en el grupo de edad 50 a 54 años</v>
      </c>
      <c r="CU126" s="2195" t="str">
        <f t="shared" si="312"/>
        <v>* El total de procesados debe ser mayor o igual al total de Reactivos en el grupo de edad 55 a 59 años</v>
      </c>
      <c r="CV126" s="2195" t="str">
        <f t="shared" si="313"/>
        <v>* El total de procesados debe ser mayor o igual al total de Reactivos en el grupo de edad 60 a 64 años</v>
      </c>
      <c r="CW126" s="2195" t="str">
        <f t="shared" si="314"/>
        <v>* El total de procesados debe ser mayor o igual al total de Reactivos en el grupo de edad 65 a 69 años</v>
      </c>
      <c r="CX126" s="2195" t="str">
        <f t="shared" si="315"/>
        <v>* El total de procesados debe ser mayor o igual al total de Reactivos en el grupo de edad 70 a 74 años</v>
      </c>
      <c r="CY126" s="2195" t="str">
        <f t="shared" si="316"/>
        <v>* El total de procesados debe ser mayor o igual al total de Reactivos en el grupo de edad 75 a 79 años</v>
      </c>
      <c r="CZ126" s="2195" t="str">
        <f t="shared" si="317"/>
        <v>* El total de procesados debe ser mayor o igual al total de Reactivos en el grupo de edad 80 y más años</v>
      </c>
      <c r="DA126" s="2195" t="str">
        <f t="shared" si="271"/>
        <v/>
      </c>
      <c r="DB126" s="1446">
        <f t="shared" si="272"/>
        <v>1</v>
      </c>
      <c r="DC126" s="1446" t="e">
        <f t="shared" si="273"/>
        <v>#VALUE!</v>
      </c>
      <c r="DD126" s="1446" t="e">
        <f t="shared" si="274"/>
        <v>#VALUE!</v>
      </c>
      <c r="DE126" s="1446">
        <f t="shared" si="275"/>
        <v>1</v>
      </c>
      <c r="DF126" s="1446">
        <f t="shared" si="276"/>
        <v>1</v>
      </c>
      <c r="DG126" s="1446">
        <f t="shared" si="277"/>
        <v>1</v>
      </c>
      <c r="DH126" s="1446">
        <f t="shared" si="278"/>
        <v>1</v>
      </c>
      <c r="DI126" s="1446">
        <f t="shared" si="279"/>
        <v>1</v>
      </c>
      <c r="DJ126" s="1446">
        <f t="shared" si="280"/>
        <v>1</v>
      </c>
      <c r="DK126" s="1446">
        <f t="shared" si="281"/>
        <v>1</v>
      </c>
      <c r="DL126" s="1446">
        <f t="shared" si="282"/>
        <v>1</v>
      </c>
      <c r="DM126" s="1446">
        <f t="shared" si="283"/>
        <v>1</v>
      </c>
      <c r="DN126" s="1446">
        <f t="shared" si="284"/>
        <v>1</v>
      </c>
      <c r="DO126" s="1446">
        <f t="shared" si="285"/>
        <v>1</v>
      </c>
      <c r="DP126" s="1446">
        <f t="shared" si="286"/>
        <v>1</v>
      </c>
      <c r="DQ126" s="1446">
        <f t="shared" si="287"/>
        <v>1</v>
      </c>
      <c r="DR126" s="1446">
        <f t="shared" si="288"/>
        <v>1</v>
      </c>
      <c r="DS126" s="1446">
        <f t="shared" si="289"/>
        <v>1</v>
      </c>
      <c r="DT126" s="1446">
        <f t="shared" si="290"/>
        <v>1</v>
      </c>
      <c r="DU126" s="1446">
        <f t="shared" si="291"/>
        <v>1</v>
      </c>
      <c r="DV126" s="1446">
        <f t="shared" si="292"/>
        <v>1</v>
      </c>
      <c r="DW126" s="1446">
        <f t="shared" si="293"/>
        <v>1</v>
      </c>
      <c r="DX126" s="1446">
        <f t="shared" si="294"/>
        <v>1</v>
      </c>
      <c r="DY126" s="1446">
        <f t="shared" si="295"/>
        <v>1</v>
      </c>
      <c r="DZ126" s="1446">
        <f t="shared" si="296"/>
        <v>1</v>
      </c>
      <c r="EA126" s="1446">
        <f t="shared" si="297"/>
        <v>0</v>
      </c>
    </row>
    <row r="127" spans="1:131" ht="21" customHeight="1" x14ac:dyDescent="0.3">
      <c r="A127" s="7258">
        <v>11056459</v>
      </c>
      <c r="B127" s="2045" t="s">
        <v>1790</v>
      </c>
      <c r="C127" s="1998" t="s">
        <v>5369</v>
      </c>
      <c r="D127" s="2044" t="s">
        <v>5370</v>
      </c>
      <c r="E127" s="1130" t="s">
        <v>5371</v>
      </c>
      <c r="F127" s="1131" t="s">
        <v>5372</v>
      </c>
      <c r="G127" s="1132" t="s">
        <v>5373</v>
      </c>
      <c r="H127" s="1131" t="s">
        <v>5374</v>
      </c>
      <c r="I127" s="1132" t="s">
        <v>5375</v>
      </c>
      <c r="J127" s="1131" t="s">
        <v>5376</v>
      </c>
      <c r="K127" s="1132" t="s">
        <v>5377</v>
      </c>
      <c r="L127" s="1131" t="s">
        <v>5378</v>
      </c>
      <c r="M127" s="1132" t="s">
        <v>5379</v>
      </c>
      <c r="N127" s="1133" t="s">
        <v>5380</v>
      </c>
      <c r="O127" s="1134" t="s">
        <v>5381</v>
      </c>
      <c r="P127" s="1135" t="s">
        <v>5382</v>
      </c>
      <c r="Q127" s="1114" t="s">
        <v>5383</v>
      </c>
      <c r="R127" s="1135" t="s">
        <v>5384</v>
      </c>
      <c r="S127" s="1114" t="s">
        <v>5385</v>
      </c>
      <c r="T127" s="1135" t="s">
        <v>5386</v>
      </c>
      <c r="U127" s="1114" t="s">
        <v>5387</v>
      </c>
      <c r="V127" s="1135" t="s">
        <v>5388</v>
      </c>
      <c r="W127" s="1114" t="s">
        <v>5389</v>
      </c>
      <c r="X127" s="1135" t="s">
        <v>5390</v>
      </c>
      <c r="Y127" s="1114" t="s">
        <v>5391</v>
      </c>
      <c r="Z127" s="1135" t="s">
        <v>5392</v>
      </c>
      <c r="AA127" s="1114" t="s">
        <v>5393</v>
      </c>
      <c r="AB127" s="1135" t="s">
        <v>5394</v>
      </c>
      <c r="AC127" s="1114" t="s">
        <v>5395</v>
      </c>
      <c r="AD127" s="1135" t="s">
        <v>5396</v>
      </c>
      <c r="AE127" s="1114" t="s">
        <v>5397</v>
      </c>
      <c r="AF127" s="1135" t="s">
        <v>5398</v>
      </c>
      <c r="AG127" s="1114" t="s">
        <v>5399</v>
      </c>
      <c r="AH127" s="1135" t="s">
        <v>5400</v>
      </c>
      <c r="AI127" s="1114" t="s">
        <v>5401</v>
      </c>
      <c r="AJ127" s="1135" t="s">
        <v>5402</v>
      </c>
      <c r="AK127" s="1114" t="s">
        <v>5403</v>
      </c>
      <c r="AL127" s="1135" t="s">
        <v>5404</v>
      </c>
      <c r="AM127" s="1114" t="s">
        <v>5405</v>
      </c>
      <c r="AN127" s="1135" t="s">
        <v>5406</v>
      </c>
      <c r="AO127" s="1114" t="s">
        <v>5407</v>
      </c>
      <c r="AP127" s="1135" t="s">
        <v>5408</v>
      </c>
      <c r="AQ127" s="1114" t="s">
        <v>5409</v>
      </c>
      <c r="AR127" s="1136" t="s">
        <v>5410</v>
      </c>
      <c r="AS127" s="1134" t="s">
        <v>5411</v>
      </c>
      <c r="AT127" s="1136" t="s">
        <v>5412</v>
      </c>
      <c r="AU127" s="1134" t="s">
        <v>5413</v>
      </c>
      <c r="AV127" s="1135" t="s">
        <v>5414</v>
      </c>
      <c r="AW127" s="1114" t="s">
        <v>5415</v>
      </c>
      <c r="AX127" s="1118" t="s">
        <v>5416</v>
      </c>
      <c r="AY127" s="1197" t="e">
        <f t="shared" si="265"/>
        <v>#VALUE!</v>
      </c>
      <c r="AZ127" s="1197"/>
      <c r="BA127" s="1197"/>
      <c r="BB127" s="1197"/>
      <c r="BC127" s="1197"/>
      <c r="BD127" s="1197"/>
      <c r="BE127" s="1197"/>
      <c r="BF127" s="1197"/>
      <c r="BG127" s="1197"/>
      <c r="BH127" s="1197"/>
      <c r="BI127" s="1197"/>
      <c r="BJ127" s="1191"/>
      <c r="BK127" s="1191"/>
      <c r="BL127" s="1191"/>
      <c r="BM127" s="1191"/>
      <c r="BV127" s="1547"/>
      <c r="BW127" s="1547"/>
      <c r="BX127" s="1547"/>
      <c r="CB127" s="2195" t="str">
        <f t="shared" si="266"/>
        <v xml:space="preserve">* El total de Reactivos NO DEBE ser superior al total de Procesados. </v>
      </c>
      <c r="CC127" s="2195" t="e">
        <f t="shared" si="267"/>
        <v>#VALUE!</v>
      </c>
      <c r="CD127" s="2195" t="e">
        <f t="shared" si="268"/>
        <v>#VALUE!</v>
      </c>
      <c r="CE127" s="2195" t="str">
        <f t="shared" si="269"/>
        <v xml:space="preserve">* La columna Pueblos Originarios NO DEBE ser superior al total de Procesados. </v>
      </c>
      <c r="CF127" s="2195" t="str">
        <f t="shared" si="270"/>
        <v xml:space="preserve">* La columna Migrantes NO DEBE ser superior al total de Procesados. </v>
      </c>
      <c r="CG127" s="2195" t="str">
        <f t="shared" si="298"/>
        <v>* El total de procesados debe ser mayor o igual al total de Reactivos en el grupo de edad Menor de 6 meses</v>
      </c>
      <c r="CH127" s="2195" t="str">
        <f t="shared" si="299"/>
        <v>* El total de procesados debe ser mayor o igual al total de Reactivos en el grupo de edad 6 a 11 meses</v>
      </c>
      <c r="CI127" s="2195" t="str">
        <f t="shared" si="300"/>
        <v>* El total de procesados debe ser mayor o igual al total de Reactivos en el grupo de edad 12-24 meses</v>
      </c>
      <c r="CJ127" s="2195" t="str">
        <f t="shared" si="301"/>
        <v>* El total de procesados debe ser mayor o igual al total de Reactivos en el grupo de edad 3 a 4 años</v>
      </c>
      <c r="CK127" s="2195" t="str">
        <f t="shared" si="302"/>
        <v>* El total de procesados debe ser mayor o igual al total de Reactivos en el grupo de edad 5 a 9 años</v>
      </c>
      <c r="CL127" s="2195" t="str">
        <f t="shared" si="303"/>
        <v>* El total de procesados debe ser mayor o igual al total de Reactivos en el grupo de edad 10 - 14 años</v>
      </c>
      <c r="CM127" s="2195" t="str">
        <f t="shared" si="304"/>
        <v>* El total de procesados debe ser mayor o igual al total de Reactivos en el grupo de edad 15 - 19 años</v>
      </c>
      <c r="CN127" s="2195" t="str">
        <f t="shared" si="305"/>
        <v>* El total de procesados debe ser mayor o igual al total de Reactivos en el grupo de edad 20 - 24 años</v>
      </c>
      <c r="CO127" s="2195" t="str">
        <f t="shared" si="306"/>
        <v>* El total de procesados debe ser mayor o igual al total de Reactivos en el grupo de edad 25 a 29 años</v>
      </c>
      <c r="CP127" s="2195" t="str">
        <f t="shared" si="307"/>
        <v>* El total de procesados debe ser mayor o igual al total de Reactivos en el grupo de edad 30 a 34 años</v>
      </c>
      <c r="CQ127" s="2195" t="str">
        <f t="shared" si="308"/>
        <v>* El total de procesados debe ser mayor o igual al total de Reactivos en el grupo de edad 35 a 39 años</v>
      </c>
      <c r="CR127" s="2195" t="str">
        <f t="shared" si="309"/>
        <v>* El total de procesados debe ser mayor o igual al total de Reactivos en el grupo de edad 40 a 44 años</v>
      </c>
      <c r="CS127" s="2195" t="str">
        <f t="shared" si="310"/>
        <v>* El total de procesados debe ser mayor o igual al total de Reactivos en el grupo de edad 45 a 49 años</v>
      </c>
      <c r="CT127" s="2195" t="str">
        <f t="shared" si="311"/>
        <v>* El total de procesados debe ser mayor o igual al total de Reactivos en el grupo de edad 50 a 54 años</v>
      </c>
      <c r="CU127" s="2195" t="str">
        <f t="shared" si="312"/>
        <v>* El total de procesados debe ser mayor o igual al total de Reactivos en el grupo de edad 55 a 59 años</v>
      </c>
      <c r="CV127" s="2195" t="str">
        <f t="shared" si="313"/>
        <v>* El total de procesados debe ser mayor o igual al total de Reactivos en el grupo de edad 60 a 64 años</v>
      </c>
      <c r="CW127" s="2195" t="str">
        <f t="shared" si="314"/>
        <v>* El total de procesados debe ser mayor o igual al total de Reactivos en el grupo de edad 65 a 69 años</v>
      </c>
      <c r="CX127" s="2195" t="str">
        <f t="shared" si="315"/>
        <v>* El total de procesados debe ser mayor o igual al total de Reactivos en el grupo de edad 70 a 74 años</v>
      </c>
      <c r="CY127" s="2195" t="str">
        <f t="shared" si="316"/>
        <v>* El total de procesados debe ser mayor o igual al total de Reactivos en el grupo de edad 75 a 79 años</v>
      </c>
      <c r="CZ127" s="2195" t="str">
        <f t="shared" si="317"/>
        <v>* El total de procesados debe ser mayor o igual al total de Reactivos en el grupo de edad 80 y más años</v>
      </c>
      <c r="DA127" s="2195" t="str">
        <f t="shared" si="271"/>
        <v/>
      </c>
      <c r="DB127" s="1446">
        <f t="shared" si="272"/>
        <v>1</v>
      </c>
      <c r="DC127" s="1446" t="e">
        <f t="shared" si="273"/>
        <v>#VALUE!</v>
      </c>
      <c r="DD127" s="1446" t="e">
        <f t="shared" si="274"/>
        <v>#VALUE!</v>
      </c>
      <c r="DE127" s="1446">
        <f t="shared" si="275"/>
        <v>1</v>
      </c>
      <c r="DF127" s="1446">
        <f t="shared" si="276"/>
        <v>1</v>
      </c>
      <c r="DG127" s="1446">
        <f t="shared" si="277"/>
        <v>1</v>
      </c>
      <c r="DH127" s="1446">
        <f t="shared" si="278"/>
        <v>1</v>
      </c>
      <c r="DI127" s="1446">
        <f t="shared" si="279"/>
        <v>1</v>
      </c>
      <c r="DJ127" s="1446">
        <f t="shared" si="280"/>
        <v>1</v>
      </c>
      <c r="DK127" s="1446">
        <f t="shared" si="281"/>
        <v>1</v>
      </c>
      <c r="DL127" s="1446">
        <f t="shared" si="282"/>
        <v>1</v>
      </c>
      <c r="DM127" s="1446">
        <f t="shared" si="283"/>
        <v>1</v>
      </c>
      <c r="DN127" s="1446">
        <f t="shared" si="284"/>
        <v>1</v>
      </c>
      <c r="DO127" s="1446">
        <f t="shared" si="285"/>
        <v>1</v>
      </c>
      <c r="DP127" s="1446">
        <f t="shared" si="286"/>
        <v>1</v>
      </c>
      <c r="DQ127" s="1446">
        <f t="shared" si="287"/>
        <v>1</v>
      </c>
      <c r="DR127" s="1446">
        <f t="shared" si="288"/>
        <v>1</v>
      </c>
      <c r="DS127" s="1446">
        <f t="shared" si="289"/>
        <v>1</v>
      </c>
      <c r="DT127" s="1446">
        <f t="shared" si="290"/>
        <v>1</v>
      </c>
      <c r="DU127" s="1446">
        <f t="shared" si="291"/>
        <v>1</v>
      </c>
      <c r="DV127" s="1446">
        <f t="shared" si="292"/>
        <v>1</v>
      </c>
      <c r="DW127" s="1446">
        <f t="shared" si="293"/>
        <v>1</v>
      </c>
      <c r="DX127" s="1446">
        <f t="shared" si="294"/>
        <v>1</v>
      </c>
      <c r="DY127" s="1446">
        <f t="shared" si="295"/>
        <v>1</v>
      </c>
      <c r="DZ127" s="1446">
        <f t="shared" si="296"/>
        <v>1</v>
      </c>
      <c r="EA127" s="1446">
        <f t="shared" si="297"/>
        <v>0</v>
      </c>
    </row>
    <row r="128" spans="1:131" ht="18.600000000000001" customHeight="1" x14ac:dyDescent="0.3">
      <c r="A128" s="7258">
        <v>11056460</v>
      </c>
      <c r="B128" s="2045" t="s">
        <v>1791</v>
      </c>
      <c r="C128" s="1998" t="s">
        <v>5369</v>
      </c>
      <c r="D128" s="2044" t="s">
        <v>5370</v>
      </c>
      <c r="E128" s="1130" t="s">
        <v>5371</v>
      </c>
      <c r="F128" s="1131" t="s">
        <v>5372</v>
      </c>
      <c r="G128" s="1132" t="s">
        <v>5373</v>
      </c>
      <c r="H128" s="1131" t="s">
        <v>5374</v>
      </c>
      <c r="I128" s="1132" t="s">
        <v>5375</v>
      </c>
      <c r="J128" s="1131" t="s">
        <v>5376</v>
      </c>
      <c r="K128" s="1132" t="s">
        <v>5377</v>
      </c>
      <c r="L128" s="1131" t="s">
        <v>5378</v>
      </c>
      <c r="M128" s="1132" t="s">
        <v>5379</v>
      </c>
      <c r="N128" s="1133" t="s">
        <v>5380</v>
      </c>
      <c r="O128" s="1134" t="s">
        <v>5381</v>
      </c>
      <c r="P128" s="1135" t="s">
        <v>5382</v>
      </c>
      <c r="Q128" s="1114" t="s">
        <v>5383</v>
      </c>
      <c r="R128" s="1135" t="s">
        <v>5384</v>
      </c>
      <c r="S128" s="1114" t="s">
        <v>5385</v>
      </c>
      <c r="T128" s="1135" t="s">
        <v>5386</v>
      </c>
      <c r="U128" s="1114" t="s">
        <v>5387</v>
      </c>
      <c r="V128" s="1135" t="s">
        <v>5388</v>
      </c>
      <c r="W128" s="1114" t="s">
        <v>5389</v>
      </c>
      <c r="X128" s="1135" t="s">
        <v>5390</v>
      </c>
      <c r="Y128" s="1114" t="s">
        <v>5391</v>
      </c>
      <c r="Z128" s="1135" t="s">
        <v>5392</v>
      </c>
      <c r="AA128" s="1114" t="s">
        <v>5393</v>
      </c>
      <c r="AB128" s="1135" t="s">
        <v>5394</v>
      </c>
      <c r="AC128" s="1114" t="s">
        <v>5395</v>
      </c>
      <c r="AD128" s="1135" t="s">
        <v>5396</v>
      </c>
      <c r="AE128" s="1114" t="s">
        <v>5397</v>
      </c>
      <c r="AF128" s="1135" t="s">
        <v>5398</v>
      </c>
      <c r="AG128" s="1114" t="s">
        <v>5399</v>
      </c>
      <c r="AH128" s="1135" t="s">
        <v>5400</v>
      </c>
      <c r="AI128" s="1114" t="s">
        <v>5401</v>
      </c>
      <c r="AJ128" s="1135" t="s">
        <v>5402</v>
      </c>
      <c r="AK128" s="1114" t="s">
        <v>5403</v>
      </c>
      <c r="AL128" s="1135" t="s">
        <v>5404</v>
      </c>
      <c r="AM128" s="1114" t="s">
        <v>5405</v>
      </c>
      <c r="AN128" s="1135" t="s">
        <v>5406</v>
      </c>
      <c r="AO128" s="1114" t="s">
        <v>5407</v>
      </c>
      <c r="AP128" s="1135" t="s">
        <v>5408</v>
      </c>
      <c r="AQ128" s="1114" t="s">
        <v>5409</v>
      </c>
      <c r="AR128" s="1136" t="s">
        <v>5410</v>
      </c>
      <c r="AS128" s="1137" t="s">
        <v>5411</v>
      </c>
      <c r="AT128" s="1136" t="s">
        <v>5412</v>
      </c>
      <c r="AU128" s="1134" t="s">
        <v>5413</v>
      </c>
      <c r="AV128" s="1135" t="s">
        <v>5414</v>
      </c>
      <c r="AW128" s="1114" t="s">
        <v>5415</v>
      </c>
      <c r="AX128" s="1118" t="s">
        <v>5416</v>
      </c>
      <c r="AY128" s="1197" t="e">
        <f t="shared" si="265"/>
        <v>#VALUE!</v>
      </c>
      <c r="AZ128" s="1197"/>
      <c r="BA128" s="1197"/>
      <c r="BB128" s="1197"/>
      <c r="BC128" s="1197"/>
      <c r="BD128" s="1197"/>
      <c r="BE128" s="1197"/>
      <c r="BF128" s="1197"/>
      <c r="BG128" s="1197"/>
      <c r="BH128" s="1197"/>
      <c r="BI128" s="1197"/>
      <c r="BJ128" s="1191"/>
      <c r="BK128" s="1191"/>
      <c r="BL128" s="1191"/>
      <c r="BM128" s="1191"/>
      <c r="BV128" s="1547"/>
      <c r="BW128" s="1547"/>
      <c r="BX128" s="1547"/>
      <c r="CB128" s="2195" t="str">
        <f t="shared" si="266"/>
        <v xml:space="preserve">* El total de Reactivos NO DEBE ser superior al total de Procesados. </v>
      </c>
      <c r="CC128" s="2195" t="e">
        <f t="shared" si="267"/>
        <v>#VALUE!</v>
      </c>
      <c r="CD128" s="2195" t="e">
        <f t="shared" si="268"/>
        <v>#VALUE!</v>
      </c>
      <c r="CE128" s="2195" t="str">
        <f t="shared" si="269"/>
        <v xml:space="preserve">* La columna Pueblos Originarios NO DEBE ser superior al total de Procesados. </v>
      </c>
      <c r="CF128" s="2195" t="str">
        <f t="shared" si="270"/>
        <v xml:space="preserve">* La columna Migrantes NO DEBE ser superior al total de Procesados. </v>
      </c>
      <c r="CG128" s="2195" t="str">
        <f t="shared" si="298"/>
        <v>* El total de procesados debe ser mayor o igual al total de Reactivos en el grupo de edad Menor de 6 meses</v>
      </c>
      <c r="CH128" s="2195" t="str">
        <f t="shared" si="299"/>
        <v>* El total de procesados debe ser mayor o igual al total de Reactivos en el grupo de edad 6 a 11 meses</v>
      </c>
      <c r="CI128" s="2195" t="str">
        <f t="shared" si="300"/>
        <v>* El total de procesados debe ser mayor o igual al total de Reactivos en el grupo de edad 12-24 meses</v>
      </c>
      <c r="CJ128" s="2195" t="str">
        <f t="shared" si="301"/>
        <v>* El total de procesados debe ser mayor o igual al total de Reactivos en el grupo de edad 3 a 4 años</v>
      </c>
      <c r="CK128" s="2195" t="str">
        <f t="shared" si="302"/>
        <v>* El total de procesados debe ser mayor o igual al total de Reactivos en el grupo de edad 5 a 9 años</v>
      </c>
      <c r="CL128" s="2195" t="str">
        <f t="shared" si="303"/>
        <v>* El total de procesados debe ser mayor o igual al total de Reactivos en el grupo de edad 10 - 14 años</v>
      </c>
      <c r="CM128" s="2195" t="str">
        <f t="shared" si="304"/>
        <v>* El total de procesados debe ser mayor o igual al total de Reactivos en el grupo de edad 15 - 19 años</v>
      </c>
      <c r="CN128" s="2195" t="str">
        <f t="shared" si="305"/>
        <v>* El total de procesados debe ser mayor o igual al total de Reactivos en el grupo de edad 20 - 24 años</v>
      </c>
      <c r="CO128" s="2195" t="str">
        <f t="shared" si="306"/>
        <v>* El total de procesados debe ser mayor o igual al total de Reactivos en el grupo de edad 25 a 29 años</v>
      </c>
      <c r="CP128" s="2195" t="str">
        <f t="shared" si="307"/>
        <v>* El total de procesados debe ser mayor o igual al total de Reactivos en el grupo de edad 30 a 34 años</v>
      </c>
      <c r="CQ128" s="2195" t="str">
        <f t="shared" si="308"/>
        <v>* El total de procesados debe ser mayor o igual al total de Reactivos en el grupo de edad 35 a 39 años</v>
      </c>
      <c r="CR128" s="2195" t="str">
        <f t="shared" si="309"/>
        <v>* El total de procesados debe ser mayor o igual al total de Reactivos en el grupo de edad 40 a 44 años</v>
      </c>
      <c r="CS128" s="2195" t="str">
        <f t="shared" si="310"/>
        <v>* El total de procesados debe ser mayor o igual al total de Reactivos en el grupo de edad 45 a 49 años</v>
      </c>
      <c r="CT128" s="2195" t="str">
        <f t="shared" si="311"/>
        <v>* El total de procesados debe ser mayor o igual al total de Reactivos en el grupo de edad 50 a 54 años</v>
      </c>
      <c r="CU128" s="2195" t="str">
        <f t="shared" si="312"/>
        <v>* El total de procesados debe ser mayor o igual al total de Reactivos en el grupo de edad 55 a 59 años</v>
      </c>
      <c r="CV128" s="2195" t="str">
        <f t="shared" si="313"/>
        <v>* El total de procesados debe ser mayor o igual al total de Reactivos en el grupo de edad 60 a 64 años</v>
      </c>
      <c r="CW128" s="2195" t="str">
        <f t="shared" si="314"/>
        <v>* El total de procesados debe ser mayor o igual al total de Reactivos en el grupo de edad 65 a 69 años</v>
      </c>
      <c r="CX128" s="2195" t="str">
        <f t="shared" si="315"/>
        <v>* El total de procesados debe ser mayor o igual al total de Reactivos en el grupo de edad 70 a 74 años</v>
      </c>
      <c r="CY128" s="2195" t="str">
        <f t="shared" si="316"/>
        <v>* El total de procesados debe ser mayor o igual al total de Reactivos en el grupo de edad 75 a 79 años</v>
      </c>
      <c r="CZ128" s="2195" t="str">
        <f t="shared" si="317"/>
        <v>* El total de procesados debe ser mayor o igual al total de Reactivos en el grupo de edad 80 y más años</v>
      </c>
      <c r="DA128" s="2195" t="str">
        <f t="shared" si="271"/>
        <v/>
      </c>
      <c r="DB128" s="1446">
        <f t="shared" si="272"/>
        <v>1</v>
      </c>
      <c r="DC128" s="1446" t="e">
        <f t="shared" si="273"/>
        <v>#VALUE!</v>
      </c>
      <c r="DD128" s="1446" t="e">
        <f t="shared" si="274"/>
        <v>#VALUE!</v>
      </c>
      <c r="DE128" s="1446">
        <f t="shared" si="275"/>
        <v>1</v>
      </c>
      <c r="DF128" s="1446">
        <f t="shared" si="276"/>
        <v>1</v>
      </c>
      <c r="DG128" s="1446">
        <f t="shared" si="277"/>
        <v>1</v>
      </c>
      <c r="DH128" s="1446">
        <f t="shared" si="278"/>
        <v>1</v>
      </c>
      <c r="DI128" s="1446">
        <f t="shared" si="279"/>
        <v>1</v>
      </c>
      <c r="DJ128" s="1446">
        <f t="shared" si="280"/>
        <v>1</v>
      </c>
      <c r="DK128" s="1446">
        <f t="shared" si="281"/>
        <v>1</v>
      </c>
      <c r="DL128" s="1446">
        <f t="shared" si="282"/>
        <v>1</v>
      </c>
      <c r="DM128" s="1446">
        <f t="shared" si="283"/>
        <v>1</v>
      </c>
      <c r="DN128" s="1446">
        <f t="shared" si="284"/>
        <v>1</v>
      </c>
      <c r="DO128" s="1446">
        <f t="shared" si="285"/>
        <v>1</v>
      </c>
      <c r="DP128" s="1446">
        <f t="shared" si="286"/>
        <v>1</v>
      </c>
      <c r="DQ128" s="1446">
        <f t="shared" si="287"/>
        <v>1</v>
      </c>
      <c r="DR128" s="1446">
        <f t="shared" si="288"/>
        <v>1</v>
      </c>
      <c r="DS128" s="1446">
        <f t="shared" si="289"/>
        <v>1</v>
      </c>
      <c r="DT128" s="1446">
        <f t="shared" si="290"/>
        <v>1</v>
      </c>
      <c r="DU128" s="1446">
        <f t="shared" si="291"/>
        <v>1</v>
      </c>
      <c r="DV128" s="1446">
        <f t="shared" si="292"/>
        <v>1</v>
      </c>
      <c r="DW128" s="1446">
        <f t="shared" si="293"/>
        <v>1</v>
      </c>
      <c r="DX128" s="1446">
        <f t="shared" si="294"/>
        <v>1</v>
      </c>
      <c r="DY128" s="1446">
        <f t="shared" si="295"/>
        <v>1</v>
      </c>
      <c r="DZ128" s="1446">
        <f t="shared" si="296"/>
        <v>1</v>
      </c>
      <c r="EA128" s="1446">
        <f t="shared" si="297"/>
        <v>0</v>
      </c>
    </row>
    <row r="129" spans="1:131" ht="16.2" customHeight="1" x14ac:dyDescent="0.3">
      <c r="A129" s="7258">
        <v>11056461</v>
      </c>
      <c r="B129" s="2000" t="s">
        <v>1792</v>
      </c>
      <c r="C129" s="1998" t="s">
        <v>5369</v>
      </c>
      <c r="D129" s="2044" t="s">
        <v>5370</v>
      </c>
      <c r="E129" s="1130" t="s">
        <v>5371</v>
      </c>
      <c r="F129" s="1131" t="s">
        <v>5372</v>
      </c>
      <c r="G129" s="1132" t="s">
        <v>5373</v>
      </c>
      <c r="H129" s="1131" t="s">
        <v>5374</v>
      </c>
      <c r="I129" s="1132" t="s">
        <v>5375</v>
      </c>
      <c r="J129" s="1131" t="s">
        <v>5376</v>
      </c>
      <c r="K129" s="1132" t="s">
        <v>5377</v>
      </c>
      <c r="L129" s="1131" t="s">
        <v>5378</v>
      </c>
      <c r="M129" s="1132" t="s">
        <v>5379</v>
      </c>
      <c r="N129" s="1133" t="s">
        <v>5380</v>
      </c>
      <c r="O129" s="1134" t="s">
        <v>5381</v>
      </c>
      <c r="P129" s="1135" t="s">
        <v>5382</v>
      </c>
      <c r="Q129" s="1114" t="s">
        <v>5383</v>
      </c>
      <c r="R129" s="1135" t="s">
        <v>5384</v>
      </c>
      <c r="S129" s="1114" t="s">
        <v>5385</v>
      </c>
      <c r="T129" s="1135" t="s">
        <v>5386</v>
      </c>
      <c r="U129" s="1114" t="s">
        <v>5387</v>
      </c>
      <c r="V129" s="1135" t="s">
        <v>5388</v>
      </c>
      <c r="W129" s="1114" t="s">
        <v>5389</v>
      </c>
      <c r="X129" s="1135" t="s">
        <v>5390</v>
      </c>
      <c r="Y129" s="1114" t="s">
        <v>5391</v>
      </c>
      <c r="Z129" s="1135" t="s">
        <v>5392</v>
      </c>
      <c r="AA129" s="1114" t="s">
        <v>5393</v>
      </c>
      <c r="AB129" s="1135" t="s">
        <v>5394</v>
      </c>
      <c r="AC129" s="1114" t="s">
        <v>5395</v>
      </c>
      <c r="AD129" s="1135" t="s">
        <v>5396</v>
      </c>
      <c r="AE129" s="1114" t="s">
        <v>5397</v>
      </c>
      <c r="AF129" s="1135" t="s">
        <v>5398</v>
      </c>
      <c r="AG129" s="1114" t="s">
        <v>5399</v>
      </c>
      <c r="AH129" s="1135" t="s">
        <v>5400</v>
      </c>
      <c r="AI129" s="1114" t="s">
        <v>5401</v>
      </c>
      <c r="AJ129" s="1135" t="s">
        <v>5402</v>
      </c>
      <c r="AK129" s="1114" t="s">
        <v>5403</v>
      </c>
      <c r="AL129" s="1135" t="s">
        <v>5404</v>
      </c>
      <c r="AM129" s="1114" t="s">
        <v>5405</v>
      </c>
      <c r="AN129" s="1135" t="s">
        <v>5406</v>
      </c>
      <c r="AO129" s="1114" t="s">
        <v>5407</v>
      </c>
      <c r="AP129" s="1135" t="s">
        <v>5408</v>
      </c>
      <c r="AQ129" s="1114" t="s">
        <v>5409</v>
      </c>
      <c r="AR129" s="1136" t="s">
        <v>5410</v>
      </c>
      <c r="AS129" s="1137" t="s">
        <v>5411</v>
      </c>
      <c r="AT129" s="1136" t="s">
        <v>5412</v>
      </c>
      <c r="AU129" s="1134" t="s">
        <v>5413</v>
      </c>
      <c r="AV129" s="1135" t="s">
        <v>5414</v>
      </c>
      <c r="AW129" s="1114" t="s">
        <v>5415</v>
      </c>
      <c r="AX129" s="1118" t="s">
        <v>5416</v>
      </c>
      <c r="AY129" s="1197" t="e">
        <f t="shared" si="265"/>
        <v>#VALUE!</v>
      </c>
      <c r="AZ129" s="1197"/>
      <c r="BA129" s="1197"/>
      <c r="BB129" s="1197"/>
      <c r="BC129" s="1197"/>
      <c r="BD129" s="1197"/>
      <c r="BE129" s="1197"/>
      <c r="BF129" s="1197"/>
      <c r="BG129" s="1197"/>
      <c r="BH129" s="1197"/>
      <c r="BI129" s="1197"/>
      <c r="BJ129" s="1191"/>
      <c r="BK129" s="1191"/>
      <c r="BL129" s="1191"/>
      <c r="BM129" s="1191"/>
      <c r="BV129" s="1547"/>
      <c r="BW129" s="1547"/>
      <c r="BX129" s="1547"/>
      <c r="CB129" s="2195" t="str">
        <f t="shared" si="266"/>
        <v xml:space="preserve">* El total de Reactivos NO DEBE ser superior al total de Procesados. </v>
      </c>
      <c r="CC129" s="2195" t="e">
        <f t="shared" si="267"/>
        <v>#VALUE!</v>
      </c>
      <c r="CD129" s="2195" t="e">
        <f t="shared" si="268"/>
        <v>#VALUE!</v>
      </c>
      <c r="CE129" s="2195" t="str">
        <f t="shared" si="269"/>
        <v xml:space="preserve">* La columna Pueblos Originarios NO DEBE ser superior al total de Procesados. </v>
      </c>
      <c r="CF129" s="2195" t="str">
        <f t="shared" si="270"/>
        <v xml:space="preserve">* La columna Migrantes NO DEBE ser superior al total de Procesados. </v>
      </c>
      <c r="CG129" s="2195" t="str">
        <f t="shared" si="298"/>
        <v>* El total de procesados debe ser mayor o igual al total de Reactivos en el grupo de edad Menor de 6 meses</v>
      </c>
      <c r="CH129" s="2195" t="str">
        <f t="shared" si="299"/>
        <v>* El total de procesados debe ser mayor o igual al total de Reactivos en el grupo de edad 6 a 11 meses</v>
      </c>
      <c r="CI129" s="2195" t="str">
        <f t="shared" si="300"/>
        <v>* El total de procesados debe ser mayor o igual al total de Reactivos en el grupo de edad 12-24 meses</v>
      </c>
      <c r="CJ129" s="2195" t="str">
        <f t="shared" si="301"/>
        <v>* El total de procesados debe ser mayor o igual al total de Reactivos en el grupo de edad 3 a 4 años</v>
      </c>
      <c r="CK129" s="2195" t="str">
        <f t="shared" si="302"/>
        <v>* El total de procesados debe ser mayor o igual al total de Reactivos en el grupo de edad 5 a 9 años</v>
      </c>
      <c r="CL129" s="2195" t="str">
        <f t="shared" si="303"/>
        <v>* El total de procesados debe ser mayor o igual al total de Reactivos en el grupo de edad 10 - 14 años</v>
      </c>
      <c r="CM129" s="2195" t="str">
        <f t="shared" si="304"/>
        <v>* El total de procesados debe ser mayor o igual al total de Reactivos en el grupo de edad 15 - 19 años</v>
      </c>
      <c r="CN129" s="2195" t="str">
        <f t="shared" si="305"/>
        <v>* El total de procesados debe ser mayor o igual al total de Reactivos en el grupo de edad 20 - 24 años</v>
      </c>
      <c r="CO129" s="2195" t="str">
        <f t="shared" si="306"/>
        <v>* El total de procesados debe ser mayor o igual al total de Reactivos en el grupo de edad 25 a 29 años</v>
      </c>
      <c r="CP129" s="2195" t="str">
        <f t="shared" si="307"/>
        <v>* El total de procesados debe ser mayor o igual al total de Reactivos en el grupo de edad 30 a 34 años</v>
      </c>
      <c r="CQ129" s="2195" t="str">
        <f t="shared" si="308"/>
        <v>* El total de procesados debe ser mayor o igual al total de Reactivos en el grupo de edad 35 a 39 años</v>
      </c>
      <c r="CR129" s="2195" t="str">
        <f t="shared" si="309"/>
        <v>* El total de procesados debe ser mayor o igual al total de Reactivos en el grupo de edad 40 a 44 años</v>
      </c>
      <c r="CS129" s="2195" t="str">
        <f t="shared" si="310"/>
        <v>* El total de procesados debe ser mayor o igual al total de Reactivos en el grupo de edad 45 a 49 años</v>
      </c>
      <c r="CT129" s="2195" t="str">
        <f t="shared" si="311"/>
        <v>* El total de procesados debe ser mayor o igual al total de Reactivos en el grupo de edad 50 a 54 años</v>
      </c>
      <c r="CU129" s="2195" t="str">
        <f t="shared" si="312"/>
        <v>* El total de procesados debe ser mayor o igual al total de Reactivos en el grupo de edad 55 a 59 años</v>
      </c>
      <c r="CV129" s="2195" t="str">
        <f t="shared" si="313"/>
        <v>* El total de procesados debe ser mayor o igual al total de Reactivos en el grupo de edad 60 a 64 años</v>
      </c>
      <c r="CW129" s="2195" t="str">
        <f t="shared" si="314"/>
        <v>* El total de procesados debe ser mayor o igual al total de Reactivos en el grupo de edad 65 a 69 años</v>
      </c>
      <c r="CX129" s="2195" t="str">
        <f t="shared" si="315"/>
        <v>* El total de procesados debe ser mayor o igual al total de Reactivos en el grupo de edad 70 a 74 años</v>
      </c>
      <c r="CY129" s="2195" t="str">
        <f t="shared" si="316"/>
        <v>* El total de procesados debe ser mayor o igual al total de Reactivos en el grupo de edad 75 a 79 años</v>
      </c>
      <c r="CZ129" s="2195" t="str">
        <f t="shared" si="317"/>
        <v>* El total de procesados debe ser mayor o igual al total de Reactivos en el grupo de edad 80 y más años</v>
      </c>
      <c r="DA129" s="2195" t="str">
        <f t="shared" si="271"/>
        <v/>
      </c>
      <c r="DB129" s="1446">
        <f t="shared" si="272"/>
        <v>1</v>
      </c>
      <c r="DC129" s="1446" t="e">
        <f t="shared" si="273"/>
        <v>#VALUE!</v>
      </c>
      <c r="DD129" s="1446" t="e">
        <f t="shared" si="274"/>
        <v>#VALUE!</v>
      </c>
      <c r="DE129" s="1446">
        <f t="shared" si="275"/>
        <v>1</v>
      </c>
      <c r="DF129" s="1446">
        <f t="shared" si="276"/>
        <v>1</v>
      </c>
      <c r="DG129" s="1446">
        <f t="shared" si="277"/>
        <v>1</v>
      </c>
      <c r="DH129" s="1446">
        <f t="shared" si="278"/>
        <v>1</v>
      </c>
      <c r="DI129" s="1446">
        <f t="shared" si="279"/>
        <v>1</v>
      </c>
      <c r="DJ129" s="1446">
        <f t="shared" si="280"/>
        <v>1</v>
      </c>
      <c r="DK129" s="1446">
        <f t="shared" si="281"/>
        <v>1</v>
      </c>
      <c r="DL129" s="1446">
        <f t="shared" si="282"/>
        <v>1</v>
      </c>
      <c r="DM129" s="1446">
        <f t="shared" si="283"/>
        <v>1</v>
      </c>
      <c r="DN129" s="1446">
        <f t="shared" si="284"/>
        <v>1</v>
      </c>
      <c r="DO129" s="1446">
        <f t="shared" si="285"/>
        <v>1</v>
      </c>
      <c r="DP129" s="1446">
        <f t="shared" si="286"/>
        <v>1</v>
      </c>
      <c r="DQ129" s="1446">
        <f t="shared" si="287"/>
        <v>1</v>
      </c>
      <c r="DR129" s="1446">
        <f t="shared" si="288"/>
        <v>1</v>
      </c>
      <c r="DS129" s="1446">
        <f t="shared" si="289"/>
        <v>1</v>
      </c>
      <c r="DT129" s="1446">
        <f t="shared" si="290"/>
        <v>1</v>
      </c>
      <c r="DU129" s="1446">
        <f t="shared" si="291"/>
        <v>1</v>
      </c>
      <c r="DV129" s="1446">
        <f t="shared" si="292"/>
        <v>1</v>
      </c>
      <c r="DW129" s="1446">
        <f t="shared" si="293"/>
        <v>1</v>
      </c>
      <c r="DX129" s="1446">
        <f t="shared" si="294"/>
        <v>1</v>
      </c>
      <c r="DY129" s="1446">
        <f t="shared" si="295"/>
        <v>1</v>
      </c>
      <c r="DZ129" s="1446">
        <f t="shared" si="296"/>
        <v>1</v>
      </c>
      <c r="EA129" s="1446">
        <f t="shared" si="297"/>
        <v>0</v>
      </c>
    </row>
    <row r="130" spans="1:131" ht="16.2" customHeight="1" x14ac:dyDescent="0.3">
      <c r="A130" s="7258">
        <v>11056462</v>
      </c>
      <c r="B130" s="2000" t="s">
        <v>1793</v>
      </c>
      <c r="C130" s="1998" t="s">
        <v>5369</v>
      </c>
      <c r="D130" s="2044" t="s">
        <v>5370</v>
      </c>
      <c r="E130" s="1134" t="s">
        <v>5371</v>
      </c>
      <c r="F130" s="1135" t="s">
        <v>5372</v>
      </c>
      <c r="G130" s="1114" t="s">
        <v>5373</v>
      </c>
      <c r="H130" s="1135" t="s">
        <v>5374</v>
      </c>
      <c r="I130" s="1114" t="s">
        <v>5375</v>
      </c>
      <c r="J130" s="1118" t="s">
        <v>5376</v>
      </c>
      <c r="K130" s="1134" t="s">
        <v>5377</v>
      </c>
      <c r="L130" s="1134" t="s">
        <v>5378</v>
      </c>
      <c r="M130" s="1114" t="s">
        <v>5379</v>
      </c>
      <c r="N130" s="1118" t="s">
        <v>5380</v>
      </c>
      <c r="O130" s="1134" t="s">
        <v>5381</v>
      </c>
      <c r="P130" s="1135" t="s">
        <v>5382</v>
      </c>
      <c r="Q130" s="1114" t="s">
        <v>5383</v>
      </c>
      <c r="R130" s="1135" t="s">
        <v>5384</v>
      </c>
      <c r="S130" s="1114" t="s">
        <v>5385</v>
      </c>
      <c r="T130" s="1135" t="s">
        <v>5386</v>
      </c>
      <c r="U130" s="1114" t="s">
        <v>5387</v>
      </c>
      <c r="V130" s="1135" t="s">
        <v>5388</v>
      </c>
      <c r="W130" s="1114" t="s">
        <v>5389</v>
      </c>
      <c r="X130" s="1135" t="s">
        <v>5390</v>
      </c>
      <c r="Y130" s="1114" t="s">
        <v>5391</v>
      </c>
      <c r="Z130" s="1135" t="s">
        <v>5392</v>
      </c>
      <c r="AA130" s="1114" t="s">
        <v>5393</v>
      </c>
      <c r="AB130" s="1135" t="s">
        <v>5394</v>
      </c>
      <c r="AC130" s="1114" t="s">
        <v>5395</v>
      </c>
      <c r="AD130" s="1135" t="s">
        <v>5396</v>
      </c>
      <c r="AE130" s="1114" t="s">
        <v>5397</v>
      </c>
      <c r="AF130" s="1135" t="s">
        <v>5398</v>
      </c>
      <c r="AG130" s="1114" t="s">
        <v>5399</v>
      </c>
      <c r="AH130" s="1135" t="s">
        <v>5400</v>
      </c>
      <c r="AI130" s="1114" t="s">
        <v>5401</v>
      </c>
      <c r="AJ130" s="1135" t="s">
        <v>5402</v>
      </c>
      <c r="AK130" s="1114" t="s">
        <v>5403</v>
      </c>
      <c r="AL130" s="1135" t="s">
        <v>5404</v>
      </c>
      <c r="AM130" s="1114" t="s">
        <v>5405</v>
      </c>
      <c r="AN130" s="1135" t="s">
        <v>5406</v>
      </c>
      <c r="AO130" s="1114" t="s">
        <v>5407</v>
      </c>
      <c r="AP130" s="1135" t="s">
        <v>5408</v>
      </c>
      <c r="AQ130" s="1114" t="s">
        <v>5409</v>
      </c>
      <c r="AR130" s="1136" t="s">
        <v>5410</v>
      </c>
      <c r="AS130" s="1137" t="s">
        <v>5411</v>
      </c>
      <c r="AT130" s="1136" t="s">
        <v>5412</v>
      </c>
      <c r="AU130" s="1134" t="s">
        <v>5413</v>
      </c>
      <c r="AV130" s="1135" t="s">
        <v>5414</v>
      </c>
      <c r="AW130" s="1114" t="s">
        <v>5415</v>
      </c>
      <c r="AX130" s="1118" t="s">
        <v>5416</v>
      </c>
      <c r="AY130" s="1197" t="e">
        <f t="shared" si="265"/>
        <v>#VALUE!</v>
      </c>
      <c r="AZ130" s="1197"/>
      <c r="BA130" s="1197"/>
      <c r="BB130" s="1197"/>
      <c r="BC130" s="1197"/>
      <c r="BD130" s="1197"/>
      <c r="BE130" s="1197"/>
      <c r="BF130" s="1197"/>
      <c r="BG130" s="1197"/>
      <c r="BH130" s="1197"/>
      <c r="BI130" s="1197"/>
      <c r="BJ130" s="1191"/>
      <c r="BK130" s="1191"/>
      <c r="BL130" s="1191"/>
      <c r="BM130" s="1191"/>
      <c r="BV130" s="1547"/>
      <c r="BW130" s="1547"/>
      <c r="BX130" s="1547"/>
      <c r="CB130" s="2195" t="str">
        <f t="shared" si="266"/>
        <v xml:space="preserve">* El total de Reactivos NO DEBE ser superior al total de Procesados. </v>
      </c>
      <c r="CC130" s="2195" t="e">
        <f t="shared" si="267"/>
        <v>#VALUE!</v>
      </c>
      <c r="CD130" s="2195" t="e">
        <f t="shared" si="268"/>
        <v>#VALUE!</v>
      </c>
      <c r="CE130" s="2195" t="str">
        <f t="shared" si="269"/>
        <v xml:space="preserve">* La columna Pueblos Originarios NO DEBE ser superior al total de Procesados. </v>
      </c>
      <c r="CF130" s="2195" t="str">
        <f t="shared" si="270"/>
        <v xml:space="preserve">* La columna Migrantes NO DEBE ser superior al total de Procesados. </v>
      </c>
      <c r="CG130" s="2195" t="str">
        <f t="shared" si="298"/>
        <v>* El total de procesados debe ser mayor o igual al total de Reactivos en el grupo de edad Menor de 6 meses</v>
      </c>
      <c r="CH130" s="2195" t="str">
        <f t="shared" si="299"/>
        <v>* El total de procesados debe ser mayor o igual al total de Reactivos en el grupo de edad 6 a 11 meses</v>
      </c>
      <c r="CI130" s="2195" t="str">
        <f t="shared" si="300"/>
        <v>* El total de procesados debe ser mayor o igual al total de Reactivos en el grupo de edad 12-24 meses</v>
      </c>
      <c r="CJ130" s="2195" t="str">
        <f t="shared" si="301"/>
        <v>* El total de procesados debe ser mayor o igual al total de Reactivos en el grupo de edad 3 a 4 años</v>
      </c>
      <c r="CK130" s="2195" t="str">
        <f t="shared" si="302"/>
        <v>* El total de procesados debe ser mayor o igual al total de Reactivos en el grupo de edad 5 a 9 años</v>
      </c>
      <c r="CL130" s="2195" t="str">
        <f t="shared" si="303"/>
        <v>* El total de procesados debe ser mayor o igual al total de Reactivos en el grupo de edad 10 - 14 años</v>
      </c>
      <c r="CM130" s="2195" t="str">
        <f t="shared" si="304"/>
        <v>* El total de procesados debe ser mayor o igual al total de Reactivos en el grupo de edad 15 - 19 años</v>
      </c>
      <c r="CN130" s="2195" t="str">
        <f t="shared" si="305"/>
        <v>* El total de procesados debe ser mayor o igual al total de Reactivos en el grupo de edad 20 - 24 años</v>
      </c>
      <c r="CO130" s="2195" t="str">
        <f t="shared" si="306"/>
        <v>* El total de procesados debe ser mayor o igual al total de Reactivos en el grupo de edad 25 a 29 años</v>
      </c>
      <c r="CP130" s="2195" t="str">
        <f t="shared" si="307"/>
        <v>* El total de procesados debe ser mayor o igual al total de Reactivos en el grupo de edad 30 a 34 años</v>
      </c>
      <c r="CQ130" s="2195" t="str">
        <f t="shared" si="308"/>
        <v>* El total de procesados debe ser mayor o igual al total de Reactivos en el grupo de edad 35 a 39 años</v>
      </c>
      <c r="CR130" s="2195" t="str">
        <f t="shared" si="309"/>
        <v>* El total de procesados debe ser mayor o igual al total de Reactivos en el grupo de edad 40 a 44 años</v>
      </c>
      <c r="CS130" s="2195" t="str">
        <f t="shared" si="310"/>
        <v>* El total de procesados debe ser mayor o igual al total de Reactivos en el grupo de edad 45 a 49 años</v>
      </c>
      <c r="CT130" s="2195" t="str">
        <f t="shared" si="311"/>
        <v>* El total de procesados debe ser mayor o igual al total de Reactivos en el grupo de edad 50 a 54 años</v>
      </c>
      <c r="CU130" s="2195" t="str">
        <f t="shared" si="312"/>
        <v>* El total de procesados debe ser mayor o igual al total de Reactivos en el grupo de edad 55 a 59 años</v>
      </c>
      <c r="CV130" s="2195" t="str">
        <f t="shared" si="313"/>
        <v>* El total de procesados debe ser mayor o igual al total de Reactivos en el grupo de edad 60 a 64 años</v>
      </c>
      <c r="CW130" s="2195" t="str">
        <f t="shared" si="314"/>
        <v>* El total de procesados debe ser mayor o igual al total de Reactivos en el grupo de edad 65 a 69 años</v>
      </c>
      <c r="CX130" s="2195" t="str">
        <f t="shared" si="315"/>
        <v>* El total de procesados debe ser mayor o igual al total de Reactivos en el grupo de edad 70 a 74 años</v>
      </c>
      <c r="CY130" s="2195" t="str">
        <f t="shared" si="316"/>
        <v>* El total de procesados debe ser mayor o igual al total de Reactivos en el grupo de edad 75 a 79 años</v>
      </c>
      <c r="CZ130" s="2195" t="str">
        <f t="shared" si="317"/>
        <v>* El total de procesados debe ser mayor o igual al total de Reactivos en el grupo de edad 80 y más años</v>
      </c>
      <c r="DA130" s="2195" t="str">
        <f t="shared" si="271"/>
        <v/>
      </c>
      <c r="DB130" s="1446">
        <f t="shared" si="272"/>
        <v>1</v>
      </c>
      <c r="DC130" s="1446" t="e">
        <f t="shared" si="273"/>
        <v>#VALUE!</v>
      </c>
      <c r="DD130" s="1446" t="e">
        <f t="shared" si="274"/>
        <v>#VALUE!</v>
      </c>
      <c r="DE130" s="1446">
        <f t="shared" si="275"/>
        <v>1</v>
      </c>
      <c r="DF130" s="1446">
        <f t="shared" si="276"/>
        <v>1</v>
      </c>
      <c r="DG130" s="1446">
        <f t="shared" si="277"/>
        <v>1</v>
      </c>
      <c r="DH130" s="1446">
        <f t="shared" si="278"/>
        <v>1</v>
      </c>
      <c r="DI130" s="1446">
        <f t="shared" si="279"/>
        <v>1</v>
      </c>
      <c r="DJ130" s="1446">
        <f t="shared" si="280"/>
        <v>1</v>
      </c>
      <c r="DK130" s="1446">
        <f t="shared" si="281"/>
        <v>1</v>
      </c>
      <c r="DL130" s="1446">
        <f t="shared" si="282"/>
        <v>1</v>
      </c>
      <c r="DM130" s="1446">
        <f t="shared" si="283"/>
        <v>1</v>
      </c>
      <c r="DN130" s="1446">
        <f t="shared" si="284"/>
        <v>1</v>
      </c>
      <c r="DO130" s="1446">
        <f t="shared" si="285"/>
        <v>1</v>
      </c>
      <c r="DP130" s="1446">
        <f t="shared" si="286"/>
        <v>1</v>
      </c>
      <c r="DQ130" s="1446">
        <f t="shared" si="287"/>
        <v>1</v>
      </c>
      <c r="DR130" s="1446">
        <f t="shared" si="288"/>
        <v>1</v>
      </c>
      <c r="DS130" s="1446">
        <f t="shared" si="289"/>
        <v>1</v>
      </c>
      <c r="DT130" s="1446">
        <f t="shared" si="290"/>
        <v>1</v>
      </c>
      <c r="DU130" s="1446">
        <f t="shared" si="291"/>
        <v>1</v>
      </c>
      <c r="DV130" s="1446">
        <f t="shared" si="292"/>
        <v>1</v>
      </c>
      <c r="DW130" s="1446">
        <f t="shared" si="293"/>
        <v>1</v>
      </c>
      <c r="DX130" s="1446">
        <f t="shared" si="294"/>
        <v>1</v>
      </c>
      <c r="DY130" s="1446">
        <f t="shared" si="295"/>
        <v>1</v>
      </c>
      <c r="DZ130" s="1446">
        <f t="shared" si="296"/>
        <v>1</v>
      </c>
      <c r="EA130" s="1446">
        <f t="shared" si="297"/>
        <v>0</v>
      </c>
    </row>
    <row r="131" spans="1:131" ht="24" customHeight="1" x14ac:dyDescent="0.3">
      <c r="A131" s="7258">
        <v>11056463</v>
      </c>
      <c r="B131" s="2045" t="s">
        <v>1794</v>
      </c>
      <c r="C131" s="1998" t="s">
        <v>5369</v>
      </c>
      <c r="D131" s="2044" t="s">
        <v>5370</v>
      </c>
      <c r="E131" s="1134" t="s">
        <v>5371</v>
      </c>
      <c r="F131" s="1135" t="s">
        <v>5372</v>
      </c>
      <c r="G131" s="1114" t="s">
        <v>5373</v>
      </c>
      <c r="H131" s="1135" t="s">
        <v>5374</v>
      </c>
      <c r="I131" s="1114" t="s">
        <v>5375</v>
      </c>
      <c r="J131" s="1118" t="s">
        <v>5376</v>
      </c>
      <c r="K131" s="1140" t="s">
        <v>5377</v>
      </c>
      <c r="L131" s="1141" t="s">
        <v>5378</v>
      </c>
      <c r="M131" s="1140" t="s">
        <v>5379</v>
      </c>
      <c r="N131" s="1141" t="s">
        <v>5380</v>
      </c>
      <c r="O131" s="1140" t="s">
        <v>5381</v>
      </c>
      <c r="P131" s="1141" t="s">
        <v>5382</v>
      </c>
      <c r="Q131" s="1140" t="s">
        <v>5383</v>
      </c>
      <c r="R131" s="1141" t="s">
        <v>5384</v>
      </c>
      <c r="S131" s="1140" t="s">
        <v>5385</v>
      </c>
      <c r="T131" s="1141" t="s">
        <v>5386</v>
      </c>
      <c r="U131" s="1140" t="s">
        <v>5387</v>
      </c>
      <c r="V131" s="1141" t="s">
        <v>5388</v>
      </c>
      <c r="W131" s="1140" t="s">
        <v>5389</v>
      </c>
      <c r="X131" s="1141" t="s">
        <v>5390</v>
      </c>
      <c r="Y131" s="1140" t="s">
        <v>5391</v>
      </c>
      <c r="Z131" s="1141" t="s">
        <v>5392</v>
      </c>
      <c r="AA131" s="1140" t="s">
        <v>5393</v>
      </c>
      <c r="AB131" s="1141" t="s">
        <v>5394</v>
      </c>
      <c r="AC131" s="1140" t="s">
        <v>5395</v>
      </c>
      <c r="AD131" s="1141" t="s">
        <v>5396</v>
      </c>
      <c r="AE131" s="1140" t="s">
        <v>5397</v>
      </c>
      <c r="AF131" s="1141" t="s">
        <v>5398</v>
      </c>
      <c r="AG131" s="1140" t="s">
        <v>5399</v>
      </c>
      <c r="AH131" s="1141" t="s">
        <v>5400</v>
      </c>
      <c r="AI131" s="1140" t="s">
        <v>5401</v>
      </c>
      <c r="AJ131" s="1141" t="s">
        <v>5402</v>
      </c>
      <c r="AK131" s="1140" t="s">
        <v>5403</v>
      </c>
      <c r="AL131" s="1141" t="s">
        <v>5404</v>
      </c>
      <c r="AM131" s="1140" t="s">
        <v>5405</v>
      </c>
      <c r="AN131" s="1141" t="s">
        <v>5406</v>
      </c>
      <c r="AO131" s="1140" t="s">
        <v>5407</v>
      </c>
      <c r="AP131" s="1141" t="s">
        <v>5408</v>
      </c>
      <c r="AQ131" s="1140" t="s">
        <v>5409</v>
      </c>
      <c r="AR131" s="1142" t="s">
        <v>5410</v>
      </c>
      <c r="AS131" s="1134" t="s">
        <v>5411</v>
      </c>
      <c r="AT131" s="1136" t="s">
        <v>5412</v>
      </c>
      <c r="AU131" s="1134" t="s">
        <v>5413</v>
      </c>
      <c r="AV131" s="1135" t="s">
        <v>5414</v>
      </c>
      <c r="AW131" s="1114" t="s">
        <v>5415</v>
      </c>
      <c r="AX131" s="1118" t="s">
        <v>5416</v>
      </c>
      <c r="AY131" s="1197" t="e">
        <f t="shared" si="265"/>
        <v>#VALUE!</v>
      </c>
      <c r="AZ131" s="1197"/>
      <c r="BA131" s="1197"/>
      <c r="BB131" s="1197"/>
      <c r="BC131" s="1197"/>
      <c r="BD131" s="1197"/>
      <c r="BE131" s="1197"/>
      <c r="BF131" s="1197"/>
      <c r="BG131" s="1197"/>
      <c r="BH131" s="1197"/>
      <c r="BI131" s="1197"/>
      <c r="BJ131" s="1191"/>
      <c r="BK131" s="1191"/>
      <c r="BL131" s="1191"/>
      <c r="BM131" s="1191"/>
      <c r="BV131" s="1547"/>
      <c r="BW131" s="1547"/>
      <c r="BX131" s="1547"/>
      <c r="CB131" s="2195" t="str">
        <f t="shared" si="266"/>
        <v xml:space="preserve">* El total de Reactivos NO DEBE ser superior al total de Procesados. </v>
      </c>
      <c r="CC131" s="2195" t="e">
        <f t="shared" si="267"/>
        <v>#VALUE!</v>
      </c>
      <c r="CD131" s="2195" t="e">
        <f t="shared" si="268"/>
        <v>#VALUE!</v>
      </c>
      <c r="CE131" s="2195" t="str">
        <f t="shared" si="269"/>
        <v xml:space="preserve">* La columna Pueblos Originarios NO DEBE ser superior al total de Procesados. </v>
      </c>
      <c r="CF131" s="2195" t="str">
        <f t="shared" si="270"/>
        <v xml:space="preserve">* La columna Migrantes NO DEBE ser superior al total de Procesados. </v>
      </c>
      <c r="CG131" s="2195" t="str">
        <f t="shared" si="298"/>
        <v>* El total de procesados debe ser mayor o igual al total de Reactivos en el grupo de edad Menor de 6 meses</v>
      </c>
      <c r="CH131" s="2195" t="str">
        <f t="shared" si="299"/>
        <v>* El total de procesados debe ser mayor o igual al total de Reactivos en el grupo de edad 6 a 11 meses</v>
      </c>
      <c r="CI131" s="2195" t="str">
        <f t="shared" si="300"/>
        <v>* El total de procesados debe ser mayor o igual al total de Reactivos en el grupo de edad 12-24 meses</v>
      </c>
      <c r="CJ131" s="2195" t="str">
        <f t="shared" si="301"/>
        <v>* El total de procesados debe ser mayor o igual al total de Reactivos en el grupo de edad 3 a 4 años</v>
      </c>
      <c r="CK131" s="2195" t="str">
        <f t="shared" si="302"/>
        <v>* El total de procesados debe ser mayor o igual al total de Reactivos en el grupo de edad 5 a 9 años</v>
      </c>
      <c r="CL131" s="2195" t="str">
        <f t="shared" si="303"/>
        <v>* El total de procesados debe ser mayor o igual al total de Reactivos en el grupo de edad 10 - 14 años</v>
      </c>
      <c r="CM131" s="2195" t="str">
        <f t="shared" si="304"/>
        <v>* El total de procesados debe ser mayor o igual al total de Reactivos en el grupo de edad 15 - 19 años</v>
      </c>
      <c r="CN131" s="2195" t="str">
        <f t="shared" si="305"/>
        <v>* El total de procesados debe ser mayor o igual al total de Reactivos en el grupo de edad 20 - 24 años</v>
      </c>
      <c r="CO131" s="2195" t="str">
        <f t="shared" si="306"/>
        <v>* El total de procesados debe ser mayor o igual al total de Reactivos en el grupo de edad 25 a 29 años</v>
      </c>
      <c r="CP131" s="2195" t="str">
        <f t="shared" si="307"/>
        <v>* El total de procesados debe ser mayor o igual al total de Reactivos en el grupo de edad 30 a 34 años</v>
      </c>
      <c r="CQ131" s="2195" t="str">
        <f t="shared" si="308"/>
        <v>* El total de procesados debe ser mayor o igual al total de Reactivos en el grupo de edad 35 a 39 años</v>
      </c>
      <c r="CR131" s="2195" t="str">
        <f t="shared" si="309"/>
        <v>* El total de procesados debe ser mayor o igual al total de Reactivos en el grupo de edad 40 a 44 años</v>
      </c>
      <c r="CS131" s="2195" t="str">
        <f t="shared" si="310"/>
        <v>* El total de procesados debe ser mayor o igual al total de Reactivos en el grupo de edad 45 a 49 años</v>
      </c>
      <c r="CT131" s="2195" t="str">
        <f t="shared" si="311"/>
        <v>* El total de procesados debe ser mayor o igual al total de Reactivos en el grupo de edad 50 a 54 años</v>
      </c>
      <c r="CU131" s="2195" t="str">
        <f t="shared" si="312"/>
        <v>* El total de procesados debe ser mayor o igual al total de Reactivos en el grupo de edad 55 a 59 años</v>
      </c>
      <c r="CV131" s="2195" t="str">
        <f t="shared" si="313"/>
        <v>* El total de procesados debe ser mayor o igual al total de Reactivos en el grupo de edad 60 a 64 años</v>
      </c>
      <c r="CW131" s="2195" t="str">
        <f t="shared" si="314"/>
        <v>* El total de procesados debe ser mayor o igual al total de Reactivos en el grupo de edad 65 a 69 años</v>
      </c>
      <c r="CX131" s="2195" t="str">
        <f t="shared" si="315"/>
        <v>* El total de procesados debe ser mayor o igual al total de Reactivos en el grupo de edad 70 a 74 años</v>
      </c>
      <c r="CY131" s="2195" t="str">
        <f t="shared" si="316"/>
        <v>* El total de procesados debe ser mayor o igual al total de Reactivos en el grupo de edad 75 a 79 años</v>
      </c>
      <c r="CZ131" s="2195" t="str">
        <f t="shared" si="317"/>
        <v>* El total de procesados debe ser mayor o igual al total de Reactivos en el grupo de edad 80 y más años</v>
      </c>
      <c r="DA131" s="2195" t="str">
        <f t="shared" si="271"/>
        <v/>
      </c>
      <c r="DB131" s="1446">
        <f t="shared" si="272"/>
        <v>1</v>
      </c>
      <c r="DC131" s="1446" t="e">
        <f t="shared" si="273"/>
        <v>#VALUE!</v>
      </c>
      <c r="DD131" s="1446" t="e">
        <f t="shared" si="274"/>
        <v>#VALUE!</v>
      </c>
      <c r="DE131" s="1446">
        <f t="shared" si="275"/>
        <v>1</v>
      </c>
      <c r="DF131" s="1446">
        <f t="shared" si="276"/>
        <v>1</v>
      </c>
      <c r="DG131" s="1446">
        <f t="shared" si="277"/>
        <v>1</v>
      </c>
      <c r="DH131" s="1446">
        <f t="shared" si="278"/>
        <v>1</v>
      </c>
      <c r="DI131" s="1446">
        <f t="shared" si="279"/>
        <v>1</v>
      </c>
      <c r="DJ131" s="1446">
        <f t="shared" si="280"/>
        <v>1</v>
      </c>
      <c r="DK131" s="1446">
        <f t="shared" si="281"/>
        <v>1</v>
      </c>
      <c r="DL131" s="1446">
        <f t="shared" si="282"/>
        <v>1</v>
      </c>
      <c r="DM131" s="1446">
        <f t="shared" si="283"/>
        <v>1</v>
      </c>
      <c r="DN131" s="1446">
        <f t="shared" si="284"/>
        <v>1</v>
      </c>
      <c r="DO131" s="1446">
        <f t="shared" si="285"/>
        <v>1</v>
      </c>
      <c r="DP131" s="1446">
        <f t="shared" si="286"/>
        <v>1</v>
      </c>
      <c r="DQ131" s="1446">
        <f t="shared" si="287"/>
        <v>1</v>
      </c>
      <c r="DR131" s="1446">
        <f t="shared" si="288"/>
        <v>1</v>
      </c>
      <c r="DS131" s="1446">
        <f t="shared" si="289"/>
        <v>1</v>
      </c>
      <c r="DT131" s="1446">
        <f t="shared" si="290"/>
        <v>1</v>
      </c>
      <c r="DU131" s="1446">
        <f t="shared" si="291"/>
        <v>1</v>
      </c>
      <c r="DV131" s="1446">
        <f t="shared" si="292"/>
        <v>1</v>
      </c>
      <c r="DW131" s="1446">
        <f t="shared" si="293"/>
        <v>1</v>
      </c>
      <c r="DX131" s="1446">
        <f t="shared" si="294"/>
        <v>1</v>
      </c>
      <c r="DY131" s="1446">
        <f t="shared" si="295"/>
        <v>1</v>
      </c>
      <c r="DZ131" s="1446">
        <f t="shared" si="296"/>
        <v>1</v>
      </c>
      <c r="EA131" s="1446">
        <f t="shared" si="297"/>
        <v>0</v>
      </c>
    </row>
    <row r="132" spans="1:131" ht="20.25" customHeight="1" x14ac:dyDescent="0.3">
      <c r="A132" s="7258">
        <v>11056464</v>
      </c>
      <c r="B132" s="2045" t="s">
        <v>1795</v>
      </c>
      <c r="C132" s="1998" t="s">
        <v>5369</v>
      </c>
      <c r="D132" s="2044" t="s">
        <v>5370</v>
      </c>
      <c r="E132" s="1130" t="s">
        <v>5371</v>
      </c>
      <c r="F132" s="1131" t="s">
        <v>5372</v>
      </c>
      <c r="G132" s="1132" t="s">
        <v>5373</v>
      </c>
      <c r="H132" s="1131" t="s">
        <v>5374</v>
      </c>
      <c r="I132" s="1132" t="s">
        <v>5375</v>
      </c>
      <c r="J132" s="1131" t="s">
        <v>5376</v>
      </c>
      <c r="K132" s="1132" t="s">
        <v>5377</v>
      </c>
      <c r="L132" s="1131" t="s">
        <v>5378</v>
      </c>
      <c r="M132" s="1132" t="s">
        <v>5379</v>
      </c>
      <c r="N132" s="1133" t="s">
        <v>5380</v>
      </c>
      <c r="O132" s="1130" t="s">
        <v>5381</v>
      </c>
      <c r="P132" s="1131" t="s">
        <v>5382</v>
      </c>
      <c r="Q132" s="1114" t="s">
        <v>5383</v>
      </c>
      <c r="R132" s="1135" t="s">
        <v>5384</v>
      </c>
      <c r="S132" s="1114" t="s">
        <v>5385</v>
      </c>
      <c r="T132" s="1135" t="s">
        <v>5386</v>
      </c>
      <c r="U132" s="1114" t="s">
        <v>5387</v>
      </c>
      <c r="V132" s="1135" t="s">
        <v>5388</v>
      </c>
      <c r="W132" s="1114" t="s">
        <v>5389</v>
      </c>
      <c r="X132" s="1135" t="s">
        <v>5390</v>
      </c>
      <c r="Y132" s="1114" t="s">
        <v>5391</v>
      </c>
      <c r="Z132" s="1135" t="s">
        <v>5392</v>
      </c>
      <c r="AA132" s="1114" t="s">
        <v>5393</v>
      </c>
      <c r="AB132" s="1135" t="s">
        <v>5394</v>
      </c>
      <c r="AC132" s="1114" t="s">
        <v>5395</v>
      </c>
      <c r="AD132" s="1135" t="s">
        <v>5396</v>
      </c>
      <c r="AE132" s="1114" t="s">
        <v>5397</v>
      </c>
      <c r="AF132" s="1135" t="s">
        <v>5398</v>
      </c>
      <c r="AG132" s="1114" t="s">
        <v>5399</v>
      </c>
      <c r="AH132" s="1135" t="s">
        <v>5400</v>
      </c>
      <c r="AI132" s="1114" t="s">
        <v>5401</v>
      </c>
      <c r="AJ132" s="1135" t="s">
        <v>5402</v>
      </c>
      <c r="AK132" s="1114" t="s">
        <v>5403</v>
      </c>
      <c r="AL132" s="1135" t="s">
        <v>5404</v>
      </c>
      <c r="AM132" s="1114" t="s">
        <v>5405</v>
      </c>
      <c r="AN132" s="1135" t="s">
        <v>5406</v>
      </c>
      <c r="AO132" s="1114" t="s">
        <v>5407</v>
      </c>
      <c r="AP132" s="1135" t="s">
        <v>5408</v>
      </c>
      <c r="AQ132" s="1114" t="s">
        <v>5409</v>
      </c>
      <c r="AR132" s="1136" t="s">
        <v>5410</v>
      </c>
      <c r="AS132" s="1134" t="s">
        <v>5411</v>
      </c>
      <c r="AT132" s="1136" t="s">
        <v>5412</v>
      </c>
      <c r="AU132" s="1134" t="s">
        <v>5413</v>
      </c>
      <c r="AV132" s="1135" t="s">
        <v>5414</v>
      </c>
      <c r="AW132" s="1114" t="s">
        <v>5415</v>
      </c>
      <c r="AX132" s="1118" t="s">
        <v>5416</v>
      </c>
      <c r="AY132" s="1197" t="e">
        <f t="shared" si="265"/>
        <v>#VALUE!</v>
      </c>
      <c r="AZ132" s="1197"/>
      <c r="BA132" s="1197"/>
      <c r="BB132" s="1197"/>
      <c r="BC132" s="1197"/>
      <c r="BD132" s="1197"/>
      <c r="BE132" s="1197"/>
      <c r="BF132" s="1197"/>
      <c r="BG132" s="1197"/>
      <c r="BH132" s="1197"/>
      <c r="BI132" s="1197"/>
      <c r="BJ132" s="1191"/>
      <c r="BK132" s="1191"/>
      <c r="BL132" s="1191"/>
      <c r="BM132" s="1191"/>
      <c r="BV132" s="1547"/>
      <c r="BW132" s="1547"/>
      <c r="BX132" s="1547"/>
      <c r="CB132" s="2195" t="str">
        <f t="shared" si="266"/>
        <v xml:space="preserve">* El total de Reactivos NO DEBE ser superior al total de Procesados. </v>
      </c>
      <c r="CC132" s="2195" t="e">
        <f t="shared" si="267"/>
        <v>#VALUE!</v>
      </c>
      <c r="CD132" s="2195" t="e">
        <f t="shared" si="268"/>
        <v>#VALUE!</v>
      </c>
      <c r="CE132" s="2195" t="str">
        <f t="shared" si="269"/>
        <v xml:space="preserve">* La columna Pueblos Originarios NO DEBE ser superior al total de Procesados. </v>
      </c>
      <c r="CF132" s="2195" t="str">
        <f t="shared" si="270"/>
        <v xml:space="preserve">* La columna Migrantes NO DEBE ser superior al total de Procesados. </v>
      </c>
      <c r="CG132" s="2195" t="str">
        <f t="shared" si="298"/>
        <v>* El total de procesados debe ser mayor o igual al total de Reactivos en el grupo de edad Menor de 6 meses</v>
      </c>
      <c r="CH132" s="2195" t="str">
        <f t="shared" si="299"/>
        <v>* El total de procesados debe ser mayor o igual al total de Reactivos en el grupo de edad 6 a 11 meses</v>
      </c>
      <c r="CI132" s="2195" t="str">
        <f t="shared" si="300"/>
        <v>* El total de procesados debe ser mayor o igual al total de Reactivos en el grupo de edad 12-24 meses</v>
      </c>
      <c r="CJ132" s="2195" t="str">
        <f t="shared" si="301"/>
        <v>* El total de procesados debe ser mayor o igual al total de Reactivos en el grupo de edad 3 a 4 años</v>
      </c>
      <c r="CK132" s="2195" t="str">
        <f t="shared" si="302"/>
        <v>* El total de procesados debe ser mayor o igual al total de Reactivos en el grupo de edad 5 a 9 años</v>
      </c>
      <c r="CL132" s="2195" t="str">
        <f t="shared" si="303"/>
        <v>* El total de procesados debe ser mayor o igual al total de Reactivos en el grupo de edad 10 - 14 años</v>
      </c>
      <c r="CM132" s="2195" t="str">
        <f t="shared" si="304"/>
        <v>* El total de procesados debe ser mayor o igual al total de Reactivos en el grupo de edad 15 - 19 años</v>
      </c>
      <c r="CN132" s="2195" t="str">
        <f t="shared" si="305"/>
        <v>* El total de procesados debe ser mayor o igual al total de Reactivos en el grupo de edad 20 - 24 años</v>
      </c>
      <c r="CO132" s="2195" t="str">
        <f t="shared" si="306"/>
        <v>* El total de procesados debe ser mayor o igual al total de Reactivos en el grupo de edad 25 a 29 años</v>
      </c>
      <c r="CP132" s="2195" t="str">
        <f t="shared" si="307"/>
        <v>* El total de procesados debe ser mayor o igual al total de Reactivos en el grupo de edad 30 a 34 años</v>
      </c>
      <c r="CQ132" s="2195" t="str">
        <f t="shared" si="308"/>
        <v>* El total de procesados debe ser mayor o igual al total de Reactivos en el grupo de edad 35 a 39 años</v>
      </c>
      <c r="CR132" s="2195" t="str">
        <f t="shared" si="309"/>
        <v>* El total de procesados debe ser mayor o igual al total de Reactivos en el grupo de edad 40 a 44 años</v>
      </c>
      <c r="CS132" s="2195" t="str">
        <f t="shared" si="310"/>
        <v>* El total de procesados debe ser mayor o igual al total de Reactivos en el grupo de edad 45 a 49 años</v>
      </c>
      <c r="CT132" s="2195" t="str">
        <f t="shared" si="311"/>
        <v>* El total de procesados debe ser mayor o igual al total de Reactivos en el grupo de edad 50 a 54 años</v>
      </c>
      <c r="CU132" s="2195" t="str">
        <f t="shared" si="312"/>
        <v>* El total de procesados debe ser mayor o igual al total de Reactivos en el grupo de edad 55 a 59 años</v>
      </c>
      <c r="CV132" s="2195" t="str">
        <f t="shared" si="313"/>
        <v>* El total de procesados debe ser mayor o igual al total de Reactivos en el grupo de edad 60 a 64 años</v>
      </c>
      <c r="CW132" s="2195" t="str">
        <f t="shared" si="314"/>
        <v>* El total de procesados debe ser mayor o igual al total de Reactivos en el grupo de edad 65 a 69 años</v>
      </c>
      <c r="CX132" s="2195" t="str">
        <f t="shared" si="315"/>
        <v>* El total de procesados debe ser mayor o igual al total de Reactivos en el grupo de edad 70 a 74 años</v>
      </c>
      <c r="CY132" s="2195" t="str">
        <f t="shared" si="316"/>
        <v>* El total de procesados debe ser mayor o igual al total de Reactivos en el grupo de edad 75 a 79 años</v>
      </c>
      <c r="CZ132" s="2195" t="str">
        <f t="shared" si="317"/>
        <v>* El total de procesados debe ser mayor o igual al total de Reactivos en el grupo de edad 80 y más años</v>
      </c>
      <c r="DA132" s="2195" t="str">
        <f t="shared" si="271"/>
        <v/>
      </c>
      <c r="DB132" s="1446">
        <f t="shared" si="272"/>
        <v>1</v>
      </c>
      <c r="DC132" s="1446" t="e">
        <f t="shared" si="273"/>
        <v>#VALUE!</v>
      </c>
      <c r="DD132" s="1446" t="e">
        <f t="shared" si="274"/>
        <v>#VALUE!</v>
      </c>
      <c r="DE132" s="1446">
        <f t="shared" si="275"/>
        <v>1</v>
      </c>
      <c r="DF132" s="1446">
        <f t="shared" si="276"/>
        <v>1</v>
      </c>
      <c r="DG132" s="1446">
        <f t="shared" si="277"/>
        <v>1</v>
      </c>
      <c r="DH132" s="1446">
        <f t="shared" si="278"/>
        <v>1</v>
      </c>
      <c r="DI132" s="1446">
        <f t="shared" si="279"/>
        <v>1</v>
      </c>
      <c r="DJ132" s="1446">
        <f t="shared" si="280"/>
        <v>1</v>
      </c>
      <c r="DK132" s="1446">
        <f t="shared" si="281"/>
        <v>1</v>
      </c>
      <c r="DL132" s="1446">
        <f t="shared" si="282"/>
        <v>1</v>
      </c>
      <c r="DM132" s="1446">
        <f t="shared" si="283"/>
        <v>1</v>
      </c>
      <c r="DN132" s="1446">
        <f t="shared" si="284"/>
        <v>1</v>
      </c>
      <c r="DO132" s="1446">
        <f t="shared" si="285"/>
        <v>1</v>
      </c>
      <c r="DP132" s="1446">
        <f t="shared" si="286"/>
        <v>1</v>
      </c>
      <c r="DQ132" s="1446">
        <f t="shared" si="287"/>
        <v>1</v>
      </c>
      <c r="DR132" s="1446">
        <f t="shared" si="288"/>
        <v>1</v>
      </c>
      <c r="DS132" s="1446">
        <f t="shared" si="289"/>
        <v>1</v>
      </c>
      <c r="DT132" s="1446">
        <f t="shared" si="290"/>
        <v>1</v>
      </c>
      <c r="DU132" s="1446">
        <f t="shared" si="291"/>
        <v>1</v>
      </c>
      <c r="DV132" s="1446">
        <f t="shared" si="292"/>
        <v>1</v>
      </c>
      <c r="DW132" s="1446">
        <f t="shared" si="293"/>
        <v>1</v>
      </c>
      <c r="DX132" s="1446">
        <f t="shared" si="294"/>
        <v>1</v>
      </c>
      <c r="DY132" s="1446">
        <f t="shared" si="295"/>
        <v>1</v>
      </c>
      <c r="DZ132" s="1446">
        <f t="shared" si="296"/>
        <v>1</v>
      </c>
      <c r="EA132" s="1446">
        <f t="shared" si="297"/>
        <v>0</v>
      </c>
    </row>
    <row r="133" spans="1:131" ht="16.2" customHeight="1" x14ac:dyDescent="0.3">
      <c r="A133" s="7258">
        <v>11056465</v>
      </c>
      <c r="B133" s="2000" t="s">
        <v>1796</v>
      </c>
      <c r="C133" s="1998" t="s">
        <v>5369</v>
      </c>
      <c r="D133" s="2044" t="s">
        <v>5370</v>
      </c>
      <c r="E133" s="1137" t="s">
        <v>5371</v>
      </c>
      <c r="F133" s="1141" t="s">
        <v>5372</v>
      </c>
      <c r="G133" s="1140" t="s">
        <v>5373</v>
      </c>
      <c r="H133" s="1141" t="s">
        <v>5374</v>
      </c>
      <c r="I133" s="1140" t="s">
        <v>5375</v>
      </c>
      <c r="J133" s="1143" t="s">
        <v>5376</v>
      </c>
      <c r="K133" s="1137" t="s">
        <v>5377</v>
      </c>
      <c r="L133" s="1137" t="s">
        <v>5378</v>
      </c>
      <c r="M133" s="1140" t="s">
        <v>5379</v>
      </c>
      <c r="N133" s="1143" t="s">
        <v>5380</v>
      </c>
      <c r="O133" s="1134" t="s">
        <v>5381</v>
      </c>
      <c r="P133" s="1135" t="s">
        <v>5382</v>
      </c>
      <c r="Q133" s="1114" t="s">
        <v>5383</v>
      </c>
      <c r="R133" s="1135" t="s">
        <v>5384</v>
      </c>
      <c r="S133" s="1114" t="s">
        <v>5385</v>
      </c>
      <c r="T133" s="1135" t="s">
        <v>5386</v>
      </c>
      <c r="U133" s="1114" t="s">
        <v>5387</v>
      </c>
      <c r="V133" s="1135" t="s">
        <v>5388</v>
      </c>
      <c r="W133" s="1114" t="s">
        <v>5389</v>
      </c>
      <c r="X133" s="1135" t="s">
        <v>5390</v>
      </c>
      <c r="Y133" s="1114" t="s">
        <v>5391</v>
      </c>
      <c r="Z133" s="1135" t="s">
        <v>5392</v>
      </c>
      <c r="AA133" s="1114" t="s">
        <v>5393</v>
      </c>
      <c r="AB133" s="1135" t="s">
        <v>5394</v>
      </c>
      <c r="AC133" s="1114" t="s">
        <v>5395</v>
      </c>
      <c r="AD133" s="1135" t="s">
        <v>5396</v>
      </c>
      <c r="AE133" s="1114" t="s">
        <v>5397</v>
      </c>
      <c r="AF133" s="1135" t="s">
        <v>5398</v>
      </c>
      <c r="AG133" s="1114" t="s">
        <v>5399</v>
      </c>
      <c r="AH133" s="1135" t="s">
        <v>5400</v>
      </c>
      <c r="AI133" s="1114" t="s">
        <v>5401</v>
      </c>
      <c r="AJ133" s="1135" t="s">
        <v>5402</v>
      </c>
      <c r="AK133" s="1114" t="s">
        <v>5403</v>
      </c>
      <c r="AL133" s="1135" t="s">
        <v>5404</v>
      </c>
      <c r="AM133" s="1114" t="s">
        <v>5405</v>
      </c>
      <c r="AN133" s="1135" t="s">
        <v>5406</v>
      </c>
      <c r="AO133" s="1114" t="s">
        <v>5407</v>
      </c>
      <c r="AP133" s="1135" t="s">
        <v>5408</v>
      </c>
      <c r="AQ133" s="1114" t="s">
        <v>5409</v>
      </c>
      <c r="AR133" s="1136" t="s">
        <v>5410</v>
      </c>
      <c r="AS133" s="1134" t="s">
        <v>5411</v>
      </c>
      <c r="AT133" s="1136" t="s">
        <v>5412</v>
      </c>
      <c r="AU133" s="1134" t="s">
        <v>5413</v>
      </c>
      <c r="AV133" s="1135" t="s">
        <v>5414</v>
      </c>
      <c r="AW133" s="1114" t="s">
        <v>5415</v>
      </c>
      <c r="AX133" s="1118" t="s">
        <v>5416</v>
      </c>
      <c r="AY133" s="1197" t="e">
        <f t="shared" si="265"/>
        <v>#VALUE!</v>
      </c>
      <c r="AZ133" s="1197"/>
      <c r="BA133" s="1197"/>
      <c r="BB133" s="1197"/>
      <c r="BC133" s="1197"/>
      <c r="BD133" s="1197"/>
      <c r="BE133" s="1197"/>
      <c r="BF133" s="1197"/>
      <c r="BG133" s="1197"/>
      <c r="BH133" s="1197"/>
      <c r="BI133" s="1197"/>
      <c r="BJ133" s="1191"/>
      <c r="BK133" s="1191"/>
      <c r="BL133" s="1191"/>
      <c r="BM133" s="1191"/>
      <c r="BV133" s="1547"/>
      <c r="BW133" s="1547"/>
      <c r="BX133" s="1547"/>
      <c r="CB133" s="2195" t="str">
        <f t="shared" si="266"/>
        <v xml:space="preserve">* El total de Reactivos NO DEBE ser superior al total de Procesados. </v>
      </c>
      <c r="CC133" s="2195" t="e">
        <f t="shared" si="267"/>
        <v>#VALUE!</v>
      </c>
      <c r="CD133" s="2195" t="e">
        <f t="shared" si="268"/>
        <v>#VALUE!</v>
      </c>
      <c r="CE133" s="2195" t="str">
        <f t="shared" si="269"/>
        <v xml:space="preserve">* La columna Pueblos Originarios NO DEBE ser superior al total de Procesados. </v>
      </c>
      <c r="CF133" s="2195" t="str">
        <f t="shared" si="270"/>
        <v xml:space="preserve">* La columna Migrantes NO DEBE ser superior al total de Procesados. </v>
      </c>
      <c r="CG133" s="2195" t="str">
        <f t="shared" si="298"/>
        <v>* El total de procesados debe ser mayor o igual al total de Reactivos en el grupo de edad Menor de 6 meses</v>
      </c>
      <c r="CH133" s="2195" t="str">
        <f t="shared" si="299"/>
        <v>* El total de procesados debe ser mayor o igual al total de Reactivos en el grupo de edad 6 a 11 meses</v>
      </c>
      <c r="CI133" s="2195" t="str">
        <f t="shared" si="300"/>
        <v>* El total de procesados debe ser mayor o igual al total de Reactivos en el grupo de edad 12-24 meses</v>
      </c>
      <c r="CJ133" s="2195" t="str">
        <f t="shared" si="301"/>
        <v>* El total de procesados debe ser mayor o igual al total de Reactivos en el grupo de edad 3 a 4 años</v>
      </c>
      <c r="CK133" s="2195" t="str">
        <f t="shared" si="302"/>
        <v>* El total de procesados debe ser mayor o igual al total de Reactivos en el grupo de edad 5 a 9 años</v>
      </c>
      <c r="CL133" s="2195" t="str">
        <f t="shared" si="303"/>
        <v>* El total de procesados debe ser mayor o igual al total de Reactivos en el grupo de edad 10 - 14 años</v>
      </c>
      <c r="CM133" s="2195" t="str">
        <f t="shared" si="304"/>
        <v>* El total de procesados debe ser mayor o igual al total de Reactivos en el grupo de edad 15 - 19 años</v>
      </c>
      <c r="CN133" s="2195" t="str">
        <f t="shared" si="305"/>
        <v>* El total de procesados debe ser mayor o igual al total de Reactivos en el grupo de edad 20 - 24 años</v>
      </c>
      <c r="CO133" s="2195" t="str">
        <f t="shared" si="306"/>
        <v>* El total de procesados debe ser mayor o igual al total de Reactivos en el grupo de edad 25 a 29 años</v>
      </c>
      <c r="CP133" s="2195" t="str">
        <f t="shared" si="307"/>
        <v>* El total de procesados debe ser mayor o igual al total de Reactivos en el grupo de edad 30 a 34 años</v>
      </c>
      <c r="CQ133" s="2195" t="str">
        <f t="shared" si="308"/>
        <v>* El total de procesados debe ser mayor o igual al total de Reactivos en el grupo de edad 35 a 39 años</v>
      </c>
      <c r="CR133" s="2195" t="str">
        <f t="shared" si="309"/>
        <v>* El total de procesados debe ser mayor o igual al total de Reactivos en el grupo de edad 40 a 44 años</v>
      </c>
      <c r="CS133" s="2195" t="str">
        <f t="shared" si="310"/>
        <v>* El total de procesados debe ser mayor o igual al total de Reactivos en el grupo de edad 45 a 49 años</v>
      </c>
      <c r="CT133" s="2195" t="str">
        <f t="shared" si="311"/>
        <v>* El total de procesados debe ser mayor o igual al total de Reactivos en el grupo de edad 50 a 54 años</v>
      </c>
      <c r="CU133" s="2195" t="str">
        <f t="shared" si="312"/>
        <v>* El total de procesados debe ser mayor o igual al total de Reactivos en el grupo de edad 55 a 59 años</v>
      </c>
      <c r="CV133" s="2195" t="str">
        <f t="shared" si="313"/>
        <v>* El total de procesados debe ser mayor o igual al total de Reactivos en el grupo de edad 60 a 64 años</v>
      </c>
      <c r="CW133" s="2195" t="str">
        <f t="shared" si="314"/>
        <v>* El total de procesados debe ser mayor o igual al total de Reactivos en el grupo de edad 65 a 69 años</v>
      </c>
      <c r="CX133" s="2195" t="str">
        <f t="shared" si="315"/>
        <v>* El total de procesados debe ser mayor o igual al total de Reactivos en el grupo de edad 70 a 74 años</v>
      </c>
      <c r="CY133" s="2195" t="str">
        <f t="shared" si="316"/>
        <v>* El total de procesados debe ser mayor o igual al total de Reactivos en el grupo de edad 75 a 79 años</v>
      </c>
      <c r="CZ133" s="2195" t="str">
        <f t="shared" si="317"/>
        <v>* El total de procesados debe ser mayor o igual al total de Reactivos en el grupo de edad 80 y más años</v>
      </c>
      <c r="DA133" s="2195" t="str">
        <f t="shared" si="271"/>
        <v/>
      </c>
      <c r="DB133" s="1446">
        <f t="shared" si="272"/>
        <v>1</v>
      </c>
      <c r="DC133" s="1446" t="e">
        <f t="shared" si="273"/>
        <v>#VALUE!</v>
      </c>
      <c r="DD133" s="1446" t="e">
        <f t="shared" si="274"/>
        <v>#VALUE!</v>
      </c>
      <c r="DE133" s="1446">
        <f t="shared" si="275"/>
        <v>1</v>
      </c>
      <c r="DF133" s="1446">
        <f t="shared" si="276"/>
        <v>1</v>
      </c>
      <c r="DG133" s="1446">
        <f t="shared" si="277"/>
        <v>1</v>
      </c>
      <c r="DH133" s="1446">
        <f t="shared" si="278"/>
        <v>1</v>
      </c>
      <c r="DI133" s="1446">
        <f t="shared" si="279"/>
        <v>1</v>
      </c>
      <c r="DJ133" s="1446">
        <f t="shared" si="280"/>
        <v>1</v>
      </c>
      <c r="DK133" s="1446">
        <f t="shared" si="281"/>
        <v>1</v>
      </c>
      <c r="DL133" s="1446">
        <f t="shared" si="282"/>
        <v>1</v>
      </c>
      <c r="DM133" s="1446">
        <f t="shared" si="283"/>
        <v>1</v>
      </c>
      <c r="DN133" s="1446">
        <f t="shared" si="284"/>
        <v>1</v>
      </c>
      <c r="DO133" s="1446">
        <f t="shared" si="285"/>
        <v>1</v>
      </c>
      <c r="DP133" s="1446">
        <f t="shared" si="286"/>
        <v>1</v>
      </c>
      <c r="DQ133" s="1446">
        <f t="shared" si="287"/>
        <v>1</v>
      </c>
      <c r="DR133" s="1446">
        <f t="shared" si="288"/>
        <v>1</v>
      </c>
      <c r="DS133" s="1446">
        <f t="shared" si="289"/>
        <v>1</v>
      </c>
      <c r="DT133" s="1446">
        <f t="shared" si="290"/>
        <v>1</v>
      </c>
      <c r="DU133" s="1446">
        <f t="shared" si="291"/>
        <v>1</v>
      </c>
      <c r="DV133" s="1446">
        <f t="shared" si="292"/>
        <v>1</v>
      </c>
      <c r="DW133" s="1446">
        <f t="shared" si="293"/>
        <v>1</v>
      </c>
      <c r="DX133" s="1446">
        <f t="shared" si="294"/>
        <v>1</v>
      </c>
      <c r="DY133" s="1446">
        <f t="shared" si="295"/>
        <v>1</v>
      </c>
      <c r="DZ133" s="1446">
        <f t="shared" si="296"/>
        <v>1</v>
      </c>
      <c r="EA133" s="1446">
        <f t="shared" si="297"/>
        <v>0</v>
      </c>
    </row>
    <row r="134" spans="1:131" ht="16.2" customHeight="1" x14ac:dyDescent="0.3">
      <c r="A134" s="7258">
        <v>11056466</v>
      </c>
      <c r="B134" s="2000" t="s">
        <v>1797</v>
      </c>
      <c r="C134" s="1998" t="s">
        <v>5369</v>
      </c>
      <c r="D134" s="2044" t="s">
        <v>5370</v>
      </c>
      <c r="E134" s="1134" t="s">
        <v>5371</v>
      </c>
      <c r="F134" s="1135" t="s">
        <v>5372</v>
      </c>
      <c r="G134" s="1114" t="s">
        <v>5373</v>
      </c>
      <c r="H134" s="1135" t="s">
        <v>5374</v>
      </c>
      <c r="I134" s="1114" t="s">
        <v>5375</v>
      </c>
      <c r="J134" s="1118" t="s">
        <v>5376</v>
      </c>
      <c r="K134" s="1134" t="s">
        <v>5377</v>
      </c>
      <c r="L134" s="1134" t="s">
        <v>5378</v>
      </c>
      <c r="M134" s="1114" t="s">
        <v>5379</v>
      </c>
      <c r="N134" s="1118" t="s">
        <v>5380</v>
      </c>
      <c r="O134" s="1134" t="s">
        <v>5381</v>
      </c>
      <c r="P134" s="1135" t="s">
        <v>5382</v>
      </c>
      <c r="Q134" s="1114" t="s">
        <v>5383</v>
      </c>
      <c r="R134" s="1135" t="s">
        <v>5384</v>
      </c>
      <c r="S134" s="1114" t="s">
        <v>5385</v>
      </c>
      <c r="T134" s="1135" t="s">
        <v>5386</v>
      </c>
      <c r="U134" s="1114" t="s">
        <v>5387</v>
      </c>
      <c r="V134" s="1135" t="s">
        <v>5388</v>
      </c>
      <c r="W134" s="1114" t="s">
        <v>5389</v>
      </c>
      <c r="X134" s="1135" t="s">
        <v>5390</v>
      </c>
      <c r="Y134" s="1114" t="s">
        <v>5391</v>
      </c>
      <c r="Z134" s="1135" t="s">
        <v>5392</v>
      </c>
      <c r="AA134" s="1114" t="s">
        <v>5393</v>
      </c>
      <c r="AB134" s="1135" t="s">
        <v>5394</v>
      </c>
      <c r="AC134" s="1114" t="s">
        <v>5395</v>
      </c>
      <c r="AD134" s="1135" t="s">
        <v>5396</v>
      </c>
      <c r="AE134" s="1114" t="s">
        <v>5397</v>
      </c>
      <c r="AF134" s="1135" t="s">
        <v>5398</v>
      </c>
      <c r="AG134" s="1114" t="s">
        <v>5399</v>
      </c>
      <c r="AH134" s="1135" t="s">
        <v>5400</v>
      </c>
      <c r="AI134" s="1114" t="s">
        <v>5401</v>
      </c>
      <c r="AJ134" s="1135" t="s">
        <v>5402</v>
      </c>
      <c r="AK134" s="1114" t="s">
        <v>5403</v>
      </c>
      <c r="AL134" s="1135" t="s">
        <v>5404</v>
      </c>
      <c r="AM134" s="1114" t="s">
        <v>5405</v>
      </c>
      <c r="AN134" s="1135" t="s">
        <v>5406</v>
      </c>
      <c r="AO134" s="1114" t="s">
        <v>5407</v>
      </c>
      <c r="AP134" s="1135" t="s">
        <v>5408</v>
      </c>
      <c r="AQ134" s="1114" t="s">
        <v>5409</v>
      </c>
      <c r="AR134" s="1136" t="s">
        <v>5410</v>
      </c>
      <c r="AS134" s="1134" t="s">
        <v>5411</v>
      </c>
      <c r="AT134" s="1136" t="s">
        <v>5412</v>
      </c>
      <c r="AU134" s="1134" t="s">
        <v>5413</v>
      </c>
      <c r="AV134" s="1135" t="s">
        <v>5414</v>
      </c>
      <c r="AW134" s="1114" t="s">
        <v>5415</v>
      </c>
      <c r="AX134" s="1118" t="s">
        <v>5416</v>
      </c>
      <c r="AY134" s="1197" t="e">
        <f t="shared" si="265"/>
        <v>#VALUE!</v>
      </c>
      <c r="AZ134" s="1197"/>
      <c r="BA134" s="1197"/>
      <c r="BB134" s="1197"/>
      <c r="BC134" s="1197"/>
      <c r="BD134" s="1197"/>
      <c r="BE134" s="1197"/>
      <c r="BF134" s="1197"/>
      <c r="BG134" s="1197"/>
      <c r="BH134" s="1197"/>
      <c r="BI134" s="1197"/>
      <c r="BJ134" s="1191"/>
      <c r="BK134" s="1191"/>
      <c r="BL134" s="1191"/>
      <c r="BM134" s="1191"/>
      <c r="BV134" s="1547"/>
      <c r="BW134" s="1547"/>
      <c r="BX134" s="1547"/>
      <c r="CB134" s="2195" t="str">
        <f t="shared" si="266"/>
        <v xml:space="preserve">* El total de Reactivos NO DEBE ser superior al total de Procesados. </v>
      </c>
      <c r="CC134" s="2195" t="e">
        <f t="shared" si="267"/>
        <v>#VALUE!</v>
      </c>
      <c r="CD134" s="2195" t="e">
        <f t="shared" si="268"/>
        <v>#VALUE!</v>
      </c>
      <c r="CE134" s="2195" t="str">
        <f t="shared" si="269"/>
        <v xml:space="preserve">* La columna Pueblos Originarios NO DEBE ser superior al total de Procesados. </v>
      </c>
      <c r="CF134" s="2195" t="str">
        <f t="shared" si="270"/>
        <v xml:space="preserve">* La columna Migrantes NO DEBE ser superior al total de Procesados. </v>
      </c>
      <c r="CG134" s="2195" t="str">
        <f t="shared" si="298"/>
        <v>* El total de procesados debe ser mayor o igual al total de Reactivos en el grupo de edad Menor de 6 meses</v>
      </c>
      <c r="CH134" s="2195" t="str">
        <f t="shared" si="299"/>
        <v>* El total de procesados debe ser mayor o igual al total de Reactivos en el grupo de edad 6 a 11 meses</v>
      </c>
      <c r="CI134" s="2195" t="str">
        <f t="shared" si="300"/>
        <v>* El total de procesados debe ser mayor o igual al total de Reactivos en el grupo de edad 12-24 meses</v>
      </c>
      <c r="CJ134" s="2195" t="str">
        <f t="shared" si="301"/>
        <v>* El total de procesados debe ser mayor o igual al total de Reactivos en el grupo de edad 3 a 4 años</v>
      </c>
      <c r="CK134" s="2195" t="str">
        <f t="shared" si="302"/>
        <v>* El total de procesados debe ser mayor o igual al total de Reactivos en el grupo de edad 5 a 9 años</v>
      </c>
      <c r="CL134" s="2195" t="str">
        <f t="shared" si="303"/>
        <v>* El total de procesados debe ser mayor o igual al total de Reactivos en el grupo de edad 10 - 14 años</v>
      </c>
      <c r="CM134" s="2195" t="str">
        <f t="shared" si="304"/>
        <v>* El total de procesados debe ser mayor o igual al total de Reactivos en el grupo de edad 15 - 19 años</v>
      </c>
      <c r="CN134" s="2195" t="str">
        <f t="shared" si="305"/>
        <v>* El total de procesados debe ser mayor o igual al total de Reactivos en el grupo de edad 20 - 24 años</v>
      </c>
      <c r="CO134" s="2195" t="str">
        <f t="shared" si="306"/>
        <v>* El total de procesados debe ser mayor o igual al total de Reactivos en el grupo de edad 25 a 29 años</v>
      </c>
      <c r="CP134" s="2195" t="str">
        <f t="shared" si="307"/>
        <v>* El total de procesados debe ser mayor o igual al total de Reactivos en el grupo de edad 30 a 34 años</v>
      </c>
      <c r="CQ134" s="2195" t="str">
        <f t="shared" si="308"/>
        <v>* El total de procesados debe ser mayor o igual al total de Reactivos en el grupo de edad 35 a 39 años</v>
      </c>
      <c r="CR134" s="2195" t="str">
        <f t="shared" si="309"/>
        <v>* El total de procesados debe ser mayor o igual al total de Reactivos en el grupo de edad 40 a 44 años</v>
      </c>
      <c r="CS134" s="2195" t="str">
        <f t="shared" si="310"/>
        <v>* El total de procesados debe ser mayor o igual al total de Reactivos en el grupo de edad 45 a 49 años</v>
      </c>
      <c r="CT134" s="2195" t="str">
        <f t="shared" si="311"/>
        <v>* El total de procesados debe ser mayor o igual al total de Reactivos en el grupo de edad 50 a 54 años</v>
      </c>
      <c r="CU134" s="2195" t="str">
        <f t="shared" si="312"/>
        <v>* El total de procesados debe ser mayor o igual al total de Reactivos en el grupo de edad 55 a 59 años</v>
      </c>
      <c r="CV134" s="2195" t="str">
        <f t="shared" si="313"/>
        <v>* El total de procesados debe ser mayor o igual al total de Reactivos en el grupo de edad 60 a 64 años</v>
      </c>
      <c r="CW134" s="2195" t="str">
        <f t="shared" si="314"/>
        <v>* El total de procesados debe ser mayor o igual al total de Reactivos en el grupo de edad 65 a 69 años</v>
      </c>
      <c r="CX134" s="2195" t="str">
        <f t="shared" si="315"/>
        <v>* El total de procesados debe ser mayor o igual al total de Reactivos en el grupo de edad 70 a 74 años</v>
      </c>
      <c r="CY134" s="2195" t="str">
        <f t="shared" si="316"/>
        <v>* El total de procesados debe ser mayor o igual al total de Reactivos en el grupo de edad 75 a 79 años</v>
      </c>
      <c r="CZ134" s="2195" t="str">
        <f t="shared" si="317"/>
        <v>* El total de procesados debe ser mayor o igual al total de Reactivos en el grupo de edad 80 y más años</v>
      </c>
      <c r="DA134" s="2195" t="str">
        <f t="shared" si="271"/>
        <v/>
      </c>
      <c r="DB134" s="1446">
        <f t="shared" si="272"/>
        <v>1</v>
      </c>
      <c r="DC134" s="1446" t="e">
        <f t="shared" si="273"/>
        <v>#VALUE!</v>
      </c>
      <c r="DD134" s="1446" t="e">
        <f t="shared" si="274"/>
        <v>#VALUE!</v>
      </c>
      <c r="DE134" s="1446">
        <f t="shared" si="275"/>
        <v>1</v>
      </c>
      <c r="DF134" s="1446">
        <f t="shared" si="276"/>
        <v>1</v>
      </c>
      <c r="DG134" s="1446">
        <f t="shared" si="277"/>
        <v>1</v>
      </c>
      <c r="DH134" s="1446">
        <f t="shared" si="278"/>
        <v>1</v>
      </c>
      <c r="DI134" s="1446">
        <f t="shared" si="279"/>
        <v>1</v>
      </c>
      <c r="DJ134" s="1446">
        <f t="shared" si="280"/>
        <v>1</v>
      </c>
      <c r="DK134" s="1446">
        <f t="shared" si="281"/>
        <v>1</v>
      </c>
      <c r="DL134" s="1446">
        <f t="shared" si="282"/>
        <v>1</v>
      </c>
      <c r="DM134" s="1446">
        <f t="shared" si="283"/>
        <v>1</v>
      </c>
      <c r="DN134" s="1446">
        <f t="shared" si="284"/>
        <v>1</v>
      </c>
      <c r="DO134" s="1446">
        <f t="shared" si="285"/>
        <v>1</v>
      </c>
      <c r="DP134" s="1446">
        <f t="shared" si="286"/>
        <v>1</v>
      </c>
      <c r="DQ134" s="1446">
        <f t="shared" si="287"/>
        <v>1</v>
      </c>
      <c r="DR134" s="1446">
        <f t="shared" si="288"/>
        <v>1</v>
      </c>
      <c r="DS134" s="1446">
        <f t="shared" si="289"/>
        <v>1</v>
      </c>
      <c r="DT134" s="1446">
        <f t="shared" si="290"/>
        <v>1</v>
      </c>
      <c r="DU134" s="1446">
        <f t="shared" si="291"/>
        <v>1</v>
      </c>
      <c r="DV134" s="1446">
        <f t="shared" si="292"/>
        <v>1</v>
      </c>
      <c r="DW134" s="1446">
        <f t="shared" si="293"/>
        <v>1</v>
      </c>
      <c r="DX134" s="1446">
        <f t="shared" si="294"/>
        <v>1</v>
      </c>
      <c r="DY134" s="1446">
        <f t="shared" si="295"/>
        <v>1</v>
      </c>
      <c r="DZ134" s="1446">
        <f t="shared" si="296"/>
        <v>1</v>
      </c>
      <c r="EA134" s="1446">
        <f t="shared" si="297"/>
        <v>0</v>
      </c>
    </row>
    <row r="135" spans="1:131" ht="16.2" customHeight="1" x14ac:dyDescent="0.3">
      <c r="A135" s="7258">
        <v>11056467</v>
      </c>
      <c r="B135" s="2032" t="s">
        <v>2184</v>
      </c>
      <c r="C135" s="1998" t="s">
        <v>5369</v>
      </c>
      <c r="D135" s="2044" t="s">
        <v>5370</v>
      </c>
      <c r="E135" s="1130" t="s">
        <v>5371</v>
      </c>
      <c r="F135" s="1131" t="s">
        <v>5372</v>
      </c>
      <c r="G135" s="1132" t="s">
        <v>5373</v>
      </c>
      <c r="H135" s="1131" t="s">
        <v>5374</v>
      </c>
      <c r="I135" s="1132" t="s">
        <v>5375</v>
      </c>
      <c r="J135" s="1131" t="s">
        <v>5376</v>
      </c>
      <c r="K135" s="1132" t="s">
        <v>5377</v>
      </c>
      <c r="L135" s="1131" t="s">
        <v>5378</v>
      </c>
      <c r="M135" s="1132" t="s">
        <v>5379</v>
      </c>
      <c r="N135" s="1133" t="s">
        <v>5380</v>
      </c>
      <c r="O135" s="1130" t="s">
        <v>5381</v>
      </c>
      <c r="P135" s="1131" t="s">
        <v>5382</v>
      </c>
      <c r="Q135" s="1114" t="s">
        <v>5383</v>
      </c>
      <c r="R135" s="1135" t="s">
        <v>5384</v>
      </c>
      <c r="S135" s="1114" t="s">
        <v>5385</v>
      </c>
      <c r="T135" s="1135" t="s">
        <v>5386</v>
      </c>
      <c r="U135" s="1114" t="s">
        <v>5387</v>
      </c>
      <c r="V135" s="1135" t="s">
        <v>5388</v>
      </c>
      <c r="W135" s="1114" t="s">
        <v>5389</v>
      </c>
      <c r="X135" s="1135" t="s">
        <v>5390</v>
      </c>
      <c r="Y135" s="1114" t="s">
        <v>5391</v>
      </c>
      <c r="Z135" s="1135" t="s">
        <v>5392</v>
      </c>
      <c r="AA135" s="1114" t="s">
        <v>5393</v>
      </c>
      <c r="AB135" s="1135" t="s">
        <v>5394</v>
      </c>
      <c r="AC135" s="1114" t="s">
        <v>5395</v>
      </c>
      <c r="AD135" s="1135" t="s">
        <v>5396</v>
      </c>
      <c r="AE135" s="1114" t="s">
        <v>5397</v>
      </c>
      <c r="AF135" s="1135" t="s">
        <v>5398</v>
      </c>
      <c r="AG135" s="1114" t="s">
        <v>5399</v>
      </c>
      <c r="AH135" s="1135" t="s">
        <v>5400</v>
      </c>
      <c r="AI135" s="1114" t="s">
        <v>5401</v>
      </c>
      <c r="AJ135" s="1135" t="s">
        <v>5402</v>
      </c>
      <c r="AK135" s="1114" t="s">
        <v>5403</v>
      </c>
      <c r="AL135" s="1135" t="s">
        <v>5404</v>
      </c>
      <c r="AM135" s="1114" t="s">
        <v>5405</v>
      </c>
      <c r="AN135" s="1135" t="s">
        <v>5406</v>
      </c>
      <c r="AO135" s="1114" t="s">
        <v>5407</v>
      </c>
      <c r="AP135" s="1135" t="s">
        <v>5408</v>
      </c>
      <c r="AQ135" s="1114" t="s">
        <v>5409</v>
      </c>
      <c r="AR135" s="1136" t="s">
        <v>5410</v>
      </c>
      <c r="AS135" s="1134" t="s">
        <v>5411</v>
      </c>
      <c r="AT135" s="1136" t="s">
        <v>5412</v>
      </c>
      <c r="AU135" s="1134" t="s">
        <v>5413</v>
      </c>
      <c r="AV135" s="1135" t="s">
        <v>5414</v>
      </c>
      <c r="AW135" s="1114" t="s">
        <v>5415</v>
      </c>
      <c r="AX135" s="1118" t="s">
        <v>5416</v>
      </c>
      <c r="AY135" s="1197" t="e">
        <f t="shared" si="265"/>
        <v>#VALUE!</v>
      </c>
      <c r="AZ135" s="1197"/>
      <c r="BA135" s="1197"/>
      <c r="BB135" s="1197"/>
      <c r="BC135" s="1197"/>
      <c r="BD135" s="1197"/>
      <c r="BE135" s="1197"/>
      <c r="BF135" s="1197"/>
      <c r="BG135" s="1197"/>
      <c r="BH135" s="1197"/>
      <c r="BI135" s="1197"/>
      <c r="BJ135" s="1191"/>
      <c r="BK135" s="1191"/>
      <c r="BL135" s="1191"/>
      <c r="BM135" s="1191"/>
      <c r="BV135" s="1547"/>
      <c r="BW135" s="1547"/>
      <c r="BX135" s="1547"/>
      <c r="CB135" s="2195" t="str">
        <f t="shared" si="266"/>
        <v xml:space="preserve">* El total de Reactivos NO DEBE ser superior al total de Procesados. </v>
      </c>
      <c r="CC135" s="2195" t="e">
        <f t="shared" si="267"/>
        <v>#VALUE!</v>
      </c>
      <c r="CD135" s="2195" t="e">
        <f t="shared" si="268"/>
        <v>#VALUE!</v>
      </c>
      <c r="CE135" s="2195" t="str">
        <f t="shared" si="269"/>
        <v xml:space="preserve">* La columna Pueblos Originarios NO DEBE ser superior al total de Procesados. </v>
      </c>
      <c r="CF135" s="2195" t="str">
        <f t="shared" si="270"/>
        <v xml:space="preserve">* La columna Migrantes NO DEBE ser superior al total de Procesados. </v>
      </c>
      <c r="CG135" s="2195" t="str">
        <f t="shared" si="298"/>
        <v>* El total de procesados debe ser mayor o igual al total de Reactivos en el grupo de edad Menor de 6 meses</v>
      </c>
      <c r="CH135" s="2195" t="str">
        <f t="shared" si="299"/>
        <v>* El total de procesados debe ser mayor o igual al total de Reactivos en el grupo de edad 6 a 11 meses</v>
      </c>
      <c r="CI135" s="2195" t="str">
        <f t="shared" si="300"/>
        <v>* El total de procesados debe ser mayor o igual al total de Reactivos en el grupo de edad 12-24 meses</v>
      </c>
      <c r="CJ135" s="2195" t="str">
        <f t="shared" si="301"/>
        <v>* El total de procesados debe ser mayor o igual al total de Reactivos en el grupo de edad 3 a 4 años</v>
      </c>
      <c r="CK135" s="2195" t="str">
        <f t="shared" si="302"/>
        <v>* El total de procesados debe ser mayor o igual al total de Reactivos en el grupo de edad 5 a 9 años</v>
      </c>
      <c r="CL135" s="2195" t="str">
        <f t="shared" si="303"/>
        <v>* El total de procesados debe ser mayor o igual al total de Reactivos en el grupo de edad 10 - 14 años</v>
      </c>
      <c r="CM135" s="2195" t="str">
        <f t="shared" si="304"/>
        <v>* El total de procesados debe ser mayor o igual al total de Reactivos en el grupo de edad 15 - 19 años</v>
      </c>
      <c r="CN135" s="2195" t="str">
        <f t="shared" si="305"/>
        <v>* El total de procesados debe ser mayor o igual al total de Reactivos en el grupo de edad 20 - 24 años</v>
      </c>
      <c r="CO135" s="2195" t="str">
        <f t="shared" si="306"/>
        <v>* El total de procesados debe ser mayor o igual al total de Reactivos en el grupo de edad 25 a 29 años</v>
      </c>
      <c r="CP135" s="2195" t="str">
        <f t="shared" si="307"/>
        <v>* El total de procesados debe ser mayor o igual al total de Reactivos en el grupo de edad 30 a 34 años</v>
      </c>
      <c r="CQ135" s="2195" t="str">
        <f t="shared" si="308"/>
        <v>* El total de procesados debe ser mayor o igual al total de Reactivos en el grupo de edad 35 a 39 años</v>
      </c>
      <c r="CR135" s="2195" t="str">
        <f t="shared" si="309"/>
        <v>* El total de procesados debe ser mayor o igual al total de Reactivos en el grupo de edad 40 a 44 años</v>
      </c>
      <c r="CS135" s="2195" t="str">
        <f t="shared" si="310"/>
        <v>* El total de procesados debe ser mayor o igual al total de Reactivos en el grupo de edad 45 a 49 años</v>
      </c>
      <c r="CT135" s="2195" t="str">
        <f t="shared" si="311"/>
        <v>* El total de procesados debe ser mayor o igual al total de Reactivos en el grupo de edad 50 a 54 años</v>
      </c>
      <c r="CU135" s="2195" t="str">
        <f t="shared" si="312"/>
        <v>* El total de procesados debe ser mayor o igual al total de Reactivos en el grupo de edad 55 a 59 años</v>
      </c>
      <c r="CV135" s="2195" t="str">
        <f t="shared" si="313"/>
        <v>* El total de procesados debe ser mayor o igual al total de Reactivos en el grupo de edad 60 a 64 años</v>
      </c>
      <c r="CW135" s="2195" t="str">
        <f t="shared" si="314"/>
        <v>* El total de procesados debe ser mayor o igual al total de Reactivos en el grupo de edad 65 a 69 años</v>
      </c>
      <c r="CX135" s="2195" t="str">
        <f t="shared" si="315"/>
        <v>* El total de procesados debe ser mayor o igual al total de Reactivos en el grupo de edad 70 a 74 años</v>
      </c>
      <c r="CY135" s="2195" t="str">
        <f t="shared" si="316"/>
        <v>* El total de procesados debe ser mayor o igual al total de Reactivos en el grupo de edad 75 a 79 años</v>
      </c>
      <c r="CZ135" s="2195" t="str">
        <f t="shared" si="317"/>
        <v>* El total de procesados debe ser mayor o igual al total de Reactivos en el grupo de edad 80 y más años</v>
      </c>
      <c r="DA135" s="2195" t="str">
        <f t="shared" si="271"/>
        <v/>
      </c>
      <c r="DB135" s="1446">
        <f t="shared" si="272"/>
        <v>1</v>
      </c>
      <c r="DC135" s="1446" t="e">
        <f t="shared" si="273"/>
        <v>#VALUE!</v>
      </c>
      <c r="DD135" s="1446" t="e">
        <f t="shared" si="274"/>
        <v>#VALUE!</v>
      </c>
      <c r="DE135" s="1446">
        <f t="shared" si="275"/>
        <v>1</v>
      </c>
      <c r="DF135" s="1446">
        <f t="shared" si="276"/>
        <v>1</v>
      </c>
      <c r="DG135" s="1446">
        <f t="shared" si="277"/>
        <v>1</v>
      </c>
      <c r="DH135" s="1446">
        <f t="shared" si="278"/>
        <v>1</v>
      </c>
      <c r="DI135" s="1446">
        <f t="shared" si="279"/>
        <v>1</v>
      </c>
      <c r="DJ135" s="1446">
        <f t="shared" si="280"/>
        <v>1</v>
      </c>
      <c r="DK135" s="1446">
        <f t="shared" si="281"/>
        <v>1</v>
      </c>
      <c r="DL135" s="1446">
        <f t="shared" si="282"/>
        <v>1</v>
      </c>
      <c r="DM135" s="1446">
        <f t="shared" si="283"/>
        <v>1</v>
      </c>
      <c r="DN135" s="1446">
        <f t="shared" si="284"/>
        <v>1</v>
      </c>
      <c r="DO135" s="1446">
        <f t="shared" si="285"/>
        <v>1</v>
      </c>
      <c r="DP135" s="1446">
        <f t="shared" si="286"/>
        <v>1</v>
      </c>
      <c r="DQ135" s="1446">
        <f t="shared" si="287"/>
        <v>1</v>
      </c>
      <c r="DR135" s="1446">
        <f t="shared" si="288"/>
        <v>1</v>
      </c>
      <c r="DS135" s="1446">
        <f t="shared" si="289"/>
        <v>1</v>
      </c>
      <c r="DT135" s="1446">
        <f t="shared" si="290"/>
        <v>1</v>
      </c>
      <c r="DU135" s="1446">
        <f t="shared" si="291"/>
        <v>1</v>
      </c>
      <c r="DV135" s="1446">
        <f t="shared" si="292"/>
        <v>1</v>
      </c>
      <c r="DW135" s="1446">
        <f t="shared" si="293"/>
        <v>1</v>
      </c>
      <c r="DX135" s="1446">
        <f t="shared" si="294"/>
        <v>1</v>
      </c>
      <c r="DY135" s="1446">
        <f t="shared" si="295"/>
        <v>1</v>
      </c>
      <c r="DZ135" s="1446">
        <f t="shared" si="296"/>
        <v>1</v>
      </c>
      <c r="EA135" s="1446">
        <f t="shared" si="297"/>
        <v>0</v>
      </c>
    </row>
    <row r="136" spans="1:131" ht="16.2" customHeight="1" x14ac:dyDescent="0.3">
      <c r="A136" s="7258">
        <v>11056468</v>
      </c>
      <c r="B136" s="2000" t="s">
        <v>1798</v>
      </c>
      <c r="C136" s="1998" t="s">
        <v>5369</v>
      </c>
      <c r="D136" s="2044" t="s">
        <v>5370</v>
      </c>
      <c r="E136" s="1130" t="s">
        <v>5371</v>
      </c>
      <c r="F136" s="1131" t="s">
        <v>5372</v>
      </c>
      <c r="G136" s="1132" t="s">
        <v>5373</v>
      </c>
      <c r="H136" s="1131" t="s">
        <v>5374</v>
      </c>
      <c r="I136" s="1132" t="s">
        <v>5375</v>
      </c>
      <c r="J136" s="1131" t="s">
        <v>5376</v>
      </c>
      <c r="K136" s="1132" t="s">
        <v>5377</v>
      </c>
      <c r="L136" s="1131" t="s">
        <v>5378</v>
      </c>
      <c r="M136" s="1132" t="s">
        <v>5379</v>
      </c>
      <c r="N136" s="1133" t="s">
        <v>5380</v>
      </c>
      <c r="O136" s="1130" t="s">
        <v>5381</v>
      </c>
      <c r="P136" s="1131" t="s">
        <v>5382</v>
      </c>
      <c r="Q136" s="1114" t="s">
        <v>5383</v>
      </c>
      <c r="R136" s="1135" t="s">
        <v>5384</v>
      </c>
      <c r="S136" s="1114" t="s">
        <v>5385</v>
      </c>
      <c r="T136" s="1135" t="s">
        <v>5386</v>
      </c>
      <c r="U136" s="1114" t="s">
        <v>5387</v>
      </c>
      <c r="V136" s="1135" t="s">
        <v>5388</v>
      </c>
      <c r="W136" s="1114" t="s">
        <v>5389</v>
      </c>
      <c r="X136" s="1135" t="s">
        <v>5390</v>
      </c>
      <c r="Y136" s="1114" t="s">
        <v>5391</v>
      </c>
      <c r="Z136" s="1135" t="s">
        <v>5392</v>
      </c>
      <c r="AA136" s="1114" t="s">
        <v>5393</v>
      </c>
      <c r="AB136" s="1135" t="s">
        <v>5394</v>
      </c>
      <c r="AC136" s="1114" t="s">
        <v>5395</v>
      </c>
      <c r="AD136" s="1135" t="s">
        <v>5396</v>
      </c>
      <c r="AE136" s="1114" t="s">
        <v>5397</v>
      </c>
      <c r="AF136" s="1135" t="s">
        <v>5398</v>
      </c>
      <c r="AG136" s="1114" t="s">
        <v>5399</v>
      </c>
      <c r="AH136" s="1135" t="s">
        <v>5400</v>
      </c>
      <c r="AI136" s="1114" t="s">
        <v>5401</v>
      </c>
      <c r="AJ136" s="1135" t="s">
        <v>5402</v>
      </c>
      <c r="AK136" s="1132" t="s">
        <v>5403</v>
      </c>
      <c r="AL136" s="1131" t="s">
        <v>5404</v>
      </c>
      <c r="AM136" s="1132" t="s">
        <v>5405</v>
      </c>
      <c r="AN136" s="1131" t="s">
        <v>5406</v>
      </c>
      <c r="AO136" s="1132" t="s">
        <v>5407</v>
      </c>
      <c r="AP136" s="1131" t="s">
        <v>5408</v>
      </c>
      <c r="AQ136" s="1132" t="s">
        <v>5409</v>
      </c>
      <c r="AR136" s="1144" t="s">
        <v>5410</v>
      </c>
      <c r="AS136" s="1134" t="s">
        <v>5411</v>
      </c>
      <c r="AT136" s="1136" t="s">
        <v>5412</v>
      </c>
      <c r="AU136" s="1134" t="s">
        <v>5413</v>
      </c>
      <c r="AV136" s="1135" t="s">
        <v>5414</v>
      </c>
      <c r="AW136" s="1114" t="s">
        <v>5415</v>
      </c>
      <c r="AX136" s="1118" t="s">
        <v>5416</v>
      </c>
      <c r="AY136" s="1197" t="e">
        <f t="shared" si="265"/>
        <v>#VALUE!</v>
      </c>
      <c r="AZ136" s="1197"/>
      <c r="BA136" s="1197"/>
      <c r="BB136" s="1197"/>
      <c r="BC136" s="1197"/>
      <c r="BD136" s="1197"/>
      <c r="BE136" s="1197"/>
      <c r="BF136" s="1197"/>
      <c r="BG136" s="1197"/>
      <c r="BH136" s="1197"/>
      <c r="BI136" s="1197"/>
      <c r="BJ136" s="1191"/>
      <c r="BK136" s="1191"/>
      <c r="BL136" s="1191"/>
      <c r="BM136" s="1191"/>
      <c r="BV136" s="1547"/>
      <c r="BW136" s="1547"/>
      <c r="BX136" s="1547"/>
      <c r="CB136" s="2195" t="str">
        <f t="shared" si="266"/>
        <v xml:space="preserve">* El total de Reactivos NO DEBE ser superior al total de Procesados. </v>
      </c>
      <c r="CC136" s="2195" t="e">
        <f t="shared" si="267"/>
        <v>#VALUE!</v>
      </c>
      <c r="CD136" s="2195" t="e">
        <f t="shared" si="268"/>
        <v>#VALUE!</v>
      </c>
      <c r="CE136" s="2195" t="str">
        <f t="shared" si="269"/>
        <v xml:space="preserve">* La columna Pueblos Originarios NO DEBE ser superior al total de Procesados. </v>
      </c>
      <c r="CF136" s="2195" t="str">
        <f t="shared" si="270"/>
        <v xml:space="preserve">* La columna Migrantes NO DEBE ser superior al total de Procesados. </v>
      </c>
      <c r="CG136" s="2195" t="str">
        <f t="shared" si="298"/>
        <v>* El total de procesados debe ser mayor o igual al total de Reactivos en el grupo de edad Menor de 6 meses</v>
      </c>
      <c r="CH136" s="2195" t="str">
        <f t="shared" si="299"/>
        <v>* El total de procesados debe ser mayor o igual al total de Reactivos en el grupo de edad 6 a 11 meses</v>
      </c>
      <c r="CI136" s="2195" t="str">
        <f t="shared" si="300"/>
        <v>* El total de procesados debe ser mayor o igual al total de Reactivos en el grupo de edad 12-24 meses</v>
      </c>
      <c r="CJ136" s="2195" t="str">
        <f t="shared" si="301"/>
        <v>* El total de procesados debe ser mayor o igual al total de Reactivos en el grupo de edad 3 a 4 años</v>
      </c>
      <c r="CK136" s="2195" t="str">
        <f t="shared" si="302"/>
        <v>* El total de procesados debe ser mayor o igual al total de Reactivos en el grupo de edad 5 a 9 años</v>
      </c>
      <c r="CL136" s="2195" t="str">
        <f t="shared" si="303"/>
        <v>* El total de procesados debe ser mayor o igual al total de Reactivos en el grupo de edad 10 - 14 años</v>
      </c>
      <c r="CM136" s="2195" t="str">
        <f t="shared" si="304"/>
        <v>* El total de procesados debe ser mayor o igual al total de Reactivos en el grupo de edad 15 - 19 años</v>
      </c>
      <c r="CN136" s="2195" t="str">
        <f t="shared" si="305"/>
        <v>* El total de procesados debe ser mayor o igual al total de Reactivos en el grupo de edad 20 - 24 años</v>
      </c>
      <c r="CO136" s="2195" t="str">
        <f t="shared" si="306"/>
        <v>* El total de procesados debe ser mayor o igual al total de Reactivos en el grupo de edad 25 a 29 años</v>
      </c>
      <c r="CP136" s="2195" t="str">
        <f t="shared" si="307"/>
        <v>* El total de procesados debe ser mayor o igual al total de Reactivos en el grupo de edad 30 a 34 años</v>
      </c>
      <c r="CQ136" s="2195" t="str">
        <f t="shared" si="308"/>
        <v>* El total de procesados debe ser mayor o igual al total de Reactivos en el grupo de edad 35 a 39 años</v>
      </c>
      <c r="CR136" s="2195" t="str">
        <f t="shared" si="309"/>
        <v>* El total de procesados debe ser mayor o igual al total de Reactivos en el grupo de edad 40 a 44 años</v>
      </c>
      <c r="CS136" s="2195" t="str">
        <f t="shared" si="310"/>
        <v>* El total de procesados debe ser mayor o igual al total de Reactivos en el grupo de edad 45 a 49 años</v>
      </c>
      <c r="CT136" s="2195" t="str">
        <f t="shared" si="311"/>
        <v>* El total de procesados debe ser mayor o igual al total de Reactivos en el grupo de edad 50 a 54 años</v>
      </c>
      <c r="CU136" s="2195" t="str">
        <f t="shared" si="312"/>
        <v>* El total de procesados debe ser mayor o igual al total de Reactivos en el grupo de edad 55 a 59 años</v>
      </c>
      <c r="CV136" s="2195" t="str">
        <f t="shared" si="313"/>
        <v>* El total de procesados debe ser mayor o igual al total de Reactivos en el grupo de edad 60 a 64 años</v>
      </c>
      <c r="CW136" s="2195" t="str">
        <f t="shared" si="314"/>
        <v>* El total de procesados debe ser mayor o igual al total de Reactivos en el grupo de edad 65 a 69 años</v>
      </c>
      <c r="CX136" s="2195" t="str">
        <f t="shared" si="315"/>
        <v>* El total de procesados debe ser mayor o igual al total de Reactivos en el grupo de edad 70 a 74 años</v>
      </c>
      <c r="CY136" s="2195" t="str">
        <f t="shared" si="316"/>
        <v>* El total de procesados debe ser mayor o igual al total de Reactivos en el grupo de edad 75 a 79 años</v>
      </c>
      <c r="CZ136" s="2195" t="str">
        <f t="shared" si="317"/>
        <v>* El total de procesados debe ser mayor o igual al total de Reactivos en el grupo de edad 80 y más años</v>
      </c>
      <c r="DA136" s="2195" t="str">
        <f t="shared" si="271"/>
        <v/>
      </c>
      <c r="DB136" s="1446">
        <f t="shared" si="272"/>
        <v>1</v>
      </c>
      <c r="DC136" s="1446" t="e">
        <f t="shared" si="273"/>
        <v>#VALUE!</v>
      </c>
      <c r="DD136" s="1446" t="e">
        <f t="shared" si="274"/>
        <v>#VALUE!</v>
      </c>
      <c r="DE136" s="1446">
        <f t="shared" si="275"/>
        <v>1</v>
      </c>
      <c r="DF136" s="1446">
        <f t="shared" si="276"/>
        <v>1</v>
      </c>
      <c r="DG136" s="1446">
        <f t="shared" si="277"/>
        <v>1</v>
      </c>
      <c r="DH136" s="1446">
        <f t="shared" si="278"/>
        <v>1</v>
      </c>
      <c r="DI136" s="1446">
        <f t="shared" si="279"/>
        <v>1</v>
      </c>
      <c r="DJ136" s="1446">
        <f t="shared" si="280"/>
        <v>1</v>
      </c>
      <c r="DK136" s="1446">
        <f t="shared" si="281"/>
        <v>1</v>
      </c>
      <c r="DL136" s="1446">
        <f t="shared" si="282"/>
        <v>1</v>
      </c>
      <c r="DM136" s="1446">
        <f t="shared" si="283"/>
        <v>1</v>
      </c>
      <c r="DN136" s="1446">
        <f t="shared" si="284"/>
        <v>1</v>
      </c>
      <c r="DO136" s="1446">
        <f t="shared" si="285"/>
        <v>1</v>
      </c>
      <c r="DP136" s="1446">
        <f t="shared" si="286"/>
        <v>1</v>
      </c>
      <c r="DQ136" s="1446">
        <f t="shared" si="287"/>
        <v>1</v>
      </c>
      <c r="DR136" s="1446">
        <f t="shared" si="288"/>
        <v>1</v>
      </c>
      <c r="DS136" s="1446">
        <f t="shared" si="289"/>
        <v>1</v>
      </c>
      <c r="DT136" s="1446">
        <f t="shared" si="290"/>
        <v>1</v>
      </c>
      <c r="DU136" s="1446">
        <f t="shared" si="291"/>
        <v>1</v>
      </c>
      <c r="DV136" s="1446">
        <f t="shared" si="292"/>
        <v>1</v>
      </c>
      <c r="DW136" s="1446">
        <f t="shared" si="293"/>
        <v>1</v>
      </c>
      <c r="DX136" s="1446">
        <f t="shared" si="294"/>
        <v>1</v>
      </c>
      <c r="DY136" s="1446">
        <f t="shared" si="295"/>
        <v>1</v>
      </c>
      <c r="DZ136" s="1446">
        <f t="shared" si="296"/>
        <v>1</v>
      </c>
      <c r="EA136" s="1446">
        <f t="shared" si="297"/>
        <v>0</v>
      </c>
    </row>
    <row r="137" spans="1:131" ht="16.2" customHeight="1" x14ac:dyDescent="0.3">
      <c r="A137" s="7258">
        <v>11056469</v>
      </c>
      <c r="B137" s="2000" t="s">
        <v>1799</v>
      </c>
      <c r="C137" s="1998" t="s">
        <v>5369</v>
      </c>
      <c r="D137" s="2044" t="s">
        <v>5370</v>
      </c>
      <c r="E137" s="1134" t="s">
        <v>5371</v>
      </c>
      <c r="F137" s="1135" t="s">
        <v>5372</v>
      </c>
      <c r="G137" s="1114" t="s">
        <v>5373</v>
      </c>
      <c r="H137" s="1135" t="s">
        <v>5374</v>
      </c>
      <c r="I137" s="1114" t="s">
        <v>5375</v>
      </c>
      <c r="J137" s="1118" t="s">
        <v>5376</v>
      </c>
      <c r="K137" s="1134" t="s">
        <v>5377</v>
      </c>
      <c r="L137" s="1134" t="s">
        <v>5378</v>
      </c>
      <c r="M137" s="1114" t="s">
        <v>5379</v>
      </c>
      <c r="N137" s="1118" t="s">
        <v>5380</v>
      </c>
      <c r="O137" s="1134" t="s">
        <v>5381</v>
      </c>
      <c r="P137" s="1135" t="s">
        <v>5382</v>
      </c>
      <c r="Q137" s="1114" t="s">
        <v>5383</v>
      </c>
      <c r="R137" s="1135" t="s">
        <v>5384</v>
      </c>
      <c r="S137" s="1114" t="s">
        <v>5385</v>
      </c>
      <c r="T137" s="1135" t="s">
        <v>5386</v>
      </c>
      <c r="U137" s="1114" t="s">
        <v>5387</v>
      </c>
      <c r="V137" s="1135" t="s">
        <v>5388</v>
      </c>
      <c r="W137" s="1114" t="s">
        <v>5389</v>
      </c>
      <c r="X137" s="1135" t="s">
        <v>5390</v>
      </c>
      <c r="Y137" s="1114" t="s">
        <v>5391</v>
      </c>
      <c r="Z137" s="1135" t="s">
        <v>5392</v>
      </c>
      <c r="AA137" s="1114" t="s">
        <v>5393</v>
      </c>
      <c r="AB137" s="1135" t="s">
        <v>5394</v>
      </c>
      <c r="AC137" s="1114" t="s">
        <v>5395</v>
      </c>
      <c r="AD137" s="1135" t="s">
        <v>5396</v>
      </c>
      <c r="AE137" s="1114" t="s">
        <v>5397</v>
      </c>
      <c r="AF137" s="1135" t="s">
        <v>5398</v>
      </c>
      <c r="AG137" s="1114" t="s">
        <v>5399</v>
      </c>
      <c r="AH137" s="1135" t="s">
        <v>5400</v>
      </c>
      <c r="AI137" s="1114" t="s">
        <v>5401</v>
      </c>
      <c r="AJ137" s="1135" t="s">
        <v>5402</v>
      </c>
      <c r="AK137" s="1114" t="s">
        <v>5403</v>
      </c>
      <c r="AL137" s="1135" t="s">
        <v>5404</v>
      </c>
      <c r="AM137" s="1114" t="s">
        <v>5405</v>
      </c>
      <c r="AN137" s="1135" t="s">
        <v>5406</v>
      </c>
      <c r="AO137" s="1114" t="s">
        <v>5407</v>
      </c>
      <c r="AP137" s="1135" t="s">
        <v>5408</v>
      </c>
      <c r="AQ137" s="1114" t="s">
        <v>5409</v>
      </c>
      <c r="AR137" s="1136" t="s">
        <v>5410</v>
      </c>
      <c r="AS137" s="1134" t="s">
        <v>5411</v>
      </c>
      <c r="AT137" s="1136" t="s">
        <v>5412</v>
      </c>
      <c r="AU137" s="1134" t="s">
        <v>5413</v>
      </c>
      <c r="AV137" s="1135" t="s">
        <v>5414</v>
      </c>
      <c r="AW137" s="1114" t="s">
        <v>5415</v>
      </c>
      <c r="AX137" s="1118" t="s">
        <v>5416</v>
      </c>
      <c r="AY137" s="1197" t="e">
        <f t="shared" si="265"/>
        <v>#VALUE!</v>
      </c>
      <c r="AZ137" s="1197"/>
      <c r="BA137" s="1197"/>
      <c r="BB137" s="1197"/>
      <c r="BC137" s="1197"/>
      <c r="BD137" s="1197"/>
      <c r="BE137" s="1197"/>
      <c r="BF137" s="1197"/>
      <c r="BG137" s="1197"/>
      <c r="BH137" s="1197"/>
      <c r="BI137" s="1197"/>
      <c r="BJ137" s="1191"/>
      <c r="BK137" s="1191"/>
      <c r="BL137" s="1191"/>
      <c r="BM137" s="1191"/>
      <c r="BV137" s="1547"/>
      <c r="BW137" s="1547"/>
      <c r="BX137" s="1547"/>
      <c r="CB137" s="2195" t="str">
        <f t="shared" si="266"/>
        <v xml:space="preserve">* El total de Reactivos NO DEBE ser superior al total de Procesados. </v>
      </c>
      <c r="CC137" s="2195" t="e">
        <f t="shared" si="267"/>
        <v>#VALUE!</v>
      </c>
      <c r="CD137" s="2195" t="e">
        <f t="shared" si="268"/>
        <v>#VALUE!</v>
      </c>
      <c r="CE137" s="2195" t="str">
        <f t="shared" si="269"/>
        <v xml:space="preserve">* La columna Pueblos Originarios NO DEBE ser superior al total de Procesados. </v>
      </c>
      <c r="CF137" s="2195" t="str">
        <f t="shared" si="270"/>
        <v xml:space="preserve">* La columna Migrantes NO DEBE ser superior al total de Procesados. </v>
      </c>
      <c r="CG137" s="2195" t="str">
        <f t="shared" si="298"/>
        <v>* El total de procesados debe ser mayor o igual al total de Reactivos en el grupo de edad Menor de 6 meses</v>
      </c>
      <c r="CH137" s="2195" t="str">
        <f t="shared" si="299"/>
        <v>* El total de procesados debe ser mayor o igual al total de Reactivos en el grupo de edad 6 a 11 meses</v>
      </c>
      <c r="CI137" s="2195" t="str">
        <f t="shared" si="300"/>
        <v>* El total de procesados debe ser mayor o igual al total de Reactivos en el grupo de edad 12-24 meses</v>
      </c>
      <c r="CJ137" s="2195" t="str">
        <f t="shared" si="301"/>
        <v>* El total de procesados debe ser mayor o igual al total de Reactivos en el grupo de edad 3 a 4 años</v>
      </c>
      <c r="CK137" s="2195" t="str">
        <f t="shared" si="302"/>
        <v>* El total de procesados debe ser mayor o igual al total de Reactivos en el grupo de edad 5 a 9 años</v>
      </c>
      <c r="CL137" s="2195" t="str">
        <f t="shared" si="303"/>
        <v>* El total de procesados debe ser mayor o igual al total de Reactivos en el grupo de edad 10 - 14 años</v>
      </c>
      <c r="CM137" s="2195" t="str">
        <f t="shared" si="304"/>
        <v>* El total de procesados debe ser mayor o igual al total de Reactivos en el grupo de edad 15 - 19 años</v>
      </c>
      <c r="CN137" s="2195" t="str">
        <f t="shared" si="305"/>
        <v>* El total de procesados debe ser mayor o igual al total de Reactivos en el grupo de edad 20 - 24 años</v>
      </c>
      <c r="CO137" s="2195" t="str">
        <f t="shared" si="306"/>
        <v>* El total de procesados debe ser mayor o igual al total de Reactivos en el grupo de edad 25 a 29 años</v>
      </c>
      <c r="CP137" s="2195" t="str">
        <f t="shared" si="307"/>
        <v>* El total de procesados debe ser mayor o igual al total de Reactivos en el grupo de edad 30 a 34 años</v>
      </c>
      <c r="CQ137" s="2195" t="str">
        <f t="shared" si="308"/>
        <v>* El total de procesados debe ser mayor o igual al total de Reactivos en el grupo de edad 35 a 39 años</v>
      </c>
      <c r="CR137" s="2195" t="str">
        <f t="shared" si="309"/>
        <v>* El total de procesados debe ser mayor o igual al total de Reactivos en el grupo de edad 40 a 44 años</v>
      </c>
      <c r="CS137" s="2195" t="str">
        <f t="shared" si="310"/>
        <v>* El total de procesados debe ser mayor o igual al total de Reactivos en el grupo de edad 45 a 49 años</v>
      </c>
      <c r="CT137" s="2195" t="str">
        <f t="shared" si="311"/>
        <v>* El total de procesados debe ser mayor o igual al total de Reactivos en el grupo de edad 50 a 54 años</v>
      </c>
      <c r="CU137" s="2195" t="str">
        <f t="shared" si="312"/>
        <v>* El total de procesados debe ser mayor o igual al total de Reactivos en el grupo de edad 55 a 59 años</v>
      </c>
      <c r="CV137" s="2195" t="str">
        <f t="shared" si="313"/>
        <v>* El total de procesados debe ser mayor o igual al total de Reactivos en el grupo de edad 60 a 64 años</v>
      </c>
      <c r="CW137" s="2195" t="str">
        <f t="shared" si="314"/>
        <v>* El total de procesados debe ser mayor o igual al total de Reactivos en el grupo de edad 65 a 69 años</v>
      </c>
      <c r="CX137" s="2195" t="str">
        <f t="shared" si="315"/>
        <v>* El total de procesados debe ser mayor o igual al total de Reactivos en el grupo de edad 70 a 74 años</v>
      </c>
      <c r="CY137" s="2195" t="str">
        <f t="shared" si="316"/>
        <v>* El total de procesados debe ser mayor o igual al total de Reactivos en el grupo de edad 75 a 79 años</v>
      </c>
      <c r="CZ137" s="2195" t="str">
        <f t="shared" si="317"/>
        <v>* El total de procesados debe ser mayor o igual al total de Reactivos en el grupo de edad 80 y más años</v>
      </c>
      <c r="DA137" s="2195" t="str">
        <f t="shared" si="271"/>
        <v/>
      </c>
      <c r="DB137" s="1446">
        <f t="shared" si="272"/>
        <v>1</v>
      </c>
      <c r="DC137" s="1446" t="e">
        <f t="shared" si="273"/>
        <v>#VALUE!</v>
      </c>
      <c r="DD137" s="1446" t="e">
        <f t="shared" si="274"/>
        <v>#VALUE!</v>
      </c>
      <c r="DE137" s="1446">
        <f t="shared" si="275"/>
        <v>1</v>
      </c>
      <c r="DF137" s="1446">
        <f t="shared" si="276"/>
        <v>1</v>
      </c>
      <c r="DG137" s="1446">
        <f t="shared" si="277"/>
        <v>1</v>
      </c>
      <c r="DH137" s="1446">
        <f t="shared" si="278"/>
        <v>1</v>
      </c>
      <c r="DI137" s="1446">
        <f t="shared" si="279"/>
        <v>1</v>
      </c>
      <c r="DJ137" s="1446">
        <f t="shared" si="280"/>
        <v>1</v>
      </c>
      <c r="DK137" s="1446">
        <f t="shared" si="281"/>
        <v>1</v>
      </c>
      <c r="DL137" s="1446">
        <f t="shared" si="282"/>
        <v>1</v>
      </c>
      <c r="DM137" s="1446">
        <f t="shared" si="283"/>
        <v>1</v>
      </c>
      <c r="DN137" s="1446">
        <f t="shared" si="284"/>
        <v>1</v>
      </c>
      <c r="DO137" s="1446">
        <f t="shared" si="285"/>
        <v>1</v>
      </c>
      <c r="DP137" s="1446">
        <f t="shared" si="286"/>
        <v>1</v>
      </c>
      <c r="DQ137" s="1446">
        <f t="shared" si="287"/>
        <v>1</v>
      </c>
      <c r="DR137" s="1446">
        <f t="shared" si="288"/>
        <v>1</v>
      </c>
      <c r="DS137" s="1446">
        <f t="shared" si="289"/>
        <v>1</v>
      </c>
      <c r="DT137" s="1446">
        <f t="shared" si="290"/>
        <v>1</v>
      </c>
      <c r="DU137" s="1446">
        <f t="shared" si="291"/>
        <v>1</v>
      </c>
      <c r="DV137" s="1446">
        <f t="shared" si="292"/>
        <v>1</v>
      </c>
      <c r="DW137" s="1446">
        <f t="shared" si="293"/>
        <v>1</v>
      </c>
      <c r="DX137" s="1446">
        <f t="shared" si="294"/>
        <v>1</v>
      </c>
      <c r="DY137" s="1446">
        <f t="shared" si="295"/>
        <v>1</v>
      </c>
      <c r="DZ137" s="1446">
        <f t="shared" si="296"/>
        <v>1</v>
      </c>
      <c r="EA137" s="1446">
        <f t="shared" si="297"/>
        <v>0</v>
      </c>
    </row>
    <row r="138" spans="1:131" ht="16.2" customHeight="1" x14ac:dyDescent="0.3">
      <c r="A138" s="7258">
        <v>11056470</v>
      </c>
      <c r="B138" s="2000" t="s">
        <v>1800</v>
      </c>
      <c r="C138" s="1998" t="s">
        <v>5369</v>
      </c>
      <c r="D138" s="2044" t="s">
        <v>5370</v>
      </c>
      <c r="E138" s="1134" t="s">
        <v>5371</v>
      </c>
      <c r="F138" s="1135" t="s">
        <v>5372</v>
      </c>
      <c r="G138" s="1114" t="s">
        <v>5373</v>
      </c>
      <c r="H138" s="1135" t="s">
        <v>5374</v>
      </c>
      <c r="I138" s="1114" t="s">
        <v>5375</v>
      </c>
      <c r="J138" s="1118" t="s">
        <v>5376</v>
      </c>
      <c r="K138" s="1134" t="s">
        <v>5377</v>
      </c>
      <c r="L138" s="1134" t="s">
        <v>5378</v>
      </c>
      <c r="M138" s="1114" t="s">
        <v>5379</v>
      </c>
      <c r="N138" s="1118" t="s">
        <v>5380</v>
      </c>
      <c r="O138" s="1134" t="s">
        <v>5381</v>
      </c>
      <c r="P138" s="1135" t="s">
        <v>5382</v>
      </c>
      <c r="Q138" s="1114" t="s">
        <v>5383</v>
      </c>
      <c r="R138" s="1135" t="s">
        <v>5384</v>
      </c>
      <c r="S138" s="1114" t="s">
        <v>5385</v>
      </c>
      <c r="T138" s="1135" t="s">
        <v>5386</v>
      </c>
      <c r="U138" s="1114" t="s">
        <v>5387</v>
      </c>
      <c r="V138" s="1135" t="s">
        <v>5388</v>
      </c>
      <c r="W138" s="1114" t="s">
        <v>5389</v>
      </c>
      <c r="X138" s="1135" t="s">
        <v>5390</v>
      </c>
      <c r="Y138" s="1114" t="s">
        <v>5391</v>
      </c>
      <c r="Z138" s="1135" t="s">
        <v>5392</v>
      </c>
      <c r="AA138" s="1114" t="s">
        <v>5393</v>
      </c>
      <c r="AB138" s="1135" t="s">
        <v>5394</v>
      </c>
      <c r="AC138" s="1114" t="s">
        <v>5395</v>
      </c>
      <c r="AD138" s="1135" t="s">
        <v>5396</v>
      </c>
      <c r="AE138" s="1114" t="s">
        <v>5397</v>
      </c>
      <c r="AF138" s="1135" t="s">
        <v>5398</v>
      </c>
      <c r="AG138" s="1114" t="s">
        <v>5399</v>
      </c>
      <c r="AH138" s="1135" t="s">
        <v>5400</v>
      </c>
      <c r="AI138" s="1114" t="s">
        <v>5401</v>
      </c>
      <c r="AJ138" s="1135" t="s">
        <v>5402</v>
      </c>
      <c r="AK138" s="1114" t="s">
        <v>5403</v>
      </c>
      <c r="AL138" s="1135" t="s">
        <v>5404</v>
      </c>
      <c r="AM138" s="1114" t="s">
        <v>5405</v>
      </c>
      <c r="AN138" s="1135" t="s">
        <v>5406</v>
      </c>
      <c r="AO138" s="1114" t="s">
        <v>5407</v>
      </c>
      <c r="AP138" s="1135" t="s">
        <v>5408</v>
      </c>
      <c r="AQ138" s="1114" t="s">
        <v>5409</v>
      </c>
      <c r="AR138" s="1136" t="s">
        <v>5410</v>
      </c>
      <c r="AS138" s="1134" t="s">
        <v>5411</v>
      </c>
      <c r="AT138" s="1136" t="s">
        <v>5412</v>
      </c>
      <c r="AU138" s="1134" t="s">
        <v>5413</v>
      </c>
      <c r="AV138" s="1135" t="s">
        <v>5414</v>
      </c>
      <c r="AW138" s="1114" t="s">
        <v>5415</v>
      </c>
      <c r="AX138" s="1118" t="s">
        <v>5416</v>
      </c>
      <c r="AY138" s="1197" t="e">
        <f t="shared" si="265"/>
        <v>#VALUE!</v>
      </c>
      <c r="AZ138" s="1197"/>
      <c r="BA138" s="1197"/>
      <c r="BB138" s="1197"/>
      <c r="BC138" s="1197"/>
      <c r="BD138" s="1197"/>
      <c r="BE138" s="1197"/>
      <c r="BF138" s="1197"/>
      <c r="BG138" s="1197"/>
      <c r="BH138" s="1197"/>
      <c r="BI138" s="1197"/>
      <c r="BJ138" s="1191"/>
      <c r="BK138" s="1191"/>
      <c r="BL138" s="1191"/>
      <c r="BM138" s="1191"/>
      <c r="BV138" s="1547"/>
      <c r="BW138" s="1547"/>
      <c r="BX138" s="1547"/>
      <c r="CB138" s="2195" t="str">
        <f t="shared" si="266"/>
        <v xml:space="preserve">* El total de Reactivos NO DEBE ser superior al total de Procesados. </v>
      </c>
      <c r="CC138" s="2195" t="e">
        <f t="shared" si="267"/>
        <v>#VALUE!</v>
      </c>
      <c r="CD138" s="2195" t="e">
        <f t="shared" si="268"/>
        <v>#VALUE!</v>
      </c>
      <c r="CE138" s="2195" t="str">
        <f t="shared" si="269"/>
        <v xml:space="preserve">* La columna Pueblos Originarios NO DEBE ser superior al total de Procesados. </v>
      </c>
      <c r="CF138" s="2195" t="str">
        <f t="shared" si="270"/>
        <v xml:space="preserve">* La columna Migrantes NO DEBE ser superior al total de Procesados. </v>
      </c>
      <c r="CG138" s="2195" t="str">
        <f t="shared" si="298"/>
        <v>* El total de procesados debe ser mayor o igual al total de Reactivos en el grupo de edad Menor de 6 meses</v>
      </c>
      <c r="CH138" s="2195" t="str">
        <f t="shared" si="299"/>
        <v>* El total de procesados debe ser mayor o igual al total de Reactivos en el grupo de edad 6 a 11 meses</v>
      </c>
      <c r="CI138" s="2195" t="str">
        <f t="shared" si="300"/>
        <v>* El total de procesados debe ser mayor o igual al total de Reactivos en el grupo de edad 12-24 meses</v>
      </c>
      <c r="CJ138" s="2195" t="str">
        <f t="shared" si="301"/>
        <v>* El total de procesados debe ser mayor o igual al total de Reactivos en el grupo de edad 3 a 4 años</v>
      </c>
      <c r="CK138" s="2195" t="str">
        <f t="shared" si="302"/>
        <v>* El total de procesados debe ser mayor o igual al total de Reactivos en el grupo de edad 5 a 9 años</v>
      </c>
      <c r="CL138" s="2195" t="str">
        <f t="shared" si="303"/>
        <v>* El total de procesados debe ser mayor o igual al total de Reactivos en el grupo de edad 10 - 14 años</v>
      </c>
      <c r="CM138" s="2195" t="str">
        <f t="shared" si="304"/>
        <v>* El total de procesados debe ser mayor o igual al total de Reactivos en el grupo de edad 15 - 19 años</v>
      </c>
      <c r="CN138" s="2195" t="str">
        <f t="shared" si="305"/>
        <v>* El total de procesados debe ser mayor o igual al total de Reactivos en el grupo de edad 20 - 24 años</v>
      </c>
      <c r="CO138" s="2195" t="str">
        <f t="shared" si="306"/>
        <v>* El total de procesados debe ser mayor o igual al total de Reactivos en el grupo de edad 25 a 29 años</v>
      </c>
      <c r="CP138" s="2195" t="str">
        <f t="shared" si="307"/>
        <v>* El total de procesados debe ser mayor o igual al total de Reactivos en el grupo de edad 30 a 34 años</v>
      </c>
      <c r="CQ138" s="2195" t="str">
        <f t="shared" si="308"/>
        <v>* El total de procesados debe ser mayor o igual al total de Reactivos en el grupo de edad 35 a 39 años</v>
      </c>
      <c r="CR138" s="2195" t="str">
        <f t="shared" si="309"/>
        <v>* El total de procesados debe ser mayor o igual al total de Reactivos en el grupo de edad 40 a 44 años</v>
      </c>
      <c r="CS138" s="2195" t="str">
        <f t="shared" si="310"/>
        <v>* El total de procesados debe ser mayor o igual al total de Reactivos en el grupo de edad 45 a 49 años</v>
      </c>
      <c r="CT138" s="2195" t="str">
        <f t="shared" si="311"/>
        <v>* El total de procesados debe ser mayor o igual al total de Reactivos en el grupo de edad 50 a 54 años</v>
      </c>
      <c r="CU138" s="2195" t="str">
        <f t="shared" si="312"/>
        <v>* El total de procesados debe ser mayor o igual al total de Reactivos en el grupo de edad 55 a 59 años</v>
      </c>
      <c r="CV138" s="2195" t="str">
        <f t="shared" si="313"/>
        <v>* El total de procesados debe ser mayor o igual al total de Reactivos en el grupo de edad 60 a 64 años</v>
      </c>
      <c r="CW138" s="2195" t="str">
        <f t="shared" si="314"/>
        <v>* El total de procesados debe ser mayor o igual al total de Reactivos en el grupo de edad 65 a 69 años</v>
      </c>
      <c r="CX138" s="2195" t="str">
        <f t="shared" si="315"/>
        <v>* El total de procesados debe ser mayor o igual al total de Reactivos en el grupo de edad 70 a 74 años</v>
      </c>
      <c r="CY138" s="2195" t="str">
        <f t="shared" si="316"/>
        <v>* El total de procesados debe ser mayor o igual al total de Reactivos en el grupo de edad 75 a 79 años</v>
      </c>
      <c r="CZ138" s="2195" t="str">
        <f t="shared" si="317"/>
        <v>* El total de procesados debe ser mayor o igual al total de Reactivos en el grupo de edad 80 y más años</v>
      </c>
      <c r="DA138" s="2195" t="str">
        <f t="shared" si="271"/>
        <v/>
      </c>
      <c r="DB138" s="1446">
        <f t="shared" si="272"/>
        <v>1</v>
      </c>
      <c r="DC138" s="1446" t="e">
        <f t="shared" si="273"/>
        <v>#VALUE!</v>
      </c>
      <c r="DD138" s="1446" t="e">
        <f t="shared" si="274"/>
        <v>#VALUE!</v>
      </c>
      <c r="DE138" s="1446">
        <f t="shared" si="275"/>
        <v>1</v>
      </c>
      <c r="DF138" s="1446">
        <f t="shared" si="276"/>
        <v>1</v>
      </c>
      <c r="DG138" s="1446">
        <f t="shared" si="277"/>
        <v>1</v>
      </c>
      <c r="DH138" s="1446">
        <f t="shared" si="278"/>
        <v>1</v>
      </c>
      <c r="DI138" s="1446">
        <f t="shared" si="279"/>
        <v>1</v>
      </c>
      <c r="DJ138" s="1446">
        <f t="shared" si="280"/>
        <v>1</v>
      </c>
      <c r="DK138" s="1446">
        <f t="shared" si="281"/>
        <v>1</v>
      </c>
      <c r="DL138" s="1446">
        <f t="shared" si="282"/>
        <v>1</v>
      </c>
      <c r="DM138" s="1446">
        <f t="shared" si="283"/>
        <v>1</v>
      </c>
      <c r="DN138" s="1446">
        <f t="shared" si="284"/>
        <v>1</v>
      </c>
      <c r="DO138" s="1446">
        <f t="shared" si="285"/>
        <v>1</v>
      </c>
      <c r="DP138" s="1446">
        <f t="shared" si="286"/>
        <v>1</v>
      </c>
      <c r="DQ138" s="1446">
        <f t="shared" si="287"/>
        <v>1</v>
      </c>
      <c r="DR138" s="1446">
        <f t="shared" si="288"/>
        <v>1</v>
      </c>
      <c r="DS138" s="1446">
        <f t="shared" si="289"/>
        <v>1</v>
      </c>
      <c r="DT138" s="1446">
        <f t="shared" si="290"/>
        <v>1</v>
      </c>
      <c r="DU138" s="1446">
        <f t="shared" si="291"/>
        <v>1</v>
      </c>
      <c r="DV138" s="1446">
        <f t="shared" si="292"/>
        <v>1</v>
      </c>
      <c r="DW138" s="1446">
        <f t="shared" si="293"/>
        <v>1</v>
      </c>
      <c r="DX138" s="1446">
        <f t="shared" si="294"/>
        <v>1</v>
      </c>
      <c r="DY138" s="1446">
        <f t="shared" si="295"/>
        <v>1</v>
      </c>
      <c r="DZ138" s="1446">
        <f t="shared" si="296"/>
        <v>1</v>
      </c>
      <c r="EA138" s="1446">
        <f t="shared" si="297"/>
        <v>0</v>
      </c>
    </row>
    <row r="139" spans="1:131" ht="16.2" customHeight="1" x14ac:dyDescent="0.3">
      <c r="A139" s="7263">
        <v>11056471</v>
      </c>
      <c r="B139" s="1898" t="s">
        <v>1801</v>
      </c>
      <c r="C139" s="1960" t="s">
        <v>5369</v>
      </c>
      <c r="D139" s="1898" t="s">
        <v>5370</v>
      </c>
      <c r="E139" s="102" t="s">
        <v>5371</v>
      </c>
      <c r="F139" s="83" t="s">
        <v>5372</v>
      </c>
      <c r="G139" s="125" t="s">
        <v>5373</v>
      </c>
      <c r="H139" s="83" t="s">
        <v>5374</v>
      </c>
      <c r="I139" s="125" t="s">
        <v>5375</v>
      </c>
      <c r="J139" s="101" t="s">
        <v>5376</v>
      </c>
      <c r="K139" s="102" t="s">
        <v>5377</v>
      </c>
      <c r="L139" s="102" t="s">
        <v>5378</v>
      </c>
      <c r="M139" s="125" t="s">
        <v>5379</v>
      </c>
      <c r="N139" s="101" t="s">
        <v>5380</v>
      </c>
      <c r="O139" s="102" t="s">
        <v>5381</v>
      </c>
      <c r="P139" s="83" t="s">
        <v>5382</v>
      </c>
      <c r="Q139" s="125" t="s">
        <v>5383</v>
      </c>
      <c r="R139" s="83" t="s">
        <v>5384</v>
      </c>
      <c r="S139" s="125" t="s">
        <v>5385</v>
      </c>
      <c r="T139" s="83" t="s">
        <v>5386</v>
      </c>
      <c r="U139" s="125" t="s">
        <v>5387</v>
      </c>
      <c r="V139" s="83" t="s">
        <v>5388</v>
      </c>
      <c r="W139" s="125" t="s">
        <v>5389</v>
      </c>
      <c r="X139" s="83" t="s">
        <v>5390</v>
      </c>
      <c r="Y139" s="125" t="s">
        <v>5391</v>
      </c>
      <c r="Z139" s="83" t="s">
        <v>5392</v>
      </c>
      <c r="AA139" s="125" t="s">
        <v>5393</v>
      </c>
      <c r="AB139" s="83" t="s">
        <v>5394</v>
      </c>
      <c r="AC139" s="125" t="s">
        <v>5395</v>
      </c>
      <c r="AD139" s="83" t="s">
        <v>5396</v>
      </c>
      <c r="AE139" s="125" t="s">
        <v>5397</v>
      </c>
      <c r="AF139" s="83" t="s">
        <v>5398</v>
      </c>
      <c r="AG139" s="125" t="s">
        <v>5399</v>
      </c>
      <c r="AH139" s="83" t="s">
        <v>5400</v>
      </c>
      <c r="AI139" s="125" t="s">
        <v>5401</v>
      </c>
      <c r="AJ139" s="83" t="s">
        <v>5402</v>
      </c>
      <c r="AK139" s="125" t="s">
        <v>5403</v>
      </c>
      <c r="AL139" s="83" t="s">
        <v>5404</v>
      </c>
      <c r="AM139" s="125" t="s">
        <v>5405</v>
      </c>
      <c r="AN139" s="83" t="s">
        <v>5406</v>
      </c>
      <c r="AO139" s="125" t="s">
        <v>5407</v>
      </c>
      <c r="AP139" s="83" t="s">
        <v>5408</v>
      </c>
      <c r="AQ139" s="125" t="s">
        <v>5409</v>
      </c>
      <c r="AR139" s="198" t="s">
        <v>5410</v>
      </c>
      <c r="AS139" s="102" t="s">
        <v>5411</v>
      </c>
      <c r="AT139" s="198" t="s">
        <v>5412</v>
      </c>
      <c r="AU139" s="102" t="s">
        <v>5413</v>
      </c>
      <c r="AV139" s="83" t="s">
        <v>5414</v>
      </c>
      <c r="AW139" s="125" t="s">
        <v>5415</v>
      </c>
      <c r="AX139" s="101" t="s">
        <v>5416</v>
      </c>
      <c r="AY139" s="1197" t="e">
        <f t="shared" si="265"/>
        <v>#VALUE!</v>
      </c>
      <c r="AZ139" s="1197"/>
      <c r="BA139" s="1197"/>
      <c r="BB139" s="1197"/>
      <c r="BC139" s="1197"/>
      <c r="BD139" s="1197"/>
      <c r="BE139" s="1197"/>
      <c r="BF139" s="1197"/>
      <c r="BG139" s="1197"/>
      <c r="BH139" s="1197"/>
      <c r="BI139" s="1197"/>
      <c r="BJ139" s="1191"/>
      <c r="BK139" s="1191"/>
      <c r="BL139" s="1191"/>
      <c r="BM139" s="1191"/>
      <c r="BV139" s="1547"/>
      <c r="BW139" s="1547"/>
      <c r="BX139" s="1547"/>
      <c r="CB139" s="2195" t="str">
        <f t="shared" si="266"/>
        <v xml:space="preserve">* El total de Reactivos NO DEBE ser superior al total de Procesados. </v>
      </c>
      <c r="CC139" s="2195" t="e">
        <f>IF(C139&lt;&gt;(AS139+ AT139),"* La suma de las columnas Sexo DEBE SER IGUAL a los Procesados. ","")</f>
        <v>#VALUE!</v>
      </c>
      <c r="CD139" s="2195" t="e">
        <f t="shared" si="268"/>
        <v>#VALUE!</v>
      </c>
      <c r="CE139" s="2195" t="str">
        <f t="shared" si="269"/>
        <v xml:space="preserve">* La columna Pueblos Originarios NO DEBE ser superior al total de Procesados. </v>
      </c>
      <c r="CF139" s="2195" t="str">
        <f t="shared" si="270"/>
        <v xml:space="preserve">* La columna Migrantes NO DEBE ser superior al total de Procesados. </v>
      </c>
      <c r="CG139" s="2195" t="str">
        <f t="shared" si="298"/>
        <v>* El total de procesados debe ser mayor o igual al total de Reactivos en el grupo de edad Menor de 6 meses</v>
      </c>
      <c r="CH139" s="2195" t="str">
        <f t="shared" si="299"/>
        <v>* El total de procesados debe ser mayor o igual al total de Reactivos en el grupo de edad 6 a 11 meses</v>
      </c>
      <c r="CI139" s="2195" t="str">
        <f t="shared" si="300"/>
        <v>* El total de procesados debe ser mayor o igual al total de Reactivos en el grupo de edad 12-24 meses</v>
      </c>
      <c r="CJ139" s="2195" t="str">
        <f t="shared" si="301"/>
        <v>* El total de procesados debe ser mayor o igual al total de Reactivos en el grupo de edad 3 a 4 años</v>
      </c>
      <c r="CK139" s="2195" t="str">
        <f t="shared" si="302"/>
        <v>* El total de procesados debe ser mayor o igual al total de Reactivos en el grupo de edad 5 a 9 años</v>
      </c>
      <c r="CL139" s="2195" t="str">
        <f t="shared" si="303"/>
        <v>* El total de procesados debe ser mayor o igual al total de Reactivos en el grupo de edad 10 - 14 años</v>
      </c>
      <c r="CM139" s="2195" t="str">
        <f t="shared" si="304"/>
        <v>* El total de procesados debe ser mayor o igual al total de Reactivos en el grupo de edad 15 - 19 años</v>
      </c>
      <c r="CN139" s="2195" t="str">
        <f t="shared" si="305"/>
        <v>* El total de procesados debe ser mayor o igual al total de Reactivos en el grupo de edad 20 - 24 años</v>
      </c>
      <c r="CO139" s="2195" t="str">
        <f t="shared" si="306"/>
        <v>* El total de procesados debe ser mayor o igual al total de Reactivos en el grupo de edad 25 a 29 años</v>
      </c>
      <c r="CP139" s="2195" t="str">
        <f t="shared" si="307"/>
        <v>* El total de procesados debe ser mayor o igual al total de Reactivos en el grupo de edad 30 a 34 años</v>
      </c>
      <c r="CQ139" s="2195" t="str">
        <f t="shared" si="308"/>
        <v>* El total de procesados debe ser mayor o igual al total de Reactivos en el grupo de edad 35 a 39 años</v>
      </c>
      <c r="CR139" s="2195" t="str">
        <f t="shared" si="309"/>
        <v>* El total de procesados debe ser mayor o igual al total de Reactivos en el grupo de edad 40 a 44 años</v>
      </c>
      <c r="CS139" s="2195" t="str">
        <f t="shared" si="310"/>
        <v>* El total de procesados debe ser mayor o igual al total de Reactivos en el grupo de edad 45 a 49 años</v>
      </c>
      <c r="CT139" s="2195" t="str">
        <f t="shared" si="311"/>
        <v>* El total de procesados debe ser mayor o igual al total de Reactivos en el grupo de edad 50 a 54 años</v>
      </c>
      <c r="CU139" s="2195" t="str">
        <f t="shared" si="312"/>
        <v>* El total de procesados debe ser mayor o igual al total de Reactivos en el grupo de edad 55 a 59 años</v>
      </c>
      <c r="CV139" s="2195" t="str">
        <f t="shared" si="313"/>
        <v>* El total de procesados debe ser mayor o igual al total de Reactivos en el grupo de edad 60 a 64 años</v>
      </c>
      <c r="CW139" s="2195" t="str">
        <f t="shared" si="314"/>
        <v>* El total de procesados debe ser mayor o igual al total de Reactivos en el grupo de edad 65 a 69 años</v>
      </c>
      <c r="CX139" s="2195" t="str">
        <f t="shared" si="315"/>
        <v>* El total de procesados debe ser mayor o igual al total de Reactivos en el grupo de edad 70 a 74 años</v>
      </c>
      <c r="CY139" s="2195" t="str">
        <f t="shared" si="316"/>
        <v>* El total de procesados debe ser mayor o igual al total de Reactivos en el grupo de edad 75 a 79 años</v>
      </c>
      <c r="CZ139" s="2195" t="str">
        <f t="shared" si="317"/>
        <v>* El total de procesados debe ser mayor o igual al total de Reactivos en el grupo de edad 80 y más años</v>
      </c>
      <c r="DA139" s="2195" t="str">
        <f t="shared" si="271"/>
        <v/>
      </c>
      <c r="DB139" s="1446">
        <f t="shared" si="272"/>
        <v>1</v>
      </c>
      <c r="DC139" s="1446" t="e">
        <f t="shared" si="273"/>
        <v>#VALUE!</v>
      </c>
      <c r="DD139" s="1446" t="e">
        <f t="shared" si="274"/>
        <v>#VALUE!</v>
      </c>
      <c r="DE139" s="1446">
        <f t="shared" si="275"/>
        <v>1</v>
      </c>
      <c r="DF139" s="1446">
        <f t="shared" si="276"/>
        <v>1</v>
      </c>
      <c r="DG139" s="1446">
        <f t="shared" si="277"/>
        <v>1</v>
      </c>
      <c r="DH139" s="1446">
        <f t="shared" si="278"/>
        <v>1</v>
      </c>
      <c r="DI139" s="1446">
        <f t="shared" si="279"/>
        <v>1</v>
      </c>
      <c r="DJ139" s="1446">
        <f t="shared" si="280"/>
        <v>1</v>
      </c>
      <c r="DK139" s="1446">
        <f t="shared" si="281"/>
        <v>1</v>
      </c>
      <c r="DL139" s="1446">
        <f t="shared" si="282"/>
        <v>1</v>
      </c>
      <c r="DM139" s="1446">
        <f t="shared" si="283"/>
        <v>1</v>
      </c>
      <c r="DN139" s="1446">
        <f t="shared" si="284"/>
        <v>1</v>
      </c>
      <c r="DO139" s="1446">
        <f t="shared" si="285"/>
        <v>1</v>
      </c>
      <c r="DP139" s="1446">
        <f t="shared" si="286"/>
        <v>1</v>
      </c>
      <c r="DQ139" s="1446">
        <f t="shared" si="287"/>
        <v>1</v>
      </c>
      <c r="DR139" s="1446">
        <f t="shared" si="288"/>
        <v>1</v>
      </c>
      <c r="DS139" s="1446">
        <f t="shared" si="289"/>
        <v>1</v>
      </c>
      <c r="DT139" s="1446">
        <f t="shared" si="290"/>
        <v>1</v>
      </c>
      <c r="DU139" s="1446">
        <f t="shared" si="291"/>
        <v>1</v>
      </c>
      <c r="DV139" s="1446">
        <f t="shared" si="292"/>
        <v>1</v>
      </c>
      <c r="DW139" s="1446">
        <f t="shared" si="293"/>
        <v>1</v>
      </c>
      <c r="DX139" s="1446">
        <f t="shared" si="294"/>
        <v>1</v>
      </c>
      <c r="DY139" s="1446">
        <f t="shared" si="295"/>
        <v>1</v>
      </c>
      <c r="DZ139" s="1446">
        <f t="shared" si="296"/>
        <v>1</v>
      </c>
      <c r="EA139" s="1446">
        <f t="shared" si="297"/>
        <v>0</v>
      </c>
    </row>
    <row r="140" spans="1:131" ht="31.95" customHeight="1" x14ac:dyDescent="0.3">
      <c r="B140" s="9983" t="s">
        <v>1806</v>
      </c>
      <c r="C140" s="9983"/>
      <c r="D140" s="9983"/>
      <c r="E140" s="9983"/>
      <c r="F140" s="9983"/>
      <c r="G140" s="9983"/>
      <c r="H140" s="9983"/>
      <c r="I140" s="9983"/>
      <c r="J140" s="9983"/>
      <c r="K140" s="9983"/>
      <c r="L140" s="9983"/>
      <c r="M140" s="9983"/>
      <c r="N140" s="9983"/>
      <c r="O140" s="9983"/>
      <c r="P140" s="9983"/>
      <c r="Q140" s="9983"/>
      <c r="R140" s="8885"/>
      <c r="S140" s="140"/>
      <c r="T140" s="140"/>
      <c r="U140" s="140"/>
      <c r="V140" s="140"/>
      <c r="W140" s="140"/>
      <c r="X140" s="140"/>
      <c r="Y140" s="140"/>
      <c r="Z140" s="140"/>
      <c r="AA140" s="140"/>
      <c r="AB140" s="140"/>
      <c r="AC140" s="140"/>
      <c r="AD140" s="153"/>
      <c r="AE140" s="2141"/>
      <c r="AF140" s="153"/>
      <c r="AG140" s="153"/>
      <c r="AH140" s="140"/>
      <c r="AI140" s="140"/>
      <c r="AY140" s="1191"/>
      <c r="AZ140" s="1191"/>
      <c r="BA140" s="1191"/>
      <c r="BB140" s="1191"/>
      <c r="BC140" s="1191"/>
      <c r="BD140" s="1191"/>
      <c r="BE140" s="1191"/>
      <c r="BF140" s="1191"/>
      <c r="BG140" s="1191"/>
      <c r="BH140" s="1191"/>
      <c r="BI140" s="1191"/>
      <c r="BJ140" s="1191"/>
      <c r="BK140" s="1191"/>
      <c r="BL140" s="1191"/>
      <c r="BM140" s="1191"/>
      <c r="BN140" s="1191"/>
    </row>
    <row r="141" spans="1:131" ht="16.2" customHeight="1" x14ac:dyDescent="0.3">
      <c r="B141" s="9976" t="s">
        <v>1807</v>
      </c>
      <c r="C141" s="9978"/>
      <c r="D141" s="8645" t="s">
        <v>1808</v>
      </c>
      <c r="E141" s="8646"/>
      <c r="F141" s="8647"/>
      <c r="G141" s="9984" t="s">
        <v>1809</v>
      </c>
      <c r="H141" s="9984"/>
      <c r="I141" s="9984"/>
      <c r="J141" s="9984" t="s">
        <v>1810</v>
      </c>
      <c r="K141" s="9984"/>
      <c r="L141" s="9984"/>
      <c r="M141" s="9984" t="s">
        <v>1811</v>
      </c>
      <c r="N141" s="9984"/>
      <c r="O141" s="9984"/>
      <c r="P141" s="8645" t="s">
        <v>734</v>
      </c>
      <c r="Q141" s="8647"/>
      <c r="R141" s="900"/>
      <c r="AY141" s="1191"/>
      <c r="AZ141" s="1191"/>
      <c r="BA141" s="1191"/>
      <c r="BB141" s="1191"/>
      <c r="BC141" s="1191"/>
      <c r="BD141" s="1191"/>
      <c r="BE141" s="1191"/>
      <c r="BF141" s="1191"/>
      <c r="BG141" s="1191"/>
      <c r="BH141" s="1191"/>
      <c r="BI141" s="1191"/>
      <c r="BJ141" s="1191"/>
      <c r="BK141" s="1191"/>
      <c r="BL141" s="1191"/>
      <c r="BM141" s="1191"/>
      <c r="BN141" s="1191"/>
    </row>
    <row r="142" spans="1:131" ht="16.2" customHeight="1" x14ac:dyDescent="0.3">
      <c r="B142" s="9977"/>
      <c r="C142" s="8582"/>
      <c r="D142" s="1124" t="s">
        <v>1783</v>
      </c>
      <c r="E142" s="914" t="s">
        <v>1784</v>
      </c>
      <c r="F142" s="1148" t="s">
        <v>1812</v>
      </c>
      <c r="G142" s="1124" t="s">
        <v>1783</v>
      </c>
      <c r="H142" s="914" t="s">
        <v>1784</v>
      </c>
      <c r="I142" s="1148" t="s">
        <v>1812</v>
      </c>
      <c r="J142" s="1124" t="s">
        <v>1783</v>
      </c>
      <c r="K142" s="914" t="s">
        <v>1784</v>
      </c>
      <c r="L142" s="1148" t="s">
        <v>1812</v>
      </c>
      <c r="M142" s="1124" t="s">
        <v>1783</v>
      </c>
      <c r="N142" s="914" t="s">
        <v>1784</v>
      </c>
      <c r="O142" s="1148" t="s">
        <v>1812</v>
      </c>
      <c r="P142" s="1124" t="s">
        <v>1783</v>
      </c>
      <c r="Q142" s="940" t="s">
        <v>1784</v>
      </c>
      <c r="R142" s="288"/>
      <c r="S142" s="1191"/>
      <c r="T142" s="1191"/>
      <c r="U142" s="1191"/>
      <c r="V142" s="1191"/>
      <c r="W142" s="1191"/>
      <c r="X142" s="1191"/>
      <c r="Y142" s="1191"/>
      <c r="Z142" s="1191"/>
      <c r="AA142" s="1191"/>
      <c r="AB142" s="1191"/>
      <c r="AC142" s="1191"/>
      <c r="AD142" s="1191"/>
      <c r="AE142" s="1191"/>
      <c r="AY142" s="1191"/>
      <c r="AZ142" s="1191"/>
      <c r="BA142" s="1191"/>
      <c r="BB142" s="1191"/>
      <c r="BC142" s="1191"/>
      <c r="BD142" s="1191"/>
      <c r="BE142" s="1191"/>
      <c r="BF142" s="1191"/>
      <c r="BG142" s="1191"/>
      <c r="BH142" s="1191"/>
      <c r="BI142" s="1191"/>
      <c r="BJ142" s="1191"/>
      <c r="BK142" s="1191"/>
      <c r="BL142" s="1191"/>
      <c r="BM142" s="1191"/>
      <c r="BN142" s="1191"/>
      <c r="DB142" s="1446"/>
      <c r="DC142" s="1446"/>
      <c r="DD142" s="1446"/>
      <c r="DE142" s="1446"/>
      <c r="DF142" s="1446"/>
      <c r="DG142" s="1446"/>
    </row>
    <row r="143" spans="1:131" ht="18" customHeight="1" x14ac:dyDescent="0.3">
      <c r="A143" s="7258">
        <v>11054300</v>
      </c>
      <c r="B143" s="9985" t="s">
        <v>1813</v>
      </c>
      <c r="C143" s="9986"/>
      <c r="D143" s="1149" t="s">
        <v>5369</v>
      </c>
      <c r="E143" s="956" t="s">
        <v>5370</v>
      </c>
      <c r="F143" s="1150" t="s">
        <v>5371</v>
      </c>
      <c r="G143" s="1149" t="s">
        <v>5372</v>
      </c>
      <c r="H143" s="956" t="s">
        <v>5373</v>
      </c>
      <c r="I143" s="1150" t="s">
        <v>5374</v>
      </c>
      <c r="J143" s="1149" t="s">
        <v>5375</v>
      </c>
      <c r="K143" s="956" t="s">
        <v>5376</v>
      </c>
      <c r="L143" s="1150" t="s">
        <v>5377</v>
      </c>
      <c r="M143" s="1149" t="s">
        <v>5378</v>
      </c>
      <c r="N143" s="956" t="s">
        <v>5379</v>
      </c>
      <c r="O143" s="1150" t="s">
        <v>5380</v>
      </c>
      <c r="P143" s="1149" t="s">
        <v>5381</v>
      </c>
      <c r="Q143" s="952" t="s">
        <v>5382</v>
      </c>
      <c r="R143" s="1496" t="str">
        <f>CB143&amp;CC143&amp;CD143&amp;CE143&amp;CF143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3" s="1197"/>
      <c r="T143" s="1197"/>
      <c r="U143" s="1197"/>
      <c r="V143" s="1197"/>
      <c r="W143" s="1197"/>
      <c r="X143" s="1197"/>
      <c r="Y143" s="1197"/>
      <c r="Z143" s="1197"/>
      <c r="AA143" s="1197"/>
      <c r="AB143" s="1197"/>
      <c r="AC143" s="1197"/>
      <c r="AD143" s="1191"/>
      <c r="AE143" s="1191"/>
      <c r="AY143" s="1191"/>
      <c r="AZ143" s="1191"/>
      <c r="BA143" s="1191"/>
      <c r="BB143" s="1191"/>
      <c r="BC143" s="1191"/>
      <c r="BD143" s="1191"/>
      <c r="BE143" s="1191"/>
      <c r="BF143" s="1191"/>
      <c r="BG143" s="1191"/>
      <c r="BH143" s="1191"/>
      <c r="BI143" s="1191"/>
      <c r="BJ143" s="1191"/>
      <c r="BK143" s="1191"/>
      <c r="BL143" s="1191"/>
      <c r="BM143" s="1191"/>
      <c r="BN143" s="1191"/>
      <c r="CB143" s="2195" t="str">
        <f>IF(D143&gt;=E143,"","* Los exámenes Reactivos de Hepatitis B NO DEBEN ser mayor a los exámenes Procesados. ")</f>
        <v xml:space="preserve">* Los exámenes Reactivos de Hepatitis B NO DEBEN ser mayor a los exámenes Procesados. </v>
      </c>
      <c r="CC143" s="2195" t="str">
        <f>IF(G143&gt;=H143,"","* Los exámenes Reactivos de Hepatitis C NO DEBEN ser mayor a los exámenes Procesados. ")</f>
        <v xml:space="preserve">* Los exámenes Reactivos de Hepatitis C NO DEBEN ser mayor a los exámenes Procesados. </v>
      </c>
      <c r="CD143" s="2195" t="str">
        <f>IF(J143&gt;=K143,"","* Los exámenes Reactivos de CHAGAS NO DEBEN ser mayor a los exámenes Procesados. ")</f>
        <v xml:space="preserve">* Los exámenes Reactivos de CHAGAS NO DEBEN ser mayor a los exámenes Procesados. </v>
      </c>
      <c r="CE143" s="2195" t="str">
        <f>IF(M143&gt;=N143,"","* Los exámenes Reactivos de HTLV1 NO DEBEN ser mayor a los exámenes Procesados. ")</f>
        <v xml:space="preserve">* Los exámenes Reactivos de HTLV1 NO DEBEN ser mayor a los exámenes Procesados. </v>
      </c>
      <c r="CF143" s="2195" t="str">
        <f>IF(P143&gt;=Q143,"","* Los exámenes Reactivos de SIFILIS NO DEBEN ser mayor a los exámenes Procesados. ")</f>
        <v xml:space="preserve">* Los exámenes Reactivos de SIFILIS NO DEBEN ser mayor a los exámenes Procesados. </v>
      </c>
      <c r="DB143" s="1446">
        <f>IF(D143&gt;=E143,0,1)</f>
        <v>1</v>
      </c>
      <c r="DC143" s="1446">
        <f>IF(G143&gt;=H143,0,1)</f>
        <v>1</v>
      </c>
      <c r="DD143" s="1446">
        <f>IF(J143&gt;=K143,0,1)</f>
        <v>1</v>
      </c>
      <c r="DE143" s="1446">
        <f>IF(M143&gt;=N143,0,1)</f>
        <v>1</v>
      </c>
      <c r="DF143" s="1446">
        <f>IF(P143&gt;=Q143,0,1)</f>
        <v>1</v>
      </c>
      <c r="DG143" s="1446"/>
    </row>
    <row r="144" spans="1:131" ht="19.5" customHeight="1" x14ac:dyDescent="0.3">
      <c r="A144" s="7258">
        <v>11054400</v>
      </c>
      <c r="B144" s="9987" t="s">
        <v>1814</v>
      </c>
      <c r="C144" s="703" t="s">
        <v>1815</v>
      </c>
      <c r="D144" s="695" t="s">
        <v>5369</v>
      </c>
      <c r="E144" s="714" t="s">
        <v>5370</v>
      </c>
      <c r="F144" s="1151" t="s">
        <v>5371</v>
      </c>
      <c r="G144" s="695" t="s">
        <v>5372</v>
      </c>
      <c r="H144" s="714" t="s">
        <v>5373</v>
      </c>
      <c r="I144" s="1151" t="s">
        <v>5374</v>
      </c>
      <c r="J144" s="695" t="s">
        <v>5375</v>
      </c>
      <c r="K144" s="714" t="s">
        <v>5376</v>
      </c>
      <c r="L144" s="1151" t="s">
        <v>5377</v>
      </c>
      <c r="M144" s="695" t="s">
        <v>5378</v>
      </c>
      <c r="N144" s="714" t="s">
        <v>5379</v>
      </c>
      <c r="O144" s="1151" t="s">
        <v>5380</v>
      </c>
      <c r="P144" s="695" t="s">
        <v>5381</v>
      </c>
      <c r="Q144" s="702" t="s">
        <v>5382</v>
      </c>
      <c r="R144" s="1496" t="str">
        <f>CB144&amp;CC144&amp;CD144&amp;CE144&amp;CF144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4" s="1197"/>
      <c r="T144" s="1197"/>
      <c r="U144" s="1197"/>
      <c r="V144" s="1197"/>
      <c r="W144" s="1197"/>
      <c r="X144" s="1197"/>
      <c r="Y144" s="1197"/>
      <c r="Z144" s="1197"/>
      <c r="AA144" s="1197"/>
      <c r="AB144" s="1197"/>
      <c r="AC144" s="1197"/>
      <c r="AD144" s="1191"/>
      <c r="AE144" s="1191"/>
      <c r="AY144" s="1191"/>
      <c r="AZ144" s="1191"/>
      <c r="BA144" s="1191"/>
      <c r="BB144" s="1191"/>
      <c r="BC144" s="1191"/>
      <c r="BD144" s="1191"/>
      <c r="BE144" s="1191"/>
      <c r="BF144" s="1191"/>
      <c r="BG144" s="1191"/>
      <c r="BH144" s="1191"/>
      <c r="BI144" s="1191"/>
      <c r="BJ144" s="1191"/>
      <c r="BK144" s="1191"/>
      <c r="BL144" s="1191"/>
      <c r="BM144" s="1191"/>
      <c r="BN144" s="1191"/>
      <c r="CB144" s="2195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2195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D144" s="2195" t="str">
        <f>IF(J144&gt;=K144,"","* Los exámenes Reactivos de CHAGAS NO DEBEN ser mayor a los exámenes Procesados. ")</f>
        <v xml:space="preserve">* Los exámenes Reactivos de CHAGAS NO DEBEN ser mayor a los exámenes Procesados. </v>
      </c>
      <c r="CE144" s="2195" t="str">
        <f>IF(M144&gt;=N144,"","* Los exámenes Reactivos de HTLV1 NO DEBEN ser mayor a los exámenes Procesados. ")</f>
        <v xml:space="preserve">* Los exámenes Reactivos de HTLV1 NO DEBEN ser mayor a los exámenes Procesados. </v>
      </c>
      <c r="CF144" s="2195" t="str">
        <f>IF(P144&gt;=Q144,"","* Los exámenes Reactivos de SIFILIS NO DEBEN ser mayor a los exámenes Procesados. ")</f>
        <v xml:space="preserve">* Los exámenes Reactivos de SIFILIS NO DEBEN ser mayor a los exámenes Procesados. </v>
      </c>
      <c r="DB144" s="1446">
        <f>IF(D144&gt;=E144,0,1)</f>
        <v>1</v>
      </c>
      <c r="DC144" s="1446">
        <f>IF(G144&gt;=H144,0,1)</f>
        <v>1</v>
      </c>
      <c r="DD144" s="1446">
        <f>IF(J144&gt;=K144,0,1)</f>
        <v>1</v>
      </c>
      <c r="DE144" s="1446">
        <f>IF(M144&gt;=N144,0,1)</f>
        <v>1</v>
      </c>
      <c r="DF144" s="1446">
        <f>IF(P144&gt;=Q144,0,1)</f>
        <v>1</v>
      </c>
      <c r="DG144" s="1446"/>
    </row>
    <row r="145" spans="1:131" ht="19.5" customHeight="1" x14ac:dyDescent="0.3">
      <c r="A145" s="7258">
        <v>11055100</v>
      </c>
      <c r="B145" s="9988"/>
      <c r="C145" s="1152" t="s">
        <v>1816</v>
      </c>
      <c r="D145" s="910" t="s">
        <v>5369</v>
      </c>
      <c r="E145" s="78" t="s">
        <v>5370</v>
      </c>
      <c r="F145" s="143" t="s">
        <v>5371</v>
      </c>
      <c r="G145" s="910" t="s">
        <v>5372</v>
      </c>
      <c r="H145" s="78" t="s">
        <v>5373</v>
      </c>
      <c r="I145" s="143" t="s">
        <v>5374</v>
      </c>
      <c r="J145" s="910" t="s">
        <v>5375</v>
      </c>
      <c r="K145" s="78" t="s">
        <v>5376</v>
      </c>
      <c r="L145" s="143" t="s">
        <v>5377</v>
      </c>
      <c r="M145" s="910" t="s">
        <v>5378</v>
      </c>
      <c r="N145" s="78" t="s">
        <v>5379</v>
      </c>
      <c r="O145" s="143" t="s">
        <v>5380</v>
      </c>
      <c r="P145" s="910" t="s">
        <v>5381</v>
      </c>
      <c r="Q145" s="130" t="s">
        <v>5382</v>
      </c>
      <c r="R145" s="1496" t="str">
        <f>CB145&amp;CC145&amp;CD145&amp;CE145&amp;CF145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5" s="1197"/>
      <c r="T145" s="1197"/>
      <c r="U145" s="1197"/>
      <c r="V145" s="1197"/>
      <c r="W145" s="1197"/>
      <c r="X145" s="1197"/>
      <c r="Y145" s="1197"/>
      <c r="Z145" s="1197"/>
      <c r="AA145" s="1197"/>
      <c r="AB145" s="1197"/>
      <c r="AC145" s="1197"/>
      <c r="AD145" s="1191"/>
      <c r="AE145" s="1191"/>
      <c r="AY145" s="1191"/>
      <c r="AZ145" s="1191"/>
      <c r="BA145" s="1191"/>
      <c r="BB145" s="1191"/>
      <c r="BC145" s="1191"/>
      <c r="BD145" s="1191"/>
      <c r="BE145" s="1191"/>
      <c r="BF145" s="1191"/>
      <c r="BG145" s="1191"/>
      <c r="BH145" s="1191"/>
      <c r="BI145" s="1191"/>
      <c r="BJ145" s="1191"/>
      <c r="BK145" s="1191"/>
      <c r="BL145" s="1191"/>
      <c r="BM145" s="1191"/>
      <c r="BN145" s="1191"/>
      <c r="CB145" s="2195" t="str">
        <f>IF(D145&gt;=E145,"","* Los exámenes Reactivos de Hepatitis B NO DEBEN ser mayor a los exámenes Procesados. ")</f>
        <v xml:space="preserve">* Los exámenes Reactivos de Hepatitis B NO DEBEN ser mayor a los exámenes Procesados. </v>
      </c>
      <c r="CC145" s="2195" t="str">
        <f>IF(G145&gt;=H145,"","* Los exámenes Reactivos de Hepatitis C NO DEBEN ser mayor a los exámenes Procesados. ")</f>
        <v xml:space="preserve">* Los exámenes Reactivos de Hepatitis C NO DEBEN ser mayor a los exámenes Procesados. </v>
      </c>
      <c r="CD145" s="2195" t="str">
        <f>IF(J145&gt;=K145,"","* Los exámenes Reactivos de CHAGAS NO DEBEN ser mayor a los exámenes Procesados. ")</f>
        <v xml:space="preserve">* Los exámenes Reactivos de CHAGAS NO DEBEN ser mayor a los exámenes Procesados. </v>
      </c>
      <c r="CE145" s="2195" t="str">
        <f>IF(M145&gt;=N145,"","* Los exámenes Reactivos de HTLV1 NO DEBEN ser mayor a los exámenes Procesados. ")</f>
        <v xml:space="preserve">* Los exámenes Reactivos de HTLV1 NO DEBEN ser mayor a los exámenes Procesados. </v>
      </c>
      <c r="CF145" s="2195" t="str">
        <f>IF(P145&gt;=Q145,"","* Los exámenes Reactivos de SIFILIS NO DEBEN ser mayor a los exámenes Procesados. ")</f>
        <v xml:space="preserve">* Los exámenes Reactivos de SIFILIS NO DEBEN ser mayor a los exámenes Procesados. </v>
      </c>
      <c r="DB145" s="1446">
        <f>IF(D145&gt;=E145,0,1)</f>
        <v>1</v>
      </c>
      <c r="DC145" s="1446">
        <f>IF(G145&gt;=H145,0,1)</f>
        <v>1</v>
      </c>
      <c r="DD145" s="1446">
        <f>IF(J145&gt;=K145,0,1)</f>
        <v>1</v>
      </c>
      <c r="DE145" s="1446">
        <f>IF(M145&gt;=N145,0,1)</f>
        <v>1</v>
      </c>
      <c r="DF145" s="1446">
        <f>IF(P145&gt;=Q145,0,1)</f>
        <v>1</v>
      </c>
      <c r="DG145" s="1446"/>
    </row>
    <row r="146" spans="1:131" ht="15.75" customHeight="1" x14ac:dyDescent="0.3">
      <c r="A146" s="7258">
        <v>11055110</v>
      </c>
      <c r="B146" s="8820"/>
      <c r="C146" s="1153" t="s">
        <v>1817</v>
      </c>
      <c r="D146" s="1119" t="s">
        <v>5369</v>
      </c>
      <c r="E146" s="758" t="s">
        <v>5370</v>
      </c>
      <c r="F146" s="1154" t="s">
        <v>5371</v>
      </c>
      <c r="G146" s="1119" t="s">
        <v>5372</v>
      </c>
      <c r="H146" s="758" t="s">
        <v>5373</v>
      </c>
      <c r="I146" s="1154" t="s">
        <v>5374</v>
      </c>
      <c r="J146" s="1119" t="s">
        <v>5375</v>
      </c>
      <c r="K146" s="758" t="s">
        <v>5376</v>
      </c>
      <c r="L146" s="1154" t="s">
        <v>5377</v>
      </c>
      <c r="M146" s="1119" t="s">
        <v>5378</v>
      </c>
      <c r="N146" s="758" t="s">
        <v>5379</v>
      </c>
      <c r="O146" s="1154" t="s">
        <v>5380</v>
      </c>
      <c r="P146" s="1119" t="s">
        <v>5381</v>
      </c>
      <c r="Q146" s="1120" t="s">
        <v>5382</v>
      </c>
      <c r="R146" s="1496" t="str">
        <f>CB146&amp;CC146&amp;CD146&amp;CE146&amp;CF146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6" s="1197"/>
      <c r="T146" s="1197"/>
      <c r="U146" s="1197"/>
      <c r="V146" s="1197"/>
      <c r="W146" s="1197"/>
      <c r="X146" s="1197"/>
      <c r="Y146" s="1197"/>
      <c r="Z146" s="1197"/>
      <c r="AA146" s="1197"/>
      <c r="AB146" s="1197"/>
      <c r="AC146" s="1197"/>
      <c r="AD146" s="1191"/>
      <c r="AE146" s="1191"/>
      <c r="AY146" s="1191"/>
      <c r="AZ146" s="1191"/>
      <c r="BA146" s="1191"/>
      <c r="BB146" s="1191"/>
      <c r="BC146" s="1191"/>
      <c r="BD146" s="1191"/>
      <c r="BE146" s="1191"/>
      <c r="BF146" s="1191"/>
      <c r="BG146" s="1191"/>
      <c r="BH146" s="1191"/>
      <c r="BI146" s="1191"/>
      <c r="BJ146" s="1191"/>
      <c r="BK146" s="1191"/>
      <c r="BL146" s="1191"/>
      <c r="BM146" s="1191"/>
      <c r="BN146" s="1191"/>
      <c r="CB146" s="2195" t="str">
        <f>IF(D146&gt;=E146,"","* Los exámenes Reactivos de Hepatitis B NO DEBEN ser mayor a los exámenes Procesados. ")</f>
        <v xml:space="preserve">* Los exámenes Reactivos de Hepatitis B NO DEBEN ser mayor a los exámenes Procesados. </v>
      </c>
      <c r="CC146" s="2195" t="str">
        <f>IF(G146&gt;=H146,"","* Los exámenes Reactivos de Hepatitis C NO DEBEN ser mayor a los exámenes Procesados. ")</f>
        <v xml:space="preserve">* Los exámenes Reactivos de Hepatitis C NO DEBEN ser mayor a los exámenes Procesados. </v>
      </c>
      <c r="CD146" s="2195" t="str">
        <f>IF(J146&gt;=K146,"","* Los exámenes Reactivos de CHAGAS NO DEBEN ser mayor a los exámenes Procesados. ")</f>
        <v xml:space="preserve">* Los exámenes Reactivos de CHAGAS NO DEBEN ser mayor a los exámenes Procesados. </v>
      </c>
      <c r="CE146" s="2195" t="str">
        <f>IF(M146&gt;=N146,"","* Los exámenes Reactivos de HTLV1 NO DEBEN ser mayor a los exámenes Procesados. ")</f>
        <v xml:space="preserve">* Los exámenes Reactivos de HTLV1 NO DEBEN ser mayor a los exámenes Procesados. </v>
      </c>
      <c r="CF146" s="2195" t="str">
        <f>IF(P146&gt;=Q146,"","* Los exámenes Reactivos de SIFILIS NO DEBEN ser mayor a los exámenes Procesados. ")</f>
        <v xml:space="preserve">* Los exámenes Reactivos de SIFILIS NO DEBEN ser mayor a los exámenes Procesados. </v>
      </c>
      <c r="DB146" s="1446">
        <f>IF(D146&gt;=E146,0,1)</f>
        <v>1</v>
      </c>
      <c r="DC146" s="1446">
        <f>IF(G146&gt;=H146,0,1)</f>
        <v>1</v>
      </c>
      <c r="DD146" s="1446">
        <f>IF(J146&gt;=K146,0,1)</f>
        <v>1</v>
      </c>
      <c r="DE146" s="1446">
        <f>IF(M146&gt;=N146,0,1)</f>
        <v>1</v>
      </c>
      <c r="DF146" s="1446">
        <f>IF(P146&gt;=Q146,0,1)</f>
        <v>1</v>
      </c>
      <c r="DG146" s="1446"/>
    </row>
    <row r="147" spans="1:131" ht="15" customHeight="1" x14ac:dyDescent="0.3">
      <c r="A147" s="7258">
        <v>11055120</v>
      </c>
      <c r="B147" s="9989" t="s">
        <v>1799</v>
      </c>
      <c r="C147" s="9990"/>
      <c r="D147" s="1119" t="s">
        <v>5369</v>
      </c>
      <c r="E147" s="758" t="s">
        <v>5370</v>
      </c>
      <c r="F147" s="1154" t="s">
        <v>5371</v>
      </c>
      <c r="G147" s="1119" t="s">
        <v>5372</v>
      </c>
      <c r="H147" s="758" t="s">
        <v>5373</v>
      </c>
      <c r="I147" s="1154" t="s">
        <v>5374</v>
      </c>
      <c r="J147" s="1119" t="s">
        <v>5375</v>
      </c>
      <c r="K147" s="758" t="s">
        <v>5376</v>
      </c>
      <c r="L147" s="1154" t="s">
        <v>5377</v>
      </c>
      <c r="M147" s="1119" t="s">
        <v>5378</v>
      </c>
      <c r="N147" s="758" t="s">
        <v>5379</v>
      </c>
      <c r="O147" s="1154" t="s">
        <v>5380</v>
      </c>
      <c r="P147" s="1119" t="s">
        <v>5381</v>
      </c>
      <c r="Q147" s="1120" t="s">
        <v>5382</v>
      </c>
      <c r="R147" s="1496" t="str">
        <f>CB147&amp;CC147&amp;CD147&amp;CE147&amp;CF147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7" s="1197"/>
      <c r="T147" s="1197"/>
      <c r="U147" s="1197"/>
      <c r="V147" s="1197"/>
      <c r="W147" s="1197"/>
      <c r="X147" s="1197"/>
      <c r="Y147" s="1197"/>
      <c r="Z147" s="1197"/>
      <c r="AA147" s="1197"/>
      <c r="AB147" s="1197"/>
      <c r="AC147" s="1197"/>
      <c r="AD147" s="1191"/>
      <c r="AE147" s="1191"/>
      <c r="AY147" s="1191"/>
      <c r="AZ147" s="1191"/>
      <c r="BA147" s="1191"/>
      <c r="BB147" s="1191"/>
      <c r="BC147" s="1191"/>
      <c r="BD147" s="1191"/>
      <c r="BE147" s="1191"/>
      <c r="BF147" s="1191"/>
      <c r="BG147" s="1191"/>
      <c r="BH147" s="1191"/>
      <c r="BI147" s="1191"/>
      <c r="BJ147" s="1191"/>
      <c r="BK147" s="1191"/>
      <c r="BL147" s="1191"/>
      <c r="BM147" s="1191"/>
      <c r="BN147" s="1191"/>
      <c r="CB147" s="2195" t="str">
        <f>IF(D147&gt;=E147,"","* Los exámenes Reactivos de Hepatitis B NO DEBEN ser mayor a los exámenes Procesados. ")</f>
        <v xml:space="preserve">* Los exámenes Reactivos de Hepatitis B NO DEBEN ser mayor a los exámenes Procesados. </v>
      </c>
      <c r="CC147" s="2195" t="str">
        <f>IF(G147&gt;=H147,"","* Los exámenes Reactivos de Hepatitis C NO DEBEN ser mayor a los exámenes Procesados. ")</f>
        <v xml:space="preserve">* Los exámenes Reactivos de Hepatitis C NO DEBEN ser mayor a los exámenes Procesados. </v>
      </c>
      <c r="CD147" s="2195" t="str">
        <f>IF(J147&gt;=K147,"","* Los exámenes Reactivos de CHAGAS NO DEBEN ser mayor a los exámenes Procesados. ")</f>
        <v xml:space="preserve">* Los exámenes Reactivos de CHAGAS NO DEBEN ser mayor a los exámenes Procesados. </v>
      </c>
      <c r="CE147" s="2195" t="str">
        <f>IF(M147&gt;=N147,"","* Los exámenes Reactivos de HTLV1 NO DEBEN ser mayor a los exámenes Procesados. ")</f>
        <v xml:space="preserve">* Los exámenes Reactivos de HTLV1 NO DEBEN ser mayor a los exámenes Procesados. </v>
      </c>
      <c r="CF147" s="2195" t="str">
        <f>IF(P147&gt;=Q147,"","* Los exámenes Reactivos de SIFILIS NO DEBEN ser mayor a los exámenes Procesados. ")</f>
        <v xml:space="preserve">* Los exámenes Reactivos de SIFILIS NO DEBEN ser mayor a los exámenes Procesados. </v>
      </c>
      <c r="DB147" s="1446">
        <f>IF(D147&gt;=E147,0,1)</f>
        <v>1</v>
      </c>
      <c r="DC147" s="1446">
        <f>IF(G147&gt;=H147,0,1)</f>
        <v>1</v>
      </c>
      <c r="DD147" s="1446">
        <f>IF(J147&gt;=K147,0,1)</f>
        <v>1</v>
      </c>
      <c r="DE147" s="1446">
        <f>IF(M147&gt;=N147,0,1)</f>
        <v>1</v>
      </c>
      <c r="DF147" s="1446">
        <f>IF(P147&gt;=Q147,0,1)</f>
        <v>1</v>
      </c>
      <c r="DG147" s="1446"/>
    </row>
    <row r="148" spans="1:131" ht="31.95" customHeight="1" x14ac:dyDescent="0.3">
      <c r="B148" s="8885" t="s">
        <v>1818</v>
      </c>
      <c r="C148" s="8885"/>
      <c r="D148" s="8885"/>
      <c r="E148" s="8885"/>
      <c r="F148" s="8885"/>
      <c r="G148" s="8885"/>
      <c r="H148" s="8885"/>
      <c r="I148" s="8885"/>
      <c r="J148" s="8885"/>
      <c r="K148" s="8885"/>
      <c r="L148" s="8885"/>
      <c r="M148" s="8885"/>
      <c r="N148" s="8885"/>
      <c r="O148" s="8885"/>
      <c r="P148" s="8885"/>
      <c r="Q148" s="8885"/>
      <c r="R148" s="8885"/>
      <c r="S148" s="8885"/>
      <c r="AY148" s="1191"/>
      <c r="AZ148" s="1191"/>
      <c r="BA148" s="1191"/>
      <c r="BB148" s="1191"/>
      <c r="BC148" s="1191"/>
      <c r="BD148" s="1191"/>
      <c r="BE148" s="1191"/>
      <c r="BF148" s="1191"/>
      <c r="BG148" s="1191"/>
      <c r="BH148" s="1191"/>
      <c r="BI148" s="1191"/>
      <c r="BJ148" s="1191"/>
      <c r="BK148" s="1191"/>
      <c r="BL148" s="1191"/>
      <c r="BM148" s="1191"/>
      <c r="BN148" s="1191"/>
      <c r="CB148" s="2195"/>
      <c r="CC148" s="2195"/>
      <c r="CD148" s="2195"/>
      <c r="CE148" s="2195"/>
      <c r="CF148" s="2195"/>
      <c r="DB148" s="1446"/>
      <c r="DC148" s="1446"/>
      <c r="DD148" s="1446"/>
      <c r="DE148" s="1446"/>
      <c r="DF148" s="1446"/>
      <c r="DG148" s="1446"/>
    </row>
    <row r="149" spans="1:131" ht="16.2" customHeight="1" x14ac:dyDescent="0.3">
      <c r="B149" s="9976" t="s">
        <v>1807</v>
      </c>
      <c r="C149" s="9978"/>
      <c r="D149" s="8645" t="s">
        <v>1808</v>
      </c>
      <c r="E149" s="8646"/>
      <c r="F149" s="8647"/>
      <c r="G149" s="9984" t="s">
        <v>1809</v>
      </c>
      <c r="H149" s="9984"/>
      <c r="I149" s="9984"/>
      <c r="J149" s="9984" t="s">
        <v>1810</v>
      </c>
      <c r="K149" s="9984"/>
      <c r="L149" s="9984"/>
      <c r="M149" s="9984" t="s">
        <v>1811</v>
      </c>
      <c r="N149" s="9984"/>
      <c r="O149" s="9984"/>
      <c r="P149" s="8645" t="s">
        <v>734</v>
      </c>
      <c r="Q149" s="8647"/>
      <c r="R149" s="140"/>
      <c r="CB149" s="2195"/>
      <c r="CC149" s="2195"/>
      <c r="CD149" s="2195"/>
      <c r="CE149" s="2195"/>
      <c r="CF149" s="2195"/>
      <c r="DB149" s="1446"/>
      <c r="DC149" s="1446"/>
      <c r="DD149" s="1446"/>
      <c r="DE149" s="1446"/>
      <c r="DF149" s="1446"/>
      <c r="DG149" s="1446"/>
    </row>
    <row r="150" spans="1:131" ht="16.2" customHeight="1" x14ac:dyDescent="0.3">
      <c r="B150" s="9977"/>
      <c r="C150" s="8582"/>
      <c r="D150" s="1124" t="s">
        <v>1783</v>
      </c>
      <c r="E150" s="914" t="s">
        <v>1784</v>
      </c>
      <c r="F150" s="1148" t="s">
        <v>1812</v>
      </c>
      <c r="G150" s="1124" t="s">
        <v>1783</v>
      </c>
      <c r="H150" s="914" t="s">
        <v>1784</v>
      </c>
      <c r="I150" s="1148" t="s">
        <v>1812</v>
      </c>
      <c r="J150" s="1124" t="s">
        <v>1783</v>
      </c>
      <c r="K150" s="914" t="s">
        <v>1784</v>
      </c>
      <c r="L150" s="1148" t="s">
        <v>1812</v>
      </c>
      <c r="M150" s="1124" t="s">
        <v>1783</v>
      </c>
      <c r="N150" s="914" t="s">
        <v>1784</v>
      </c>
      <c r="O150" s="1148" t="s">
        <v>1812</v>
      </c>
      <c r="P150" s="1124" t="s">
        <v>1783</v>
      </c>
      <c r="Q150" s="940" t="s">
        <v>1784</v>
      </c>
      <c r="R150" s="140"/>
      <c r="CB150" s="2195"/>
      <c r="CC150" s="2195"/>
      <c r="CD150" s="2195"/>
      <c r="CE150" s="2195"/>
      <c r="CF150" s="2195"/>
      <c r="DB150" s="1446"/>
      <c r="DC150" s="1446"/>
      <c r="DD150" s="1446"/>
      <c r="DE150" s="1446"/>
      <c r="DF150" s="1446"/>
      <c r="DG150" s="1446"/>
    </row>
    <row r="151" spans="1:131" ht="18.75" customHeight="1" x14ac:dyDescent="0.3">
      <c r="A151" s="7258">
        <v>11055130</v>
      </c>
      <c r="B151" s="9985" t="s">
        <v>1813</v>
      </c>
      <c r="C151" s="9986"/>
      <c r="D151" s="1149" t="s">
        <v>5369</v>
      </c>
      <c r="E151" s="956" t="s">
        <v>5370</v>
      </c>
      <c r="F151" s="1150" t="s">
        <v>5371</v>
      </c>
      <c r="G151" s="1149" t="s">
        <v>5372</v>
      </c>
      <c r="H151" s="956" t="s">
        <v>5373</v>
      </c>
      <c r="I151" s="1150" t="s">
        <v>5374</v>
      </c>
      <c r="J151" s="1149" t="s">
        <v>5375</v>
      </c>
      <c r="K151" s="956" t="s">
        <v>5376</v>
      </c>
      <c r="L151" s="1150" t="s">
        <v>5377</v>
      </c>
      <c r="M151" s="1149" t="s">
        <v>5378</v>
      </c>
      <c r="N151" s="956" t="s">
        <v>5379</v>
      </c>
      <c r="O151" s="1150" t="s">
        <v>5380</v>
      </c>
      <c r="P151" s="1149" t="s">
        <v>5381</v>
      </c>
      <c r="Q151" s="952" t="s">
        <v>5382</v>
      </c>
      <c r="R151" s="1496" t="str">
        <f>CB151&amp;CC151&amp;CD151&amp;CE151&amp;CF151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1" s="1197"/>
      <c r="T151" s="1197"/>
      <c r="U151" s="1197"/>
      <c r="V151" s="1197"/>
      <c r="W151" s="1197"/>
      <c r="X151" s="1197"/>
      <c r="Y151" s="1197"/>
      <c r="Z151" s="1197"/>
      <c r="AA151" s="1197"/>
      <c r="AB151" s="1197"/>
      <c r="AC151" s="1197"/>
      <c r="AD151" s="1191"/>
      <c r="AE151" s="1191"/>
      <c r="CB151" s="2195" t="str">
        <f>IF(D151&gt;=E151,"","* Los exámenes Reactivos de Hepatitis B NO DEBEN ser mayor a los exámenes Procesados. ")</f>
        <v xml:space="preserve">* Los exámenes Reactivos de Hepatitis B NO DEBEN ser mayor a los exámenes Procesados. </v>
      </c>
      <c r="CC151" s="2195" t="str">
        <f>IF(G151&gt;=H151,"","* Los exámenes Reactivos de Hepatitis C NO DEBEN ser mayor a los exámenes Procesados. ")</f>
        <v xml:space="preserve">* Los exámenes Reactivos de Hepatitis C NO DEBEN ser mayor a los exámenes Procesados. </v>
      </c>
      <c r="CD151" s="2195" t="str">
        <f>IF(J151&gt;=K151,"","* Los exámenes Reactivos de CHAGAS NO DEBEN ser mayor a los exámenes Procesados. ")</f>
        <v xml:space="preserve">* Los exámenes Reactivos de CHAGAS NO DEBEN ser mayor a los exámenes Procesados. </v>
      </c>
      <c r="CE151" s="2195" t="str">
        <f>IF(M151&gt;=N151,"","* Los exámenes Reactivos de HTLV1 NO DEBEN ser mayor a los exámenes Procesados. ")</f>
        <v xml:space="preserve">* Los exámenes Reactivos de HTLV1 NO DEBEN ser mayor a los exámenes Procesados. </v>
      </c>
      <c r="CF151" s="2195" t="str">
        <f>IF(P151&gt;=Q151,"","* Los exámenes Reactivos de SIFILIS NO DEBEN ser mayor a los exámenes Procesados. ")</f>
        <v xml:space="preserve">* Los exámenes Reactivos de SIFILIS NO DEBEN ser mayor a los exámenes Procesados. </v>
      </c>
      <c r="DB151" s="1446">
        <f>IF(D151&gt;=E151,0,1)</f>
        <v>1</v>
      </c>
      <c r="DC151" s="1446">
        <f>IF(G151&gt;=H151,0,1)</f>
        <v>1</v>
      </c>
      <c r="DD151" s="1446">
        <f>IF(J151&gt;=K151,0,1)</f>
        <v>1</v>
      </c>
      <c r="DE151" s="1446">
        <f>IF(M151&gt;=N151,0,1)</f>
        <v>1</v>
      </c>
      <c r="DF151" s="1446">
        <f>IF(P151&gt;=Q151,0,1)</f>
        <v>1</v>
      </c>
      <c r="DG151" s="1446"/>
    </row>
    <row r="152" spans="1:131" ht="17.25" customHeight="1" x14ac:dyDescent="0.3">
      <c r="A152" s="7258">
        <v>11055140</v>
      </c>
      <c r="B152" s="9987" t="s">
        <v>1814</v>
      </c>
      <c r="C152" s="1155" t="s">
        <v>1815</v>
      </c>
      <c r="D152" s="695" t="s">
        <v>5369</v>
      </c>
      <c r="E152" s="714" t="s">
        <v>5370</v>
      </c>
      <c r="F152" s="1151" t="s">
        <v>5371</v>
      </c>
      <c r="G152" s="695" t="s">
        <v>5372</v>
      </c>
      <c r="H152" s="714" t="s">
        <v>5373</v>
      </c>
      <c r="I152" s="1151" t="s">
        <v>5374</v>
      </c>
      <c r="J152" s="695" t="s">
        <v>5375</v>
      </c>
      <c r="K152" s="714" t="s">
        <v>5376</v>
      </c>
      <c r="L152" s="1151" t="s">
        <v>5377</v>
      </c>
      <c r="M152" s="695" t="s">
        <v>5378</v>
      </c>
      <c r="N152" s="714" t="s">
        <v>5379</v>
      </c>
      <c r="O152" s="1151" t="s">
        <v>5380</v>
      </c>
      <c r="P152" s="695" t="s">
        <v>5381</v>
      </c>
      <c r="Q152" s="702" t="s">
        <v>5382</v>
      </c>
      <c r="R152" s="1496" t="str">
        <f>CB152&amp;CC152&amp;CD152&amp;CE152&amp;CF152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2" s="1197"/>
      <c r="T152" s="1197"/>
      <c r="U152" s="1197"/>
      <c r="V152" s="1197"/>
      <c r="W152" s="1197"/>
      <c r="X152" s="1197"/>
      <c r="Y152" s="1197"/>
      <c r="Z152" s="1197"/>
      <c r="AA152" s="1197"/>
      <c r="AB152" s="1197"/>
      <c r="AC152" s="1197"/>
      <c r="AD152" s="1191"/>
      <c r="AE152" s="1191"/>
      <c r="CB152" s="2195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2195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D152" s="2195" t="str">
        <f>IF(J152&gt;=K152,"","* Los exámenes Reactivos de CHAGAS NO DEBEN ser mayor a los exámenes Procesados. ")</f>
        <v xml:space="preserve">* Los exámenes Reactivos de CHAGAS NO DEBEN ser mayor a los exámenes Procesados. </v>
      </c>
      <c r="CE152" s="2195" t="str">
        <f>IF(M152&gt;=N152,"","* Los exámenes Reactivos de HTLV1 NO DEBEN ser mayor a los exámenes Procesados. ")</f>
        <v xml:space="preserve">* Los exámenes Reactivos de HTLV1 NO DEBEN ser mayor a los exámenes Procesados. </v>
      </c>
      <c r="CF152" s="2195" t="str">
        <f>IF(P152&gt;=Q152,"","* Los exámenes Reactivos de SIFILIS NO DEBEN ser mayor a los exámenes Procesados. ")</f>
        <v xml:space="preserve">* Los exámenes Reactivos de SIFILIS NO DEBEN ser mayor a los exámenes Procesados. </v>
      </c>
      <c r="DB152" s="1446">
        <f>IF(D152&gt;=E152,0,1)</f>
        <v>1</v>
      </c>
      <c r="DC152" s="1446">
        <f>IF(G152&gt;=H152,0,1)</f>
        <v>1</v>
      </c>
      <c r="DD152" s="1446">
        <f>IF(J152&gt;=K152,0,1)</f>
        <v>1</v>
      </c>
      <c r="DE152" s="1446">
        <f>IF(M152&gt;=N152,0,1)</f>
        <v>1</v>
      </c>
      <c r="DF152" s="1446">
        <f>IF(P152&gt;=Q152,0,1)</f>
        <v>1</v>
      </c>
      <c r="DG152" s="1446"/>
    </row>
    <row r="153" spans="1:131" ht="17.25" customHeight="1" x14ac:dyDescent="0.3">
      <c r="A153" s="7258">
        <v>11055150</v>
      </c>
      <c r="B153" s="9988"/>
      <c r="C153" s="1156" t="s">
        <v>1816</v>
      </c>
      <c r="D153" s="910" t="s">
        <v>5369</v>
      </c>
      <c r="E153" s="78" t="s">
        <v>5370</v>
      </c>
      <c r="F153" s="143" t="s">
        <v>5371</v>
      </c>
      <c r="G153" s="910" t="s">
        <v>5372</v>
      </c>
      <c r="H153" s="78" t="s">
        <v>5373</v>
      </c>
      <c r="I153" s="143" t="s">
        <v>5374</v>
      </c>
      <c r="J153" s="910" t="s">
        <v>5375</v>
      </c>
      <c r="K153" s="78" t="s">
        <v>5376</v>
      </c>
      <c r="L153" s="143" t="s">
        <v>5377</v>
      </c>
      <c r="M153" s="910" t="s">
        <v>5378</v>
      </c>
      <c r="N153" s="78" t="s">
        <v>5379</v>
      </c>
      <c r="O153" s="143" t="s">
        <v>5380</v>
      </c>
      <c r="P153" s="910" t="s">
        <v>5381</v>
      </c>
      <c r="Q153" s="130" t="s">
        <v>5382</v>
      </c>
      <c r="R153" s="1496" t="str">
        <f>CB153&amp;CC153&amp;CD153&amp;CE153&amp;CF153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3" s="1197"/>
      <c r="T153" s="1197"/>
      <c r="U153" s="1197"/>
      <c r="V153" s="1197"/>
      <c r="W153" s="1197"/>
      <c r="X153" s="1197"/>
      <c r="Y153" s="1197"/>
      <c r="Z153" s="1197"/>
      <c r="AA153" s="1197"/>
      <c r="AB153" s="1197"/>
      <c r="AC153" s="1197"/>
      <c r="AD153" s="1191"/>
      <c r="AE153" s="1191"/>
      <c r="CB153" s="2195" t="str">
        <f>IF(D153&gt;=E153,"","* Los exámenes Reactivos de Hepatitis B NO DEBEN ser mayor a los exámenes Procesados. ")</f>
        <v xml:space="preserve">* Los exámenes Reactivos de Hepatitis B NO DEBEN ser mayor a los exámenes Procesados. </v>
      </c>
      <c r="CC153" s="2195" t="str">
        <f>IF(G153&gt;=H153,"","* Los exámenes Reactivos de Hepatitis C NO DEBEN ser mayor a los exámenes Procesados. ")</f>
        <v xml:space="preserve">* Los exámenes Reactivos de Hepatitis C NO DEBEN ser mayor a los exámenes Procesados. </v>
      </c>
      <c r="CD153" s="2195" t="str">
        <f>IF(J153&gt;=K153,"","* Los exámenes Reactivos de CHAGAS NO DEBEN ser mayor a los exámenes Procesados. ")</f>
        <v xml:space="preserve">* Los exámenes Reactivos de CHAGAS NO DEBEN ser mayor a los exámenes Procesados. </v>
      </c>
      <c r="CE153" s="2195" t="str">
        <f>IF(M153&gt;=N153,"","* Los exámenes Reactivos de HTLV1 NO DEBEN ser mayor a los exámenes Procesados. ")</f>
        <v xml:space="preserve">* Los exámenes Reactivos de HTLV1 NO DEBEN ser mayor a los exámenes Procesados. </v>
      </c>
      <c r="CF153" s="2195" t="str">
        <f>IF(P153&gt;=Q153,"","* Los exámenes Reactivos de SIFILIS NO DEBEN ser mayor a los exámenes Procesados. ")</f>
        <v xml:space="preserve">* Los exámenes Reactivos de SIFILIS NO DEBEN ser mayor a los exámenes Procesados. </v>
      </c>
      <c r="DB153" s="1446">
        <f>IF(D153&gt;=E153,0,1)</f>
        <v>1</v>
      </c>
      <c r="DC153" s="1446">
        <f>IF(G153&gt;=H153,0,1)</f>
        <v>1</v>
      </c>
      <c r="DD153" s="1446">
        <f>IF(J153&gt;=K153,0,1)</f>
        <v>1</v>
      </c>
      <c r="DE153" s="1446">
        <f>IF(M153&gt;=N153,0,1)</f>
        <v>1</v>
      </c>
      <c r="DF153" s="1446">
        <f>IF(P153&gt;=Q153,0,1)</f>
        <v>1</v>
      </c>
      <c r="DG153" s="1446"/>
    </row>
    <row r="154" spans="1:131" ht="17.25" customHeight="1" x14ac:dyDescent="0.3">
      <c r="A154" s="7258">
        <v>11055160</v>
      </c>
      <c r="B154" s="8820"/>
      <c r="C154" s="318" t="s">
        <v>1817</v>
      </c>
      <c r="D154" s="1119" t="s">
        <v>5369</v>
      </c>
      <c r="E154" s="758" t="s">
        <v>5370</v>
      </c>
      <c r="F154" s="1154" t="s">
        <v>5371</v>
      </c>
      <c r="G154" s="1119" t="s">
        <v>5372</v>
      </c>
      <c r="H154" s="758" t="s">
        <v>5373</v>
      </c>
      <c r="I154" s="1154" t="s">
        <v>5374</v>
      </c>
      <c r="J154" s="1119" t="s">
        <v>5375</v>
      </c>
      <c r="K154" s="758" t="s">
        <v>5376</v>
      </c>
      <c r="L154" s="1154" t="s">
        <v>5377</v>
      </c>
      <c r="M154" s="1119" t="s">
        <v>5378</v>
      </c>
      <c r="N154" s="758" t="s">
        <v>5379</v>
      </c>
      <c r="O154" s="1154" t="s">
        <v>5380</v>
      </c>
      <c r="P154" s="1119" t="s">
        <v>5381</v>
      </c>
      <c r="Q154" s="1120" t="s">
        <v>5382</v>
      </c>
      <c r="R154" s="1496" t="str">
        <f>CB154&amp;CC154&amp;CD154&amp;CE154&amp;CF154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4" s="1197"/>
      <c r="T154" s="1197"/>
      <c r="U154" s="1197"/>
      <c r="V154" s="1197"/>
      <c r="W154" s="1197"/>
      <c r="X154" s="1197"/>
      <c r="Y154" s="1197"/>
      <c r="Z154" s="1197"/>
      <c r="AA154" s="1197"/>
      <c r="AB154" s="1197"/>
      <c r="AC154" s="1197"/>
      <c r="AD154" s="1191"/>
      <c r="AE154" s="1191"/>
      <c r="CB154" s="2195" t="str">
        <f>IF(D154&gt;=E154,"","* Los exámenes Reactivos de Hepatitis B NO DEBEN ser mayor a los exámenes Procesados. ")</f>
        <v xml:space="preserve">* Los exámenes Reactivos de Hepatitis B NO DEBEN ser mayor a los exámenes Procesados. </v>
      </c>
      <c r="CC154" s="2195" t="str">
        <f>IF(G154&gt;=H154,"","* Los exámenes Reactivos de Hepatitis C NO DEBEN ser mayor a los exámenes Procesados. ")</f>
        <v xml:space="preserve">* Los exámenes Reactivos de Hepatitis C NO DEBEN ser mayor a los exámenes Procesados. </v>
      </c>
      <c r="CD154" s="2195" t="str">
        <f>IF(J154&gt;=K154,"","* Los exámenes Reactivos de CHAGAS NO DEBEN ser mayor a los exámenes Procesados. ")</f>
        <v xml:space="preserve">* Los exámenes Reactivos de CHAGAS NO DEBEN ser mayor a los exámenes Procesados. </v>
      </c>
      <c r="CE154" s="2195" t="str">
        <f>IF(M154&gt;=N154,"","* Los exámenes Reactivos de HTLV1 NO DEBEN ser mayor a los exámenes Procesados. ")</f>
        <v xml:space="preserve">* Los exámenes Reactivos de HTLV1 NO DEBEN ser mayor a los exámenes Procesados. </v>
      </c>
      <c r="CF154" s="2195" t="str">
        <f>IF(P154&gt;=Q154,"","* Los exámenes Reactivos de SIFILIS NO DEBEN ser mayor a los exámenes Procesados. ")</f>
        <v xml:space="preserve">* Los exámenes Reactivos de SIFILIS NO DEBEN ser mayor a los exámenes Procesados. </v>
      </c>
      <c r="DB154" s="1446">
        <f>IF(D154&gt;=E154,0,1)</f>
        <v>1</v>
      </c>
      <c r="DC154" s="1446">
        <f>IF(G154&gt;=H154,0,1)</f>
        <v>1</v>
      </c>
      <c r="DD154" s="1446">
        <f>IF(J154&gt;=K154,0,1)</f>
        <v>1</v>
      </c>
      <c r="DE154" s="1446">
        <f>IF(M154&gt;=N154,0,1)</f>
        <v>1</v>
      </c>
      <c r="DF154" s="1446">
        <f>IF(P154&gt;=Q154,0,1)</f>
        <v>1</v>
      </c>
      <c r="DG154" s="1446"/>
    </row>
    <row r="155" spans="1:131" ht="21" customHeight="1" x14ac:dyDescent="0.3">
      <c r="A155" s="7258">
        <v>11055170</v>
      </c>
      <c r="B155" s="9989" t="s">
        <v>1819</v>
      </c>
      <c r="C155" s="9990"/>
      <c r="D155" s="1119" t="s">
        <v>5369</v>
      </c>
      <c r="E155" s="758" t="s">
        <v>5370</v>
      </c>
      <c r="F155" s="1154" t="s">
        <v>5371</v>
      </c>
      <c r="G155" s="1119" t="s">
        <v>5372</v>
      </c>
      <c r="H155" s="758" t="s">
        <v>5373</v>
      </c>
      <c r="I155" s="1154" t="s">
        <v>5374</v>
      </c>
      <c r="J155" s="1119" t="s">
        <v>5375</v>
      </c>
      <c r="K155" s="758" t="s">
        <v>5376</v>
      </c>
      <c r="L155" s="1154" t="s">
        <v>5377</v>
      </c>
      <c r="M155" s="1119" t="s">
        <v>5378</v>
      </c>
      <c r="N155" s="758" t="s">
        <v>5379</v>
      </c>
      <c r="O155" s="1154" t="s">
        <v>5380</v>
      </c>
      <c r="P155" s="1119" t="s">
        <v>5381</v>
      </c>
      <c r="Q155" s="1120" t="s">
        <v>5382</v>
      </c>
      <c r="R155" s="1496" t="str">
        <f>CB155&amp;CC155&amp;CD155&amp;CE155&amp;CF155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5" s="1197"/>
      <c r="T155" s="1197"/>
      <c r="U155" s="1197"/>
      <c r="V155" s="1197"/>
      <c r="W155" s="1197"/>
      <c r="X155" s="1197"/>
      <c r="Y155" s="1197"/>
      <c r="Z155" s="1197"/>
      <c r="AA155" s="1197"/>
      <c r="AB155" s="1197"/>
      <c r="AC155" s="1197"/>
      <c r="AD155" s="1191"/>
      <c r="AE155" s="1191"/>
      <c r="CB155" s="2195" t="str">
        <f>IF(D155&gt;=E155,"","* Los exámenes Reactivos de Hepatitis B NO DEBEN ser mayor a los exámenes Procesados. ")</f>
        <v xml:space="preserve">* Los exámenes Reactivos de Hepatitis B NO DEBEN ser mayor a los exámenes Procesados. </v>
      </c>
      <c r="CC155" s="2195" t="str">
        <f>IF(G155&gt;=H155,"","* Los exámenes Reactivos de Hepatitis C NO DEBEN ser mayor a los exámenes Procesados. ")</f>
        <v xml:space="preserve">* Los exámenes Reactivos de Hepatitis C NO DEBEN ser mayor a los exámenes Procesados. </v>
      </c>
      <c r="CD155" s="2195" t="str">
        <f>IF(J155&gt;=K155,"","* Los exámenes Reactivos de CHAGAS NO DEBEN ser mayor a los exámenes Procesados. ")</f>
        <v xml:space="preserve">* Los exámenes Reactivos de CHAGAS NO DEBEN ser mayor a los exámenes Procesados. </v>
      </c>
      <c r="CE155" s="2195" t="str">
        <f>IF(M155&gt;=N155,"","* Los exámenes Reactivos de HTLV1 NO DEBEN ser mayor a los exámenes Procesados. ")</f>
        <v xml:space="preserve">* Los exámenes Reactivos de HTLV1 NO DEBEN ser mayor a los exámenes Procesados. </v>
      </c>
      <c r="CF155" s="2195" t="str">
        <f>IF(P155&gt;=Q155,"","* Los exámenes Reactivos de SIFILIS NO DEBEN ser mayor a los exámenes Procesados. ")</f>
        <v xml:space="preserve">* Los exámenes Reactivos de SIFILIS NO DEBEN ser mayor a los exámenes Procesados. </v>
      </c>
      <c r="DB155" s="1446">
        <f>IF(D155&gt;=E155,0,1)</f>
        <v>1</v>
      </c>
      <c r="DC155" s="1446">
        <f>IF(G155&gt;=H155,0,1)</f>
        <v>1</v>
      </c>
      <c r="DD155" s="1446">
        <f>IF(J155&gt;=K155,0,1)</f>
        <v>1</v>
      </c>
      <c r="DE155" s="1446">
        <f>IF(M155&gt;=N155,0,1)</f>
        <v>1</v>
      </c>
      <c r="DF155" s="1446">
        <f>IF(P155&gt;=Q155,0,1)</f>
        <v>1</v>
      </c>
      <c r="DG155" s="1446"/>
    </row>
    <row r="156" spans="1:131" ht="31.95" customHeight="1" x14ac:dyDescent="0.3">
      <c r="B156" s="9983" t="s">
        <v>1820</v>
      </c>
      <c r="C156" s="9983"/>
      <c r="D156" s="9983"/>
      <c r="E156" s="9983"/>
      <c r="F156" s="9983"/>
      <c r="G156" s="9983"/>
      <c r="H156" s="9983"/>
      <c r="I156" s="9983"/>
      <c r="J156" s="9983"/>
      <c r="K156" s="9983"/>
      <c r="L156" s="9983"/>
      <c r="M156" s="9983"/>
      <c r="N156" s="9983"/>
      <c r="O156" s="9983"/>
      <c r="P156" s="9983"/>
      <c r="Q156" s="9983"/>
      <c r="R156" s="8885"/>
      <c r="S156" s="140"/>
      <c r="T156" s="140"/>
      <c r="U156" s="140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40"/>
      <c r="AF156" s="140"/>
      <c r="AG156" s="140"/>
      <c r="AH156" s="140"/>
      <c r="AI156" s="140"/>
      <c r="AJ156" s="140"/>
      <c r="AK156" s="140"/>
      <c r="AT156" s="1191"/>
      <c r="AU156" s="1157"/>
      <c r="AV156" s="1157"/>
      <c r="AW156" s="1157"/>
      <c r="AX156" s="1157"/>
      <c r="AY156" s="1157"/>
      <c r="AZ156" s="1157"/>
      <c r="BA156" s="1191"/>
      <c r="BB156" s="1191"/>
      <c r="BC156" s="1191"/>
      <c r="BD156" s="1191"/>
      <c r="BE156" s="1191"/>
      <c r="BF156" s="1191"/>
      <c r="BG156" s="1191"/>
      <c r="BH156" s="1191"/>
      <c r="BI156" s="1191"/>
      <c r="BJ156" s="1191"/>
      <c r="BK156" s="1191"/>
      <c r="BL156" s="1191"/>
      <c r="BM156" s="1191"/>
      <c r="BN156" s="1191"/>
      <c r="BO156" s="1191"/>
      <c r="BP156" s="1191"/>
    </row>
    <row r="157" spans="1:131" ht="31.95" customHeight="1" x14ac:dyDescent="0.3">
      <c r="B157" s="8597" t="s">
        <v>1807</v>
      </c>
      <c r="C157" s="9978"/>
      <c r="D157" s="9629" t="s">
        <v>24</v>
      </c>
      <c r="E157" s="9966"/>
      <c r="F157" s="8645" t="s">
        <v>540</v>
      </c>
      <c r="G157" s="8646"/>
      <c r="H157" s="8646"/>
      <c r="I157" s="8646"/>
      <c r="J157" s="8646"/>
      <c r="K157" s="8646"/>
      <c r="L157" s="8646"/>
      <c r="M157" s="8646"/>
      <c r="N157" s="8646"/>
      <c r="O157" s="8646"/>
      <c r="P157" s="8646"/>
      <c r="Q157" s="8646"/>
      <c r="R157" s="8646"/>
      <c r="S157" s="8646"/>
      <c r="T157" s="8646"/>
      <c r="U157" s="8646"/>
      <c r="V157" s="8646"/>
      <c r="W157" s="8646"/>
      <c r="X157" s="8646"/>
      <c r="Y157" s="8646"/>
      <c r="Z157" s="8646"/>
      <c r="AA157" s="8646"/>
      <c r="AB157" s="8646"/>
      <c r="AC157" s="8646"/>
      <c r="AD157" s="8646"/>
      <c r="AE157" s="8646"/>
      <c r="AF157" s="8646"/>
      <c r="AG157" s="8646"/>
      <c r="AH157" s="8646"/>
      <c r="AI157" s="8646"/>
      <c r="AJ157" s="8646"/>
      <c r="AK157" s="9969"/>
      <c r="AL157" s="9993" t="s">
        <v>43</v>
      </c>
      <c r="AM157" s="9993"/>
      <c r="AN157" s="9993"/>
      <c r="AO157" s="9994"/>
      <c r="AP157" s="9995" t="s">
        <v>713</v>
      </c>
      <c r="AQ157" s="9993"/>
      <c r="AR157" s="9993"/>
      <c r="AS157" s="9994"/>
      <c r="AT157" s="9996" t="s">
        <v>1821</v>
      </c>
      <c r="AU157" s="9997"/>
      <c r="AV157" s="9996" t="s">
        <v>361</v>
      </c>
      <c r="AW157" s="9973"/>
      <c r="AX157" s="9976" t="s">
        <v>1271</v>
      </c>
      <c r="AY157" s="9978"/>
      <c r="AZ157" s="1191"/>
      <c r="BA157" s="1191"/>
      <c r="BB157" s="1191"/>
      <c r="BC157" s="1191"/>
      <c r="BD157" s="1191"/>
      <c r="BE157" s="1191"/>
      <c r="BF157" s="1191"/>
      <c r="BG157" s="1191"/>
      <c r="BH157" s="1191"/>
      <c r="BI157" s="1191"/>
      <c r="BJ157" s="1191"/>
      <c r="BK157" s="1191"/>
      <c r="BL157" s="1191"/>
      <c r="BS157" s="1191"/>
      <c r="BT157" s="1191"/>
      <c r="BU157" s="1191"/>
      <c r="BV157" s="1547"/>
    </row>
    <row r="158" spans="1:131" ht="16.2" customHeight="1" x14ac:dyDescent="0.3">
      <c r="B158" s="8560"/>
      <c r="C158" s="8581"/>
      <c r="D158" s="9967"/>
      <c r="E158" s="9968"/>
      <c r="F158" s="8648" t="s">
        <v>1822</v>
      </c>
      <c r="G158" s="9970"/>
      <c r="H158" s="8648" t="s">
        <v>722</v>
      </c>
      <c r="I158" s="9970"/>
      <c r="J158" s="8648" t="s">
        <v>1823</v>
      </c>
      <c r="K158" s="9970"/>
      <c r="L158" s="8645" t="s">
        <v>1415</v>
      </c>
      <c r="M158" s="8647"/>
      <c r="N158" s="8645" t="s">
        <v>32</v>
      </c>
      <c r="O158" s="8647"/>
      <c r="P158" s="9991" t="s">
        <v>33</v>
      </c>
      <c r="Q158" s="9992"/>
      <c r="R158" s="9991" t="s">
        <v>40</v>
      </c>
      <c r="S158" s="9992"/>
      <c r="T158" s="9991" t="s">
        <v>115</v>
      </c>
      <c r="U158" s="9992"/>
      <c r="V158" s="9991" t="s">
        <v>116</v>
      </c>
      <c r="W158" s="9992"/>
      <c r="X158" s="9991" t="s">
        <v>117</v>
      </c>
      <c r="Y158" s="9992"/>
      <c r="Z158" s="9991" t="s">
        <v>118</v>
      </c>
      <c r="AA158" s="9992"/>
      <c r="AB158" s="9991" t="s">
        <v>119</v>
      </c>
      <c r="AC158" s="9992"/>
      <c r="AD158" s="9991" t="s">
        <v>120</v>
      </c>
      <c r="AE158" s="9992"/>
      <c r="AF158" s="9991" t="s">
        <v>1414</v>
      </c>
      <c r="AG158" s="9992"/>
      <c r="AH158" s="9991" t="s">
        <v>1406</v>
      </c>
      <c r="AI158" s="9992"/>
      <c r="AJ158" s="9991" t="s">
        <v>1824</v>
      </c>
      <c r="AK158" s="10012"/>
      <c r="AL158" s="10004" t="s">
        <v>17</v>
      </c>
      <c r="AM158" s="10005"/>
      <c r="AN158" s="10002" t="s">
        <v>18</v>
      </c>
      <c r="AO158" s="10003"/>
      <c r="AP158" s="10004" t="s">
        <v>359</v>
      </c>
      <c r="AQ158" s="10005"/>
      <c r="AR158" s="10006" t="s">
        <v>358</v>
      </c>
      <c r="AS158" s="10007"/>
      <c r="AT158" s="9998"/>
      <c r="AU158" s="9999"/>
      <c r="AV158" s="10000"/>
      <c r="AW158" s="9516"/>
      <c r="AX158" s="10001"/>
      <c r="AY158" s="8582"/>
      <c r="AZ158" s="1191"/>
      <c r="BA158" s="1191"/>
      <c r="BB158" s="1191"/>
      <c r="BC158" s="1191"/>
      <c r="BD158" s="1191"/>
      <c r="BE158" s="1191"/>
      <c r="BF158" s="1191"/>
      <c r="BG158" s="1191"/>
      <c r="BH158" s="1191"/>
      <c r="BI158" s="1191"/>
      <c r="BJ158" s="1191"/>
      <c r="BK158" s="1191"/>
      <c r="BR158" s="1191"/>
      <c r="BS158" s="1191"/>
      <c r="BT158" s="1191"/>
      <c r="BU158" s="1547"/>
      <c r="BV158" s="1547"/>
    </row>
    <row r="159" spans="1:131" ht="32.25" customHeight="1" x14ac:dyDescent="0.3">
      <c r="B159" s="8896"/>
      <c r="C159" s="8582"/>
      <c r="D159" s="1124" t="s">
        <v>1783</v>
      </c>
      <c r="E159" s="914" t="s">
        <v>1825</v>
      </c>
      <c r="F159" s="1124" t="s">
        <v>1783</v>
      </c>
      <c r="G159" s="914" t="s">
        <v>1825</v>
      </c>
      <c r="H159" s="1124" t="s">
        <v>1783</v>
      </c>
      <c r="I159" s="914" t="s">
        <v>1825</v>
      </c>
      <c r="J159" s="1124" t="s">
        <v>1783</v>
      </c>
      <c r="K159" s="914" t="s">
        <v>1825</v>
      </c>
      <c r="L159" s="1124" t="s">
        <v>1783</v>
      </c>
      <c r="M159" s="914" t="s">
        <v>1825</v>
      </c>
      <c r="N159" s="1124" t="s">
        <v>1783</v>
      </c>
      <c r="O159" s="914" t="s">
        <v>1825</v>
      </c>
      <c r="P159" s="1124" t="s">
        <v>1783</v>
      </c>
      <c r="Q159" s="914" t="s">
        <v>1825</v>
      </c>
      <c r="R159" s="1124" t="s">
        <v>1783</v>
      </c>
      <c r="S159" s="914" t="s">
        <v>1825</v>
      </c>
      <c r="T159" s="1124" t="s">
        <v>1783</v>
      </c>
      <c r="U159" s="914" t="s">
        <v>1825</v>
      </c>
      <c r="V159" s="1124" t="s">
        <v>1783</v>
      </c>
      <c r="W159" s="914" t="s">
        <v>1825</v>
      </c>
      <c r="X159" s="1124" t="s">
        <v>1783</v>
      </c>
      <c r="Y159" s="914" t="s">
        <v>1825</v>
      </c>
      <c r="Z159" s="1124" t="s">
        <v>1783</v>
      </c>
      <c r="AA159" s="914" t="s">
        <v>1825</v>
      </c>
      <c r="AB159" s="1124" t="s">
        <v>1783</v>
      </c>
      <c r="AC159" s="914" t="s">
        <v>1825</v>
      </c>
      <c r="AD159" s="1124" t="s">
        <v>1783</v>
      </c>
      <c r="AE159" s="914" t="s">
        <v>1825</v>
      </c>
      <c r="AF159" s="1124" t="s">
        <v>1783</v>
      </c>
      <c r="AG159" s="914" t="s">
        <v>1825</v>
      </c>
      <c r="AH159" s="1124" t="s">
        <v>1783</v>
      </c>
      <c r="AI159" s="914" t="s">
        <v>1825</v>
      </c>
      <c r="AJ159" s="1124" t="s">
        <v>1783</v>
      </c>
      <c r="AK159" s="1128" t="s">
        <v>1825</v>
      </c>
      <c r="AL159" s="1127" t="s">
        <v>1783</v>
      </c>
      <c r="AM159" s="914" t="s">
        <v>1825</v>
      </c>
      <c r="AN159" s="1124" t="s">
        <v>1783</v>
      </c>
      <c r="AO159" s="914" t="s">
        <v>1825</v>
      </c>
      <c r="AP159" s="2197" t="s">
        <v>1783</v>
      </c>
      <c r="AQ159" s="914" t="s">
        <v>1825</v>
      </c>
      <c r="AR159" s="1124" t="s">
        <v>1783</v>
      </c>
      <c r="AS159" s="914" t="s">
        <v>1825</v>
      </c>
      <c r="AT159" s="2197" t="s">
        <v>1783</v>
      </c>
      <c r="AU159" s="914" t="s">
        <v>1825</v>
      </c>
      <c r="AV159" s="2197" t="s">
        <v>1783</v>
      </c>
      <c r="AW159" s="940" t="s">
        <v>1825</v>
      </c>
      <c r="AX159" s="2197" t="s">
        <v>1783</v>
      </c>
      <c r="AY159" s="940" t="s">
        <v>1825</v>
      </c>
      <c r="AZ159" s="1191"/>
      <c r="BA159" s="1191"/>
      <c r="BB159" s="1191"/>
      <c r="BC159" s="1191"/>
      <c r="BD159" s="1191"/>
      <c r="BE159" s="1191"/>
      <c r="BF159" s="1191"/>
      <c r="BG159" s="1191"/>
      <c r="BH159" s="1191"/>
      <c r="BI159" s="1191"/>
      <c r="BJ159" s="1191"/>
      <c r="BK159" s="1191"/>
      <c r="BR159" s="1191"/>
      <c r="BS159" s="1191"/>
      <c r="BT159" s="1191"/>
      <c r="BU159" s="1547"/>
      <c r="BV159" s="1547"/>
    </row>
    <row r="160" spans="1:131" ht="16.2" customHeight="1" x14ac:dyDescent="0.3">
      <c r="A160" s="7258">
        <v>11052500</v>
      </c>
      <c r="B160" s="10008" t="s">
        <v>1826</v>
      </c>
      <c r="C160" s="10009"/>
      <c r="D160" s="1332" t="s">
        <v>5369</v>
      </c>
      <c r="E160" s="1334" t="s">
        <v>5370</v>
      </c>
      <c r="F160" s="698" t="s">
        <v>5371</v>
      </c>
      <c r="G160" s="1159" t="s">
        <v>5372</v>
      </c>
      <c r="H160" s="698" t="s">
        <v>5373</v>
      </c>
      <c r="I160" s="1159" t="s">
        <v>5374</v>
      </c>
      <c r="J160" s="698" t="s">
        <v>5375</v>
      </c>
      <c r="K160" s="1159" t="s">
        <v>5376</v>
      </c>
      <c r="L160" s="698" t="s">
        <v>5377</v>
      </c>
      <c r="M160" s="1159" t="s">
        <v>5378</v>
      </c>
      <c r="N160" s="695" t="s">
        <v>5379</v>
      </c>
      <c r="O160" s="714" t="s">
        <v>5380</v>
      </c>
      <c r="P160" s="695" t="s">
        <v>5381</v>
      </c>
      <c r="Q160" s="714" t="s">
        <v>5382</v>
      </c>
      <c r="R160" s="695" t="s">
        <v>5383</v>
      </c>
      <c r="S160" s="714" t="s">
        <v>5384</v>
      </c>
      <c r="T160" s="695" t="s">
        <v>5385</v>
      </c>
      <c r="U160" s="714" t="s">
        <v>5386</v>
      </c>
      <c r="V160" s="695" t="s">
        <v>5387</v>
      </c>
      <c r="W160" s="714" t="s">
        <v>5388</v>
      </c>
      <c r="X160" s="695" t="s">
        <v>5389</v>
      </c>
      <c r="Y160" s="714" t="s">
        <v>5390</v>
      </c>
      <c r="Z160" s="695" t="s">
        <v>5391</v>
      </c>
      <c r="AA160" s="714" t="s">
        <v>5392</v>
      </c>
      <c r="AB160" s="695" t="s">
        <v>5393</v>
      </c>
      <c r="AC160" s="714" t="s">
        <v>5394</v>
      </c>
      <c r="AD160" s="695" t="s">
        <v>5395</v>
      </c>
      <c r="AE160" s="714" t="s">
        <v>5396</v>
      </c>
      <c r="AF160" s="695" t="s">
        <v>5397</v>
      </c>
      <c r="AG160" s="714" t="s">
        <v>5398</v>
      </c>
      <c r="AH160" s="698" t="s">
        <v>5399</v>
      </c>
      <c r="AI160" s="715" t="s">
        <v>5400</v>
      </c>
      <c r="AJ160" s="698" t="s">
        <v>5401</v>
      </c>
      <c r="AK160" s="697" t="s">
        <v>5402</v>
      </c>
      <c r="AL160" s="1578" t="s">
        <v>5403</v>
      </c>
      <c r="AM160" s="1579" t="s">
        <v>5404</v>
      </c>
      <c r="AN160" s="910" t="s">
        <v>5405</v>
      </c>
      <c r="AO160" s="1160" t="s">
        <v>5406</v>
      </c>
      <c r="AP160" s="1161" t="s">
        <v>5407</v>
      </c>
      <c r="AQ160" s="1115" t="s">
        <v>5408</v>
      </c>
      <c r="AR160" s="1134" t="s">
        <v>5409</v>
      </c>
      <c r="AS160" s="1162" t="s">
        <v>5410</v>
      </c>
      <c r="AT160" s="1161" t="s">
        <v>5411</v>
      </c>
      <c r="AU160" s="1162" t="s">
        <v>5412</v>
      </c>
      <c r="AV160" s="1161" t="s">
        <v>5413</v>
      </c>
      <c r="AW160" s="1115" t="s">
        <v>5414</v>
      </c>
      <c r="AX160" s="1161" t="s">
        <v>5415</v>
      </c>
      <c r="AY160" s="1115" t="s">
        <v>5416</v>
      </c>
      <c r="AZ160" s="1197" t="e">
        <f t="shared" ref="AZ160:AZ182" si="318">$CB160&amp;$CC160&amp;$CD160&amp;$CE160&amp;$CF160&amp;$CG160&amp;$CH160&amp;$CI160&amp;$CJ160&amp;$CK160&amp;$CL160&amp;$CM160&amp;$CN160&amp;$CO160&amp;$CP160&amp;$CQ160&amp;$CR160&amp;$CS160&amp;$CT160&amp;$CU160&amp;$CV160&amp;$CW160&amp;$CX160&amp;$CY160&amp;$CZ160&amp;$DA160</f>
        <v>#VALUE!</v>
      </c>
      <c r="BA160" s="1197"/>
      <c r="BB160" s="1197"/>
      <c r="BC160" s="1197"/>
      <c r="BD160" s="1197"/>
      <c r="BE160" s="1197"/>
      <c r="BF160" s="1197"/>
      <c r="BG160" s="1197"/>
      <c r="BH160" s="1191"/>
      <c r="BI160" s="1191"/>
      <c r="BJ160" s="1191"/>
      <c r="BK160" s="1191"/>
      <c r="BR160" s="1191"/>
      <c r="BS160" s="1191"/>
      <c r="BT160" s="1191"/>
      <c r="BU160" s="1547"/>
      <c r="BV160" s="1547"/>
      <c r="CB160" s="2195" t="str">
        <f>IF(DB160=1,"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60" s="2195" t="e">
        <f>IF(DC160=1," * La suma de exámenes procesados por sexo DEBE SER IGUAL al total de Procesados. ","")</f>
        <v>#VALUE!</v>
      </c>
      <c r="CD160" s="2195" t="e">
        <f>IF(DD160=1," * La suma de exámenes Confirmados positivos por ISP por sexo DEBE SER IGUAL al total de Procesados. ","")</f>
        <v>#VALUE!</v>
      </c>
      <c r="CE160" s="2195" t="e">
        <f>IF(DE160=1," * La suma de exámenes procesados Trans NO PUEDE Superar al total de Procesados. ","")</f>
        <v>#VALUE!</v>
      </c>
      <c r="CF160" s="2195" t="e">
        <f>IF(DF160=1," * La suma de exámenes confirmados positivos por ISP Trans NO PUEDE Superar al total de Procesados. ","")</f>
        <v>#VALUE!</v>
      </c>
      <c r="CG160" s="2195" t="str">
        <f>IF(DG160=1,"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60" s="2195" t="str">
        <f>IF(DH160=1,"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60" s="2195" t="str">
        <f>IF(DI160=1,"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60" s="2195" t="str">
        <f>IF(DJ160=1,"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60" s="2195"/>
      <c r="CL160" s="2195"/>
      <c r="CM160" s="2195"/>
      <c r="CN160" s="2195"/>
      <c r="CO160" s="2195"/>
      <c r="CP160" s="2195"/>
      <c r="CQ160" s="2195"/>
      <c r="CR160" s="2195"/>
      <c r="CS160" s="2195"/>
      <c r="CT160" s="2195"/>
      <c r="CU160" s="2195"/>
      <c r="CV160" s="2195"/>
      <c r="CW160" s="2195"/>
      <c r="CX160" s="2195" t="str">
        <f>IF(DX160=1,"* No olvide digitar la columna Procesados Trans y/o Pueblos Originarios y/o Migrantes (Digite Cero si no tiene). ","")</f>
        <v/>
      </c>
      <c r="CY160" s="2195" t="str">
        <f>IF(DY160=1,"* No olvide digitar la columna Confirmados Trans y/o Pueblos Originarios y/o Migrantes (Digite Cero si no tiene). ","")</f>
        <v/>
      </c>
      <c r="CZ160" s="2195"/>
      <c r="DA160" s="2195"/>
      <c r="DB160" s="1446">
        <f>IF(D160&lt;E160,1,0)</f>
        <v>1</v>
      </c>
      <c r="DC160" s="1446" t="e">
        <f>IF(D160&lt;&gt;(AL160+AN160),1,0)</f>
        <v>#VALUE!</v>
      </c>
      <c r="DD160" s="1446" t="e">
        <f>IF(E160&lt;&gt;(AM160+AO160),1,0)</f>
        <v>#VALUE!</v>
      </c>
      <c r="DE160" s="1446" t="e">
        <f>IF(D160&lt;(AP160+AR160),1,0)</f>
        <v>#VALUE!</v>
      </c>
      <c r="DF160" s="1446" t="e">
        <f>IF(E160&lt;(AQ160+AS160),1,0)</f>
        <v>#VALUE!</v>
      </c>
      <c r="DG160" s="1446">
        <f>IF($D160&lt;AT160,1,0)</f>
        <v>1</v>
      </c>
      <c r="DH160" s="1446">
        <f>IF($E160&lt;AU160,1,0)</f>
        <v>1</v>
      </c>
      <c r="DI160" s="1446">
        <f>IF($D160&lt;AV160,1,0)</f>
        <v>1</v>
      </c>
      <c r="DJ160" s="1446">
        <f>IF($E160&lt;AW160,1,0)</f>
        <v>1</v>
      </c>
      <c r="DK160" s="1446"/>
      <c r="DL160" s="1446"/>
      <c r="DM160" s="1446"/>
      <c r="DN160" s="1446"/>
      <c r="DO160" s="1446"/>
      <c r="DP160" s="1446"/>
      <c r="DQ160" s="1446"/>
      <c r="DR160" s="1446"/>
      <c r="DS160" s="1446"/>
      <c r="DT160" s="1446"/>
      <c r="DU160" s="1446"/>
      <c r="DV160" s="1446"/>
      <c r="DW160" s="1446"/>
      <c r="DX160" s="1446">
        <f>IF(AND(D160&lt;&gt;0,OR(AP160="",AR160="",AT160="",AV160="")),1,0)</f>
        <v>0</v>
      </c>
      <c r="DY160" s="1446">
        <f>IF(AND(E160&lt;&gt;0,OR(AQ160="",AS160="",AU160="",AW160="")),1,0)</f>
        <v>0</v>
      </c>
      <c r="DZ160" s="1446"/>
      <c r="EA160" s="1446"/>
    </row>
    <row r="161" spans="1:131" ht="16.2" customHeight="1" x14ac:dyDescent="0.3">
      <c r="A161" s="7258">
        <v>11052600</v>
      </c>
      <c r="B161" s="10010" t="s">
        <v>1827</v>
      </c>
      <c r="C161" s="10011"/>
      <c r="D161" s="1335" t="s">
        <v>5369</v>
      </c>
      <c r="E161" s="843" t="s">
        <v>5370</v>
      </c>
      <c r="F161" s="1132" t="s">
        <v>5371</v>
      </c>
      <c r="G161" s="1131" t="s">
        <v>5372</v>
      </c>
      <c r="H161" s="1132" t="s">
        <v>5373</v>
      </c>
      <c r="I161" s="1131" t="s">
        <v>5374</v>
      </c>
      <c r="J161" s="1132" t="s">
        <v>5375</v>
      </c>
      <c r="K161" s="1131" t="s">
        <v>5376</v>
      </c>
      <c r="L161" s="1132" t="s">
        <v>5377</v>
      </c>
      <c r="M161" s="1131" t="s">
        <v>5378</v>
      </c>
      <c r="N161" s="910" t="s">
        <v>5379</v>
      </c>
      <c r="O161" s="78" t="s">
        <v>5380</v>
      </c>
      <c r="P161" s="910" t="s">
        <v>5381</v>
      </c>
      <c r="Q161" s="78" t="s">
        <v>5382</v>
      </c>
      <c r="R161" s="910" t="s">
        <v>5383</v>
      </c>
      <c r="S161" s="78" t="s">
        <v>5384</v>
      </c>
      <c r="T161" s="910" t="s">
        <v>5385</v>
      </c>
      <c r="U161" s="78" t="s">
        <v>5386</v>
      </c>
      <c r="V161" s="910" t="s">
        <v>5387</v>
      </c>
      <c r="W161" s="78" t="s">
        <v>5388</v>
      </c>
      <c r="X161" s="910" t="s">
        <v>5389</v>
      </c>
      <c r="Y161" s="78" t="s">
        <v>5390</v>
      </c>
      <c r="Z161" s="910" t="s">
        <v>5391</v>
      </c>
      <c r="AA161" s="78" t="s">
        <v>5392</v>
      </c>
      <c r="AB161" s="910" t="s">
        <v>5393</v>
      </c>
      <c r="AC161" s="78" t="s">
        <v>5394</v>
      </c>
      <c r="AD161" s="910" t="s">
        <v>5395</v>
      </c>
      <c r="AE161" s="78" t="s">
        <v>5396</v>
      </c>
      <c r="AF161" s="910" t="s">
        <v>5397</v>
      </c>
      <c r="AG161" s="78" t="s">
        <v>5398</v>
      </c>
      <c r="AH161" s="1132" t="s">
        <v>5399</v>
      </c>
      <c r="AI161" s="1133" t="s">
        <v>5400</v>
      </c>
      <c r="AJ161" s="1132" t="s">
        <v>5401</v>
      </c>
      <c r="AK161" s="1144" t="s">
        <v>5402</v>
      </c>
      <c r="AL161" s="1137" t="s">
        <v>5403</v>
      </c>
      <c r="AM161" s="1180" t="s">
        <v>5404</v>
      </c>
      <c r="AN161" s="1114" t="s">
        <v>5405</v>
      </c>
      <c r="AO161" s="1162" t="s">
        <v>5406</v>
      </c>
      <c r="AP161" s="1161" t="s">
        <v>5407</v>
      </c>
      <c r="AQ161" s="1115" t="s">
        <v>5408</v>
      </c>
      <c r="AR161" s="1134" t="s">
        <v>5409</v>
      </c>
      <c r="AS161" s="1162" t="s">
        <v>5410</v>
      </c>
      <c r="AT161" s="1161" t="s">
        <v>5411</v>
      </c>
      <c r="AU161" s="1162" t="s">
        <v>5412</v>
      </c>
      <c r="AV161" s="1161" t="s">
        <v>5413</v>
      </c>
      <c r="AW161" s="1115" t="s">
        <v>5414</v>
      </c>
      <c r="AX161" s="1161" t="s">
        <v>5415</v>
      </c>
      <c r="AY161" s="1115" t="s">
        <v>5416</v>
      </c>
      <c r="AZ161" s="1197" t="e">
        <f t="shared" si="318"/>
        <v>#VALUE!</v>
      </c>
      <c r="BA161" s="1197"/>
      <c r="BB161" s="1197"/>
      <c r="BC161" s="1197"/>
      <c r="BD161" s="1197"/>
      <c r="BE161" s="1197"/>
      <c r="BF161" s="1197"/>
      <c r="BG161" s="1197"/>
      <c r="BH161" s="1191"/>
      <c r="BI161" s="1191"/>
      <c r="BJ161" s="1191"/>
      <c r="BK161" s="1191"/>
      <c r="BR161" s="1191"/>
      <c r="BS161" s="1191"/>
      <c r="BT161" s="1191"/>
      <c r="BU161" s="1547"/>
      <c r="BV161" s="1547"/>
      <c r="CB161" s="2195" t="str">
        <f t="shared" ref="CB161:CB182" si="319">IF(DB161=1,"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61" s="2195" t="e">
        <f t="shared" ref="CC161:CC182" si="320">IF(DC161=1," * La suma de exámenes procesados por sexo DEBE SER IGUAL al total de Procesados. ","")</f>
        <v>#VALUE!</v>
      </c>
      <c r="CD161" s="2195" t="e">
        <f t="shared" ref="CD161:CD182" si="321">IF(DD161=1," * La suma de exámenes Confirmados positivos por ISP por sexo DEBE SER IGUAL al total de Procesados. ","")</f>
        <v>#VALUE!</v>
      </c>
      <c r="CE161" s="2195" t="e">
        <f t="shared" ref="CE161:CE182" si="322">IF(DE161=1," * La suma de exámenes procesados Trans NO PUEDE Superar al total de Procesados. ","")</f>
        <v>#VALUE!</v>
      </c>
      <c r="CF161" s="2195" t="e">
        <f t="shared" ref="CF161:CF182" si="323">IF(DF161=1," * La suma de exámenes confirmados positivos por ISP Trans NO PUEDE Superar al total de Procesados. ","")</f>
        <v>#VALUE!</v>
      </c>
      <c r="CG161" s="2195" t="str">
        <f t="shared" ref="CG161:CG182" si="324">IF(DG161=1,"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61" s="2195" t="str">
        <f t="shared" ref="CH161:CH182" si="325">IF(DH161=1,"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61" s="2195" t="str">
        <f t="shared" ref="CI161:CI182" si="326">IF(DI161=1,"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61" s="2195" t="str">
        <f t="shared" ref="CJ161:CJ182" si="327">IF(DJ161=1,"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61" s="2195"/>
      <c r="CL161" s="2195"/>
      <c r="CM161" s="2195"/>
      <c r="CN161" s="2195"/>
      <c r="CO161" s="2195"/>
      <c r="CP161" s="2195"/>
      <c r="CQ161" s="2195"/>
      <c r="CR161" s="2195"/>
      <c r="CS161" s="2195"/>
      <c r="CT161" s="2195"/>
      <c r="CU161" s="2195"/>
      <c r="CV161" s="2195"/>
      <c r="CW161" s="2195"/>
      <c r="CX161" s="2195" t="str">
        <f t="shared" ref="CX161:CX182" si="328">IF(DX161=1,"* No olvide digitar la columna Procesados Trans y/o Pueblos Originarios y/o Migrantes (Digite Cero si no tiene). ","")</f>
        <v/>
      </c>
      <c r="CY161" s="2195" t="str">
        <f t="shared" ref="CY161:CY182" si="329">IF(DY161=1,"* No olvide digitar la columna Confirmados Trans y/o Pueblos Originarios y/o Migrantes (Digite Cero si no tiene). ","")</f>
        <v/>
      </c>
      <c r="CZ161" s="2195"/>
      <c r="DA161" s="2195"/>
      <c r="DB161" s="1446">
        <f t="shared" ref="DB161:DB182" si="330">IF(D161&lt;E161,1,0)</f>
        <v>1</v>
      </c>
      <c r="DC161" s="1446" t="e">
        <f t="shared" ref="DC161:DC182" si="331">IF(D161&lt;&gt;(AL161+AN161),1,0)</f>
        <v>#VALUE!</v>
      </c>
      <c r="DD161" s="1446" t="e">
        <f t="shared" ref="DD161:DD182" si="332">IF(E161&lt;&gt;(AM161+AO161),1,0)</f>
        <v>#VALUE!</v>
      </c>
      <c r="DE161" s="1446" t="e">
        <f t="shared" ref="DE161:DE182" si="333">IF(D161&lt;(AP161+AR161),1,0)</f>
        <v>#VALUE!</v>
      </c>
      <c r="DF161" s="1446" t="e">
        <f t="shared" ref="DF161:DF182" si="334">IF(E161&lt;(AQ161+AS161),1,0)</f>
        <v>#VALUE!</v>
      </c>
      <c r="DG161" s="1446">
        <f t="shared" ref="DG161:DG182" si="335">IF($D161&lt;AT161,1,0)</f>
        <v>1</v>
      </c>
      <c r="DH161" s="1446">
        <f t="shared" ref="DH161:DH182" si="336">IF($E161&lt;AU161,1,0)</f>
        <v>1</v>
      </c>
      <c r="DI161" s="1446">
        <f t="shared" ref="DI161:DI182" si="337">IF($D161&lt;AV161,1,0)</f>
        <v>1</v>
      </c>
      <c r="DJ161" s="1446">
        <f t="shared" ref="DJ161:DJ182" si="338">IF($E161&lt;AW161,1,0)</f>
        <v>1</v>
      </c>
      <c r="DK161" s="1446"/>
      <c r="DL161" s="1446"/>
      <c r="DM161" s="1446"/>
      <c r="DN161" s="1446"/>
      <c r="DO161" s="1446"/>
      <c r="DP161" s="1446"/>
      <c r="DQ161" s="1446"/>
      <c r="DR161" s="1446"/>
      <c r="DS161" s="1446"/>
      <c r="DT161" s="1446"/>
      <c r="DU161" s="1446"/>
      <c r="DV161" s="1446"/>
      <c r="DW161" s="1446"/>
      <c r="DX161" s="1446">
        <f t="shared" ref="DX161:DY176" si="339">IF(AND(D161&lt;&gt;0,OR(AP161="",AR161="",AT161="",AV161="")),1,0)</f>
        <v>0</v>
      </c>
      <c r="DY161" s="1446">
        <f t="shared" si="339"/>
        <v>0</v>
      </c>
      <c r="DZ161" s="1446"/>
      <c r="EA161" s="1446"/>
    </row>
    <row r="162" spans="1:131" ht="16.2" customHeight="1" x14ac:dyDescent="0.3">
      <c r="A162" s="7258">
        <v>11052700</v>
      </c>
      <c r="B162" s="10010" t="s">
        <v>1828</v>
      </c>
      <c r="C162" s="10011"/>
      <c r="D162" s="1335" t="s">
        <v>5369</v>
      </c>
      <c r="E162" s="843" t="s">
        <v>5370</v>
      </c>
      <c r="F162" s="1132" t="s">
        <v>5371</v>
      </c>
      <c r="G162" s="1131" t="s">
        <v>5372</v>
      </c>
      <c r="H162" s="1132" t="s">
        <v>5373</v>
      </c>
      <c r="I162" s="1131" t="s">
        <v>5374</v>
      </c>
      <c r="J162" s="1132" t="s">
        <v>5375</v>
      </c>
      <c r="K162" s="1131" t="s">
        <v>5376</v>
      </c>
      <c r="L162" s="1132" t="s">
        <v>5377</v>
      </c>
      <c r="M162" s="1131" t="s">
        <v>5378</v>
      </c>
      <c r="N162" s="1114" t="s">
        <v>5379</v>
      </c>
      <c r="O162" s="1135" t="s">
        <v>5380</v>
      </c>
      <c r="P162" s="1114" t="s">
        <v>5381</v>
      </c>
      <c r="Q162" s="1135" t="s">
        <v>5382</v>
      </c>
      <c r="R162" s="1114" t="s">
        <v>5383</v>
      </c>
      <c r="S162" s="1135" t="s">
        <v>5384</v>
      </c>
      <c r="T162" s="1114" t="s">
        <v>5385</v>
      </c>
      <c r="U162" s="1135" t="s">
        <v>5386</v>
      </c>
      <c r="V162" s="1114" t="s">
        <v>5387</v>
      </c>
      <c r="W162" s="1135" t="s">
        <v>5388</v>
      </c>
      <c r="X162" s="1114" t="s">
        <v>5389</v>
      </c>
      <c r="Y162" s="1135" t="s">
        <v>5390</v>
      </c>
      <c r="Z162" s="1114" t="s">
        <v>5391</v>
      </c>
      <c r="AA162" s="1135" t="s">
        <v>5392</v>
      </c>
      <c r="AB162" s="1114" t="s">
        <v>5393</v>
      </c>
      <c r="AC162" s="1135" t="s">
        <v>5394</v>
      </c>
      <c r="AD162" s="1114" t="s">
        <v>5395</v>
      </c>
      <c r="AE162" s="1135" t="s">
        <v>5396</v>
      </c>
      <c r="AF162" s="1114" t="s">
        <v>5397</v>
      </c>
      <c r="AG162" s="1135" t="s">
        <v>5398</v>
      </c>
      <c r="AH162" s="1132" t="s">
        <v>5399</v>
      </c>
      <c r="AI162" s="1133" t="s">
        <v>5400</v>
      </c>
      <c r="AJ162" s="1132" t="s">
        <v>5401</v>
      </c>
      <c r="AK162" s="1144" t="s">
        <v>5402</v>
      </c>
      <c r="AL162" s="1137" t="s">
        <v>5403</v>
      </c>
      <c r="AM162" s="1180" t="s">
        <v>5404</v>
      </c>
      <c r="AN162" s="1114" t="s">
        <v>5405</v>
      </c>
      <c r="AO162" s="1162" t="s">
        <v>5406</v>
      </c>
      <c r="AP162" s="1161" t="s">
        <v>5407</v>
      </c>
      <c r="AQ162" s="1115" t="s">
        <v>5408</v>
      </c>
      <c r="AR162" s="1134" t="s">
        <v>5409</v>
      </c>
      <c r="AS162" s="1162" t="s">
        <v>5410</v>
      </c>
      <c r="AT162" s="1161" t="s">
        <v>5411</v>
      </c>
      <c r="AU162" s="1162" t="s">
        <v>5412</v>
      </c>
      <c r="AV162" s="1161" t="s">
        <v>5413</v>
      </c>
      <c r="AW162" s="1115" t="s">
        <v>5414</v>
      </c>
      <c r="AX162" s="1161" t="s">
        <v>5415</v>
      </c>
      <c r="AY162" s="1115" t="s">
        <v>5416</v>
      </c>
      <c r="AZ162" s="1197" t="e">
        <f t="shared" si="318"/>
        <v>#VALUE!</v>
      </c>
      <c r="BA162" s="1197"/>
      <c r="BB162" s="1197"/>
      <c r="BC162" s="1197"/>
      <c r="BD162" s="1197"/>
      <c r="BE162" s="1197"/>
      <c r="BF162" s="1197"/>
      <c r="BG162" s="1197"/>
      <c r="BH162" s="1191"/>
      <c r="BI162" s="1191"/>
      <c r="BJ162" s="1191"/>
      <c r="BK162" s="1191"/>
      <c r="BR162" s="1191"/>
      <c r="BS162" s="1191"/>
      <c r="BT162" s="1191"/>
      <c r="BU162" s="1547"/>
      <c r="BV162" s="1547"/>
      <c r="CB162" s="2195" t="str">
        <f t="shared" si="319"/>
        <v xml:space="preserve"> * El total de exámenes confirmados positivos por ISP NO DEBE SUPERAR el total de exámenes procesados. </v>
      </c>
      <c r="CC162" s="2195" t="e">
        <f t="shared" si="320"/>
        <v>#VALUE!</v>
      </c>
      <c r="CD162" s="2195" t="e">
        <f t="shared" si="321"/>
        <v>#VALUE!</v>
      </c>
      <c r="CE162" s="2195" t="e">
        <f t="shared" si="322"/>
        <v>#VALUE!</v>
      </c>
      <c r="CF162" s="2195" t="e">
        <f t="shared" si="323"/>
        <v>#VALUE!</v>
      </c>
      <c r="CG162" s="2195" t="str">
        <f t="shared" si="324"/>
        <v xml:space="preserve"> * Los exámenes procesados de personas pertenecientes a Pueblos originarios NO PUEDE Superar al total de Procesados. </v>
      </c>
      <c r="CH162" s="2195" t="str">
        <f t="shared" si="325"/>
        <v xml:space="preserve"> * Los exámenes confirmados positivos por ISP de personas pertenecientes a Pueblos originarios NO PUEDE Superar al total de Procesados. </v>
      </c>
      <c r="CI162" s="2195" t="str">
        <f t="shared" si="326"/>
        <v xml:space="preserve"> * Los exámenes procesados de personas pertenecientes a Pueblos migrantes NO PUEDE Superar al total de Procesados. </v>
      </c>
      <c r="CJ162" s="2195" t="str">
        <f t="shared" si="327"/>
        <v xml:space="preserve"> * Los exámenes confirmados positivos por ISP de personas pertenecientes a Pueblos Migrantes NO PUEDE Superar al total de Procesados. </v>
      </c>
      <c r="CK162" s="2195"/>
      <c r="CL162" s="2195"/>
      <c r="CM162" s="2195"/>
      <c r="CN162" s="2195"/>
      <c r="CO162" s="2195"/>
      <c r="CP162" s="2195"/>
      <c r="CQ162" s="2195"/>
      <c r="CR162" s="2195"/>
      <c r="CS162" s="2195"/>
      <c r="CT162" s="2195"/>
      <c r="CU162" s="2195"/>
      <c r="CV162" s="2195"/>
      <c r="CW162" s="2195"/>
      <c r="CX162" s="2195" t="str">
        <f t="shared" si="328"/>
        <v/>
      </c>
      <c r="CY162" s="2195" t="str">
        <f t="shared" si="329"/>
        <v/>
      </c>
      <c r="CZ162" s="2195"/>
      <c r="DA162" s="2195"/>
      <c r="DB162" s="1446">
        <f t="shared" si="330"/>
        <v>1</v>
      </c>
      <c r="DC162" s="1446" t="e">
        <f t="shared" si="331"/>
        <v>#VALUE!</v>
      </c>
      <c r="DD162" s="1446" t="e">
        <f t="shared" si="332"/>
        <v>#VALUE!</v>
      </c>
      <c r="DE162" s="1446" t="e">
        <f t="shared" si="333"/>
        <v>#VALUE!</v>
      </c>
      <c r="DF162" s="1446" t="e">
        <f t="shared" si="334"/>
        <v>#VALUE!</v>
      </c>
      <c r="DG162" s="1446">
        <f t="shared" si="335"/>
        <v>1</v>
      </c>
      <c r="DH162" s="1446">
        <f t="shared" si="336"/>
        <v>1</v>
      </c>
      <c r="DI162" s="1446">
        <f t="shared" si="337"/>
        <v>1</v>
      </c>
      <c r="DJ162" s="1446">
        <f t="shared" si="338"/>
        <v>1</v>
      </c>
      <c r="DK162" s="1446"/>
      <c r="DL162" s="1446"/>
      <c r="DM162" s="1446"/>
      <c r="DN162" s="1446"/>
      <c r="DO162" s="1446"/>
      <c r="DP162" s="1446"/>
      <c r="DQ162" s="1446"/>
      <c r="DR162" s="1446"/>
      <c r="DS162" s="1446"/>
      <c r="DT162" s="1446"/>
      <c r="DU162" s="1446"/>
      <c r="DV162" s="1446"/>
      <c r="DW162" s="1446"/>
      <c r="DX162" s="1446">
        <f t="shared" si="339"/>
        <v>0</v>
      </c>
      <c r="DY162" s="1446">
        <f t="shared" si="339"/>
        <v>0</v>
      </c>
      <c r="DZ162" s="1446"/>
      <c r="EA162" s="1446"/>
    </row>
    <row r="163" spans="1:131" ht="16.2" customHeight="1" x14ac:dyDescent="0.3">
      <c r="A163" s="7258">
        <v>11052800</v>
      </c>
      <c r="B163" s="10010" t="s">
        <v>1795</v>
      </c>
      <c r="C163" s="10011"/>
      <c r="D163" s="1335" t="s">
        <v>5369</v>
      </c>
      <c r="E163" s="1163" t="s">
        <v>5370</v>
      </c>
      <c r="F163" s="1132" t="s">
        <v>5371</v>
      </c>
      <c r="G163" s="1131" t="s">
        <v>5372</v>
      </c>
      <c r="H163" s="1132" t="s">
        <v>5373</v>
      </c>
      <c r="I163" s="1131" t="s">
        <v>5374</v>
      </c>
      <c r="J163" s="1132" t="s">
        <v>5375</v>
      </c>
      <c r="K163" s="1131" t="s">
        <v>5376</v>
      </c>
      <c r="L163" s="1132" t="s">
        <v>5377</v>
      </c>
      <c r="M163" s="1131" t="s">
        <v>5378</v>
      </c>
      <c r="N163" s="1132" t="s">
        <v>5379</v>
      </c>
      <c r="O163" s="1131" t="s">
        <v>5380</v>
      </c>
      <c r="P163" s="1114" t="s">
        <v>5381</v>
      </c>
      <c r="Q163" s="1135" t="s">
        <v>5382</v>
      </c>
      <c r="R163" s="1114" t="s">
        <v>5383</v>
      </c>
      <c r="S163" s="1135" t="s">
        <v>5384</v>
      </c>
      <c r="T163" s="1114" t="s">
        <v>5385</v>
      </c>
      <c r="U163" s="1135" t="s">
        <v>5386</v>
      </c>
      <c r="V163" s="1114" t="s">
        <v>5387</v>
      </c>
      <c r="W163" s="1135" t="s">
        <v>5388</v>
      </c>
      <c r="X163" s="1114" t="s">
        <v>5389</v>
      </c>
      <c r="Y163" s="1135" t="s">
        <v>5390</v>
      </c>
      <c r="Z163" s="1114" t="s">
        <v>5391</v>
      </c>
      <c r="AA163" s="1135" t="s">
        <v>5392</v>
      </c>
      <c r="AB163" s="1114" t="s">
        <v>5393</v>
      </c>
      <c r="AC163" s="1135" t="s">
        <v>5394</v>
      </c>
      <c r="AD163" s="1114" t="s">
        <v>5395</v>
      </c>
      <c r="AE163" s="1135" t="s">
        <v>5396</v>
      </c>
      <c r="AF163" s="1114" t="s">
        <v>5397</v>
      </c>
      <c r="AG163" s="1135" t="s">
        <v>5398</v>
      </c>
      <c r="AH163" s="1114" t="s">
        <v>5399</v>
      </c>
      <c r="AI163" s="1135" t="s">
        <v>5400</v>
      </c>
      <c r="AJ163" s="1114" t="s">
        <v>5401</v>
      </c>
      <c r="AK163" s="1135" t="s">
        <v>5402</v>
      </c>
      <c r="AL163" s="1161" t="s">
        <v>5403</v>
      </c>
      <c r="AM163" s="1115" t="s">
        <v>5404</v>
      </c>
      <c r="AN163" s="1114" t="s">
        <v>5405</v>
      </c>
      <c r="AO163" s="1162" t="s">
        <v>5406</v>
      </c>
      <c r="AP163" s="1161" t="s">
        <v>5407</v>
      </c>
      <c r="AQ163" s="1115" t="s">
        <v>5408</v>
      </c>
      <c r="AR163" s="1134" t="s">
        <v>5409</v>
      </c>
      <c r="AS163" s="1162" t="s">
        <v>5410</v>
      </c>
      <c r="AT163" s="1161" t="s">
        <v>5411</v>
      </c>
      <c r="AU163" s="1162" t="s">
        <v>5412</v>
      </c>
      <c r="AV163" s="1161" t="s">
        <v>5413</v>
      </c>
      <c r="AW163" s="1115" t="s">
        <v>5414</v>
      </c>
      <c r="AX163" s="1161" t="s">
        <v>5415</v>
      </c>
      <c r="AY163" s="1115" t="s">
        <v>5416</v>
      </c>
      <c r="AZ163" s="1197" t="e">
        <f t="shared" si="318"/>
        <v>#VALUE!</v>
      </c>
      <c r="BA163" s="1197"/>
      <c r="BB163" s="1197"/>
      <c r="BC163" s="1197"/>
      <c r="BD163" s="1197"/>
      <c r="BE163" s="1197"/>
      <c r="BF163" s="1197"/>
      <c r="BG163" s="1197"/>
      <c r="BH163" s="1191"/>
      <c r="BI163" s="1191"/>
      <c r="BJ163" s="1191"/>
      <c r="BK163" s="1191"/>
      <c r="BR163" s="1191"/>
      <c r="BS163" s="1191"/>
      <c r="BT163" s="1191"/>
      <c r="BU163" s="1547"/>
      <c r="BV163" s="1547"/>
      <c r="CB163" s="2195" t="str">
        <f t="shared" si="319"/>
        <v xml:space="preserve"> * El total de exámenes confirmados positivos por ISP NO DEBE SUPERAR el total de exámenes procesados. </v>
      </c>
      <c r="CC163" s="2195" t="e">
        <f t="shared" si="320"/>
        <v>#VALUE!</v>
      </c>
      <c r="CD163" s="2195" t="e">
        <f t="shared" si="321"/>
        <v>#VALUE!</v>
      </c>
      <c r="CE163" s="2195" t="e">
        <f t="shared" si="322"/>
        <v>#VALUE!</v>
      </c>
      <c r="CF163" s="2195" t="e">
        <f t="shared" si="323"/>
        <v>#VALUE!</v>
      </c>
      <c r="CG163" s="2195" t="str">
        <f t="shared" si="324"/>
        <v xml:space="preserve"> * Los exámenes procesados de personas pertenecientes a Pueblos originarios NO PUEDE Superar al total de Procesados. </v>
      </c>
      <c r="CH163" s="2195" t="str">
        <f t="shared" si="325"/>
        <v xml:space="preserve"> * Los exámenes confirmados positivos por ISP de personas pertenecientes a Pueblos originarios NO PUEDE Superar al total de Procesados. </v>
      </c>
      <c r="CI163" s="2195" t="str">
        <f t="shared" si="326"/>
        <v xml:space="preserve"> * Los exámenes procesados de personas pertenecientes a Pueblos migrantes NO PUEDE Superar al total de Procesados. </v>
      </c>
      <c r="CJ163" s="2195" t="str">
        <f t="shared" si="327"/>
        <v xml:space="preserve"> * Los exámenes confirmados positivos por ISP de personas pertenecientes a Pueblos Migrantes NO PUEDE Superar al total de Procesados. </v>
      </c>
      <c r="CK163" s="2195"/>
      <c r="CL163" s="2195"/>
      <c r="CM163" s="2195"/>
      <c r="CN163" s="2195"/>
      <c r="CO163" s="2195"/>
      <c r="CP163" s="2195"/>
      <c r="CQ163" s="2195"/>
      <c r="CR163" s="2195"/>
      <c r="CS163" s="2195"/>
      <c r="CT163" s="2195"/>
      <c r="CU163" s="2195"/>
      <c r="CV163" s="2195"/>
      <c r="CW163" s="2195"/>
      <c r="CX163" s="2195" t="str">
        <f t="shared" si="328"/>
        <v/>
      </c>
      <c r="CY163" s="2195" t="str">
        <f t="shared" si="329"/>
        <v/>
      </c>
      <c r="CZ163" s="2195"/>
      <c r="DA163" s="2195"/>
      <c r="DB163" s="1446">
        <f t="shared" si="330"/>
        <v>1</v>
      </c>
      <c r="DC163" s="1446" t="e">
        <f t="shared" si="331"/>
        <v>#VALUE!</v>
      </c>
      <c r="DD163" s="1446" t="e">
        <f t="shared" si="332"/>
        <v>#VALUE!</v>
      </c>
      <c r="DE163" s="1446" t="e">
        <f t="shared" si="333"/>
        <v>#VALUE!</v>
      </c>
      <c r="DF163" s="1446" t="e">
        <f t="shared" si="334"/>
        <v>#VALUE!</v>
      </c>
      <c r="DG163" s="1446">
        <f t="shared" si="335"/>
        <v>1</v>
      </c>
      <c r="DH163" s="1446">
        <f t="shared" si="336"/>
        <v>1</v>
      </c>
      <c r="DI163" s="1446">
        <f t="shared" si="337"/>
        <v>1</v>
      </c>
      <c r="DJ163" s="1446">
        <f t="shared" si="338"/>
        <v>1</v>
      </c>
      <c r="DK163" s="1446"/>
      <c r="DL163" s="1446"/>
      <c r="DM163" s="1446"/>
      <c r="DN163" s="1446"/>
      <c r="DO163" s="1446"/>
      <c r="DP163" s="1446"/>
      <c r="DQ163" s="1446"/>
      <c r="DR163" s="1446"/>
      <c r="DS163" s="1446"/>
      <c r="DT163" s="1446"/>
      <c r="DU163" s="1446"/>
      <c r="DV163" s="1446"/>
      <c r="DW163" s="1446"/>
      <c r="DX163" s="1446">
        <f t="shared" si="339"/>
        <v>0</v>
      </c>
      <c r="DY163" s="1446">
        <f t="shared" si="339"/>
        <v>0</v>
      </c>
    </row>
    <row r="164" spans="1:131" ht="16.2" customHeight="1" x14ac:dyDescent="0.3">
      <c r="A164" s="7258">
        <v>11052900</v>
      </c>
      <c r="B164" s="10010" t="s">
        <v>1800</v>
      </c>
      <c r="C164" s="10011"/>
      <c r="D164" s="1335" t="s">
        <v>5369</v>
      </c>
      <c r="E164" s="1163" t="s">
        <v>5370</v>
      </c>
      <c r="F164" s="1114" t="s">
        <v>5371</v>
      </c>
      <c r="G164" s="1135" t="s">
        <v>5372</v>
      </c>
      <c r="H164" s="1114" t="s">
        <v>5373</v>
      </c>
      <c r="I164" s="1135" t="s">
        <v>5374</v>
      </c>
      <c r="J164" s="1114" t="s">
        <v>5375</v>
      </c>
      <c r="K164" s="1135" t="s">
        <v>5376</v>
      </c>
      <c r="L164" s="1114" t="s">
        <v>5377</v>
      </c>
      <c r="M164" s="1135" t="s">
        <v>5378</v>
      </c>
      <c r="N164" s="1114" t="s">
        <v>5379</v>
      </c>
      <c r="O164" s="1135" t="s">
        <v>5380</v>
      </c>
      <c r="P164" s="1114" t="s">
        <v>5381</v>
      </c>
      <c r="Q164" s="1135" t="s">
        <v>5382</v>
      </c>
      <c r="R164" s="1114" t="s">
        <v>5383</v>
      </c>
      <c r="S164" s="1135" t="s">
        <v>5384</v>
      </c>
      <c r="T164" s="1114" t="s">
        <v>5385</v>
      </c>
      <c r="U164" s="1135" t="s">
        <v>5386</v>
      </c>
      <c r="V164" s="1114" t="s">
        <v>5387</v>
      </c>
      <c r="W164" s="1135" t="s">
        <v>5388</v>
      </c>
      <c r="X164" s="1114" t="s">
        <v>5389</v>
      </c>
      <c r="Y164" s="1135" t="s">
        <v>5390</v>
      </c>
      <c r="Z164" s="1114" t="s">
        <v>5391</v>
      </c>
      <c r="AA164" s="1135" t="s">
        <v>5392</v>
      </c>
      <c r="AB164" s="1114" t="s">
        <v>5393</v>
      </c>
      <c r="AC164" s="1135" t="s">
        <v>5394</v>
      </c>
      <c r="AD164" s="1114" t="s">
        <v>5395</v>
      </c>
      <c r="AE164" s="1135" t="s">
        <v>5396</v>
      </c>
      <c r="AF164" s="1114" t="s">
        <v>5397</v>
      </c>
      <c r="AG164" s="1135" t="s">
        <v>5398</v>
      </c>
      <c r="AH164" s="1114" t="s">
        <v>5399</v>
      </c>
      <c r="AI164" s="1135" t="s">
        <v>5400</v>
      </c>
      <c r="AJ164" s="1114" t="s">
        <v>5401</v>
      </c>
      <c r="AK164" s="1135" t="s">
        <v>5402</v>
      </c>
      <c r="AL164" s="1164" t="s">
        <v>5403</v>
      </c>
      <c r="AM164" s="1165" t="s">
        <v>5404</v>
      </c>
      <c r="AN164" s="1166" t="s">
        <v>5405</v>
      </c>
      <c r="AO164" s="1162" t="s">
        <v>5406</v>
      </c>
      <c r="AP164" s="1161" t="s">
        <v>5407</v>
      </c>
      <c r="AQ164" s="1115" t="s">
        <v>5408</v>
      </c>
      <c r="AR164" s="1134" t="s">
        <v>5409</v>
      </c>
      <c r="AS164" s="1162" t="s">
        <v>5410</v>
      </c>
      <c r="AT164" s="1161" t="s">
        <v>5411</v>
      </c>
      <c r="AU164" s="1162" t="s">
        <v>5412</v>
      </c>
      <c r="AV164" s="1161" t="s">
        <v>5413</v>
      </c>
      <c r="AW164" s="1115" t="s">
        <v>5414</v>
      </c>
      <c r="AX164" s="1161" t="s">
        <v>5415</v>
      </c>
      <c r="AY164" s="1115" t="s">
        <v>5416</v>
      </c>
      <c r="AZ164" s="1197" t="e">
        <f t="shared" si="318"/>
        <v>#VALUE!</v>
      </c>
      <c r="BA164" s="1197"/>
      <c r="BB164" s="1197"/>
      <c r="BC164" s="1197"/>
      <c r="BD164" s="1197"/>
      <c r="BE164" s="1197"/>
      <c r="BF164" s="1197"/>
      <c r="BG164" s="1197"/>
      <c r="BH164" s="1191"/>
      <c r="BI164" s="1191"/>
      <c r="BJ164" s="1191"/>
      <c r="BK164" s="1191"/>
      <c r="BR164" s="1191"/>
      <c r="BS164" s="1191"/>
      <c r="BT164" s="1191"/>
      <c r="BU164" s="1547"/>
      <c r="BV164" s="1547"/>
      <c r="CB164" s="2195" t="str">
        <f t="shared" si="319"/>
        <v xml:space="preserve"> * El total de exámenes confirmados positivos por ISP NO DEBE SUPERAR el total de exámenes procesados. </v>
      </c>
      <c r="CC164" s="2195" t="e">
        <f t="shared" si="320"/>
        <v>#VALUE!</v>
      </c>
      <c r="CD164" s="2195" t="e">
        <f t="shared" si="321"/>
        <v>#VALUE!</v>
      </c>
      <c r="CE164" s="2195" t="e">
        <f t="shared" si="322"/>
        <v>#VALUE!</v>
      </c>
      <c r="CF164" s="2195" t="e">
        <f t="shared" si="323"/>
        <v>#VALUE!</v>
      </c>
      <c r="CG164" s="2195" t="str">
        <f t="shared" si="324"/>
        <v xml:space="preserve"> * Los exámenes procesados de personas pertenecientes a Pueblos originarios NO PUEDE Superar al total de Procesados. </v>
      </c>
      <c r="CH164" s="2195" t="str">
        <f t="shared" si="325"/>
        <v xml:space="preserve"> * Los exámenes confirmados positivos por ISP de personas pertenecientes a Pueblos originarios NO PUEDE Superar al total de Procesados. </v>
      </c>
      <c r="CI164" s="2195" t="str">
        <f t="shared" si="326"/>
        <v xml:space="preserve"> * Los exámenes procesados de personas pertenecientes a Pueblos migrantes NO PUEDE Superar al total de Procesados. </v>
      </c>
      <c r="CJ164" s="2195" t="str">
        <f t="shared" si="327"/>
        <v xml:space="preserve"> * Los exámenes confirmados positivos por ISP de personas pertenecientes a Pueblos Migrantes NO PUEDE Superar al total de Procesados. </v>
      </c>
      <c r="CK164" s="2195"/>
      <c r="CL164" s="2195"/>
      <c r="CM164" s="2195"/>
      <c r="CN164" s="2195"/>
      <c r="CO164" s="2195"/>
      <c r="CP164" s="2195"/>
      <c r="CQ164" s="2195"/>
      <c r="CR164" s="2195"/>
      <c r="CS164" s="2195"/>
      <c r="CT164" s="2195"/>
      <c r="CU164" s="2195"/>
      <c r="CV164" s="2195"/>
      <c r="CW164" s="2195"/>
      <c r="CX164" s="2195" t="str">
        <f t="shared" si="328"/>
        <v/>
      </c>
      <c r="CY164" s="2195" t="str">
        <f t="shared" si="329"/>
        <v/>
      </c>
      <c r="CZ164" s="2195"/>
      <c r="DA164" s="2195"/>
      <c r="DB164" s="1446">
        <f t="shared" si="330"/>
        <v>1</v>
      </c>
      <c r="DC164" s="1446" t="e">
        <f t="shared" si="331"/>
        <v>#VALUE!</v>
      </c>
      <c r="DD164" s="1446" t="e">
        <f t="shared" si="332"/>
        <v>#VALUE!</v>
      </c>
      <c r="DE164" s="1446" t="e">
        <f t="shared" si="333"/>
        <v>#VALUE!</v>
      </c>
      <c r="DF164" s="1446" t="e">
        <f t="shared" si="334"/>
        <v>#VALUE!</v>
      </c>
      <c r="DG164" s="1446">
        <f t="shared" si="335"/>
        <v>1</v>
      </c>
      <c r="DH164" s="1446">
        <f t="shared" si="336"/>
        <v>1</v>
      </c>
      <c r="DI164" s="1446">
        <f t="shared" si="337"/>
        <v>1</v>
      </c>
      <c r="DJ164" s="1446">
        <f t="shared" si="338"/>
        <v>1</v>
      </c>
      <c r="DK164" s="1446"/>
      <c r="DL164" s="1446"/>
      <c r="DM164" s="1446"/>
      <c r="DN164" s="1446"/>
      <c r="DO164" s="1446"/>
      <c r="DP164" s="1446"/>
      <c r="DQ164" s="1446"/>
      <c r="DR164" s="1446"/>
      <c r="DS164" s="1446"/>
      <c r="DT164" s="1446"/>
      <c r="DU164" s="1446"/>
      <c r="DV164" s="1446"/>
      <c r="DW164" s="1446"/>
      <c r="DX164" s="1446">
        <f t="shared" si="339"/>
        <v>0</v>
      </c>
      <c r="DY164" s="1446">
        <f t="shared" si="339"/>
        <v>0</v>
      </c>
    </row>
    <row r="165" spans="1:131" ht="16.2" customHeight="1" x14ac:dyDescent="0.3">
      <c r="A165" s="7258">
        <v>11053000</v>
      </c>
      <c r="B165" s="10010" t="s">
        <v>1829</v>
      </c>
      <c r="C165" s="10011"/>
      <c r="D165" s="1335" t="s">
        <v>5369</v>
      </c>
      <c r="E165" s="843" t="s">
        <v>5370</v>
      </c>
      <c r="F165" s="1114" t="s">
        <v>5371</v>
      </c>
      <c r="G165" s="1135" t="s">
        <v>5372</v>
      </c>
      <c r="H165" s="1114" t="s">
        <v>5373</v>
      </c>
      <c r="I165" s="1135" t="s">
        <v>5374</v>
      </c>
      <c r="J165" s="1114" t="s">
        <v>5375</v>
      </c>
      <c r="K165" s="1135" t="s">
        <v>5376</v>
      </c>
      <c r="L165" s="1114" t="s">
        <v>5377</v>
      </c>
      <c r="M165" s="1135" t="s">
        <v>5378</v>
      </c>
      <c r="N165" s="1114" t="s">
        <v>5379</v>
      </c>
      <c r="O165" s="1135" t="s">
        <v>5380</v>
      </c>
      <c r="P165" s="1114" t="s">
        <v>5381</v>
      </c>
      <c r="Q165" s="1135" t="s">
        <v>5382</v>
      </c>
      <c r="R165" s="1114" t="s">
        <v>5383</v>
      </c>
      <c r="S165" s="1135" t="s">
        <v>5384</v>
      </c>
      <c r="T165" s="1114" t="s">
        <v>5385</v>
      </c>
      <c r="U165" s="1135" t="s">
        <v>5386</v>
      </c>
      <c r="V165" s="1114" t="s">
        <v>5387</v>
      </c>
      <c r="W165" s="1135" t="s">
        <v>5388</v>
      </c>
      <c r="X165" s="1114" t="s">
        <v>5389</v>
      </c>
      <c r="Y165" s="1135" t="s">
        <v>5390</v>
      </c>
      <c r="Z165" s="1114" t="s">
        <v>5391</v>
      </c>
      <c r="AA165" s="1135" t="s">
        <v>5392</v>
      </c>
      <c r="AB165" s="1114" t="s">
        <v>5393</v>
      </c>
      <c r="AC165" s="1135" t="s">
        <v>5394</v>
      </c>
      <c r="AD165" s="1114" t="s">
        <v>5395</v>
      </c>
      <c r="AE165" s="1135" t="s">
        <v>5396</v>
      </c>
      <c r="AF165" s="1114" t="s">
        <v>5397</v>
      </c>
      <c r="AG165" s="1135" t="s">
        <v>5398</v>
      </c>
      <c r="AH165" s="1114" t="s">
        <v>5399</v>
      </c>
      <c r="AI165" s="1135" t="s">
        <v>5400</v>
      </c>
      <c r="AJ165" s="1114" t="s">
        <v>5401</v>
      </c>
      <c r="AK165" s="1135" t="s">
        <v>5402</v>
      </c>
      <c r="AL165" s="1161" t="s">
        <v>5403</v>
      </c>
      <c r="AM165" s="1115" t="s">
        <v>5404</v>
      </c>
      <c r="AN165" s="1114" t="s">
        <v>5405</v>
      </c>
      <c r="AO165" s="1162" t="s">
        <v>5406</v>
      </c>
      <c r="AP165" s="1161" t="s">
        <v>5407</v>
      </c>
      <c r="AQ165" s="1115" t="s">
        <v>5408</v>
      </c>
      <c r="AR165" s="1134" t="s">
        <v>5409</v>
      </c>
      <c r="AS165" s="1162" t="s">
        <v>5410</v>
      </c>
      <c r="AT165" s="1161" t="s">
        <v>5411</v>
      </c>
      <c r="AU165" s="1162" t="s">
        <v>5412</v>
      </c>
      <c r="AV165" s="1161" t="s">
        <v>5413</v>
      </c>
      <c r="AW165" s="1115" t="s">
        <v>5414</v>
      </c>
      <c r="AX165" s="1161" t="s">
        <v>5415</v>
      </c>
      <c r="AY165" s="1115" t="s">
        <v>5416</v>
      </c>
      <c r="AZ165" s="1197" t="e">
        <f t="shared" si="318"/>
        <v>#VALUE!</v>
      </c>
      <c r="BA165" s="1197"/>
      <c r="BB165" s="1197"/>
      <c r="BC165" s="1197"/>
      <c r="BD165" s="1197"/>
      <c r="BE165" s="1197"/>
      <c r="BF165" s="1197"/>
      <c r="BG165" s="1197"/>
      <c r="BH165" s="1191"/>
      <c r="BI165" s="1191"/>
      <c r="BJ165" s="1191"/>
      <c r="BK165" s="1191"/>
      <c r="BR165" s="1191"/>
      <c r="BS165" s="1191"/>
      <c r="BT165" s="1191"/>
      <c r="BU165" s="1547"/>
      <c r="BV165" s="1547"/>
      <c r="CB165" s="2195" t="str">
        <f t="shared" si="319"/>
        <v xml:space="preserve"> * El total de exámenes confirmados positivos por ISP NO DEBE SUPERAR el total de exámenes procesados. </v>
      </c>
      <c r="CC165" s="2195" t="e">
        <f t="shared" si="320"/>
        <v>#VALUE!</v>
      </c>
      <c r="CD165" s="2195" t="e">
        <f t="shared" si="321"/>
        <v>#VALUE!</v>
      </c>
      <c r="CE165" s="2195" t="e">
        <f t="shared" si="322"/>
        <v>#VALUE!</v>
      </c>
      <c r="CF165" s="2195" t="e">
        <f t="shared" si="323"/>
        <v>#VALUE!</v>
      </c>
      <c r="CG165" s="2195" t="str">
        <f t="shared" si="324"/>
        <v xml:space="preserve"> * Los exámenes procesados de personas pertenecientes a Pueblos originarios NO PUEDE Superar al total de Procesados. </v>
      </c>
      <c r="CH165" s="2195" t="str">
        <f t="shared" si="325"/>
        <v xml:space="preserve"> * Los exámenes confirmados positivos por ISP de personas pertenecientes a Pueblos originarios NO PUEDE Superar al total de Procesados. </v>
      </c>
      <c r="CI165" s="2195" t="str">
        <f t="shared" si="326"/>
        <v xml:space="preserve"> * Los exámenes procesados de personas pertenecientes a Pueblos migrantes NO PUEDE Superar al total de Procesados. </v>
      </c>
      <c r="CJ165" s="2195" t="str">
        <f t="shared" si="327"/>
        <v xml:space="preserve"> * Los exámenes confirmados positivos por ISP de personas pertenecientes a Pueblos Migrantes NO PUEDE Superar al total de Procesados. </v>
      </c>
      <c r="CK165" s="2195"/>
      <c r="CL165" s="2195"/>
      <c r="CM165" s="2195"/>
      <c r="CN165" s="2195"/>
      <c r="CO165" s="2195"/>
      <c r="CP165" s="2195"/>
      <c r="CQ165" s="2195"/>
      <c r="CR165" s="2195"/>
      <c r="CS165" s="2195"/>
      <c r="CT165" s="2195"/>
      <c r="CU165" s="2195"/>
      <c r="CV165" s="2195"/>
      <c r="CW165" s="2195"/>
      <c r="CX165" s="2195" t="str">
        <f t="shared" si="328"/>
        <v/>
      </c>
      <c r="CY165" s="2195" t="str">
        <f t="shared" si="329"/>
        <v/>
      </c>
      <c r="CZ165" s="2195"/>
      <c r="DA165" s="2195"/>
      <c r="DB165" s="1446">
        <f t="shared" si="330"/>
        <v>1</v>
      </c>
      <c r="DC165" s="1446" t="e">
        <f t="shared" si="331"/>
        <v>#VALUE!</v>
      </c>
      <c r="DD165" s="1446" t="e">
        <f t="shared" si="332"/>
        <v>#VALUE!</v>
      </c>
      <c r="DE165" s="1446" t="e">
        <f t="shared" si="333"/>
        <v>#VALUE!</v>
      </c>
      <c r="DF165" s="1446" t="e">
        <f t="shared" si="334"/>
        <v>#VALUE!</v>
      </c>
      <c r="DG165" s="1446">
        <f t="shared" si="335"/>
        <v>1</v>
      </c>
      <c r="DH165" s="1446">
        <f t="shared" si="336"/>
        <v>1</v>
      </c>
      <c r="DI165" s="1446">
        <f t="shared" si="337"/>
        <v>1</v>
      </c>
      <c r="DJ165" s="1446">
        <f t="shared" si="338"/>
        <v>1</v>
      </c>
      <c r="DK165" s="1446"/>
      <c r="DL165" s="1446"/>
      <c r="DM165" s="1446"/>
      <c r="DN165" s="1446"/>
      <c r="DO165" s="1446"/>
      <c r="DP165" s="1446"/>
      <c r="DQ165" s="1446"/>
      <c r="DR165" s="1446"/>
      <c r="DS165" s="1446"/>
      <c r="DT165" s="1446"/>
      <c r="DU165" s="1446"/>
      <c r="DV165" s="1446"/>
      <c r="DW165" s="1446"/>
      <c r="DX165" s="1446">
        <f t="shared" si="339"/>
        <v>0</v>
      </c>
      <c r="DY165" s="1446">
        <f t="shared" si="339"/>
        <v>0</v>
      </c>
    </row>
    <row r="166" spans="1:131" ht="17.25" customHeight="1" x14ac:dyDescent="0.3">
      <c r="A166" s="7258">
        <v>11054500</v>
      </c>
      <c r="B166" s="10013" t="s">
        <v>1830</v>
      </c>
      <c r="C166" s="10014"/>
      <c r="D166" s="1335" t="s">
        <v>5369</v>
      </c>
      <c r="E166" s="843" t="s">
        <v>5370</v>
      </c>
      <c r="F166" s="1132" t="s">
        <v>5371</v>
      </c>
      <c r="G166" s="1131" t="s">
        <v>5372</v>
      </c>
      <c r="H166" s="1132" t="s">
        <v>5373</v>
      </c>
      <c r="I166" s="1131" t="s">
        <v>5374</v>
      </c>
      <c r="J166" s="1132" t="s">
        <v>5375</v>
      </c>
      <c r="K166" s="1131" t="s">
        <v>5376</v>
      </c>
      <c r="L166" s="1132" t="s">
        <v>5377</v>
      </c>
      <c r="M166" s="1131" t="s">
        <v>5378</v>
      </c>
      <c r="N166" s="1132" t="s">
        <v>5379</v>
      </c>
      <c r="O166" s="1131" t="s">
        <v>5380</v>
      </c>
      <c r="P166" s="1114" t="s">
        <v>5381</v>
      </c>
      <c r="Q166" s="1135" t="s">
        <v>5382</v>
      </c>
      <c r="R166" s="1114" t="s">
        <v>5383</v>
      </c>
      <c r="S166" s="1135" t="s">
        <v>5384</v>
      </c>
      <c r="T166" s="1114" t="s">
        <v>5385</v>
      </c>
      <c r="U166" s="1135" t="s">
        <v>5386</v>
      </c>
      <c r="V166" s="1114" t="s">
        <v>5387</v>
      </c>
      <c r="W166" s="1135" t="s">
        <v>5388</v>
      </c>
      <c r="X166" s="1114" t="s">
        <v>5389</v>
      </c>
      <c r="Y166" s="1135" t="s">
        <v>5390</v>
      </c>
      <c r="Z166" s="1114" t="s">
        <v>5391</v>
      </c>
      <c r="AA166" s="1135" t="s">
        <v>5392</v>
      </c>
      <c r="AB166" s="1114" t="s">
        <v>5393</v>
      </c>
      <c r="AC166" s="1135" t="s">
        <v>5394</v>
      </c>
      <c r="AD166" s="1114" t="s">
        <v>5395</v>
      </c>
      <c r="AE166" s="1135" t="s">
        <v>5396</v>
      </c>
      <c r="AF166" s="1114" t="s">
        <v>5397</v>
      </c>
      <c r="AG166" s="1135" t="s">
        <v>5398</v>
      </c>
      <c r="AH166" s="1114" t="s">
        <v>5399</v>
      </c>
      <c r="AI166" s="1135" t="s">
        <v>5400</v>
      </c>
      <c r="AJ166" s="1114" t="s">
        <v>5401</v>
      </c>
      <c r="AK166" s="1135" t="s">
        <v>5402</v>
      </c>
      <c r="AL166" s="1161" t="s">
        <v>5403</v>
      </c>
      <c r="AM166" s="1115" t="s">
        <v>5404</v>
      </c>
      <c r="AN166" s="1114" t="s">
        <v>5405</v>
      </c>
      <c r="AO166" s="1162" t="s">
        <v>5406</v>
      </c>
      <c r="AP166" s="1161" t="s">
        <v>5407</v>
      </c>
      <c r="AQ166" s="1115" t="s">
        <v>5408</v>
      </c>
      <c r="AR166" s="1134" t="s">
        <v>5409</v>
      </c>
      <c r="AS166" s="1162" t="s">
        <v>5410</v>
      </c>
      <c r="AT166" s="1161" t="s">
        <v>5411</v>
      </c>
      <c r="AU166" s="1162" t="s">
        <v>5412</v>
      </c>
      <c r="AV166" s="1161" t="s">
        <v>5413</v>
      </c>
      <c r="AW166" s="1115" t="s">
        <v>5414</v>
      </c>
      <c r="AX166" s="1161" t="s">
        <v>5415</v>
      </c>
      <c r="AY166" s="1115" t="s">
        <v>5416</v>
      </c>
      <c r="AZ166" s="1197" t="e">
        <f t="shared" si="318"/>
        <v>#VALUE!</v>
      </c>
      <c r="BA166" s="1197"/>
      <c r="BB166" s="1197"/>
      <c r="BC166" s="1197"/>
      <c r="BD166" s="1197"/>
      <c r="BE166" s="1197"/>
      <c r="BF166" s="1197"/>
      <c r="BG166" s="1197"/>
      <c r="BH166" s="1191"/>
      <c r="BI166" s="1191"/>
      <c r="BJ166" s="1191"/>
      <c r="BK166" s="1191"/>
      <c r="BR166" s="1191"/>
      <c r="BS166" s="1191"/>
      <c r="BT166" s="1191"/>
      <c r="BU166" s="1547"/>
      <c r="BV166" s="1547"/>
      <c r="CB166" s="2195" t="str">
        <f t="shared" si="319"/>
        <v xml:space="preserve"> * El total de exámenes confirmados positivos por ISP NO DEBE SUPERAR el total de exámenes procesados. </v>
      </c>
      <c r="CC166" s="2195" t="e">
        <f t="shared" si="320"/>
        <v>#VALUE!</v>
      </c>
      <c r="CD166" s="2195" t="e">
        <f t="shared" si="321"/>
        <v>#VALUE!</v>
      </c>
      <c r="CE166" s="2195" t="e">
        <f t="shared" si="322"/>
        <v>#VALUE!</v>
      </c>
      <c r="CF166" s="2195" t="e">
        <f t="shared" si="323"/>
        <v>#VALUE!</v>
      </c>
      <c r="CG166" s="2195" t="str">
        <f t="shared" si="324"/>
        <v xml:space="preserve"> * Los exámenes procesados de personas pertenecientes a Pueblos originarios NO PUEDE Superar al total de Procesados. </v>
      </c>
      <c r="CH166" s="2195" t="str">
        <f t="shared" si="325"/>
        <v xml:space="preserve"> * Los exámenes confirmados positivos por ISP de personas pertenecientes a Pueblos originarios NO PUEDE Superar al total de Procesados. </v>
      </c>
      <c r="CI166" s="2195" t="str">
        <f t="shared" si="326"/>
        <v xml:space="preserve"> * Los exámenes procesados de personas pertenecientes a Pueblos migrantes NO PUEDE Superar al total de Procesados. </v>
      </c>
      <c r="CJ166" s="2195" t="str">
        <f t="shared" si="327"/>
        <v xml:space="preserve"> * Los exámenes confirmados positivos por ISP de personas pertenecientes a Pueblos Migrantes NO PUEDE Superar al total de Procesados. </v>
      </c>
      <c r="CK166" s="2195"/>
      <c r="CL166" s="2195"/>
      <c r="CM166" s="2195"/>
      <c r="CN166" s="2195"/>
      <c r="CO166" s="2195"/>
      <c r="CP166" s="2195"/>
      <c r="CQ166" s="2195"/>
      <c r="CR166" s="2195"/>
      <c r="CS166" s="2195"/>
      <c r="CT166" s="2195"/>
      <c r="CU166" s="2195"/>
      <c r="CV166" s="2195"/>
      <c r="CW166" s="2195"/>
      <c r="CX166" s="2195" t="str">
        <f t="shared" si="328"/>
        <v/>
      </c>
      <c r="CY166" s="2195" t="str">
        <f t="shared" si="329"/>
        <v/>
      </c>
      <c r="CZ166" s="2195"/>
      <c r="DA166" s="2195"/>
      <c r="DB166" s="1446">
        <f t="shared" si="330"/>
        <v>1</v>
      </c>
      <c r="DC166" s="1446" t="e">
        <f t="shared" si="331"/>
        <v>#VALUE!</v>
      </c>
      <c r="DD166" s="1446" t="e">
        <f t="shared" si="332"/>
        <v>#VALUE!</v>
      </c>
      <c r="DE166" s="1446" t="e">
        <f t="shared" si="333"/>
        <v>#VALUE!</v>
      </c>
      <c r="DF166" s="1446" t="e">
        <f t="shared" si="334"/>
        <v>#VALUE!</v>
      </c>
      <c r="DG166" s="1446">
        <f t="shared" si="335"/>
        <v>1</v>
      </c>
      <c r="DH166" s="1446">
        <f t="shared" si="336"/>
        <v>1</v>
      </c>
      <c r="DI166" s="1446">
        <f t="shared" si="337"/>
        <v>1</v>
      </c>
      <c r="DJ166" s="1446">
        <f t="shared" si="338"/>
        <v>1</v>
      </c>
      <c r="DK166" s="1446"/>
      <c r="DL166" s="1446"/>
      <c r="DM166" s="1446"/>
      <c r="DN166" s="1446"/>
      <c r="DO166" s="1446"/>
      <c r="DP166" s="1446"/>
      <c r="DQ166" s="1446"/>
      <c r="DR166" s="1446"/>
      <c r="DS166" s="1446"/>
      <c r="DT166" s="1446"/>
      <c r="DU166" s="1446"/>
      <c r="DV166" s="1446"/>
      <c r="DW166" s="1446"/>
      <c r="DX166" s="1446">
        <f t="shared" si="339"/>
        <v>0</v>
      </c>
      <c r="DY166" s="1446">
        <f t="shared" si="339"/>
        <v>0</v>
      </c>
    </row>
    <row r="167" spans="1:131" ht="16.2" customHeight="1" x14ac:dyDescent="0.3">
      <c r="A167" s="7258">
        <v>11054600</v>
      </c>
      <c r="B167" s="10010" t="s">
        <v>2184</v>
      </c>
      <c r="C167" s="10011"/>
      <c r="D167" s="1335" t="s">
        <v>5369</v>
      </c>
      <c r="E167" s="843" t="s">
        <v>5370</v>
      </c>
      <c r="F167" s="1132" t="s">
        <v>5371</v>
      </c>
      <c r="G167" s="1131" t="s">
        <v>5372</v>
      </c>
      <c r="H167" s="1132" t="s">
        <v>5373</v>
      </c>
      <c r="I167" s="1131" t="s">
        <v>5374</v>
      </c>
      <c r="J167" s="1132" t="s">
        <v>5375</v>
      </c>
      <c r="K167" s="1131" t="s">
        <v>5376</v>
      </c>
      <c r="L167" s="1132" t="s">
        <v>5377</v>
      </c>
      <c r="M167" s="1131" t="s">
        <v>5378</v>
      </c>
      <c r="N167" s="1132" t="s">
        <v>5379</v>
      </c>
      <c r="O167" s="1131" t="s">
        <v>5380</v>
      </c>
      <c r="P167" s="1114" t="s">
        <v>5381</v>
      </c>
      <c r="Q167" s="1135" t="s">
        <v>5382</v>
      </c>
      <c r="R167" s="1114" t="s">
        <v>5383</v>
      </c>
      <c r="S167" s="1135" t="s">
        <v>5384</v>
      </c>
      <c r="T167" s="1114" t="s">
        <v>5385</v>
      </c>
      <c r="U167" s="1135" t="s">
        <v>5386</v>
      </c>
      <c r="V167" s="1114" t="s">
        <v>5387</v>
      </c>
      <c r="W167" s="1135" t="s">
        <v>5388</v>
      </c>
      <c r="X167" s="1114" t="s">
        <v>5389</v>
      </c>
      <c r="Y167" s="1135" t="s">
        <v>5390</v>
      </c>
      <c r="Z167" s="1114" t="s">
        <v>5391</v>
      </c>
      <c r="AA167" s="1135" t="s">
        <v>5392</v>
      </c>
      <c r="AB167" s="1114" t="s">
        <v>5393</v>
      </c>
      <c r="AC167" s="1135" t="s">
        <v>5394</v>
      </c>
      <c r="AD167" s="1114" t="s">
        <v>5395</v>
      </c>
      <c r="AE167" s="1135" t="s">
        <v>5396</v>
      </c>
      <c r="AF167" s="1114" t="s">
        <v>5397</v>
      </c>
      <c r="AG167" s="1135" t="s">
        <v>5398</v>
      </c>
      <c r="AH167" s="1114" t="s">
        <v>5399</v>
      </c>
      <c r="AI167" s="1135" t="s">
        <v>5400</v>
      </c>
      <c r="AJ167" s="1114" t="s">
        <v>5401</v>
      </c>
      <c r="AK167" s="1135" t="s">
        <v>5402</v>
      </c>
      <c r="AL167" s="1161" t="s">
        <v>5403</v>
      </c>
      <c r="AM167" s="1115" t="s">
        <v>5404</v>
      </c>
      <c r="AN167" s="1114" t="s">
        <v>5405</v>
      </c>
      <c r="AO167" s="1162" t="s">
        <v>5406</v>
      </c>
      <c r="AP167" s="1161" t="s">
        <v>5407</v>
      </c>
      <c r="AQ167" s="1115" t="s">
        <v>5408</v>
      </c>
      <c r="AR167" s="1134" t="s">
        <v>5409</v>
      </c>
      <c r="AS167" s="1162" t="s">
        <v>5410</v>
      </c>
      <c r="AT167" s="1161" t="s">
        <v>5411</v>
      </c>
      <c r="AU167" s="1162" t="s">
        <v>5412</v>
      </c>
      <c r="AV167" s="1161" t="s">
        <v>5413</v>
      </c>
      <c r="AW167" s="1115" t="s">
        <v>5414</v>
      </c>
      <c r="AX167" s="1161" t="s">
        <v>5415</v>
      </c>
      <c r="AY167" s="1115" t="s">
        <v>5416</v>
      </c>
      <c r="AZ167" s="1197" t="e">
        <f t="shared" si="318"/>
        <v>#VALUE!</v>
      </c>
      <c r="BA167" s="1197"/>
      <c r="BB167" s="1197"/>
      <c r="BC167" s="1197"/>
      <c r="BD167" s="1197"/>
      <c r="BE167" s="1197"/>
      <c r="BF167" s="1197"/>
      <c r="BG167" s="1197"/>
      <c r="BH167" s="1191"/>
      <c r="BI167" s="1191"/>
      <c r="BJ167" s="1191"/>
      <c r="BK167" s="1191"/>
      <c r="BR167" s="1191"/>
      <c r="BS167" s="1191"/>
      <c r="BT167" s="1191"/>
      <c r="BU167" s="1547"/>
      <c r="BV167" s="1547"/>
      <c r="CB167" s="2195" t="str">
        <f t="shared" si="319"/>
        <v xml:space="preserve"> * El total de exámenes confirmados positivos por ISP NO DEBE SUPERAR el total de exámenes procesados. </v>
      </c>
      <c r="CC167" s="2195" t="e">
        <f t="shared" si="320"/>
        <v>#VALUE!</v>
      </c>
      <c r="CD167" s="2195" t="e">
        <f t="shared" si="321"/>
        <v>#VALUE!</v>
      </c>
      <c r="CE167" s="2195" t="e">
        <f t="shared" si="322"/>
        <v>#VALUE!</v>
      </c>
      <c r="CF167" s="2195" t="e">
        <f t="shared" si="323"/>
        <v>#VALUE!</v>
      </c>
      <c r="CG167" s="2195" t="str">
        <f t="shared" si="324"/>
        <v xml:space="preserve"> * Los exámenes procesados de personas pertenecientes a Pueblos originarios NO PUEDE Superar al total de Procesados. </v>
      </c>
      <c r="CH167" s="2195" t="str">
        <f t="shared" si="325"/>
        <v xml:space="preserve"> * Los exámenes confirmados positivos por ISP de personas pertenecientes a Pueblos originarios NO PUEDE Superar al total de Procesados. </v>
      </c>
      <c r="CI167" s="2195" t="str">
        <f t="shared" si="326"/>
        <v xml:space="preserve"> * Los exámenes procesados de personas pertenecientes a Pueblos migrantes NO PUEDE Superar al total de Procesados. </v>
      </c>
      <c r="CJ167" s="2195" t="str">
        <f t="shared" si="327"/>
        <v xml:space="preserve"> * Los exámenes confirmados positivos por ISP de personas pertenecientes a Pueblos Migrantes NO PUEDE Superar al total de Procesados. </v>
      </c>
      <c r="CK167" s="2195"/>
      <c r="CL167" s="2195"/>
      <c r="CM167" s="2195"/>
      <c r="CN167" s="2195"/>
      <c r="CO167" s="2195"/>
      <c r="CP167" s="2195"/>
      <c r="CQ167" s="2195"/>
      <c r="CR167" s="2195"/>
      <c r="CS167" s="2195"/>
      <c r="CT167" s="2195"/>
      <c r="CU167" s="2195"/>
      <c r="CV167" s="2195"/>
      <c r="CW167" s="2195"/>
      <c r="CX167" s="2195" t="str">
        <f t="shared" si="328"/>
        <v/>
      </c>
      <c r="CY167" s="2195" t="str">
        <f t="shared" si="329"/>
        <v/>
      </c>
      <c r="CZ167" s="2195"/>
      <c r="DA167" s="2195"/>
      <c r="DB167" s="1446">
        <f t="shared" si="330"/>
        <v>1</v>
      </c>
      <c r="DC167" s="1446" t="e">
        <f t="shared" si="331"/>
        <v>#VALUE!</v>
      </c>
      <c r="DD167" s="1446" t="e">
        <f t="shared" si="332"/>
        <v>#VALUE!</v>
      </c>
      <c r="DE167" s="1446" t="e">
        <f t="shared" si="333"/>
        <v>#VALUE!</v>
      </c>
      <c r="DF167" s="1446" t="e">
        <f t="shared" si="334"/>
        <v>#VALUE!</v>
      </c>
      <c r="DG167" s="1446">
        <f t="shared" si="335"/>
        <v>1</v>
      </c>
      <c r="DH167" s="1446">
        <f t="shared" si="336"/>
        <v>1</v>
      </c>
      <c r="DI167" s="1446">
        <f t="shared" si="337"/>
        <v>1</v>
      </c>
      <c r="DJ167" s="1446">
        <f t="shared" si="338"/>
        <v>1</v>
      </c>
      <c r="DK167" s="1446"/>
      <c r="DL167" s="1446"/>
      <c r="DM167" s="1446"/>
      <c r="DN167" s="1446"/>
      <c r="DO167" s="1446"/>
      <c r="DP167" s="1446"/>
      <c r="DQ167" s="1446"/>
      <c r="DR167" s="1446"/>
      <c r="DS167" s="1446"/>
      <c r="DT167" s="1446"/>
      <c r="DU167" s="1446"/>
      <c r="DV167" s="1446"/>
      <c r="DW167" s="1446"/>
      <c r="DX167" s="1446">
        <f t="shared" si="339"/>
        <v>0</v>
      </c>
      <c r="DY167" s="1446">
        <f t="shared" si="339"/>
        <v>0</v>
      </c>
    </row>
    <row r="168" spans="1:131" ht="16.2" customHeight="1" x14ac:dyDescent="0.3">
      <c r="A168" s="7258">
        <v>11053100</v>
      </c>
      <c r="B168" s="10015" t="s">
        <v>1831</v>
      </c>
      <c r="C168" s="10016"/>
      <c r="D168" s="1336" t="s">
        <v>5369</v>
      </c>
      <c r="E168" s="844" t="s">
        <v>5370</v>
      </c>
      <c r="F168" s="1167" t="s">
        <v>5371</v>
      </c>
      <c r="G168" s="115" t="s">
        <v>5372</v>
      </c>
      <c r="H168" s="1167" t="s">
        <v>5373</v>
      </c>
      <c r="I168" s="115" t="s">
        <v>5374</v>
      </c>
      <c r="J168" s="1167" t="s">
        <v>5375</v>
      </c>
      <c r="K168" s="115" t="s">
        <v>5376</v>
      </c>
      <c r="L168" s="1167" t="s">
        <v>5377</v>
      </c>
      <c r="M168" s="115" t="s">
        <v>5378</v>
      </c>
      <c r="N168" s="1167" t="s">
        <v>5379</v>
      </c>
      <c r="O168" s="115" t="s">
        <v>5380</v>
      </c>
      <c r="P168" s="1167" t="s">
        <v>5381</v>
      </c>
      <c r="Q168" s="115" t="s">
        <v>5382</v>
      </c>
      <c r="R168" s="1167" t="s">
        <v>5383</v>
      </c>
      <c r="S168" s="115" t="s">
        <v>5384</v>
      </c>
      <c r="T168" s="1167" t="s">
        <v>5385</v>
      </c>
      <c r="U168" s="115" t="s">
        <v>5386</v>
      </c>
      <c r="V168" s="1167" t="s">
        <v>5387</v>
      </c>
      <c r="W168" s="115" t="s">
        <v>5388</v>
      </c>
      <c r="X168" s="1167" t="s">
        <v>5389</v>
      </c>
      <c r="Y168" s="115" t="s">
        <v>5390</v>
      </c>
      <c r="Z168" s="1167" t="s">
        <v>5391</v>
      </c>
      <c r="AA168" s="115" t="s">
        <v>5392</v>
      </c>
      <c r="AB168" s="1167" t="s">
        <v>5393</v>
      </c>
      <c r="AC168" s="115" t="s">
        <v>5394</v>
      </c>
      <c r="AD168" s="1167" t="s">
        <v>5395</v>
      </c>
      <c r="AE168" s="115" t="s">
        <v>5396</v>
      </c>
      <c r="AF168" s="1167" t="s">
        <v>5397</v>
      </c>
      <c r="AG168" s="115" t="s">
        <v>5398</v>
      </c>
      <c r="AH168" s="1167" t="s">
        <v>5399</v>
      </c>
      <c r="AI168" s="115" t="s">
        <v>5400</v>
      </c>
      <c r="AJ168" s="1167" t="s">
        <v>5401</v>
      </c>
      <c r="AK168" s="115" t="s">
        <v>5402</v>
      </c>
      <c r="AL168" s="262" t="s">
        <v>5403</v>
      </c>
      <c r="AM168" s="164" t="s">
        <v>5404</v>
      </c>
      <c r="AN168" s="1167" t="s">
        <v>5405</v>
      </c>
      <c r="AO168" s="585" t="s">
        <v>5406</v>
      </c>
      <c r="AP168" s="262" t="s">
        <v>5407</v>
      </c>
      <c r="AQ168" s="164" t="s">
        <v>5408</v>
      </c>
      <c r="AR168" s="113" t="s">
        <v>5409</v>
      </c>
      <c r="AS168" s="585" t="s">
        <v>5410</v>
      </c>
      <c r="AT168" s="264" t="s">
        <v>5411</v>
      </c>
      <c r="AU168" s="254" t="s">
        <v>5412</v>
      </c>
      <c r="AV168" s="262" t="s">
        <v>5413</v>
      </c>
      <c r="AW168" s="164" t="s">
        <v>5414</v>
      </c>
      <c r="AX168" s="262" t="s">
        <v>5415</v>
      </c>
      <c r="AY168" s="164" t="s">
        <v>5416</v>
      </c>
      <c r="AZ168" s="1197" t="e">
        <f t="shared" si="318"/>
        <v>#VALUE!</v>
      </c>
      <c r="BA168" s="1197"/>
      <c r="BB168" s="1197"/>
      <c r="BC168" s="1197"/>
      <c r="BD168" s="1197"/>
      <c r="BE168" s="1197"/>
      <c r="BF168" s="1197"/>
      <c r="BG168" s="1197"/>
      <c r="BH168" s="1191"/>
      <c r="BI168" s="1191"/>
      <c r="BJ168" s="1191"/>
      <c r="BK168" s="1191"/>
      <c r="BR168" s="1191"/>
      <c r="BS168" s="1191"/>
      <c r="BT168" s="1191"/>
      <c r="BU168" s="1547"/>
      <c r="BV168" s="1547"/>
      <c r="CB168" s="2195" t="str">
        <f t="shared" si="319"/>
        <v xml:space="preserve"> * El total de exámenes confirmados positivos por ISP NO DEBE SUPERAR el total de exámenes procesados. </v>
      </c>
      <c r="CC168" s="2195" t="e">
        <f t="shared" si="320"/>
        <v>#VALUE!</v>
      </c>
      <c r="CD168" s="2195" t="e">
        <f t="shared" si="321"/>
        <v>#VALUE!</v>
      </c>
      <c r="CE168" s="2195" t="e">
        <f t="shared" si="322"/>
        <v>#VALUE!</v>
      </c>
      <c r="CF168" s="2195" t="e">
        <f t="shared" si="323"/>
        <v>#VALUE!</v>
      </c>
      <c r="CG168" s="2195" t="str">
        <f t="shared" si="324"/>
        <v xml:space="preserve"> * Los exámenes procesados de personas pertenecientes a Pueblos originarios NO PUEDE Superar al total de Procesados. </v>
      </c>
      <c r="CH168" s="2195" t="str">
        <f t="shared" si="325"/>
        <v xml:space="preserve"> * Los exámenes confirmados positivos por ISP de personas pertenecientes a Pueblos originarios NO PUEDE Superar al total de Procesados. </v>
      </c>
      <c r="CI168" s="2195" t="str">
        <f t="shared" si="326"/>
        <v xml:space="preserve"> * Los exámenes procesados de personas pertenecientes a Pueblos migrantes NO PUEDE Superar al total de Procesados. </v>
      </c>
      <c r="CJ168" s="2195" t="str">
        <f t="shared" si="327"/>
        <v xml:space="preserve"> * Los exámenes confirmados positivos por ISP de personas pertenecientes a Pueblos Migrantes NO PUEDE Superar al total de Procesados. </v>
      </c>
      <c r="CK168" s="2195"/>
      <c r="CL168" s="2195"/>
      <c r="CM168" s="2195"/>
      <c r="CN168" s="2195"/>
      <c r="CO168" s="2195"/>
      <c r="CP168" s="2195"/>
      <c r="CQ168" s="2195"/>
      <c r="CR168" s="2195"/>
      <c r="CS168" s="2195"/>
      <c r="CT168" s="2195"/>
      <c r="CU168" s="2195"/>
      <c r="CV168" s="2195"/>
      <c r="CW168" s="2195"/>
      <c r="CX168" s="2195" t="str">
        <f t="shared" si="328"/>
        <v/>
      </c>
      <c r="CY168" s="2195" t="str">
        <f t="shared" si="329"/>
        <v/>
      </c>
      <c r="CZ168" s="2195"/>
      <c r="DA168" s="2195"/>
      <c r="DB168" s="1446">
        <f t="shared" si="330"/>
        <v>1</v>
      </c>
      <c r="DC168" s="1446" t="e">
        <f t="shared" si="331"/>
        <v>#VALUE!</v>
      </c>
      <c r="DD168" s="1446" t="e">
        <f t="shared" si="332"/>
        <v>#VALUE!</v>
      </c>
      <c r="DE168" s="1446" t="e">
        <f t="shared" si="333"/>
        <v>#VALUE!</v>
      </c>
      <c r="DF168" s="1446" t="e">
        <f t="shared" si="334"/>
        <v>#VALUE!</v>
      </c>
      <c r="DG168" s="1446">
        <f t="shared" si="335"/>
        <v>1</v>
      </c>
      <c r="DH168" s="1446">
        <f t="shared" si="336"/>
        <v>1</v>
      </c>
      <c r="DI168" s="1446">
        <f t="shared" si="337"/>
        <v>1</v>
      </c>
      <c r="DJ168" s="1446">
        <f t="shared" si="338"/>
        <v>1</v>
      </c>
      <c r="DK168" s="1446"/>
      <c r="DL168" s="1446"/>
      <c r="DM168" s="1446"/>
      <c r="DN168" s="1446"/>
      <c r="DO168" s="1446"/>
      <c r="DP168" s="1446"/>
      <c r="DQ168" s="1446"/>
      <c r="DR168" s="1446"/>
      <c r="DS168" s="1446"/>
      <c r="DT168" s="1446"/>
      <c r="DU168" s="1446"/>
      <c r="DV168" s="1446"/>
      <c r="DW168" s="1446"/>
      <c r="DX168" s="1446">
        <f t="shared" si="339"/>
        <v>0</v>
      </c>
      <c r="DY168" s="1446">
        <f t="shared" si="339"/>
        <v>0</v>
      </c>
    </row>
    <row r="169" spans="1:131" ht="18.75" customHeight="1" x14ac:dyDescent="0.3">
      <c r="A169" s="7258">
        <v>11055180</v>
      </c>
      <c r="B169" s="10017" t="s">
        <v>1798</v>
      </c>
      <c r="C169" s="1168" t="s">
        <v>1815</v>
      </c>
      <c r="D169" s="1169" t="s">
        <v>5369</v>
      </c>
      <c r="E169" s="1334" t="s">
        <v>5370</v>
      </c>
      <c r="F169" s="698" t="s">
        <v>5371</v>
      </c>
      <c r="G169" s="1159" t="s">
        <v>5372</v>
      </c>
      <c r="H169" s="698" t="s">
        <v>5373</v>
      </c>
      <c r="I169" s="1159" t="s">
        <v>5374</v>
      </c>
      <c r="J169" s="698" t="s">
        <v>5375</v>
      </c>
      <c r="K169" s="1159" t="s">
        <v>5376</v>
      </c>
      <c r="L169" s="698" t="s">
        <v>5377</v>
      </c>
      <c r="M169" s="1159" t="s">
        <v>5378</v>
      </c>
      <c r="N169" s="698" t="s">
        <v>5379</v>
      </c>
      <c r="O169" s="1159" t="s">
        <v>5380</v>
      </c>
      <c r="P169" s="695" t="s">
        <v>5381</v>
      </c>
      <c r="Q169" s="714" t="s">
        <v>5382</v>
      </c>
      <c r="R169" s="695" t="s">
        <v>5383</v>
      </c>
      <c r="S169" s="714" t="s">
        <v>5384</v>
      </c>
      <c r="T169" s="695" t="s">
        <v>5385</v>
      </c>
      <c r="U169" s="714" t="s">
        <v>5386</v>
      </c>
      <c r="V169" s="695" t="s">
        <v>5387</v>
      </c>
      <c r="W169" s="714" t="s">
        <v>5388</v>
      </c>
      <c r="X169" s="695" t="s">
        <v>5389</v>
      </c>
      <c r="Y169" s="714" t="s">
        <v>5390</v>
      </c>
      <c r="Z169" s="695" t="s">
        <v>5391</v>
      </c>
      <c r="AA169" s="714" t="s">
        <v>5392</v>
      </c>
      <c r="AB169" s="695" t="s">
        <v>5393</v>
      </c>
      <c r="AC169" s="714" t="s">
        <v>5394</v>
      </c>
      <c r="AD169" s="695" t="s">
        <v>5395</v>
      </c>
      <c r="AE169" s="714" t="s">
        <v>5396</v>
      </c>
      <c r="AF169" s="695" t="s">
        <v>5397</v>
      </c>
      <c r="AG169" s="714" t="s">
        <v>5398</v>
      </c>
      <c r="AH169" s="695" t="s">
        <v>5399</v>
      </c>
      <c r="AI169" s="714" t="s">
        <v>5400</v>
      </c>
      <c r="AJ169" s="1170" t="s">
        <v>5401</v>
      </c>
      <c r="AK169" s="1171" t="s">
        <v>5402</v>
      </c>
      <c r="AL169" s="1172" t="s">
        <v>5403</v>
      </c>
      <c r="AM169" s="1173" t="s">
        <v>5404</v>
      </c>
      <c r="AN169" s="1174" t="s">
        <v>5405</v>
      </c>
      <c r="AO169" s="1175" t="s">
        <v>5406</v>
      </c>
      <c r="AP169" s="1172" t="s">
        <v>5407</v>
      </c>
      <c r="AQ169" s="1173" t="s">
        <v>5408</v>
      </c>
      <c r="AR169" s="1176" t="s">
        <v>5409</v>
      </c>
      <c r="AS169" s="1175" t="s">
        <v>5410</v>
      </c>
      <c r="AT169" s="261" t="s">
        <v>5411</v>
      </c>
      <c r="AU169" s="1160" t="s">
        <v>5412</v>
      </c>
      <c r="AV169" s="1176" t="s">
        <v>5413</v>
      </c>
      <c r="AW169" s="1175" t="s">
        <v>5414</v>
      </c>
      <c r="AX169" s="1177" t="s">
        <v>5415</v>
      </c>
      <c r="AY169" s="1178" t="s">
        <v>5416</v>
      </c>
      <c r="AZ169" s="1197" t="e">
        <f t="shared" si="318"/>
        <v>#VALUE!</v>
      </c>
      <c r="BA169" s="1197"/>
      <c r="BB169" s="1197"/>
      <c r="BC169" s="1197"/>
      <c r="BD169" s="1197"/>
      <c r="BE169" s="1197"/>
      <c r="BF169" s="1197"/>
      <c r="BG169" s="1197"/>
      <c r="BH169" s="1191"/>
      <c r="BI169" s="1191"/>
      <c r="BJ169" s="1191"/>
      <c r="BK169" s="1191"/>
      <c r="BR169" s="1191"/>
      <c r="BS169" s="1191"/>
      <c r="BT169" s="1191"/>
      <c r="BU169" s="1547"/>
      <c r="BV169" s="1547"/>
      <c r="CB169" s="2195" t="str">
        <f t="shared" si="319"/>
        <v xml:space="preserve"> * El total de exámenes confirmados positivos por ISP NO DEBE SUPERAR el total de exámenes procesados. </v>
      </c>
      <c r="CC169" s="2195" t="e">
        <f t="shared" si="320"/>
        <v>#VALUE!</v>
      </c>
      <c r="CD169" s="2195" t="e">
        <f t="shared" si="321"/>
        <v>#VALUE!</v>
      </c>
      <c r="CE169" s="2195" t="e">
        <f t="shared" si="322"/>
        <v>#VALUE!</v>
      </c>
      <c r="CF169" s="2195" t="e">
        <f t="shared" si="323"/>
        <v>#VALUE!</v>
      </c>
      <c r="CG169" s="2195" t="str">
        <f t="shared" si="324"/>
        <v xml:space="preserve"> * Los exámenes procesados de personas pertenecientes a Pueblos originarios NO PUEDE Superar al total de Procesados. </v>
      </c>
      <c r="CH169" s="2195" t="str">
        <f t="shared" si="325"/>
        <v xml:space="preserve"> * Los exámenes confirmados positivos por ISP de personas pertenecientes a Pueblos originarios NO PUEDE Superar al total de Procesados. </v>
      </c>
      <c r="CI169" s="2195" t="str">
        <f t="shared" si="326"/>
        <v xml:space="preserve"> * Los exámenes procesados de personas pertenecientes a Pueblos migrantes NO PUEDE Superar al total de Procesados. </v>
      </c>
      <c r="CJ169" s="2195" t="str">
        <f t="shared" si="327"/>
        <v xml:space="preserve"> * Los exámenes confirmados positivos por ISP de personas pertenecientes a Pueblos Migrantes NO PUEDE Superar al total de Procesados. </v>
      </c>
      <c r="CK169" s="2195"/>
      <c r="CL169" s="2195"/>
      <c r="CM169" s="2195"/>
      <c r="CN169" s="2195"/>
      <c r="CO169" s="2195"/>
      <c r="CP169" s="2195"/>
      <c r="CQ169" s="2195"/>
      <c r="CR169" s="2195"/>
      <c r="CS169" s="2195"/>
      <c r="CT169" s="2195"/>
      <c r="CU169" s="2195"/>
      <c r="CV169" s="2195"/>
      <c r="CW169" s="2195"/>
      <c r="CX169" s="2195" t="str">
        <f t="shared" si="328"/>
        <v/>
      </c>
      <c r="CY169" s="2195" t="str">
        <f t="shared" si="329"/>
        <v/>
      </c>
      <c r="CZ169" s="2195"/>
      <c r="DA169" s="2195"/>
      <c r="DB169" s="1446">
        <f t="shared" si="330"/>
        <v>1</v>
      </c>
      <c r="DC169" s="1446" t="e">
        <f t="shared" si="331"/>
        <v>#VALUE!</v>
      </c>
      <c r="DD169" s="1446" t="e">
        <f t="shared" si="332"/>
        <v>#VALUE!</v>
      </c>
      <c r="DE169" s="1446" t="e">
        <f t="shared" si="333"/>
        <v>#VALUE!</v>
      </c>
      <c r="DF169" s="1446" t="e">
        <f t="shared" si="334"/>
        <v>#VALUE!</v>
      </c>
      <c r="DG169" s="1446">
        <f t="shared" si="335"/>
        <v>1</v>
      </c>
      <c r="DH169" s="1446">
        <f t="shared" si="336"/>
        <v>1</v>
      </c>
      <c r="DI169" s="1446">
        <f t="shared" si="337"/>
        <v>1</v>
      </c>
      <c r="DJ169" s="1446">
        <f t="shared" si="338"/>
        <v>1</v>
      </c>
      <c r="DK169" s="1446"/>
      <c r="DL169" s="1446"/>
      <c r="DM169" s="1446"/>
      <c r="DN169" s="1446"/>
      <c r="DO169" s="1446"/>
      <c r="DP169" s="1446"/>
      <c r="DQ169" s="1446"/>
      <c r="DR169" s="1446"/>
      <c r="DS169" s="1446"/>
      <c r="DT169" s="1446"/>
      <c r="DU169" s="1446"/>
      <c r="DV169" s="1446"/>
      <c r="DW169" s="1446"/>
      <c r="DX169" s="1446">
        <f t="shared" si="339"/>
        <v>0</v>
      </c>
      <c r="DY169" s="1446">
        <f t="shared" si="339"/>
        <v>0</v>
      </c>
    </row>
    <row r="170" spans="1:131" ht="18.75" customHeight="1" x14ac:dyDescent="0.3">
      <c r="A170" s="7258">
        <v>11055190</v>
      </c>
      <c r="B170" s="10018"/>
      <c r="C170" s="1152" t="s">
        <v>1816</v>
      </c>
      <c r="D170" s="1335" t="s">
        <v>5369</v>
      </c>
      <c r="E170" s="843" t="s">
        <v>5370</v>
      </c>
      <c r="F170" s="1132" t="s">
        <v>5371</v>
      </c>
      <c r="G170" s="1131" t="s">
        <v>5372</v>
      </c>
      <c r="H170" s="1132" t="s">
        <v>5373</v>
      </c>
      <c r="I170" s="1131" t="s">
        <v>5374</v>
      </c>
      <c r="J170" s="1132" t="s">
        <v>5375</v>
      </c>
      <c r="K170" s="1131" t="s">
        <v>5376</v>
      </c>
      <c r="L170" s="1132" t="s">
        <v>5377</v>
      </c>
      <c r="M170" s="1131" t="s">
        <v>5378</v>
      </c>
      <c r="N170" s="1132" t="s">
        <v>5379</v>
      </c>
      <c r="O170" s="1131" t="s">
        <v>5380</v>
      </c>
      <c r="P170" s="1114" t="s">
        <v>5381</v>
      </c>
      <c r="Q170" s="1135" t="s">
        <v>5382</v>
      </c>
      <c r="R170" s="1114" t="s">
        <v>5383</v>
      </c>
      <c r="S170" s="1135" t="s">
        <v>5384</v>
      </c>
      <c r="T170" s="1114" t="s">
        <v>5385</v>
      </c>
      <c r="U170" s="1135" t="s">
        <v>5386</v>
      </c>
      <c r="V170" s="1114" t="s">
        <v>5387</v>
      </c>
      <c r="W170" s="1135" t="s">
        <v>5388</v>
      </c>
      <c r="X170" s="1114" t="s">
        <v>5389</v>
      </c>
      <c r="Y170" s="1135" t="s">
        <v>5390</v>
      </c>
      <c r="Z170" s="1114" t="s">
        <v>5391</v>
      </c>
      <c r="AA170" s="1135" t="s">
        <v>5392</v>
      </c>
      <c r="AB170" s="1114" t="s">
        <v>5393</v>
      </c>
      <c r="AC170" s="1135" t="s">
        <v>5394</v>
      </c>
      <c r="AD170" s="1114" t="s">
        <v>5395</v>
      </c>
      <c r="AE170" s="1135" t="s">
        <v>5396</v>
      </c>
      <c r="AF170" s="1114" t="s">
        <v>5397</v>
      </c>
      <c r="AG170" s="1135" t="s">
        <v>5398</v>
      </c>
      <c r="AH170" s="1114" t="s">
        <v>5399</v>
      </c>
      <c r="AI170" s="1135" t="s">
        <v>5400</v>
      </c>
      <c r="AJ170" s="1132" t="s">
        <v>5401</v>
      </c>
      <c r="AK170" s="1133" t="s">
        <v>5402</v>
      </c>
      <c r="AL170" s="1161" t="s">
        <v>5403</v>
      </c>
      <c r="AM170" s="1115" t="s">
        <v>5404</v>
      </c>
      <c r="AN170" s="1114" t="s">
        <v>5405</v>
      </c>
      <c r="AO170" s="1162" t="s">
        <v>5406</v>
      </c>
      <c r="AP170" s="1161" t="s">
        <v>5407</v>
      </c>
      <c r="AQ170" s="1115" t="s">
        <v>5408</v>
      </c>
      <c r="AR170" s="1134" t="s">
        <v>5409</v>
      </c>
      <c r="AS170" s="1162" t="s">
        <v>5410</v>
      </c>
      <c r="AT170" s="1161" t="s">
        <v>5411</v>
      </c>
      <c r="AU170" s="1162" t="s">
        <v>5412</v>
      </c>
      <c r="AV170" s="1134" t="s">
        <v>5413</v>
      </c>
      <c r="AW170" s="1162" t="s">
        <v>5414</v>
      </c>
      <c r="AX170" s="1179" t="s">
        <v>5415</v>
      </c>
      <c r="AY170" s="1180" t="s">
        <v>5416</v>
      </c>
      <c r="AZ170" s="1197" t="e">
        <f t="shared" si="318"/>
        <v>#VALUE!</v>
      </c>
      <c r="BA170" s="1197"/>
      <c r="BB170" s="1197"/>
      <c r="BC170" s="1197"/>
      <c r="BD170" s="1197"/>
      <c r="BE170" s="1197"/>
      <c r="BF170" s="1197"/>
      <c r="BG170" s="1197"/>
      <c r="BH170" s="1191"/>
      <c r="BI170" s="1191"/>
      <c r="BJ170" s="1191"/>
      <c r="BK170" s="1191"/>
      <c r="BR170" s="1191"/>
      <c r="BS170" s="1191"/>
      <c r="BT170" s="1191"/>
      <c r="BU170" s="1547"/>
      <c r="BV170" s="1547"/>
      <c r="CB170" s="2195" t="str">
        <f t="shared" si="319"/>
        <v xml:space="preserve"> * El total de exámenes confirmados positivos por ISP NO DEBE SUPERAR el total de exámenes procesados. </v>
      </c>
      <c r="CC170" s="2195" t="e">
        <f t="shared" si="320"/>
        <v>#VALUE!</v>
      </c>
      <c r="CD170" s="2195" t="e">
        <f t="shared" si="321"/>
        <v>#VALUE!</v>
      </c>
      <c r="CE170" s="2195" t="e">
        <f t="shared" si="322"/>
        <v>#VALUE!</v>
      </c>
      <c r="CF170" s="2195" t="e">
        <f t="shared" si="323"/>
        <v>#VALUE!</v>
      </c>
      <c r="CG170" s="2195" t="str">
        <f t="shared" si="324"/>
        <v xml:space="preserve"> * Los exámenes procesados de personas pertenecientes a Pueblos originarios NO PUEDE Superar al total de Procesados. </v>
      </c>
      <c r="CH170" s="2195" t="str">
        <f t="shared" si="325"/>
        <v xml:space="preserve"> * Los exámenes confirmados positivos por ISP de personas pertenecientes a Pueblos originarios NO PUEDE Superar al total de Procesados. </v>
      </c>
      <c r="CI170" s="2195" t="str">
        <f t="shared" si="326"/>
        <v xml:space="preserve"> * Los exámenes procesados de personas pertenecientes a Pueblos migrantes NO PUEDE Superar al total de Procesados. </v>
      </c>
      <c r="CJ170" s="2195" t="str">
        <f t="shared" si="327"/>
        <v xml:space="preserve"> * Los exámenes confirmados positivos por ISP de personas pertenecientes a Pueblos Migrantes NO PUEDE Superar al total de Procesados. </v>
      </c>
      <c r="CK170" s="2195"/>
      <c r="CL170" s="2195"/>
      <c r="CM170" s="2195"/>
      <c r="CN170" s="2195"/>
      <c r="CO170" s="2195"/>
      <c r="CP170" s="2195"/>
      <c r="CQ170" s="2195"/>
      <c r="CR170" s="2195"/>
      <c r="CS170" s="2195"/>
      <c r="CT170" s="2195"/>
      <c r="CU170" s="2195"/>
      <c r="CV170" s="2195"/>
      <c r="CW170" s="2195"/>
      <c r="CX170" s="2195" t="str">
        <f t="shared" si="328"/>
        <v/>
      </c>
      <c r="CY170" s="2195" t="str">
        <f t="shared" si="329"/>
        <v/>
      </c>
      <c r="CZ170" s="2195"/>
      <c r="DA170" s="2195"/>
      <c r="DB170" s="1446">
        <f t="shared" si="330"/>
        <v>1</v>
      </c>
      <c r="DC170" s="1446" t="e">
        <f t="shared" si="331"/>
        <v>#VALUE!</v>
      </c>
      <c r="DD170" s="1446" t="e">
        <f t="shared" si="332"/>
        <v>#VALUE!</v>
      </c>
      <c r="DE170" s="1446" t="e">
        <f t="shared" si="333"/>
        <v>#VALUE!</v>
      </c>
      <c r="DF170" s="1446" t="e">
        <f t="shared" si="334"/>
        <v>#VALUE!</v>
      </c>
      <c r="DG170" s="1446">
        <f t="shared" si="335"/>
        <v>1</v>
      </c>
      <c r="DH170" s="1446">
        <f t="shared" si="336"/>
        <v>1</v>
      </c>
      <c r="DI170" s="1446">
        <f t="shared" si="337"/>
        <v>1</v>
      </c>
      <c r="DJ170" s="1446">
        <f t="shared" si="338"/>
        <v>1</v>
      </c>
      <c r="DK170" s="1446"/>
      <c r="DL170" s="1446"/>
      <c r="DM170" s="1446"/>
      <c r="DN170" s="1446"/>
      <c r="DO170" s="1446"/>
      <c r="DP170" s="1446"/>
      <c r="DQ170" s="1446"/>
      <c r="DR170" s="1446"/>
      <c r="DS170" s="1446"/>
      <c r="DT170" s="1446"/>
      <c r="DU170" s="1446"/>
      <c r="DV170" s="1446"/>
      <c r="DW170" s="1446"/>
      <c r="DX170" s="1446">
        <f t="shared" si="339"/>
        <v>0</v>
      </c>
      <c r="DY170" s="1446">
        <f t="shared" si="339"/>
        <v>0</v>
      </c>
    </row>
    <row r="171" spans="1:131" ht="18.75" customHeight="1" x14ac:dyDescent="0.3">
      <c r="A171" s="7258">
        <v>11053200</v>
      </c>
      <c r="B171" s="9569"/>
      <c r="C171" s="318" t="s">
        <v>1817</v>
      </c>
      <c r="D171" s="1336" t="s">
        <v>5369</v>
      </c>
      <c r="E171" s="1338" t="s">
        <v>5370</v>
      </c>
      <c r="F171" s="82" t="s">
        <v>5371</v>
      </c>
      <c r="G171" s="84" t="s">
        <v>5372</v>
      </c>
      <c r="H171" s="82" t="s">
        <v>5373</v>
      </c>
      <c r="I171" s="84" t="s">
        <v>5374</v>
      </c>
      <c r="J171" s="82" t="s">
        <v>5375</v>
      </c>
      <c r="K171" s="84" t="s">
        <v>5376</v>
      </c>
      <c r="L171" s="82" t="s">
        <v>5377</v>
      </c>
      <c r="M171" s="84" t="s">
        <v>5378</v>
      </c>
      <c r="N171" s="82" t="s">
        <v>5379</v>
      </c>
      <c r="O171" s="84" t="s">
        <v>5380</v>
      </c>
      <c r="P171" s="125" t="s">
        <v>5381</v>
      </c>
      <c r="Q171" s="83" t="s">
        <v>5382</v>
      </c>
      <c r="R171" s="125" t="s">
        <v>5383</v>
      </c>
      <c r="S171" s="83" t="s">
        <v>5384</v>
      </c>
      <c r="T171" s="125" t="s">
        <v>5385</v>
      </c>
      <c r="U171" s="83" t="s">
        <v>5386</v>
      </c>
      <c r="V171" s="125" t="s">
        <v>5387</v>
      </c>
      <c r="W171" s="83" t="s">
        <v>5388</v>
      </c>
      <c r="X171" s="125" t="s">
        <v>5389</v>
      </c>
      <c r="Y171" s="83" t="s">
        <v>5390</v>
      </c>
      <c r="Z171" s="125" t="s">
        <v>5391</v>
      </c>
      <c r="AA171" s="83" t="s">
        <v>5392</v>
      </c>
      <c r="AB171" s="125" t="s">
        <v>5393</v>
      </c>
      <c r="AC171" s="83" t="s">
        <v>5394</v>
      </c>
      <c r="AD171" s="125" t="s">
        <v>5395</v>
      </c>
      <c r="AE171" s="83" t="s">
        <v>5396</v>
      </c>
      <c r="AF171" s="125" t="s">
        <v>5397</v>
      </c>
      <c r="AG171" s="83" t="s">
        <v>5398</v>
      </c>
      <c r="AH171" s="125" t="s">
        <v>5399</v>
      </c>
      <c r="AI171" s="83" t="s">
        <v>5400</v>
      </c>
      <c r="AJ171" s="1465" t="s">
        <v>5401</v>
      </c>
      <c r="AK171" s="1580" t="s">
        <v>5402</v>
      </c>
      <c r="AL171" s="264" t="s">
        <v>5403</v>
      </c>
      <c r="AM171" s="127" t="s">
        <v>5404</v>
      </c>
      <c r="AN171" s="125" t="s">
        <v>5405</v>
      </c>
      <c r="AO171" s="254" t="s">
        <v>5406</v>
      </c>
      <c r="AP171" s="264" t="s">
        <v>5407</v>
      </c>
      <c r="AQ171" s="127" t="s">
        <v>5408</v>
      </c>
      <c r="AR171" s="102" t="s">
        <v>5409</v>
      </c>
      <c r="AS171" s="254" t="s">
        <v>5410</v>
      </c>
      <c r="AT171" s="264" t="s">
        <v>5411</v>
      </c>
      <c r="AU171" s="254" t="s">
        <v>5412</v>
      </c>
      <c r="AV171" s="102" t="s">
        <v>5413</v>
      </c>
      <c r="AW171" s="254" t="s">
        <v>5414</v>
      </c>
      <c r="AX171" s="1181" t="s">
        <v>5415</v>
      </c>
      <c r="AY171" s="807" t="s">
        <v>5416</v>
      </c>
      <c r="AZ171" s="1197" t="e">
        <f t="shared" si="318"/>
        <v>#VALUE!</v>
      </c>
      <c r="BA171" s="1197"/>
      <c r="BB171" s="1197"/>
      <c r="BC171" s="1197"/>
      <c r="BD171" s="1197"/>
      <c r="BE171" s="1197"/>
      <c r="BF171" s="1197"/>
      <c r="BG171" s="1197"/>
      <c r="BH171" s="1191"/>
      <c r="BI171" s="1191"/>
      <c r="BJ171" s="1191"/>
      <c r="BK171" s="1191"/>
      <c r="BR171" s="1191"/>
      <c r="BS171" s="1191"/>
      <c r="BT171" s="1191"/>
      <c r="BU171" s="1547"/>
      <c r="BV171" s="1547"/>
      <c r="CB171" s="2195" t="str">
        <f t="shared" si="319"/>
        <v xml:space="preserve"> * El total de exámenes confirmados positivos por ISP NO DEBE SUPERAR el total de exámenes procesados. </v>
      </c>
      <c r="CC171" s="2195" t="e">
        <f t="shared" si="320"/>
        <v>#VALUE!</v>
      </c>
      <c r="CD171" s="2195" t="e">
        <f t="shared" si="321"/>
        <v>#VALUE!</v>
      </c>
      <c r="CE171" s="2195" t="e">
        <f t="shared" si="322"/>
        <v>#VALUE!</v>
      </c>
      <c r="CF171" s="2195" t="e">
        <f t="shared" si="323"/>
        <v>#VALUE!</v>
      </c>
      <c r="CG171" s="2195" t="str">
        <f t="shared" si="324"/>
        <v xml:space="preserve"> * Los exámenes procesados de personas pertenecientes a Pueblos originarios NO PUEDE Superar al total de Procesados. </v>
      </c>
      <c r="CH171" s="2195" t="str">
        <f t="shared" si="325"/>
        <v xml:space="preserve"> * Los exámenes confirmados positivos por ISP de personas pertenecientes a Pueblos originarios NO PUEDE Superar al total de Procesados. </v>
      </c>
      <c r="CI171" s="2195" t="str">
        <f t="shared" si="326"/>
        <v xml:space="preserve"> * Los exámenes procesados de personas pertenecientes a Pueblos migrantes NO PUEDE Superar al total de Procesados. </v>
      </c>
      <c r="CJ171" s="2195" t="str">
        <f t="shared" si="327"/>
        <v xml:space="preserve"> * Los exámenes confirmados positivos por ISP de personas pertenecientes a Pueblos Migrantes NO PUEDE Superar al total de Procesados. </v>
      </c>
      <c r="CK171" s="2195"/>
      <c r="CL171" s="2195"/>
      <c r="CM171" s="2195"/>
      <c r="CN171" s="2195"/>
      <c r="CO171" s="2195"/>
      <c r="CP171" s="2195"/>
      <c r="CQ171" s="2195"/>
      <c r="CR171" s="2195"/>
      <c r="CS171" s="2195"/>
      <c r="CT171" s="2195"/>
      <c r="CU171" s="2195"/>
      <c r="CV171" s="2195"/>
      <c r="CW171" s="2195"/>
      <c r="CX171" s="2195" t="str">
        <f t="shared" si="328"/>
        <v/>
      </c>
      <c r="CY171" s="2195" t="str">
        <f t="shared" si="329"/>
        <v/>
      </c>
      <c r="CZ171" s="2195"/>
      <c r="DA171" s="2195"/>
      <c r="DB171" s="1446">
        <f t="shared" si="330"/>
        <v>1</v>
      </c>
      <c r="DC171" s="1446" t="e">
        <f t="shared" si="331"/>
        <v>#VALUE!</v>
      </c>
      <c r="DD171" s="1446" t="e">
        <f t="shared" si="332"/>
        <v>#VALUE!</v>
      </c>
      <c r="DE171" s="1446" t="e">
        <f t="shared" si="333"/>
        <v>#VALUE!</v>
      </c>
      <c r="DF171" s="1446" t="e">
        <f t="shared" si="334"/>
        <v>#VALUE!</v>
      </c>
      <c r="DG171" s="1446">
        <f t="shared" si="335"/>
        <v>1</v>
      </c>
      <c r="DH171" s="1446">
        <f t="shared" si="336"/>
        <v>1</v>
      </c>
      <c r="DI171" s="1446">
        <f t="shared" si="337"/>
        <v>1</v>
      </c>
      <c r="DJ171" s="1446">
        <f t="shared" si="338"/>
        <v>1</v>
      </c>
      <c r="DK171" s="1446"/>
      <c r="DL171" s="1446"/>
      <c r="DM171" s="1446"/>
      <c r="DN171" s="1446"/>
      <c r="DO171" s="1446"/>
      <c r="DP171" s="1446"/>
      <c r="DQ171" s="1446"/>
      <c r="DR171" s="1446"/>
      <c r="DS171" s="1446"/>
      <c r="DT171" s="1446"/>
      <c r="DU171" s="1446"/>
      <c r="DV171" s="1446"/>
      <c r="DW171" s="1446"/>
      <c r="DX171" s="1446">
        <f t="shared" si="339"/>
        <v>0</v>
      </c>
      <c r="DY171" s="1446">
        <f t="shared" si="339"/>
        <v>0</v>
      </c>
    </row>
    <row r="172" spans="1:131" ht="16.2" customHeight="1" x14ac:dyDescent="0.3">
      <c r="A172" s="7258">
        <v>11050700</v>
      </c>
      <c r="B172" s="10008" t="s">
        <v>1799</v>
      </c>
      <c r="C172" s="10009"/>
      <c r="D172" s="1169" t="s">
        <v>5369</v>
      </c>
      <c r="E172" s="843" t="s">
        <v>5370</v>
      </c>
      <c r="F172" s="910" t="s">
        <v>5371</v>
      </c>
      <c r="G172" s="78" t="s">
        <v>5372</v>
      </c>
      <c r="H172" s="910" t="s">
        <v>5373</v>
      </c>
      <c r="I172" s="78" t="s">
        <v>5374</v>
      </c>
      <c r="J172" s="910" t="s">
        <v>5375</v>
      </c>
      <c r="K172" s="78" t="s">
        <v>5376</v>
      </c>
      <c r="L172" s="910" t="s">
        <v>5377</v>
      </c>
      <c r="M172" s="78" t="s">
        <v>5378</v>
      </c>
      <c r="N172" s="828" t="s">
        <v>5379</v>
      </c>
      <c r="O172" s="752" t="s">
        <v>5380</v>
      </c>
      <c r="P172" s="828" t="s">
        <v>5381</v>
      </c>
      <c r="Q172" s="752" t="s">
        <v>5382</v>
      </c>
      <c r="R172" s="828" t="s">
        <v>5383</v>
      </c>
      <c r="S172" s="752" t="s">
        <v>5384</v>
      </c>
      <c r="T172" s="828" t="s">
        <v>5385</v>
      </c>
      <c r="U172" s="752" t="s">
        <v>5386</v>
      </c>
      <c r="V172" s="828" t="s">
        <v>5387</v>
      </c>
      <c r="W172" s="752" t="s">
        <v>5388</v>
      </c>
      <c r="X172" s="828" t="s">
        <v>5389</v>
      </c>
      <c r="Y172" s="752" t="s">
        <v>5390</v>
      </c>
      <c r="Z172" s="828" t="s">
        <v>5391</v>
      </c>
      <c r="AA172" s="752" t="s">
        <v>5392</v>
      </c>
      <c r="AB172" s="828" t="s">
        <v>5393</v>
      </c>
      <c r="AC172" s="752" t="s">
        <v>5394</v>
      </c>
      <c r="AD172" s="828" t="s">
        <v>5395</v>
      </c>
      <c r="AE172" s="1182" t="s">
        <v>5396</v>
      </c>
      <c r="AF172" s="828" t="s">
        <v>5397</v>
      </c>
      <c r="AG172" s="1182" t="s">
        <v>5398</v>
      </c>
      <c r="AH172" s="1149" t="s">
        <v>5399</v>
      </c>
      <c r="AI172" s="952" t="s">
        <v>5400</v>
      </c>
      <c r="AJ172" s="828" t="s">
        <v>5401</v>
      </c>
      <c r="AK172" s="752" t="s">
        <v>5402</v>
      </c>
      <c r="AL172" s="261" t="s">
        <v>5403</v>
      </c>
      <c r="AM172" s="143" t="s">
        <v>5404</v>
      </c>
      <c r="AN172" s="910" t="s">
        <v>5405</v>
      </c>
      <c r="AO172" s="1160" t="s">
        <v>5406</v>
      </c>
      <c r="AP172" s="261" t="s">
        <v>5407</v>
      </c>
      <c r="AQ172" s="143" t="s">
        <v>5408</v>
      </c>
      <c r="AR172" s="1183" t="s">
        <v>5409</v>
      </c>
      <c r="AS172" s="1160" t="s">
        <v>5410</v>
      </c>
      <c r="AT172" s="261" t="s">
        <v>5411</v>
      </c>
      <c r="AU172" s="1160" t="s">
        <v>5412</v>
      </c>
      <c r="AV172" s="261" t="s">
        <v>5413</v>
      </c>
      <c r="AW172" s="143" t="s">
        <v>5414</v>
      </c>
      <c r="AX172" s="261" t="s">
        <v>5415</v>
      </c>
      <c r="AY172" s="143" t="s">
        <v>5416</v>
      </c>
      <c r="AZ172" s="1197" t="e">
        <f t="shared" si="318"/>
        <v>#VALUE!</v>
      </c>
      <c r="BA172" s="1197"/>
      <c r="BB172" s="1197"/>
      <c r="BC172" s="1197"/>
      <c r="BD172" s="1197"/>
      <c r="BE172" s="1197"/>
      <c r="BF172" s="1197"/>
      <c r="BG172" s="1197"/>
      <c r="BH172" s="1191"/>
      <c r="BI172" s="1191"/>
      <c r="BJ172" s="1191"/>
      <c r="BK172" s="1191"/>
      <c r="BR172" s="1191"/>
      <c r="BS172" s="1191"/>
      <c r="BT172" s="1191"/>
      <c r="BU172" s="1547"/>
      <c r="BV172" s="1547"/>
      <c r="CB172" s="2195" t="str">
        <f t="shared" si="319"/>
        <v xml:space="preserve"> * El total de exámenes confirmados positivos por ISP NO DEBE SUPERAR el total de exámenes procesados. </v>
      </c>
      <c r="CC172" s="2195" t="e">
        <f t="shared" si="320"/>
        <v>#VALUE!</v>
      </c>
      <c r="CD172" s="2195" t="e">
        <f t="shared" si="321"/>
        <v>#VALUE!</v>
      </c>
      <c r="CE172" s="2195" t="e">
        <f t="shared" si="322"/>
        <v>#VALUE!</v>
      </c>
      <c r="CF172" s="2195" t="e">
        <f t="shared" si="323"/>
        <v>#VALUE!</v>
      </c>
      <c r="CG172" s="2195" t="str">
        <f t="shared" si="324"/>
        <v xml:space="preserve"> * Los exámenes procesados de personas pertenecientes a Pueblos originarios NO PUEDE Superar al total de Procesados. </v>
      </c>
      <c r="CH172" s="2195" t="str">
        <f t="shared" si="325"/>
        <v xml:space="preserve"> * Los exámenes confirmados positivos por ISP de personas pertenecientes a Pueblos originarios NO PUEDE Superar al total de Procesados. </v>
      </c>
      <c r="CI172" s="2195" t="str">
        <f t="shared" si="326"/>
        <v xml:space="preserve"> * Los exámenes procesados de personas pertenecientes a Pueblos migrantes NO PUEDE Superar al total de Procesados. </v>
      </c>
      <c r="CJ172" s="2195" t="str">
        <f t="shared" si="327"/>
        <v xml:space="preserve"> * Los exámenes confirmados positivos por ISP de personas pertenecientes a Pueblos Migrantes NO PUEDE Superar al total de Procesados. </v>
      </c>
      <c r="CK172" s="2195"/>
      <c r="CL172" s="2195"/>
      <c r="CM172" s="2195"/>
      <c r="CN172" s="2195"/>
      <c r="CO172" s="2195"/>
      <c r="CP172" s="2195"/>
      <c r="CQ172" s="2195"/>
      <c r="CR172" s="2195"/>
      <c r="CS172" s="2195"/>
      <c r="CT172" s="2195"/>
      <c r="CU172" s="2195"/>
      <c r="CV172" s="2195"/>
      <c r="CW172" s="2195"/>
      <c r="CX172" s="2195" t="str">
        <f t="shared" si="328"/>
        <v/>
      </c>
      <c r="CY172" s="2195" t="str">
        <f t="shared" si="329"/>
        <v/>
      </c>
      <c r="CZ172" s="2195"/>
      <c r="DA172" s="2195"/>
      <c r="DB172" s="1446">
        <f t="shared" si="330"/>
        <v>1</v>
      </c>
      <c r="DC172" s="1446" t="e">
        <f t="shared" si="331"/>
        <v>#VALUE!</v>
      </c>
      <c r="DD172" s="1446" t="e">
        <f t="shared" si="332"/>
        <v>#VALUE!</v>
      </c>
      <c r="DE172" s="1446" t="e">
        <f t="shared" si="333"/>
        <v>#VALUE!</v>
      </c>
      <c r="DF172" s="1446" t="e">
        <f t="shared" si="334"/>
        <v>#VALUE!</v>
      </c>
      <c r="DG172" s="1446">
        <f t="shared" si="335"/>
        <v>1</v>
      </c>
      <c r="DH172" s="1446">
        <f t="shared" si="336"/>
        <v>1</v>
      </c>
      <c r="DI172" s="1446">
        <f t="shared" si="337"/>
        <v>1</v>
      </c>
      <c r="DJ172" s="1446">
        <f t="shared" si="338"/>
        <v>1</v>
      </c>
      <c r="DK172" s="1446"/>
      <c r="DL172" s="1446"/>
      <c r="DM172" s="1446"/>
      <c r="DN172" s="1446"/>
      <c r="DO172" s="1446"/>
      <c r="DP172" s="1446"/>
      <c r="DQ172" s="1446"/>
      <c r="DR172" s="1446"/>
      <c r="DS172" s="1446"/>
      <c r="DT172" s="1446"/>
      <c r="DU172" s="1446"/>
      <c r="DV172" s="1446"/>
      <c r="DW172" s="1446"/>
      <c r="DX172" s="1446">
        <f t="shared" si="339"/>
        <v>0</v>
      </c>
      <c r="DY172" s="1446">
        <f t="shared" si="339"/>
        <v>0</v>
      </c>
    </row>
    <row r="173" spans="1:131" ht="16.2" customHeight="1" x14ac:dyDescent="0.3">
      <c r="A173" s="7258">
        <v>11053300</v>
      </c>
      <c r="B173" s="10010" t="s">
        <v>1832</v>
      </c>
      <c r="C173" s="10011"/>
      <c r="D173" s="1335" t="s">
        <v>5369</v>
      </c>
      <c r="E173" s="1163" t="s">
        <v>5370</v>
      </c>
      <c r="F173" s="1114" t="s">
        <v>5371</v>
      </c>
      <c r="G173" s="1135" t="s">
        <v>5372</v>
      </c>
      <c r="H173" s="1114" t="s">
        <v>5373</v>
      </c>
      <c r="I173" s="1135" t="s">
        <v>5374</v>
      </c>
      <c r="J173" s="1114" t="s">
        <v>5375</v>
      </c>
      <c r="K173" s="1135" t="s">
        <v>5376</v>
      </c>
      <c r="L173" s="1114" t="s">
        <v>5377</v>
      </c>
      <c r="M173" s="1135" t="s">
        <v>5378</v>
      </c>
      <c r="N173" s="1114" t="s">
        <v>5379</v>
      </c>
      <c r="O173" s="1135" t="s">
        <v>5380</v>
      </c>
      <c r="P173" s="1167" t="s">
        <v>5381</v>
      </c>
      <c r="Q173" s="115" t="s">
        <v>5382</v>
      </c>
      <c r="R173" s="1167" t="s">
        <v>5383</v>
      </c>
      <c r="S173" s="115" t="s">
        <v>5384</v>
      </c>
      <c r="T173" s="1167" t="s">
        <v>5385</v>
      </c>
      <c r="U173" s="115" t="s">
        <v>5386</v>
      </c>
      <c r="V173" s="1167" t="s">
        <v>5387</v>
      </c>
      <c r="W173" s="115" t="s">
        <v>5388</v>
      </c>
      <c r="X173" s="1167" t="s">
        <v>5389</v>
      </c>
      <c r="Y173" s="115" t="s">
        <v>5390</v>
      </c>
      <c r="Z173" s="1167" t="s">
        <v>5391</v>
      </c>
      <c r="AA173" s="115" t="s">
        <v>5392</v>
      </c>
      <c r="AB173" s="1167" t="s">
        <v>5393</v>
      </c>
      <c r="AC173" s="115" t="s">
        <v>5394</v>
      </c>
      <c r="AD173" s="1167" t="s">
        <v>5395</v>
      </c>
      <c r="AE173" s="116" t="s">
        <v>5396</v>
      </c>
      <c r="AF173" s="1167" t="s">
        <v>5397</v>
      </c>
      <c r="AG173" s="116" t="s">
        <v>5398</v>
      </c>
      <c r="AH173" s="1167" t="s">
        <v>5399</v>
      </c>
      <c r="AI173" s="138" t="s">
        <v>5400</v>
      </c>
      <c r="AJ173" s="1167" t="s">
        <v>5401</v>
      </c>
      <c r="AK173" s="115" t="s">
        <v>5402</v>
      </c>
      <c r="AL173" s="262" t="s">
        <v>5403</v>
      </c>
      <c r="AM173" s="164" t="s">
        <v>5404</v>
      </c>
      <c r="AN173" s="1167" t="s">
        <v>5405</v>
      </c>
      <c r="AO173" s="585" t="s">
        <v>5406</v>
      </c>
      <c r="AP173" s="262" t="s">
        <v>5407</v>
      </c>
      <c r="AQ173" s="164" t="s">
        <v>5408</v>
      </c>
      <c r="AR173" s="113" t="s">
        <v>5409</v>
      </c>
      <c r="AS173" s="585" t="s">
        <v>5410</v>
      </c>
      <c r="AT173" s="262" t="s">
        <v>5411</v>
      </c>
      <c r="AU173" s="585" t="s">
        <v>5412</v>
      </c>
      <c r="AV173" s="262" t="s">
        <v>5413</v>
      </c>
      <c r="AW173" s="164" t="s">
        <v>5414</v>
      </c>
      <c r="AX173" s="262" t="s">
        <v>5415</v>
      </c>
      <c r="AY173" s="164" t="s">
        <v>5416</v>
      </c>
      <c r="AZ173" s="1197" t="e">
        <f t="shared" si="318"/>
        <v>#VALUE!</v>
      </c>
      <c r="BA173" s="1197"/>
      <c r="BB173" s="1197"/>
      <c r="BC173" s="1197"/>
      <c r="BD173" s="1197"/>
      <c r="BE173" s="1197"/>
      <c r="BF173" s="1197"/>
      <c r="BG173" s="1197"/>
      <c r="BH173" s="1191"/>
      <c r="BI173" s="1191"/>
      <c r="BJ173" s="1191"/>
      <c r="BK173" s="1191"/>
      <c r="BR173" s="1191"/>
      <c r="BS173" s="1191"/>
      <c r="BT173" s="1191"/>
      <c r="BU173" s="1547"/>
      <c r="BV173" s="1547"/>
      <c r="CB173" s="2195" t="str">
        <f t="shared" si="319"/>
        <v xml:space="preserve"> * El total de exámenes confirmados positivos por ISP NO DEBE SUPERAR el total de exámenes procesados. </v>
      </c>
      <c r="CC173" s="2195" t="e">
        <f t="shared" si="320"/>
        <v>#VALUE!</v>
      </c>
      <c r="CD173" s="2195" t="e">
        <f t="shared" si="321"/>
        <v>#VALUE!</v>
      </c>
      <c r="CE173" s="2195" t="e">
        <f t="shared" si="322"/>
        <v>#VALUE!</v>
      </c>
      <c r="CF173" s="2195" t="e">
        <f t="shared" si="323"/>
        <v>#VALUE!</v>
      </c>
      <c r="CG173" s="2195" t="str">
        <f t="shared" si="324"/>
        <v xml:space="preserve"> * Los exámenes procesados de personas pertenecientes a Pueblos originarios NO PUEDE Superar al total de Procesados. </v>
      </c>
      <c r="CH173" s="2195" t="str">
        <f t="shared" si="325"/>
        <v xml:space="preserve"> * Los exámenes confirmados positivos por ISP de personas pertenecientes a Pueblos originarios NO PUEDE Superar al total de Procesados. </v>
      </c>
      <c r="CI173" s="2195" t="str">
        <f t="shared" si="326"/>
        <v xml:space="preserve"> * Los exámenes procesados de personas pertenecientes a Pueblos migrantes NO PUEDE Superar al total de Procesados. </v>
      </c>
      <c r="CJ173" s="2195" t="str">
        <f t="shared" si="327"/>
        <v xml:space="preserve"> * Los exámenes confirmados positivos por ISP de personas pertenecientes a Pueblos Migrantes NO PUEDE Superar al total de Procesados. </v>
      </c>
      <c r="CK173" s="2195"/>
      <c r="CL173" s="2195"/>
      <c r="CM173" s="2195"/>
      <c r="CN173" s="2195"/>
      <c r="CO173" s="2195"/>
      <c r="CP173" s="2195"/>
      <c r="CQ173" s="2195"/>
      <c r="CR173" s="2195"/>
      <c r="CS173" s="2195"/>
      <c r="CT173" s="2195"/>
      <c r="CU173" s="2195"/>
      <c r="CV173" s="2195"/>
      <c r="CW173" s="2195"/>
      <c r="CX173" s="2195" t="str">
        <f t="shared" si="328"/>
        <v/>
      </c>
      <c r="CY173" s="2195" t="str">
        <f t="shared" si="329"/>
        <v/>
      </c>
      <c r="CZ173" s="2195"/>
      <c r="DA173" s="2195"/>
      <c r="DB173" s="1446">
        <f t="shared" si="330"/>
        <v>1</v>
      </c>
      <c r="DC173" s="1446" t="e">
        <f t="shared" si="331"/>
        <v>#VALUE!</v>
      </c>
      <c r="DD173" s="1446" t="e">
        <f t="shared" si="332"/>
        <v>#VALUE!</v>
      </c>
      <c r="DE173" s="1446" t="e">
        <f t="shared" si="333"/>
        <v>#VALUE!</v>
      </c>
      <c r="DF173" s="1446" t="e">
        <f t="shared" si="334"/>
        <v>#VALUE!</v>
      </c>
      <c r="DG173" s="1446">
        <f t="shared" si="335"/>
        <v>1</v>
      </c>
      <c r="DH173" s="1446">
        <f t="shared" si="336"/>
        <v>1</v>
      </c>
      <c r="DI173" s="1446">
        <f t="shared" si="337"/>
        <v>1</v>
      </c>
      <c r="DJ173" s="1446">
        <f t="shared" si="338"/>
        <v>1</v>
      </c>
      <c r="DK173" s="1446"/>
      <c r="DL173" s="1446"/>
      <c r="DM173" s="1446"/>
      <c r="DN173" s="1446"/>
      <c r="DO173" s="1446"/>
      <c r="DP173" s="1446"/>
      <c r="DQ173" s="1446"/>
      <c r="DR173" s="1446"/>
      <c r="DS173" s="1446"/>
      <c r="DT173" s="1446"/>
      <c r="DU173" s="1446"/>
      <c r="DV173" s="1446"/>
      <c r="DW173" s="1446"/>
      <c r="DX173" s="1446">
        <f t="shared" si="339"/>
        <v>0</v>
      </c>
      <c r="DY173" s="1446">
        <f t="shared" si="339"/>
        <v>0</v>
      </c>
    </row>
    <row r="174" spans="1:131" ht="16.2" customHeight="1" x14ac:dyDescent="0.3">
      <c r="A174" s="7258">
        <v>11053400</v>
      </c>
      <c r="B174" s="10010" t="s">
        <v>1801</v>
      </c>
      <c r="C174" s="10011"/>
      <c r="D174" s="1335" t="s">
        <v>5369</v>
      </c>
      <c r="E174" s="1163" t="s">
        <v>5370</v>
      </c>
      <c r="F174" s="1114" t="s">
        <v>5371</v>
      </c>
      <c r="G174" s="1135" t="s">
        <v>5372</v>
      </c>
      <c r="H174" s="1114" t="s">
        <v>5373</v>
      </c>
      <c r="I174" s="1135" t="s">
        <v>5374</v>
      </c>
      <c r="J174" s="1114" t="s">
        <v>5375</v>
      </c>
      <c r="K174" s="1135" t="s">
        <v>5376</v>
      </c>
      <c r="L174" s="1114" t="s">
        <v>5377</v>
      </c>
      <c r="M174" s="1135" t="s">
        <v>5378</v>
      </c>
      <c r="N174" s="1114" t="s">
        <v>5379</v>
      </c>
      <c r="O174" s="1135" t="s">
        <v>5380</v>
      </c>
      <c r="P174" s="1167" t="s">
        <v>5381</v>
      </c>
      <c r="Q174" s="115" t="s">
        <v>5382</v>
      </c>
      <c r="R174" s="1167" t="s">
        <v>5383</v>
      </c>
      <c r="S174" s="115" t="s">
        <v>5384</v>
      </c>
      <c r="T174" s="1167" t="s">
        <v>5385</v>
      </c>
      <c r="U174" s="115" t="s">
        <v>5386</v>
      </c>
      <c r="V174" s="1167" t="s">
        <v>5387</v>
      </c>
      <c r="W174" s="115" t="s">
        <v>5388</v>
      </c>
      <c r="X174" s="1167" t="s">
        <v>5389</v>
      </c>
      <c r="Y174" s="115" t="s">
        <v>5390</v>
      </c>
      <c r="Z174" s="1167" t="s">
        <v>5391</v>
      </c>
      <c r="AA174" s="115" t="s">
        <v>5392</v>
      </c>
      <c r="AB174" s="1167" t="s">
        <v>5393</v>
      </c>
      <c r="AC174" s="115" t="s">
        <v>5394</v>
      </c>
      <c r="AD174" s="1167" t="s">
        <v>5395</v>
      </c>
      <c r="AE174" s="116" t="s">
        <v>5396</v>
      </c>
      <c r="AF174" s="1167" t="s">
        <v>5397</v>
      </c>
      <c r="AG174" s="116" t="s">
        <v>5398</v>
      </c>
      <c r="AH174" s="1167" t="s">
        <v>5399</v>
      </c>
      <c r="AI174" s="138" t="s">
        <v>5400</v>
      </c>
      <c r="AJ174" s="1167" t="s">
        <v>5401</v>
      </c>
      <c r="AK174" s="115" t="s">
        <v>5402</v>
      </c>
      <c r="AL174" s="262" t="s">
        <v>5403</v>
      </c>
      <c r="AM174" s="164" t="s">
        <v>5404</v>
      </c>
      <c r="AN174" s="1167" t="s">
        <v>5405</v>
      </c>
      <c r="AO174" s="585" t="s">
        <v>5406</v>
      </c>
      <c r="AP174" s="262" t="s">
        <v>5407</v>
      </c>
      <c r="AQ174" s="164" t="s">
        <v>5408</v>
      </c>
      <c r="AR174" s="113" t="s">
        <v>5409</v>
      </c>
      <c r="AS174" s="585" t="s">
        <v>5410</v>
      </c>
      <c r="AT174" s="262" t="s">
        <v>5411</v>
      </c>
      <c r="AU174" s="585" t="s">
        <v>5412</v>
      </c>
      <c r="AV174" s="262" t="s">
        <v>5413</v>
      </c>
      <c r="AW174" s="164" t="s">
        <v>5414</v>
      </c>
      <c r="AX174" s="262" t="s">
        <v>5415</v>
      </c>
      <c r="AY174" s="164" t="s">
        <v>5416</v>
      </c>
      <c r="AZ174" s="1197" t="e">
        <f t="shared" si="318"/>
        <v>#VALUE!</v>
      </c>
      <c r="BA174" s="1197"/>
      <c r="BB174" s="1197"/>
      <c r="BC174" s="1197"/>
      <c r="BD174" s="1197"/>
      <c r="BE174" s="1197"/>
      <c r="BF174" s="1197"/>
      <c r="BG174" s="1197"/>
      <c r="BH174" s="1191"/>
      <c r="BI174" s="1191"/>
      <c r="BJ174" s="1191"/>
      <c r="BK174" s="1191"/>
      <c r="BR174" s="1191"/>
      <c r="BS174" s="1191"/>
      <c r="BT174" s="1191"/>
      <c r="BU174" s="1547"/>
      <c r="BV174" s="1547"/>
      <c r="CB174" s="2195" t="str">
        <f t="shared" si="319"/>
        <v xml:space="preserve"> * El total de exámenes confirmados positivos por ISP NO DEBE SUPERAR el total de exámenes procesados. </v>
      </c>
      <c r="CC174" s="2195" t="e">
        <f t="shared" si="320"/>
        <v>#VALUE!</v>
      </c>
      <c r="CD174" s="2195" t="e">
        <f t="shared" si="321"/>
        <v>#VALUE!</v>
      </c>
      <c r="CE174" s="2195" t="e">
        <f t="shared" si="322"/>
        <v>#VALUE!</v>
      </c>
      <c r="CF174" s="2195" t="e">
        <f t="shared" si="323"/>
        <v>#VALUE!</v>
      </c>
      <c r="CG174" s="2195" t="str">
        <f t="shared" si="324"/>
        <v xml:space="preserve"> * Los exámenes procesados de personas pertenecientes a Pueblos originarios NO PUEDE Superar al total de Procesados. </v>
      </c>
      <c r="CH174" s="2195" t="str">
        <f t="shared" si="325"/>
        <v xml:space="preserve"> * Los exámenes confirmados positivos por ISP de personas pertenecientes a Pueblos originarios NO PUEDE Superar al total de Procesados. </v>
      </c>
      <c r="CI174" s="2195" t="str">
        <f t="shared" si="326"/>
        <v xml:space="preserve"> * Los exámenes procesados de personas pertenecientes a Pueblos migrantes NO PUEDE Superar al total de Procesados. </v>
      </c>
      <c r="CJ174" s="2195" t="str">
        <f t="shared" si="327"/>
        <v xml:space="preserve"> * Los exámenes confirmados positivos por ISP de personas pertenecientes a Pueblos Migrantes NO PUEDE Superar al total de Procesados. </v>
      </c>
      <c r="CK174" s="2195"/>
      <c r="CL174" s="2195"/>
      <c r="CM174" s="2195"/>
      <c r="CN174" s="2195"/>
      <c r="CO174" s="2195"/>
      <c r="CP174" s="2195"/>
      <c r="CQ174" s="2195"/>
      <c r="CR174" s="2195"/>
      <c r="CS174" s="2195"/>
      <c r="CT174" s="2195"/>
      <c r="CU174" s="2195"/>
      <c r="CV174" s="2195"/>
      <c r="CW174" s="2195"/>
      <c r="CX174" s="2195" t="str">
        <f t="shared" si="328"/>
        <v/>
      </c>
      <c r="CY174" s="2195" t="str">
        <f t="shared" si="329"/>
        <v/>
      </c>
      <c r="CZ174" s="2195"/>
      <c r="DA174" s="2195"/>
      <c r="DB174" s="1446">
        <f t="shared" si="330"/>
        <v>1</v>
      </c>
      <c r="DC174" s="1446" t="e">
        <f t="shared" si="331"/>
        <v>#VALUE!</v>
      </c>
      <c r="DD174" s="1446" t="e">
        <f t="shared" si="332"/>
        <v>#VALUE!</v>
      </c>
      <c r="DE174" s="1446" t="e">
        <f t="shared" si="333"/>
        <v>#VALUE!</v>
      </c>
      <c r="DF174" s="1446" t="e">
        <f t="shared" si="334"/>
        <v>#VALUE!</v>
      </c>
      <c r="DG174" s="1446">
        <f t="shared" si="335"/>
        <v>1</v>
      </c>
      <c r="DH174" s="1446">
        <f t="shared" si="336"/>
        <v>1</v>
      </c>
      <c r="DI174" s="1446">
        <f t="shared" si="337"/>
        <v>1</v>
      </c>
      <c r="DJ174" s="1446">
        <f t="shared" si="338"/>
        <v>1</v>
      </c>
      <c r="DK174" s="1446"/>
      <c r="DL174" s="1446"/>
      <c r="DM174" s="1446"/>
      <c r="DN174" s="1446"/>
      <c r="DO174" s="1446"/>
      <c r="DP174" s="1446"/>
      <c r="DQ174" s="1446"/>
      <c r="DR174" s="1446"/>
      <c r="DS174" s="1446"/>
      <c r="DT174" s="1446"/>
      <c r="DU174" s="1446"/>
      <c r="DV174" s="1446"/>
      <c r="DW174" s="1446"/>
      <c r="DX174" s="1446">
        <f t="shared" si="339"/>
        <v>0</v>
      </c>
      <c r="DY174" s="1446">
        <f t="shared" si="339"/>
        <v>0</v>
      </c>
    </row>
    <row r="175" spans="1:131" ht="16.2" customHeight="1" x14ac:dyDescent="0.3">
      <c r="A175" s="7258">
        <v>11053401</v>
      </c>
      <c r="B175" s="10010" t="s">
        <v>1833</v>
      </c>
      <c r="C175" s="10011"/>
      <c r="D175" s="1335" t="s">
        <v>5369</v>
      </c>
      <c r="E175" s="850" t="s">
        <v>5370</v>
      </c>
      <c r="F175" s="1132" t="s">
        <v>5371</v>
      </c>
      <c r="G175" s="1131" t="s">
        <v>5372</v>
      </c>
      <c r="H175" s="1132" t="s">
        <v>5373</v>
      </c>
      <c r="I175" s="1131" t="s">
        <v>5374</v>
      </c>
      <c r="J175" s="1132" t="s">
        <v>5375</v>
      </c>
      <c r="K175" s="1131" t="s">
        <v>5376</v>
      </c>
      <c r="L175" s="1132" t="s">
        <v>5377</v>
      </c>
      <c r="M175" s="1131" t="s">
        <v>5378</v>
      </c>
      <c r="N175" s="1132" t="s">
        <v>5379</v>
      </c>
      <c r="O175" s="1131" t="s">
        <v>5380</v>
      </c>
      <c r="P175" s="1167" t="s">
        <v>5381</v>
      </c>
      <c r="Q175" s="115" t="s">
        <v>5382</v>
      </c>
      <c r="R175" s="1167" t="s">
        <v>5383</v>
      </c>
      <c r="S175" s="115" t="s">
        <v>5384</v>
      </c>
      <c r="T175" s="1167" t="s">
        <v>5385</v>
      </c>
      <c r="U175" s="115" t="s">
        <v>5386</v>
      </c>
      <c r="V175" s="1167" t="s">
        <v>5387</v>
      </c>
      <c r="W175" s="115" t="s">
        <v>5388</v>
      </c>
      <c r="X175" s="1167" t="s">
        <v>5389</v>
      </c>
      <c r="Y175" s="115" t="s">
        <v>5390</v>
      </c>
      <c r="Z175" s="1167" t="s">
        <v>5391</v>
      </c>
      <c r="AA175" s="115" t="s">
        <v>5392</v>
      </c>
      <c r="AB175" s="1167" t="s">
        <v>5393</v>
      </c>
      <c r="AC175" s="115" t="s">
        <v>5394</v>
      </c>
      <c r="AD175" s="1167" t="s">
        <v>5395</v>
      </c>
      <c r="AE175" s="116" t="s">
        <v>5396</v>
      </c>
      <c r="AF175" s="1167" t="s">
        <v>5397</v>
      </c>
      <c r="AG175" s="116" t="s">
        <v>5398</v>
      </c>
      <c r="AH175" s="1167" t="s">
        <v>5399</v>
      </c>
      <c r="AI175" s="138" t="s">
        <v>5400</v>
      </c>
      <c r="AJ175" s="1167" t="s">
        <v>5401</v>
      </c>
      <c r="AK175" s="115" t="s">
        <v>5402</v>
      </c>
      <c r="AL175" s="262" t="s">
        <v>5403</v>
      </c>
      <c r="AM175" s="164" t="s">
        <v>5404</v>
      </c>
      <c r="AN175" s="1167" t="s">
        <v>5405</v>
      </c>
      <c r="AO175" s="585" t="s">
        <v>5406</v>
      </c>
      <c r="AP175" s="262" t="s">
        <v>5407</v>
      </c>
      <c r="AQ175" s="164" t="s">
        <v>5408</v>
      </c>
      <c r="AR175" s="113" t="s">
        <v>5409</v>
      </c>
      <c r="AS175" s="585" t="s">
        <v>5410</v>
      </c>
      <c r="AT175" s="262" t="s">
        <v>5411</v>
      </c>
      <c r="AU175" s="585" t="s">
        <v>5412</v>
      </c>
      <c r="AV175" s="262" t="s">
        <v>5413</v>
      </c>
      <c r="AW175" s="164" t="s">
        <v>5414</v>
      </c>
      <c r="AX175" s="262" t="s">
        <v>5415</v>
      </c>
      <c r="AY175" s="164" t="s">
        <v>5416</v>
      </c>
      <c r="AZ175" s="1197" t="e">
        <f t="shared" si="318"/>
        <v>#VALUE!</v>
      </c>
      <c r="BA175" s="1197"/>
      <c r="BB175" s="1197"/>
      <c r="BC175" s="1197"/>
      <c r="BD175" s="1197"/>
      <c r="BE175" s="1197"/>
      <c r="BF175" s="1197"/>
      <c r="BG175" s="1197"/>
      <c r="BH175" s="1191"/>
      <c r="BI175" s="1191"/>
      <c r="BJ175" s="1191"/>
      <c r="BK175" s="1191"/>
      <c r="BR175" s="1191"/>
      <c r="BS175" s="1191"/>
      <c r="BT175" s="1191"/>
      <c r="BU175" s="1547"/>
      <c r="BV175" s="1547"/>
      <c r="CB175" s="2195" t="str">
        <f t="shared" si="319"/>
        <v xml:space="preserve"> * El total de exámenes confirmados positivos por ISP NO DEBE SUPERAR el total de exámenes procesados. </v>
      </c>
      <c r="CC175" s="2195" t="e">
        <f t="shared" si="320"/>
        <v>#VALUE!</v>
      </c>
      <c r="CD175" s="2195" t="e">
        <f t="shared" si="321"/>
        <v>#VALUE!</v>
      </c>
      <c r="CE175" s="2195" t="e">
        <f t="shared" si="322"/>
        <v>#VALUE!</v>
      </c>
      <c r="CF175" s="2195" t="e">
        <f t="shared" si="323"/>
        <v>#VALUE!</v>
      </c>
      <c r="CG175" s="2195" t="str">
        <f t="shared" si="324"/>
        <v xml:space="preserve"> * Los exámenes procesados de personas pertenecientes a Pueblos originarios NO PUEDE Superar al total de Procesados. </v>
      </c>
      <c r="CH175" s="2195" t="str">
        <f t="shared" si="325"/>
        <v xml:space="preserve"> * Los exámenes confirmados positivos por ISP de personas pertenecientes a Pueblos originarios NO PUEDE Superar al total de Procesados. </v>
      </c>
      <c r="CI175" s="2195" t="str">
        <f t="shared" si="326"/>
        <v xml:space="preserve"> * Los exámenes procesados de personas pertenecientes a Pueblos migrantes NO PUEDE Superar al total de Procesados. </v>
      </c>
      <c r="CJ175" s="2195" t="str">
        <f t="shared" si="327"/>
        <v xml:space="preserve"> * Los exámenes confirmados positivos por ISP de personas pertenecientes a Pueblos Migrantes NO PUEDE Superar al total de Procesados. </v>
      </c>
      <c r="CK175" s="2195"/>
      <c r="CL175" s="2195"/>
      <c r="CM175" s="2195"/>
      <c r="CN175" s="2195"/>
      <c r="CO175" s="2195"/>
      <c r="CP175" s="2195"/>
      <c r="CQ175" s="2195"/>
      <c r="CR175" s="2195"/>
      <c r="CS175" s="2195"/>
      <c r="CT175" s="2195"/>
      <c r="CU175" s="2195"/>
      <c r="CV175" s="2195"/>
      <c r="CW175" s="2195"/>
      <c r="CX175" s="2195" t="str">
        <f t="shared" si="328"/>
        <v/>
      </c>
      <c r="CY175" s="2195" t="str">
        <f t="shared" si="329"/>
        <v/>
      </c>
      <c r="CZ175" s="2195"/>
      <c r="DA175" s="2195"/>
      <c r="DB175" s="1446">
        <f t="shared" si="330"/>
        <v>1</v>
      </c>
      <c r="DC175" s="1446" t="e">
        <f t="shared" si="331"/>
        <v>#VALUE!</v>
      </c>
      <c r="DD175" s="1446" t="e">
        <f t="shared" si="332"/>
        <v>#VALUE!</v>
      </c>
      <c r="DE175" s="1446" t="e">
        <f t="shared" si="333"/>
        <v>#VALUE!</v>
      </c>
      <c r="DF175" s="1446" t="e">
        <f t="shared" si="334"/>
        <v>#VALUE!</v>
      </c>
      <c r="DG175" s="1446">
        <f t="shared" si="335"/>
        <v>1</v>
      </c>
      <c r="DH175" s="1446">
        <f t="shared" si="336"/>
        <v>1</v>
      </c>
      <c r="DI175" s="1446">
        <f t="shared" si="337"/>
        <v>1</v>
      </c>
      <c r="DJ175" s="1446">
        <f t="shared" si="338"/>
        <v>1</v>
      </c>
      <c r="DK175" s="1446"/>
      <c r="DL175" s="1446"/>
      <c r="DM175" s="1446"/>
      <c r="DN175" s="1446"/>
      <c r="DO175" s="1446"/>
      <c r="DP175" s="1446"/>
      <c r="DQ175" s="1446"/>
      <c r="DR175" s="1446"/>
      <c r="DS175" s="1446"/>
      <c r="DT175" s="1446"/>
      <c r="DU175" s="1446"/>
      <c r="DV175" s="1446"/>
      <c r="DW175" s="1446"/>
      <c r="DX175" s="1446">
        <f t="shared" si="339"/>
        <v>0</v>
      </c>
      <c r="DY175" s="1446">
        <f t="shared" si="339"/>
        <v>0</v>
      </c>
    </row>
    <row r="176" spans="1:131" ht="16.2" customHeight="1" x14ac:dyDescent="0.3">
      <c r="A176" s="7258">
        <v>11053402</v>
      </c>
      <c r="B176" s="10010" t="s">
        <v>1834</v>
      </c>
      <c r="C176" s="10011"/>
      <c r="D176" s="1335" t="s">
        <v>5369</v>
      </c>
      <c r="E176" s="850" t="s">
        <v>5370</v>
      </c>
      <c r="F176" s="1132" t="s">
        <v>5371</v>
      </c>
      <c r="G176" s="1131" t="s">
        <v>5372</v>
      </c>
      <c r="H176" s="1132" t="s">
        <v>5373</v>
      </c>
      <c r="I176" s="1131" t="s">
        <v>5374</v>
      </c>
      <c r="J176" s="1132" t="s">
        <v>5375</v>
      </c>
      <c r="K176" s="1131" t="s">
        <v>5376</v>
      </c>
      <c r="L176" s="1132" t="s">
        <v>5377</v>
      </c>
      <c r="M176" s="1131" t="s">
        <v>5378</v>
      </c>
      <c r="N176" s="1132" t="s">
        <v>5379</v>
      </c>
      <c r="O176" s="1131" t="s">
        <v>5380</v>
      </c>
      <c r="P176" s="1167" t="s">
        <v>5381</v>
      </c>
      <c r="Q176" s="115" t="s">
        <v>5382</v>
      </c>
      <c r="R176" s="1167" t="s">
        <v>5383</v>
      </c>
      <c r="S176" s="115" t="s">
        <v>5384</v>
      </c>
      <c r="T176" s="1167" t="s">
        <v>5385</v>
      </c>
      <c r="U176" s="115" t="s">
        <v>5386</v>
      </c>
      <c r="V176" s="1167" t="s">
        <v>5387</v>
      </c>
      <c r="W176" s="115" t="s">
        <v>5388</v>
      </c>
      <c r="X176" s="1167" t="s">
        <v>5389</v>
      </c>
      <c r="Y176" s="115" t="s">
        <v>5390</v>
      </c>
      <c r="Z176" s="1167" t="s">
        <v>5391</v>
      </c>
      <c r="AA176" s="115" t="s">
        <v>5392</v>
      </c>
      <c r="AB176" s="1167" t="s">
        <v>5393</v>
      </c>
      <c r="AC176" s="115" t="s">
        <v>5394</v>
      </c>
      <c r="AD176" s="1167" t="s">
        <v>5395</v>
      </c>
      <c r="AE176" s="116" t="s">
        <v>5396</v>
      </c>
      <c r="AF176" s="1167" t="s">
        <v>5397</v>
      </c>
      <c r="AG176" s="116" t="s">
        <v>5398</v>
      </c>
      <c r="AH176" s="1114" t="s">
        <v>5399</v>
      </c>
      <c r="AI176" s="164" t="s">
        <v>5400</v>
      </c>
      <c r="AJ176" s="1114" t="s">
        <v>5401</v>
      </c>
      <c r="AK176" s="113" t="s">
        <v>5402</v>
      </c>
      <c r="AL176" s="262" t="s">
        <v>5403</v>
      </c>
      <c r="AM176" s="164" t="s">
        <v>5404</v>
      </c>
      <c r="AN176" s="1167" t="s">
        <v>5405</v>
      </c>
      <c r="AO176" s="585" t="s">
        <v>5406</v>
      </c>
      <c r="AP176" s="262" t="s">
        <v>5407</v>
      </c>
      <c r="AQ176" s="164" t="s">
        <v>5408</v>
      </c>
      <c r="AR176" s="113" t="s">
        <v>5409</v>
      </c>
      <c r="AS176" s="585" t="s">
        <v>5410</v>
      </c>
      <c r="AT176" s="262" t="s">
        <v>5411</v>
      </c>
      <c r="AU176" s="585" t="s">
        <v>5412</v>
      </c>
      <c r="AV176" s="262" t="s">
        <v>5413</v>
      </c>
      <c r="AW176" s="164" t="s">
        <v>5414</v>
      </c>
      <c r="AX176" s="262" t="s">
        <v>5415</v>
      </c>
      <c r="AY176" s="164" t="s">
        <v>5416</v>
      </c>
      <c r="AZ176" s="1197" t="e">
        <f t="shared" si="318"/>
        <v>#VALUE!</v>
      </c>
      <c r="BA176" s="1197"/>
      <c r="BB176" s="1197"/>
      <c r="BC176" s="1197"/>
      <c r="BD176" s="1197"/>
      <c r="BE176" s="1197"/>
      <c r="BF176" s="1197"/>
      <c r="BG176" s="1197"/>
      <c r="BH176" s="1191"/>
      <c r="BI176" s="1191"/>
      <c r="BJ176" s="1191"/>
      <c r="BK176" s="1191"/>
      <c r="BR176" s="1191"/>
      <c r="BS176" s="1191"/>
      <c r="BT176" s="1191"/>
      <c r="BU176" s="1547"/>
      <c r="BV176" s="1547"/>
      <c r="CB176" s="2195" t="str">
        <f t="shared" si="319"/>
        <v xml:space="preserve"> * El total de exámenes confirmados positivos por ISP NO DEBE SUPERAR el total de exámenes procesados. </v>
      </c>
      <c r="CC176" s="2195" t="e">
        <f t="shared" si="320"/>
        <v>#VALUE!</v>
      </c>
      <c r="CD176" s="2195" t="e">
        <f t="shared" si="321"/>
        <v>#VALUE!</v>
      </c>
      <c r="CE176" s="2195" t="e">
        <f t="shared" si="322"/>
        <v>#VALUE!</v>
      </c>
      <c r="CF176" s="2195" t="e">
        <f t="shared" si="323"/>
        <v>#VALUE!</v>
      </c>
      <c r="CG176" s="2195" t="str">
        <f t="shared" si="324"/>
        <v xml:space="preserve"> * Los exámenes procesados de personas pertenecientes a Pueblos originarios NO PUEDE Superar al total de Procesados. </v>
      </c>
      <c r="CH176" s="2195" t="str">
        <f t="shared" si="325"/>
        <v xml:space="preserve"> * Los exámenes confirmados positivos por ISP de personas pertenecientes a Pueblos originarios NO PUEDE Superar al total de Procesados. </v>
      </c>
      <c r="CI176" s="2195" t="str">
        <f t="shared" si="326"/>
        <v xml:space="preserve"> * Los exámenes procesados de personas pertenecientes a Pueblos migrantes NO PUEDE Superar al total de Procesados. </v>
      </c>
      <c r="CJ176" s="2195" t="str">
        <f t="shared" si="327"/>
        <v xml:space="preserve"> * Los exámenes confirmados positivos por ISP de personas pertenecientes a Pueblos Migrantes NO PUEDE Superar al total de Procesados. </v>
      </c>
      <c r="CK176" s="2195"/>
      <c r="CL176" s="2195"/>
      <c r="CM176" s="2195"/>
      <c r="CN176" s="2195"/>
      <c r="CO176" s="2195"/>
      <c r="CP176" s="2195"/>
      <c r="CQ176" s="2195"/>
      <c r="CR176" s="2195"/>
      <c r="CS176" s="2195"/>
      <c r="CT176" s="2195"/>
      <c r="CU176" s="2195"/>
      <c r="CV176" s="2195"/>
      <c r="CW176" s="2195"/>
      <c r="CX176" s="2195" t="str">
        <f t="shared" si="328"/>
        <v/>
      </c>
      <c r="CY176" s="2195" t="str">
        <f t="shared" si="329"/>
        <v/>
      </c>
      <c r="CZ176" s="2195"/>
      <c r="DA176" s="2195"/>
      <c r="DB176" s="1446">
        <f t="shared" si="330"/>
        <v>1</v>
      </c>
      <c r="DC176" s="1446" t="e">
        <f t="shared" si="331"/>
        <v>#VALUE!</v>
      </c>
      <c r="DD176" s="1446" t="e">
        <f t="shared" si="332"/>
        <v>#VALUE!</v>
      </c>
      <c r="DE176" s="1446" t="e">
        <f t="shared" si="333"/>
        <v>#VALUE!</v>
      </c>
      <c r="DF176" s="1446" t="e">
        <f t="shared" si="334"/>
        <v>#VALUE!</v>
      </c>
      <c r="DG176" s="1446">
        <f t="shared" si="335"/>
        <v>1</v>
      </c>
      <c r="DH176" s="1446">
        <f t="shared" si="336"/>
        <v>1</v>
      </c>
      <c r="DI176" s="1446">
        <f t="shared" si="337"/>
        <v>1</v>
      </c>
      <c r="DJ176" s="1446">
        <f t="shared" si="338"/>
        <v>1</v>
      </c>
      <c r="DK176" s="1446"/>
      <c r="DL176" s="1446"/>
      <c r="DM176" s="1446"/>
      <c r="DN176" s="1446"/>
      <c r="DO176" s="1446"/>
      <c r="DP176" s="1446"/>
      <c r="DQ176" s="1446"/>
      <c r="DR176" s="1446"/>
      <c r="DS176" s="1446"/>
      <c r="DT176" s="1446"/>
      <c r="DU176" s="1446"/>
      <c r="DV176" s="1446"/>
      <c r="DW176" s="1446"/>
      <c r="DX176" s="1446">
        <f t="shared" si="339"/>
        <v>0</v>
      </c>
      <c r="DY176" s="1446">
        <f t="shared" si="339"/>
        <v>0</v>
      </c>
    </row>
    <row r="177" spans="1:129" ht="16.2" customHeight="1" x14ac:dyDescent="0.3">
      <c r="A177" s="7258">
        <v>11053500</v>
      </c>
      <c r="B177" s="1184" t="s">
        <v>1835</v>
      </c>
      <c r="C177" s="1185"/>
      <c r="D177" s="1335" t="s">
        <v>5369</v>
      </c>
      <c r="E177" s="850" t="s">
        <v>5370</v>
      </c>
      <c r="F177" s="1132" t="s">
        <v>5371</v>
      </c>
      <c r="G177" s="1131" t="s">
        <v>5372</v>
      </c>
      <c r="H177" s="1132" t="s">
        <v>5373</v>
      </c>
      <c r="I177" s="1131" t="s">
        <v>5374</v>
      </c>
      <c r="J177" s="1132" t="s">
        <v>5375</v>
      </c>
      <c r="K177" s="1131" t="s">
        <v>5376</v>
      </c>
      <c r="L177" s="1132" t="s">
        <v>5377</v>
      </c>
      <c r="M177" s="1131" t="s">
        <v>5378</v>
      </c>
      <c r="N177" s="1132" t="s">
        <v>5379</v>
      </c>
      <c r="O177" s="1131" t="s">
        <v>5380</v>
      </c>
      <c r="P177" s="1167" t="s">
        <v>5381</v>
      </c>
      <c r="Q177" s="115" t="s">
        <v>5382</v>
      </c>
      <c r="R177" s="1167" t="s">
        <v>5383</v>
      </c>
      <c r="S177" s="115" t="s">
        <v>5384</v>
      </c>
      <c r="T177" s="1167" t="s">
        <v>5385</v>
      </c>
      <c r="U177" s="115" t="s">
        <v>5386</v>
      </c>
      <c r="V177" s="1167" t="s">
        <v>5387</v>
      </c>
      <c r="W177" s="115" t="s">
        <v>5388</v>
      </c>
      <c r="X177" s="1167" t="s">
        <v>5389</v>
      </c>
      <c r="Y177" s="115" t="s">
        <v>5390</v>
      </c>
      <c r="Z177" s="1167" t="s">
        <v>5391</v>
      </c>
      <c r="AA177" s="115" t="s">
        <v>5392</v>
      </c>
      <c r="AB177" s="1167" t="s">
        <v>5393</v>
      </c>
      <c r="AC177" s="115" t="s">
        <v>5394</v>
      </c>
      <c r="AD177" s="1167" t="s">
        <v>5395</v>
      </c>
      <c r="AE177" s="116" t="s">
        <v>5396</v>
      </c>
      <c r="AF177" s="1167" t="s">
        <v>5397</v>
      </c>
      <c r="AG177" s="116" t="s">
        <v>5398</v>
      </c>
      <c r="AH177" s="1167" t="s">
        <v>5399</v>
      </c>
      <c r="AI177" s="138" t="s">
        <v>5400</v>
      </c>
      <c r="AJ177" s="1167" t="s">
        <v>5401</v>
      </c>
      <c r="AK177" s="115" t="s">
        <v>5402</v>
      </c>
      <c r="AL177" s="262" t="s">
        <v>5403</v>
      </c>
      <c r="AM177" s="164" t="s">
        <v>5404</v>
      </c>
      <c r="AN177" s="1167" t="s">
        <v>5405</v>
      </c>
      <c r="AO177" s="585" t="s">
        <v>5406</v>
      </c>
      <c r="AP177" s="262" t="s">
        <v>5407</v>
      </c>
      <c r="AQ177" s="164" t="s">
        <v>5408</v>
      </c>
      <c r="AR177" s="113" t="s">
        <v>5409</v>
      </c>
      <c r="AS177" s="585" t="s">
        <v>5410</v>
      </c>
      <c r="AT177" s="262" t="s">
        <v>5411</v>
      </c>
      <c r="AU177" s="585" t="s">
        <v>5412</v>
      </c>
      <c r="AV177" s="262" t="s">
        <v>5413</v>
      </c>
      <c r="AW177" s="164" t="s">
        <v>5414</v>
      </c>
      <c r="AX177" s="262" t="s">
        <v>5415</v>
      </c>
      <c r="AY177" s="164" t="s">
        <v>5416</v>
      </c>
      <c r="AZ177" s="1197" t="e">
        <f t="shared" si="318"/>
        <v>#VALUE!</v>
      </c>
      <c r="BA177" s="1197"/>
      <c r="BB177" s="1197"/>
      <c r="BC177" s="1197"/>
      <c r="BD177" s="1197"/>
      <c r="BE177" s="1197"/>
      <c r="BF177" s="1197"/>
      <c r="BG177" s="1197"/>
      <c r="BH177" s="1191"/>
      <c r="BI177" s="1191"/>
      <c r="BJ177" s="1191"/>
      <c r="BK177" s="1191"/>
      <c r="BR177" s="1191"/>
      <c r="BS177" s="1191"/>
      <c r="BT177" s="1191"/>
      <c r="BU177" s="1547"/>
      <c r="BV177" s="1547"/>
      <c r="CB177" s="2195" t="str">
        <f t="shared" si="319"/>
        <v xml:space="preserve"> * El total de exámenes confirmados positivos por ISP NO DEBE SUPERAR el total de exámenes procesados. </v>
      </c>
      <c r="CC177" s="2195" t="e">
        <f t="shared" si="320"/>
        <v>#VALUE!</v>
      </c>
      <c r="CD177" s="2195" t="e">
        <f t="shared" si="321"/>
        <v>#VALUE!</v>
      </c>
      <c r="CE177" s="2195" t="e">
        <f t="shared" si="322"/>
        <v>#VALUE!</v>
      </c>
      <c r="CF177" s="2195" t="e">
        <f t="shared" si="323"/>
        <v>#VALUE!</v>
      </c>
      <c r="CG177" s="2195" t="str">
        <f t="shared" si="324"/>
        <v xml:space="preserve"> * Los exámenes procesados de personas pertenecientes a Pueblos originarios NO PUEDE Superar al total de Procesados. </v>
      </c>
      <c r="CH177" s="2195" t="str">
        <f t="shared" si="325"/>
        <v xml:space="preserve"> * Los exámenes confirmados positivos por ISP de personas pertenecientes a Pueblos originarios NO PUEDE Superar al total de Procesados. </v>
      </c>
      <c r="CI177" s="2195" t="str">
        <f t="shared" si="326"/>
        <v xml:space="preserve"> * Los exámenes procesados de personas pertenecientes a Pueblos migrantes NO PUEDE Superar al total de Procesados. </v>
      </c>
      <c r="CJ177" s="2195" t="str">
        <f t="shared" si="327"/>
        <v xml:space="preserve"> * Los exámenes confirmados positivos por ISP de personas pertenecientes a Pueblos Migrantes NO PUEDE Superar al total de Procesados. </v>
      </c>
      <c r="CK177" s="2195"/>
      <c r="CL177" s="2195"/>
      <c r="CM177" s="2195"/>
      <c r="CN177" s="2195"/>
      <c r="CO177" s="2195"/>
      <c r="CP177" s="2195"/>
      <c r="CQ177" s="2195"/>
      <c r="CR177" s="2195"/>
      <c r="CS177" s="2195"/>
      <c r="CT177" s="2195"/>
      <c r="CU177" s="2195"/>
      <c r="CV177" s="2195"/>
      <c r="CW177" s="2195"/>
      <c r="CX177" s="2195" t="str">
        <f t="shared" si="328"/>
        <v/>
      </c>
      <c r="CY177" s="2195" t="str">
        <f t="shared" si="329"/>
        <v/>
      </c>
      <c r="CZ177" s="2195"/>
      <c r="DA177" s="2195"/>
      <c r="DB177" s="1446">
        <f t="shared" si="330"/>
        <v>1</v>
      </c>
      <c r="DC177" s="1446" t="e">
        <f t="shared" si="331"/>
        <v>#VALUE!</v>
      </c>
      <c r="DD177" s="1446" t="e">
        <f t="shared" si="332"/>
        <v>#VALUE!</v>
      </c>
      <c r="DE177" s="1446" t="e">
        <f t="shared" si="333"/>
        <v>#VALUE!</v>
      </c>
      <c r="DF177" s="1446" t="e">
        <f t="shared" si="334"/>
        <v>#VALUE!</v>
      </c>
      <c r="DG177" s="1446">
        <f t="shared" si="335"/>
        <v>1</v>
      </c>
      <c r="DH177" s="1446">
        <f t="shared" si="336"/>
        <v>1</v>
      </c>
      <c r="DI177" s="1446">
        <f t="shared" si="337"/>
        <v>1</v>
      </c>
      <c r="DJ177" s="1446">
        <f t="shared" si="338"/>
        <v>1</v>
      </c>
      <c r="DK177" s="1446"/>
      <c r="DL177" s="1446"/>
      <c r="DM177" s="1446"/>
      <c r="DN177" s="1446"/>
      <c r="DO177" s="1446"/>
      <c r="DP177" s="1446"/>
      <c r="DQ177" s="1446"/>
      <c r="DR177" s="1446"/>
      <c r="DS177" s="1446"/>
      <c r="DT177" s="1446"/>
      <c r="DU177" s="1446"/>
      <c r="DV177" s="1446"/>
      <c r="DW177" s="1446"/>
      <c r="DX177" s="1446">
        <f t="shared" ref="DX177:DY182" si="340">IF(AND(D177&lt;&gt;0,OR(AP177="",AR177="",AT177="",AV177="")),1,0)</f>
        <v>0</v>
      </c>
      <c r="DY177" s="1446">
        <f t="shared" si="340"/>
        <v>0</v>
      </c>
    </row>
    <row r="178" spans="1:129" ht="16.2" customHeight="1" x14ac:dyDescent="0.3">
      <c r="A178" s="7258">
        <v>11053501</v>
      </c>
      <c r="B178" s="10010" t="s">
        <v>1836</v>
      </c>
      <c r="C178" s="10011"/>
      <c r="D178" s="1335" t="s">
        <v>5369</v>
      </c>
      <c r="E178" s="850" t="s">
        <v>5370</v>
      </c>
      <c r="F178" s="1167" t="s">
        <v>5371</v>
      </c>
      <c r="G178" s="115" t="s">
        <v>5372</v>
      </c>
      <c r="H178" s="1167" t="s">
        <v>5373</v>
      </c>
      <c r="I178" s="115" t="s">
        <v>5374</v>
      </c>
      <c r="J178" s="1167" t="s">
        <v>5375</v>
      </c>
      <c r="K178" s="115" t="s">
        <v>5376</v>
      </c>
      <c r="L178" s="1167" t="s">
        <v>5377</v>
      </c>
      <c r="M178" s="115" t="s">
        <v>5378</v>
      </c>
      <c r="N178" s="1167" t="s">
        <v>5379</v>
      </c>
      <c r="O178" s="115" t="s">
        <v>5380</v>
      </c>
      <c r="P178" s="1167" t="s">
        <v>5381</v>
      </c>
      <c r="Q178" s="115" t="s">
        <v>5382</v>
      </c>
      <c r="R178" s="1167" t="s">
        <v>5383</v>
      </c>
      <c r="S178" s="115" t="s">
        <v>5384</v>
      </c>
      <c r="T178" s="1167" t="s">
        <v>5385</v>
      </c>
      <c r="U178" s="115" t="s">
        <v>5386</v>
      </c>
      <c r="V178" s="1167" t="s">
        <v>5387</v>
      </c>
      <c r="W178" s="115" t="s">
        <v>5388</v>
      </c>
      <c r="X178" s="1167" t="s">
        <v>5389</v>
      </c>
      <c r="Y178" s="115" t="s">
        <v>5390</v>
      </c>
      <c r="Z178" s="1167" t="s">
        <v>5391</v>
      </c>
      <c r="AA178" s="115" t="s">
        <v>5392</v>
      </c>
      <c r="AB178" s="1167" t="s">
        <v>5393</v>
      </c>
      <c r="AC178" s="115" t="s">
        <v>5394</v>
      </c>
      <c r="AD178" s="1167" t="s">
        <v>5395</v>
      </c>
      <c r="AE178" s="116" t="s">
        <v>5396</v>
      </c>
      <c r="AF178" s="1167" t="s">
        <v>5397</v>
      </c>
      <c r="AG178" s="116" t="s">
        <v>5398</v>
      </c>
      <c r="AH178" s="1167" t="s">
        <v>5399</v>
      </c>
      <c r="AI178" s="138" t="s">
        <v>5400</v>
      </c>
      <c r="AJ178" s="1167" t="s">
        <v>5401</v>
      </c>
      <c r="AK178" s="115" t="s">
        <v>5402</v>
      </c>
      <c r="AL178" s="262" t="s">
        <v>5403</v>
      </c>
      <c r="AM178" s="164" t="s">
        <v>5404</v>
      </c>
      <c r="AN178" s="1167" t="s">
        <v>5405</v>
      </c>
      <c r="AO178" s="585" t="s">
        <v>5406</v>
      </c>
      <c r="AP178" s="262" t="s">
        <v>5407</v>
      </c>
      <c r="AQ178" s="164" t="s">
        <v>5408</v>
      </c>
      <c r="AR178" s="113" t="s">
        <v>5409</v>
      </c>
      <c r="AS178" s="585" t="s">
        <v>5410</v>
      </c>
      <c r="AT178" s="262" t="s">
        <v>5411</v>
      </c>
      <c r="AU178" s="585" t="s">
        <v>5412</v>
      </c>
      <c r="AV178" s="262" t="s">
        <v>5413</v>
      </c>
      <c r="AW178" s="164" t="s">
        <v>5414</v>
      </c>
      <c r="AX178" s="262" t="s">
        <v>5415</v>
      </c>
      <c r="AY178" s="164" t="s">
        <v>5416</v>
      </c>
      <c r="AZ178" s="1197" t="e">
        <f t="shared" si="318"/>
        <v>#VALUE!</v>
      </c>
      <c r="BA178" s="1197"/>
      <c r="BB178" s="1197"/>
      <c r="BC178" s="1197"/>
      <c r="BD178" s="1197"/>
      <c r="BE178" s="1197"/>
      <c r="BF178" s="1197"/>
      <c r="BG178" s="1197"/>
      <c r="BH178" s="1191"/>
      <c r="BI178" s="1191"/>
      <c r="BJ178" s="1191"/>
      <c r="BK178" s="1191"/>
      <c r="BR178" s="1191"/>
      <c r="BS178" s="1191"/>
      <c r="BT178" s="1191"/>
      <c r="BU178" s="1547"/>
      <c r="BV178" s="1547"/>
      <c r="CB178" s="2195" t="str">
        <f t="shared" si="319"/>
        <v xml:space="preserve"> * El total de exámenes confirmados positivos por ISP NO DEBE SUPERAR el total de exámenes procesados. </v>
      </c>
      <c r="CC178" s="2195" t="e">
        <f t="shared" si="320"/>
        <v>#VALUE!</v>
      </c>
      <c r="CD178" s="2195" t="e">
        <f t="shared" si="321"/>
        <v>#VALUE!</v>
      </c>
      <c r="CE178" s="2195" t="e">
        <f t="shared" si="322"/>
        <v>#VALUE!</v>
      </c>
      <c r="CF178" s="2195" t="e">
        <f t="shared" si="323"/>
        <v>#VALUE!</v>
      </c>
      <c r="CG178" s="2195" t="str">
        <f t="shared" si="324"/>
        <v xml:space="preserve"> * Los exámenes procesados de personas pertenecientes a Pueblos originarios NO PUEDE Superar al total de Procesados. </v>
      </c>
      <c r="CH178" s="2195" t="str">
        <f t="shared" si="325"/>
        <v xml:space="preserve"> * Los exámenes confirmados positivos por ISP de personas pertenecientes a Pueblos originarios NO PUEDE Superar al total de Procesados. </v>
      </c>
      <c r="CI178" s="2195" t="str">
        <f t="shared" si="326"/>
        <v xml:space="preserve"> * Los exámenes procesados de personas pertenecientes a Pueblos migrantes NO PUEDE Superar al total de Procesados. </v>
      </c>
      <c r="CJ178" s="2195" t="str">
        <f t="shared" si="327"/>
        <v xml:space="preserve"> * Los exámenes confirmados positivos por ISP de personas pertenecientes a Pueblos Migrantes NO PUEDE Superar al total de Procesados. </v>
      </c>
      <c r="CK178" s="2195"/>
      <c r="CL178" s="2195"/>
      <c r="CM178" s="2195"/>
      <c r="CN178" s="2195"/>
      <c r="CO178" s="2195"/>
      <c r="CP178" s="2195"/>
      <c r="CQ178" s="2195"/>
      <c r="CR178" s="2195"/>
      <c r="CS178" s="2195"/>
      <c r="CT178" s="2195"/>
      <c r="CU178" s="2195"/>
      <c r="CV178" s="2195"/>
      <c r="CW178" s="2195"/>
      <c r="CX178" s="2195" t="str">
        <f t="shared" si="328"/>
        <v/>
      </c>
      <c r="CY178" s="2195" t="str">
        <f t="shared" si="329"/>
        <v/>
      </c>
      <c r="CZ178" s="2195"/>
      <c r="DA178" s="2195"/>
      <c r="DB178" s="1446">
        <f t="shared" si="330"/>
        <v>1</v>
      </c>
      <c r="DC178" s="1446" t="e">
        <f t="shared" si="331"/>
        <v>#VALUE!</v>
      </c>
      <c r="DD178" s="1446" t="e">
        <f t="shared" si="332"/>
        <v>#VALUE!</v>
      </c>
      <c r="DE178" s="1446" t="e">
        <f t="shared" si="333"/>
        <v>#VALUE!</v>
      </c>
      <c r="DF178" s="1446" t="e">
        <f t="shared" si="334"/>
        <v>#VALUE!</v>
      </c>
      <c r="DG178" s="1446">
        <f t="shared" si="335"/>
        <v>1</v>
      </c>
      <c r="DH178" s="1446">
        <f t="shared" si="336"/>
        <v>1</v>
      </c>
      <c r="DI178" s="1446">
        <f t="shared" si="337"/>
        <v>1</v>
      </c>
      <c r="DJ178" s="1446">
        <f t="shared" si="338"/>
        <v>1</v>
      </c>
      <c r="DK178" s="1446"/>
      <c r="DL178" s="1446"/>
      <c r="DM178" s="1446"/>
      <c r="DN178" s="1446"/>
      <c r="DO178" s="1446"/>
      <c r="DP178" s="1446"/>
      <c r="DQ178" s="1446"/>
      <c r="DR178" s="1446"/>
      <c r="DS178" s="1446"/>
      <c r="DT178" s="1446"/>
      <c r="DU178" s="1446"/>
      <c r="DV178" s="1446"/>
      <c r="DW178" s="1446"/>
      <c r="DX178" s="1446">
        <f t="shared" si="340"/>
        <v>0</v>
      </c>
      <c r="DY178" s="1446">
        <f t="shared" si="340"/>
        <v>0</v>
      </c>
    </row>
    <row r="179" spans="1:129" ht="16.2" customHeight="1" x14ac:dyDescent="0.3">
      <c r="A179" s="7258">
        <v>11053502</v>
      </c>
      <c r="B179" s="10010" t="s">
        <v>1837</v>
      </c>
      <c r="C179" s="10011"/>
      <c r="D179" s="1335" t="s">
        <v>5369</v>
      </c>
      <c r="E179" s="850" t="s">
        <v>5370</v>
      </c>
      <c r="F179" s="1167" t="s">
        <v>5371</v>
      </c>
      <c r="G179" s="115" t="s">
        <v>5372</v>
      </c>
      <c r="H179" s="1167" t="s">
        <v>5373</v>
      </c>
      <c r="I179" s="115" t="s">
        <v>5374</v>
      </c>
      <c r="J179" s="1167" t="s">
        <v>5375</v>
      </c>
      <c r="K179" s="115" t="s">
        <v>5376</v>
      </c>
      <c r="L179" s="1167" t="s">
        <v>5377</v>
      </c>
      <c r="M179" s="115" t="s">
        <v>5378</v>
      </c>
      <c r="N179" s="1167" t="s">
        <v>5379</v>
      </c>
      <c r="O179" s="115" t="s">
        <v>5380</v>
      </c>
      <c r="P179" s="1167" t="s">
        <v>5381</v>
      </c>
      <c r="Q179" s="115" t="s">
        <v>5382</v>
      </c>
      <c r="R179" s="1167" t="s">
        <v>5383</v>
      </c>
      <c r="S179" s="115" t="s">
        <v>5384</v>
      </c>
      <c r="T179" s="1167" t="s">
        <v>5385</v>
      </c>
      <c r="U179" s="115" t="s">
        <v>5386</v>
      </c>
      <c r="V179" s="1167" t="s">
        <v>5387</v>
      </c>
      <c r="W179" s="115" t="s">
        <v>5388</v>
      </c>
      <c r="X179" s="1167" t="s">
        <v>5389</v>
      </c>
      <c r="Y179" s="115" t="s">
        <v>5390</v>
      </c>
      <c r="Z179" s="1167" t="s">
        <v>5391</v>
      </c>
      <c r="AA179" s="115" t="s">
        <v>5392</v>
      </c>
      <c r="AB179" s="1167" t="s">
        <v>5393</v>
      </c>
      <c r="AC179" s="115" t="s">
        <v>5394</v>
      </c>
      <c r="AD179" s="1167" t="s">
        <v>5395</v>
      </c>
      <c r="AE179" s="116" t="s">
        <v>5396</v>
      </c>
      <c r="AF179" s="1167" t="s">
        <v>5397</v>
      </c>
      <c r="AG179" s="116" t="s">
        <v>5398</v>
      </c>
      <c r="AH179" s="1167" t="s">
        <v>5399</v>
      </c>
      <c r="AI179" s="138" t="s">
        <v>5400</v>
      </c>
      <c r="AJ179" s="1167" t="s">
        <v>5401</v>
      </c>
      <c r="AK179" s="115" t="s">
        <v>5402</v>
      </c>
      <c r="AL179" s="262" t="s">
        <v>5403</v>
      </c>
      <c r="AM179" s="164" t="s">
        <v>5404</v>
      </c>
      <c r="AN179" s="1167" t="s">
        <v>5405</v>
      </c>
      <c r="AO179" s="585" t="s">
        <v>5406</v>
      </c>
      <c r="AP179" s="262" t="s">
        <v>5407</v>
      </c>
      <c r="AQ179" s="164" t="s">
        <v>5408</v>
      </c>
      <c r="AR179" s="113" t="s">
        <v>5409</v>
      </c>
      <c r="AS179" s="585" t="s">
        <v>5410</v>
      </c>
      <c r="AT179" s="262" t="s">
        <v>5411</v>
      </c>
      <c r="AU179" s="585" t="s">
        <v>5412</v>
      </c>
      <c r="AV179" s="262" t="s">
        <v>5413</v>
      </c>
      <c r="AW179" s="164" t="s">
        <v>5414</v>
      </c>
      <c r="AX179" s="262" t="s">
        <v>5415</v>
      </c>
      <c r="AY179" s="164" t="s">
        <v>5416</v>
      </c>
      <c r="AZ179" s="1197" t="e">
        <f t="shared" si="318"/>
        <v>#VALUE!</v>
      </c>
      <c r="BA179" s="1197"/>
      <c r="BB179" s="1197"/>
      <c r="BC179" s="1197"/>
      <c r="BD179" s="1197"/>
      <c r="BE179" s="1197"/>
      <c r="BF179" s="1197"/>
      <c r="BG179" s="1197"/>
      <c r="BH179" s="1191"/>
      <c r="BI179" s="1191"/>
      <c r="BJ179" s="1191"/>
      <c r="BK179" s="1191"/>
      <c r="BR179" s="1191"/>
      <c r="BS179" s="1191"/>
      <c r="BT179" s="1191"/>
      <c r="BU179" s="1547"/>
      <c r="BV179" s="1547"/>
      <c r="CB179" s="2195" t="str">
        <f t="shared" si="319"/>
        <v xml:space="preserve"> * El total de exámenes confirmados positivos por ISP NO DEBE SUPERAR el total de exámenes procesados. </v>
      </c>
      <c r="CC179" s="2195" t="e">
        <f t="shared" si="320"/>
        <v>#VALUE!</v>
      </c>
      <c r="CD179" s="2195" t="e">
        <f t="shared" si="321"/>
        <v>#VALUE!</v>
      </c>
      <c r="CE179" s="2195" t="e">
        <f t="shared" si="322"/>
        <v>#VALUE!</v>
      </c>
      <c r="CF179" s="2195" t="e">
        <f t="shared" si="323"/>
        <v>#VALUE!</v>
      </c>
      <c r="CG179" s="2195" t="str">
        <f t="shared" si="324"/>
        <v xml:space="preserve"> * Los exámenes procesados de personas pertenecientes a Pueblos originarios NO PUEDE Superar al total de Procesados. </v>
      </c>
      <c r="CH179" s="2195" t="str">
        <f t="shared" si="325"/>
        <v xml:space="preserve"> * Los exámenes confirmados positivos por ISP de personas pertenecientes a Pueblos originarios NO PUEDE Superar al total de Procesados. </v>
      </c>
      <c r="CI179" s="2195" t="str">
        <f t="shared" si="326"/>
        <v xml:space="preserve"> * Los exámenes procesados de personas pertenecientes a Pueblos migrantes NO PUEDE Superar al total de Procesados. </v>
      </c>
      <c r="CJ179" s="2195" t="str">
        <f t="shared" si="327"/>
        <v xml:space="preserve"> * Los exámenes confirmados positivos por ISP de personas pertenecientes a Pueblos Migrantes NO PUEDE Superar al total de Procesados. </v>
      </c>
      <c r="CK179" s="2195"/>
      <c r="CL179" s="2195"/>
      <c r="CM179" s="2195"/>
      <c r="CN179" s="2195"/>
      <c r="CO179" s="2195"/>
      <c r="CP179" s="2195"/>
      <c r="CQ179" s="2195"/>
      <c r="CR179" s="2195"/>
      <c r="CS179" s="2195"/>
      <c r="CT179" s="2195"/>
      <c r="CU179" s="2195"/>
      <c r="CV179" s="2195"/>
      <c r="CW179" s="2195"/>
      <c r="CX179" s="2195" t="str">
        <f t="shared" si="328"/>
        <v/>
      </c>
      <c r="CY179" s="2195" t="str">
        <f t="shared" si="329"/>
        <v/>
      </c>
      <c r="CZ179" s="2195"/>
      <c r="DA179" s="2195"/>
      <c r="DB179" s="1446">
        <f t="shared" si="330"/>
        <v>1</v>
      </c>
      <c r="DC179" s="1446" t="e">
        <f t="shared" si="331"/>
        <v>#VALUE!</v>
      </c>
      <c r="DD179" s="1446" t="e">
        <f t="shared" si="332"/>
        <v>#VALUE!</v>
      </c>
      <c r="DE179" s="1446" t="e">
        <f t="shared" si="333"/>
        <v>#VALUE!</v>
      </c>
      <c r="DF179" s="1446" t="e">
        <f t="shared" si="334"/>
        <v>#VALUE!</v>
      </c>
      <c r="DG179" s="1446">
        <f t="shared" si="335"/>
        <v>1</v>
      </c>
      <c r="DH179" s="1446">
        <f t="shared" si="336"/>
        <v>1</v>
      </c>
      <c r="DI179" s="1446">
        <f t="shared" si="337"/>
        <v>1</v>
      </c>
      <c r="DJ179" s="1446">
        <f t="shared" si="338"/>
        <v>1</v>
      </c>
      <c r="DK179" s="1446"/>
      <c r="DL179" s="1446"/>
      <c r="DM179" s="1446"/>
      <c r="DN179" s="1446"/>
      <c r="DO179" s="1446"/>
      <c r="DP179" s="1446"/>
      <c r="DQ179" s="1446"/>
      <c r="DR179" s="1446"/>
      <c r="DS179" s="1446"/>
      <c r="DT179" s="1446"/>
      <c r="DU179" s="1446"/>
      <c r="DV179" s="1446"/>
      <c r="DW179" s="1446"/>
      <c r="DX179" s="1446">
        <f t="shared" si="340"/>
        <v>0</v>
      </c>
      <c r="DY179" s="1446">
        <f t="shared" si="340"/>
        <v>0</v>
      </c>
    </row>
    <row r="180" spans="1:129" ht="16.2" customHeight="1" x14ac:dyDescent="0.3">
      <c r="A180" s="7258">
        <v>11053503</v>
      </c>
      <c r="B180" s="10010" t="s">
        <v>1838</v>
      </c>
      <c r="C180" s="10011"/>
      <c r="D180" s="1335" t="s">
        <v>5369</v>
      </c>
      <c r="E180" s="850" t="s">
        <v>5370</v>
      </c>
      <c r="F180" s="1167" t="s">
        <v>5371</v>
      </c>
      <c r="G180" s="115" t="s">
        <v>5372</v>
      </c>
      <c r="H180" s="1167" t="s">
        <v>5373</v>
      </c>
      <c r="I180" s="115" t="s">
        <v>5374</v>
      </c>
      <c r="J180" s="1167" t="s">
        <v>5375</v>
      </c>
      <c r="K180" s="115" t="s">
        <v>5376</v>
      </c>
      <c r="L180" s="1167" t="s">
        <v>5377</v>
      </c>
      <c r="M180" s="115" t="s">
        <v>5378</v>
      </c>
      <c r="N180" s="1167" t="s">
        <v>5379</v>
      </c>
      <c r="O180" s="115" t="s">
        <v>5380</v>
      </c>
      <c r="P180" s="1167" t="s">
        <v>5381</v>
      </c>
      <c r="Q180" s="115" t="s">
        <v>5382</v>
      </c>
      <c r="R180" s="1167" t="s">
        <v>5383</v>
      </c>
      <c r="S180" s="115" t="s">
        <v>5384</v>
      </c>
      <c r="T180" s="1167" t="s">
        <v>5385</v>
      </c>
      <c r="U180" s="115" t="s">
        <v>5386</v>
      </c>
      <c r="V180" s="1167" t="s">
        <v>5387</v>
      </c>
      <c r="W180" s="115" t="s">
        <v>5388</v>
      </c>
      <c r="X180" s="1167" t="s">
        <v>5389</v>
      </c>
      <c r="Y180" s="115" t="s">
        <v>5390</v>
      </c>
      <c r="Z180" s="1167" t="s">
        <v>5391</v>
      </c>
      <c r="AA180" s="115" t="s">
        <v>5392</v>
      </c>
      <c r="AB180" s="1167" t="s">
        <v>5393</v>
      </c>
      <c r="AC180" s="115" t="s">
        <v>5394</v>
      </c>
      <c r="AD180" s="1167" t="s">
        <v>5395</v>
      </c>
      <c r="AE180" s="116" t="s">
        <v>5396</v>
      </c>
      <c r="AF180" s="1167" t="s">
        <v>5397</v>
      </c>
      <c r="AG180" s="116" t="s">
        <v>5398</v>
      </c>
      <c r="AH180" s="1167" t="s">
        <v>5399</v>
      </c>
      <c r="AI180" s="138" t="s">
        <v>5400</v>
      </c>
      <c r="AJ180" s="1167" t="s">
        <v>5401</v>
      </c>
      <c r="AK180" s="115" t="s">
        <v>5402</v>
      </c>
      <c r="AL180" s="262" t="s">
        <v>5403</v>
      </c>
      <c r="AM180" s="164" t="s">
        <v>5404</v>
      </c>
      <c r="AN180" s="1167" t="s">
        <v>5405</v>
      </c>
      <c r="AO180" s="585" t="s">
        <v>5406</v>
      </c>
      <c r="AP180" s="262" t="s">
        <v>5407</v>
      </c>
      <c r="AQ180" s="164" t="s">
        <v>5408</v>
      </c>
      <c r="AR180" s="113" t="s">
        <v>5409</v>
      </c>
      <c r="AS180" s="585" t="s">
        <v>5410</v>
      </c>
      <c r="AT180" s="262" t="s">
        <v>5411</v>
      </c>
      <c r="AU180" s="585" t="s">
        <v>5412</v>
      </c>
      <c r="AV180" s="262" t="s">
        <v>5413</v>
      </c>
      <c r="AW180" s="164" t="s">
        <v>5414</v>
      </c>
      <c r="AX180" s="262" t="s">
        <v>5415</v>
      </c>
      <c r="AY180" s="164" t="s">
        <v>5416</v>
      </c>
      <c r="AZ180" s="1197" t="e">
        <f t="shared" si="318"/>
        <v>#VALUE!</v>
      </c>
      <c r="BA180" s="1197"/>
      <c r="BB180" s="1197"/>
      <c r="BC180" s="1197"/>
      <c r="BD180" s="1197"/>
      <c r="BE180" s="1197"/>
      <c r="BF180" s="1197"/>
      <c r="BG180" s="1197"/>
      <c r="BH180" s="1191"/>
      <c r="BI180" s="1191"/>
      <c r="BJ180" s="1191"/>
      <c r="BK180" s="1191"/>
      <c r="BR180" s="1191"/>
      <c r="BS180" s="1191"/>
      <c r="BT180" s="1191"/>
      <c r="BU180" s="1547"/>
      <c r="BV180" s="1547"/>
      <c r="CB180" s="2195" t="str">
        <f t="shared" si="319"/>
        <v xml:space="preserve"> * El total de exámenes confirmados positivos por ISP NO DEBE SUPERAR el total de exámenes procesados. </v>
      </c>
      <c r="CC180" s="2195" t="e">
        <f t="shared" si="320"/>
        <v>#VALUE!</v>
      </c>
      <c r="CD180" s="2195" t="e">
        <f t="shared" si="321"/>
        <v>#VALUE!</v>
      </c>
      <c r="CE180" s="2195" t="e">
        <f t="shared" si="322"/>
        <v>#VALUE!</v>
      </c>
      <c r="CF180" s="2195" t="e">
        <f t="shared" si="323"/>
        <v>#VALUE!</v>
      </c>
      <c r="CG180" s="2195" t="str">
        <f t="shared" si="324"/>
        <v xml:space="preserve"> * Los exámenes procesados de personas pertenecientes a Pueblos originarios NO PUEDE Superar al total de Procesados. </v>
      </c>
      <c r="CH180" s="2195" t="str">
        <f t="shared" si="325"/>
        <v xml:space="preserve"> * Los exámenes confirmados positivos por ISP de personas pertenecientes a Pueblos originarios NO PUEDE Superar al total de Procesados. </v>
      </c>
      <c r="CI180" s="2195" t="str">
        <f t="shared" si="326"/>
        <v xml:space="preserve"> * Los exámenes procesados de personas pertenecientes a Pueblos migrantes NO PUEDE Superar al total de Procesados. </v>
      </c>
      <c r="CJ180" s="2195" t="str">
        <f t="shared" si="327"/>
        <v xml:space="preserve"> * Los exámenes confirmados positivos por ISP de personas pertenecientes a Pueblos Migrantes NO PUEDE Superar al total de Procesados. </v>
      </c>
      <c r="CK180" s="2195"/>
      <c r="CL180" s="2195"/>
      <c r="CM180" s="2195"/>
      <c r="CN180" s="2195"/>
      <c r="CO180" s="2195"/>
      <c r="CP180" s="2195"/>
      <c r="CQ180" s="2195"/>
      <c r="CR180" s="2195"/>
      <c r="CS180" s="2195"/>
      <c r="CT180" s="2195"/>
      <c r="CU180" s="2195"/>
      <c r="CV180" s="2195"/>
      <c r="CW180" s="2195"/>
      <c r="CX180" s="2195" t="str">
        <f t="shared" si="328"/>
        <v/>
      </c>
      <c r="CY180" s="2195" t="str">
        <f t="shared" si="329"/>
        <v/>
      </c>
      <c r="CZ180" s="2195"/>
      <c r="DA180" s="2195"/>
      <c r="DB180" s="1446">
        <f t="shared" si="330"/>
        <v>1</v>
      </c>
      <c r="DC180" s="1446" t="e">
        <f t="shared" si="331"/>
        <v>#VALUE!</v>
      </c>
      <c r="DD180" s="1446" t="e">
        <f t="shared" si="332"/>
        <v>#VALUE!</v>
      </c>
      <c r="DE180" s="1446" t="e">
        <f t="shared" si="333"/>
        <v>#VALUE!</v>
      </c>
      <c r="DF180" s="1446" t="e">
        <f t="shared" si="334"/>
        <v>#VALUE!</v>
      </c>
      <c r="DG180" s="1446">
        <f t="shared" si="335"/>
        <v>1</v>
      </c>
      <c r="DH180" s="1446">
        <f t="shared" si="336"/>
        <v>1</v>
      </c>
      <c r="DI180" s="1446">
        <f t="shared" si="337"/>
        <v>1</v>
      </c>
      <c r="DJ180" s="1446">
        <f t="shared" si="338"/>
        <v>1</v>
      </c>
      <c r="DK180" s="1446"/>
      <c r="DL180" s="1446"/>
      <c r="DM180" s="1446"/>
      <c r="DN180" s="1446"/>
      <c r="DO180" s="1446"/>
      <c r="DP180" s="1446"/>
      <c r="DQ180" s="1446"/>
      <c r="DR180" s="1446"/>
      <c r="DS180" s="1446"/>
      <c r="DT180" s="1446"/>
      <c r="DU180" s="1446"/>
      <c r="DV180" s="1446"/>
      <c r="DW180" s="1446"/>
      <c r="DX180" s="1446">
        <f t="shared" si="340"/>
        <v>0</v>
      </c>
      <c r="DY180" s="1446">
        <f t="shared" si="340"/>
        <v>0</v>
      </c>
    </row>
    <row r="181" spans="1:129" ht="16.2" customHeight="1" x14ac:dyDescent="0.3">
      <c r="A181" s="7258">
        <v>11053600</v>
      </c>
      <c r="B181" s="10010" t="s">
        <v>1839</v>
      </c>
      <c r="C181" s="10011"/>
      <c r="D181" s="1335" t="s">
        <v>5369</v>
      </c>
      <c r="E181" s="850" t="s">
        <v>5370</v>
      </c>
      <c r="F181" s="1167" t="s">
        <v>5371</v>
      </c>
      <c r="G181" s="115" t="s">
        <v>5372</v>
      </c>
      <c r="H181" s="1167" t="s">
        <v>5373</v>
      </c>
      <c r="I181" s="115" t="s">
        <v>5374</v>
      </c>
      <c r="J181" s="1167" t="s">
        <v>5375</v>
      </c>
      <c r="K181" s="115" t="s">
        <v>5376</v>
      </c>
      <c r="L181" s="1167" t="s">
        <v>5377</v>
      </c>
      <c r="M181" s="115" t="s">
        <v>5378</v>
      </c>
      <c r="N181" s="1167" t="s">
        <v>5379</v>
      </c>
      <c r="O181" s="115" t="s">
        <v>5380</v>
      </c>
      <c r="P181" s="1167" t="s">
        <v>5381</v>
      </c>
      <c r="Q181" s="115" t="s">
        <v>5382</v>
      </c>
      <c r="R181" s="1167" t="s">
        <v>5383</v>
      </c>
      <c r="S181" s="115" t="s">
        <v>5384</v>
      </c>
      <c r="T181" s="1167" t="s">
        <v>5385</v>
      </c>
      <c r="U181" s="115" t="s">
        <v>5386</v>
      </c>
      <c r="V181" s="1167" t="s">
        <v>5387</v>
      </c>
      <c r="W181" s="115" t="s">
        <v>5388</v>
      </c>
      <c r="X181" s="1167" t="s">
        <v>5389</v>
      </c>
      <c r="Y181" s="115" t="s">
        <v>5390</v>
      </c>
      <c r="Z181" s="1167" t="s">
        <v>5391</v>
      </c>
      <c r="AA181" s="115" t="s">
        <v>5392</v>
      </c>
      <c r="AB181" s="1167" t="s">
        <v>5393</v>
      </c>
      <c r="AC181" s="115" t="s">
        <v>5394</v>
      </c>
      <c r="AD181" s="1167" t="s">
        <v>5395</v>
      </c>
      <c r="AE181" s="116" t="s">
        <v>5396</v>
      </c>
      <c r="AF181" s="1167" t="s">
        <v>5397</v>
      </c>
      <c r="AG181" s="116" t="s">
        <v>5398</v>
      </c>
      <c r="AH181" s="1167" t="s">
        <v>5399</v>
      </c>
      <c r="AI181" s="138" t="s">
        <v>5400</v>
      </c>
      <c r="AJ181" s="1167" t="s">
        <v>5401</v>
      </c>
      <c r="AK181" s="115" t="s">
        <v>5402</v>
      </c>
      <c r="AL181" s="262" t="s">
        <v>5403</v>
      </c>
      <c r="AM181" s="164" t="s">
        <v>5404</v>
      </c>
      <c r="AN181" s="1167" t="s">
        <v>5405</v>
      </c>
      <c r="AO181" s="585" t="s">
        <v>5406</v>
      </c>
      <c r="AP181" s="262" t="s">
        <v>5407</v>
      </c>
      <c r="AQ181" s="164" t="s">
        <v>5408</v>
      </c>
      <c r="AR181" s="113" t="s">
        <v>5409</v>
      </c>
      <c r="AS181" s="585" t="s">
        <v>5410</v>
      </c>
      <c r="AT181" s="262" t="s">
        <v>5411</v>
      </c>
      <c r="AU181" s="585" t="s">
        <v>5412</v>
      </c>
      <c r="AV181" s="262" t="s">
        <v>5413</v>
      </c>
      <c r="AW181" s="164" t="s">
        <v>5414</v>
      </c>
      <c r="AX181" s="262" t="s">
        <v>5415</v>
      </c>
      <c r="AY181" s="164" t="s">
        <v>5416</v>
      </c>
      <c r="AZ181" s="1197" t="e">
        <f t="shared" si="318"/>
        <v>#VALUE!</v>
      </c>
      <c r="BA181" s="1197"/>
      <c r="BB181" s="1197"/>
      <c r="BC181" s="1197"/>
      <c r="BD181" s="1197"/>
      <c r="BE181" s="1197"/>
      <c r="BF181" s="1197"/>
      <c r="BG181" s="1197"/>
      <c r="BH181" s="1191"/>
      <c r="BI181" s="1191"/>
      <c r="BJ181" s="1191"/>
      <c r="BK181" s="1191"/>
      <c r="BR181" s="1191"/>
      <c r="BS181" s="1191"/>
      <c r="BT181" s="1191"/>
      <c r="BU181" s="1547"/>
      <c r="BV181" s="1547"/>
      <c r="CB181" s="2195" t="str">
        <f t="shared" si="319"/>
        <v xml:space="preserve"> * El total de exámenes confirmados positivos por ISP NO DEBE SUPERAR el total de exámenes procesados. </v>
      </c>
      <c r="CC181" s="2195" t="e">
        <f t="shared" si="320"/>
        <v>#VALUE!</v>
      </c>
      <c r="CD181" s="2195" t="e">
        <f t="shared" si="321"/>
        <v>#VALUE!</v>
      </c>
      <c r="CE181" s="2195" t="e">
        <f t="shared" si="322"/>
        <v>#VALUE!</v>
      </c>
      <c r="CF181" s="2195" t="e">
        <f t="shared" si="323"/>
        <v>#VALUE!</v>
      </c>
      <c r="CG181" s="2195" t="str">
        <f t="shared" si="324"/>
        <v xml:space="preserve"> * Los exámenes procesados de personas pertenecientes a Pueblos originarios NO PUEDE Superar al total de Procesados. </v>
      </c>
      <c r="CH181" s="2195" t="str">
        <f t="shared" si="325"/>
        <v xml:space="preserve"> * Los exámenes confirmados positivos por ISP de personas pertenecientes a Pueblos originarios NO PUEDE Superar al total de Procesados. </v>
      </c>
      <c r="CI181" s="2195" t="str">
        <f t="shared" si="326"/>
        <v xml:space="preserve"> * Los exámenes procesados de personas pertenecientes a Pueblos migrantes NO PUEDE Superar al total de Procesados. </v>
      </c>
      <c r="CJ181" s="2195" t="str">
        <f t="shared" si="327"/>
        <v xml:space="preserve"> * Los exámenes confirmados positivos por ISP de personas pertenecientes a Pueblos Migrantes NO PUEDE Superar al total de Procesados. </v>
      </c>
      <c r="CK181" s="2195"/>
      <c r="CL181" s="2195"/>
      <c r="CM181" s="2195"/>
      <c r="CN181" s="2195"/>
      <c r="CO181" s="2195"/>
      <c r="CP181" s="2195"/>
      <c r="CQ181" s="2195"/>
      <c r="CR181" s="2195"/>
      <c r="CS181" s="2195"/>
      <c r="CT181" s="2195"/>
      <c r="CU181" s="2195"/>
      <c r="CV181" s="2195"/>
      <c r="CW181" s="2195"/>
      <c r="CX181" s="2195" t="str">
        <f t="shared" si="328"/>
        <v/>
      </c>
      <c r="CY181" s="2195" t="str">
        <f t="shared" si="329"/>
        <v/>
      </c>
      <c r="CZ181" s="2195"/>
      <c r="DA181" s="2195"/>
      <c r="DB181" s="1446">
        <f t="shared" si="330"/>
        <v>1</v>
      </c>
      <c r="DC181" s="1446" t="e">
        <f t="shared" si="331"/>
        <v>#VALUE!</v>
      </c>
      <c r="DD181" s="1446" t="e">
        <f t="shared" si="332"/>
        <v>#VALUE!</v>
      </c>
      <c r="DE181" s="1446" t="e">
        <f t="shared" si="333"/>
        <v>#VALUE!</v>
      </c>
      <c r="DF181" s="1446" t="e">
        <f t="shared" si="334"/>
        <v>#VALUE!</v>
      </c>
      <c r="DG181" s="1446">
        <f t="shared" si="335"/>
        <v>1</v>
      </c>
      <c r="DH181" s="1446">
        <f t="shared" si="336"/>
        <v>1</v>
      </c>
      <c r="DI181" s="1446">
        <f t="shared" si="337"/>
        <v>1</v>
      </c>
      <c r="DJ181" s="1446">
        <f t="shared" si="338"/>
        <v>1</v>
      </c>
      <c r="DK181" s="1446"/>
      <c r="DL181" s="1446"/>
      <c r="DM181" s="1446"/>
      <c r="DN181" s="1446"/>
      <c r="DO181" s="1446"/>
      <c r="DP181" s="1446"/>
      <c r="DQ181" s="1446"/>
      <c r="DR181" s="1446"/>
      <c r="DS181" s="1446"/>
      <c r="DT181" s="1446"/>
      <c r="DU181" s="1446"/>
      <c r="DV181" s="1446"/>
      <c r="DW181" s="1446"/>
      <c r="DX181" s="1446">
        <f t="shared" si="340"/>
        <v>0</v>
      </c>
      <c r="DY181" s="1446">
        <f t="shared" si="340"/>
        <v>0</v>
      </c>
    </row>
    <row r="182" spans="1:129" ht="16.2" customHeight="1" x14ac:dyDescent="0.3">
      <c r="A182" s="7258">
        <v>11055380</v>
      </c>
      <c r="B182" s="10019" t="s">
        <v>1840</v>
      </c>
      <c r="C182" s="8837"/>
      <c r="D182" s="1336" t="s">
        <v>5369</v>
      </c>
      <c r="E182" s="1338" t="s">
        <v>5370</v>
      </c>
      <c r="F182" s="125" t="s">
        <v>5371</v>
      </c>
      <c r="G182" s="83" t="s">
        <v>5372</v>
      </c>
      <c r="H182" s="125" t="s">
        <v>5373</v>
      </c>
      <c r="I182" s="83" t="s">
        <v>5374</v>
      </c>
      <c r="J182" s="125" t="s">
        <v>5375</v>
      </c>
      <c r="K182" s="83" t="s">
        <v>5376</v>
      </c>
      <c r="L182" s="125" t="s">
        <v>5377</v>
      </c>
      <c r="M182" s="83" t="s">
        <v>5378</v>
      </c>
      <c r="N182" s="125" t="s">
        <v>5379</v>
      </c>
      <c r="O182" s="101" t="s">
        <v>5380</v>
      </c>
      <c r="P182" s="125" t="s">
        <v>5381</v>
      </c>
      <c r="Q182" s="83" t="s">
        <v>5382</v>
      </c>
      <c r="R182" s="125" t="s">
        <v>5383</v>
      </c>
      <c r="S182" s="83" t="s">
        <v>5384</v>
      </c>
      <c r="T182" s="125" t="s">
        <v>5385</v>
      </c>
      <c r="U182" s="83" t="s">
        <v>5386</v>
      </c>
      <c r="V182" s="125" t="s">
        <v>5387</v>
      </c>
      <c r="W182" s="83" t="s">
        <v>5388</v>
      </c>
      <c r="X182" s="125" t="s">
        <v>5389</v>
      </c>
      <c r="Y182" s="83" t="s">
        <v>5390</v>
      </c>
      <c r="Z182" s="125" t="s">
        <v>5391</v>
      </c>
      <c r="AA182" s="83" t="s">
        <v>5392</v>
      </c>
      <c r="AB182" s="125" t="s">
        <v>5393</v>
      </c>
      <c r="AC182" s="83" t="s">
        <v>5394</v>
      </c>
      <c r="AD182" s="125" t="s">
        <v>5395</v>
      </c>
      <c r="AE182" s="175" t="s">
        <v>5396</v>
      </c>
      <c r="AF182" s="125" t="s">
        <v>5397</v>
      </c>
      <c r="AG182" s="175" t="s">
        <v>5398</v>
      </c>
      <c r="AH182" s="125" t="s">
        <v>5399</v>
      </c>
      <c r="AI182" s="101" t="s">
        <v>5400</v>
      </c>
      <c r="AJ182" s="125" t="s">
        <v>5401</v>
      </c>
      <c r="AK182" s="83" t="s">
        <v>5402</v>
      </c>
      <c r="AL182" s="264" t="s">
        <v>5403</v>
      </c>
      <c r="AM182" s="127" t="s">
        <v>5404</v>
      </c>
      <c r="AN182" s="125" t="s">
        <v>5405</v>
      </c>
      <c r="AO182" s="254" t="s">
        <v>5406</v>
      </c>
      <c r="AP182" s="264" t="s">
        <v>5407</v>
      </c>
      <c r="AQ182" s="127" t="s">
        <v>5408</v>
      </c>
      <c r="AR182" s="102" t="s">
        <v>5409</v>
      </c>
      <c r="AS182" s="254" t="s">
        <v>5410</v>
      </c>
      <c r="AT182" s="264" t="s">
        <v>5411</v>
      </c>
      <c r="AU182" s="254" t="s">
        <v>5412</v>
      </c>
      <c r="AV182" s="264" t="s">
        <v>5413</v>
      </c>
      <c r="AW182" s="127" t="s">
        <v>5414</v>
      </c>
      <c r="AX182" s="264" t="s">
        <v>5415</v>
      </c>
      <c r="AY182" s="127" t="s">
        <v>5416</v>
      </c>
      <c r="AZ182" s="1197" t="e">
        <f t="shared" si="318"/>
        <v>#VALUE!</v>
      </c>
      <c r="BA182" s="1197"/>
      <c r="BB182" s="1197"/>
      <c r="BC182" s="1197"/>
      <c r="BD182" s="1197"/>
      <c r="BE182" s="1197"/>
      <c r="BF182" s="1197"/>
      <c r="BG182" s="1197"/>
      <c r="BH182" s="1191"/>
      <c r="BI182" s="1191"/>
      <c r="BJ182" s="1191"/>
      <c r="BK182" s="1191"/>
      <c r="BR182" s="1191"/>
      <c r="BS182" s="1191"/>
      <c r="BT182" s="1191"/>
      <c r="BU182" s="1547"/>
      <c r="BV182" s="1547"/>
      <c r="CB182" s="2195" t="str">
        <f t="shared" si="319"/>
        <v xml:space="preserve"> * El total de exámenes confirmados positivos por ISP NO DEBE SUPERAR el total de exámenes procesados. </v>
      </c>
      <c r="CC182" s="2195" t="e">
        <f t="shared" si="320"/>
        <v>#VALUE!</v>
      </c>
      <c r="CD182" s="2195" t="e">
        <f t="shared" si="321"/>
        <v>#VALUE!</v>
      </c>
      <c r="CE182" s="2195" t="e">
        <f t="shared" si="322"/>
        <v>#VALUE!</v>
      </c>
      <c r="CF182" s="2195" t="e">
        <f t="shared" si="323"/>
        <v>#VALUE!</v>
      </c>
      <c r="CG182" s="2195" t="str">
        <f t="shared" si="324"/>
        <v xml:space="preserve"> * Los exámenes procesados de personas pertenecientes a Pueblos originarios NO PUEDE Superar al total de Procesados. </v>
      </c>
      <c r="CH182" s="2195" t="str">
        <f t="shared" si="325"/>
        <v xml:space="preserve"> * Los exámenes confirmados positivos por ISP de personas pertenecientes a Pueblos originarios NO PUEDE Superar al total de Procesados. </v>
      </c>
      <c r="CI182" s="2195" t="str">
        <f t="shared" si="326"/>
        <v xml:space="preserve"> * Los exámenes procesados de personas pertenecientes a Pueblos migrantes NO PUEDE Superar al total de Procesados. </v>
      </c>
      <c r="CJ182" s="2195" t="str">
        <f t="shared" si="327"/>
        <v xml:space="preserve"> * Los exámenes confirmados positivos por ISP de personas pertenecientes a Pueblos Migrantes NO PUEDE Superar al total de Procesados. </v>
      </c>
      <c r="CK182" s="2195"/>
      <c r="CL182" s="2195"/>
      <c r="CM182" s="2195"/>
      <c r="CN182" s="2195"/>
      <c r="CO182" s="2195"/>
      <c r="CP182" s="2195"/>
      <c r="CQ182" s="2195"/>
      <c r="CR182" s="2195"/>
      <c r="CS182" s="2195"/>
      <c r="CT182" s="2195"/>
      <c r="CU182" s="2195"/>
      <c r="CV182" s="2195"/>
      <c r="CW182" s="2195"/>
      <c r="CX182" s="2195" t="str">
        <f t="shared" si="328"/>
        <v/>
      </c>
      <c r="CY182" s="2195" t="str">
        <f t="shared" si="329"/>
        <v/>
      </c>
      <c r="CZ182" s="2195"/>
      <c r="DA182" s="2195"/>
      <c r="DB182" s="1446">
        <f t="shared" si="330"/>
        <v>1</v>
      </c>
      <c r="DC182" s="1446" t="e">
        <f t="shared" si="331"/>
        <v>#VALUE!</v>
      </c>
      <c r="DD182" s="1446" t="e">
        <f t="shared" si="332"/>
        <v>#VALUE!</v>
      </c>
      <c r="DE182" s="1446" t="e">
        <f t="shared" si="333"/>
        <v>#VALUE!</v>
      </c>
      <c r="DF182" s="1446" t="e">
        <f t="shared" si="334"/>
        <v>#VALUE!</v>
      </c>
      <c r="DG182" s="1446">
        <f t="shared" si="335"/>
        <v>1</v>
      </c>
      <c r="DH182" s="1446">
        <f t="shared" si="336"/>
        <v>1</v>
      </c>
      <c r="DI182" s="1446">
        <f t="shared" si="337"/>
        <v>1</v>
      </c>
      <c r="DJ182" s="1446">
        <f t="shared" si="338"/>
        <v>1</v>
      </c>
      <c r="DK182" s="1446"/>
      <c r="DL182" s="1446"/>
      <c r="DM182" s="1446"/>
      <c r="DN182" s="1446"/>
      <c r="DO182" s="1446"/>
      <c r="DP182" s="1446"/>
      <c r="DQ182" s="1446"/>
      <c r="DR182" s="1446"/>
      <c r="DS182" s="1446"/>
      <c r="DT182" s="1446"/>
      <c r="DU182" s="1446"/>
      <c r="DV182" s="1446"/>
      <c r="DW182" s="1446"/>
      <c r="DX182" s="1446">
        <f t="shared" si="340"/>
        <v>0</v>
      </c>
      <c r="DY182" s="1446">
        <f t="shared" si="340"/>
        <v>0</v>
      </c>
    </row>
    <row r="183" spans="1:129" ht="31.95" customHeight="1" x14ac:dyDescent="0.3">
      <c r="B183" s="9983" t="s">
        <v>1841</v>
      </c>
      <c r="C183" s="9983"/>
      <c r="D183" s="9983"/>
      <c r="E183" s="9983"/>
      <c r="F183" s="9983"/>
      <c r="G183" s="9983"/>
      <c r="H183" s="9983"/>
      <c r="I183" s="9983"/>
      <c r="J183" s="9983"/>
      <c r="K183" s="9983"/>
      <c r="L183" s="9983"/>
      <c r="M183" s="9983"/>
      <c r="N183" s="9983"/>
      <c r="O183" s="9983"/>
      <c r="P183" s="9983"/>
      <c r="Q183" s="9983"/>
      <c r="R183" s="8885"/>
      <c r="S183" s="140"/>
      <c r="T183" s="140"/>
      <c r="U183" s="140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40"/>
      <c r="AF183" s="140"/>
      <c r="AG183" s="140"/>
      <c r="AH183" s="140"/>
      <c r="AI183" s="140"/>
      <c r="AJ183" s="140"/>
      <c r="AK183" s="140"/>
      <c r="AL183" s="140"/>
      <c r="AT183" s="1191"/>
      <c r="AU183" s="1191"/>
      <c r="AV183" s="1191"/>
      <c r="AW183" s="1191"/>
      <c r="AX183" s="1191"/>
      <c r="AY183" s="1191"/>
      <c r="AZ183" s="1192"/>
      <c r="BA183" s="1191"/>
      <c r="BB183" s="1191"/>
      <c r="BC183" s="1191"/>
      <c r="BD183" s="1191"/>
      <c r="BE183" s="1191"/>
      <c r="BF183" s="1191"/>
      <c r="BG183" s="1191"/>
      <c r="BH183" s="1191"/>
      <c r="BI183" s="1191"/>
      <c r="BJ183" s="1191"/>
      <c r="BK183" s="1191"/>
      <c r="BL183" s="1191"/>
      <c r="BM183" s="1191"/>
      <c r="BN183" s="1191"/>
      <c r="BO183" s="1191"/>
      <c r="BP183" s="1191"/>
    </row>
    <row r="184" spans="1:129" ht="31.95" customHeight="1" x14ac:dyDescent="0.3">
      <c r="B184" s="8597" t="s">
        <v>1807</v>
      </c>
      <c r="C184" s="9978"/>
      <c r="D184" s="9629" t="s">
        <v>24</v>
      </c>
      <c r="E184" s="9966"/>
      <c r="F184" s="8645" t="s">
        <v>540</v>
      </c>
      <c r="G184" s="8646"/>
      <c r="H184" s="8646"/>
      <c r="I184" s="8646"/>
      <c r="J184" s="8646"/>
      <c r="K184" s="8646"/>
      <c r="L184" s="8646"/>
      <c r="M184" s="8646"/>
      <c r="N184" s="8646"/>
      <c r="O184" s="8646"/>
      <c r="P184" s="8646"/>
      <c r="Q184" s="8646"/>
      <c r="R184" s="8646"/>
      <c r="S184" s="8646"/>
      <c r="T184" s="8646"/>
      <c r="U184" s="8646"/>
      <c r="V184" s="8646"/>
      <c r="W184" s="8646"/>
      <c r="X184" s="8646"/>
      <c r="Y184" s="8646"/>
      <c r="Z184" s="8646"/>
      <c r="AA184" s="8646"/>
      <c r="AB184" s="8646"/>
      <c r="AC184" s="8646"/>
      <c r="AD184" s="8646"/>
      <c r="AE184" s="8646"/>
      <c r="AF184" s="8646"/>
      <c r="AG184" s="8646"/>
      <c r="AH184" s="8646"/>
      <c r="AI184" s="8646"/>
      <c r="AJ184" s="8646"/>
      <c r="AK184" s="9969"/>
      <c r="AL184" s="9993" t="s">
        <v>43</v>
      </c>
      <c r="AM184" s="9993"/>
      <c r="AN184" s="9993"/>
      <c r="AO184" s="9994"/>
      <c r="AP184" s="9995" t="s">
        <v>713</v>
      </c>
      <c r="AQ184" s="9993"/>
      <c r="AR184" s="9993"/>
      <c r="AS184" s="9994"/>
      <c r="AT184" s="9996" t="s">
        <v>1821</v>
      </c>
      <c r="AU184" s="9997"/>
      <c r="AV184" s="9996" t="s">
        <v>361</v>
      </c>
      <c r="AW184" s="9997"/>
      <c r="AX184" s="8597" t="s">
        <v>1271</v>
      </c>
      <c r="AY184" s="9978"/>
      <c r="AZ184" s="1191"/>
      <c r="BA184" s="1191"/>
      <c r="BB184" s="1191"/>
      <c r="BC184" s="1191"/>
      <c r="BD184" s="1191"/>
      <c r="BE184" s="1191"/>
      <c r="BF184" s="1191"/>
      <c r="BG184" s="1191"/>
      <c r="BH184" s="1191"/>
      <c r="BI184" s="1191"/>
      <c r="BJ184" s="1191"/>
      <c r="BK184" s="1191"/>
      <c r="BL184" s="1191"/>
      <c r="BS184" s="1191"/>
      <c r="BT184" s="1191"/>
      <c r="BU184" s="1191"/>
      <c r="BV184" s="1547"/>
    </row>
    <row r="185" spans="1:129" ht="16.2" customHeight="1" x14ac:dyDescent="0.3">
      <c r="B185" s="8560"/>
      <c r="C185" s="8581"/>
      <c r="D185" s="10020"/>
      <c r="E185" s="9968"/>
      <c r="F185" s="8648" t="s">
        <v>1822</v>
      </c>
      <c r="G185" s="9970"/>
      <c r="H185" s="8648" t="s">
        <v>722</v>
      </c>
      <c r="I185" s="9970"/>
      <c r="J185" s="8648" t="s">
        <v>1823</v>
      </c>
      <c r="K185" s="9970"/>
      <c r="L185" s="8645" t="s">
        <v>1415</v>
      </c>
      <c r="M185" s="8647"/>
      <c r="N185" s="8645" t="s">
        <v>32</v>
      </c>
      <c r="O185" s="8647"/>
      <c r="P185" s="8645" t="s">
        <v>33</v>
      </c>
      <c r="Q185" s="8647"/>
      <c r="R185" s="8645" t="s">
        <v>40</v>
      </c>
      <c r="S185" s="8647"/>
      <c r="T185" s="8645" t="s">
        <v>115</v>
      </c>
      <c r="U185" s="8647"/>
      <c r="V185" s="8645" t="s">
        <v>116</v>
      </c>
      <c r="W185" s="8647"/>
      <c r="X185" s="8645" t="s">
        <v>117</v>
      </c>
      <c r="Y185" s="8647"/>
      <c r="Z185" s="8645" t="s">
        <v>118</v>
      </c>
      <c r="AA185" s="8647"/>
      <c r="AB185" s="8645" t="s">
        <v>119</v>
      </c>
      <c r="AC185" s="8647"/>
      <c r="AD185" s="8645" t="s">
        <v>120</v>
      </c>
      <c r="AE185" s="8647"/>
      <c r="AF185" s="8645" t="s">
        <v>1414</v>
      </c>
      <c r="AG185" s="8647"/>
      <c r="AH185" s="8645" t="s">
        <v>1406</v>
      </c>
      <c r="AI185" s="8647"/>
      <c r="AJ185" s="8645" t="s">
        <v>1824</v>
      </c>
      <c r="AK185" s="9969"/>
      <c r="AL185" s="10006" t="s">
        <v>17</v>
      </c>
      <c r="AM185" s="10022"/>
      <c r="AN185" s="10006" t="s">
        <v>18</v>
      </c>
      <c r="AO185" s="10007"/>
      <c r="AP185" s="10021" t="s">
        <v>359</v>
      </c>
      <c r="AQ185" s="10022"/>
      <c r="AR185" s="10006" t="s">
        <v>358</v>
      </c>
      <c r="AS185" s="10007"/>
      <c r="AT185" s="9998"/>
      <c r="AU185" s="9999"/>
      <c r="AV185" s="9998"/>
      <c r="AW185" s="9999"/>
      <c r="AX185" s="8896"/>
      <c r="AY185" s="8582"/>
      <c r="AZ185" s="1191"/>
      <c r="BA185" s="1191"/>
      <c r="BB185" s="1191"/>
      <c r="BC185" s="1191"/>
      <c r="BD185" s="1191"/>
      <c r="BE185" s="1191"/>
      <c r="BF185" s="1191"/>
      <c r="BG185" s="1191"/>
      <c r="BH185" s="1191"/>
      <c r="BI185" s="1191"/>
      <c r="BJ185" s="1191"/>
      <c r="BK185" s="1191"/>
      <c r="BL185" s="1191"/>
      <c r="BS185" s="1191"/>
      <c r="BT185" s="1191"/>
      <c r="BU185" s="1191"/>
      <c r="BV185" s="1547"/>
    </row>
    <row r="186" spans="1:129" ht="40.5" customHeight="1" x14ac:dyDescent="0.3">
      <c r="B186" s="8896"/>
      <c r="C186" s="8582"/>
      <c r="D186" s="1124" t="s">
        <v>1783</v>
      </c>
      <c r="E186" s="940" t="s">
        <v>1825</v>
      </c>
      <c r="F186" s="1124" t="s">
        <v>1783</v>
      </c>
      <c r="G186" s="940" t="s">
        <v>1825</v>
      </c>
      <c r="H186" s="1124" t="s">
        <v>1783</v>
      </c>
      <c r="I186" s="940" t="s">
        <v>1825</v>
      </c>
      <c r="J186" s="1124" t="s">
        <v>1783</v>
      </c>
      <c r="K186" s="940" t="s">
        <v>1825</v>
      </c>
      <c r="L186" s="1124" t="s">
        <v>1783</v>
      </c>
      <c r="M186" s="940" t="s">
        <v>1825</v>
      </c>
      <c r="N186" s="1124" t="s">
        <v>1783</v>
      </c>
      <c r="O186" s="940" t="s">
        <v>1825</v>
      </c>
      <c r="P186" s="1124" t="s">
        <v>1783</v>
      </c>
      <c r="Q186" s="940" t="s">
        <v>1825</v>
      </c>
      <c r="R186" s="1124" t="s">
        <v>1783</v>
      </c>
      <c r="S186" s="940" t="s">
        <v>1825</v>
      </c>
      <c r="T186" s="1124" t="s">
        <v>1783</v>
      </c>
      <c r="U186" s="940" t="s">
        <v>1825</v>
      </c>
      <c r="V186" s="1124" t="s">
        <v>1783</v>
      </c>
      <c r="W186" s="940" t="s">
        <v>1825</v>
      </c>
      <c r="X186" s="1124" t="s">
        <v>1783</v>
      </c>
      <c r="Y186" s="940" t="s">
        <v>1825</v>
      </c>
      <c r="Z186" s="1124" t="s">
        <v>1783</v>
      </c>
      <c r="AA186" s="940" t="s">
        <v>1825</v>
      </c>
      <c r="AB186" s="1124" t="s">
        <v>1783</v>
      </c>
      <c r="AC186" s="940" t="s">
        <v>1825</v>
      </c>
      <c r="AD186" s="1124" t="s">
        <v>1783</v>
      </c>
      <c r="AE186" s="940" t="s">
        <v>1825</v>
      </c>
      <c r="AF186" s="1124" t="s">
        <v>1783</v>
      </c>
      <c r="AG186" s="940" t="s">
        <v>1825</v>
      </c>
      <c r="AH186" s="1124" t="s">
        <v>1783</v>
      </c>
      <c r="AI186" s="940" t="s">
        <v>1825</v>
      </c>
      <c r="AJ186" s="1124" t="s">
        <v>1783</v>
      </c>
      <c r="AK186" s="1128" t="s">
        <v>1825</v>
      </c>
      <c r="AL186" s="1127" t="s">
        <v>1783</v>
      </c>
      <c r="AM186" s="940" t="s">
        <v>1825</v>
      </c>
      <c r="AN186" s="1124" t="s">
        <v>1783</v>
      </c>
      <c r="AO186" s="940" t="s">
        <v>1825</v>
      </c>
      <c r="AP186" s="2197" t="s">
        <v>1783</v>
      </c>
      <c r="AQ186" s="940" t="s">
        <v>1825</v>
      </c>
      <c r="AR186" s="1124" t="s">
        <v>1783</v>
      </c>
      <c r="AS186" s="940" t="s">
        <v>1825</v>
      </c>
      <c r="AT186" s="2197" t="s">
        <v>1783</v>
      </c>
      <c r="AU186" s="940" t="s">
        <v>1825</v>
      </c>
      <c r="AV186" s="2197" t="s">
        <v>1783</v>
      </c>
      <c r="AW186" s="940" t="s">
        <v>1825</v>
      </c>
      <c r="AX186" s="2197" t="s">
        <v>1783</v>
      </c>
      <c r="AY186" s="940" t="s">
        <v>1825</v>
      </c>
      <c r="AZ186" s="1191"/>
      <c r="BA186" s="1191"/>
      <c r="BB186" s="1191"/>
      <c r="BC186" s="1191"/>
      <c r="BD186" s="1191"/>
      <c r="BE186" s="1191"/>
      <c r="BF186" s="1191"/>
      <c r="BG186" s="1191"/>
      <c r="BH186" s="1191"/>
      <c r="BI186" s="1191"/>
      <c r="BJ186" s="1191"/>
      <c r="BK186" s="1191"/>
      <c r="BL186" s="1191"/>
      <c r="BS186" s="1191"/>
      <c r="BT186" s="1191"/>
      <c r="BU186" s="1191"/>
      <c r="BV186" s="1547"/>
    </row>
    <row r="187" spans="1:129" ht="16.2" customHeight="1" x14ac:dyDescent="0.3">
      <c r="A187" s="7258">
        <v>11055200</v>
      </c>
      <c r="B187" s="10008" t="s">
        <v>1826</v>
      </c>
      <c r="C187" s="10009"/>
      <c r="D187" s="1332" t="s">
        <v>5369</v>
      </c>
      <c r="E187" s="1334" t="s">
        <v>5370</v>
      </c>
      <c r="F187" s="698" t="s">
        <v>5371</v>
      </c>
      <c r="G187" s="1159" t="s">
        <v>5372</v>
      </c>
      <c r="H187" s="698" t="s">
        <v>5373</v>
      </c>
      <c r="I187" s="1159" t="s">
        <v>5374</v>
      </c>
      <c r="J187" s="698" t="s">
        <v>5375</v>
      </c>
      <c r="K187" s="1159" t="s">
        <v>5376</v>
      </c>
      <c r="L187" s="698" t="s">
        <v>5377</v>
      </c>
      <c r="M187" s="1159" t="s">
        <v>5378</v>
      </c>
      <c r="N187" s="695" t="s">
        <v>5379</v>
      </c>
      <c r="O187" s="714" t="s">
        <v>5380</v>
      </c>
      <c r="P187" s="695" t="s">
        <v>5381</v>
      </c>
      <c r="Q187" s="714" t="s">
        <v>5382</v>
      </c>
      <c r="R187" s="695" t="s">
        <v>5383</v>
      </c>
      <c r="S187" s="714" t="s">
        <v>5384</v>
      </c>
      <c r="T187" s="695" t="s">
        <v>5385</v>
      </c>
      <c r="U187" s="714" t="s">
        <v>5386</v>
      </c>
      <c r="V187" s="695" t="s">
        <v>5387</v>
      </c>
      <c r="W187" s="714" t="s">
        <v>5388</v>
      </c>
      <c r="X187" s="695" t="s">
        <v>5389</v>
      </c>
      <c r="Y187" s="714" t="s">
        <v>5390</v>
      </c>
      <c r="Z187" s="695" t="s">
        <v>5391</v>
      </c>
      <c r="AA187" s="714" t="s">
        <v>5392</v>
      </c>
      <c r="AB187" s="695" t="s">
        <v>5393</v>
      </c>
      <c r="AC187" s="714" t="s">
        <v>5394</v>
      </c>
      <c r="AD187" s="695" t="s">
        <v>5395</v>
      </c>
      <c r="AE187" s="714" t="s">
        <v>5396</v>
      </c>
      <c r="AF187" s="695" t="s">
        <v>5397</v>
      </c>
      <c r="AG187" s="714" t="s">
        <v>5398</v>
      </c>
      <c r="AH187" s="698" t="s">
        <v>5399</v>
      </c>
      <c r="AI187" s="715" t="s">
        <v>5400</v>
      </c>
      <c r="AJ187" s="698" t="s">
        <v>5401</v>
      </c>
      <c r="AK187" s="697" t="s">
        <v>5402</v>
      </c>
      <c r="AL187" s="1578" t="s">
        <v>5403</v>
      </c>
      <c r="AM187" s="1579" t="s">
        <v>5404</v>
      </c>
      <c r="AN187" s="910" t="s">
        <v>5405</v>
      </c>
      <c r="AO187" s="1160" t="s">
        <v>5406</v>
      </c>
      <c r="AP187" s="1161" t="s">
        <v>5407</v>
      </c>
      <c r="AQ187" s="1115" t="s">
        <v>5408</v>
      </c>
      <c r="AR187" s="1134" t="s">
        <v>5409</v>
      </c>
      <c r="AS187" s="1162" t="s">
        <v>5410</v>
      </c>
      <c r="AT187" s="1161" t="s">
        <v>5411</v>
      </c>
      <c r="AU187" s="1162" t="s">
        <v>5412</v>
      </c>
      <c r="AV187" s="1161" t="s">
        <v>5413</v>
      </c>
      <c r="AW187" s="1115" t="s">
        <v>5414</v>
      </c>
      <c r="AX187" s="1161" t="s">
        <v>5415</v>
      </c>
      <c r="AY187" s="1115" t="s">
        <v>5416</v>
      </c>
      <c r="AZ187" s="1197" t="e">
        <f t="shared" ref="AZ187:AZ209" si="341">$CB187&amp;$CC187&amp;$CD187&amp;$CE187&amp;$CF187&amp;$CG187&amp;$CH187&amp;$CI187&amp;$CJ187&amp;$CK187&amp;$CL187&amp;$CM187&amp;$CN187&amp;$CO187&amp;$CP187&amp;$CQ187&amp;$CR187&amp;$CS187&amp;$CT187&amp;$CU187&amp;$CV187&amp;$CW187&amp;$CX187&amp;$CY187&amp;$CZ187&amp;$DA187</f>
        <v>#VALUE!</v>
      </c>
      <c r="BA187" s="1197"/>
      <c r="BB187" s="1197"/>
      <c r="BC187" s="1197"/>
      <c r="BD187" s="1197"/>
      <c r="BE187" s="1197"/>
      <c r="BF187" s="1197"/>
      <c r="BG187" s="1197"/>
      <c r="BH187" s="1197"/>
      <c r="BI187" s="1191"/>
      <c r="BJ187" s="1191"/>
      <c r="BK187" s="1191"/>
      <c r="BL187" s="1191"/>
      <c r="BS187" s="1191"/>
      <c r="BT187" s="1191"/>
      <c r="BU187" s="1191"/>
      <c r="BV187" s="1547"/>
      <c r="CB187" s="2195" t="str">
        <f>IF(DB187=1,"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87" s="2195" t="e">
        <f>IF(DC187=1," * La suma de exámenes procesados por sexo DEBE SER IGUAL al total de Procesados. ","")</f>
        <v>#VALUE!</v>
      </c>
      <c r="CD187" s="2195" t="e">
        <f>IF(DD187=1," * La suma de exámenes Confirmados positivos por ISP por sexo DEBE SER IGUAL al total de Procesados. ","")</f>
        <v>#VALUE!</v>
      </c>
      <c r="CE187" s="2195" t="e">
        <f>IF(DE187=1," * La suma de exámenes procesados Trans NO PUEDE Superar al total de Procesados. ","")</f>
        <v>#VALUE!</v>
      </c>
      <c r="CF187" s="2195" t="e">
        <f>IF(DF187=1," * La suma de exámenes confirmados positivos por ISP Trans NO PUEDE Superar al total de Procesados. ","")</f>
        <v>#VALUE!</v>
      </c>
      <c r="CG187" s="2195" t="str">
        <f>IF(DG187=1,"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87" s="2195" t="str">
        <f>IF(DH187=1,"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87" s="2195" t="str">
        <f>IF(DI187=1,"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87" s="2195" t="str">
        <f>IF(DJ187=1,"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87" s="2195"/>
      <c r="CL187" s="2195"/>
      <c r="CM187" s="2195"/>
      <c r="CN187" s="2195"/>
      <c r="CO187" s="2195"/>
      <c r="CP187" s="2195"/>
      <c r="CQ187" s="2195"/>
      <c r="CR187" s="2195"/>
      <c r="CS187" s="2195"/>
      <c r="CT187" s="2195"/>
      <c r="CU187" s="2195"/>
      <c r="CV187" s="2195"/>
      <c r="CW187" s="2195"/>
      <c r="CX187" s="2195" t="str">
        <f t="shared" ref="CX187:CX209" si="342">IF(DX187=1,"* No olvide digitar la columna Procesados Trans y/o Pueblos Originarios y/o Migrantes (Digite Cero si no tiene). ","")</f>
        <v/>
      </c>
      <c r="CY187" s="2195" t="str">
        <f t="shared" ref="CY187:CY209" si="343">IF(DY187=1,"* No olvide digitar la columna Confirmados Trans y/o Pueblos Originarios y/o Migrantes (Digite Cero si no tiene). ","")</f>
        <v/>
      </c>
      <c r="CZ187" s="2195"/>
      <c r="DA187" s="2195"/>
      <c r="DB187" s="1446">
        <f>IF(D187&lt;E187,1,0)</f>
        <v>1</v>
      </c>
      <c r="DC187" s="1446" t="e">
        <f>IF(D187&lt;&gt;(AL187+AN187),1,0)</f>
        <v>#VALUE!</v>
      </c>
      <c r="DD187" s="1446" t="e">
        <f>IF(E187&lt;&gt;(AM187+AO187),1,0)</f>
        <v>#VALUE!</v>
      </c>
      <c r="DE187" s="1446" t="e">
        <f>IF(D187&lt;(AP187+AR187),1,0)</f>
        <v>#VALUE!</v>
      </c>
      <c r="DF187" s="1446" t="e">
        <f>IF(E187&lt;(AQ187+AS187),1,0)</f>
        <v>#VALUE!</v>
      </c>
      <c r="DG187" s="1446">
        <f>IF($D187&lt;AT187,1,0)</f>
        <v>1</v>
      </c>
      <c r="DH187" s="1446">
        <f>IF($E187&lt;AU187,1,0)</f>
        <v>1</v>
      </c>
      <c r="DI187" s="1446">
        <f>IF($D187&lt;AV187,1,0)</f>
        <v>1</v>
      </c>
      <c r="DJ187" s="1446">
        <f>IF($E187&lt;AW187,1,0)</f>
        <v>1</v>
      </c>
      <c r="DK187" s="1446"/>
      <c r="DL187" s="1446"/>
      <c r="DM187" s="1446"/>
      <c r="DN187" s="1446"/>
      <c r="DO187" s="1446"/>
      <c r="DP187" s="1446"/>
      <c r="DQ187" s="1446"/>
      <c r="DR187" s="1446"/>
      <c r="DS187" s="1446"/>
      <c r="DT187" s="1446"/>
      <c r="DU187" s="1446"/>
      <c r="DV187" s="1446"/>
      <c r="DW187" s="1446"/>
      <c r="DX187" s="1446">
        <f t="shared" ref="DX187:DY202" si="344">IF(AND(D187&lt;&gt;0,OR(AP187="",AR187="",AT187="",AV187="")),1,0)</f>
        <v>0</v>
      </c>
      <c r="DY187" s="1446">
        <f t="shared" si="344"/>
        <v>0</v>
      </c>
    </row>
    <row r="188" spans="1:129" ht="16.2" customHeight="1" x14ac:dyDescent="0.3">
      <c r="A188" s="7258">
        <v>11055210</v>
      </c>
      <c r="B188" s="10010" t="s">
        <v>1827</v>
      </c>
      <c r="C188" s="10011"/>
      <c r="D188" s="1335" t="s">
        <v>5369</v>
      </c>
      <c r="E188" s="843" t="s">
        <v>5370</v>
      </c>
      <c r="F188" s="1132" t="s">
        <v>5371</v>
      </c>
      <c r="G188" s="1131" t="s">
        <v>5372</v>
      </c>
      <c r="H188" s="1132" t="s">
        <v>5373</v>
      </c>
      <c r="I188" s="1131" t="s">
        <v>5374</v>
      </c>
      <c r="J188" s="1132" t="s">
        <v>5375</v>
      </c>
      <c r="K188" s="1131" t="s">
        <v>5376</v>
      </c>
      <c r="L188" s="1132" t="s">
        <v>5377</v>
      </c>
      <c r="M188" s="1131" t="s">
        <v>5378</v>
      </c>
      <c r="N188" s="910" t="s">
        <v>5379</v>
      </c>
      <c r="O188" s="78" t="s">
        <v>5380</v>
      </c>
      <c r="P188" s="910" t="s">
        <v>5381</v>
      </c>
      <c r="Q188" s="78" t="s">
        <v>5382</v>
      </c>
      <c r="R188" s="910" t="s">
        <v>5383</v>
      </c>
      <c r="S188" s="78" t="s">
        <v>5384</v>
      </c>
      <c r="T188" s="910" t="s">
        <v>5385</v>
      </c>
      <c r="U188" s="78" t="s">
        <v>5386</v>
      </c>
      <c r="V188" s="910" t="s">
        <v>5387</v>
      </c>
      <c r="W188" s="78" t="s">
        <v>5388</v>
      </c>
      <c r="X188" s="910" t="s">
        <v>5389</v>
      </c>
      <c r="Y188" s="78" t="s">
        <v>5390</v>
      </c>
      <c r="Z188" s="910" t="s">
        <v>5391</v>
      </c>
      <c r="AA188" s="78" t="s">
        <v>5392</v>
      </c>
      <c r="AB188" s="910" t="s">
        <v>5393</v>
      </c>
      <c r="AC188" s="78" t="s">
        <v>5394</v>
      </c>
      <c r="AD188" s="910" t="s">
        <v>5395</v>
      </c>
      <c r="AE188" s="78" t="s">
        <v>5396</v>
      </c>
      <c r="AF188" s="910" t="s">
        <v>5397</v>
      </c>
      <c r="AG188" s="78" t="s">
        <v>5398</v>
      </c>
      <c r="AH188" s="1132" t="s">
        <v>5399</v>
      </c>
      <c r="AI188" s="1133" t="s">
        <v>5400</v>
      </c>
      <c r="AJ188" s="1132" t="s">
        <v>5401</v>
      </c>
      <c r="AK188" s="1144" t="s">
        <v>5402</v>
      </c>
      <c r="AL188" s="1137" t="s">
        <v>5403</v>
      </c>
      <c r="AM188" s="1180" t="s">
        <v>5404</v>
      </c>
      <c r="AN188" s="1114" t="s">
        <v>5405</v>
      </c>
      <c r="AO188" s="1162" t="s">
        <v>5406</v>
      </c>
      <c r="AP188" s="1161" t="s">
        <v>5407</v>
      </c>
      <c r="AQ188" s="1115" t="s">
        <v>5408</v>
      </c>
      <c r="AR188" s="1134" t="s">
        <v>5409</v>
      </c>
      <c r="AS188" s="1162" t="s">
        <v>5410</v>
      </c>
      <c r="AT188" s="1161" t="s">
        <v>5411</v>
      </c>
      <c r="AU188" s="1162" t="s">
        <v>5412</v>
      </c>
      <c r="AV188" s="1161" t="s">
        <v>5413</v>
      </c>
      <c r="AW188" s="1115" t="s">
        <v>5414</v>
      </c>
      <c r="AX188" s="1161" t="s">
        <v>5415</v>
      </c>
      <c r="AY188" s="1115" t="s">
        <v>5416</v>
      </c>
      <c r="AZ188" s="1197" t="e">
        <f t="shared" si="341"/>
        <v>#VALUE!</v>
      </c>
      <c r="BA188" s="1197"/>
      <c r="BB188" s="1197"/>
      <c r="BC188" s="1197"/>
      <c r="BD188" s="1197"/>
      <c r="BE188" s="1197"/>
      <c r="BF188" s="1197"/>
      <c r="BG188" s="1197"/>
      <c r="BH188" s="1197"/>
      <c r="BI188" s="1191"/>
      <c r="BJ188" s="1191"/>
      <c r="BK188" s="1191"/>
      <c r="BL188" s="1191"/>
      <c r="BS188" s="1191"/>
      <c r="BT188" s="1191"/>
      <c r="BU188" s="1191"/>
      <c r="BV188" s="1547"/>
      <c r="CB188" s="2195" t="str">
        <f t="shared" ref="CB188:CB208" si="345">IF(DB188=1,"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88" s="2195" t="e">
        <f t="shared" ref="CC188:CC208" si="346">IF(DC188=1," * La suma de exámenes procesados por sexo DEBE SER IGUAL al total de Procesados. ","")</f>
        <v>#VALUE!</v>
      </c>
      <c r="CD188" s="2195" t="e">
        <f t="shared" ref="CD188:CD208" si="347">IF(DD188=1," * La suma de exámenes Confirmados positivos por ISP por sexo DEBE SER IGUAL al total de Procesados. ","")</f>
        <v>#VALUE!</v>
      </c>
      <c r="CE188" s="2195" t="e">
        <f t="shared" ref="CE188:CE208" si="348">IF(DE188=1," * La suma de exámenes procesados Trans NO PUEDE Superar al total de Procesados. ","")</f>
        <v>#VALUE!</v>
      </c>
      <c r="CF188" s="2195" t="e">
        <f t="shared" ref="CF188:CF208" si="349">IF(DF188=1," * La suma de exámenes confirmados positivos por ISP Trans NO PUEDE Superar al total de Procesados. ","")</f>
        <v>#VALUE!</v>
      </c>
      <c r="CG188" s="2195" t="str">
        <f t="shared" ref="CG188:CG208" si="350">IF(DG188=1,"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88" s="2195" t="str">
        <f t="shared" ref="CH188:CH208" si="351">IF(DH188=1,"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88" s="2195" t="str">
        <f t="shared" ref="CI188:CI208" si="352">IF(DI188=1,"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88" s="2195" t="str">
        <f t="shared" ref="CJ188:CJ208" si="353">IF(DJ188=1,"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88" s="2195"/>
      <c r="CL188" s="2195"/>
      <c r="CM188" s="2195"/>
      <c r="CN188" s="2195"/>
      <c r="CO188" s="2195"/>
      <c r="CP188" s="2195"/>
      <c r="CQ188" s="2195"/>
      <c r="CR188" s="2195"/>
      <c r="CS188" s="2195"/>
      <c r="CT188" s="2195"/>
      <c r="CU188" s="2195"/>
      <c r="CV188" s="2195"/>
      <c r="CW188" s="2195"/>
      <c r="CX188" s="2195" t="str">
        <f t="shared" si="342"/>
        <v/>
      </c>
      <c r="CY188" s="2195" t="str">
        <f t="shared" si="343"/>
        <v/>
      </c>
      <c r="CZ188" s="2195"/>
      <c r="DA188" s="2195"/>
      <c r="DB188" s="1446">
        <f t="shared" ref="DB188:DB209" si="354">IF(D188&lt;E188,1,0)</f>
        <v>1</v>
      </c>
      <c r="DC188" s="1446" t="e">
        <f t="shared" ref="DC188:DC209" si="355">IF(D188&lt;&gt;(AL188+AN188),1,0)</f>
        <v>#VALUE!</v>
      </c>
      <c r="DD188" s="1446" t="e">
        <f t="shared" ref="DD188:DD209" si="356">IF(E188&lt;&gt;(AM188+AO188),1,0)</f>
        <v>#VALUE!</v>
      </c>
      <c r="DE188" s="1446" t="e">
        <f t="shared" ref="DE188:DE209" si="357">IF(D188&lt;(AP188+AR188),1,0)</f>
        <v>#VALUE!</v>
      </c>
      <c r="DF188" s="1446" t="e">
        <f t="shared" ref="DF188:DF209" si="358">IF(E188&lt;(AQ188+AS188),1,0)</f>
        <v>#VALUE!</v>
      </c>
      <c r="DG188" s="1446">
        <f t="shared" ref="DG188:DG209" si="359">IF($D188&lt;AT188,1,0)</f>
        <v>1</v>
      </c>
      <c r="DH188" s="1446">
        <f t="shared" ref="DH188:DH209" si="360">IF($E188&lt;AU188,1,0)</f>
        <v>1</v>
      </c>
      <c r="DI188" s="1446">
        <f t="shared" ref="DI188:DI209" si="361">IF($D188&lt;AV188,1,0)</f>
        <v>1</v>
      </c>
      <c r="DJ188" s="1446">
        <f t="shared" ref="DJ188:DJ209" si="362">IF($E188&lt;AW188,1,0)</f>
        <v>1</v>
      </c>
      <c r="DK188" s="1446"/>
      <c r="DL188" s="1446"/>
      <c r="DM188" s="1446"/>
      <c r="DN188" s="1446"/>
      <c r="DO188" s="1446"/>
      <c r="DP188" s="1446"/>
      <c r="DQ188" s="1446"/>
      <c r="DR188" s="1446"/>
      <c r="DS188" s="1446"/>
      <c r="DT188" s="1446"/>
      <c r="DU188" s="1446"/>
      <c r="DV188" s="1446"/>
      <c r="DW188" s="1446"/>
      <c r="DX188" s="1446">
        <f t="shared" si="344"/>
        <v>0</v>
      </c>
      <c r="DY188" s="1446">
        <f t="shared" si="344"/>
        <v>0</v>
      </c>
    </row>
    <row r="189" spans="1:129" ht="16.2" customHeight="1" x14ac:dyDescent="0.3">
      <c r="A189" s="7258">
        <v>11055220</v>
      </c>
      <c r="B189" s="10010" t="s">
        <v>1828</v>
      </c>
      <c r="C189" s="10011"/>
      <c r="D189" s="1335" t="s">
        <v>5369</v>
      </c>
      <c r="E189" s="843" t="s">
        <v>5370</v>
      </c>
      <c r="F189" s="1132" t="s">
        <v>5371</v>
      </c>
      <c r="G189" s="1131" t="s">
        <v>5372</v>
      </c>
      <c r="H189" s="1132" t="s">
        <v>5373</v>
      </c>
      <c r="I189" s="1131" t="s">
        <v>5374</v>
      </c>
      <c r="J189" s="1132" t="s">
        <v>5375</v>
      </c>
      <c r="K189" s="1131" t="s">
        <v>5376</v>
      </c>
      <c r="L189" s="1132" t="s">
        <v>5377</v>
      </c>
      <c r="M189" s="1131" t="s">
        <v>5378</v>
      </c>
      <c r="N189" s="1114" t="s">
        <v>5379</v>
      </c>
      <c r="O189" s="1135" t="s">
        <v>5380</v>
      </c>
      <c r="P189" s="1114" t="s">
        <v>5381</v>
      </c>
      <c r="Q189" s="1135" t="s">
        <v>5382</v>
      </c>
      <c r="R189" s="1114" t="s">
        <v>5383</v>
      </c>
      <c r="S189" s="1135" t="s">
        <v>5384</v>
      </c>
      <c r="T189" s="1114" t="s">
        <v>5385</v>
      </c>
      <c r="U189" s="1135" t="s">
        <v>5386</v>
      </c>
      <c r="V189" s="1114" t="s">
        <v>5387</v>
      </c>
      <c r="W189" s="1135" t="s">
        <v>5388</v>
      </c>
      <c r="X189" s="1114" t="s">
        <v>5389</v>
      </c>
      <c r="Y189" s="1135" t="s">
        <v>5390</v>
      </c>
      <c r="Z189" s="1114" t="s">
        <v>5391</v>
      </c>
      <c r="AA189" s="1135" t="s">
        <v>5392</v>
      </c>
      <c r="AB189" s="1114" t="s">
        <v>5393</v>
      </c>
      <c r="AC189" s="1135" t="s">
        <v>5394</v>
      </c>
      <c r="AD189" s="1114" t="s">
        <v>5395</v>
      </c>
      <c r="AE189" s="1135" t="s">
        <v>5396</v>
      </c>
      <c r="AF189" s="1114" t="s">
        <v>5397</v>
      </c>
      <c r="AG189" s="1135" t="s">
        <v>5398</v>
      </c>
      <c r="AH189" s="1132" t="s">
        <v>5399</v>
      </c>
      <c r="AI189" s="1133" t="s">
        <v>5400</v>
      </c>
      <c r="AJ189" s="1132" t="s">
        <v>5401</v>
      </c>
      <c r="AK189" s="1144" t="s">
        <v>5402</v>
      </c>
      <c r="AL189" s="1137" t="s">
        <v>5403</v>
      </c>
      <c r="AM189" s="1180" t="s">
        <v>5404</v>
      </c>
      <c r="AN189" s="1114" t="s">
        <v>5405</v>
      </c>
      <c r="AO189" s="1162" t="s">
        <v>5406</v>
      </c>
      <c r="AP189" s="1161" t="s">
        <v>5407</v>
      </c>
      <c r="AQ189" s="1115" t="s">
        <v>5408</v>
      </c>
      <c r="AR189" s="1134" t="s">
        <v>5409</v>
      </c>
      <c r="AS189" s="1162" t="s">
        <v>5410</v>
      </c>
      <c r="AT189" s="1161" t="s">
        <v>5411</v>
      </c>
      <c r="AU189" s="1162" t="s">
        <v>5412</v>
      </c>
      <c r="AV189" s="1161" t="s">
        <v>5413</v>
      </c>
      <c r="AW189" s="1115" t="s">
        <v>5414</v>
      </c>
      <c r="AX189" s="1161" t="s">
        <v>5415</v>
      </c>
      <c r="AY189" s="1115" t="s">
        <v>5416</v>
      </c>
      <c r="AZ189" s="1197" t="e">
        <f t="shared" si="341"/>
        <v>#VALUE!</v>
      </c>
      <c r="BA189" s="1197"/>
      <c r="BB189" s="1197"/>
      <c r="BC189" s="1197"/>
      <c r="BD189" s="1197"/>
      <c r="BE189" s="1197"/>
      <c r="BF189" s="1197"/>
      <c r="BG189" s="1197"/>
      <c r="BH189" s="1197"/>
      <c r="BI189" s="1191"/>
      <c r="BJ189" s="1191"/>
      <c r="BK189" s="1191"/>
      <c r="BL189" s="1191"/>
      <c r="BS189" s="1191"/>
      <c r="BT189" s="1191"/>
      <c r="BU189" s="1191"/>
      <c r="BV189" s="1547"/>
      <c r="CB189" s="2195" t="str">
        <f t="shared" si="345"/>
        <v xml:space="preserve"> * El total de exámenes confirmados positivos por ISP NO DEBE SUPERAR el total de exámenes procesados. </v>
      </c>
      <c r="CC189" s="2195" t="e">
        <f t="shared" si="346"/>
        <v>#VALUE!</v>
      </c>
      <c r="CD189" s="2195" t="e">
        <f t="shared" si="347"/>
        <v>#VALUE!</v>
      </c>
      <c r="CE189" s="2195" t="e">
        <f t="shared" si="348"/>
        <v>#VALUE!</v>
      </c>
      <c r="CF189" s="2195" t="e">
        <f t="shared" si="349"/>
        <v>#VALUE!</v>
      </c>
      <c r="CG189" s="2195" t="str">
        <f t="shared" si="350"/>
        <v xml:space="preserve"> * Los exámenes procesados de personas pertenecientes a Pueblos originarios NO PUEDE Superar al total de Procesados. </v>
      </c>
      <c r="CH189" s="2195" t="str">
        <f t="shared" si="351"/>
        <v xml:space="preserve"> * Los exámenes confirmados positivos por ISP de personas pertenecientes a Pueblos originarios NO PUEDE Superar al total de Procesados. </v>
      </c>
      <c r="CI189" s="2195" t="str">
        <f t="shared" si="352"/>
        <v xml:space="preserve"> * Los exámenes procesados de personas pertenecientes a Pueblos migrantes NO PUEDE Superar al total de Procesados. </v>
      </c>
      <c r="CJ189" s="2195" t="str">
        <f t="shared" si="353"/>
        <v xml:space="preserve"> * Los exámenes confirmados positivos por ISP de personas pertenecientes a Pueblos Migrantes NO PUEDE Superar al total de Procesados. </v>
      </c>
      <c r="CK189" s="2195"/>
      <c r="CL189" s="2195"/>
      <c r="CM189" s="2195"/>
      <c r="CN189" s="2195"/>
      <c r="CO189" s="2195"/>
      <c r="CP189" s="2195"/>
      <c r="CQ189" s="2195"/>
      <c r="CR189" s="2195"/>
      <c r="CS189" s="2195"/>
      <c r="CT189" s="2195"/>
      <c r="CU189" s="2195"/>
      <c r="CV189" s="2195"/>
      <c r="CW189" s="2195"/>
      <c r="CX189" s="2195" t="str">
        <f t="shared" si="342"/>
        <v/>
      </c>
      <c r="CY189" s="2195" t="str">
        <f t="shared" si="343"/>
        <v/>
      </c>
      <c r="CZ189" s="2195"/>
      <c r="DA189" s="2195"/>
      <c r="DB189" s="1446">
        <f t="shared" si="354"/>
        <v>1</v>
      </c>
      <c r="DC189" s="1446" t="e">
        <f t="shared" si="355"/>
        <v>#VALUE!</v>
      </c>
      <c r="DD189" s="1446" t="e">
        <f t="shared" si="356"/>
        <v>#VALUE!</v>
      </c>
      <c r="DE189" s="1446" t="e">
        <f t="shared" si="357"/>
        <v>#VALUE!</v>
      </c>
      <c r="DF189" s="1446" t="e">
        <f t="shared" si="358"/>
        <v>#VALUE!</v>
      </c>
      <c r="DG189" s="1446">
        <f t="shared" si="359"/>
        <v>1</v>
      </c>
      <c r="DH189" s="1446">
        <f t="shared" si="360"/>
        <v>1</v>
      </c>
      <c r="DI189" s="1446">
        <f t="shared" si="361"/>
        <v>1</v>
      </c>
      <c r="DJ189" s="1446">
        <f t="shared" si="362"/>
        <v>1</v>
      </c>
      <c r="DK189" s="1446"/>
      <c r="DL189" s="1446"/>
      <c r="DM189" s="1446"/>
      <c r="DN189" s="1446"/>
      <c r="DO189" s="1446"/>
      <c r="DP189" s="1446"/>
      <c r="DQ189" s="1446"/>
      <c r="DR189" s="1446"/>
      <c r="DS189" s="1446"/>
      <c r="DT189" s="1446"/>
      <c r="DU189" s="1446"/>
      <c r="DV189" s="1446"/>
      <c r="DW189" s="1446"/>
      <c r="DX189" s="1446">
        <f t="shared" si="344"/>
        <v>0</v>
      </c>
      <c r="DY189" s="1446">
        <f t="shared" si="344"/>
        <v>0</v>
      </c>
    </row>
    <row r="190" spans="1:129" ht="16.2" customHeight="1" x14ac:dyDescent="0.3">
      <c r="A190" s="7258">
        <v>11055230</v>
      </c>
      <c r="B190" s="10010" t="s">
        <v>1795</v>
      </c>
      <c r="C190" s="10011"/>
      <c r="D190" s="1335" t="s">
        <v>5369</v>
      </c>
      <c r="E190" s="1163" t="s">
        <v>5370</v>
      </c>
      <c r="F190" s="1132" t="s">
        <v>5371</v>
      </c>
      <c r="G190" s="1131" t="s">
        <v>5372</v>
      </c>
      <c r="H190" s="1132" t="s">
        <v>5373</v>
      </c>
      <c r="I190" s="1131" t="s">
        <v>5374</v>
      </c>
      <c r="J190" s="1132" t="s">
        <v>5375</v>
      </c>
      <c r="K190" s="1131" t="s">
        <v>5376</v>
      </c>
      <c r="L190" s="1132" t="s">
        <v>5377</v>
      </c>
      <c r="M190" s="1131" t="s">
        <v>5378</v>
      </c>
      <c r="N190" s="1132" t="s">
        <v>5379</v>
      </c>
      <c r="O190" s="1131" t="s">
        <v>5380</v>
      </c>
      <c r="P190" s="1114" t="s">
        <v>5381</v>
      </c>
      <c r="Q190" s="1135" t="s">
        <v>5382</v>
      </c>
      <c r="R190" s="1114" t="s">
        <v>5383</v>
      </c>
      <c r="S190" s="1135" t="s">
        <v>5384</v>
      </c>
      <c r="T190" s="1114" t="s">
        <v>5385</v>
      </c>
      <c r="U190" s="1135" t="s">
        <v>5386</v>
      </c>
      <c r="V190" s="1114" t="s">
        <v>5387</v>
      </c>
      <c r="W190" s="1135" t="s">
        <v>5388</v>
      </c>
      <c r="X190" s="1114" t="s">
        <v>5389</v>
      </c>
      <c r="Y190" s="1135" t="s">
        <v>5390</v>
      </c>
      <c r="Z190" s="1114" t="s">
        <v>5391</v>
      </c>
      <c r="AA190" s="1135" t="s">
        <v>5392</v>
      </c>
      <c r="AB190" s="1114" t="s">
        <v>5393</v>
      </c>
      <c r="AC190" s="1135" t="s">
        <v>5394</v>
      </c>
      <c r="AD190" s="1114" t="s">
        <v>5395</v>
      </c>
      <c r="AE190" s="1135" t="s">
        <v>5396</v>
      </c>
      <c r="AF190" s="1114" t="s">
        <v>5397</v>
      </c>
      <c r="AG190" s="1135" t="s">
        <v>5398</v>
      </c>
      <c r="AH190" s="1114" t="s">
        <v>5399</v>
      </c>
      <c r="AI190" s="1135" t="s">
        <v>5400</v>
      </c>
      <c r="AJ190" s="1114" t="s">
        <v>5401</v>
      </c>
      <c r="AK190" s="1136" t="s">
        <v>5402</v>
      </c>
      <c r="AL190" s="1134" t="s">
        <v>5403</v>
      </c>
      <c r="AM190" s="1115" t="s">
        <v>5404</v>
      </c>
      <c r="AN190" s="1114" t="s">
        <v>5405</v>
      </c>
      <c r="AO190" s="1162" t="s">
        <v>5406</v>
      </c>
      <c r="AP190" s="1161" t="s">
        <v>5407</v>
      </c>
      <c r="AQ190" s="1115" t="s">
        <v>5408</v>
      </c>
      <c r="AR190" s="1134" t="s">
        <v>5409</v>
      </c>
      <c r="AS190" s="1162" t="s">
        <v>5410</v>
      </c>
      <c r="AT190" s="1161" t="s">
        <v>5411</v>
      </c>
      <c r="AU190" s="1162" t="s">
        <v>5412</v>
      </c>
      <c r="AV190" s="1161" t="s">
        <v>5413</v>
      </c>
      <c r="AW190" s="1115" t="s">
        <v>5414</v>
      </c>
      <c r="AX190" s="1161" t="s">
        <v>5415</v>
      </c>
      <c r="AY190" s="1115" t="s">
        <v>5416</v>
      </c>
      <c r="AZ190" s="1197" t="e">
        <f t="shared" si="341"/>
        <v>#VALUE!</v>
      </c>
      <c r="BA190" s="1197"/>
      <c r="BB190" s="1197"/>
      <c r="BC190" s="1197"/>
      <c r="BD190" s="1197"/>
      <c r="BE190" s="1197"/>
      <c r="BF190" s="1197"/>
      <c r="BG190" s="1197"/>
      <c r="BH190" s="1197"/>
      <c r="BI190" s="1191"/>
      <c r="BJ190" s="1191"/>
      <c r="BK190" s="1191"/>
      <c r="BL190" s="1191"/>
      <c r="BS190" s="1191"/>
      <c r="BT190" s="1191"/>
      <c r="BU190" s="1191"/>
      <c r="BV190" s="1547"/>
      <c r="CB190" s="2195" t="str">
        <f t="shared" si="345"/>
        <v xml:space="preserve"> * El total de exámenes confirmados positivos por ISP NO DEBE SUPERAR el total de exámenes procesados. </v>
      </c>
      <c r="CC190" s="2195" t="e">
        <f t="shared" si="346"/>
        <v>#VALUE!</v>
      </c>
      <c r="CD190" s="2195" t="e">
        <f t="shared" si="347"/>
        <v>#VALUE!</v>
      </c>
      <c r="CE190" s="2195" t="e">
        <f t="shared" si="348"/>
        <v>#VALUE!</v>
      </c>
      <c r="CF190" s="2195" t="e">
        <f t="shared" si="349"/>
        <v>#VALUE!</v>
      </c>
      <c r="CG190" s="2195" t="str">
        <f t="shared" si="350"/>
        <v xml:space="preserve"> * Los exámenes procesados de personas pertenecientes a Pueblos originarios NO PUEDE Superar al total de Procesados. </v>
      </c>
      <c r="CH190" s="2195" t="str">
        <f t="shared" si="351"/>
        <v xml:space="preserve"> * Los exámenes confirmados positivos por ISP de personas pertenecientes a Pueblos originarios NO PUEDE Superar al total de Procesados. </v>
      </c>
      <c r="CI190" s="2195" t="str">
        <f t="shared" si="352"/>
        <v xml:space="preserve"> * Los exámenes procesados de personas pertenecientes a Pueblos migrantes NO PUEDE Superar al total de Procesados. </v>
      </c>
      <c r="CJ190" s="2195" t="str">
        <f t="shared" si="353"/>
        <v xml:space="preserve"> * Los exámenes confirmados positivos por ISP de personas pertenecientes a Pueblos Migrantes NO PUEDE Superar al total de Procesados. </v>
      </c>
      <c r="CK190" s="2195"/>
      <c r="CL190" s="2195"/>
      <c r="CM190" s="2195"/>
      <c r="CN190" s="2195"/>
      <c r="CO190" s="2195"/>
      <c r="CP190" s="2195"/>
      <c r="CQ190" s="2195"/>
      <c r="CR190" s="2195"/>
      <c r="CS190" s="2195"/>
      <c r="CT190" s="2195"/>
      <c r="CU190" s="2195"/>
      <c r="CV190" s="2195"/>
      <c r="CW190" s="2195"/>
      <c r="CX190" s="2195" t="str">
        <f t="shared" si="342"/>
        <v/>
      </c>
      <c r="CY190" s="2195" t="str">
        <f t="shared" si="343"/>
        <v/>
      </c>
      <c r="CZ190" s="2195"/>
      <c r="DA190" s="2195"/>
      <c r="DB190" s="1446">
        <f t="shared" si="354"/>
        <v>1</v>
      </c>
      <c r="DC190" s="1446" t="e">
        <f t="shared" si="355"/>
        <v>#VALUE!</v>
      </c>
      <c r="DD190" s="1446" t="e">
        <f t="shared" si="356"/>
        <v>#VALUE!</v>
      </c>
      <c r="DE190" s="1446" t="e">
        <f t="shared" si="357"/>
        <v>#VALUE!</v>
      </c>
      <c r="DF190" s="1446" t="e">
        <f t="shared" si="358"/>
        <v>#VALUE!</v>
      </c>
      <c r="DG190" s="1446">
        <f t="shared" si="359"/>
        <v>1</v>
      </c>
      <c r="DH190" s="1446">
        <f t="shared" si="360"/>
        <v>1</v>
      </c>
      <c r="DI190" s="1446">
        <f t="shared" si="361"/>
        <v>1</v>
      </c>
      <c r="DJ190" s="1446">
        <f t="shared" si="362"/>
        <v>1</v>
      </c>
      <c r="DK190" s="1446"/>
      <c r="DL190" s="1446"/>
      <c r="DM190" s="1446"/>
      <c r="DN190" s="1446"/>
      <c r="DO190" s="1446"/>
      <c r="DP190" s="1446"/>
      <c r="DQ190" s="1446"/>
      <c r="DR190" s="1446"/>
      <c r="DS190" s="1446"/>
      <c r="DT190" s="1446"/>
      <c r="DU190" s="1446"/>
      <c r="DV190" s="1446"/>
      <c r="DW190" s="1446"/>
      <c r="DX190" s="1446">
        <f t="shared" si="344"/>
        <v>0</v>
      </c>
      <c r="DY190" s="1446">
        <f t="shared" si="344"/>
        <v>0</v>
      </c>
    </row>
    <row r="191" spans="1:129" ht="16.2" customHeight="1" x14ac:dyDescent="0.3">
      <c r="A191" s="7258">
        <v>11055240</v>
      </c>
      <c r="B191" s="10010" t="s">
        <v>1800</v>
      </c>
      <c r="C191" s="10011"/>
      <c r="D191" s="1335" t="s">
        <v>5369</v>
      </c>
      <c r="E191" s="1163" t="s">
        <v>5370</v>
      </c>
      <c r="F191" s="1114" t="s">
        <v>5371</v>
      </c>
      <c r="G191" s="1135" t="s">
        <v>5372</v>
      </c>
      <c r="H191" s="1114" t="s">
        <v>5373</v>
      </c>
      <c r="I191" s="1135" t="s">
        <v>5374</v>
      </c>
      <c r="J191" s="1114" t="s">
        <v>5375</v>
      </c>
      <c r="K191" s="1135" t="s">
        <v>5376</v>
      </c>
      <c r="L191" s="1114" t="s">
        <v>5377</v>
      </c>
      <c r="M191" s="1135" t="s">
        <v>5378</v>
      </c>
      <c r="N191" s="1114" t="s">
        <v>5379</v>
      </c>
      <c r="O191" s="1135" t="s">
        <v>5380</v>
      </c>
      <c r="P191" s="1114" t="s">
        <v>5381</v>
      </c>
      <c r="Q191" s="1135" t="s">
        <v>5382</v>
      </c>
      <c r="R191" s="1114" t="s">
        <v>5383</v>
      </c>
      <c r="S191" s="1135" t="s">
        <v>5384</v>
      </c>
      <c r="T191" s="1114" t="s">
        <v>5385</v>
      </c>
      <c r="U191" s="1135" t="s">
        <v>5386</v>
      </c>
      <c r="V191" s="1114" t="s">
        <v>5387</v>
      </c>
      <c r="W191" s="1135" t="s">
        <v>5388</v>
      </c>
      <c r="X191" s="1114" t="s">
        <v>5389</v>
      </c>
      <c r="Y191" s="1135" t="s">
        <v>5390</v>
      </c>
      <c r="Z191" s="1114" t="s">
        <v>5391</v>
      </c>
      <c r="AA191" s="1135" t="s">
        <v>5392</v>
      </c>
      <c r="AB191" s="1114" t="s">
        <v>5393</v>
      </c>
      <c r="AC191" s="1135" t="s">
        <v>5394</v>
      </c>
      <c r="AD191" s="1114" t="s">
        <v>5395</v>
      </c>
      <c r="AE191" s="1135" t="s">
        <v>5396</v>
      </c>
      <c r="AF191" s="1114" t="s">
        <v>5397</v>
      </c>
      <c r="AG191" s="1135" t="s">
        <v>5398</v>
      </c>
      <c r="AH191" s="1114" t="s">
        <v>5399</v>
      </c>
      <c r="AI191" s="1135" t="s">
        <v>5400</v>
      </c>
      <c r="AJ191" s="1114" t="s">
        <v>5401</v>
      </c>
      <c r="AK191" s="1136" t="s">
        <v>5402</v>
      </c>
      <c r="AL191" s="1186" t="s">
        <v>5403</v>
      </c>
      <c r="AM191" s="1165" t="s">
        <v>5404</v>
      </c>
      <c r="AN191" s="1166" t="s">
        <v>5405</v>
      </c>
      <c r="AO191" s="1162" t="s">
        <v>5406</v>
      </c>
      <c r="AP191" s="1161" t="s">
        <v>5407</v>
      </c>
      <c r="AQ191" s="1115" t="s">
        <v>5408</v>
      </c>
      <c r="AR191" s="1134" t="s">
        <v>5409</v>
      </c>
      <c r="AS191" s="1162" t="s">
        <v>5410</v>
      </c>
      <c r="AT191" s="1161" t="s">
        <v>5411</v>
      </c>
      <c r="AU191" s="1162" t="s">
        <v>5412</v>
      </c>
      <c r="AV191" s="1161" t="s">
        <v>5413</v>
      </c>
      <c r="AW191" s="1115" t="s">
        <v>5414</v>
      </c>
      <c r="AX191" s="1161" t="s">
        <v>5415</v>
      </c>
      <c r="AY191" s="1115" t="s">
        <v>5416</v>
      </c>
      <c r="AZ191" s="1197" t="e">
        <f t="shared" si="341"/>
        <v>#VALUE!</v>
      </c>
      <c r="BA191" s="1197"/>
      <c r="BB191" s="1197"/>
      <c r="BC191" s="1197"/>
      <c r="BD191" s="1197"/>
      <c r="BE191" s="1197"/>
      <c r="BF191" s="1197"/>
      <c r="BG191" s="1197"/>
      <c r="BH191" s="1197"/>
      <c r="BI191" s="1191"/>
      <c r="BJ191" s="1191"/>
      <c r="BK191" s="1191"/>
      <c r="BL191" s="1191"/>
      <c r="BS191" s="1191"/>
      <c r="BT191" s="1191"/>
      <c r="BU191" s="1191"/>
      <c r="BV191" s="1547"/>
      <c r="CB191" s="2195" t="str">
        <f t="shared" si="345"/>
        <v xml:space="preserve"> * El total de exámenes confirmados positivos por ISP NO DEBE SUPERAR el total de exámenes procesados. </v>
      </c>
      <c r="CC191" s="2195" t="e">
        <f t="shared" si="346"/>
        <v>#VALUE!</v>
      </c>
      <c r="CD191" s="2195" t="e">
        <f t="shared" si="347"/>
        <v>#VALUE!</v>
      </c>
      <c r="CE191" s="2195" t="e">
        <f t="shared" si="348"/>
        <v>#VALUE!</v>
      </c>
      <c r="CF191" s="2195" t="e">
        <f t="shared" si="349"/>
        <v>#VALUE!</v>
      </c>
      <c r="CG191" s="2195" t="str">
        <f t="shared" si="350"/>
        <v xml:space="preserve"> * Los exámenes procesados de personas pertenecientes a Pueblos originarios NO PUEDE Superar al total de Procesados. </v>
      </c>
      <c r="CH191" s="2195" t="str">
        <f t="shared" si="351"/>
        <v xml:space="preserve"> * Los exámenes confirmados positivos por ISP de personas pertenecientes a Pueblos originarios NO PUEDE Superar al total de Procesados. </v>
      </c>
      <c r="CI191" s="2195" t="str">
        <f t="shared" si="352"/>
        <v xml:space="preserve"> * Los exámenes procesados de personas pertenecientes a Pueblos migrantes NO PUEDE Superar al total de Procesados. </v>
      </c>
      <c r="CJ191" s="2195" t="str">
        <f t="shared" si="353"/>
        <v xml:space="preserve"> * Los exámenes confirmados positivos por ISP de personas pertenecientes a Pueblos Migrantes NO PUEDE Superar al total de Procesados. </v>
      </c>
      <c r="CK191" s="2195"/>
      <c r="CL191" s="2195"/>
      <c r="CM191" s="2195"/>
      <c r="CN191" s="2195"/>
      <c r="CO191" s="2195"/>
      <c r="CP191" s="2195"/>
      <c r="CQ191" s="2195"/>
      <c r="CR191" s="2195"/>
      <c r="CS191" s="2195"/>
      <c r="CT191" s="2195"/>
      <c r="CU191" s="2195"/>
      <c r="CV191" s="2195"/>
      <c r="CW191" s="2195"/>
      <c r="CX191" s="2195" t="str">
        <f t="shared" si="342"/>
        <v/>
      </c>
      <c r="CY191" s="2195" t="str">
        <f t="shared" si="343"/>
        <v/>
      </c>
      <c r="CZ191" s="2195"/>
      <c r="DA191" s="2195"/>
      <c r="DB191" s="1446">
        <f t="shared" si="354"/>
        <v>1</v>
      </c>
      <c r="DC191" s="1446" t="e">
        <f t="shared" si="355"/>
        <v>#VALUE!</v>
      </c>
      <c r="DD191" s="1446" t="e">
        <f t="shared" si="356"/>
        <v>#VALUE!</v>
      </c>
      <c r="DE191" s="1446" t="e">
        <f t="shared" si="357"/>
        <v>#VALUE!</v>
      </c>
      <c r="DF191" s="1446" t="e">
        <f t="shared" si="358"/>
        <v>#VALUE!</v>
      </c>
      <c r="DG191" s="1446">
        <f t="shared" si="359"/>
        <v>1</v>
      </c>
      <c r="DH191" s="1446">
        <f t="shared" si="360"/>
        <v>1</v>
      </c>
      <c r="DI191" s="1446">
        <f t="shared" si="361"/>
        <v>1</v>
      </c>
      <c r="DJ191" s="1446">
        <f t="shared" si="362"/>
        <v>1</v>
      </c>
      <c r="DK191" s="1446"/>
      <c r="DL191" s="1446"/>
      <c r="DM191" s="1446"/>
      <c r="DN191" s="1446"/>
      <c r="DO191" s="1446"/>
      <c r="DP191" s="1446"/>
      <c r="DQ191" s="1446"/>
      <c r="DR191" s="1446"/>
      <c r="DS191" s="1446"/>
      <c r="DT191" s="1446"/>
      <c r="DU191" s="1446"/>
      <c r="DV191" s="1446"/>
      <c r="DW191" s="1446"/>
      <c r="DX191" s="1446">
        <f t="shared" si="344"/>
        <v>0</v>
      </c>
      <c r="DY191" s="1446">
        <f t="shared" si="344"/>
        <v>0</v>
      </c>
    </row>
    <row r="192" spans="1:129" ht="16.5" customHeight="1" x14ac:dyDescent="0.3">
      <c r="A192" s="7258">
        <v>11055250</v>
      </c>
      <c r="B192" s="10010" t="s">
        <v>1829</v>
      </c>
      <c r="C192" s="10011"/>
      <c r="D192" s="1335" t="s">
        <v>5369</v>
      </c>
      <c r="E192" s="843" t="s">
        <v>5370</v>
      </c>
      <c r="F192" s="1114" t="s">
        <v>5371</v>
      </c>
      <c r="G192" s="1135" t="s">
        <v>5372</v>
      </c>
      <c r="H192" s="1114" t="s">
        <v>5373</v>
      </c>
      <c r="I192" s="1135" t="s">
        <v>5374</v>
      </c>
      <c r="J192" s="1114" t="s">
        <v>5375</v>
      </c>
      <c r="K192" s="1135" t="s">
        <v>5376</v>
      </c>
      <c r="L192" s="1114" t="s">
        <v>5377</v>
      </c>
      <c r="M192" s="1135" t="s">
        <v>5378</v>
      </c>
      <c r="N192" s="1114" t="s">
        <v>5379</v>
      </c>
      <c r="O192" s="1135" t="s">
        <v>5380</v>
      </c>
      <c r="P192" s="1114" t="s">
        <v>5381</v>
      </c>
      <c r="Q192" s="1135" t="s">
        <v>5382</v>
      </c>
      <c r="R192" s="1114" t="s">
        <v>5383</v>
      </c>
      <c r="S192" s="1135" t="s">
        <v>5384</v>
      </c>
      <c r="T192" s="1114" t="s">
        <v>5385</v>
      </c>
      <c r="U192" s="1135" t="s">
        <v>5386</v>
      </c>
      <c r="V192" s="1114" t="s">
        <v>5387</v>
      </c>
      <c r="W192" s="1135" t="s">
        <v>5388</v>
      </c>
      <c r="X192" s="1114" t="s">
        <v>5389</v>
      </c>
      <c r="Y192" s="1135" t="s">
        <v>5390</v>
      </c>
      <c r="Z192" s="1114" t="s">
        <v>5391</v>
      </c>
      <c r="AA192" s="1135" t="s">
        <v>5392</v>
      </c>
      <c r="AB192" s="1114" t="s">
        <v>5393</v>
      </c>
      <c r="AC192" s="1135" t="s">
        <v>5394</v>
      </c>
      <c r="AD192" s="1114" t="s">
        <v>5395</v>
      </c>
      <c r="AE192" s="1135" t="s">
        <v>5396</v>
      </c>
      <c r="AF192" s="1114" t="s">
        <v>5397</v>
      </c>
      <c r="AG192" s="1135" t="s">
        <v>5398</v>
      </c>
      <c r="AH192" s="1114" t="s">
        <v>5399</v>
      </c>
      <c r="AI192" s="1135" t="s">
        <v>5400</v>
      </c>
      <c r="AJ192" s="1114" t="s">
        <v>5401</v>
      </c>
      <c r="AK192" s="1135" t="s">
        <v>5402</v>
      </c>
      <c r="AL192" s="1161" t="s">
        <v>5403</v>
      </c>
      <c r="AM192" s="1115" t="s">
        <v>5404</v>
      </c>
      <c r="AN192" s="1114" t="s">
        <v>5405</v>
      </c>
      <c r="AO192" s="1162" t="s">
        <v>5406</v>
      </c>
      <c r="AP192" s="1161" t="s">
        <v>5407</v>
      </c>
      <c r="AQ192" s="1115" t="s">
        <v>5408</v>
      </c>
      <c r="AR192" s="1134" t="s">
        <v>5409</v>
      </c>
      <c r="AS192" s="1162" t="s">
        <v>5410</v>
      </c>
      <c r="AT192" s="1161" t="s">
        <v>5411</v>
      </c>
      <c r="AU192" s="1162" t="s">
        <v>5412</v>
      </c>
      <c r="AV192" s="1161" t="s">
        <v>5413</v>
      </c>
      <c r="AW192" s="1115" t="s">
        <v>5414</v>
      </c>
      <c r="AX192" s="1161" t="s">
        <v>5415</v>
      </c>
      <c r="AY192" s="1115" t="s">
        <v>5416</v>
      </c>
      <c r="AZ192" s="1197" t="e">
        <f t="shared" si="341"/>
        <v>#VALUE!</v>
      </c>
      <c r="BA192" s="1197"/>
      <c r="BB192" s="1197"/>
      <c r="BC192" s="1197"/>
      <c r="BD192" s="1197"/>
      <c r="BE192" s="1197"/>
      <c r="BF192" s="1197"/>
      <c r="BG192" s="1197"/>
      <c r="BH192" s="1197"/>
      <c r="BI192" s="1191"/>
      <c r="BJ192" s="1191"/>
      <c r="BK192" s="1191"/>
      <c r="BL192" s="1191"/>
      <c r="BS192" s="1191"/>
      <c r="BT192" s="1191"/>
      <c r="BU192" s="1191"/>
      <c r="BV192" s="1547"/>
      <c r="CB192" s="2195" t="str">
        <f t="shared" si="345"/>
        <v xml:space="preserve"> * El total de exámenes confirmados positivos por ISP NO DEBE SUPERAR el total de exámenes procesados. </v>
      </c>
      <c r="CC192" s="2195" t="e">
        <f t="shared" si="346"/>
        <v>#VALUE!</v>
      </c>
      <c r="CD192" s="2195" t="e">
        <f t="shared" si="347"/>
        <v>#VALUE!</v>
      </c>
      <c r="CE192" s="2195" t="e">
        <f t="shared" si="348"/>
        <v>#VALUE!</v>
      </c>
      <c r="CF192" s="2195" t="e">
        <f t="shared" si="349"/>
        <v>#VALUE!</v>
      </c>
      <c r="CG192" s="2195" t="str">
        <f t="shared" si="350"/>
        <v xml:space="preserve"> * Los exámenes procesados de personas pertenecientes a Pueblos originarios NO PUEDE Superar al total de Procesados. </v>
      </c>
      <c r="CH192" s="2195" t="str">
        <f t="shared" si="351"/>
        <v xml:space="preserve"> * Los exámenes confirmados positivos por ISP de personas pertenecientes a Pueblos originarios NO PUEDE Superar al total de Procesados. </v>
      </c>
      <c r="CI192" s="2195" t="str">
        <f t="shared" si="352"/>
        <v xml:space="preserve"> * Los exámenes procesados de personas pertenecientes a Pueblos migrantes NO PUEDE Superar al total de Procesados. </v>
      </c>
      <c r="CJ192" s="2195" t="str">
        <f t="shared" si="353"/>
        <v xml:space="preserve"> * Los exámenes confirmados positivos por ISP de personas pertenecientes a Pueblos Migrantes NO PUEDE Superar al total de Procesados. </v>
      </c>
      <c r="CK192" s="2195"/>
      <c r="CL192" s="2195"/>
      <c r="CM192" s="2195"/>
      <c r="CN192" s="2195"/>
      <c r="CO192" s="2195"/>
      <c r="CP192" s="2195"/>
      <c r="CQ192" s="2195"/>
      <c r="CR192" s="2195"/>
      <c r="CS192" s="2195"/>
      <c r="CT192" s="2195"/>
      <c r="CU192" s="2195"/>
      <c r="CV192" s="2195"/>
      <c r="CW192" s="2195"/>
      <c r="CX192" s="2195" t="str">
        <f t="shared" si="342"/>
        <v/>
      </c>
      <c r="CY192" s="2195" t="str">
        <f t="shared" si="343"/>
        <v/>
      </c>
      <c r="CZ192" s="2195"/>
      <c r="DA192" s="2195"/>
      <c r="DB192" s="1446">
        <f t="shared" si="354"/>
        <v>1</v>
      </c>
      <c r="DC192" s="1446" t="e">
        <f t="shared" si="355"/>
        <v>#VALUE!</v>
      </c>
      <c r="DD192" s="1446" t="e">
        <f t="shared" si="356"/>
        <v>#VALUE!</v>
      </c>
      <c r="DE192" s="1446" t="e">
        <f t="shared" si="357"/>
        <v>#VALUE!</v>
      </c>
      <c r="DF192" s="1446" t="e">
        <f t="shared" si="358"/>
        <v>#VALUE!</v>
      </c>
      <c r="DG192" s="1446">
        <f t="shared" si="359"/>
        <v>1</v>
      </c>
      <c r="DH192" s="1446">
        <f t="shared" si="360"/>
        <v>1</v>
      </c>
      <c r="DI192" s="1446">
        <f t="shared" si="361"/>
        <v>1</v>
      </c>
      <c r="DJ192" s="1446">
        <f t="shared" si="362"/>
        <v>1</v>
      </c>
      <c r="DK192" s="1446"/>
      <c r="DL192" s="1446"/>
      <c r="DM192" s="1446"/>
      <c r="DN192" s="1446"/>
      <c r="DO192" s="1446"/>
      <c r="DP192" s="1446"/>
      <c r="DQ192" s="1446"/>
      <c r="DR192" s="1446"/>
      <c r="DS192" s="1446"/>
      <c r="DT192" s="1446"/>
      <c r="DU192" s="1446"/>
      <c r="DV192" s="1446"/>
      <c r="DW192" s="1446"/>
      <c r="DX192" s="1446">
        <f t="shared" si="344"/>
        <v>0</v>
      </c>
      <c r="DY192" s="1446">
        <f t="shared" si="344"/>
        <v>0</v>
      </c>
    </row>
    <row r="193" spans="1:129" ht="16.5" customHeight="1" x14ac:dyDescent="0.3">
      <c r="A193" s="7258">
        <v>11055260</v>
      </c>
      <c r="B193" s="10013" t="s">
        <v>1830</v>
      </c>
      <c r="C193" s="10014"/>
      <c r="D193" s="1335" t="s">
        <v>5369</v>
      </c>
      <c r="E193" s="843" t="s">
        <v>5370</v>
      </c>
      <c r="F193" s="1132" t="s">
        <v>5371</v>
      </c>
      <c r="G193" s="1131" t="s">
        <v>5372</v>
      </c>
      <c r="H193" s="1132" t="s">
        <v>5373</v>
      </c>
      <c r="I193" s="1131" t="s">
        <v>5374</v>
      </c>
      <c r="J193" s="1132" t="s">
        <v>5375</v>
      </c>
      <c r="K193" s="1131" t="s">
        <v>5376</v>
      </c>
      <c r="L193" s="1132" t="s">
        <v>5377</v>
      </c>
      <c r="M193" s="1131" t="s">
        <v>5378</v>
      </c>
      <c r="N193" s="1132" t="s">
        <v>5379</v>
      </c>
      <c r="O193" s="1131" t="s">
        <v>5380</v>
      </c>
      <c r="P193" s="1114" t="s">
        <v>5381</v>
      </c>
      <c r="Q193" s="1135" t="s">
        <v>5382</v>
      </c>
      <c r="R193" s="1114" t="s">
        <v>5383</v>
      </c>
      <c r="S193" s="1135" t="s">
        <v>5384</v>
      </c>
      <c r="T193" s="1114" t="s">
        <v>5385</v>
      </c>
      <c r="U193" s="1135" t="s">
        <v>5386</v>
      </c>
      <c r="V193" s="1114" t="s">
        <v>5387</v>
      </c>
      <c r="W193" s="1135" t="s">
        <v>5388</v>
      </c>
      <c r="X193" s="1114" t="s">
        <v>5389</v>
      </c>
      <c r="Y193" s="1135" t="s">
        <v>5390</v>
      </c>
      <c r="Z193" s="1114" t="s">
        <v>5391</v>
      </c>
      <c r="AA193" s="1135" t="s">
        <v>5392</v>
      </c>
      <c r="AB193" s="1114" t="s">
        <v>5393</v>
      </c>
      <c r="AC193" s="1135" t="s">
        <v>5394</v>
      </c>
      <c r="AD193" s="1114" t="s">
        <v>5395</v>
      </c>
      <c r="AE193" s="1135" t="s">
        <v>5396</v>
      </c>
      <c r="AF193" s="1114" t="s">
        <v>5397</v>
      </c>
      <c r="AG193" s="1135" t="s">
        <v>5398</v>
      </c>
      <c r="AH193" s="1114" t="s">
        <v>5399</v>
      </c>
      <c r="AI193" s="1135" t="s">
        <v>5400</v>
      </c>
      <c r="AJ193" s="1114" t="s">
        <v>5401</v>
      </c>
      <c r="AK193" s="1135" t="s">
        <v>5402</v>
      </c>
      <c r="AL193" s="1161" t="s">
        <v>5403</v>
      </c>
      <c r="AM193" s="1115" t="s">
        <v>5404</v>
      </c>
      <c r="AN193" s="1114" t="s">
        <v>5405</v>
      </c>
      <c r="AO193" s="1162" t="s">
        <v>5406</v>
      </c>
      <c r="AP193" s="1161" t="s">
        <v>5407</v>
      </c>
      <c r="AQ193" s="1115" t="s">
        <v>5408</v>
      </c>
      <c r="AR193" s="1134" t="s">
        <v>5409</v>
      </c>
      <c r="AS193" s="1162" t="s">
        <v>5410</v>
      </c>
      <c r="AT193" s="1161" t="s">
        <v>5411</v>
      </c>
      <c r="AU193" s="1162" t="s">
        <v>5412</v>
      </c>
      <c r="AV193" s="1161" t="s">
        <v>5413</v>
      </c>
      <c r="AW193" s="1115" t="s">
        <v>5414</v>
      </c>
      <c r="AX193" s="1161" t="s">
        <v>5415</v>
      </c>
      <c r="AY193" s="1115" t="s">
        <v>5416</v>
      </c>
      <c r="AZ193" s="1197" t="e">
        <f t="shared" si="341"/>
        <v>#VALUE!</v>
      </c>
      <c r="BA193" s="1197"/>
      <c r="BB193" s="1197"/>
      <c r="BC193" s="1197"/>
      <c r="BD193" s="1197"/>
      <c r="BE193" s="1197"/>
      <c r="BF193" s="1197"/>
      <c r="BG193" s="1197"/>
      <c r="BH193" s="1197"/>
      <c r="BI193" s="1191"/>
      <c r="BJ193" s="1191"/>
      <c r="BK193" s="1191"/>
      <c r="BL193" s="1191"/>
      <c r="BS193" s="1191"/>
      <c r="BT193" s="1191"/>
      <c r="BU193" s="1191"/>
      <c r="BV193" s="1547"/>
      <c r="CB193" s="2195" t="str">
        <f t="shared" si="345"/>
        <v xml:space="preserve"> * El total de exámenes confirmados positivos por ISP NO DEBE SUPERAR el total de exámenes procesados. </v>
      </c>
      <c r="CC193" s="2195" t="e">
        <f t="shared" si="346"/>
        <v>#VALUE!</v>
      </c>
      <c r="CD193" s="2195" t="e">
        <f t="shared" si="347"/>
        <v>#VALUE!</v>
      </c>
      <c r="CE193" s="2195" t="e">
        <f t="shared" si="348"/>
        <v>#VALUE!</v>
      </c>
      <c r="CF193" s="2195" t="e">
        <f t="shared" si="349"/>
        <v>#VALUE!</v>
      </c>
      <c r="CG193" s="2195" t="str">
        <f t="shared" si="350"/>
        <v xml:space="preserve"> * Los exámenes procesados de personas pertenecientes a Pueblos originarios NO PUEDE Superar al total de Procesados. </v>
      </c>
      <c r="CH193" s="2195" t="str">
        <f t="shared" si="351"/>
        <v xml:space="preserve"> * Los exámenes confirmados positivos por ISP de personas pertenecientes a Pueblos originarios NO PUEDE Superar al total de Procesados. </v>
      </c>
      <c r="CI193" s="2195" t="str">
        <f t="shared" si="352"/>
        <v xml:space="preserve"> * Los exámenes procesados de personas pertenecientes a Pueblos migrantes NO PUEDE Superar al total de Procesados. </v>
      </c>
      <c r="CJ193" s="2195" t="str">
        <f t="shared" si="353"/>
        <v xml:space="preserve"> * Los exámenes confirmados positivos por ISP de personas pertenecientes a Pueblos Migrantes NO PUEDE Superar al total de Procesados. </v>
      </c>
      <c r="CK193" s="2195"/>
      <c r="CL193" s="2195"/>
      <c r="CM193" s="2195"/>
      <c r="CN193" s="2195"/>
      <c r="CO193" s="2195"/>
      <c r="CP193" s="2195"/>
      <c r="CQ193" s="2195"/>
      <c r="CR193" s="2195"/>
      <c r="CS193" s="2195"/>
      <c r="CT193" s="2195"/>
      <c r="CU193" s="2195"/>
      <c r="CV193" s="2195"/>
      <c r="CW193" s="2195"/>
      <c r="CX193" s="2195" t="str">
        <f t="shared" si="342"/>
        <v/>
      </c>
      <c r="CY193" s="2195" t="str">
        <f t="shared" si="343"/>
        <v/>
      </c>
      <c r="CZ193" s="2195"/>
      <c r="DA193" s="2195"/>
      <c r="DB193" s="1446">
        <f t="shared" si="354"/>
        <v>1</v>
      </c>
      <c r="DC193" s="1446" t="e">
        <f t="shared" si="355"/>
        <v>#VALUE!</v>
      </c>
      <c r="DD193" s="1446" t="e">
        <f t="shared" si="356"/>
        <v>#VALUE!</v>
      </c>
      <c r="DE193" s="1446" t="e">
        <f t="shared" si="357"/>
        <v>#VALUE!</v>
      </c>
      <c r="DF193" s="1446" t="e">
        <f t="shared" si="358"/>
        <v>#VALUE!</v>
      </c>
      <c r="DG193" s="1446">
        <f t="shared" si="359"/>
        <v>1</v>
      </c>
      <c r="DH193" s="1446">
        <f t="shared" si="360"/>
        <v>1</v>
      </c>
      <c r="DI193" s="1446">
        <f t="shared" si="361"/>
        <v>1</v>
      </c>
      <c r="DJ193" s="1446">
        <f t="shared" si="362"/>
        <v>1</v>
      </c>
      <c r="DK193" s="1446"/>
      <c r="DL193" s="1446"/>
      <c r="DM193" s="1446"/>
      <c r="DN193" s="1446"/>
      <c r="DO193" s="1446"/>
      <c r="DP193" s="1446"/>
      <c r="DQ193" s="1446"/>
      <c r="DR193" s="1446"/>
      <c r="DS193" s="1446"/>
      <c r="DT193" s="1446"/>
      <c r="DU193" s="1446"/>
      <c r="DV193" s="1446"/>
      <c r="DW193" s="1446"/>
      <c r="DX193" s="1446">
        <f t="shared" si="344"/>
        <v>0</v>
      </c>
      <c r="DY193" s="1446">
        <f t="shared" si="344"/>
        <v>0</v>
      </c>
    </row>
    <row r="194" spans="1:129" ht="16.2" customHeight="1" x14ac:dyDescent="0.3">
      <c r="A194" s="7258">
        <v>11055270</v>
      </c>
      <c r="B194" s="10010" t="s">
        <v>2184</v>
      </c>
      <c r="C194" s="10011"/>
      <c r="D194" s="1335" t="s">
        <v>5369</v>
      </c>
      <c r="E194" s="843" t="s">
        <v>5370</v>
      </c>
      <c r="F194" s="1132" t="s">
        <v>5371</v>
      </c>
      <c r="G194" s="1131" t="s">
        <v>5372</v>
      </c>
      <c r="H194" s="1132" t="s">
        <v>5373</v>
      </c>
      <c r="I194" s="1131" t="s">
        <v>5374</v>
      </c>
      <c r="J194" s="1132" t="s">
        <v>5375</v>
      </c>
      <c r="K194" s="1131" t="s">
        <v>5376</v>
      </c>
      <c r="L194" s="1132" t="s">
        <v>5377</v>
      </c>
      <c r="M194" s="1131" t="s">
        <v>5378</v>
      </c>
      <c r="N194" s="1132" t="s">
        <v>5379</v>
      </c>
      <c r="O194" s="1131" t="s">
        <v>5380</v>
      </c>
      <c r="P194" s="1114" t="s">
        <v>5381</v>
      </c>
      <c r="Q194" s="1135" t="s">
        <v>5382</v>
      </c>
      <c r="R194" s="1114" t="s">
        <v>5383</v>
      </c>
      <c r="S194" s="1135" t="s">
        <v>5384</v>
      </c>
      <c r="T194" s="1114" t="s">
        <v>5385</v>
      </c>
      <c r="U194" s="1135" t="s">
        <v>5386</v>
      </c>
      <c r="V194" s="1114" t="s">
        <v>5387</v>
      </c>
      <c r="W194" s="1135" t="s">
        <v>5388</v>
      </c>
      <c r="X194" s="1114" t="s">
        <v>5389</v>
      </c>
      <c r="Y194" s="1135" t="s">
        <v>5390</v>
      </c>
      <c r="Z194" s="1114" t="s">
        <v>5391</v>
      </c>
      <c r="AA194" s="1135" t="s">
        <v>5392</v>
      </c>
      <c r="AB194" s="1114" t="s">
        <v>5393</v>
      </c>
      <c r="AC194" s="1135" t="s">
        <v>5394</v>
      </c>
      <c r="AD194" s="1114" t="s">
        <v>5395</v>
      </c>
      <c r="AE194" s="1135" t="s">
        <v>5396</v>
      </c>
      <c r="AF194" s="1114" t="s">
        <v>5397</v>
      </c>
      <c r="AG194" s="1135" t="s">
        <v>5398</v>
      </c>
      <c r="AH194" s="1114" t="s">
        <v>5399</v>
      </c>
      <c r="AI194" s="1135" t="s">
        <v>5400</v>
      </c>
      <c r="AJ194" s="1114" t="s">
        <v>5401</v>
      </c>
      <c r="AK194" s="1135" t="s">
        <v>5402</v>
      </c>
      <c r="AL194" s="1161" t="s">
        <v>5403</v>
      </c>
      <c r="AM194" s="1115" t="s">
        <v>5404</v>
      </c>
      <c r="AN194" s="1114" t="s">
        <v>5405</v>
      </c>
      <c r="AO194" s="1162" t="s">
        <v>5406</v>
      </c>
      <c r="AP194" s="1161" t="s">
        <v>5407</v>
      </c>
      <c r="AQ194" s="1115" t="s">
        <v>5408</v>
      </c>
      <c r="AR194" s="1134" t="s">
        <v>5409</v>
      </c>
      <c r="AS194" s="1162" t="s">
        <v>5410</v>
      </c>
      <c r="AT194" s="1161" t="s">
        <v>5411</v>
      </c>
      <c r="AU194" s="1162" t="s">
        <v>5412</v>
      </c>
      <c r="AV194" s="1161" t="s">
        <v>5413</v>
      </c>
      <c r="AW194" s="1115" t="s">
        <v>5414</v>
      </c>
      <c r="AX194" s="1161" t="s">
        <v>5415</v>
      </c>
      <c r="AY194" s="1115" t="s">
        <v>5416</v>
      </c>
      <c r="AZ194" s="1197" t="e">
        <f t="shared" si="341"/>
        <v>#VALUE!</v>
      </c>
      <c r="BA194" s="1197"/>
      <c r="BB194" s="1197"/>
      <c r="BC194" s="1197"/>
      <c r="BD194" s="1197"/>
      <c r="BE194" s="1197"/>
      <c r="BF194" s="1197"/>
      <c r="BG194" s="1197"/>
      <c r="BH194" s="1197"/>
      <c r="BI194" s="1191"/>
      <c r="BJ194" s="1191"/>
      <c r="BK194" s="1191"/>
      <c r="BL194" s="1191"/>
      <c r="BS194" s="1191"/>
      <c r="BT194" s="1191"/>
      <c r="BU194" s="1191"/>
      <c r="BV194" s="1547"/>
      <c r="CB194" s="2195" t="str">
        <f t="shared" si="345"/>
        <v xml:space="preserve"> * El total de exámenes confirmados positivos por ISP NO DEBE SUPERAR el total de exámenes procesados. </v>
      </c>
      <c r="CC194" s="2195" t="e">
        <f t="shared" si="346"/>
        <v>#VALUE!</v>
      </c>
      <c r="CD194" s="2195" t="e">
        <f t="shared" si="347"/>
        <v>#VALUE!</v>
      </c>
      <c r="CE194" s="2195" t="e">
        <f t="shared" si="348"/>
        <v>#VALUE!</v>
      </c>
      <c r="CF194" s="2195" t="e">
        <f t="shared" si="349"/>
        <v>#VALUE!</v>
      </c>
      <c r="CG194" s="2195" t="str">
        <f t="shared" si="350"/>
        <v xml:space="preserve"> * Los exámenes procesados de personas pertenecientes a Pueblos originarios NO PUEDE Superar al total de Procesados. </v>
      </c>
      <c r="CH194" s="2195" t="str">
        <f t="shared" si="351"/>
        <v xml:space="preserve"> * Los exámenes confirmados positivos por ISP de personas pertenecientes a Pueblos originarios NO PUEDE Superar al total de Procesados. </v>
      </c>
      <c r="CI194" s="2195" t="str">
        <f t="shared" si="352"/>
        <v xml:space="preserve"> * Los exámenes procesados de personas pertenecientes a Pueblos migrantes NO PUEDE Superar al total de Procesados. </v>
      </c>
      <c r="CJ194" s="2195" t="str">
        <f t="shared" si="353"/>
        <v xml:space="preserve"> * Los exámenes confirmados positivos por ISP de personas pertenecientes a Pueblos Migrantes NO PUEDE Superar al total de Procesados. </v>
      </c>
      <c r="CK194" s="2195"/>
      <c r="CL194" s="2195"/>
      <c r="CM194" s="2195"/>
      <c r="CN194" s="2195"/>
      <c r="CO194" s="2195"/>
      <c r="CP194" s="2195"/>
      <c r="CQ194" s="2195"/>
      <c r="CR194" s="2195"/>
      <c r="CS194" s="2195"/>
      <c r="CT194" s="2195"/>
      <c r="CU194" s="2195"/>
      <c r="CV194" s="2195"/>
      <c r="CW194" s="2195"/>
      <c r="CX194" s="2195" t="str">
        <f t="shared" si="342"/>
        <v/>
      </c>
      <c r="CY194" s="2195" t="str">
        <f t="shared" si="343"/>
        <v/>
      </c>
      <c r="CZ194" s="2195"/>
      <c r="DA194" s="2195"/>
      <c r="DB194" s="1446">
        <f t="shared" si="354"/>
        <v>1</v>
      </c>
      <c r="DC194" s="1446" t="e">
        <f t="shared" si="355"/>
        <v>#VALUE!</v>
      </c>
      <c r="DD194" s="1446" t="e">
        <f t="shared" si="356"/>
        <v>#VALUE!</v>
      </c>
      <c r="DE194" s="1446" t="e">
        <f t="shared" si="357"/>
        <v>#VALUE!</v>
      </c>
      <c r="DF194" s="1446" t="e">
        <f t="shared" si="358"/>
        <v>#VALUE!</v>
      </c>
      <c r="DG194" s="1446">
        <f t="shared" si="359"/>
        <v>1</v>
      </c>
      <c r="DH194" s="1446">
        <f t="shared" si="360"/>
        <v>1</v>
      </c>
      <c r="DI194" s="1446">
        <f t="shared" si="361"/>
        <v>1</v>
      </c>
      <c r="DJ194" s="1446">
        <f t="shared" si="362"/>
        <v>1</v>
      </c>
      <c r="DK194" s="1446"/>
      <c r="DL194" s="1446"/>
      <c r="DM194" s="1446"/>
      <c r="DN194" s="1446"/>
      <c r="DO194" s="1446"/>
      <c r="DP194" s="1446"/>
      <c r="DQ194" s="1446"/>
      <c r="DR194" s="1446"/>
      <c r="DS194" s="1446"/>
      <c r="DT194" s="1446"/>
      <c r="DU194" s="1446"/>
      <c r="DV194" s="1446"/>
      <c r="DW194" s="1446"/>
      <c r="DX194" s="1446">
        <f t="shared" si="344"/>
        <v>0</v>
      </c>
      <c r="DY194" s="1446">
        <f t="shared" si="344"/>
        <v>0</v>
      </c>
    </row>
    <row r="195" spans="1:129" ht="16.2" customHeight="1" x14ac:dyDescent="0.3">
      <c r="A195" s="7258">
        <v>11055280</v>
      </c>
      <c r="B195" s="10023" t="s">
        <v>1831</v>
      </c>
      <c r="C195" s="10016"/>
      <c r="D195" s="1336" t="s">
        <v>5369</v>
      </c>
      <c r="E195" s="844" t="s">
        <v>5370</v>
      </c>
      <c r="F195" s="1167" t="s">
        <v>5371</v>
      </c>
      <c r="G195" s="115" t="s">
        <v>5372</v>
      </c>
      <c r="H195" s="1167" t="s">
        <v>5373</v>
      </c>
      <c r="I195" s="115" t="s">
        <v>5374</v>
      </c>
      <c r="J195" s="1167" t="s">
        <v>5375</v>
      </c>
      <c r="K195" s="115" t="s">
        <v>5376</v>
      </c>
      <c r="L195" s="1167" t="s">
        <v>5377</v>
      </c>
      <c r="M195" s="115" t="s">
        <v>5378</v>
      </c>
      <c r="N195" s="1167" t="s">
        <v>5379</v>
      </c>
      <c r="O195" s="115" t="s">
        <v>5380</v>
      </c>
      <c r="P195" s="1167" t="s">
        <v>5381</v>
      </c>
      <c r="Q195" s="115" t="s">
        <v>5382</v>
      </c>
      <c r="R195" s="1167" t="s">
        <v>5383</v>
      </c>
      <c r="S195" s="115" t="s">
        <v>5384</v>
      </c>
      <c r="T195" s="1167" t="s">
        <v>5385</v>
      </c>
      <c r="U195" s="115" t="s">
        <v>5386</v>
      </c>
      <c r="V195" s="1167" t="s">
        <v>5387</v>
      </c>
      <c r="W195" s="115" t="s">
        <v>5388</v>
      </c>
      <c r="X195" s="1167" t="s">
        <v>5389</v>
      </c>
      <c r="Y195" s="115" t="s">
        <v>5390</v>
      </c>
      <c r="Z195" s="1167" t="s">
        <v>5391</v>
      </c>
      <c r="AA195" s="115" t="s">
        <v>5392</v>
      </c>
      <c r="AB195" s="1167" t="s">
        <v>5393</v>
      </c>
      <c r="AC195" s="115" t="s">
        <v>5394</v>
      </c>
      <c r="AD195" s="1167" t="s">
        <v>5395</v>
      </c>
      <c r="AE195" s="115" t="s">
        <v>5396</v>
      </c>
      <c r="AF195" s="1167" t="s">
        <v>5397</v>
      </c>
      <c r="AG195" s="115" t="s">
        <v>5398</v>
      </c>
      <c r="AH195" s="1167" t="s">
        <v>5399</v>
      </c>
      <c r="AI195" s="115" t="s">
        <v>5400</v>
      </c>
      <c r="AJ195" s="1167" t="s">
        <v>5401</v>
      </c>
      <c r="AK195" s="115" t="s">
        <v>5402</v>
      </c>
      <c r="AL195" s="262" t="s">
        <v>5403</v>
      </c>
      <c r="AM195" s="164" t="s">
        <v>5404</v>
      </c>
      <c r="AN195" s="1167" t="s">
        <v>5405</v>
      </c>
      <c r="AO195" s="585" t="s">
        <v>5406</v>
      </c>
      <c r="AP195" s="262" t="s">
        <v>5407</v>
      </c>
      <c r="AQ195" s="164" t="s">
        <v>5408</v>
      </c>
      <c r="AR195" s="113" t="s">
        <v>5409</v>
      </c>
      <c r="AS195" s="585" t="s">
        <v>5410</v>
      </c>
      <c r="AT195" s="262" t="s">
        <v>5411</v>
      </c>
      <c r="AU195" s="585" t="s">
        <v>5412</v>
      </c>
      <c r="AV195" s="262" t="s">
        <v>5413</v>
      </c>
      <c r="AW195" s="164" t="s">
        <v>5414</v>
      </c>
      <c r="AX195" s="262" t="s">
        <v>5415</v>
      </c>
      <c r="AY195" s="164" t="s">
        <v>5416</v>
      </c>
      <c r="AZ195" s="1197" t="e">
        <f t="shared" si="341"/>
        <v>#VALUE!</v>
      </c>
      <c r="BA195" s="1197"/>
      <c r="BB195" s="1197"/>
      <c r="BC195" s="1197"/>
      <c r="BD195" s="1197"/>
      <c r="BE195" s="1197"/>
      <c r="BF195" s="1197"/>
      <c r="BG195" s="1197"/>
      <c r="BH195" s="1197"/>
      <c r="BI195" s="1191"/>
      <c r="BJ195" s="1191"/>
      <c r="BK195" s="1191"/>
      <c r="BL195" s="1191"/>
      <c r="BS195" s="1191"/>
      <c r="BT195" s="1191"/>
      <c r="BU195" s="1191"/>
      <c r="BV195" s="1547"/>
      <c r="CB195" s="2195" t="str">
        <f t="shared" si="345"/>
        <v xml:space="preserve"> * El total de exámenes confirmados positivos por ISP NO DEBE SUPERAR el total de exámenes procesados. </v>
      </c>
      <c r="CC195" s="2195" t="e">
        <f t="shared" si="346"/>
        <v>#VALUE!</v>
      </c>
      <c r="CD195" s="2195" t="e">
        <f t="shared" si="347"/>
        <v>#VALUE!</v>
      </c>
      <c r="CE195" s="2195" t="e">
        <f t="shared" si="348"/>
        <v>#VALUE!</v>
      </c>
      <c r="CF195" s="2195" t="e">
        <f t="shared" si="349"/>
        <v>#VALUE!</v>
      </c>
      <c r="CG195" s="2195" t="str">
        <f t="shared" si="350"/>
        <v xml:space="preserve"> * Los exámenes procesados de personas pertenecientes a Pueblos originarios NO PUEDE Superar al total de Procesados. </v>
      </c>
      <c r="CH195" s="2195" t="str">
        <f t="shared" si="351"/>
        <v xml:space="preserve"> * Los exámenes confirmados positivos por ISP de personas pertenecientes a Pueblos originarios NO PUEDE Superar al total de Procesados. </v>
      </c>
      <c r="CI195" s="2195" t="str">
        <f t="shared" si="352"/>
        <v xml:space="preserve"> * Los exámenes procesados de personas pertenecientes a Pueblos migrantes NO PUEDE Superar al total de Procesados. </v>
      </c>
      <c r="CJ195" s="2195" t="str">
        <f t="shared" si="353"/>
        <v xml:space="preserve"> * Los exámenes confirmados positivos por ISP de personas pertenecientes a Pueblos Migrantes NO PUEDE Superar al total de Procesados. </v>
      </c>
      <c r="CK195" s="2195"/>
      <c r="CL195" s="2195"/>
      <c r="CM195" s="2195"/>
      <c r="CN195" s="2195"/>
      <c r="CO195" s="2195"/>
      <c r="CP195" s="2195"/>
      <c r="CQ195" s="2195"/>
      <c r="CR195" s="2195"/>
      <c r="CS195" s="2195"/>
      <c r="CT195" s="2195"/>
      <c r="CU195" s="2195"/>
      <c r="CV195" s="2195"/>
      <c r="CW195" s="2195"/>
      <c r="CX195" s="2195" t="str">
        <f t="shared" si="342"/>
        <v/>
      </c>
      <c r="CY195" s="2195" t="str">
        <f t="shared" si="343"/>
        <v/>
      </c>
      <c r="CZ195" s="2195"/>
      <c r="DA195" s="2195"/>
      <c r="DB195" s="1446">
        <f t="shared" si="354"/>
        <v>1</v>
      </c>
      <c r="DC195" s="1446" t="e">
        <f t="shared" si="355"/>
        <v>#VALUE!</v>
      </c>
      <c r="DD195" s="1446" t="e">
        <f t="shared" si="356"/>
        <v>#VALUE!</v>
      </c>
      <c r="DE195" s="1446" t="e">
        <f t="shared" si="357"/>
        <v>#VALUE!</v>
      </c>
      <c r="DF195" s="1446" t="e">
        <f t="shared" si="358"/>
        <v>#VALUE!</v>
      </c>
      <c r="DG195" s="1446">
        <f t="shared" si="359"/>
        <v>1</v>
      </c>
      <c r="DH195" s="1446">
        <f t="shared" si="360"/>
        <v>1</v>
      </c>
      <c r="DI195" s="1446">
        <f t="shared" si="361"/>
        <v>1</v>
      </c>
      <c r="DJ195" s="1446">
        <f t="shared" si="362"/>
        <v>1</v>
      </c>
      <c r="DK195" s="1446"/>
      <c r="DL195" s="1446"/>
      <c r="DM195" s="1446"/>
      <c r="DN195" s="1446"/>
      <c r="DO195" s="1446"/>
      <c r="DP195" s="1446"/>
      <c r="DQ195" s="1446"/>
      <c r="DR195" s="1446"/>
      <c r="DS195" s="1446"/>
      <c r="DT195" s="1446"/>
      <c r="DU195" s="1446"/>
      <c r="DV195" s="1446"/>
      <c r="DW195" s="1446"/>
      <c r="DX195" s="1446">
        <f t="shared" si="344"/>
        <v>0</v>
      </c>
      <c r="DY195" s="1446">
        <f t="shared" si="344"/>
        <v>0</v>
      </c>
    </row>
    <row r="196" spans="1:129" ht="21" customHeight="1" x14ac:dyDescent="0.3">
      <c r="A196" s="7258">
        <v>11055290</v>
      </c>
      <c r="B196" s="10017" t="s">
        <v>1798</v>
      </c>
      <c r="C196" s="1168" t="s">
        <v>1815</v>
      </c>
      <c r="D196" s="1169" t="s">
        <v>5369</v>
      </c>
      <c r="E196" s="1334" t="s">
        <v>5370</v>
      </c>
      <c r="F196" s="698" t="s">
        <v>5371</v>
      </c>
      <c r="G196" s="1159" t="s">
        <v>5372</v>
      </c>
      <c r="H196" s="698" t="s">
        <v>5373</v>
      </c>
      <c r="I196" s="1159" t="s">
        <v>5374</v>
      </c>
      <c r="J196" s="698" t="s">
        <v>5375</v>
      </c>
      <c r="K196" s="1159" t="s">
        <v>5376</v>
      </c>
      <c r="L196" s="698" t="s">
        <v>5377</v>
      </c>
      <c r="M196" s="1159" t="s">
        <v>5378</v>
      </c>
      <c r="N196" s="698" t="s">
        <v>5379</v>
      </c>
      <c r="O196" s="1159" t="s">
        <v>5380</v>
      </c>
      <c r="P196" s="695" t="s">
        <v>5381</v>
      </c>
      <c r="Q196" s="714" t="s">
        <v>5382</v>
      </c>
      <c r="R196" s="695" t="s">
        <v>5383</v>
      </c>
      <c r="S196" s="714" t="s">
        <v>5384</v>
      </c>
      <c r="T196" s="695" t="s">
        <v>5385</v>
      </c>
      <c r="U196" s="714" t="s">
        <v>5386</v>
      </c>
      <c r="V196" s="695" t="s">
        <v>5387</v>
      </c>
      <c r="W196" s="714" t="s">
        <v>5388</v>
      </c>
      <c r="X196" s="695" t="s">
        <v>5389</v>
      </c>
      <c r="Y196" s="714" t="s">
        <v>5390</v>
      </c>
      <c r="Z196" s="695" t="s">
        <v>5391</v>
      </c>
      <c r="AA196" s="714" t="s">
        <v>5392</v>
      </c>
      <c r="AB196" s="695" t="s">
        <v>5393</v>
      </c>
      <c r="AC196" s="714" t="s">
        <v>5394</v>
      </c>
      <c r="AD196" s="695" t="s">
        <v>5395</v>
      </c>
      <c r="AE196" s="714" t="s">
        <v>5396</v>
      </c>
      <c r="AF196" s="695" t="s">
        <v>5397</v>
      </c>
      <c r="AG196" s="714" t="s">
        <v>5398</v>
      </c>
      <c r="AH196" s="695" t="s">
        <v>5399</v>
      </c>
      <c r="AI196" s="714" t="s">
        <v>5400</v>
      </c>
      <c r="AJ196" s="782" t="s">
        <v>5401</v>
      </c>
      <c r="AK196" s="1581" t="s">
        <v>5402</v>
      </c>
      <c r="AL196" s="1172" t="s">
        <v>5403</v>
      </c>
      <c r="AM196" s="1151" t="s">
        <v>5404</v>
      </c>
      <c r="AN196" s="695" t="s">
        <v>5405</v>
      </c>
      <c r="AO196" s="719" t="s">
        <v>5406</v>
      </c>
      <c r="AP196" s="1172" t="s">
        <v>5407</v>
      </c>
      <c r="AQ196" s="1151" t="s">
        <v>5408</v>
      </c>
      <c r="AR196" s="1187" t="s">
        <v>5409</v>
      </c>
      <c r="AS196" s="719" t="s">
        <v>5410</v>
      </c>
      <c r="AT196" s="1187" t="s">
        <v>5411</v>
      </c>
      <c r="AU196" s="719" t="s">
        <v>5412</v>
      </c>
      <c r="AV196" s="1187" t="s">
        <v>5413</v>
      </c>
      <c r="AW196" s="719" t="s">
        <v>5414</v>
      </c>
      <c r="AX196" s="1177" t="s">
        <v>5415</v>
      </c>
      <c r="AY196" s="1188" t="s">
        <v>5416</v>
      </c>
      <c r="AZ196" s="1197" t="e">
        <f t="shared" si="341"/>
        <v>#VALUE!</v>
      </c>
      <c r="BA196" s="1197"/>
      <c r="BB196" s="1197"/>
      <c r="BC196" s="1197"/>
      <c r="BD196" s="1197"/>
      <c r="BE196" s="1197"/>
      <c r="BF196" s="1197"/>
      <c r="BG196" s="1197"/>
      <c r="BH196" s="1197"/>
      <c r="BI196" s="1191"/>
      <c r="BJ196" s="1191"/>
      <c r="BK196" s="1191"/>
      <c r="BL196" s="1191"/>
      <c r="BS196" s="1191"/>
      <c r="BT196" s="1191"/>
      <c r="BU196" s="1191"/>
      <c r="BV196" s="1547"/>
      <c r="CB196" s="2195" t="str">
        <f t="shared" si="345"/>
        <v xml:space="preserve"> * El total de exámenes confirmados positivos por ISP NO DEBE SUPERAR el total de exámenes procesados. </v>
      </c>
      <c r="CC196" s="2195" t="e">
        <f t="shared" si="346"/>
        <v>#VALUE!</v>
      </c>
      <c r="CD196" s="2195" t="e">
        <f t="shared" si="347"/>
        <v>#VALUE!</v>
      </c>
      <c r="CE196" s="2195" t="e">
        <f t="shared" si="348"/>
        <v>#VALUE!</v>
      </c>
      <c r="CF196" s="2195" t="e">
        <f t="shared" si="349"/>
        <v>#VALUE!</v>
      </c>
      <c r="CG196" s="2195" t="str">
        <f t="shared" si="350"/>
        <v xml:space="preserve"> * Los exámenes procesados de personas pertenecientes a Pueblos originarios NO PUEDE Superar al total de Procesados. </v>
      </c>
      <c r="CH196" s="2195" t="str">
        <f t="shared" si="351"/>
        <v xml:space="preserve"> * Los exámenes confirmados positivos por ISP de personas pertenecientes a Pueblos originarios NO PUEDE Superar al total de Procesados. </v>
      </c>
      <c r="CI196" s="2195" t="str">
        <f t="shared" si="352"/>
        <v xml:space="preserve"> * Los exámenes procesados de personas pertenecientes a Pueblos migrantes NO PUEDE Superar al total de Procesados. </v>
      </c>
      <c r="CJ196" s="2195" t="str">
        <f t="shared" si="353"/>
        <v xml:space="preserve"> * Los exámenes confirmados positivos por ISP de personas pertenecientes a Pueblos Migrantes NO PUEDE Superar al total de Procesados. </v>
      </c>
      <c r="CK196" s="2195"/>
      <c r="CL196" s="2195"/>
      <c r="CM196" s="2195"/>
      <c r="CN196" s="2195"/>
      <c r="CO196" s="2195"/>
      <c r="CP196" s="2195"/>
      <c r="CQ196" s="2195"/>
      <c r="CR196" s="2195"/>
      <c r="CS196" s="2195"/>
      <c r="CT196" s="2195"/>
      <c r="CU196" s="2195"/>
      <c r="CV196" s="2195"/>
      <c r="CW196" s="2195"/>
      <c r="CX196" s="2195" t="str">
        <f t="shared" si="342"/>
        <v/>
      </c>
      <c r="CY196" s="2195" t="str">
        <f t="shared" si="343"/>
        <v/>
      </c>
      <c r="CZ196" s="2195"/>
      <c r="DA196" s="2195"/>
      <c r="DB196" s="1446">
        <f t="shared" si="354"/>
        <v>1</v>
      </c>
      <c r="DC196" s="1446" t="e">
        <f t="shared" si="355"/>
        <v>#VALUE!</v>
      </c>
      <c r="DD196" s="1446" t="e">
        <f t="shared" si="356"/>
        <v>#VALUE!</v>
      </c>
      <c r="DE196" s="1446" t="e">
        <f t="shared" si="357"/>
        <v>#VALUE!</v>
      </c>
      <c r="DF196" s="1446" t="e">
        <f t="shared" si="358"/>
        <v>#VALUE!</v>
      </c>
      <c r="DG196" s="1446">
        <f t="shared" si="359"/>
        <v>1</v>
      </c>
      <c r="DH196" s="1446">
        <f t="shared" si="360"/>
        <v>1</v>
      </c>
      <c r="DI196" s="1446">
        <f t="shared" si="361"/>
        <v>1</v>
      </c>
      <c r="DJ196" s="1446">
        <f t="shared" si="362"/>
        <v>1</v>
      </c>
      <c r="DK196" s="1446"/>
      <c r="DL196" s="1446"/>
      <c r="DM196" s="1446"/>
      <c r="DN196" s="1446"/>
      <c r="DO196" s="1446"/>
      <c r="DP196" s="1446"/>
      <c r="DQ196" s="1446"/>
      <c r="DR196" s="1446"/>
      <c r="DS196" s="1446"/>
      <c r="DT196" s="1446"/>
      <c r="DU196" s="1446"/>
      <c r="DV196" s="1446"/>
      <c r="DW196" s="1446"/>
      <c r="DX196" s="1446">
        <f t="shared" si="344"/>
        <v>0</v>
      </c>
      <c r="DY196" s="1446">
        <f t="shared" si="344"/>
        <v>0</v>
      </c>
    </row>
    <row r="197" spans="1:129" ht="19.5" customHeight="1" x14ac:dyDescent="0.3">
      <c r="A197" s="7258">
        <v>11055300</v>
      </c>
      <c r="B197" s="10018"/>
      <c r="C197" s="1152" t="s">
        <v>1816</v>
      </c>
      <c r="D197" s="1335" t="s">
        <v>5369</v>
      </c>
      <c r="E197" s="843" t="s">
        <v>5370</v>
      </c>
      <c r="F197" s="1132" t="s">
        <v>5371</v>
      </c>
      <c r="G197" s="1131" t="s">
        <v>5372</v>
      </c>
      <c r="H197" s="1132" t="s">
        <v>5373</v>
      </c>
      <c r="I197" s="1131" t="s">
        <v>5374</v>
      </c>
      <c r="J197" s="1132" t="s">
        <v>5375</v>
      </c>
      <c r="K197" s="1131" t="s">
        <v>5376</v>
      </c>
      <c r="L197" s="1132" t="s">
        <v>5377</v>
      </c>
      <c r="M197" s="1131" t="s">
        <v>5378</v>
      </c>
      <c r="N197" s="1132" t="s">
        <v>5379</v>
      </c>
      <c r="O197" s="1131" t="s">
        <v>5380</v>
      </c>
      <c r="P197" s="1114" t="s">
        <v>5381</v>
      </c>
      <c r="Q197" s="1135" t="s">
        <v>5382</v>
      </c>
      <c r="R197" s="1114" t="s">
        <v>5383</v>
      </c>
      <c r="S197" s="1135" t="s">
        <v>5384</v>
      </c>
      <c r="T197" s="1114" t="s">
        <v>5385</v>
      </c>
      <c r="U197" s="1135" t="s">
        <v>5386</v>
      </c>
      <c r="V197" s="1114" t="s">
        <v>5387</v>
      </c>
      <c r="W197" s="1135" t="s">
        <v>5388</v>
      </c>
      <c r="X197" s="1114" t="s">
        <v>5389</v>
      </c>
      <c r="Y197" s="1135" t="s">
        <v>5390</v>
      </c>
      <c r="Z197" s="1114" t="s">
        <v>5391</v>
      </c>
      <c r="AA197" s="1135" t="s">
        <v>5392</v>
      </c>
      <c r="AB197" s="1114" t="s">
        <v>5393</v>
      </c>
      <c r="AC197" s="1135" t="s">
        <v>5394</v>
      </c>
      <c r="AD197" s="1114" t="s">
        <v>5395</v>
      </c>
      <c r="AE197" s="1135" t="s">
        <v>5396</v>
      </c>
      <c r="AF197" s="1114" t="s">
        <v>5397</v>
      </c>
      <c r="AG197" s="1135" t="s">
        <v>5398</v>
      </c>
      <c r="AH197" s="1114" t="s">
        <v>5399</v>
      </c>
      <c r="AI197" s="1135" t="s">
        <v>5400</v>
      </c>
      <c r="AJ197" s="1140" t="s">
        <v>5401</v>
      </c>
      <c r="AK197" s="1141" t="s">
        <v>5402</v>
      </c>
      <c r="AL197" s="1161" t="s">
        <v>5403</v>
      </c>
      <c r="AM197" s="1115" t="s">
        <v>5404</v>
      </c>
      <c r="AN197" s="1114" t="s">
        <v>5405</v>
      </c>
      <c r="AO197" s="1162" t="s">
        <v>5406</v>
      </c>
      <c r="AP197" s="1161" t="s">
        <v>5407</v>
      </c>
      <c r="AQ197" s="1115" t="s">
        <v>5408</v>
      </c>
      <c r="AR197" s="1134" t="s">
        <v>5409</v>
      </c>
      <c r="AS197" s="1162" t="s">
        <v>5410</v>
      </c>
      <c r="AT197" s="1134" t="s">
        <v>5411</v>
      </c>
      <c r="AU197" s="1162" t="s">
        <v>5412</v>
      </c>
      <c r="AV197" s="1134" t="s">
        <v>5413</v>
      </c>
      <c r="AW197" s="1162" t="s">
        <v>5414</v>
      </c>
      <c r="AX197" s="1179" t="s">
        <v>5415</v>
      </c>
      <c r="AY197" s="1180" t="s">
        <v>5416</v>
      </c>
      <c r="AZ197" s="1197" t="e">
        <f t="shared" si="341"/>
        <v>#VALUE!</v>
      </c>
      <c r="BA197" s="1197"/>
      <c r="BB197" s="1197"/>
      <c r="BC197" s="1197"/>
      <c r="BD197" s="1197"/>
      <c r="BE197" s="1197"/>
      <c r="BF197" s="1197"/>
      <c r="BG197" s="1197"/>
      <c r="BH197" s="1197"/>
      <c r="BI197" s="1191"/>
      <c r="BJ197" s="1191"/>
      <c r="BK197" s="1191"/>
      <c r="BL197" s="1191"/>
      <c r="BS197" s="1191"/>
      <c r="BT197" s="1191"/>
      <c r="BU197" s="1191"/>
      <c r="BV197" s="1547"/>
      <c r="CB197" s="2195" t="str">
        <f t="shared" si="345"/>
        <v xml:space="preserve"> * El total de exámenes confirmados positivos por ISP NO DEBE SUPERAR el total de exámenes procesados. </v>
      </c>
      <c r="CC197" s="2195" t="e">
        <f t="shared" si="346"/>
        <v>#VALUE!</v>
      </c>
      <c r="CD197" s="2195" t="e">
        <f t="shared" si="347"/>
        <v>#VALUE!</v>
      </c>
      <c r="CE197" s="2195" t="e">
        <f t="shared" si="348"/>
        <v>#VALUE!</v>
      </c>
      <c r="CF197" s="2195" t="e">
        <f t="shared" si="349"/>
        <v>#VALUE!</v>
      </c>
      <c r="CG197" s="2195" t="str">
        <f t="shared" si="350"/>
        <v xml:space="preserve"> * Los exámenes procesados de personas pertenecientes a Pueblos originarios NO PUEDE Superar al total de Procesados. </v>
      </c>
      <c r="CH197" s="2195" t="str">
        <f t="shared" si="351"/>
        <v xml:space="preserve"> * Los exámenes confirmados positivos por ISP de personas pertenecientes a Pueblos originarios NO PUEDE Superar al total de Procesados. </v>
      </c>
      <c r="CI197" s="2195" t="str">
        <f t="shared" si="352"/>
        <v xml:space="preserve"> * Los exámenes procesados de personas pertenecientes a Pueblos migrantes NO PUEDE Superar al total de Procesados. </v>
      </c>
      <c r="CJ197" s="2195" t="str">
        <f t="shared" si="353"/>
        <v xml:space="preserve"> * Los exámenes confirmados positivos por ISP de personas pertenecientes a Pueblos Migrantes NO PUEDE Superar al total de Procesados. </v>
      </c>
      <c r="CK197" s="2195"/>
      <c r="CL197" s="2195"/>
      <c r="CM197" s="2195"/>
      <c r="CN197" s="2195"/>
      <c r="CO197" s="2195"/>
      <c r="CP197" s="2195"/>
      <c r="CQ197" s="2195"/>
      <c r="CR197" s="2195"/>
      <c r="CS197" s="2195"/>
      <c r="CT197" s="2195"/>
      <c r="CU197" s="2195"/>
      <c r="CV197" s="2195"/>
      <c r="CW197" s="2195"/>
      <c r="CX197" s="2195" t="str">
        <f t="shared" si="342"/>
        <v/>
      </c>
      <c r="CY197" s="2195" t="str">
        <f t="shared" si="343"/>
        <v/>
      </c>
      <c r="CZ197" s="2195"/>
      <c r="DA197" s="2195"/>
      <c r="DB197" s="1446">
        <f t="shared" si="354"/>
        <v>1</v>
      </c>
      <c r="DC197" s="1446" t="e">
        <f t="shared" si="355"/>
        <v>#VALUE!</v>
      </c>
      <c r="DD197" s="1446" t="e">
        <f t="shared" si="356"/>
        <v>#VALUE!</v>
      </c>
      <c r="DE197" s="1446" t="e">
        <f t="shared" si="357"/>
        <v>#VALUE!</v>
      </c>
      <c r="DF197" s="1446" t="e">
        <f t="shared" si="358"/>
        <v>#VALUE!</v>
      </c>
      <c r="DG197" s="1446">
        <f t="shared" si="359"/>
        <v>1</v>
      </c>
      <c r="DH197" s="1446">
        <f t="shared" si="360"/>
        <v>1</v>
      </c>
      <c r="DI197" s="1446">
        <f t="shared" si="361"/>
        <v>1</v>
      </c>
      <c r="DJ197" s="1446">
        <f t="shared" si="362"/>
        <v>1</v>
      </c>
      <c r="DK197" s="1446"/>
      <c r="DL197" s="1446"/>
      <c r="DM197" s="1446"/>
      <c r="DN197" s="1446"/>
      <c r="DO197" s="1446"/>
      <c r="DP197" s="1446"/>
      <c r="DQ197" s="1446"/>
      <c r="DR197" s="1446"/>
      <c r="DS197" s="1446"/>
      <c r="DT197" s="1446"/>
      <c r="DU197" s="1446"/>
      <c r="DV197" s="1446"/>
      <c r="DW197" s="1446"/>
      <c r="DX197" s="1446">
        <f t="shared" si="344"/>
        <v>0</v>
      </c>
      <c r="DY197" s="1446">
        <f t="shared" si="344"/>
        <v>0</v>
      </c>
    </row>
    <row r="198" spans="1:129" ht="19.5" customHeight="1" x14ac:dyDescent="0.3">
      <c r="A198" s="7258">
        <v>11055310</v>
      </c>
      <c r="B198" s="9569"/>
      <c r="C198" s="318" t="s">
        <v>1817</v>
      </c>
      <c r="D198" s="1336" t="s">
        <v>5369</v>
      </c>
      <c r="E198" s="1338" t="s">
        <v>5370</v>
      </c>
      <c r="F198" s="82" t="s">
        <v>5371</v>
      </c>
      <c r="G198" s="84" t="s">
        <v>5372</v>
      </c>
      <c r="H198" s="82" t="s">
        <v>5373</v>
      </c>
      <c r="I198" s="84" t="s">
        <v>5374</v>
      </c>
      <c r="J198" s="82" t="s">
        <v>5375</v>
      </c>
      <c r="K198" s="84" t="s">
        <v>5376</v>
      </c>
      <c r="L198" s="82" t="s">
        <v>5377</v>
      </c>
      <c r="M198" s="84" t="s">
        <v>5378</v>
      </c>
      <c r="N198" s="82" t="s">
        <v>5379</v>
      </c>
      <c r="O198" s="84" t="s">
        <v>5380</v>
      </c>
      <c r="P198" s="125" t="s">
        <v>5381</v>
      </c>
      <c r="Q198" s="83" t="s">
        <v>5382</v>
      </c>
      <c r="R198" s="125" t="s">
        <v>5383</v>
      </c>
      <c r="S198" s="83" t="s">
        <v>5384</v>
      </c>
      <c r="T198" s="125" t="s">
        <v>5385</v>
      </c>
      <c r="U198" s="83" t="s">
        <v>5386</v>
      </c>
      <c r="V198" s="125" t="s">
        <v>5387</v>
      </c>
      <c r="W198" s="83" t="s">
        <v>5388</v>
      </c>
      <c r="X198" s="125" t="s">
        <v>5389</v>
      </c>
      <c r="Y198" s="83" t="s">
        <v>5390</v>
      </c>
      <c r="Z198" s="125" t="s">
        <v>5391</v>
      </c>
      <c r="AA198" s="83" t="s">
        <v>5392</v>
      </c>
      <c r="AB198" s="125" t="s">
        <v>5393</v>
      </c>
      <c r="AC198" s="83" t="s">
        <v>5394</v>
      </c>
      <c r="AD198" s="125" t="s">
        <v>5395</v>
      </c>
      <c r="AE198" s="83" t="s">
        <v>5396</v>
      </c>
      <c r="AF198" s="125" t="s">
        <v>5397</v>
      </c>
      <c r="AG198" s="83" t="s">
        <v>5398</v>
      </c>
      <c r="AH198" s="125" t="s">
        <v>5399</v>
      </c>
      <c r="AI198" s="83" t="s">
        <v>5400</v>
      </c>
      <c r="AJ198" s="789" t="s">
        <v>5401</v>
      </c>
      <c r="AK198" s="1582" t="s">
        <v>5402</v>
      </c>
      <c r="AL198" s="264" t="s">
        <v>5403</v>
      </c>
      <c r="AM198" s="127" t="s">
        <v>5404</v>
      </c>
      <c r="AN198" s="125" t="s">
        <v>5405</v>
      </c>
      <c r="AO198" s="254" t="s">
        <v>5406</v>
      </c>
      <c r="AP198" s="264" t="s">
        <v>5407</v>
      </c>
      <c r="AQ198" s="127" t="s">
        <v>5408</v>
      </c>
      <c r="AR198" s="102" t="s">
        <v>5409</v>
      </c>
      <c r="AS198" s="254" t="s">
        <v>5410</v>
      </c>
      <c r="AT198" s="102" t="s">
        <v>5411</v>
      </c>
      <c r="AU198" s="254" t="s">
        <v>5412</v>
      </c>
      <c r="AV198" s="102" t="s">
        <v>5413</v>
      </c>
      <c r="AW198" s="254" t="s">
        <v>5414</v>
      </c>
      <c r="AX198" s="1181" t="s">
        <v>5415</v>
      </c>
      <c r="AY198" s="807" t="s">
        <v>5416</v>
      </c>
      <c r="AZ198" s="1197" t="e">
        <f t="shared" si="341"/>
        <v>#VALUE!</v>
      </c>
      <c r="BA198" s="1197"/>
      <c r="BB198" s="1197"/>
      <c r="BC198" s="1197"/>
      <c r="BD198" s="1197"/>
      <c r="BE198" s="1197"/>
      <c r="BF198" s="1197"/>
      <c r="BG198" s="1197"/>
      <c r="BH198" s="1197"/>
      <c r="BI198" s="1191"/>
      <c r="BJ198" s="1191"/>
      <c r="BK198" s="1191"/>
      <c r="BL198" s="1191"/>
      <c r="BS198" s="1191"/>
      <c r="BT198" s="1191"/>
      <c r="BU198" s="1191"/>
      <c r="BV198" s="1547"/>
      <c r="CB198" s="2195" t="str">
        <f t="shared" si="345"/>
        <v xml:space="preserve"> * El total de exámenes confirmados positivos por ISP NO DEBE SUPERAR el total de exámenes procesados. </v>
      </c>
      <c r="CC198" s="2195" t="e">
        <f t="shared" si="346"/>
        <v>#VALUE!</v>
      </c>
      <c r="CD198" s="2195" t="e">
        <f t="shared" si="347"/>
        <v>#VALUE!</v>
      </c>
      <c r="CE198" s="2195" t="e">
        <f t="shared" si="348"/>
        <v>#VALUE!</v>
      </c>
      <c r="CF198" s="2195" t="e">
        <f t="shared" si="349"/>
        <v>#VALUE!</v>
      </c>
      <c r="CG198" s="2195" t="str">
        <f t="shared" si="350"/>
        <v xml:space="preserve"> * Los exámenes procesados de personas pertenecientes a Pueblos originarios NO PUEDE Superar al total de Procesados. </v>
      </c>
      <c r="CH198" s="2195" t="str">
        <f t="shared" si="351"/>
        <v xml:space="preserve"> * Los exámenes confirmados positivos por ISP de personas pertenecientes a Pueblos originarios NO PUEDE Superar al total de Procesados. </v>
      </c>
      <c r="CI198" s="2195" t="str">
        <f t="shared" si="352"/>
        <v xml:space="preserve"> * Los exámenes procesados de personas pertenecientes a Pueblos migrantes NO PUEDE Superar al total de Procesados. </v>
      </c>
      <c r="CJ198" s="2195" t="str">
        <f t="shared" si="353"/>
        <v xml:space="preserve"> * Los exámenes confirmados positivos por ISP de personas pertenecientes a Pueblos Migrantes NO PUEDE Superar al total de Procesados. </v>
      </c>
      <c r="CK198" s="2195"/>
      <c r="CL198" s="2195"/>
      <c r="CM198" s="2195"/>
      <c r="CN198" s="2195"/>
      <c r="CO198" s="2195"/>
      <c r="CP198" s="2195"/>
      <c r="CQ198" s="2195"/>
      <c r="CR198" s="2195"/>
      <c r="CS198" s="2195"/>
      <c r="CT198" s="2195"/>
      <c r="CU198" s="2195"/>
      <c r="CV198" s="2195"/>
      <c r="CW198" s="2195"/>
      <c r="CX198" s="2195" t="str">
        <f t="shared" si="342"/>
        <v/>
      </c>
      <c r="CY198" s="2195" t="str">
        <f t="shared" si="343"/>
        <v/>
      </c>
      <c r="CZ198" s="2195"/>
      <c r="DA198" s="2195"/>
      <c r="DB198" s="1446">
        <f t="shared" si="354"/>
        <v>1</v>
      </c>
      <c r="DC198" s="1446" t="e">
        <f t="shared" si="355"/>
        <v>#VALUE!</v>
      </c>
      <c r="DD198" s="1446" t="e">
        <f t="shared" si="356"/>
        <v>#VALUE!</v>
      </c>
      <c r="DE198" s="1446" t="e">
        <f t="shared" si="357"/>
        <v>#VALUE!</v>
      </c>
      <c r="DF198" s="1446" t="e">
        <f t="shared" si="358"/>
        <v>#VALUE!</v>
      </c>
      <c r="DG198" s="1446">
        <f t="shared" si="359"/>
        <v>1</v>
      </c>
      <c r="DH198" s="1446">
        <f t="shared" si="360"/>
        <v>1</v>
      </c>
      <c r="DI198" s="1446">
        <f t="shared" si="361"/>
        <v>1</v>
      </c>
      <c r="DJ198" s="1446">
        <f t="shared" si="362"/>
        <v>1</v>
      </c>
      <c r="DK198" s="1446"/>
      <c r="DL198" s="1446"/>
      <c r="DM198" s="1446"/>
      <c r="DN198" s="1446"/>
      <c r="DO198" s="1446"/>
      <c r="DP198" s="1446"/>
      <c r="DQ198" s="1446"/>
      <c r="DR198" s="1446"/>
      <c r="DS198" s="1446"/>
      <c r="DT198" s="1446"/>
      <c r="DU198" s="1446"/>
      <c r="DV198" s="1446"/>
      <c r="DW198" s="1446"/>
      <c r="DX198" s="1446">
        <f t="shared" si="344"/>
        <v>0</v>
      </c>
      <c r="DY198" s="1446">
        <f t="shared" si="344"/>
        <v>0</v>
      </c>
    </row>
    <row r="199" spans="1:129" ht="16.2" customHeight="1" x14ac:dyDescent="0.3">
      <c r="A199" s="7258">
        <v>11055320</v>
      </c>
      <c r="B199" s="10008" t="s">
        <v>1799</v>
      </c>
      <c r="C199" s="10009"/>
      <c r="D199" s="1169" t="s">
        <v>5369</v>
      </c>
      <c r="E199" s="843" t="s">
        <v>5370</v>
      </c>
      <c r="F199" s="910" t="s">
        <v>5371</v>
      </c>
      <c r="G199" s="78" t="s">
        <v>5372</v>
      </c>
      <c r="H199" s="910" t="s">
        <v>5373</v>
      </c>
      <c r="I199" s="78" t="s">
        <v>5374</v>
      </c>
      <c r="J199" s="910" t="s">
        <v>5375</v>
      </c>
      <c r="K199" s="78" t="s">
        <v>5376</v>
      </c>
      <c r="L199" s="910" t="s">
        <v>5377</v>
      </c>
      <c r="M199" s="78" t="s">
        <v>5378</v>
      </c>
      <c r="N199" s="828" t="s">
        <v>5379</v>
      </c>
      <c r="O199" s="752" t="s">
        <v>5380</v>
      </c>
      <c r="P199" s="828" t="s">
        <v>5381</v>
      </c>
      <c r="Q199" s="752" t="s">
        <v>5382</v>
      </c>
      <c r="R199" s="828" t="s">
        <v>5383</v>
      </c>
      <c r="S199" s="752" t="s">
        <v>5384</v>
      </c>
      <c r="T199" s="828" t="s">
        <v>5385</v>
      </c>
      <c r="U199" s="752" t="s">
        <v>5386</v>
      </c>
      <c r="V199" s="828" t="s">
        <v>5387</v>
      </c>
      <c r="W199" s="752" t="s">
        <v>5388</v>
      </c>
      <c r="X199" s="828" t="s">
        <v>5389</v>
      </c>
      <c r="Y199" s="752" t="s">
        <v>5390</v>
      </c>
      <c r="Z199" s="828" t="s">
        <v>5391</v>
      </c>
      <c r="AA199" s="752" t="s">
        <v>5392</v>
      </c>
      <c r="AB199" s="828" t="s">
        <v>5393</v>
      </c>
      <c r="AC199" s="752" t="s">
        <v>5394</v>
      </c>
      <c r="AD199" s="828" t="s">
        <v>5395</v>
      </c>
      <c r="AE199" s="1182" t="s">
        <v>5396</v>
      </c>
      <c r="AF199" s="828" t="s">
        <v>5397</v>
      </c>
      <c r="AG199" s="1182" t="s">
        <v>5398</v>
      </c>
      <c r="AH199" s="1149" t="s">
        <v>5399</v>
      </c>
      <c r="AI199" s="952" t="s">
        <v>5400</v>
      </c>
      <c r="AJ199" s="828" t="s">
        <v>5401</v>
      </c>
      <c r="AK199" s="752" t="s">
        <v>5402</v>
      </c>
      <c r="AL199" s="261" t="s">
        <v>5403</v>
      </c>
      <c r="AM199" s="143" t="s">
        <v>5404</v>
      </c>
      <c r="AN199" s="910" t="s">
        <v>5405</v>
      </c>
      <c r="AO199" s="1160" t="s">
        <v>5406</v>
      </c>
      <c r="AP199" s="261" t="s">
        <v>5407</v>
      </c>
      <c r="AQ199" s="143" t="s">
        <v>5408</v>
      </c>
      <c r="AR199" s="1183" t="s">
        <v>5409</v>
      </c>
      <c r="AS199" s="1160" t="s">
        <v>5410</v>
      </c>
      <c r="AT199" s="261" t="s">
        <v>5411</v>
      </c>
      <c r="AU199" s="1160" t="s">
        <v>5412</v>
      </c>
      <c r="AV199" s="261" t="s">
        <v>5413</v>
      </c>
      <c r="AW199" s="143" t="s">
        <v>5414</v>
      </c>
      <c r="AX199" s="261" t="s">
        <v>5415</v>
      </c>
      <c r="AY199" s="143" t="s">
        <v>5416</v>
      </c>
      <c r="AZ199" s="1197" t="e">
        <f t="shared" si="341"/>
        <v>#VALUE!</v>
      </c>
      <c r="BA199" s="1197"/>
      <c r="BB199" s="1197"/>
      <c r="BC199" s="1197"/>
      <c r="BD199" s="1197"/>
      <c r="BE199" s="1197"/>
      <c r="BF199" s="1197"/>
      <c r="BG199" s="1197"/>
      <c r="BH199" s="1197"/>
      <c r="BI199" s="1191"/>
      <c r="BJ199" s="1191"/>
      <c r="BK199" s="1191"/>
      <c r="BL199" s="1191"/>
      <c r="BS199" s="1191"/>
      <c r="BT199" s="1191"/>
      <c r="BU199" s="1191"/>
      <c r="BV199" s="1547"/>
      <c r="CB199" s="2195" t="str">
        <f t="shared" si="345"/>
        <v xml:space="preserve"> * El total de exámenes confirmados positivos por ISP NO DEBE SUPERAR el total de exámenes procesados. </v>
      </c>
      <c r="CC199" s="2195" t="e">
        <f t="shared" si="346"/>
        <v>#VALUE!</v>
      </c>
      <c r="CD199" s="2195" t="e">
        <f t="shared" si="347"/>
        <v>#VALUE!</v>
      </c>
      <c r="CE199" s="2195" t="e">
        <f t="shared" si="348"/>
        <v>#VALUE!</v>
      </c>
      <c r="CF199" s="2195" t="e">
        <f t="shared" si="349"/>
        <v>#VALUE!</v>
      </c>
      <c r="CG199" s="2195" t="str">
        <f t="shared" si="350"/>
        <v xml:space="preserve"> * Los exámenes procesados de personas pertenecientes a Pueblos originarios NO PUEDE Superar al total de Procesados. </v>
      </c>
      <c r="CH199" s="2195" t="str">
        <f t="shared" si="351"/>
        <v xml:space="preserve"> * Los exámenes confirmados positivos por ISP de personas pertenecientes a Pueblos originarios NO PUEDE Superar al total de Procesados. </v>
      </c>
      <c r="CI199" s="2195" t="str">
        <f t="shared" si="352"/>
        <v xml:space="preserve"> * Los exámenes procesados de personas pertenecientes a Pueblos migrantes NO PUEDE Superar al total de Procesados. </v>
      </c>
      <c r="CJ199" s="2195" t="str">
        <f t="shared" si="353"/>
        <v xml:space="preserve"> * Los exámenes confirmados positivos por ISP de personas pertenecientes a Pueblos Migrantes NO PUEDE Superar al total de Procesados. </v>
      </c>
      <c r="CK199" s="2195"/>
      <c r="CL199" s="2195"/>
      <c r="CM199" s="2195"/>
      <c r="CN199" s="2195"/>
      <c r="CO199" s="2195"/>
      <c r="CP199" s="2195"/>
      <c r="CQ199" s="2195"/>
      <c r="CR199" s="2195"/>
      <c r="CS199" s="2195"/>
      <c r="CT199" s="2195"/>
      <c r="CU199" s="2195"/>
      <c r="CV199" s="2195"/>
      <c r="CW199" s="2195"/>
      <c r="CX199" s="2195" t="str">
        <f t="shared" si="342"/>
        <v/>
      </c>
      <c r="CY199" s="2195" t="str">
        <f t="shared" si="343"/>
        <v/>
      </c>
      <c r="CZ199" s="2195"/>
      <c r="DA199" s="2195"/>
      <c r="DB199" s="1446">
        <f t="shared" si="354"/>
        <v>1</v>
      </c>
      <c r="DC199" s="1446" t="e">
        <f t="shared" si="355"/>
        <v>#VALUE!</v>
      </c>
      <c r="DD199" s="1446" t="e">
        <f t="shared" si="356"/>
        <v>#VALUE!</v>
      </c>
      <c r="DE199" s="1446" t="e">
        <f t="shared" si="357"/>
        <v>#VALUE!</v>
      </c>
      <c r="DF199" s="1446" t="e">
        <f t="shared" si="358"/>
        <v>#VALUE!</v>
      </c>
      <c r="DG199" s="1446">
        <f t="shared" si="359"/>
        <v>1</v>
      </c>
      <c r="DH199" s="1446">
        <f t="shared" si="360"/>
        <v>1</v>
      </c>
      <c r="DI199" s="1446">
        <f t="shared" si="361"/>
        <v>1</v>
      </c>
      <c r="DJ199" s="1446">
        <f t="shared" si="362"/>
        <v>1</v>
      </c>
      <c r="DK199" s="1446"/>
      <c r="DL199" s="1446"/>
      <c r="DM199" s="1446"/>
      <c r="DN199" s="1446"/>
      <c r="DO199" s="1446"/>
      <c r="DP199" s="1446"/>
      <c r="DQ199" s="1446"/>
      <c r="DR199" s="1446"/>
      <c r="DS199" s="1446"/>
      <c r="DT199" s="1446"/>
      <c r="DU199" s="1446"/>
      <c r="DV199" s="1446"/>
      <c r="DW199" s="1446"/>
      <c r="DX199" s="1446">
        <f t="shared" si="344"/>
        <v>0</v>
      </c>
      <c r="DY199" s="1446">
        <f t="shared" si="344"/>
        <v>0</v>
      </c>
    </row>
    <row r="200" spans="1:129" ht="16.2" customHeight="1" x14ac:dyDescent="0.3">
      <c r="A200" s="7258">
        <v>11055330</v>
      </c>
      <c r="B200" s="10010" t="s">
        <v>1832</v>
      </c>
      <c r="C200" s="10011"/>
      <c r="D200" s="1335" t="s">
        <v>5369</v>
      </c>
      <c r="E200" s="1163" t="s">
        <v>5370</v>
      </c>
      <c r="F200" s="1114" t="s">
        <v>5371</v>
      </c>
      <c r="G200" s="1135" t="s">
        <v>5372</v>
      </c>
      <c r="H200" s="1114" t="s">
        <v>5373</v>
      </c>
      <c r="I200" s="1135" t="s">
        <v>5374</v>
      </c>
      <c r="J200" s="1114" t="s">
        <v>5375</v>
      </c>
      <c r="K200" s="1135" t="s">
        <v>5376</v>
      </c>
      <c r="L200" s="1114" t="s">
        <v>5377</v>
      </c>
      <c r="M200" s="1135" t="s">
        <v>5378</v>
      </c>
      <c r="N200" s="1114" t="s">
        <v>5379</v>
      </c>
      <c r="O200" s="1135" t="s">
        <v>5380</v>
      </c>
      <c r="P200" s="1167" t="s">
        <v>5381</v>
      </c>
      <c r="Q200" s="115" t="s">
        <v>5382</v>
      </c>
      <c r="R200" s="1167" t="s">
        <v>5383</v>
      </c>
      <c r="S200" s="115" t="s">
        <v>5384</v>
      </c>
      <c r="T200" s="1167" t="s">
        <v>5385</v>
      </c>
      <c r="U200" s="115" t="s">
        <v>5386</v>
      </c>
      <c r="V200" s="1167" t="s">
        <v>5387</v>
      </c>
      <c r="W200" s="115" t="s">
        <v>5388</v>
      </c>
      <c r="X200" s="1167" t="s">
        <v>5389</v>
      </c>
      <c r="Y200" s="115" t="s">
        <v>5390</v>
      </c>
      <c r="Z200" s="1167" t="s">
        <v>5391</v>
      </c>
      <c r="AA200" s="115" t="s">
        <v>5392</v>
      </c>
      <c r="AB200" s="1167" t="s">
        <v>5393</v>
      </c>
      <c r="AC200" s="115" t="s">
        <v>5394</v>
      </c>
      <c r="AD200" s="1167" t="s">
        <v>5395</v>
      </c>
      <c r="AE200" s="116" t="s">
        <v>5396</v>
      </c>
      <c r="AF200" s="1167" t="s">
        <v>5397</v>
      </c>
      <c r="AG200" s="116" t="s">
        <v>5398</v>
      </c>
      <c r="AH200" s="1167" t="s">
        <v>5399</v>
      </c>
      <c r="AI200" s="138" t="s">
        <v>5400</v>
      </c>
      <c r="AJ200" s="1167" t="s">
        <v>5401</v>
      </c>
      <c r="AK200" s="115" t="s">
        <v>5402</v>
      </c>
      <c r="AL200" s="262" t="s">
        <v>5403</v>
      </c>
      <c r="AM200" s="164" t="s">
        <v>5404</v>
      </c>
      <c r="AN200" s="1167" t="s">
        <v>5405</v>
      </c>
      <c r="AO200" s="585" t="s">
        <v>5406</v>
      </c>
      <c r="AP200" s="262" t="s">
        <v>5407</v>
      </c>
      <c r="AQ200" s="164" t="s">
        <v>5408</v>
      </c>
      <c r="AR200" s="113" t="s">
        <v>5409</v>
      </c>
      <c r="AS200" s="585" t="s">
        <v>5410</v>
      </c>
      <c r="AT200" s="262" t="s">
        <v>5411</v>
      </c>
      <c r="AU200" s="585" t="s">
        <v>5412</v>
      </c>
      <c r="AV200" s="262" t="s">
        <v>5413</v>
      </c>
      <c r="AW200" s="164" t="s">
        <v>5414</v>
      </c>
      <c r="AX200" s="262" t="s">
        <v>5415</v>
      </c>
      <c r="AY200" s="164" t="s">
        <v>5416</v>
      </c>
      <c r="AZ200" s="1197" t="e">
        <f t="shared" si="341"/>
        <v>#VALUE!</v>
      </c>
      <c r="BA200" s="1197"/>
      <c r="BB200" s="1197"/>
      <c r="BC200" s="1197"/>
      <c r="BD200" s="1197"/>
      <c r="BE200" s="1197"/>
      <c r="BF200" s="1197"/>
      <c r="BG200" s="1197"/>
      <c r="BH200" s="1197"/>
      <c r="BI200" s="1191"/>
      <c r="BJ200" s="1191"/>
      <c r="BK200" s="1191"/>
      <c r="BL200" s="1191"/>
      <c r="BS200" s="1191"/>
      <c r="BT200" s="1191"/>
      <c r="BU200" s="1191"/>
      <c r="BV200" s="1547"/>
      <c r="CB200" s="2195" t="str">
        <f t="shared" si="345"/>
        <v xml:space="preserve"> * El total de exámenes confirmados positivos por ISP NO DEBE SUPERAR el total de exámenes procesados. </v>
      </c>
      <c r="CC200" s="2195" t="e">
        <f t="shared" si="346"/>
        <v>#VALUE!</v>
      </c>
      <c r="CD200" s="2195" t="e">
        <f t="shared" si="347"/>
        <v>#VALUE!</v>
      </c>
      <c r="CE200" s="2195" t="e">
        <f t="shared" si="348"/>
        <v>#VALUE!</v>
      </c>
      <c r="CF200" s="2195" t="e">
        <f t="shared" si="349"/>
        <v>#VALUE!</v>
      </c>
      <c r="CG200" s="2195" t="str">
        <f t="shared" si="350"/>
        <v xml:space="preserve"> * Los exámenes procesados de personas pertenecientes a Pueblos originarios NO PUEDE Superar al total de Procesados. </v>
      </c>
      <c r="CH200" s="2195" t="str">
        <f t="shared" si="351"/>
        <v xml:space="preserve"> * Los exámenes confirmados positivos por ISP de personas pertenecientes a Pueblos originarios NO PUEDE Superar al total de Procesados. </v>
      </c>
      <c r="CI200" s="2195" t="str">
        <f t="shared" si="352"/>
        <v xml:space="preserve"> * Los exámenes procesados de personas pertenecientes a Pueblos migrantes NO PUEDE Superar al total de Procesados. </v>
      </c>
      <c r="CJ200" s="2195" t="str">
        <f t="shared" si="353"/>
        <v xml:space="preserve"> * Los exámenes confirmados positivos por ISP de personas pertenecientes a Pueblos Migrantes NO PUEDE Superar al total de Procesados. </v>
      </c>
      <c r="CK200" s="2195"/>
      <c r="CL200" s="2195"/>
      <c r="CM200" s="2195"/>
      <c r="CN200" s="2195"/>
      <c r="CO200" s="2195"/>
      <c r="CP200" s="2195"/>
      <c r="CQ200" s="2195"/>
      <c r="CR200" s="2195"/>
      <c r="CS200" s="2195"/>
      <c r="CT200" s="2195"/>
      <c r="CU200" s="2195"/>
      <c r="CV200" s="2195"/>
      <c r="CW200" s="2195"/>
      <c r="CX200" s="2195" t="str">
        <f t="shared" si="342"/>
        <v/>
      </c>
      <c r="CY200" s="2195" t="str">
        <f t="shared" si="343"/>
        <v/>
      </c>
      <c r="CZ200" s="2195"/>
      <c r="DA200" s="2195"/>
      <c r="DB200" s="1446">
        <f t="shared" si="354"/>
        <v>1</v>
      </c>
      <c r="DC200" s="1446" t="e">
        <f t="shared" si="355"/>
        <v>#VALUE!</v>
      </c>
      <c r="DD200" s="1446" t="e">
        <f t="shared" si="356"/>
        <v>#VALUE!</v>
      </c>
      <c r="DE200" s="1446" t="e">
        <f t="shared" si="357"/>
        <v>#VALUE!</v>
      </c>
      <c r="DF200" s="1446" t="e">
        <f t="shared" si="358"/>
        <v>#VALUE!</v>
      </c>
      <c r="DG200" s="1446">
        <f t="shared" si="359"/>
        <v>1</v>
      </c>
      <c r="DH200" s="1446">
        <f t="shared" si="360"/>
        <v>1</v>
      </c>
      <c r="DI200" s="1446">
        <f t="shared" si="361"/>
        <v>1</v>
      </c>
      <c r="DJ200" s="1446">
        <f t="shared" si="362"/>
        <v>1</v>
      </c>
      <c r="DK200" s="1446"/>
      <c r="DL200" s="1446"/>
      <c r="DM200" s="1446"/>
      <c r="DN200" s="1446"/>
      <c r="DO200" s="1446"/>
      <c r="DP200" s="1446"/>
      <c r="DQ200" s="1446"/>
      <c r="DR200" s="1446"/>
      <c r="DS200" s="1446"/>
      <c r="DT200" s="1446"/>
      <c r="DU200" s="1446"/>
      <c r="DV200" s="1446"/>
      <c r="DW200" s="1446"/>
      <c r="DX200" s="1446">
        <f t="shared" si="344"/>
        <v>0</v>
      </c>
      <c r="DY200" s="1446">
        <f t="shared" si="344"/>
        <v>0</v>
      </c>
    </row>
    <row r="201" spans="1:129" ht="16.2" customHeight="1" x14ac:dyDescent="0.3">
      <c r="A201" s="7258">
        <v>11055340</v>
      </c>
      <c r="B201" s="10010" t="s">
        <v>1801</v>
      </c>
      <c r="C201" s="10011"/>
      <c r="D201" s="1335" t="s">
        <v>5369</v>
      </c>
      <c r="E201" s="1163" t="s">
        <v>5370</v>
      </c>
      <c r="F201" s="1114" t="s">
        <v>5371</v>
      </c>
      <c r="G201" s="1135" t="s">
        <v>5372</v>
      </c>
      <c r="H201" s="1114" t="s">
        <v>5373</v>
      </c>
      <c r="I201" s="1135" t="s">
        <v>5374</v>
      </c>
      <c r="J201" s="1114" t="s">
        <v>5375</v>
      </c>
      <c r="K201" s="1135" t="s">
        <v>5376</v>
      </c>
      <c r="L201" s="1114" t="s">
        <v>5377</v>
      </c>
      <c r="M201" s="1135" t="s">
        <v>5378</v>
      </c>
      <c r="N201" s="1114" t="s">
        <v>5379</v>
      </c>
      <c r="O201" s="1135" t="s">
        <v>5380</v>
      </c>
      <c r="P201" s="1167" t="s">
        <v>5381</v>
      </c>
      <c r="Q201" s="115" t="s">
        <v>5382</v>
      </c>
      <c r="R201" s="1167" t="s">
        <v>5383</v>
      </c>
      <c r="S201" s="115" t="s">
        <v>5384</v>
      </c>
      <c r="T201" s="1167" t="s">
        <v>5385</v>
      </c>
      <c r="U201" s="115" t="s">
        <v>5386</v>
      </c>
      <c r="V201" s="1167" t="s">
        <v>5387</v>
      </c>
      <c r="W201" s="115" t="s">
        <v>5388</v>
      </c>
      <c r="X201" s="1167" t="s">
        <v>5389</v>
      </c>
      <c r="Y201" s="115" t="s">
        <v>5390</v>
      </c>
      <c r="Z201" s="1167" t="s">
        <v>5391</v>
      </c>
      <c r="AA201" s="115" t="s">
        <v>5392</v>
      </c>
      <c r="AB201" s="1167" t="s">
        <v>5393</v>
      </c>
      <c r="AC201" s="115" t="s">
        <v>5394</v>
      </c>
      <c r="AD201" s="1167" t="s">
        <v>5395</v>
      </c>
      <c r="AE201" s="116" t="s">
        <v>5396</v>
      </c>
      <c r="AF201" s="1167" t="s">
        <v>5397</v>
      </c>
      <c r="AG201" s="116" t="s">
        <v>5398</v>
      </c>
      <c r="AH201" s="1167" t="s">
        <v>5399</v>
      </c>
      <c r="AI201" s="138" t="s">
        <v>5400</v>
      </c>
      <c r="AJ201" s="1167" t="s">
        <v>5401</v>
      </c>
      <c r="AK201" s="115" t="s">
        <v>5402</v>
      </c>
      <c r="AL201" s="262" t="s">
        <v>5403</v>
      </c>
      <c r="AM201" s="164" t="s">
        <v>5404</v>
      </c>
      <c r="AN201" s="1167" t="s">
        <v>5405</v>
      </c>
      <c r="AO201" s="585" t="s">
        <v>5406</v>
      </c>
      <c r="AP201" s="262" t="s">
        <v>5407</v>
      </c>
      <c r="AQ201" s="164" t="s">
        <v>5408</v>
      </c>
      <c r="AR201" s="113" t="s">
        <v>5409</v>
      </c>
      <c r="AS201" s="585" t="s">
        <v>5410</v>
      </c>
      <c r="AT201" s="262" t="s">
        <v>5411</v>
      </c>
      <c r="AU201" s="585" t="s">
        <v>5412</v>
      </c>
      <c r="AV201" s="262" t="s">
        <v>5413</v>
      </c>
      <c r="AW201" s="164" t="s">
        <v>5414</v>
      </c>
      <c r="AX201" s="262" t="s">
        <v>5415</v>
      </c>
      <c r="AY201" s="164" t="s">
        <v>5416</v>
      </c>
      <c r="AZ201" s="1197" t="e">
        <f t="shared" si="341"/>
        <v>#VALUE!</v>
      </c>
      <c r="BA201" s="1197"/>
      <c r="BB201" s="1197"/>
      <c r="BC201" s="1197"/>
      <c r="BD201" s="1197"/>
      <c r="BE201" s="1197"/>
      <c r="BF201" s="1197"/>
      <c r="BG201" s="1197"/>
      <c r="BH201" s="1197"/>
      <c r="BI201" s="1191"/>
      <c r="BJ201" s="1191"/>
      <c r="BK201" s="1191"/>
      <c r="BL201" s="1191"/>
      <c r="BS201" s="1191"/>
      <c r="BT201" s="1191"/>
      <c r="BU201" s="1191"/>
      <c r="BV201" s="1547"/>
      <c r="CB201" s="2195" t="str">
        <f t="shared" si="345"/>
        <v xml:space="preserve"> * El total de exámenes confirmados positivos por ISP NO DEBE SUPERAR el total de exámenes procesados. </v>
      </c>
      <c r="CC201" s="2195" t="e">
        <f t="shared" si="346"/>
        <v>#VALUE!</v>
      </c>
      <c r="CD201" s="2195" t="e">
        <f t="shared" si="347"/>
        <v>#VALUE!</v>
      </c>
      <c r="CE201" s="2195" t="e">
        <f t="shared" si="348"/>
        <v>#VALUE!</v>
      </c>
      <c r="CF201" s="2195" t="e">
        <f t="shared" si="349"/>
        <v>#VALUE!</v>
      </c>
      <c r="CG201" s="2195" t="str">
        <f t="shared" si="350"/>
        <v xml:space="preserve"> * Los exámenes procesados de personas pertenecientes a Pueblos originarios NO PUEDE Superar al total de Procesados. </v>
      </c>
      <c r="CH201" s="2195" t="str">
        <f t="shared" si="351"/>
        <v xml:space="preserve"> * Los exámenes confirmados positivos por ISP de personas pertenecientes a Pueblos originarios NO PUEDE Superar al total de Procesados. </v>
      </c>
      <c r="CI201" s="2195" t="str">
        <f t="shared" si="352"/>
        <v xml:space="preserve"> * Los exámenes procesados de personas pertenecientes a Pueblos migrantes NO PUEDE Superar al total de Procesados. </v>
      </c>
      <c r="CJ201" s="2195" t="str">
        <f t="shared" si="353"/>
        <v xml:space="preserve"> * Los exámenes confirmados positivos por ISP de personas pertenecientes a Pueblos Migrantes NO PUEDE Superar al total de Procesados. </v>
      </c>
      <c r="CK201" s="2195"/>
      <c r="CL201" s="2195"/>
      <c r="CM201" s="2195"/>
      <c r="CN201" s="2195"/>
      <c r="CO201" s="2195"/>
      <c r="CP201" s="2195"/>
      <c r="CQ201" s="2195"/>
      <c r="CR201" s="2195"/>
      <c r="CS201" s="2195"/>
      <c r="CT201" s="2195"/>
      <c r="CU201" s="2195"/>
      <c r="CV201" s="2195"/>
      <c r="CW201" s="2195"/>
      <c r="CX201" s="2195" t="str">
        <f t="shared" si="342"/>
        <v/>
      </c>
      <c r="CY201" s="2195" t="str">
        <f t="shared" si="343"/>
        <v/>
      </c>
      <c r="CZ201" s="2195"/>
      <c r="DA201" s="2195"/>
      <c r="DB201" s="1446">
        <f t="shared" si="354"/>
        <v>1</v>
      </c>
      <c r="DC201" s="1446" t="e">
        <f t="shared" si="355"/>
        <v>#VALUE!</v>
      </c>
      <c r="DD201" s="1446" t="e">
        <f t="shared" si="356"/>
        <v>#VALUE!</v>
      </c>
      <c r="DE201" s="1446" t="e">
        <f t="shared" si="357"/>
        <v>#VALUE!</v>
      </c>
      <c r="DF201" s="1446" t="e">
        <f t="shared" si="358"/>
        <v>#VALUE!</v>
      </c>
      <c r="DG201" s="1446">
        <f t="shared" si="359"/>
        <v>1</v>
      </c>
      <c r="DH201" s="1446">
        <f t="shared" si="360"/>
        <v>1</v>
      </c>
      <c r="DI201" s="1446">
        <f t="shared" si="361"/>
        <v>1</v>
      </c>
      <c r="DJ201" s="1446">
        <f t="shared" si="362"/>
        <v>1</v>
      </c>
      <c r="DK201" s="1446"/>
      <c r="DL201" s="1446"/>
      <c r="DM201" s="1446"/>
      <c r="DN201" s="1446"/>
      <c r="DO201" s="1446"/>
      <c r="DP201" s="1446"/>
      <c r="DQ201" s="1446"/>
      <c r="DR201" s="1446"/>
      <c r="DS201" s="1446"/>
      <c r="DT201" s="1446"/>
      <c r="DU201" s="1446"/>
      <c r="DV201" s="1446"/>
      <c r="DW201" s="1446"/>
      <c r="DX201" s="1446">
        <f t="shared" si="344"/>
        <v>0</v>
      </c>
      <c r="DY201" s="1446">
        <f t="shared" si="344"/>
        <v>0</v>
      </c>
    </row>
    <row r="202" spans="1:129" ht="16.2" customHeight="1" x14ac:dyDescent="0.3">
      <c r="A202" s="7258">
        <v>11055341</v>
      </c>
      <c r="B202" s="10010" t="s">
        <v>1833</v>
      </c>
      <c r="C202" s="10011"/>
      <c r="D202" s="1335" t="s">
        <v>5369</v>
      </c>
      <c r="E202" s="850" t="s">
        <v>5370</v>
      </c>
      <c r="F202" s="1132" t="s">
        <v>5371</v>
      </c>
      <c r="G202" s="1131" t="s">
        <v>5372</v>
      </c>
      <c r="H202" s="1132" t="s">
        <v>5373</v>
      </c>
      <c r="I202" s="1131" t="s">
        <v>5374</v>
      </c>
      <c r="J202" s="1132" t="s">
        <v>5375</v>
      </c>
      <c r="K202" s="1131" t="s">
        <v>5376</v>
      </c>
      <c r="L202" s="1132" t="s">
        <v>5377</v>
      </c>
      <c r="M202" s="1131" t="s">
        <v>5378</v>
      </c>
      <c r="N202" s="1132" t="s">
        <v>5379</v>
      </c>
      <c r="O202" s="1131" t="s">
        <v>5380</v>
      </c>
      <c r="P202" s="1167" t="s">
        <v>5381</v>
      </c>
      <c r="Q202" s="115" t="s">
        <v>5382</v>
      </c>
      <c r="R202" s="1167" t="s">
        <v>5383</v>
      </c>
      <c r="S202" s="115" t="s">
        <v>5384</v>
      </c>
      <c r="T202" s="1167" t="s">
        <v>5385</v>
      </c>
      <c r="U202" s="115" t="s">
        <v>5386</v>
      </c>
      <c r="V202" s="1167" t="s">
        <v>5387</v>
      </c>
      <c r="W202" s="115" t="s">
        <v>5388</v>
      </c>
      <c r="X202" s="1167" t="s">
        <v>5389</v>
      </c>
      <c r="Y202" s="115" t="s">
        <v>5390</v>
      </c>
      <c r="Z202" s="1167" t="s">
        <v>5391</v>
      </c>
      <c r="AA202" s="115" t="s">
        <v>5392</v>
      </c>
      <c r="AB202" s="1167" t="s">
        <v>5393</v>
      </c>
      <c r="AC202" s="115" t="s">
        <v>5394</v>
      </c>
      <c r="AD202" s="1167" t="s">
        <v>5395</v>
      </c>
      <c r="AE202" s="116" t="s">
        <v>5396</v>
      </c>
      <c r="AF202" s="1167" t="s">
        <v>5397</v>
      </c>
      <c r="AG202" s="116" t="s">
        <v>5398</v>
      </c>
      <c r="AH202" s="1167" t="s">
        <v>5399</v>
      </c>
      <c r="AI202" s="138" t="s">
        <v>5400</v>
      </c>
      <c r="AJ202" s="1167" t="s">
        <v>5401</v>
      </c>
      <c r="AK202" s="115" t="s">
        <v>5402</v>
      </c>
      <c r="AL202" s="262" t="s">
        <v>5403</v>
      </c>
      <c r="AM202" s="164" t="s">
        <v>5404</v>
      </c>
      <c r="AN202" s="1167" t="s">
        <v>5405</v>
      </c>
      <c r="AO202" s="585" t="s">
        <v>5406</v>
      </c>
      <c r="AP202" s="262" t="s">
        <v>5407</v>
      </c>
      <c r="AQ202" s="164" t="s">
        <v>5408</v>
      </c>
      <c r="AR202" s="113" t="s">
        <v>5409</v>
      </c>
      <c r="AS202" s="585" t="s">
        <v>5410</v>
      </c>
      <c r="AT202" s="262" t="s">
        <v>5411</v>
      </c>
      <c r="AU202" s="585" t="s">
        <v>5412</v>
      </c>
      <c r="AV202" s="262" t="s">
        <v>5413</v>
      </c>
      <c r="AW202" s="164" t="s">
        <v>5414</v>
      </c>
      <c r="AX202" s="262" t="s">
        <v>5415</v>
      </c>
      <c r="AY202" s="164" t="s">
        <v>5416</v>
      </c>
      <c r="AZ202" s="1197" t="e">
        <f t="shared" si="341"/>
        <v>#VALUE!</v>
      </c>
      <c r="BA202" s="1197"/>
      <c r="BB202" s="1197"/>
      <c r="BC202" s="1197"/>
      <c r="BD202" s="1197"/>
      <c r="BE202" s="1197"/>
      <c r="BF202" s="1197"/>
      <c r="BG202" s="1197"/>
      <c r="BH202" s="1197"/>
      <c r="BI202" s="1191"/>
      <c r="BJ202" s="1191"/>
      <c r="BK202" s="1191"/>
      <c r="BL202" s="1191"/>
      <c r="BS202" s="1191"/>
      <c r="BT202" s="1191"/>
      <c r="BU202" s="1191"/>
      <c r="BV202" s="1547"/>
      <c r="CB202" s="2195" t="str">
        <f t="shared" si="345"/>
        <v xml:space="preserve"> * El total de exámenes confirmados positivos por ISP NO DEBE SUPERAR el total de exámenes procesados. </v>
      </c>
      <c r="CC202" s="2195" t="e">
        <f t="shared" si="346"/>
        <v>#VALUE!</v>
      </c>
      <c r="CD202" s="2195" t="e">
        <f t="shared" si="347"/>
        <v>#VALUE!</v>
      </c>
      <c r="CE202" s="2195" t="e">
        <f t="shared" si="348"/>
        <v>#VALUE!</v>
      </c>
      <c r="CF202" s="2195" t="e">
        <f t="shared" si="349"/>
        <v>#VALUE!</v>
      </c>
      <c r="CG202" s="2195" t="str">
        <f t="shared" si="350"/>
        <v xml:space="preserve"> * Los exámenes procesados de personas pertenecientes a Pueblos originarios NO PUEDE Superar al total de Procesados. </v>
      </c>
      <c r="CH202" s="2195" t="str">
        <f t="shared" si="351"/>
        <v xml:space="preserve"> * Los exámenes confirmados positivos por ISP de personas pertenecientes a Pueblos originarios NO PUEDE Superar al total de Procesados. </v>
      </c>
      <c r="CI202" s="2195" t="str">
        <f t="shared" si="352"/>
        <v xml:space="preserve"> * Los exámenes procesados de personas pertenecientes a Pueblos migrantes NO PUEDE Superar al total de Procesados. </v>
      </c>
      <c r="CJ202" s="2195" t="str">
        <f t="shared" si="353"/>
        <v xml:space="preserve"> * Los exámenes confirmados positivos por ISP de personas pertenecientes a Pueblos Migrantes NO PUEDE Superar al total de Procesados. </v>
      </c>
      <c r="CK202" s="2195"/>
      <c r="CL202" s="2195"/>
      <c r="CM202" s="2195"/>
      <c r="CN202" s="2195"/>
      <c r="CO202" s="2195"/>
      <c r="CP202" s="2195"/>
      <c r="CQ202" s="2195"/>
      <c r="CR202" s="2195"/>
      <c r="CS202" s="2195"/>
      <c r="CT202" s="2195"/>
      <c r="CU202" s="2195"/>
      <c r="CV202" s="2195"/>
      <c r="CW202" s="2195"/>
      <c r="CX202" s="2195" t="str">
        <f t="shared" si="342"/>
        <v/>
      </c>
      <c r="CY202" s="2195" t="str">
        <f t="shared" si="343"/>
        <v/>
      </c>
      <c r="CZ202" s="2195"/>
      <c r="DA202" s="2195"/>
      <c r="DB202" s="1446">
        <f t="shared" si="354"/>
        <v>1</v>
      </c>
      <c r="DC202" s="1446" t="e">
        <f t="shared" si="355"/>
        <v>#VALUE!</v>
      </c>
      <c r="DD202" s="1446" t="e">
        <f t="shared" si="356"/>
        <v>#VALUE!</v>
      </c>
      <c r="DE202" s="1446" t="e">
        <f t="shared" si="357"/>
        <v>#VALUE!</v>
      </c>
      <c r="DF202" s="1446" t="e">
        <f t="shared" si="358"/>
        <v>#VALUE!</v>
      </c>
      <c r="DG202" s="1446">
        <f t="shared" si="359"/>
        <v>1</v>
      </c>
      <c r="DH202" s="1446">
        <f t="shared" si="360"/>
        <v>1</v>
      </c>
      <c r="DI202" s="1446">
        <f t="shared" si="361"/>
        <v>1</v>
      </c>
      <c r="DJ202" s="1446">
        <f t="shared" si="362"/>
        <v>1</v>
      </c>
      <c r="DK202" s="1446"/>
      <c r="DL202" s="1446"/>
      <c r="DM202" s="1446"/>
      <c r="DN202" s="1446"/>
      <c r="DO202" s="1446"/>
      <c r="DP202" s="1446"/>
      <c r="DQ202" s="1446"/>
      <c r="DR202" s="1446"/>
      <c r="DS202" s="1446"/>
      <c r="DT202" s="1446"/>
      <c r="DU202" s="1446"/>
      <c r="DV202" s="1446"/>
      <c r="DW202" s="1446"/>
      <c r="DX202" s="1446">
        <f t="shared" si="344"/>
        <v>0</v>
      </c>
      <c r="DY202" s="1446">
        <f t="shared" si="344"/>
        <v>0</v>
      </c>
    </row>
    <row r="203" spans="1:129" ht="16.2" customHeight="1" x14ac:dyDescent="0.3">
      <c r="A203" s="7258">
        <v>11055342</v>
      </c>
      <c r="B203" s="10010" t="s">
        <v>1834</v>
      </c>
      <c r="C203" s="10011"/>
      <c r="D203" s="1335" t="s">
        <v>5369</v>
      </c>
      <c r="E203" s="850" t="s">
        <v>5370</v>
      </c>
      <c r="F203" s="1132" t="s">
        <v>5371</v>
      </c>
      <c r="G203" s="1131" t="s">
        <v>5372</v>
      </c>
      <c r="H203" s="1132" t="s">
        <v>5373</v>
      </c>
      <c r="I203" s="1131" t="s">
        <v>5374</v>
      </c>
      <c r="J203" s="1132" t="s">
        <v>5375</v>
      </c>
      <c r="K203" s="1131" t="s">
        <v>5376</v>
      </c>
      <c r="L203" s="1132" t="s">
        <v>5377</v>
      </c>
      <c r="M203" s="1131" t="s">
        <v>5378</v>
      </c>
      <c r="N203" s="1132" t="s">
        <v>5379</v>
      </c>
      <c r="O203" s="1131" t="s">
        <v>5380</v>
      </c>
      <c r="P203" s="1167" t="s">
        <v>5381</v>
      </c>
      <c r="Q203" s="115" t="s">
        <v>5382</v>
      </c>
      <c r="R203" s="1167" t="s">
        <v>5383</v>
      </c>
      <c r="S203" s="115" t="s">
        <v>5384</v>
      </c>
      <c r="T203" s="1167" t="s">
        <v>5385</v>
      </c>
      <c r="U203" s="115" t="s">
        <v>5386</v>
      </c>
      <c r="V203" s="1167" t="s">
        <v>5387</v>
      </c>
      <c r="W203" s="115" t="s">
        <v>5388</v>
      </c>
      <c r="X203" s="1167" t="s">
        <v>5389</v>
      </c>
      <c r="Y203" s="115" t="s">
        <v>5390</v>
      </c>
      <c r="Z203" s="1167" t="s">
        <v>5391</v>
      </c>
      <c r="AA203" s="115" t="s">
        <v>5392</v>
      </c>
      <c r="AB203" s="1167" t="s">
        <v>5393</v>
      </c>
      <c r="AC203" s="115" t="s">
        <v>5394</v>
      </c>
      <c r="AD203" s="1167" t="s">
        <v>5395</v>
      </c>
      <c r="AE203" s="116" t="s">
        <v>5396</v>
      </c>
      <c r="AF203" s="1167" t="s">
        <v>5397</v>
      </c>
      <c r="AG203" s="116" t="s">
        <v>5398</v>
      </c>
      <c r="AH203" s="1114" t="s">
        <v>5399</v>
      </c>
      <c r="AI203" s="164" t="s">
        <v>5400</v>
      </c>
      <c r="AJ203" s="1114" t="s">
        <v>5401</v>
      </c>
      <c r="AK203" s="113" t="s">
        <v>5402</v>
      </c>
      <c r="AL203" s="262" t="s">
        <v>5403</v>
      </c>
      <c r="AM203" s="164" t="s">
        <v>5404</v>
      </c>
      <c r="AN203" s="1167" t="s">
        <v>5405</v>
      </c>
      <c r="AO203" s="585" t="s">
        <v>5406</v>
      </c>
      <c r="AP203" s="262" t="s">
        <v>5407</v>
      </c>
      <c r="AQ203" s="164" t="s">
        <v>5408</v>
      </c>
      <c r="AR203" s="113" t="s">
        <v>5409</v>
      </c>
      <c r="AS203" s="585" t="s">
        <v>5410</v>
      </c>
      <c r="AT203" s="262" t="s">
        <v>5411</v>
      </c>
      <c r="AU203" s="585" t="s">
        <v>5412</v>
      </c>
      <c r="AV203" s="262" t="s">
        <v>5413</v>
      </c>
      <c r="AW203" s="164" t="s">
        <v>5414</v>
      </c>
      <c r="AX203" s="262" t="s">
        <v>5415</v>
      </c>
      <c r="AY203" s="164" t="s">
        <v>5416</v>
      </c>
      <c r="AZ203" s="1197" t="e">
        <f t="shared" si="341"/>
        <v>#VALUE!</v>
      </c>
      <c r="BA203" s="1197"/>
      <c r="BB203" s="1197"/>
      <c r="BC203" s="1197"/>
      <c r="BD203" s="1197"/>
      <c r="BE203" s="1197"/>
      <c r="BF203" s="1197"/>
      <c r="BG203" s="1197"/>
      <c r="BH203" s="1197"/>
      <c r="BI203" s="1191"/>
      <c r="BJ203" s="1191"/>
      <c r="BK203" s="1191"/>
      <c r="BL203" s="1191"/>
      <c r="BS203" s="1191"/>
      <c r="BT203" s="1191"/>
      <c r="BU203" s="1191"/>
      <c r="BV203" s="1547"/>
      <c r="CB203" s="2195" t="str">
        <f t="shared" si="345"/>
        <v xml:space="preserve"> * El total de exámenes confirmados positivos por ISP NO DEBE SUPERAR el total de exámenes procesados. </v>
      </c>
      <c r="CC203" s="2195" t="e">
        <f t="shared" si="346"/>
        <v>#VALUE!</v>
      </c>
      <c r="CD203" s="2195" t="e">
        <f t="shared" si="347"/>
        <v>#VALUE!</v>
      </c>
      <c r="CE203" s="2195" t="e">
        <f t="shared" si="348"/>
        <v>#VALUE!</v>
      </c>
      <c r="CF203" s="2195" t="e">
        <f t="shared" si="349"/>
        <v>#VALUE!</v>
      </c>
      <c r="CG203" s="2195" t="str">
        <f t="shared" si="350"/>
        <v xml:space="preserve"> * Los exámenes procesados de personas pertenecientes a Pueblos originarios NO PUEDE Superar al total de Procesados. </v>
      </c>
      <c r="CH203" s="2195" t="str">
        <f t="shared" si="351"/>
        <v xml:space="preserve"> * Los exámenes confirmados positivos por ISP de personas pertenecientes a Pueblos originarios NO PUEDE Superar al total de Procesados. </v>
      </c>
      <c r="CI203" s="2195" t="str">
        <f t="shared" si="352"/>
        <v xml:space="preserve"> * Los exámenes procesados de personas pertenecientes a Pueblos migrantes NO PUEDE Superar al total de Procesados. </v>
      </c>
      <c r="CJ203" s="2195" t="str">
        <f t="shared" si="353"/>
        <v xml:space="preserve"> * Los exámenes confirmados positivos por ISP de personas pertenecientes a Pueblos Migrantes NO PUEDE Superar al total de Procesados. </v>
      </c>
      <c r="CK203" s="2195"/>
      <c r="CL203" s="2195"/>
      <c r="CM203" s="2195"/>
      <c r="CN203" s="2195"/>
      <c r="CO203" s="2195"/>
      <c r="CP203" s="2195"/>
      <c r="CQ203" s="2195"/>
      <c r="CR203" s="2195"/>
      <c r="CS203" s="2195"/>
      <c r="CT203" s="2195"/>
      <c r="CU203" s="2195"/>
      <c r="CV203" s="2195"/>
      <c r="CW203" s="2195"/>
      <c r="CX203" s="2195" t="str">
        <f t="shared" si="342"/>
        <v/>
      </c>
      <c r="CY203" s="2195" t="str">
        <f t="shared" si="343"/>
        <v/>
      </c>
      <c r="CZ203" s="2195"/>
      <c r="DA203" s="2195"/>
      <c r="DB203" s="1446">
        <f t="shared" si="354"/>
        <v>1</v>
      </c>
      <c r="DC203" s="1446" t="e">
        <f t="shared" si="355"/>
        <v>#VALUE!</v>
      </c>
      <c r="DD203" s="1446" t="e">
        <f t="shared" si="356"/>
        <v>#VALUE!</v>
      </c>
      <c r="DE203" s="1446" t="e">
        <f t="shared" si="357"/>
        <v>#VALUE!</v>
      </c>
      <c r="DF203" s="1446" t="e">
        <f t="shared" si="358"/>
        <v>#VALUE!</v>
      </c>
      <c r="DG203" s="1446">
        <f t="shared" si="359"/>
        <v>1</v>
      </c>
      <c r="DH203" s="1446">
        <f t="shared" si="360"/>
        <v>1</v>
      </c>
      <c r="DI203" s="1446">
        <f t="shared" si="361"/>
        <v>1</v>
      </c>
      <c r="DJ203" s="1446">
        <f t="shared" si="362"/>
        <v>1</v>
      </c>
      <c r="DK203" s="1446"/>
      <c r="DL203" s="1446"/>
      <c r="DM203" s="1446"/>
      <c r="DN203" s="1446"/>
      <c r="DO203" s="1446"/>
      <c r="DP203" s="1446"/>
      <c r="DQ203" s="1446"/>
      <c r="DR203" s="1446"/>
      <c r="DS203" s="1446"/>
      <c r="DT203" s="1446"/>
      <c r="DU203" s="1446"/>
      <c r="DV203" s="1446"/>
      <c r="DW203" s="1446"/>
      <c r="DX203" s="1446">
        <f t="shared" ref="DX203:DY209" si="363">IF(AND(D203&lt;&gt;0,OR(AP203="",AR203="",AT203="",AV203="")),1,0)</f>
        <v>0</v>
      </c>
      <c r="DY203" s="1446">
        <f t="shared" si="363"/>
        <v>0</v>
      </c>
    </row>
    <row r="204" spans="1:129" ht="16.5" customHeight="1" x14ac:dyDescent="0.3">
      <c r="A204" s="7258">
        <v>11055350</v>
      </c>
      <c r="B204" s="1184" t="s">
        <v>1835</v>
      </c>
      <c r="C204" s="1185"/>
      <c r="D204" s="1335" t="s">
        <v>5369</v>
      </c>
      <c r="E204" s="850" t="s">
        <v>5370</v>
      </c>
      <c r="F204" s="1132" t="s">
        <v>5371</v>
      </c>
      <c r="G204" s="1131" t="s">
        <v>5372</v>
      </c>
      <c r="H204" s="1132" t="s">
        <v>5373</v>
      </c>
      <c r="I204" s="1131" t="s">
        <v>5374</v>
      </c>
      <c r="J204" s="1132" t="s">
        <v>5375</v>
      </c>
      <c r="K204" s="1131" t="s">
        <v>5376</v>
      </c>
      <c r="L204" s="1132" t="s">
        <v>5377</v>
      </c>
      <c r="M204" s="1131" t="s">
        <v>5378</v>
      </c>
      <c r="N204" s="1132" t="s">
        <v>5379</v>
      </c>
      <c r="O204" s="1131" t="s">
        <v>5380</v>
      </c>
      <c r="P204" s="1167" t="s">
        <v>5381</v>
      </c>
      <c r="Q204" s="115" t="s">
        <v>5382</v>
      </c>
      <c r="R204" s="1167" t="s">
        <v>5383</v>
      </c>
      <c r="S204" s="115" t="s">
        <v>5384</v>
      </c>
      <c r="T204" s="1167" t="s">
        <v>5385</v>
      </c>
      <c r="U204" s="115" t="s">
        <v>5386</v>
      </c>
      <c r="V204" s="1167" t="s">
        <v>5387</v>
      </c>
      <c r="W204" s="115" t="s">
        <v>5388</v>
      </c>
      <c r="X204" s="1167" t="s">
        <v>5389</v>
      </c>
      <c r="Y204" s="115" t="s">
        <v>5390</v>
      </c>
      <c r="Z204" s="1167" t="s">
        <v>5391</v>
      </c>
      <c r="AA204" s="115" t="s">
        <v>5392</v>
      </c>
      <c r="AB204" s="1167" t="s">
        <v>5393</v>
      </c>
      <c r="AC204" s="115" t="s">
        <v>5394</v>
      </c>
      <c r="AD204" s="1167" t="s">
        <v>5395</v>
      </c>
      <c r="AE204" s="116" t="s">
        <v>5396</v>
      </c>
      <c r="AF204" s="1167" t="s">
        <v>5397</v>
      </c>
      <c r="AG204" s="116" t="s">
        <v>5398</v>
      </c>
      <c r="AH204" s="1167" t="s">
        <v>5399</v>
      </c>
      <c r="AI204" s="138" t="s">
        <v>5400</v>
      </c>
      <c r="AJ204" s="1167" t="s">
        <v>5401</v>
      </c>
      <c r="AK204" s="115" t="s">
        <v>5402</v>
      </c>
      <c r="AL204" s="262" t="s">
        <v>5403</v>
      </c>
      <c r="AM204" s="164" t="s">
        <v>5404</v>
      </c>
      <c r="AN204" s="1167" t="s">
        <v>5405</v>
      </c>
      <c r="AO204" s="585" t="s">
        <v>5406</v>
      </c>
      <c r="AP204" s="262" t="s">
        <v>5407</v>
      </c>
      <c r="AQ204" s="164" t="s">
        <v>5408</v>
      </c>
      <c r="AR204" s="113" t="s">
        <v>5409</v>
      </c>
      <c r="AS204" s="585" t="s">
        <v>5410</v>
      </c>
      <c r="AT204" s="262" t="s">
        <v>5411</v>
      </c>
      <c r="AU204" s="585" t="s">
        <v>5412</v>
      </c>
      <c r="AV204" s="262" t="s">
        <v>5413</v>
      </c>
      <c r="AW204" s="164" t="s">
        <v>5414</v>
      </c>
      <c r="AX204" s="262" t="s">
        <v>5415</v>
      </c>
      <c r="AY204" s="164" t="s">
        <v>5416</v>
      </c>
      <c r="AZ204" s="1197" t="e">
        <f t="shared" si="341"/>
        <v>#VALUE!</v>
      </c>
      <c r="BA204" s="1197"/>
      <c r="BB204" s="1197"/>
      <c r="BC204" s="1197"/>
      <c r="BD204" s="1197"/>
      <c r="BE204" s="1197"/>
      <c r="BF204" s="1197"/>
      <c r="BG204" s="1197"/>
      <c r="BH204" s="1197"/>
      <c r="BI204" s="1191"/>
      <c r="BJ204" s="1191"/>
      <c r="BK204" s="1191"/>
      <c r="BL204" s="1191"/>
      <c r="BS204" s="1191"/>
      <c r="BT204" s="1191"/>
      <c r="BU204" s="1191"/>
      <c r="BV204" s="1547"/>
      <c r="CB204" s="2195" t="str">
        <f t="shared" si="345"/>
        <v xml:space="preserve"> * El total de exámenes confirmados positivos por ISP NO DEBE SUPERAR el total de exámenes procesados. </v>
      </c>
      <c r="CC204" s="2195" t="e">
        <f t="shared" si="346"/>
        <v>#VALUE!</v>
      </c>
      <c r="CD204" s="2195" t="e">
        <f t="shared" si="347"/>
        <v>#VALUE!</v>
      </c>
      <c r="CE204" s="2195" t="e">
        <f t="shared" si="348"/>
        <v>#VALUE!</v>
      </c>
      <c r="CF204" s="2195" t="e">
        <f t="shared" si="349"/>
        <v>#VALUE!</v>
      </c>
      <c r="CG204" s="2195" t="str">
        <f t="shared" si="350"/>
        <v xml:space="preserve"> * Los exámenes procesados de personas pertenecientes a Pueblos originarios NO PUEDE Superar al total de Procesados. </v>
      </c>
      <c r="CH204" s="2195" t="str">
        <f t="shared" si="351"/>
        <v xml:space="preserve"> * Los exámenes confirmados positivos por ISP de personas pertenecientes a Pueblos originarios NO PUEDE Superar al total de Procesados. </v>
      </c>
      <c r="CI204" s="2195" t="str">
        <f t="shared" si="352"/>
        <v xml:space="preserve"> * Los exámenes procesados de personas pertenecientes a Pueblos migrantes NO PUEDE Superar al total de Procesados. </v>
      </c>
      <c r="CJ204" s="2195" t="str">
        <f t="shared" si="353"/>
        <v xml:space="preserve"> * Los exámenes confirmados positivos por ISP de personas pertenecientes a Pueblos Migrantes NO PUEDE Superar al total de Procesados. </v>
      </c>
      <c r="CK204" s="2195"/>
      <c r="CL204" s="2195"/>
      <c r="CM204" s="2195"/>
      <c r="CN204" s="2195"/>
      <c r="CO204" s="2195"/>
      <c r="CP204" s="2195"/>
      <c r="CQ204" s="2195"/>
      <c r="CR204" s="2195"/>
      <c r="CS204" s="2195"/>
      <c r="CT204" s="2195"/>
      <c r="CU204" s="2195"/>
      <c r="CV204" s="2195"/>
      <c r="CW204" s="2195"/>
      <c r="CX204" s="2195" t="str">
        <f t="shared" si="342"/>
        <v/>
      </c>
      <c r="CY204" s="2195" t="str">
        <f t="shared" si="343"/>
        <v/>
      </c>
      <c r="CZ204" s="2195"/>
      <c r="DA204" s="2195"/>
      <c r="DB204" s="1446">
        <f t="shared" si="354"/>
        <v>1</v>
      </c>
      <c r="DC204" s="1446" t="e">
        <f t="shared" si="355"/>
        <v>#VALUE!</v>
      </c>
      <c r="DD204" s="1446" t="e">
        <f t="shared" si="356"/>
        <v>#VALUE!</v>
      </c>
      <c r="DE204" s="1446" t="e">
        <f t="shared" si="357"/>
        <v>#VALUE!</v>
      </c>
      <c r="DF204" s="1446" t="e">
        <f t="shared" si="358"/>
        <v>#VALUE!</v>
      </c>
      <c r="DG204" s="1446">
        <f t="shared" si="359"/>
        <v>1</v>
      </c>
      <c r="DH204" s="1446">
        <f t="shared" si="360"/>
        <v>1</v>
      </c>
      <c r="DI204" s="1446">
        <f t="shared" si="361"/>
        <v>1</v>
      </c>
      <c r="DJ204" s="1446">
        <f t="shared" si="362"/>
        <v>1</v>
      </c>
      <c r="DK204" s="1446"/>
      <c r="DL204" s="1446"/>
      <c r="DM204" s="1446"/>
      <c r="DN204" s="1446"/>
      <c r="DO204" s="1446"/>
      <c r="DP204" s="1446"/>
      <c r="DQ204" s="1446"/>
      <c r="DR204" s="1446"/>
      <c r="DS204" s="1446"/>
      <c r="DT204" s="1446"/>
      <c r="DU204" s="1446"/>
      <c r="DV204" s="1446"/>
      <c r="DW204" s="1446"/>
      <c r="DX204" s="1446">
        <f t="shared" si="363"/>
        <v>0</v>
      </c>
      <c r="DY204" s="1446">
        <f t="shared" si="363"/>
        <v>0</v>
      </c>
    </row>
    <row r="205" spans="1:129" ht="16.2" customHeight="1" x14ac:dyDescent="0.3">
      <c r="A205" s="7258">
        <v>11055351</v>
      </c>
      <c r="B205" s="10010" t="s">
        <v>1836</v>
      </c>
      <c r="C205" s="10011"/>
      <c r="D205" s="1335" t="s">
        <v>5369</v>
      </c>
      <c r="E205" s="850" t="s">
        <v>5370</v>
      </c>
      <c r="F205" s="1167" t="s">
        <v>5371</v>
      </c>
      <c r="G205" s="115" t="s">
        <v>5372</v>
      </c>
      <c r="H205" s="1167" t="s">
        <v>5373</v>
      </c>
      <c r="I205" s="115" t="s">
        <v>5374</v>
      </c>
      <c r="J205" s="1167" t="s">
        <v>5375</v>
      </c>
      <c r="K205" s="115" t="s">
        <v>5376</v>
      </c>
      <c r="L205" s="1167" t="s">
        <v>5377</v>
      </c>
      <c r="M205" s="115" t="s">
        <v>5378</v>
      </c>
      <c r="N205" s="1167" t="s">
        <v>5379</v>
      </c>
      <c r="O205" s="115" t="s">
        <v>5380</v>
      </c>
      <c r="P205" s="1167" t="s">
        <v>5381</v>
      </c>
      <c r="Q205" s="115" t="s">
        <v>5382</v>
      </c>
      <c r="R205" s="1167" t="s">
        <v>5383</v>
      </c>
      <c r="S205" s="115" t="s">
        <v>5384</v>
      </c>
      <c r="T205" s="1167" t="s">
        <v>5385</v>
      </c>
      <c r="U205" s="115" t="s">
        <v>5386</v>
      </c>
      <c r="V205" s="1167" t="s">
        <v>5387</v>
      </c>
      <c r="W205" s="115" t="s">
        <v>5388</v>
      </c>
      <c r="X205" s="1167" t="s">
        <v>5389</v>
      </c>
      <c r="Y205" s="115" t="s">
        <v>5390</v>
      </c>
      <c r="Z205" s="1167" t="s">
        <v>5391</v>
      </c>
      <c r="AA205" s="115" t="s">
        <v>5392</v>
      </c>
      <c r="AB205" s="1167" t="s">
        <v>5393</v>
      </c>
      <c r="AC205" s="115" t="s">
        <v>5394</v>
      </c>
      <c r="AD205" s="1167" t="s">
        <v>5395</v>
      </c>
      <c r="AE205" s="116" t="s">
        <v>5396</v>
      </c>
      <c r="AF205" s="1167" t="s">
        <v>5397</v>
      </c>
      <c r="AG205" s="116" t="s">
        <v>5398</v>
      </c>
      <c r="AH205" s="1167" t="s">
        <v>5399</v>
      </c>
      <c r="AI205" s="138" t="s">
        <v>5400</v>
      </c>
      <c r="AJ205" s="1167" t="s">
        <v>5401</v>
      </c>
      <c r="AK205" s="115" t="s">
        <v>5402</v>
      </c>
      <c r="AL205" s="262" t="s">
        <v>5403</v>
      </c>
      <c r="AM205" s="164" t="s">
        <v>5404</v>
      </c>
      <c r="AN205" s="1167" t="s">
        <v>5405</v>
      </c>
      <c r="AO205" s="585" t="s">
        <v>5406</v>
      </c>
      <c r="AP205" s="262" t="s">
        <v>5407</v>
      </c>
      <c r="AQ205" s="164" t="s">
        <v>5408</v>
      </c>
      <c r="AR205" s="113" t="s">
        <v>5409</v>
      </c>
      <c r="AS205" s="585" t="s">
        <v>5410</v>
      </c>
      <c r="AT205" s="262" t="s">
        <v>5411</v>
      </c>
      <c r="AU205" s="585" t="s">
        <v>5412</v>
      </c>
      <c r="AV205" s="262" t="s">
        <v>5413</v>
      </c>
      <c r="AW205" s="164" t="s">
        <v>5414</v>
      </c>
      <c r="AX205" s="262" t="s">
        <v>5415</v>
      </c>
      <c r="AY205" s="164" t="s">
        <v>5416</v>
      </c>
      <c r="AZ205" s="1197" t="e">
        <f t="shared" si="341"/>
        <v>#VALUE!</v>
      </c>
      <c r="BA205" s="1197"/>
      <c r="BB205" s="1197"/>
      <c r="BC205" s="1197"/>
      <c r="BD205" s="1197"/>
      <c r="BE205" s="1197"/>
      <c r="BF205" s="1197"/>
      <c r="BG205" s="1197"/>
      <c r="BH205" s="1197"/>
      <c r="BI205" s="1191"/>
      <c r="BJ205" s="1191"/>
      <c r="BK205" s="1191"/>
      <c r="BL205" s="1191"/>
      <c r="BS205" s="1191"/>
      <c r="BT205" s="1191"/>
      <c r="BU205" s="1191"/>
      <c r="BV205" s="1547"/>
      <c r="CB205" s="2195" t="str">
        <f t="shared" si="345"/>
        <v xml:space="preserve"> * El total de exámenes confirmados positivos por ISP NO DEBE SUPERAR el total de exámenes procesados. </v>
      </c>
      <c r="CC205" s="2195" t="e">
        <f t="shared" si="346"/>
        <v>#VALUE!</v>
      </c>
      <c r="CD205" s="2195" t="e">
        <f t="shared" si="347"/>
        <v>#VALUE!</v>
      </c>
      <c r="CE205" s="2195" t="e">
        <f t="shared" si="348"/>
        <v>#VALUE!</v>
      </c>
      <c r="CF205" s="2195" t="e">
        <f t="shared" si="349"/>
        <v>#VALUE!</v>
      </c>
      <c r="CG205" s="2195" t="str">
        <f t="shared" si="350"/>
        <v xml:space="preserve"> * Los exámenes procesados de personas pertenecientes a Pueblos originarios NO PUEDE Superar al total de Procesados. </v>
      </c>
      <c r="CH205" s="2195" t="str">
        <f t="shared" si="351"/>
        <v xml:space="preserve"> * Los exámenes confirmados positivos por ISP de personas pertenecientes a Pueblos originarios NO PUEDE Superar al total de Procesados. </v>
      </c>
      <c r="CI205" s="2195" t="str">
        <f t="shared" si="352"/>
        <v xml:space="preserve"> * Los exámenes procesados de personas pertenecientes a Pueblos migrantes NO PUEDE Superar al total de Procesados. </v>
      </c>
      <c r="CJ205" s="2195" t="str">
        <f t="shared" si="353"/>
        <v xml:space="preserve"> * Los exámenes confirmados positivos por ISP de personas pertenecientes a Pueblos Migrantes NO PUEDE Superar al total de Procesados. </v>
      </c>
      <c r="CK205" s="2195"/>
      <c r="CL205" s="2195"/>
      <c r="CM205" s="2195"/>
      <c r="CN205" s="2195"/>
      <c r="CO205" s="2195"/>
      <c r="CP205" s="2195"/>
      <c r="CQ205" s="2195"/>
      <c r="CR205" s="2195"/>
      <c r="CS205" s="2195"/>
      <c r="CT205" s="2195"/>
      <c r="CU205" s="2195"/>
      <c r="CV205" s="2195"/>
      <c r="CW205" s="2195"/>
      <c r="CX205" s="2195" t="str">
        <f t="shared" si="342"/>
        <v/>
      </c>
      <c r="CY205" s="2195" t="str">
        <f t="shared" si="343"/>
        <v/>
      </c>
      <c r="CZ205" s="2195"/>
      <c r="DA205" s="2195"/>
      <c r="DB205" s="1446">
        <f t="shared" si="354"/>
        <v>1</v>
      </c>
      <c r="DC205" s="1446" t="e">
        <f t="shared" si="355"/>
        <v>#VALUE!</v>
      </c>
      <c r="DD205" s="1446" t="e">
        <f t="shared" si="356"/>
        <v>#VALUE!</v>
      </c>
      <c r="DE205" s="1446" t="e">
        <f t="shared" si="357"/>
        <v>#VALUE!</v>
      </c>
      <c r="DF205" s="1446" t="e">
        <f t="shared" si="358"/>
        <v>#VALUE!</v>
      </c>
      <c r="DG205" s="1446">
        <f t="shared" si="359"/>
        <v>1</v>
      </c>
      <c r="DH205" s="1446">
        <f t="shared" si="360"/>
        <v>1</v>
      </c>
      <c r="DI205" s="1446">
        <f t="shared" si="361"/>
        <v>1</v>
      </c>
      <c r="DJ205" s="1446">
        <f t="shared" si="362"/>
        <v>1</v>
      </c>
      <c r="DK205" s="1446"/>
      <c r="DL205" s="1446"/>
      <c r="DM205" s="1446"/>
      <c r="DN205" s="1446"/>
      <c r="DO205" s="1446"/>
      <c r="DP205" s="1446"/>
      <c r="DQ205" s="1446"/>
      <c r="DR205" s="1446"/>
      <c r="DS205" s="1446"/>
      <c r="DT205" s="1446"/>
      <c r="DU205" s="1446"/>
      <c r="DV205" s="1446"/>
      <c r="DW205" s="1446"/>
      <c r="DX205" s="1446">
        <f t="shared" si="363"/>
        <v>0</v>
      </c>
      <c r="DY205" s="1446">
        <f t="shared" si="363"/>
        <v>0</v>
      </c>
    </row>
    <row r="206" spans="1:129" ht="16.2" customHeight="1" x14ac:dyDescent="0.3">
      <c r="A206" s="7258">
        <v>11055352</v>
      </c>
      <c r="B206" s="10010" t="s">
        <v>1837</v>
      </c>
      <c r="C206" s="10011"/>
      <c r="D206" s="1335" t="s">
        <v>5369</v>
      </c>
      <c r="E206" s="850" t="s">
        <v>5370</v>
      </c>
      <c r="F206" s="1167" t="s">
        <v>5371</v>
      </c>
      <c r="G206" s="115" t="s">
        <v>5372</v>
      </c>
      <c r="H206" s="1167" t="s">
        <v>5373</v>
      </c>
      <c r="I206" s="115" t="s">
        <v>5374</v>
      </c>
      <c r="J206" s="1167" t="s">
        <v>5375</v>
      </c>
      <c r="K206" s="115" t="s">
        <v>5376</v>
      </c>
      <c r="L206" s="1167" t="s">
        <v>5377</v>
      </c>
      <c r="M206" s="115" t="s">
        <v>5378</v>
      </c>
      <c r="N206" s="1167" t="s">
        <v>5379</v>
      </c>
      <c r="O206" s="115" t="s">
        <v>5380</v>
      </c>
      <c r="P206" s="1167" t="s">
        <v>5381</v>
      </c>
      <c r="Q206" s="115" t="s">
        <v>5382</v>
      </c>
      <c r="R206" s="1167" t="s">
        <v>5383</v>
      </c>
      <c r="S206" s="115" t="s">
        <v>5384</v>
      </c>
      <c r="T206" s="1167" t="s">
        <v>5385</v>
      </c>
      <c r="U206" s="115" t="s">
        <v>5386</v>
      </c>
      <c r="V206" s="1167" t="s">
        <v>5387</v>
      </c>
      <c r="W206" s="115" t="s">
        <v>5388</v>
      </c>
      <c r="X206" s="1167" t="s">
        <v>5389</v>
      </c>
      <c r="Y206" s="115" t="s">
        <v>5390</v>
      </c>
      <c r="Z206" s="1167" t="s">
        <v>5391</v>
      </c>
      <c r="AA206" s="115" t="s">
        <v>5392</v>
      </c>
      <c r="AB206" s="1167" t="s">
        <v>5393</v>
      </c>
      <c r="AC206" s="115" t="s">
        <v>5394</v>
      </c>
      <c r="AD206" s="1167" t="s">
        <v>5395</v>
      </c>
      <c r="AE206" s="116" t="s">
        <v>5396</v>
      </c>
      <c r="AF206" s="1167" t="s">
        <v>5397</v>
      </c>
      <c r="AG206" s="116" t="s">
        <v>5398</v>
      </c>
      <c r="AH206" s="1167" t="s">
        <v>5399</v>
      </c>
      <c r="AI206" s="138" t="s">
        <v>5400</v>
      </c>
      <c r="AJ206" s="1167" t="s">
        <v>5401</v>
      </c>
      <c r="AK206" s="115" t="s">
        <v>5402</v>
      </c>
      <c r="AL206" s="262" t="s">
        <v>5403</v>
      </c>
      <c r="AM206" s="164" t="s">
        <v>5404</v>
      </c>
      <c r="AN206" s="1167" t="s">
        <v>5405</v>
      </c>
      <c r="AO206" s="585" t="s">
        <v>5406</v>
      </c>
      <c r="AP206" s="262" t="s">
        <v>5407</v>
      </c>
      <c r="AQ206" s="164" t="s">
        <v>5408</v>
      </c>
      <c r="AR206" s="113" t="s">
        <v>5409</v>
      </c>
      <c r="AS206" s="585" t="s">
        <v>5410</v>
      </c>
      <c r="AT206" s="262" t="s">
        <v>5411</v>
      </c>
      <c r="AU206" s="585" t="s">
        <v>5412</v>
      </c>
      <c r="AV206" s="262" t="s">
        <v>5413</v>
      </c>
      <c r="AW206" s="164" t="s">
        <v>5414</v>
      </c>
      <c r="AX206" s="262" t="s">
        <v>5415</v>
      </c>
      <c r="AY206" s="164" t="s">
        <v>5416</v>
      </c>
      <c r="AZ206" s="1197" t="e">
        <f t="shared" si="341"/>
        <v>#VALUE!</v>
      </c>
      <c r="BA206" s="1197"/>
      <c r="BB206" s="1197"/>
      <c r="BC206" s="1197"/>
      <c r="BD206" s="1197"/>
      <c r="BE206" s="1197"/>
      <c r="BF206" s="1197"/>
      <c r="BG206" s="1197"/>
      <c r="BH206" s="1197"/>
      <c r="BI206" s="1191"/>
      <c r="BJ206" s="1191"/>
      <c r="BK206" s="1191"/>
      <c r="BL206" s="1191"/>
      <c r="BS206" s="1191"/>
      <c r="BT206" s="1191"/>
      <c r="BU206" s="1191"/>
      <c r="BV206" s="1547"/>
      <c r="CB206" s="2195" t="str">
        <f t="shared" si="345"/>
        <v xml:space="preserve"> * El total de exámenes confirmados positivos por ISP NO DEBE SUPERAR el total de exámenes procesados. </v>
      </c>
      <c r="CC206" s="2195" t="e">
        <f t="shared" si="346"/>
        <v>#VALUE!</v>
      </c>
      <c r="CD206" s="2195" t="e">
        <f t="shared" si="347"/>
        <v>#VALUE!</v>
      </c>
      <c r="CE206" s="2195" t="e">
        <f t="shared" si="348"/>
        <v>#VALUE!</v>
      </c>
      <c r="CF206" s="2195" t="e">
        <f t="shared" si="349"/>
        <v>#VALUE!</v>
      </c>
      <c r="CG206" s="2195" t="str">
        <f t="shared" si="350"/>
        <v xml:space="preserve"> * Los exámenes procesados de personas pertenecientes a Pueblos originarios NO PUEDE Superar al total de Procesados. </v>
      </c>
      <c r="CH206" s="2195" t="str">
        <f t="shared" si="351"/>
        <v xml:space="preserve"> * Los exámenes confirmados positivos por ISP de personas pertenecientes a Pueblos originarios NO PUEDE Superar al total de Procesados. </v>
      </c>
      <c r="CI206" s="2195" t="str">
        <f t="shared" si="352"/>
        <v xml:space="preserve"> * Los exámenes procesados de personas pertenecientes a Pueblos migrantes NO PUEDE Superar al total de Procesados. </v>
      </c>
      <c r="CJ206" s="2195" t="str">
        <f t="shared" si="353"/>
        <v xml:space="preserve"> * Los exámenes confirmados positivos por ISP de personas pertenecientes a Pueblos Migrantes NO PUEDE Superar al total de Procesados. </v>
      </c>
      <c r="CK206" s="2195"/>
      <c r="CL206" s="2195"/>
      <c r="CM206" s="2195"/>
      <c r="CN206" s="2195"/>
      <c r="CO206" s="2195"/>
      <c r="CP206" s="2195"/>
      <c r="CQ206" s="2195"/>
      <c r="CR206" s="2195"/>
      <c r="CS206" s="2195"/>
      <c r="CT206" s="2195"/>
      <c r="CU206" s="2195"/>
      <c r="CV206" s="2195"/>
      <c r="CW206" s="2195"/>
      <c r="CX206" s="2195" t="str">
        <f t="shared" si="342"/>
        <v/>
      </c>
      <c r="CY206" s="2195" t="str">
        <f t="shared" si="343"/>
        <v/>
      </c>
      <c r="CZ206" s="2195"/>
      <c r="DA206" s="2195"/>
      <c r="DB206" s="1446">
        <f t="shared" si="354"/>
        <v>1</v>
      </c>
      <c r="DC206" s="1446" t="e">
        <f t="shared" si="355"/>
        <v>#VALUE!</v>
      </c>
      <c r="DD206" s="1446" t="e">
        <f t="shared" si="356"/>
        <v>#VALUE!</v>
      </c>
      <c r="DE206" s="1446" t="e">
        <f t="shared" si="357"/>
        <v>#VALUE!</v>
      </c>
      <c r="DF206" s="1446" t="e">
        <f t="shared" si="358"/>
        <v>#VALUE!</v>
      </c>
      <c r="DG206" s="1446">
        <f t="shared" si="359"/>
        <v>1</v>
      </c>
      <c r="DH206" s="1446">
        <f t="shared" si="360"/>
        <v>1</v>
      </c>
      <c r="DI206" s="1446">
        <f t="shared" si="361"/>
        <v>1</v>
      </c>
      <c r="DJ206" s="1446">
        <f t="shared" si="362"/>
        <v>1</v>
      </c>
      <c r="DK206" s="1446"/>
      <c r="DL206" s="1446"/>
      <c r="DM206" s="1446"/>
      <c r="DN206" s="1446"/>
      <c r="DO206" s="1446"/>
      <c r="DP206" s="1446"/>
      <c r="DQ206" s="1446"/>
      <c r="DR206" s="1446"/>
      <c r="DS206" s="1446"/>
      <c r="DT206" s="1446"/>
      <c r="DU206" s="1446"/>
      <c r="DV206" s="1446"/>
      <c r="DW206" s="1446"/>
      <c r="DX206" s="1446">
        <f t="shared" si="363"/>
        <v>0</v>
      </c>
      <c r="DY206" s="1446">
        <f t="shared" si="363"/>
        <v>0</v>
      </c>
    </row>
    <row r="207" spans="1:129" ht="16.2" customHeight="1" x14ac:dyDescent="0.3">
      <c r="A207" s="7258">
        <v>11055353</v>
      </c>
      <c r="B207" s="10010" t="s">
        <v>1838</v>
      </c>
      <c r="C207" s="10011"/>
      <c r="D207" s="1335" t="s">
        <v>5369</v>
      </c>
      <c r="E207" s="850" t="s">
        <v>5370</v>
      </c>
      <c r="F207" s="1167" t="s">
        <v>5371</v>
      </c>
      <c r="G207" s="115" t="s">
        <v>5372</v>
      </c>
      <c r="H207" s="1167" t="s">
        <v>5373</v>
      </c>
      <c r="I207" s="115" t="s">
        <v>5374</v>
      </c>
      <c r="J207" s="1167" t="s">
        <v>5375</v>
      </c>
      <c r="K207" s="115" t="s">
        <v>5376</v>
      </c>
      <c r="L207" s="1167" t="s">
        <v>5377</v>
      </c>
      <c r="M207" s="115" t="s">
        <v>5378</v>
      </c>
      <c r="N207" s="1167" t="s">
        <v>5379</v>
      </c>
      <c r="O207" s="115" t="s">
        <v>5380</v>
      </c>
      <c r="P207" s="1167" t="s">
        <v>5381</v>
      </c>
      <c r="Q207" s="115" t="s">
        <v>5382</v>
      </c>
      <c r="R207" s="1167" t="s">
        <v>5383</v>
      </c>
      <c r="S207" s="115" t="s">
        <v>5384</v>
      </c>
      <c r="T207" s="1167" t="s">
        <v>5385</v>
      </c>
      <c r="U207" s="115" t="s">
        <v>5386</v>
      </c>
      <c r="V207" s="1167" t="s">
        <v>5387</v>
      </c>
      <c r="W207" s="115" t="s">
        <v>5388</v>
      </c>
      <c r="X207" s="1167" t="s">
        <v>5389</v>
      </c>
      <c r="Y207" s="115" t="s">
        <v>5390</v>
      </c>
      <c r="Z207" s="1167" t="s">
        <v>5391</v>
      </c>
      <c r="AA207" s="115" t="s">
        <v>5392</v>
      </c>
      <c r="AB207" s="1167" t="s">
        <v>5393</v>
      </c>
      <c r="AC207" s="115" t="s">
        <v>5394</v>
      </c>
      <c r="AD207" s="1167" t="s">
        <v>5395</v>
      </c>
      <c r="AE207" s="116" t="s">
        <v>5396</v>
      </c>
      <c r="AF207" s="1167" t="s">
        <v>5397</v>
      </c>
      <c r="AG207" s="116" t="s">
        <v>5398</v>
      </c>
      <c r="AH207" s="1167" t="s">
        <v>5399</v>
      </c>
      <c r="AI207" s="138" t="s">
        <v>5400</v>
      </c>
      <c r="AJ207" s="1167" t="s">
        <v>5401</v>
      </c>
      <c r="AK207" s="115" t="s">
        <v>5402</v>
      </c>
      <c r="AL207" s="262" t="s">
        <v>5403</v>
      </c>
      <c r="AM207" s="164" t="s">
        <v>5404</v>
      </c>
      <c r="AN207" s="1167" t="s">
        <v>5405</v>
      </c>
      <c r="AO207" s="585" t="s">
        <v>5406</v>
      </c>
      <c r="AP207" s="262" t="s">
        <v>5407</v>
      </c>
      <c r="AQ207" s="164" t="s">
        <v>5408</v>
      </c>
      <c r="AR207" s="113" t="s">
        <v>5409</v>
      </c>
      <c r="AS207" s="585" t="s">
        <v>5410</v>
      </c>
      <c r="AT207" s="262" t="s">
        <v>5411</v>
      </c>
      <c r="AU207" s="585" t="s">
        <v>5412</v>
      </c>
      <c r="AV207" s="262" t="s">
        <v>5413</v>
      </c>
      <c r="AW207" s="164" t="s">
        <v>5414</v>
      </c>
      <c r="AX207" s="262" t="s">
        <v>5415</v>
      </c>
      <c r="AY207" s="164" t="s">
        <v>5416</v>
      </c>
      <c r="AZ207" s="1197" t="e">
        <f t="shared" si="341"/>
        <v>#VALUE!</v>
      </c>
      <c r="BA207" s="1197"/>
      <c r="BB207" s="1197"/>
      <c r="BC207" s="1197"/>
      <c r="BD207" s="1197"/>
      <c r="BE207" s="1197"/>
      <c r="BF207" s="1197"/>
      <c r="BG207" s="1197"/>
      <c r="BH207" s="1197"/>
      <c r="BI207" s="1191"/>
      <c r="BJ207" s="1191"/>
      <c r="BK207" s="1191"/>
      <c r="BL207" s="1191"/>
      <c r="BS207" s="1191"/>
      <c r="BT207" s="1191"/>
      <c r="BU207" s="1191"/>
      <c r="BV207" s="1547"/>
      <c r="CB207" s="2195" t="str">
        <f t="shared" si="345"/>
        <v xml:space="preserve"> * El total de exámenes confirmados positivos por ISP NO DEBE SUPERAR el total de exámenes procesados. </v>
      </c>
      <c r="CC207" s="2195" t="e">
        <f t="shared" si="346"/>
        <v>#VALUE!</v>
      </c>
      <c r="CD207" s="2195" t="e">
        <f t="shared" si="347"/>
        <v>#VALUE!</v>
      </c>
      <c r="CE207" s="2195" t="e">
        <f t="shared" si="348"/>
        <v>#VALUE!</v>
      </c>
      <c r="CF207" s="2195" t="e">
        <f t="shared" si="349"/>
        <v>#VALUE!</v>
      </c>
      <c r="CG207" s="2195" t="str">
        <f t="shared" si="350"/>
        <v xml:space="preserve"> * Los exámenes procesados de personas pertenecientes a Pueblos originarios NO PUEDE Superar al total de Procesados. </v>
      </c>
      <c r="CH207" s="2195" t="str">
        <f t="shared" si="351"/>
        <v xml:space="preserve"> * Los exámenes confirmados positivos por ISP de personas pertenecientes a Pueblos originarios NO PUEDE Superar al total de Procesados. </v>
      </c>
      <c r="CI207" s="2195" t="str">
        <f t="shared" si="352"/>
        <v xml:space="preserve"> * Los exámenes procesados de personas pertenecientes a Pueblos migrantes NO PUEDE Superar al total de Procesados. </v>
      </c>
      <c r="CJ207" s="2195" t="str">
        <f t="shared" si="353"/>
        <v xml:space="preserve"> * Los exámenes confirmados positivos por ISP de personas pertenecientes a Pueblos Migrantes NO PUEDE Superar al total de Procesados. </v>
      </c>
      <c r="CK207" s="2195"/>
      <c r="CL207" s="2195"/>
      <c r="CM207" s="2195"/>
      <c r="CN207" s="2195"/>
      <c r="CO207" s="2195"/>
      <c r="CP207" s="2195"/>
      <c r="CQ207" s="2195"/>
      <c r="CR207" s="2195"/>
      <c r="CS207" s="2195"/>
      <c r="CT207" s="2195"/>
      <c r="CU207" s="2195"/>
      <c r="CV207" s="2195"/>
      <c r="CW207" s="2195"/>
      <c r="CX207" s="2195" t="str">
        <f t="shared" si="342"/>
        <v/>
      </c>
      <c r="CY207" s="2195" t="str">
        <f t="shared" si="343"/>
        <v/>
      </c>
      <c r="CZ207" s="2195"/>
      <c r="DA207" s="2195"/>
      <c r="DB207" s="1446">
        <f t="shared" si="354"/>
        <v>1</v>
      </c>
      <c r="DC207" s="1446" t="e">
        <f t="shared" si="355"/>
        <v>#VALUE!</v>
      </c>
      <c r="DD207" s="1446" t="e">
        <f t="shared" si="356"/>
        <v>#VALUE!</v>
      </c>
      <c r="DE207" s="1446" t="e">
        <f t="shared" si="357"/>
        <v>#VALUE!</v>
      </c>
      <c r="DF207" s="1446" t="e">
        <f t="shared" si="358"/>
        <v>#VALUE!</v>
      </c>
      <c r="DG207" s="1446">
        <f t="shared" si="359"/>
        <v>1</v>
      </c>
      <c r="DH207" s="1446">
        <f t="shared" si="360"/>
        <v>1</v>
      </c>
      <c r="DI207" s="1446">
        <f t="shared" si="361"/>
        <v>1</v>
      </c>
      <c r="DJ207" s="1446">
        <f t="shared" si="362"/>
        <v>1</v>
      </c>
      <c r="DK207" s="1446"/>
      <c r="DL207" s="1446"/>
      <c r="DM207" s="1446"/>
      <c r="DN207" s="1446"/>
      <c r="DO207" s="1446"/>
      <c r="DP207" s="1446"/>
      <c r="DQ207" s="1446"/>
      <c r="DR207" s="1446"/>
      <c r="DS207" s="1446"/>
      <c r="DT207" s="1446"/>
      <c r="DU207" s="1446"/>
      <c r="DV207" s="1446"/>
      <c r="DW207" s="1446"/>
      <c r="DX207" s="1446">
        <f t="shared" si="363"/>
        <v>0</v>
      </c>
      <c r="DY207" s="1446">
        <f t="shared" si="363"/>
        <v>0</v>
      </c>
    </row>
    <row r="208" spans="1:129" ht="16.2" customHeight="1" x14ac:dyDescent="0.3">
      <c r="A208" s="7258">
        <v>11055360</v>
      </c>
      <c r="B208" s="10010" t="s">
        <v>1839</v>
      </c>
      <c r="C208" s="10011"/>
      <c r="D208" s="1335" t="s">
        <v>5369</v>
      </c>
      <c r="E208" s="850" t="s">
        <v>5370</v>
      </c>
      <c r="F208" s="1167" t="s">
        <v>5371</v>
      </c>
      <c r="G208" s="115" t="s">
        <v>5372</v>
      </c>
      <c r="H208" s="1167" t="s">
        <v>5373</v>
      </c>
      <c r="I208" s="115" t="s">
        <v>5374</v>
      </c>
      <c r="J208" s="1167" t="s">
        <v>5375</v>
      </c>
      <c r="K208" s="115" t="s">
        <v>5376</v>
      </c>
      <c r="L208" s="1167" t="s">
        <v>5377</v>
      </c>
      <c r="M208" s="115" t="s">
        <v>5378</v>
      </c>
      <c r="N208" s="1167" t="s">
        <v>5379</v>
      </c>
      <c r="O208" s="115" t="s">
        <v>5380</v>
      </c>
      <c r="P208" s="1167" t="s">
        <v>5381</v>
      </c>
      <c r="Q208" s="115" t="s">
        <v>5382</v>
      </c>
      <c r="R208" s="1167" t="s">
        <v>5383</v>
      </c>
      <c r="S208" s="115" t="s">
        <v>5384</v>
      </c>
      <c r="T208" s="1167" t="s">
        <v>5385</v>
      </c>
      <c r="U208" s="115" t="s">
        <v>5386</v>
      </c>
      <c r="V208" s="1167" t="s">
        <v>5387</v>
      </c>
      <c r="W208" s="115" t="s">
        <v>5388</v>
      </c>
      <c r="X208" s="1167" t="s">
        <v>5389</v>
      </c>
      <c r="Y208" s="115" t="s">
        <v>5390</v>
      </c>
      <c r="Z208" s="1167" t="s">
        <v>5391</v>
      </c>
      <c r="AA208" s="115" t="s">
        <v>5392</v>
      </c>
      <c r="AB208" s="1167" t="s">
        <v>5393</v>
      </c>
      <c r="AC208" s="115" t="s">
        <v>5394</v>
      </c>
      <c r="AD208" s="1167" t="s">
        <v>5395</v>
      </c>
      <c r="AE208" s="116" t="s">
        <v>5396</v>
      </c>
      <c r="AF208" s="1167" t="s">
        <v>5397</v>
      </c>
      <c r="AG208" s="116" t="s">
        <v>5398</v>
      </c>
      <c r="AH208" s="1167" t="s">
        <v>5399</v>
      </c>
      <c r="AI208" s="138" t="s">
        <v>5400</v>
      </c>
      <c r="AJ208" s="1167" t="s">
        <v>5401</v>
      </c>
      <c r="AK208" s="115" t="s">
        <v>5402</v>
      </c>
      <c r="AL208" s="262" t="s">
        <v>5403</v>
      </c>
      <c r="AM208" s="164" t="s">
        <v>5404</v>
      </c>
      <c r="AN208" s="1167" t="s">
        <v>5405</v>
      </c>
      <c r="AO208" s="585" t="s">
        <v>5406</v>
      </c>
      <c r="AP208" s="262" t="s">
        <v>5407</v>
      </c>
      <c r="AQ208" s="164" t="s">
        <v>5408</v>
      </c>
      <c r="AR208" s="113" t="s">
        <v>5409</v>
      </c>
      <c r="AS208" s="585" t="s">
        <v>5410</v>
      </c>
      <c r="AT208" s="262" t="s">
        <v>5411</v>
      </c>
      <c r="AU208" s="585" t="s">
        <v>5412</v>
      </c>
      <c r="AV208" s="262" t="s">
        <v>5413</v>
      </c>
      <c r="AW208" s="164" t="s">
        <v>5414</v>
      </c>
      <c r="AX208" s="262" t="s">
        <v>5415</v>
      </c>
      <c r="AY208" s="164" t="s">
        <v>5416</v>
      </c>
      <c r="AZ208" s="1197" t="e">
        <f t="shared" si="341"/>
        <v>#VALUE!</v>
      </c>
      <c r="BA208" s="1197"/>
      <c r="BB208" s="1197"/>
      <c r="BC208" s="1197"/>
      <c r="BD208" s="1197"/>
      <c r="BE208" s="1197"/>
      <c r="BF208" s="1197"/>
      <c r="BG208" s="1197"/>
      <c r="BH208" s="1197"/>
      <c r="BI208" s="1191"/>
      <c r="BJ208" s="1191"/>
      <c r="BK208" s="1191"/>
      <c r="BL208" s="1191"/>
      <c r="BS208" s="1191"/>
      <c r="BT208" s="1191"/>
      <c r="BU208" s="1191"/>
      <c r="BV208" s="1547"/>
      <c r="CB208" s="2195" t="str">
        <f t="shared" si="345"/>
        <v xml:space="preserve"> * El total de exámenes confirmados positivos por ISP NO DEBE SUPERAR el total de exámenes procesados. </v>
      </c>
      <c r="CC208" s="2195" t="e">
        <f t="shared" si="346"/>
        <v>#VALUE!</v>
      </c>
      <c r="CD208" s="2195" t="e">
        <f t="shared" si="347"/>
        <v>#VALUE!</v>
      </c>
      <c r="CE208" s="2195" t="e">
        <f t="shared" si="348"/>
        <v>#VALUE!</v>
      </c>
      <c r="CF208" s="2195" t="e">
        <f t="shared" si="349"/>
        <v>#VALUE!</v>
      </c>
      <c r="CG208" s="2195" t="str">
        <f t="shared" si="350"/>
        <v xml:space="preserve"> * Los exámenes procesados de personas pertenecientes a Pueblos originarios NO PUEDE Superar al total de Procesados. </v>
      </c>
      <c r="CH208" s="2195" t="str">
        <f t="shared" si="351"/>
        <v xml:space="preserve"> * Los exámenes confirmados positivos por ISP de personas pertenecientes a Pueblos originarios NO PUEDE Superar al total de Procesados. </v>
      </c>
      <c r="CI208" s="2195" t="str">
        <f t="shared" si="352"/>
        <v xml:space="preserve"> * Los exámenes procesados de personas pertenecientes a Pueblos migrantes NO PUEDE Superar al total de Procesados. </v>
      </c>
      <c r="CJ208" s="2195" t="str">
        <f t="shared" si="353"/>
        <v xml:space="preserve"> * Los exámenes confirmados positivos por ISP de personas pertenecientes a Pueblos Migrantes NO PUEDE Superar al total de Procesados. </v>
      </c>
      <c r="CK208" s="2195"/>
      <c r="CL208" s="2195"/>
      <c r="CM208" s="2195"/>
      <c r="CN208" s="2195"/>
      <c r="CO208" s="2195"/>
      <c r="CP208" s="2195"/>
      <c r="CQ208" s="2195"/>
      <c r="CR208" s="2195"/>
      <c r="CS208" s="2195"/>
      <c r="CT208" s="2195"/>
      <c r="CU208" s="2195"/>
      <c r="CV208" s="2195"/>
      <c r="CW208" s="2195"/>
      <c r="CX208" s="2195" t="str">
        <f t="shared" si="342"/>
        <v/>
      </c>
      <c r="CY208" s="2195" t="str">
        <f t="shared" si="343"/>
        <v/>
      </c>
      <c r="CZ208" s="2195"/>
      <c r="DA208" s="2195"/>
      <c r="DB208" s="1446">
        <f t="shared" si="354"/>
        <v>1</v>
      </c>
      <c r="DC208" s="1446" t="e">
        <f t="shared" si="355"/>
        <v>#VALUE!</v>
      </c>
      <c r="DD208" s="1446" t="e">
        <f t="shared" si="356"/>
        <v>#VALUE!</v>
      </c>
      <c r="DE208" s="1446" t="e">
        <f t="shared" si="357"/>
        <v>#VALUE!</v>
      </c>
      <c r="DF208" s="1446" t="e">
        <f t="shared" si="358"/>
        <v>#VALUE!</v>
      </c>
      <c r="DG208" s="1446">
        <f t="shared" si="359"/>
        <v>1</v>
      </c>
      <c r="DH208" s="1446">
        <f t="shared" si="360"/>
        <v>1</v>
      </c>
      <c r="DI208" s="1446">
        <f t="shared" si="361"/>
        <v>1</v>
      </c>
      <c r="DJ208" s="1446">
        <f t="shared" si="362"/>
        <v>1</v>
      </c>
      <c r="DK208" s="1446"/>
      <c r="DL208" s="1446"/>
      <c r="DM208" s="1446"/>
      <c r="DN208" s="1446"/>
      <c r="DO208" s="1446"/>
      <c r="DP208" s="1446"/>
      <c r="DQ208" s="1446"/>
      <c r="DR208" s="1446"/>
      <c r="DS208" s="1446"/>
      <c r="DT208" s="1446"/>
      <c r="DU208" s="1446"/>
      <c r="DV208" s="1446"/>
      <c r="DW208" s="1446"/>
      <c r="DX208" s="1446">
        <f t="shared" si="363"/>
        <v>0</v>
      </c>
      <c r="DY208" s="1446">
        <f t="shared" si="363"/>
        <v>0</v>
      </c>
    </row>
    <row r="209" spans="1:131" ht="16.2" customHeight="1" x14ac:dyDescent="0.3">
      <c r="A209" s="7258">
        <v>11055370</v>
      </c>
      <c r="B209" s="10019" t="s">
        <v>1840</v>
      </c>
      <c r="C209" s="8837"/>
      <c r="D209" s="1336" t="s">
        <v>5369</v>
      </c>
      <c r="E209" s="1338" t="s">
        <v>5370</v>
      </c>
      <c r="F209" s="125" t="s">
        <v>5371</v>
      </c>
      <c r="G209" s="83" t="s">
        <v>5372</v>
      </c>
      <c r="H209" s="125" t="s">
        <v>5373</v>
      </c>
      <c r="I209" s="83" t="s">
        <v>5374</v>
      </c>
      <c r="J209" s="125" t="s">
        <v>5375</v>
      </c>
      <c r="K209" s="83" t="s">
        <v>5376</v>
      </c>
      <c r="L209" s="125" t="s">
        <v>5377</v>
      </c>
      <c r="M209" s="83" t="s">
        <v>5378</v>
      </c>
      <c r="N209" s="125" t="s">
        <v>5379</v>
      </c>
      <c r="O209" s="101" t="s">
        <v>5380</v>
      </c>
      <c r="P209" s="125" t="s">
        <v>5381</v>
      </c>
      <c r="Q209" s="83" t="s">
        <v>5382</v>
      </c>
      <c r="R209" s="125" t="s">
        <v>5383</v>
      </c>
      <c r="S209" s="83" t="s">
        <v>5384</v>
      </c>
      <c r="T209" s="125" t="s">
        <v>5385</v>
      </c>
      <c r="U209" s="83" t="s">
        <v>5386</v>
      </c>
      <c r="V209" s="125" t="s">
        <v>5387</v>
      </c>
      <c r="W209" s="83" t="s">
        <v>5388</v>
      </c>
      <c r="X209" s="125" t="s">
        <v>5389</v>
      </c>
      <c r="Y209" s="83" t="s">
        <v>5390</v>
      </c>
      <c r="Z209" s="125" t="s">
        <v>5391</v>
      </c>
      <c r="AA209" s="83" t="s">
        <v>5392</v>
      </c>
      <c r="AB209" s="125" t="s">
        <v>5393</v>
      </c>
      <c r="AC209" s="83" t="s">
        <v>5394</v>
      </c>
      <c r="AD209" s="125" t="s">
        <v>5395</v>
      </c>
      <c r="AE209" s="175" t="s">
        <v>5396</v>
      </c>
      <c r="AF209" s="125" t="s">
        <v>5397</v>
      </c>
      <c r="AG209" s="175" t="s">
        <v>5398</v>
      </c>
      <c r="AH209" s="125" t="s">
        <v>5399</v>
      </c>
      <c r="AI209" s="101" t="s">
        <v>5400</v>
      </c>
      <c r="AJ209" s="125" t="s">
        <v>5401</v>
      </c>
      <c r="AK209" s="83" t="s">
        <v>5402</v>
      </c>
      <c r="AL209" s="264" t="s">
        <v>5403</v>
      </c>
      <c r="AM209" s="127" t="s">
        <v>5404</v>
      </c>
      <c r="AN209" s="125" t="s">
        <v>5405</v>
      </c>
      <c r="AO209" s="254" t="s">
        <v>5406</v>
      </c>
      <c r="AP209" s="264" t="s">
        <v>5407</v>
      </c>
      <c r="AQ209" s="127" t="s">
        <v>5408</v>
      </c>
      <c r="AR209" s="102" t="s">
        <v>5409</v>
      </c>
      <c r="AS209" s="254" t="s">
        <v>5410</v>
      </c>
      <c r="AT209" s="264" t="s">
        <v>5411</v>
      </c>
      <c r="AU209" s="254" t="s">
        <v>5412</v>
      </c>
      <c r="AV209" s="264" t="s">
        <v>5413</v>
      </c>
      <c r="AW209" s="127" t="s">
        <v>5414</v>
      </c>
      <c r="AX209" s="264" t="s">
        <v>5415</v>
      </c>
      <c r="AY209" s="127" t="s">
        <v>5416</v>
      </c>
      <c r="AZ209" s="1197" t="e">
        <f t="shared" si="341"/>
        <v>#VALUE!</v>
      </c>
      <c r="BA209" s="1197"/>
      <c r="BB209" s="1197"/>
      <c r="BC209" s="1197"/>
      <c r="BD209" s="1197"/>
      <c r="BE209" s="1197"/>
      <c r="BF209" s="1197"/>
      <c r="BG209" s="1197"/>
      <c r="BH209" s="1197"/>
      <c r="BI209" s="1191"/>
      <c r="BJ209" s="1191"/>
      <c r="BK209" s="1191"/>
      <c r="BL209" s="1191"/>
      <c r="BS209" s="1191"/>
      <c r="BT209" s="1191"/>
      <c r="BU209" s="1191"/>
      <c r="BV209" s="1547"/>
      <c r="CB209" s="2195" t="str">
        <f>IF(DB209=1,"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209" s="2195" t="e">
        <f>IF(DC209=1," * La suma de exámenes procesados por sexo DEBE SER IGUAL al total de Procesados. ","")</f>
        <v>#VALUE!</v>
      </c>
      <c r="CD209" s="2195" t="e">
        <f>IF(DD209=1," * La suma de exámenes Confirmados positivos por ISP por sexo DEBE SER IGUAL al total de Procesados. ","")</f>
        <v>#VALUE!</v>
      </c>
      <c r="CE209" s="2195" t="e">
        <f>IF(DE209=1," * La suma de exámenes procesados Trans NO PUEDE Superar al total de Procesados. ","")</f>
        <v>#VALUE!</v>
      </c>
      <c r="CF209" s="2195" t="e">
        <f>IF(DF209=1," * La suma de exámenes confirmados positivos por ISP Trans NO PUEDE Superar al total de Procesados. ","")</f>
        <v>#VALUE!</v>
      </c>
      <c r="CG209" s="2195" t="str">
        <f>IF(DG209=1,"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209" s="2195" t="str">
        <f>IF(DH209=1,"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209" s="2195" t="str">
        <f>IF(DI209=1,"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209" s="2195" t="str">
        <f>IF(DJ209=1,"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209" s="2195"/>
      <c r="CL209" s="2195"/>
      <c r="CM209" s="2195"/>
      <c r="CN209" s="2195"/>
      <c r="CO209" s="2195"/>
      <c r="CP209" s="2195"/>
      <c r="CQ209" s="2195"/>
      <c r="CR209" s="2195"/>
      <c r="CS209" s="2195"/>
      <c r="CT209" s="2195"/>
      <c r="CU209" s="2195"/>
      <c r="CV209" s="2195"/>
      <c r="CW209" s="2195"/>
      <c r="CX209" s="2195" t="str">
        <f t="shared" si="342"/>
        <v/>
      </c>
      <c r="CY209" s="2195" t="str">
        <f t="shared" si="343"/>
        <v/>
      </c>
      <c r="CZ209" s="2195"/>
      <c r="DA209" s="2195"/>
      <c r="DB209" s="1446">
        <f t="shared" si="354"/>
        <v>1</v>
      </c>
      <c r="DC209" s="1446" t="e">
        <f t="shared" si="355"/>
        <v>#VALUE!</v>
      </c>
      <c r="DD209" s="1446" t="e">
        <f t="shared" si="356"/>
        <v>#VALUE!</v>
      </c>
      <c r="DE209" s="1446" t="e">
        <f t="shared" si="357"/>
        <v>#VALUE!</v>
      </c>
      <c r="DF209" s="1446" t="e">
        <f t="shared" si="358"/>
        <v>#VALUE!</v>
      </c>
      <c r="DG209" s="1446">
        <f t="shared" si="359"/>
        <v>1</v>
      </c>
      <c r="DH209" s="1446">
        <f t="shared" si="360"/>
        <v>1</v>
      </c>
      <c r="DI209" s="1446">
        <f t="shared" si="361"/>
        <v>1</v>
      </c>
      <c r="DJ209" s="1446">
        <f t="shared" si="362"/>
        <v>1</v>
      </c>
      <c r="DK209" s="1446"/>
      <c r="DL209" s="1446"/>
      <c r="DM209" s="1446"/>
      <c r="DN209" s="1446"/>
      <c r="DO209" s="1446"/>
      <c r="DP209" s="1446"/>
      <c r="DQ209" s="1446"/>
      <c r="DR209" s="1446"/>
      <c r="DS209" s="1446"/>
      <c r="DT209" s="1446"/>
      <c r="DU209" s="1446"/>
      <c r="DV209" s="1446"/>
      <c r="DW209" s="1446"/>
      <c r="DX209" s="1446">
        <f t="shared" si="363"/>
        <v>0</v>
      </c>
      <c r="DY209" s="1446">
        <f t="shared" si="363"/>
        <v>0</v>
      </c>
    </row>
    <row r="210" spans="1:131" ht="31.95" customHeight="1" x14ac:dyDescent="0.3">
      <c r="B210" s="677" t="s">
        <v>2351</v>
      </c>
      <c r="Q210" s="1192"/>
      <c r="AM210" s="1193"/>
      <c r="AN210" s="1193"/>
      <c r="AQ210" s="1192"/>
      <c r="AS210" s="1191"/>
      <c r="AT210" s="1191"/>
      <c r="AU210" s="1191"/>
      <c r="AV210" s="1191"/>
      <c r="AW210" s="1191"/>
      <c r="AX210" s="1191"/>
      <c r="AY210" s="1191"/>
      <c r="AZ210" s="1191"/>
      <c r="BA210" s="1191"/>
      <c r="BB210" s="1191"/>
      <c r="BC210" s="1191"/>
      <c r="BD210" s="1191"/>
      <c r="BE210" s="1191"/>
      <c r="BF210" s="1191"/>
      <c r="BG210" s="1191"/>
      <c r="BH210" s="1191"/>
    </row>
    <row r="211" spans="1:131" ht="25.2" customHeight="1" x14ac:dyDescent="0.3">
      <c r="B211" s="10024" t="s">
        <v>1807</v>
      </c>
      <c r="C211" s="10027" t="s">
        <v>24</v>
      </c>
      <c r="D211" s="10027"/>
      <c r="E211" s="10027" t="s">
        <v>540</v>
      </c>
      <c r="F211" s="10027"/>
      <c r="G211" s="10027"/>
      <c r="H211" s="10027"/>
      <c r="I211" s="10027"/>
      <c r="J211" s="10027"/>
      <c r="K211" s="10027"/>
      <c r="L211" s="10027"/>
      <c r="M211" s="10027"/>
      <c r="N211" s="10027"/>
      <c r="O211" s="10027"/>
      <c r="P211" s="10027"/>
      <c r="Q211" s="10027"/>
      <c r="R211" s="10027"/>
      <c r="S211" s="10027"/>
      <c r="T211" s="10027"/>
      <c r="U211" s="10027"/>
      <c r="V211" s="10027"/>
      <c r="W211" s="10027"/>
      <c r="X211" s="10027"/>
      <c r="Y211" s="10027"/>
      <c r="Z211" s="10027"/>
      <c r="AA211" s="10027"/>
      <c r="AB211" s="10027"/>
      <c r="AC211" s="10027"/>
      <c r="AD211" s="10027"/>
      <c r="AE211" s="10027"/>
      <c r="AF211" s="10027"/>
      <c r="AG211" s="10027"/>
      <c r="AH211" s="10027"/>
      <c r="AI211" s="10027"/>
      <c r="AJ211" s="10027"/>
      <c r="AK211" s="10027"/>
      <c r="AL211" s="10028"/>
      <c r="AM211" s="10022" t="s">
        <v>1782</v>
      </c>
      <c r="AN211" s="10029"/>
      <c r="AO211" s="9970" t="s">
        <v>713</v>
      </c>
      <c r="AP211" s="8650"/>
      <c r="AQ211" s="10030" t="s">
        <v>362</v>
      </c>
      <c r="AR211" s="10030" t="s">
        <v>361</v>
      </c>
      <c r="AS211" s="1191"/>
      <c r="AT211" s="1191"/>
      <c r="AU211" s="1191"/>
      <c r="AV211" s="1191"/>
      <c r="AW211" s="1191"/>
      <c r="AX211" s="1191"/>
      <c r="AY211" s="1191"/>
      <c r="AZ211" s="1191"/>
      <c r="BA211" s="1191"/>
      <c r="BB211" s="1191"/>
      <c r="BC211" s="1191"/>
      <c r="BD211" s="1191"/>
      <c r="BE211" s="1191"/>
      <c r="BF211" s="1191"/>
      <c r="BG211" s="1191"/>
      <c r="BH211" s="1191"/>
    </row>
    <row r="212" spans="1:131" ht="16.2" customHeight="1" x14ac:dyDescent="0.3">
      <c r="B212" s="10025"/>
      <c r="C212" s="10027"/>
      <c r="D212" s="10027"/>
      <c r="E212" s="10027" t="s">
        <v>1416</v>
      </c>
      <c r="F212" s="10027"/>
      <c r="G212" s="10027" t="s">
        <v>1415</v>
      </c>
      <c r="H212" s="10027"/>
      <c r="I212" s="10027" t="s">
        <v>32</v>
      </c>
      <c r="J212" s="10027"/>
      <c r="K212" s="10027" t="s">
        <v>33</v>
      </c>
      <c r="L212" s="10027"/>
      <c r="M212" s="10027" t="s">
        <v>40</v>
      </c>
      <c r="N212" s="10027"/>
      <c r="O212" s="10027" t="s">
        <v>115</v>
      </c>
      <c r="P212" s="10027"/>
      <c r="Q212" s="10027" t="s">
        <v>116</v>
      </c>
      <c r="R212" s="10027"/>
      <c r="S212" s="10027" t="s">
        <v>117</v>
      </c>
      <c r="T212" s="10027"/>
      <c r="U212" s="10027" t="s">
        <v>118</v>
      </c>
      <c r="V212" s="10027"/>
      <c r="W212" s="10027" t="s">
        <v>119</v>
      </c>
      <c r="X212" s="10027"/>
      <c r="Y212" s="10027" t="s">
        <v>120</v>
      </c>
      <c r="Z212" s="10027"/>
      <c r="AA212" s="10027" t="s">
        <v>1414</v>
      </c>
      <c r="AB212" s="10027"/>
      <c r="AC212" s="10027" t="s">
        <v>1406</v>
      </c>
      <c r="AD212" s="10027"/>
      <c r="AE212" s="10027" t="s">
        <v>1397</v>
      </c>
      <c r="AF212" s="10027"/>
      <c r="AG212" s="10027" t="s">
        <v>1396</v>
      </c>
      <c r="AH212" s="10027"/>
      <c r="AI212" s="10027" t="s">
        <v>1395</v>
      </c>
      <c r="AJ212" s="10027"/>
      <c r="AK212" s="10027" t="s">
        <v>1405</v>
      </c>
      <c r="AL212" s="10028"/>
      <c r="AM212" s="10033" t="s">
        <v>17</v>
      </c>
      <c r="AN212" s="10007" t="s">
        <v>18</v>
      </c>
      <c r="AO212" s="9979" t="s">
        <v>358</v>
      </c>
      <c r="AP212" s="8581" t="s">
        <v>359</v>
      </c>
      <c r="AQ212" s="10030"/>
      <c r="AR212" s="10030"/>
      <c r="AS212" s="1191"/>
      <c r="AT212" s="1191"/>
      <c r="AU212" s="1191"/>
      <c r="AV212" s="1191"/>
      <c r="AW212" s="1191"/>
      <c r="AX212" s="1191"/>
      <c r="AY212" s="1191"/>
      <c r="AZ212" s="1191"/>
      <c r="BA212" s="1191"/>
      <c r="BB212" s="1191"/>
      <c r="BC212" s="1191"/>
      <c r="BD212" s="1191"/>
      <c r="BE212" s="1191"/>
      <c r="BF212" s="1191"/>
      <c r="BG212" s="1191"/>
      <c r="BH212" s="1191"/>
    </row>
    <row r="213" spans="1:131" ht="16.2" customHeight="1" x14ac:dyDescent="0.3">
      <c r="B213" s="10026"/>
      <c r="C213" s="1194" t="s">
        <v>1783</v>
      </c>
      <c r="D213" s="2153" t="s">
        <v>1784</v>
      </c>
      <c r="E213" s="1195" t="s">
        <v>1783</v>
      </c>
      <c r="F213" s="2151" t="s">
        <v>1784</v>
      </c>
      <c r="G213" s="1195" t="s">
        <v>1783</v>
      </c>
      <c r="H213" s="2151" t="s">
        <v>1784</v>
      </c>
      <c r="I213" s="1195" t="s">
        <v>1783</v>
      </c>
      <c r="J213" s="2151" t="s">
        <v>1784</v>
      </c>
      <c r="K213" s="1195" t="s">
        <v>1783</v>
      </c>
      <c r="L213" s="2151" t="s">
        <v>1784</v>
      </c>
      <c r="M213" s="1195" t="s">
        <v>1783</v>
      </c>
      <c r="N213" s="2151" t="s">
        <v>1784</v>
      </c>
      <c r="O213" s="1195" t="s">
        <v>1783</v>
      </c>
      <c r="P213" s="2151" t="s">
        <v>1784</v>
      </c>
      <c r="Q213" s="1195" t="s">
        <v>1783</v>
      </c>
      <c r="R213" s="2151" t="s">
        <v>1784</v>
      </c>
      <c r="S213" s="1195" t="s">
        <v>1783</v>
      </c>
      <c r="T213" s="2151" t="s">
        <v>1784</v>
      </c>
      <c r="U213" s="1195" t="s">
        <v>1783</v>
      </c>
      <c r="V213" s="2151" t="s">
        <v>1784</v>
      </c>
      <c r="W213" s="1195" t="s">
        <v>1783</v>
      </c>
      <c r="X213" s="2151" t="s">
        <v>1784</v>
      </c>
      <c r="Y213" s="1195" t="s">
        <v>1783</v>
      </c>
      <c r="Z213" s="2151" t="s">
        <v>1784</v>
      </c>
      <c r="AA213" s="1195" t="s">
        <v>1783</v>
      </c>
      <c r="AB213" s="2151" t="s">
        <v>1784</v>
      </c>
      <c r="AC213" s="1195" t="s">
        <v>1783</v>
      </c>
      <c r="AD213" s="2151" t="s">
        <v>1784</v>
      </c>
      <c r="AE213" s="1195" t="s">
        <v>1783</v>
      </c>
      <c r="AF213" s="2151" t="s">
        <v>1784</v>
      </c>
      <c r="AG213" s="1195" t="s">
        <v>1783</v>
      </c>
      <c r="AH213" s="2151" t="s">
        <v>1784</v>
      </c>
      <c r="AI213" s="1195" t="s">
        <v>1783</v>
      </c>
      <c r="AJ213" s="2151" t="s">
        <v>1784</v>
      </c>
      <c r="AK213" s="1195" t="s">
        <v>1783</v>
      </c>
      <c r="AL213" s="2152" t="s">
        <v>1784</v>
      </c>
      <c r="AM213" s="10033"/>
      <c r="AN213" s="10007"/>
      <c r="AO213" s="9980"/>
      <c r="AP213" s="8582"/>
      <c r="AQ213" s="10030"/>
      <c r="AR213" s="10030"/>
      <c r="AS213" s="1191"/>
      <c r="AT213" s="1191"/>
      <c r="AU213" s="1191"/>
      <c r="AV213" s="1191"/>
      <c r="AW213" s="1191"/>
      <c r="AX213" s="1191"/>
      <c r="AY213" s="1191"/>
      <c r="AZ213" s="1191"/>
      <c r="BA213" s="1191"/>
      <c r="BB213" s="1191"/>
      <c r="BC213" s="1191"/>
      <c r="BD213" s="1191"/>
      <c r="BE213" s="1191"/>
      <c r="BF213" s="1191"/>
      <c r="BG213" s="1191"/>
      <c r="BH213" s="1191"/>
    </row>
    <row r="214" spans="1:131" ht="16.2" customHeight="1" x14ac:dyDescent="0.3">
      <c r="A214" s="7258">
        <v>11056472</v>
      </c>
      <c r="B214" s="2148" t="s">
        <v>85</v>
      </c>
      <c r="C214" s="1996" t="s">
        <v>5369</v>
      </c>
      <c r="D214" s="1997" t="s">
        <v>5370</v>
      </c>
      <c r="E214" s="1137" t="s">
        <v>5371</v>
      </c>
      <c r="F214" s="1141" t="s">
        <v>5372</v>
      </c>
      <c r="G214" s="1140" t="s">
        <v>5373</v>
      </c>
      <c r="H214" s="1141" t="s">
        <v>5374</v>
      </c>
      <c r="I214" s="1114" t="s">
        <v>5375</v>
      </c>
      <c r="J214" s="1135" t="s">
        <v>5376</v>
      </c>
      <c r="K214" s="1114" t="s">
        <v>5377</v>
      </c>
      <c r="L214" s="1135" t="s">
        <v>5378</v>
      </c>
      <c r="M214" s="1114" t="s">
        <v>5379</v>
      </c>
      <c r="N214" s="1135" t="s">
        <v>5380</v>
      </c>
      <c r="O214" s="1114" t="s">
        <v>5381</v>
      </c>
      <c r="P214" s="1135" t="s">
        <v>5382</v>
      </c>
      <c r="Q214" s="1114" t="s">
        <v>5383</v>
      </c>
      <c r="R214" s="1135" t="s">
        <v>5384</v>
      </c>
      <c r="S214" s="1114" t="s">
        <v>5385</v>
      </c>
      <c r="T214" s="1135" t="s">
        <v>5386</v>
      </c>
      <c r="U214" s="1114" t="s">
        <v>5387</v>
      </c>
      <c r="V214" s="1135" t="s">
        <v>5388</v>
      </c>
      <c r="W214" s="1114" t="s">
        <v>5389</v>
      </c>
      <c r="X214" s="1135" t="s">
        <v>5390</v>
      </c>
      <c r="Y214" s="1114" t="s">
        <v>5391</v>
      </c>
      <c r="Z214" s="1135" t="s">
        <v>5392</v>
      </c>
      <c r="AA214" s="1140" t="s">
        <v>5393</v>
      </c>
      <c r="AB214" s="1141" t="s">
        <v>5394</v>
      </c>
      <c r="AC214" s="1140" t="s">
        <v>5395</v>
      </c>
      <c r="AD214" s="1141" t="s">
        <v>5396</v>
      </c>
      <c r="AE214" s="1140" t="s">
        <v>5397</v>
      </c>
      <c r="AF214" s="1141" t="s">
        <v>5398</v>
      </c>
      <c r="AG214" s="1140" t="s">
        <v>5399</v>
      </c>
      <c r="AH214" s="1141" t="s">
        <v>5400</v>
      </c>
      <c r="AI214" s="1140" t="s">
        <v>5401</v>
      </c>
      <c r="AJ214" s="1141" t="s">
        <v>5402</v>
      </c>
      <c r="AK214" s="1140" t="s">
        <v>5403</v>
      </c>
      <c r="AL214" s="1142" t="s">
        <v>5404</v>
      </c>
      <c r="AM214" s="1137" t="s">
        <v>5405</v>
      </c>
      <c r="AN214" s="700" t="s">
        <v>5406</v>
      </c>
      <c r="AO214" s="1187" t="s">
        <v>5407</v>
      </c>
      <c r="AP214" s="1115" t="s">
        <v>5408</v>
      </c>
      <c r="AQ214" s="1114" t="s">
        <v>5409</v>
      </c>
      <c r="AR214" s="1196" t="s">
        <v>5410</v>
      </c>
      <c r="AS214" s="1447"/>
      <c r="AT214" s="1197"/>
      <c r="AU214" s="1197"/>
      <c r="AV214" s="1197"/>
      <c r="AW214" s="1197"/>
      <c r="AX214" s="1197"/>
      <c r="AY214" s="1197"/>
      <c r="AZ214" s="1197"/>
      <c r="BA214" s="1197"/>
      <c r="BB214" s="1197"/>
      <c r="BC214" s="1197"/>
      <c r="BD214" s="1197"/>
      <c r="BE214" s="1191"/>
      <c r="BF214" s="1191"/>
      <c r="BG214" s="1191"/>
      <c r="BH214" s="1191"/>
      <c r="CA214" s="1547" t="str">
        <f>IF(B214&lt;   C214,"* El total de Reactivos NO DEBE ser superior al total de Procesados. ","")</f>
        <v/>
      </c>
      <c r="CB214" s="2194" t="e">
        <f>IF(B214&lt;&gt; AL214+ AM214,"* La suma de las columnas Sexo DEBE SER IGUAL a los Procesados. ","")</f>
        <v>#VALUE!</v>
      </c>
      <c r="CC214" s="2194" t="e">
        <f>IF(B214&lt;  AN214+ AO214,"* La suma de las columna Trans NO DEBE ser superior al total de Procesados. ","")</f>
        <v>#VALUE!</v>
      </c>
      <c r="CD214" s="2194" t="str">
        <f>IF(B214&lt;  AP214,"* La columna Pueblos Originarios NO DEBE ser superior al total de Procesados. ","")</f>
        <v/>
      </c>
      <c r="CE214" s="2194" t="str">
        <f>IF(B214&lt;  AQ214,"* La columna Migrantes NO DEBE ser superior al total de Procesados. ","")</f>
        <v/>
      </c>
      <c r="CF214" s="2194" t="str">
        <f>IF(C214&lt;  AR214,"* La columna Migrantes NO DEBE ser superior al total de Procesados. ","")</f>
        <v xml:space="preserve">* La columna Migrantes NO DEBE ser superior al total de Procesados. </v>
      </c>
      <c r="CG214" s="2194" t="str">
        <f>IF(E214&lt;F214,"*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14" s="2194" t="str">
        <f>IF(G214&lt;H214,"*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14" s="2194" t="str">
        <f>IF(I214&lt;J214,"*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14" s="2194" t="str">
        <f>IF(K214&lt;L214,"*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14" s="2194" t="str">
        <f>IF(M214&lt;N214,"*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14" s="2194" t="str">
        <f>IF(O214&lt;P214,"*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14" s="2194" t="str">
        <f>IF(Q214&lt;R214,"*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14" s="2194" t="str">
        <f>IF(S214&lt;T214,"*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14" s="2194" t="str">
        <f>IF(U214&lt;V214,"*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14" s="2194" t="str">
        <f>IF(W214&lt;X214,"*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14" s="2194" t="str">
        <f>IF(Y214&lt;Z214,"*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14" s="2194" t="str">
        <f>IF(AA214&lt;AB214,"*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14" s="2194" t="str">
        <f>IF(AC214&lt;AD214,"*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14" s="2194" t="str">
        <f>IF(AE214&lt;AF214,"*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14" s="2194" t="str">
        <f>IF(AG214&lt;AH214,"*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14" s="2194" t="str">
        <f>IF(AI214&lt;AJ214,"*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14" s="2194" t="str">
        <f>IF(AK214&lt;AL214,"*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A214" s="2194">
        <f>IF(B214&lt;   C214,1,0)</f>
        <v>0</v>
      </c>
      <c r="DB214" s="1443" t="e">
        <f>IF(B214&lt;&gt; AL214+AM214,1,0)</f>
        <v>#VALUE!</v>
      </c>
      <c r="DC214" s="1443" t="e">
        <f>IF(B214&lt;  AN214+AO214,1,0)</f>
        <v>#VALUE!</v>
      </c>
      <c r="DD214" s="1443">
        <f>IF(B214&lt;  AP214,1,0)</f>
        <v>0</v>
      </c>
      <c r="DE214" s="1443">
        <f>IF(B214&lt;  AQ214,1,0)</f>
        <v>0</v>
      </c>
      <c r="DF214" s="1443">
        <f>IF(C214&lt;  AR214,1,0)</f>
        <v>1</v>
      </c>
      <c r="DG214" s="1443">
        <f>IF(E214&lt;F214,1,0)</f>
        <v>1</v>
      </c>
      <c r="DH214" s="1443">
        <f>IF(G214&lt;H214,1,0)</f>
        <v>1</v>
      </c>
      <c r="DI214" s="1443">
        <f>IF(I214&lt;J214,1,0)</f>
        <v>1</v>
      </c>
      <c r="DJ214" s="1443">
        <f>IF(K214&lt;L214,1,0)</f>
        <v>1</v>
      </c>
      <c r="DK214" s="1443">
        <f>IF(M214&lt;N214,1,0)</f>
        <v>1</v>
      </c>
      <c r="DL214" s="1443">
        <f>IF(O214&lt;P214,1,0)</f>
        <v>1</v>
      </c>
      <c r="DM214" s="1443">
        <f>IF(Q214&lt;R214,1,0)</f>
        <v>1</v>
      </c>
      <c r="DN214" s="1443">
        <f>IF(S214&lt;T214,1,0)</f>
        <v>1</v>
      </c>
      <c r="DO214" s="1443">
        <f>IF(U214&lt;V214,1,0)</f>
        <v>1</v>
      </c>
      <c r="DP214" s="1443">
        <f>IF(W214&lt;X214,1,0)</f>
        <v>1</v>
      </c>
      <c r="DQ214" s="1443">
        <f>IF(Y214&lt;Z214,1,0)</f>
        <v>1</v>
      </c>
      <c r="DR214" s="1443">
        <f>IF(AA214&lt;AB214,1,0)</f>
        <v>1</v>
      </c>
      <c r="DS214" s="1443">
        <f>IF(AC214&lt;AD214,1,0)</f>
        <v>1</v>
      </c>
      <c r="DT214" s="1443">
        <f>IF(AE214&lt;AF214,1,0)</f>
        <v>1</v>
      </c>
      <c r="DU214" s="1443">
        <f>IF(AG214&lt;AH214,1,0)</f>
        <v>1</v>
      </c>
      <c r="DV214" s="1443">
        <f>IF(AI214&lt;AJ214,1,0)</f>
        <v>1</v>
      </c>
      <c r="DW214" s="1443">
        <f>IF(AK214&lt;AL214,1,0)</f>
        <v>1</v>
      </c>
      <c r="EA214" s="1443">
        <v>0</v>
      </c>
    </row>
    <row r="215" spans="1:131" ht="16.2" customHeight="1" x14ac:dyDescent="0.3">
      <c r="A215" s="7258">
        <v>11056473</v>
      </c>
      <c r="B215" s="2148" t="s">
        <v>1842</v>
      </c>
      <c r="C215" s="1998" t="s">
        <v>5369</v>
      </c>
      <c r="D215" s="1999" t="s">
        <v>5370</v>
      </c>
      <c r="E215" s="1137" t="s">
        <v>5371</v>
      </c>
      <c r="F215" s="1141" t="s">
        <v>5372</v>
      </c>
      <c r="G215" s="1140" t="s">
        <v>5373</v>
      </c>
      <c r="H215" s="1141" t="s">
        <v>5374</v>
      </c>
      <c r="I215" s="1140" t="s">
        <v>5375</v>
      </c>
      <c r="J215" s="1141" t="s">
        <v>5376</v>
      </c>
      <c r="K215" s="1114" t="s">
        <v>5377</v>
      </c>
      <c r="L215" s="1135" t="s">
        <v>5378</v>
      </c>
      <c r="M215" s="1114" t="s">
        <v>5379</v>
      </c>
      <c r="N215" s="1135" t="s">
        <v>5380</v>
      </c>
      <c r="O215" s="1114" t="s">
        <v>5381</v>
      </c>
      <c r="P215" s="1135" t="s">
        <v>5382</v>
      </c>
      <c r="Q215" s="1114" t="s">
        <v>5383</v>
      </c>
      <c r="R215" s="1135" t="s">
        <v>5384</v>
      </c>
      <c r="S215" s="1114" t="s">
        <v>5385</v>
      </c>
      <c r="T215" s="1135" t="s">
        <v>5386</v>
      </c>
      <c r="U215" s="1114" t="s">
        <v>5387</v>
      </c>
      <c r="V215" s="1135" t="s">
        <v>5388</v>
      </c>
      <c r="W215" s="1114" t="s">
        <v>5389</v>
      </c>
      <c r="X215" s="1135" t="s">
        <v>5390</v>
      </c>
      <c r="Y215" s="1114" t="s">
        <v>5391</v>
      </c>
      <c r="Z215" s="1135" t="s">
        <v>5392</v>
      </c>
      <c r="AA215" s="1114" t="s">
        <v>5393</v>
      </c>
      <c r="AB215" s="1135" t="s">
        <v>5394</v>
      </c>
      <c r="AC215" s="1114" t="s">
        <v>5395</v>
      </c>
      <c r="AD215" s="1135" t="s">
        <v>5396</v>
      </c>
      <c r="AE215" s="1114" t="s">
        <v>5397</v>
      </c>
      <c r="AF215" s="1135" t="s">
        <v>5398</v>
      </c>
      <c r="AG215" s="1114" t="s">
        <v>5399</v>
      </c>
      <c r="AH215" s="1135" t="s">
        <v>5400</v>
      </c>
      <c r="AI215" s="1114" t="s">
        <v>5401</v>
      </c>
      <c r="AJ215" s="1135" t="s">
        <v>5402</v>
      </c>
      <c r="AK215" s="1114" t="s">
        <v>5403</v>
      </c>
      <c r="AL215" s="1136" t="s">
        <v>5404</v>
      </c>
      <c r="AM215" s="1134" t="s">
        <v>5405</v>
      </c>
      <c r="AN215" s="1136" t="s">
        <v>5406</v>
      </c>
      <c r="AO215" s="1134" t="s">
        <v>5407</v>
      </c>
      <c r="AP215" s="1115" t="s">
        <v>5408</v>
      </c>
      <c r="AQ215" s="1114" t="s">
        <v>5409</v>
      </c>
      <c r="AR215" s="1196" t="s">
        <v>5410</v>
      </c>
      <c r="AS215" s="1470"/>
      <c r="AT215" s="1197"/>
      <c r="AU215" s="1197"/>
      <c r="AV215" s="1197"/>
      <c r="AW215" s="1197"/>
      <c r="AX215" s="1197"/>
      <c r="AY215" s="1197"/>
      <c r="AZ215" s="1197"/>
      <c r="BA215" s="1197"/>
      <c r="BB215" s="1197"/>
      <c r="BC215" s="1197"/>
      <c r="BD215" s="1197"/>
      <c r="BE215" s="1191"/>
      <c r="BF215" s="1191"/>
      <c r="BG215" s="1191"/>
      <c r="BH215" s="1191"/>
      <c r="CB215" s="2194" t="str">
        <f>IF(C215&lt;   D215,"* El total de Reactivos NO DEBE ser superior al total de Procesados. ","")</f>
        <v xml:space="preserve">* El total de Reactivos NO DEBE ser superior al total de Procesados. </v>
      </c>
      <c r="CC215" s="2194" t="e">
        <f>IF(C215&lt;&gt; AM215+ AN215,"* La suma de las columnas Sexo DEBE SER IGUAL a los Procesados. ","")</f>
        <v>#VALUE!</v>
      </c>
      <c r="CD215" s="2194" t="e">
        <f>IF(C215&lt;  AO215+ AP215,"* La suma de las columna Trans NO DEBE ser superior al total de Procesados. ","")</f>
        <v>#VALUE!</v>
      </c>
      <c r="CE215" s="2194" t="str">
        <f>IF(C215&lt;  AQ215,"* La columna Pueblos Originarios NO DEBE ser superior al total de Procesados. ","")</f>
        <v xml:space="preserve">* La columna Pueblos Originarios NO DEBE ser superior al total de Procesados. </v>
      </c>
      <c r="CF215" s="2194" t="str">
        <f>IF(C215&lt;  AR215,"* La columna Migrantes NO DEBE ser superior al total de Procesados. ","")</f>
        <v xml:space="preserve">* La columna Migrantes NO DEBE ser superior al total de Procesados. </v>
      </c>
      <c r="CG215" s="2194" t="str">
        <f>IF(E215&lt;F215,"*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15" s="2194" t="str">
        <f>IF(G215&lt;H215,"*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15" s="2194" t="str">
        <f>IF(I215&lt;J215,"*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15" s="2194" t="str">
        <f>IF(K215&lt;L215,"*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15" s="2194" t="str">
        <f>IF(M215&lt;N215,"*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15" s="2194" t="str">
        <f>IF(O215&lt;P215,"*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15" s="2194" t="str">
        <f>IF(Q215&lt;R215,"*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15" s="2194" t="str">
        <f>IF(S215&lt;T215,"*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15" s="2194" t="str">
        <f>IF(U215&lt;V215,"*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15" s="2194" t="str">
        <f>IF(W215&lt;X215,"*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15" s="2194" t="str">
        <f>IF(Y215&lt;Z215,"*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15" s="2194" t="str">
        <f>IF(AA215&lt;AB215,"*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15" s="2194" t="str">
        <f>IF(AC215&lt;AD215,"*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15" s="2194" t="str">
        <f>IF(AE215&lt;AF215,"*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15" s="2194" t="str">
        <f>IF(AG215&lt;AH215,"*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15" s="2194" t="str">
        <f>IF(AI215&lt;AJ215,"*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15" s="2194" t="str">
        <f>IF(AK215&lt;AL215,"*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B215" s="1443">
        <f>IF(C215&lt;   D215,1,0)</f>
        <v>1</v>
      </c>
      <c r="DC215" s="1443" t="e">
        <f>IF(C215&lt;&gt; AM215+AN215,1,0)</f>
        <v>#VALUE!</v>
      </c>
      <c r="DD215" s="1443" t="e">
        <f>IF(C215&lt;  AO215+AP215,1,0)</f>
        <v>#VALUE!</v>
      </c>
      <c r="DE215" s="1443">
        <f>IF(C215&lt;  AQ215,1,0)</f>
        <v>1</v>
      </c>
      <c r="DF215" s="1443">
        <f>IF(C215&lt;  AR215,1,0)</f>
        <v>1</v>
      </c>
      <c r="DG215" s="1443">
        <f>IF(E215&lt;F215,1,0)</f>
        <v>1</v>
      </c>
      <c r="DH215" s="1443">
        <f>IF(G215&lt;H215,1,0)</f>
        <v>1</v>
      </c>
      <c r="DI215" s="1443">
        <f>IF(I215&lt;J215,1,0)</f>
        <v>1</v>
      </c>
      <c r="DJ215" s="1443">
        <f>IF(K215&lt;L215,1,0)</f>
        <v>1</v>
      </c>
      <c r="DK215" s="1443">
        <f>IF(M215&lt;N215,1,0)</f>
        <v>1</v>
      </c>
      <c r="DL215" s="1443">
        <f>IF(O215&lt;P215,1,0)</f>
        <v>1</v>
      </c>
      <c r="DM215" s="1443">
        <f>IF(Q215&lt;R215,1,0)</f>
        <v>1</v>
      </c>
      <c r="DN215" s="1443">
        <f>IF(S215&lt;T215,1,0)</f>
        <v>1</v>
      </c>
      <c r="DO215" s="1443">
        <f>IF(U215&lt;V215,1,0)</f>
        <v>1</v>
      </c>
      <c r="DP215" s="1443">
        <f>IF(W215&lt;X215,1,0)</f>
        <v>1</v>
      </c>
      <c r="DQ215" s="1443">
        <f>IF(Y215&lt;Z215,1,0)</f>
        <v>1</v>
      </c>
      <c r="DR215" s="1443">
        <f>IF(AA215&lt;AB215,1,0)</f>
        <v>1</v>
      </c>
      <c r="DS215" s="1443">
        <f>IF(AC215&lt;AD215,1,0)</f>
        <v>1</v>
      </c>
      <c r="DT215" s="1443">
        <f>IF(AE215&lt;AF215,1,0)</f>
        <v>1</v>
      </c>
      <c r="DU215" s="1443">
        <f>IF(AG215&lt;AH215,1,0)</f>
        <v>1</v>
      </c>
      <c r="DV215" s="1443">
        <f>IF(AI215&lt;AJ215,1,0)</f>
        <v>1</v>
      </c>
      <c r="DW215" s="1443">
        <f>IF(AK215&lt;AL215,1,0)</f>
        <v>1</v>
      </c>
      <c r="EA215" s="1443">
        <v>0</v>
      </c>
    </row>
    <row r="216" spans="1:131" ht="16.2" customHeight="1" x14ac:dyDescent="0.3">
      <c r="A216" s="7258">
        <v>11056474</v>
      </c>
      <c r="B216" s="2148" t="s">
        <v>1843</v>
      </c>
      <c r="C216" s="1998" t="s">
        <v>5369</v>
      </c>
      <c r="D216" s="1999" t="s">
        <v>5370</v>
      </c>
      <c r="E216" s="1134" t="s">
        <v>5371</v>
      </c>
      <c r="F216" s="1135" t="s">
        <v>5372</v>
      </c>
      <c r="G216" s="1114" t="s">
        <v>5373</v>
      </c>
      <c r="H216" s="1135" t="s">
        <v>5374</v>
      </c>
      <c r="I216" s="1114" t="s">
        <v>5375</v>
      </c>
      <c r="J216" s="1135" t="s">
        <v>5376</v>
      </c>
      <c r="K216" s="1114" t="s">
        <v>5377</v>
      </c>
      <c r="L216" s="1135" t="s">
        <v>5378</v>
      </c>
      <c r="M216" s="1114" t="s">
        <v>5379</v>
      </c>
      <c r="N216" s="1135" t="s">
        <v>5380</v>
      </c>
      <c r="O216" s="1114" t="s">
        <v>5381</v>
      </c>
      <c r="P216" s="1135" t="s">
        <v>5382</v>
      </c>
      <c r="Q216" s="1114" t="s">
        <v>5383</v>
      </c>
      <c r="R216" s="1135" t="s">
        <v>5384</v>
      </c>
      <c r="S216" s="1114" t="s">
        <v>5385</v>
      </c>
      <c r="T216" s="1135" t="s">
        <v>5386</v>
      </c>
      <c r="U216" s="1114" t="s">
        <v>5387</v>
      </c>
      <c r="V216" s="1135" t="s">
        <v>5388</v>
      </c>
      <c r="W216" s="1114" t="s">
        <v>5389</v>
      </c>
      <c r="X216" s="1135" t="s">
        <v>5390</v>
      </c>
      <c r="Y216" s="1114" t="s">
        <v>5391</v>
      </c>
      <c r="Z216" s="1135" t="s">
        <v>5392</v>
      </c>
      <c r="AA216" s="1114" t="s">
        <v>5393</v>
      </c>
      <c r="AB216" s="1135" t="s">
        <v>5394</v>
      </c>
      <c r="AC216" s="1114" t="s">
        <v>5395</v>
      </c>
      <c r="AD216" s="1135" t="s">
        <v>5396</v>
      </c>
      <c r="AE216" s="1114" t="s">
        <v>5397</v>
      </c>
      <c r="AF216" s="1135" t="s">
        <v>5398</v>
      </c>
      <c r="AG216" s="1114" t="s">
        <v>5399</v>
      </c>
      <c r="AH216" s="1135" t="s">
        <v>5400</v>
      </c>
      <c r="AI216" s="1114" t="s">
        <v>5401</v>
      </c>
      <c r="AJ216" s="1135" t="s">
        <v>5402</v>
      </c>
      <c r="AK216" s="1114" t="s">
        <v>5403</v>
      </c>
      <c r="AL216" s="1136" t="s">
        <v>5404</v>
      </c>
      <c r="AM216" s="1134" t="s">
        <v>5405</v>
      </c>
      <c r="AN216" s="1136" t="s">
        <v>5406</v>
      </c>
      <c r="AO216" s="1134" t="s">
        <v>5407</v>
      </c>
      <c r="AP216" s="1115" t="s">
        <v>5408</v>
      </c>
      <c r="AQ216" s="1114" t="s">
        <v>5409</v>
      </c>
      <c r="AR216" s="1196" t="s">
        <v>5410</v>
      </c>
      <c r="AS216" s="1470"/>
      <c r="AT216" s="1197"/>
      <c r="AU216" s="1197"/>
      <c r="AV216" s="1197"/>
      <c r="AW216" s="1197"/>
      <c r="AX216" s="1197"/>
      <c r="AY216" s="1197"/>
      <c r="AZ216" s="1197"/>
      <c r="BA216" s="1197"/>
      <c r="BB216" s="1197"/>
      <c r="BC216" s="1197"/>
      <c r="BD216" s="1197"/>
      <c r="BE216" s="1191"/>
      <c r="BF216" s="1191"/>
      <c r="BG216" s="1191"/>
      <c r="BH216" s="1191"/>
      <c r="CB216" s="2194" t="str">
        <f t="shared" ref="CB216:CB220" si="364">IF(C216&lt;   D216,"* El total de Reactivos NO DEBE ser superior al total de Procesados. ","")</f>
        <v xml:space="preserve">* El total de Reactivos NO DEBE ser superior al total de Procesados. </v>
      </c>
      <c r="CC216" s="2194" t="e">
        <f t="shared" ref="CC216:CC220" si="365">IF(C216&lt;&gt; AM216+ AN216,"* La suma de las columnas Sexo DEBE SER IGUAL a los Procesados. ","")</f>
        <v>#VALUE!</v>
      </c>
      <c r="CD216" s="2194" t="e">
        <f t="shared" ref="CD216:CD220" si="366">IF(C216&lt;  AO216+ AP216,"* La suma de las columna Trans NO DEBE ser superior al total de Procesados. ","")</f>
        <v>#VALUE!</v>
      </c>
      <c r="CE216" s="2194" t="str">
        <f t="shared" ref="CE216:CE220" si="367">IF(C216&lt;  AQ216,"* La columna Pueblos Originarios NO DEBE ser superior al total de Procesados. ","")</f>
        <v xml:space="preserve">* La columna Pueblos Originarios NO DEBE ser superior al total de Procesados. </v>
      </c>
      <c r="CF216" s="2194" t="str">
        <f t="shared" ref="CF216:CF220" si="368">IF(C216&lt;  AR216,"* La columna Migrantes NO DEBE ser superior al total de Procesados. ","")</f>
        <v xml:space="preserve">* La columna Migrantes NO DEBE ser superior al total de Procesados. </v>
      </c>
      <c r="CG216" s="2194" t="str">
        <f t="shared" ref="CG216:CG220" si="369">IF(E216&lt;F216,"*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16" s="2194" t="str">
        <f t="shared" ref="CH216:CH220" si="370">IF(G216&lt;H216,"*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16" s="2194" t="str">
        <f t="shared" ref="CI216:CI220" si="371">IF(I216&lt;J216,"*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16" s="2194" t="str">
        <f t="shared" ref="CJ216:CJ220" si="372">IF(K216&lt;L216,"*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16" s="2194" t="str">
        <f t="shared" ref="CK216:CK220" si="373">IF(M216&lt;N216,"*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16" s="2194" t="str">
        <f t="shared" ref="CL216:CL220" si="374">IF(O216&lt;P216,"*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16" s="2194" t="str">
        <f t="shared" ref="CM216:CM220" si="375">IF(Q216&lt;R216,"*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16" s="2194" t="str">
        <f t="shared" ref="CN216:CN220" si="376">IF(S216&lt;T216,"*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16" s="2194" t="str">
        <f t="shared" ref="CO216:CO220" si="377">IF(U216&lt;V216,"*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16" s="2194" t="str">
        <f t="shared" ref="CP216:CP220" si="378">IF(W216&lt;X216,"*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16" s="2194" t="str">
        <f t="shared" ref="CQ216:CQ220" si="379">IF(Y216&lt;Z216,"*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16" s="2194" t="str">
        <f t="shared" ref="CR216:CR220" si="380">IF(AA216&lt;AB216,"*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16" s="2194" t="str">
        <f t="shared" ref="CS216:CS220" si="381">IF(AC216&lt;AD216,"*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16" s="2194" t="str">
        <f t="shared" ref="CT216:CT220" si="382">IF(AE216&lt;AF216,"*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16" s="2194" t="str">
        <f t="shared" ref="CU216:CU220" si="383">IF(AG216&lt;AH216,"*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16" s="2194" t="str">
        <f t="shared" ref="CV216:CV220" si="384">IF(AI216&lt;AJ216,"*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16" s="2194" t="str">
        <f t="shared" ref="CW216:CW220" si="385">IF(AK216&lt;AL216,"*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B216" s="1443">
        <f t="shared" ref="DB216:DB220" si="386">IF(C216&lt;   D216,1,0)</f>
        <v>1</v>
      </c>
      <c r="DC216" s="1443" t="e">
        <f t="shared" ref="DC216:DC220" si="387">IF(C216&lt;&gt; AM216+AN216,1,0)</f>
        <v>#VALUE!</v>
      </c>
      <c r="DD216" s="1443" t="e">
        <f t="shared" ref="DD216:DD220" si="388">IF(C216&lt;  AO216+AP216,1,0)</f>
        <v>#VALUE!</v>
      </c>
      <c r="DE216" s="1443">
        <f t="shared" ref="DE216:DE220" si="389">IF(C216&lt;  AQ216,1,0)</f>
        <v>1</v>
      </c>
      <c r="DF216" s="1443">
        <f t="shared" ref="DF216:DF220" si="390">IF(C216&lt;  AR216,1,0)</f>
        <v>1</v>
      </c>
      <c r="DG216" s="1443">
        <f t="shared" ref="DG216:DG220" si="391">IF(E216&lt;F216,1,0)</f>
        <v>1</v>
      </c>
      <c r="DH216" s="1443">
        <f t="shared" ref="DH216:DH220" si="392">IF(G216&lt;H216,1,0)</f>
        <v>1</v>
      </c>
      <c r="DI216" s="1443">
        <f t="shared" ref="DI216:DI220" si="393">IF(I216&lt;J216,1,0)</f>
        <v>1</v>
      </c>
      <c r="DJ216" s="1443">
        <f t="shared" ref="DJ216:DJ220" si="394">IF(K216&lt;L216,1,0)</f>
        <v>1</v>
      </c>
      <c r="DK216" s="1443">
        <f t="shared" ref="DK216:DK220" si="395">IF(M216&lt;N216,1,0)</f>
        <v>1</v>
      </c>
      <c r="DL216" s="1443">
        <f t="shared" ref="DL216:DL220" si="396">IF(O216&lt;P216,1,0)</f>
        <v>1</v>
      </c>
      <c r="DM216" s="1443">
        <f t="shared" ref="DM216:DM220" si="397">IF(Q216&lt;R216,1,0)</f>
        <v>1</v>
      </c>
      <c r="DN216" s="1443">
        <f t="shared" ref="DN216:DN220" si="398">IF(S216&lt;T216,1,0)</f>
        <v>1</v>
      </c>
      <c r="DO216" s="1443">
        <f t="shared" ref="DO216:DO220" si="399">IF(U216&lt;V216,1,0)</f>
        <v>1</v>
      </c>
      <c r="DP216" s="1443">
        <f t="shared" ref="DP216:DP220" si="400">IF(W216&lt;X216,1,0)</f>
        <v>1</v>
      </c>
      <c r="DQ216" s="1443">
        <f t="shared" ref="DQ216:DQ220" si="401">IF(Y216&lt;Z216,1,0)</f>
        <v>1</v>
      </c>
      <c r="DR216" s="1443">
        <f t="shared" ref="DR216:DR220" si="402">IF(AA216&lt;AB216,1,0)</f>
        <v>1</v>
      </c>
      <c r="DS216" s="1443">
        <f t="shared" ref="DS216:DS220" si="403">IF(AC216&lt;AD216,1,0)</f>
        <v>1</v>
      </c>
      <c r="DT216" s="1443">
        <f t="shared" ref="DT216:DT220" si="404">IF(AE216&lt;AF216,1,0)</f>
        <v>1</v>
      </c>
      <c r="DU216" s="1443">
        <f t="shared" ref="DU216:DU220" si="405">IF(AG216&lt;AH216,1,0)</f>
        <v>1</v>
      </c>
      <c r="DV216" s="1443">
        <f t="shared" ref="DV216:DV220" si="406">IF(AI216&lt;AJ216,1,0)</f>
        <v>1</v>
      </c>
      <c r="DW216" s="1443">
        <f t="shared" ref="DW216:DW220" si="407">IF(AK216&lt;AL216,1,0)</f>
        <v>1</v>
      </c>
      <c r="EA216" s="1443">
        <v>0</v>
      </c>
    </row>
    <row r="217" spans="1:131" ht="16.2" customHeight="1" x14ac:dyDescent="0.3">
      <c r="A217" s="7258">
        <v>11056475</v>
      </c>
      <c r="B217" s="2148" t="s">
        <v>1844</v>
      </c>
      <c r="C217" s="1998" t="s">
        <v>5369</v>
      </c>
      <c r="D217" s="1999" t="s">
        <v>5370</v>
      </c>
      <c r="E217" s="1134" t="s">
        <v>5371</v>
      </c>
      <c r="F217" s="1135" t="s">
        <v>5372</v>
      </c>
      <c r="G217" s="1114" t="s">
        <v>5373</v>
      </c>
      <c r="H217" s="1135" t="s">
        <v>5374</v>
      </c>
      <c r="I217" s="1114" t="s">
        <v>5375</v>
      </c>
      <c r="J217" s="1135" t="s">
        <v>5376</v>
      </c>
      <c r="K217" s="1114" t="s">
        <v>5377</v>
      </c>
      <c r="L217" s="1135" t="s">
        <v>5378</v>
      </c>
      <c r="M217" s="1114" t="s">
        <v>5379</v>
      </c>
      <c r="N217" s="1135" t="s">
        <v>5380</v>
      </c>
      <c r="O217" s="1114" t="s">
        <v>5381</v>
      </c>
      <c r="P217" s="1135" t="s">
        <v>5382</v>
      </c>
      <c r="Q217" s="1114" t="s">
        <v>5383</v>
      </c>
      <c r="R217" s="1135" t="s">
        <v>5384</v>
      </c>
      <c r="S217" s="1114" t="s">
        <v>5385</v>
      </c>
      <c r="T217" s="1135" t="s">
        <v>5386</v>
      </c>
      <c r="U217" s="1114" t="s">
        <v>5387</v>
      </c>
      <c r="V217" s="1135" t="s">
        <v>5388</v>
      </c>
      <c r="W217" s="1114" t="s">
        <v>5389</v>
      </c>
      <c r="X217" s="1135" t="s">
        <v>5390</v>
      </c>
      <c r="Y217" s="1114" t="s">
        <v>5391</v>
      </c>
      <c r="Z217" s="1135" t="s">
        <v>5392</v>
      </c>
      <c r="AA217" s="1114" t="s">
        <v>5393</v>
      </c>
      <c r="AB217" s="1135" t="s">
        <v>5394</v>
      </c>
      <c r="AC217" s="1114" t="s">
        <v>5395</v>
      </c>
      <c r="AD217" s="1135" t="s">
        <v>5396</v>
      </c>
      <c r="AE217" s="1114" t="s">
        <v>5397</v>
      </c>
      <c r="AF217" s="1135" t="s">
        <v>5398</v>
      </c>
      <c r="AG217" s="1114" t="s">
        <v>5399</v>
      </c>
      <c r="AH217" s="1135" t="s">
        <v>5400</v>
      </c>
      <c r="AI217" s="1114" t="s">
        <v>5401</v>
      </c>
      <c r="AJ217" s="1135" t="s">
        <v>5402</v>
      </c>
      <c r="AK217" s="1114" t="s">
        <v>5403</v>
      </c>
      <c r="AL217" s="1136" t="s">
        <v>5404</v>
      </c>
      <c r="AM217" s="1134" t="s">
        <v>5405</v>
      </c>
      <c r="AN217" s="1136" t="s">
        <v>5406</v>
      </c>
      <c r="AO217" s="1134" t="s">
        <v>5407</v>
      </c>
      <c r="AP217" s="1115" t="s">
        <v>5408</v>
      </c>
      <c r="AQ217" s="1114" t="s">
        <v>5409</v>
      </c>
      <c r="AR217" s="1196" t="s">
        <v>5410</v>
      </c>
      <c r="AS217" s="1470"/>
      <c r="AT217" s="1197"/>
      <c r="AU217" s="1197"/>
      <c r="AV217" s="1197"/>
      <c r="AW217" s="1197"/>
      <c r="AX217" s="1197"/>
      <c r="AY217" s="1197"/>
      <c r="AZ217" s="1197"/>
      <c r="BA217" s="1197"/>
      <c r="BB217" s="1197"/>
      <c r="BC217" s="1197"/>
      <c r="BD217" s="1197"/>
      <c r="BE217" s="1191"/>
      <c r="BF217" s="1191"/>
      <c r="BG217" s="1191"/>
      <c r="BH217" s="1191"/>
      <c r="CB217" s="2194" t="str">
        <f t="shared" si="364"/>
        <v xml:space="preserve">* El total de Reactivos NO DEBE ser superior al total de Procesados. </v>
      </c>
      <c r="CC217" s="2194" t="e">
        <f t="shared" si="365"/>
        <v>#VALUE!</v>
      </c>
      <c r="CD217" s="2194" t="e">
        <f t="shared" si="366"/>
        <v>#VALUE!</v>
      </c>
      <c r="CE217" s="2194" t="str">
        <f t="shared" si="367"/>
        <v xml:space="preserve">* La columna Pueblos Originarios NO DEBE ser superior al total de Procesados. </v>
      </c>
      <c r="CF217" s="2194" t="str">
        <f t="shared" si="368"/>
        <v xml:space="preserve">* La columna Migrantes NO DEBE ser superior al total de Procesados. </v>
      </c>
      <c r="CG217" s="2194" t="str">
        <f t="shared" si="369"/>
        <v xml:space="preserve">* Los exámenes Reactivos de 0 a 4 años años NO DEBEN ser mayor a los Exámenes Procesados de la misma edad. </v>
      </c>
      <c r="CH217" s="2194" t="str">
        <f t="shared" si="370"/>
        <v xml:space="preserve">* Los exámenes Reactivos de 5 a 9 años años NO DEBEN ser mayor a los Exámenes Procesados de la misma edad. </v>
      </c>
      <c r="CI217" s="2194" t="str">
        <f t="shared" si="371"/>
        <v xml:space="preserve">* Los exámenes Reactivos de 10 a 14 años años NO DEBEN ser mayor a los Exámenes Procesados de la misma edad. </v>
      </c>
      <c r="CJ217" s="2194" t="str">
        <f t="shared" si="372"/>
        <v xml:space="preserve">* Los exámenes Reactivos de 15 a 19 años años NO DEBEN ser mayor a los Exámenes Procesados de la misma edad. </v>
      </c>
      <c r="CK217" s="2194" t="str">
        <f t="shared" si="373"/>
        <v xml:space="preserve">* Los exámenes Reactivos de 20 a 24 años años NO DEBEN ser mayor a los Exámenes Procesados de la misma edad. </v>
      </c>
      <c r="CL217" s="2194" t="str">
        <f t="shared" si="374"/>
        <v xml:space="preserve">* Los exámenes Reactivos de 25 a 29 años años NO DEBEN ser mayor a los Exámenes Procesados de la misma edad. </v>
      </c>
      <c r="CM217" s="2194" t="str">
        <f t="shared" si="375"/>
        <v xml:space="preserve">* Los exámenes Reactivos de 30 a 34 años años NO DEBEN ser mayor a los Exámenes Procesados de la misma edad. </v>
      </c>
      <c r="CN217" s="2194" t="str">
        <f t="shared" si="376"/>
        <v xml:space="preserve">* Los exámenes Reactivos de 35 a 39 años años NO DEBEN ser mayor a los Exámenes Procesados de la misma edad. </v>
      </c>
      <c r="CO217" s="2194" t="str">
        <f t="shared" si="377"/>
        <v xml:space="preserve">* Los exámenes Reactivos de 40 a 44 años años NO DEBEN ser mayor a los Exámenes Procesados de la misma edad. </v>
      </c>
      <c r="CP217" s="2194" t="str">
        <f t="shared" si="378"/>
        <v xml:space="preserve">* Los exámenes Reactivos de 45 a 49 años años NO DEBEN ser mayor a los Exámenes Procesados de la misma edad. </v>
      </c>
      <c r="CQ217" s="2194" t="str">
        <f t="shared" si="379"/>
        <v xml:space="preserve">* Los exámenes Reactivos de 50 a 54 años años NO DEBEN ser mayor a los Exámenes Procesados de la misma edad. </v>
      </c>
      <c r="CR217" s="2194" t="str">
        <f t="shared" si="380"/>
        <v xml:space="preserve">* Los exámenes Reactivos de 55 a 59 años años NO DEBEN ser mayor a los Exámenes Procesados de la misma edad. </v>
      </c>
      <c r="CS217" s="2194" t="str">
        <f t="shared" si="381"/>
        <v xml:space="preserve">* Los exámenes Reactivos de 60 a 64 años años NO DEBEN ser mayor a los Exámenes Procesados de la misma edad. </v>
      </c>
      <c r="CT217" s="2194" t="str">
        <f t="shared" si="382"/>
        <v xml:space="preserve">* Los exámenes Reactivos de 65 a 69 años años NO DEBEN ser mayor a los Exámenes Procesados de la misma edad. </v>
      </c>
      <c r="CU217" s="2194" t="str">
        <f t="shared" si="383"/>
        <v xml:space="preserve">* Los exámenes Reactivos de 70 a 74 años años NO DEBEN ser mayor a los Exámenes Procesados de la misma edad. </v>
      </c>
      <c r="CV217" s="2194" t="str">
        <f t="shared" si="384"/>
        <v xml:space="preserve">* Los exámenes Reactivos de 75 a 79 años años NO DEBEN ser mayor a los Exámenes Procesados de la misma edad. </v>
      </c>
      <c r="CW217" s="2194" t="str">
        <f t="shared" si="385"/>
        <v xml:space="preserve">* Los exámenes Reactivos de 80 y más años años NO DEBEN ser mayor a los Exámenes Procesados de la misma edad. </v>
      </c>
      <c r="DB217" s="1443">
        <f t="shared" si="386"/>
        <v>1</v>
      </c>
      <c r="DC217" s="1443" t="e">
        <f t="shared" si="387"/>
        <v>#VALUE!</v>
      </c>
      <c r="DD217" s="1443" t="e">
        <f t="shared" si="388"/>
        <v>#VALUE!</v>
      </c>
      <c r="DE217" s="1443">
        <f t="shared" si="389"/>
        <v>1</v>
      </c>
      <c r="DF217" s="1443">
        <f t="shared" si="390"/>
        <v>1</v>
      </c>
      <c r="DG217" s="1443">
        <f t="shared" si="391"/>
        <v>1</v>
      </c>
      <c r="DH217" s="1443">
        <f t="shared" si="392"/>
        <v>1</v>
      </c>
      <c r="DI217" s="1443">
        <f t="shared" si="393"/>
        <v>1</v>
      </c>
      <c r="DJ217" s="1443">
        <f t="shared" si="394"/>
        <v>1</v>
      </c>
      <c r="DK217" s="1443">
        <f t="shared" si="395"/>
        <v>1</v>
      </c>
      <c r="DL217" s="1443">
        <f t="shared" si="396"/>
        <v>1</v>
      </c>
      <c r="DM217" s="1443">
        <f t="shared" si="397"/>
        <v>1</v>
      </c>
      <c r="DN217" s="1443">
        <f t="shared" si="398"/>
        <v>1</v>
      </c>
      <c r="DO217" s="1443">
        <f t="shared" si="399"/>
        <v>1</v>
      </c>
      <c r="DP217" s="1443">
        <f t="shared" si="400"/>
        <v>1</v>
      </c>
      <c r="DQ217" s="1443">
        <f t="shared" si="401"/>
        <v>1</v>
      </c>
      <c r="DR217" s="1443">
        <f t="shared" si="402"/>
        <v>1</v>
      </c>
      <c r="DS217" s="1443">
        <f t="shared" si="403"/>
        <v>1</v>
      </c>
      <c r="DT217" s="1443">
        <f t="shared" si="404"/>
        <v>1</v>
      </c>
      <c r="DU217" s="1443">
        <f t="shared" si="405"/>
        <v>1</v>
      </c>
      <c r="DV217" s="1443">
        <f t="shared" si="406"/>
        <v>1</v>
      </c>
      <c r="DW217" s="1443">
        <f t="shared" si="407"/>
        <v>1</v>
      </c>
      <c r="EA217" s="1443">
        <v>0</v>
      </c>
    </row>
    <row r="218" spans="1:131" ht="26.25" customHeight="1" x14ac:dyDescent="0.3">
      <c r="A218" s="7258">
        <v>11056476</v>
      </c>
      <c r="B218" s="2149" t="s">
        <v>1845</v>
      </c>
      <c r="C218" s="1998" t="s">
        <v>5369</v>
      </c>
      <c r="D218" s="1999" t="s">
        <v>5370</v>
      </c>
      <c r="E218" s="1134" t="s">
        <v>5371</v>
      </c>
      <c r="F218" s="1135" t="s">
        <v>5372</v>
      </c>
      <c r="G218" s="1114" t="s">
        <v>5373</v>
      </c>
      <c r="H218" s="1135" t="s">
        <v>5374</v>
      </c>
      <c r="I218" s="1114" t="s">
        <v>5375</v>
      </c>
      <c r="J218" s="1135" t="s">
        <v>5376</v>
      </c>
      <c r="K218" s="1114" t="s">
        <v>5377</v>
      </c>
      <c r="L218" s="1135" t="s">
        <v>5378</v>
      </c>
      <c r="M218" s="1114" t="s">
        <v>5379</v>
      </c>
      <c r="N218" s="1135" t="s">
        <v>5380</v>
      </c>
      <c r="O218" s="1114" t="s">
        <v>5381</v>
      </c>
      <c r="P218" s="1135" t="s">
        <v>5382</v>
      </c>
      <c r="Q218" s="1114" t="s">
        <v>5383</v>
      </c>
      <c r="R218" s="1135" t="s">
        <v>5384</v>
      </c>
      <c r="S218" s="1114" t="s">
        <v>5385</v>
      </c>
      <c r="T218" s="1135" t="s">
        <v>5386</v>
      </c>
      <c r="U218" s="1114" t="s">
        <v>5387</v>
      </c>
      <c r="V218" s="1135" t="s">
        <v>5388</v>
      </c>
      <c r="W218" s="1114" t="s">
        <v>5389</v>
      </c>
      <c r="X218" s="1135" t="s">
        <v>5390</v>
      </c>
      <c r="Y218" s="1114" t="s">
        <v>5391</v>
      </c>
      <c r="Z218" s="1135" t="s">
        <v>5392</v>
      </c>
      <c r="AA218" s="1114" t="s">
        <v>5393</v>
      </c>
      <c r="AB218" s="1135" t="s">
        <v>5394</v>
      </c>
      <c r="AC218" s="1114" t="s">
        <v>5395</v>
      </c>
      <c r="AD218" s="1135" t="s">
        <v>5396</v>
      </c>
      <c r="AE218" s="1114" t="s">
        <v>5397</v>
      </c>
      <c r="AF218" s="1135" t="s">
        <v>5398</v>
      </c>
      <c r="AG218" s="1114" t="s">
        <v>5399</v>
      </c>
      <c r="AH218" s="1135" t="s">
        <v>5400</v>
      </c>
      <c r="AI218" s="1114" t="s">
        <v>5401</v>
      </c>
      <c r="AJ218" s="1135" t="s">
        <v>5402</v>
      </c>
      <c r="AK218" s="1114" t="s">
        <v>5403</v>
      </c>
      <c r="AL218" s="1136" t="s">
        <v>5404</v>
      </c>
      <c r="AM218" s="1134" t="s">
        <v>5405</v>
      </c>
      <c r="AN218" s="1136" t="s">
        <v>5406</v>
      </c>
      <c r="AO218" s="1134" t="s">
        <v>5407</v>
      </c>
      <c r="AP218" s="1115" t="s">
        <v>5408</v>
      </c>
      <c r="AQ218" s="1114" t="s">
        <v>5409</v>
      </c>
      <c r="AR218" s="1196" t="s">
        <v>5410</v>
      </c>
      <c r="AS218" s="1470"/>
      <c r="AT218" s="1197"/>
      <c r="AU218" s="1197"/>
      <c r="AV218" s="1197"/>
      <c r="AW218" s="1197"/>
      <c r="AX218" s="1197"/>
      <c r="AY218" s="1197"/>
      <c r="AZ218" s="1197"/>
      <c r="BA218" s="1197"/>
      <c r="BB218" s="1197"/>
      <c r="BC218" s="1197"/>
      <c r="BD218" s="1197"/>
      <c r="BE218" s="1191"/>
      <c r="BF218" s="1191"/>
      <c r="BG218" s="1191"/>
      <c r="BH218" s="1191"/>
      <c r="CB218" s="2194" t="str">
        <f t="shared" si="364"/>
        <v xml:space="preserve">* El total de Reactivos NO DEBE ser superior al total de Procesados. </v>
      </c>
      <c r="CC218" s="2194" t="e">
        <f t="shared" si="365"/>
        <v>#VALUE!</v>
      </c>
      <c r="CD218" s="2194" t="e">
        <f t="shared" si="366"/>
        <v>#VALUE!</v>
      </c>
      <c r="CE218" s="2194" t="str">
        <f t="shared" si="367"/>
        <v xml:space="preserve">* La columna Pueblos Originarios NO DEBE ser superior al total de Procesados. </v>
      </c>
      <c r="CF218" s="2194" t="str">
        <f t="shared" si="368"/>
        <v xml:space="preserve">* La columna Migrantes NO DEBE ser superior al total de Procesados. </v>
      </c>
      <c r="CG218" s="2194" t="str">
        <f t="shared" si="369"/>
        <v xml:space="preserve">* Los exámenes Reactivos de 0 a 4 años años NO DEBEN ser mayor a los Exámenes Procesados de la misma edad. </v>
      </c>
      <c r="CH218" s="2194" t="str">
        <f t="shared" si="370"/>
        <v xml:space="preserve">* Los exámenes Reactivos de 5 a 9 años años NO DEBEN ser mayor a los Exámenes Procesados de la misma edad. </v>
      </c>
      <c r="CI218" s="2194" t="str">
        <f t="shared" si="371"/>
        <v xml:space="preserve">* Los exámenes Reactivos de 10 a 14 años años NO DEBEN ser mayor a los Exámenes Procesados de la misma edad. </v>
      </c>
      <c r="CJ218" s="2194" t="str">
        <f t="shared" si="372"/>
        <v xml:space="preserve">* Los exámenes Reactivos de 15 a 19 años años NO DEBEN ser mayor a los Exámenes Procesados de la misma edad. </v>
      </c>
      <c r="CK218" s="2194" t="str">
        <f t="shared" si="373"/>
        <v xml:space="preserve">* Los exámenes Reactivos de 20 a 24 años años NO DEBEN ser mayor a los Exámenes Procesados de la misma edad. </v>
      </c>
      <c r="CL218" s="2194" t="str">
        <f t="shared" si="374"/>
        <v xml:space="preserve">* Los exámenes Reactivos de 25 a 29 años años NO DEBEN ser mayor a los Exámenes Procesados de la misma edad. </v>
      </c>
      <c r="CM218" s="2194" t="str">
        <f t="shared" si="375"/>
        <v xml:space="preserve">* Los exámenes Reactivos de 30 a 34 años años NO DEBEN ser mayor a los Exámenes Procesados de la misma edad. </v>
      </c>
      <c r="CN218" s="2194" t="str">
        <f t="shared" si="376"/>
        <v xml:space="preserve">* Los exámenes Reactivos de 35 a 39 años años NO DEBEN ser mayor a los Exámenes Procesados de la misma edad. </v>
      </c>
      <c r="CO218" s="2194" t="str">
        <f t="shared" si="377"/>
        <v xml:space="preserve">* Los exámenes Reactivos de 40 a 44 años años NO DEBEN ser mayor a los Exámenes Procesados de la misma edad. </v>
      </c>
      <c r="CP218" s="2194" t="str">
        <f t="shared" si="378"/>
        <v xml:space="preserve">* Los exámenes Reactivos de 45 a 49 años años NO DEBEN ser mayor a los Exámenes Procesados de la misma edad. </v>
      </c>
      <c r="CQ218" s="2194" t="str">
        <f t="shared" si="379"/>
        <v xml:space="preserve">* Los exámenes Reactivos de 50 a 54 años años NO DEBEN ser mayor a los Exámenes Procesados de la misma edad. </v>
      </c>
      <c r="CR218" s="2194" t="str">
        <f t="shared" si="380"/>
        <v xml:space="preserve">* Los exámenes Reactivos de 55 a 59 años años NO DEBEN ser mayor a los Exámenes Procesados de la misma edad. </v>
      </c>
      <c r="CS218" s="2194" t="str">
        <f t="shared" si="381"/>
        <v xml:space="preserve">* Los exámenes Reactivos de 60 a 64 años años NO DEBEN ser mayor a los Exámenes Procesados de la misma edad. </v>
      </c>
      <c r="CT218" s="2194" t="str">
        <f t="shared" si="382"/>
        <v xml:space="preserve">* Los exámenes Reactivos de 65 a 69 años años NO DEBEN ser mayor a los Exámenes Procesados de la misma edad. </v>
      </c>
      <c r="CU218" s="2194" t="str">
        <f t="shared" si="383"/>
        <v xml:space="preserve">* Los exámenes Reactivos de 70 a 74 años años NO DEBEN ser mayor a los Exámenes Procesados de la misma edad. </v>
      </c>
      <c r="CV218" s="2194" t="str">
        <f t="shared" si="384"/>
        <v xml:space="preserve">* Los exámenes Reactivos de 75 a 79 años años NO DEBEN ser mayor a los Exámenes Procesados de la misma edad. </v>
      </c>
      <c r="CW218" s="2194" t="str">
        <f t="shared" si="385"/>
        <v xml:space="preserve">* Los exámenes Reactivos de 80 y más años años NO DEBEN ser mayor a los Exámenes Procesados de la misma edad. </v>
      </c>
      <c r="DB218" s="1443">
        <f t="shared" si="386"/>
        <v>1</v>
      </c>
      <c r="DC218" s="1443" t="e">
        <f t="shared" si="387"/>
        <v>#VALUE!</v>
      </c>
      <c r="DD218" s="1443" t="e">
        <f t="shared" si="388"/>
        <v>#VALUE!</v>
      </c>
      <c r="DE218" s="1443">
        <f t="shared" si="389"/>
        <v>1</v>
      </c>
      <c r="DF218" s="1443">
        <f t="shared" si="390"/>
        <v>1</v>
      </c>
      <c r="DG218" s="1443">
        <f t="shared" si="391"/>
        <v>1</v>
      </c>
      <c r="DH218" s="1443">
        <f t="shared" si="392"/>
        <v>1</v>
      </c>
      <c r="DI218" s="1443">
        <f t="shared" si="393"/>
        <v>1</v>
      </c>
      <c r="DJ218" s="1443">
        <f t="shared" si="394"/>
        <v>1</v>
      </c>
      <c r="DK218" s="1443">
        <f t="shared" si="395"/>
        <v>1</v>
      </c>
      <c r="DL218" s="1443">
        <f t="shared" si="396"/>
        <v>1</v>
      </c>
      <c r="DM218" s="1443">
        <f t="shared" si="397"/>
        <v>1</v>
      </c>
      <c r="DN218" s="1443">
        <f t="shared" si="398"/>
        <v>1</v>
      </c>
      <c r="DO218" s="1443">
        <f t="shared" si="399"/>
        <v>1</v>
      </c>
      <c r="DP218" s="1443">
        <f t="shared" si="400"/>
        <v>1</v>
      </c>
      <c r="DQ218" s="1443">
        <f t="shared" si="401"/>
        <v>1</v>
      </c>
      <c r="DR218" s="1443">
        <f t="shared" si="402"/>
        <v>1</v>
      </c>
      <c r="DS218" s="1443">
        <f t="shared" si="403"/>
        <v>1</v>
      </c>
      <c r="DT218" s="1443">
        <f t="shared" si="404"/>
        <v>1</v>
      </c>
      <c r="DU218" s="1443">
        <f t="shared" si="405"/>
        <v>1</v>
      </c>
      <c r="DV218" s="1443">
        <f t="shared" si="406"/>
        <v>1</v>
      </c>
      <c r="DW218" s="1443">
        <f t="shared" si="407"/>
        <v>1</v>
      </c>
      <c r="EA218" s="1443">
        <v>0</v>
      </c>
    </row>
    <row r="219" spans="1:131" ht="16.2" customHeight="1" x14ac:dyDescent="0.3">
      <c r="A219" s="7258">
        <v>11056477</v>
      </c>
      <c r="B219" s="2148" t="s">
        <v>1846</v>
      </c>
      <c r="C219" s="1998" t="s">
        <v>5369</v>
      </c>
      <c r="D219" s="1999" t="s">
        <v>5370</v>
      </c>
      <c r="E219" s="1134" t="s">
        <v>5371</v>
      </c>
      <c r="F219" s="1135" t="s">
        <v>5372</v>
      </c>
      <c r="G219" s="1114" t="s">
        <v>5373</v>
      </c>
      <c r="H219" s="1135" t="s">
        <v>5374</v>
      </c>
      <c r="I219" s="1114" t="s">
        <v>5375</v>
      </c>
      <c r="J219" s="1135" t="s">
        <v>5376</v>
      </c>
      <c r="K219" s="1114" t="s">
        <v>5377</v>
      </c>
      <c r="L219" s="1135" t="s">
        <v>5378</v>
      </c>
      <c r="M219" s="1114" t="s">
        <v>5379</v>
      </c>
      <c r="N219" s="1135" t="s">
        <v>5380</v>
      </c>
      <c r="O219" s="1114" t="s">
        <v>5381</v>
      </c>
      <c r="P219" s="1135" t="s">
        <v>5382</v>
      </c>
      <c r="Q219" s="1114" t="s">
        <v>5383</v>
      </c>
      <c r="R219" s="1135" t="s">
        <v>5384</v>
      </c>
      <c r="S219" s="1114" t="s">
        <v>5385</v>
      </c>
      <c r="T219" s="1135" t="s">
        <v>5386</v>
      </c>
      <c r="U219" s="1114" t="s">
        <v>5387</v>
      </c>
      <c r="V219" s="1135" t="s">
        <v>5388</v>
      </c>
      <c r="W219" s="1114" t="s">
        <v>5389</v>
      </c>
      <c r="X219" s="1135" t="s">
        <v>5390</v>
      </c>
      <c r="Y219" s="1114" t="s">
        <v>5391</v>
      </c>
      <c r="Z219" s="1135" t="s">
        <v>5392</v>
      </c>
      <c r="AA219" s="1114" t="s">
        <v>5393</v>
      </c>
      <c r="AB219" s="1135" t="s">
        <v>5394</v>
      </c>
      <c r="AC219" s="1114" t="s">
        <v>5395</v>
      </c>
      <c r="AD219" s="1135" t="s">
        <v>5396</v>
      </c>
      <c r="AE219" s="1114" t="s">
        <v>5397</v>
      </c>
      <c r="AF219" s="1135" t="s">
        <v>5398</v>
      </c>
      <c r="AG219" s="1114" t="s">
        <v>5399</v>
      </c>
      <c r="AH219" s="1135" t="s">
        <v>5400</v>
      </c>
      <c r="AI219" s="1114" t="s">
        <v>5401</v>
      </c>
      <c r="AJ219" s="1135" t="s">
        <v>5402</v>
      </c>
      <c r="AK219" s="1114" t="s">
        <v>5403</v>
      </c>
      <c r="AL219" s="1136" t="s">
        <v>5404</v>
      </c>
      <c r="AM219" s="1134" t="s">
        <v>5405</v>
      </c>
      <c r="AN219" s="1136" t="s">
        <v>5406</v>
      </c>
      <c r="AO219" s="1134" t="s">
        <v>5407</v>
      </c>
      <c r="AP219" s="1115" t="s">
        <v>5408</v>
      </c>
      <c r="AQ219" s="1114" t="s">
        <v>5409</v>
      </c>
      <c r="AR219" s="1196" t="s">
        <v>5410</v>
      </c>
      <c r="AS219" s="1470"/>
      <c r="AT219" s="1197"/>
      <c r="AU219" s="1197"/>
      <c r="AV219" s="1197"/>
      <c r="AW219" s="1197"/>
      <c r="AX219" s="1197"/>
      <c r="AY219" s="1197"/>
      <c r="AZ219" s="1197"/>
      <c r="BA219" s="1197"/>
      <c r="BB219" s="1197"/>
      <c r="BC219" s="1197"/>
      <c r="BD219" s="1197"/>
      <c r="BE219" s="1191"/>
      <c r="BF219" s="1191"/>
      <c r="BG219" s="1191"/>
      <c r="BH219" s="1191"/>
      <c r="CB219" s="2194" t="str">
        <f t="shared" si="364"/>
        <v xml:space="preserve">* El total de Reactivos NO DEBE ser superior al total de Procesados. </v>
      </c>
      <c r="CC219" s="2194" t="e">
        <f t="shared" si="365"/>
        <v>#VALUE!</v>
      </c>
      <c r="CD219" s="2194" t="e">
        <f t="shared" si="366"/>
        <v>#VALUE!</v>
      </c>
      <c r="CE219" s="2194" t="str">
        <f t="shared" si="367"/>
        <v xml:space="preserve">* La columna Pueblos Originarios NO DEBE ser superior al total de Procesados. </v>
      </c>
      <c r="CF219" s="2194" t="str">
        <f t="shared" si="368"/>
        <v xml:space="preserve">* La columna Migrantes NO DEBE ser superior al total de Procesados. </v>
      </c>
      <c r="CG219" s="2194" t="str">
        <f t="shared" si="369"/>
        <v xml:space="preserve">* Los exámenes Reactivos de 0 a 4 años años NO DEBEN ser mayor a los Exámenes Procesados de la misma edad. </v>
      </c>
      <c r="CH219" s="2194" t="str">
        <f t="shared" si="370"/>
        <v xml:space="preserve">* Los exámenes Reactivos de 5 a 9 años años NO DEBEN ser mayor a los Exámenes Procesados de la misma edad. </v>
      </c>
      <c r="CI219" s="2194" t="str">
        <f t="shared" si="371"/>
        <v xml:space="preserve">* Los exámenes Reactivos de 10 a 14 años años NO DEBEN ser mayor a los Exámenes Procesados de la misma edad. </v>
      </c>
      <c r="CJ219" s="2194" t="str">
        <f t="shared" si="372"/>
        <v xml:space="preserve">* Los exámenes Reactivos de 15 a 19 años años NO DEBEN ser mayor a los Exámenes Procesados de la misma edad. </v>
      </c>
      <c r="CK219" s="2194" t="str">
        <f t="shared" si="373"/>
        <v xml:space="preserve">* Los exámenes Reactivos de 20 a 24 años años NO DEBEN ser mayor a los Exámenes Procesados de la misma edad. </v>
      </c>
      <c r="CL219" s="2194" t="str">
        <f t="shared" si="374"/>
        <v xml:space="preserve">* Los exámenes Reactivos de 25 a 29 años años NO DEBEN ser mayor a los Exámenes Procesados de la misma edad. </v>
      </c>
      <c r="CM219" s="2194" t="str">
        <f t="shared" si="375"/>
        <v xml:space="preserve">* Los exámenes Reactivos de 30 a 34 años años NO DEBEN ser mayor a los Exámenes Procesados de la misma edad. </v>
      </c>
      <c r="CN219" s="2194" t="str">
        <f t="shared" si="376"/>
        <v xml:space="preserve">* Los exámenes Reactivos de 35 a 39 años años NO DEBEN ser mayor a los Exámenes Procesados de la misma edad. </v>
      </c>
      <c r="CO219" s="2194" t="str">
        <f t="shared" si="377"/>
        <v xml:space="preserve">* Los exámenes Reactivos de 40 a 44 años años NO DEBEN ser mayor a los Exámenes Procesados de la misma edad. </v>
      </c>
      <c r="CP219" s="2194" t="str">
        <f t="shared" si="378"/>
        <v xml:space="preserve">* Los exámenes Reactivos de 45 a 49 años años NO DEBEN ser mayor a los Exámenes Procesados de la misma edad. </v>
      </c>
      <c r="CQ219" s="2194" t="str">
        <f t="shared" si="379"/>
        <v xml:space="preserve">* Los exámenes Reactivos de 50 a 54 años años NO DEBEN ser mayor a los Exámenes Procesados de la misma edad. </v>
      </c>
      <c r="CR219" s="2194" t="str">
        <f t="shared" si="380"/>
        <v xml:space="preserve">* Los exámenes Reactivos de 55 a 59 años años NO DEBEN ser mayor a los Exámenes Procesados de la misma edad. </v>
      </c>
      <c r="CS219" s="2194" t="str">
        <f t="shared" si="381"/>
        <v xml:space="preserve">* Los exámenes Reactivos de 60 a 64 años años NO DEBEN ser mayor a los Exámenes Procesados de la misma edad. </v>
      </c>
      <c r="CT219" s="2194" t="str">
        <f t="shared" si="382"/>
        <v xml:space="preserve">* Los exámenes Reactivos de 65 a 69 años años NO DEBEN ser mayor a los Exámenes Procesados de la misma edad. </v>
      </c>
      <c r="CU219" s="2194" t="str">
        <f t="shared" si="383"/>
        <v xml:space="preserve">* Los exámenes Reactivos de 70 a 74 años años NO DEBEN ser mayor a los Exámenes Procesados de la misma edad. </v>
      </c>
      <c r="CV219" s="2194" t="str">
        <f t="shared" si="384"/>
        <v xml:space="preserve">* Los exámenes Reactivos de 75 a 79 años años NO DEBEN ser mayor a los Exámenes Procesados de la misma edad. </v>
      </c>
      <c r="CW219" s="2194" t="str">
        <f t="shared" si="385"/>
        <v xml:space="preserve">* Los exámenes Reactivos de 80 y más años años NO DEBEN ser mayor a los Exámenes Procesados de la misma edad. </v>
      </c>
      <c r="DB219" s="1443">
        <f t="shared" si="386"/>
        <v>1</v>
      </c>
      <c r="DC219" s="1443" t="e">
        <f t="shared" si="387"/>
        <v>#VALUE!</v>
      </c>
      <c r="DD219" s="1443" t="e">
        <f t="shared" si="388"/>
        <v>#VALUE!</v>
      </c>
      <c r="DE219" s="1443">
        <f t="shared" si="389"/>
        <v>1</v>
      </c>
      <c r="DF219" s="1443">
        <f t="shared" si="390"/>
        <v>1</v>
      </c>
      <c r="DG219" s="1443">
        <f t="shared" si="391"/>
        <v>1</v>
      </c>
      <c r="DH219" s="1443">
        <f t="shared" si="392"/>
        <v>1</v>
      </c>
      <c r="DI219" s="1443">
        <f t="shared" si="393"/>
        <v>1</v>
      </c>
      <c r="DJ219" s="1443">
        <f t="shared" si="394"/>
        <v>1</v>
      </c>
      <c r="DK219" s="1443">
        <f t="shared" si="395"/>
        <v>1</v>
      </c>
      <c r="DL219" s="1443">
        <f t="shared" si="396"/>
        <v>1</v>
      </c>
      <c r="DM219" s="1443">
        <f t="shared" si="397"/>
        <v>1</v>
      </c>
      <c r="DN219" s="1443">
        <f t="shared" si="398"/>
        <v>1</v>
      </c>
      <c r="DO219" s="1443">
        <f t="shared" si="399"/>
        <v>1</v>
      </c>
      <c r="DP219" s="1443">
        <f t="shared" si="400"/>
        <v>1</v>
      </c>
      <c r="DQ219" s="1443">
        <f t="shared" si="401"/>
        <v>1</v>
      </c>
      <c r="DR219" s="1443">
        <f t="shared" si="402"/>
        <v>1</v>
      </c>
      <c r="DS219" s="1443">
        <f t="shared" si="403"/>
        <v>1</v>
      </c>
      <c r="DT219" s="1443">
        <f t="shared" si="404"/>
        <v>1</v>
      </c>
      <c r="DU219" s="1443">
        <f t="shared" si="405"/>
        <v>1</v>
      </c>
      <c r="DV219" s="1443">
        <f t="shared" si="406"/>
        <v>1</v>
      </c>
      <c r="DW219" s="1443">
        <f t="shared" si="407"/>
        <v>1</v>
      </c>
      <c r="EA219" s="1443">
        <v>0</v>
      </c>
    </row>
    <row r="220" spans="1:131" ht="16.2" customHeight="1" x14ac:dyDescent="0.3">
      <c r="A220" s="7258">
        <v>11056478</v>
      </c>
      <c r="B220" s="2150" t="s">
        <v>70</v>
      </c>
      <c r="C220" s="1198" t="s">
        <v>5369</v>
      </c>
      <c r="D220" s="1145" t="s">
        <v>5370</v>
      </c>
      <c r="E220" s="102" t="s">
        <v>5371</v>
      </c>
      <c r="F220" s="83" t="s">
        <v>5372</v>
      </c>
      <c r="G220" s="125" t="s">
        <v>5373</v>
      </c>
      <c r="H220" s="83" t="s">
        <v>5374</v>
      </c>
      <c r="I220" s="125" t="s">
        <v>5375</v>
      </c>
      <c r="J220" s="83" t="s">
        <v>5376</v>
      </c>
      <c r="K220" s="125" t="s">
        <v>5377</v>
      </c>
      <c r="L220" s="83" t="s">
        <v>5378</v>
      </c>
      <c r="M220" s="125" t="s">
        <v>5379</v>
      </c>
      <c r="N220" s="83" t="s">
        <v>5380</v>
      </c>
      <c r="O220" s="125" t="s">
        <v>5381</v>
      </c>
      <c r="P220" s="83" t="s">
        <v>5382</v>
      </c>
      <c r="Q220" s="125" t="s">
        <v>5383</v>
      </c>
      <c r="R220" s="83" t="s">
        <v>5384</v>
      </c>
      <c r="S220" s="125" t="s">
        <v>5385</v>
      </c>
      <c r="T220" s="83" t="s">
        <v>5386</v>
      </c>
      <c r="U220" s="125" t="s">
        <v>5387</v>
      </c>
      <c r="V220" s="83" t="s">
        <v>5388</v>
      </c>
      <c r="W220" s="125" t="s">
        <v>5389</v>
      </c>
      <c r="X220" s="83" t="s">
        <v>5390</v>
      </c>
      <c r="Y220" s="125" t="s">
        <v>5391</v>
      </c>
      <c r="Z220" s="83" t="s">
        <v>5392</v>
      </c>
      <c r="AA220" s="125" t="s">
        <v>5393</v>
      </c>
      <c r="AB220" s="83" t="s">
        <v>5394</v>
      </c>
      <c r="AC220" s="125" t="s">
        <v>5395</v>
      </c>
      <c r="AD220" s="83" t="s">
        <v>5396</v>
      </c>
      <c r="AE220" s="125" t="s">
        <v>5397</v>
      </c>
      <c r="AF220" s="83" t="s">
        <v>5398</v>
      </c>
      <c r="AG220" s="125" t="s">
        <v>5399</v>
      </c>
      <c r="AH220" s="83" t="s">
        <v>5400</v>
      </c>
      <c r="AI220" s="125" t="s">
        <v>5401</v>
      </c>
      <c r="AJ220" s="83" t="s">
        <v>5402</v>
      </c>
      <c r="AK220" s="125" t="s">
        <v>5403</v>
      </c>
      <c r="AL220" s="198" t="s">
        <v>5404</v>
      </c>
      <c r="AM220" s="102" t="s">
        <v>5405</v>
      </c>
      <c r="AN220" s="198" t="s">
        <v>5406</v>
      </c>
      <c r="AO220" s="102" t="s">
        <v>5407</v>
      </c>
      <c r="AP220" s="127" t="s">
        <v>5408</v>
      </c>
      <c r="AQ220" s="125" t="s">
        <v>5409</v>
      </c>
      <c r="AR220" s="86" t="s">
        <v>5410</v>
      </c>
      <c r="AS220" s="1470"/>
      <c r="AT220" s="1197"/>
      <c r="AU220" s="1197"/>
      <c r="AV220" s="1197"/>
      <c r="AW220" s="1197"/>
      <c r="AX220" s="1197"/>
      <c r="AY220" s="1197"/>
      <c r="AZ220" s="1197"/>
      <c r="BA220" s="1197"/>
      <c r="BB220" s="1197"/>
      <c r="BC220" s="1197"/>
      <c r="BD220" s="1197"/>
      <c r="BE220" s="1191"/>
      <c r="BF220" s="1191"/>
      <c r="BG220" s="1191"/>
      <c r="BH220" s="1191"/>
      <c r="CB220" s="2194" t="str">
        <f t="shared" si="364"/>
        <v xml:space="preserve">* El total de Reactivos NO DEBE ser superior al total de Procesados. </v>
      </c>
      <c r="CC220" s="2194" t="e">
        <f t="shared" si="365"/>
        <v>#VALUE!</v>
      </c>
      <c r="CD220" s="2194" t="e">
        <f t="shared" si="366"/>
        <v>#VALUE!</v>
      </c>
      <c r="CE220" s="2194" t="str">
        <f t="shared" si="367"/>
        <v xml:space="preserve">* La columna Pueblos Originarios NO DEBE ser superior al total de Procesados. </v>
      </c>
      <c r="CF220" s="2194" t="str">
        <f t="shared" si="368"/>
        <v xml:space="preserve">* La columna Migrantes NO DEBE ser superior al total de Procesados. </v>
      </c>
      <c r="CG220" s="2194" t="str">
        <f t="shared" si="369"/>
        <v xml:space="preserve">* Los exámenes Reactivos de 0 a 4 años años NO DEBEN ser mayor a los Exámenes Procesados de la misma edad. </v>
      </c>
      <c r="CH220" s="2194" t="str">
        <f t="shared" si="370"/>
        <v xml:space="preserve">* Los exámenes Reactivos de 5 a 9 años años NO DEBEN ser mayor a los Exámenes Procesados de la misma edad. </v>
      </c>
      <c r="CI220" s="2194" t="str">
        <f t="shared" si="371"/>
        <v xml:space="preserve">* Los exámenes Reactivos de 10 a 14 años años NO DEBEN ser mayor a los Exámenes Procesados de la misma edad. </v>
      </c>
      <c r="CJ220" s="2194" t="str">
        <f t="shared" si="372"/>
        <v xml:space="preserve">* Los exámenes Reactivos de 15 a 19 años años NO DEBEN ser mayor a los Exámenes Procesados de la misma edad. </v>
      </c>
      <c r="CK220" s="2194" t="str">
        <f t="shared" si="373"/>
        <v xml:space="preserve">* Los exámenes Reactivos de 20 a 24 años años NO DEBEN ser mayor a los Exámenes Procesados de la misma edad. </v>
      </c>
      <c r="CL220" s="2194" t="str">
        <f t="shared" si="374"/>
        <v xml:space="preserve">* Los exámenes Reactivos de 25 a 29 años años NO DEBEN ser mayor a los Exámenes Procesados de la misma edad. </v>
      </c>
      <c r="CM220" s="2194" t="str">
        <f t="shared" si="375"/>
        <v xml:space="preserve">* Los exámenes Reactivos de 30 a 34 años años NO DEBEN ser mayor a los Exámenes Procesados de la misma edad. </v>
      </c>
      <c r="CN220" s="2194" t="str">
        <f t="shared" si="376"/>
        <v xml:space="preserve">* Los exámenes Reactivos de 35 a 39 años años NO DEBEN ser mayor a los Exámenes Procesados de la misma edad. </v>
      </c>
      <c r="CO220" s="2194" t="str">
        <f t="shared" si="377"/>
        <v xml:space="preserve">* Los exámenes Reactivos de 40 a 44 años años NO DEBEN ser mayor a los Exámenes Procesados de la misma edad. </v>
      </c>
      <c r="CP220" s="2194" t="str">
        <f t="shared" si="378"/>
        <v xml:space="preserve">* Los exámenes Reactivos de 45 a 49 años años NO DEBEN ser mayor a los Exámenes Procesados de la misma edad. </v>
      </c>
      <c r="CQ220" s="2194" t="str">
        <f t="shared" si="379"/>
        <v xml:space="preserve">* Los exámenes Reactivos de 50 a 54 años años NO DEBEN ser mayor a los Exámenes Procesados de la misma edad. </v>
      </c>
      <c r="CR220" s="2194" t="str">
        <f t="shared" si="380"/>
        <v xml:space="preserve">* Los exámenes Reactivos de 55 a 59 años años NO DEBEN ser mayor a los Exámenes Procesados de la misma edad. </v>
      </c>
      <c r="CS220" s="2194" t="str">
        <f t="shared" si="381"/>
        <v xml:space="preserve">* Los exámenes Reactivos de 60 a 64 años años NO DEBEN ser mayor a los Exámenes Procesados de la misma edad. </v>
      </c>
      <c r="CT220" s="2194" t="str">
        <f t="shared" si="382"/>
        <v xml:space="preserve">* Los exámenes Reactivos de 65 a 69 años años NO DEBEN ser mayor a los Exámenes Procesados de la misma edad. </v>
      </c>
      <c r="CU220" s="2194" t="str">
        <f t="shared" si="383"/>
        <v xml:space="preserve">* Los exámenes Reactivos de 70 a 74 años años NO DEBEN ser mayor a los Exámenes Procesados de la misma edad. </v>
      </c>
      <c r="CV220" s="2194" t="str">
        <f t="shared" si="384"/>
        <v xml:space="preserve">* Los exámenes Reactivos de 75 a 79 años años NO DEBEN ser mayor a los Exámenes Procesados de la misma edad. </v>
      </c>
      <c r="CW220" s="2194" t="str">
        <f t="shared" si="385"/>
        <v xml:space="preserve">* Los exámenes Reactivos de 80 y más años años NO DEBEN ser mayor a los Exámenes Procesados de la misma edad. </v>
      </c>
      <c r="DB220" s="1443">
        <f t="shared" si="386"/>
        <v>1</v>
      </c>
      <c r="DC220" s="1443" t="e">
        <f t="shared" si="387"/>
        <v>#VALUE!</v>
      </c>
      <c r="DD220" s="1443" t="e">
        <f t="shared" si="388"/>
        <v>#VALUE!</v>
      </c>
      <c r="DE220" s="1443">
        <f t="shared" si="389"/>
        <v>1</v>
      </c>
      <c r="DF220" s="1443">
        <f t="shared" si="390"/>
        <v>1</v>
      </c>
      <c r="DG220" s="1443">
        <f t="shared" si="391"/>
        <v>1</v>
      </c>
      <c r="DH220" s="1443">
        <f t="shared" si="392"/>
        <v>1</v>
      </c>
      <c r="DI220" s="1443">
        <f t="shared" si="393"/>
        <v>1</v>
      </c>
      <c r="DJ220" s="1443">
        <f t="shared" si="394"/>
        <v>1</v>
      </c>
      <c r="DK220" s="1443">
        <f t="shared" si="395"/>
        <v>1</v>
      </c>
      <c r="DL220" s="1443">
        <f t="shared" si="396"/>
        <v>1</v>
      </c>
      <c r="DM220" s="1443">
        <f t="shared" si="397"/>
        <v>1</v>
      </c>
      <c r="DN220" s="1443">
        <f t="shared" si="398"/>
        <v>1</v>
      </c>
      <c r="DO220" s="1443">
        <f t="shared" si="399"/>
        <v>1</v>
      </c>
      <c r="DP220" s="1443">
        <f t="shared" si="400"/>
        <v>1</v>
      </c>
      <c r="DQ220" s="1443">
        <f t="shared" si="401"/>
        <v>1</v>
      </c>
      <c r="DR220" s="1443">
        <f t="shared" si="402"/>
        <v>1</v>
      </c>
      <c r="DS220" s="1443">
        <f t="shared" si="403"/>
        <v>1</v>
      </c>
      <c r="DT220" s="1443">
        <f t="shared" si="404"/>
        <v>1</v>
      </c>
      <c r="DU220" s="1443">
        <f t="shared" si="405"/>
        <v>1</v>
      </c>
      <c r="DV220" s="1443">
        <f t="shared" si="406"/>
        <v>1</v>
      </c>
      <c r="DW220" s="1443">
        <f t="shared" si="407"/>
        <v>1</v>
      </c>
      <c r="EA220" s="1443">
        <v>0</v>
      </c>
    </row>
    <row r="221" spans="1:131" ht="31.95" customHeight="1" x14ac:dyDescent="0.3">
      <c r="B221" s="677" t="s">
        <v>2352</v>
      </c>
      <c r="Q221" s="1192"/>
      <c r="AQ221" s="1192"/>
      <c r="AS221" s="1191"/>
      <c r="AT221" s="1191"/>
      <c r="AU221" s="1191"/>
      <c r="AV221" s="1191"/>
      <c r="AW221" s="1191"/>
      <c r="AX221" s="1191"/>
      <c r="AY221" s="1191"/>
      <c r="AZ221" s="1191"/>
      <c r="BA221" s="1191"/>
      <c r="BB221" s="1191"/>
      <c r="BC221" s="1191"/>
      <c r="BD221" s="1191"/>
      <c r="BE221" s="1191"/>
      <c r="BF221" s="1191"/>
      <c r="BG221" s="1191"/>
      <c r="BH221" s="1191"/>
    </row>
    <row r="222" spans="1:131" ht="25.2" customHeight="1" x14ac:dyDescent="0.3">
      <c r="B222" s="10024" t="s">
        <v>1807</v>
      </c>
      <c r="C222" s="10027" t="s">
        <v>24</v>
      </c>
      <c r="D222" s="10027"/>
      <c r="E222" s="10027" t="s">
        <v>540</v>
      </c>
      <c r="F222" s="10027"/>
      <c r="G222" s="10027"/>
      <c r="H222" s="10027"/>
      <c r="I222" s="10027"/>
      <c r="J222" s="10027"/>
      <c r="K222" s="10027"/>
      <c r="L222" s="10027"/>
      <c r="M222" s="10027"/>
      <c r="N222" s="10027"/>
      <c r="O222" s="10027"/>
      <c r="P222" s="10027"/>
      <c r="Q222" s="10027"/>
      <c r="R222" s="10027"/>
      <c r="S222" s="10027"/>
      <c r="T222" s="10027"/>
      <c r="U222" s="10027"/>
      <c r="V222" s="10027"/>
      <c r="W222" s="10027"/>
      <c r="X222" s="10027"/>
      <c r="Y222" s="10027"/>
      <c r="Z222" s="10027"/>
      <c r="AA222" s="10027"/>
      <c r="AB222" s="10027"/>
      <c r="AC222" s="10027"/>
      <c r="AD222" s="10027"/>
      <c r="AE222" s="10027"/>
      <c r="AF222" s="10027"/>
      <c r="AG222" s="10027"/>
      <c r="AH222" s="10027"/>
      <c r="AI222" s="10027"/>
      <c r="AJ222" s="10027"/>
      <c r="AK222" s="10027"/>
      <c r="AL222" s="10028"/>
      <c r="AM222" s="10031" t="s">
        <v>1782</v>
      </c>
      <c r="AN222" s="10032"/>
      <c r="AO222" s="9970" t="s">
        <v>713</v>
      </c>
      <c r="AP222" s="8650"/>
      <c r="AQ222" s="10030" t="s">
        <v>362</v>
      </c>
      <c r="AR222" s="10030" t="s">
        <v>361</v>
      </c>
      <c r="AS222" s="1191"/>
      <c r="AT222" s="1191"/>
      <c r="AU222" s="1191"/>
      <c r="AV222" s="1191"/>
      <c r="AW222" s="1191"/>
      <c r="AX222" s="1191"/>
      <c r="AY222" s="1191"/>
      <c r="AZ222" s="1191"/>
      <c r="BA222" s="1191"/>
      <c r="BB222" s="1191"/>
      <c r="BC222" s="1191"/>
      <c r="BD222" s="1191"/>
      <c r="BE222" s="1191"/>
      <c r="BF222" s="1191"/>
      <c r="BG222" s="1191"/>
      <c r="BH222" s="1191"/>
    </row>
    <row r="223" spans="1:131" ht="16.2" customHeight="1" x14ac:dyDescent="0.3">
      <c r="B223" s="10025"/>
      <c r="C223" s="10027"/>
      <c r="D223" s="10027"/>
      <c r="E223" s="10027" t="s">
        <v>1416</v>
      </c>
      <c r="F223" s="10027"/>
      <c r="G223" s="10027" t="s">
        <v>1415</v>
      </c>
      <c r="H223" s="10027"/>
      <c r="I223" s="10027" t="s">
        <v>32</v>
      </c>
      <c r="J223" s="10027"/>
      <c r="K223" s="10027" t="s">
        <v>33</v>
      </c>
      <c r="L223" s="10027"/>
      <c r="M223" s="10027" t="s">
        <v>40</v>
      </c>
      <c r="N223" s="10027"/>
      <c r="O223" s="10027" t="s">
        <v>115</v>
      </c>
      <c r="P223" s="10027"/>
      <c r="Q223" s="10027" t="s">
        <v>116</v>
      </c>
      <c r="R223" s="10027"/>
      <c r="S223" s="10027" t="s">
        <v>117</v>
      </c>
      <c r="T223" s="10027"/>
      <c r="U223" s="10027" t="s">
        <v>118</v>
      </c>
      <c r="V223" s="10027"/>
      <c r="W223" s="10027" t="s">
        <v>119</v>
      </c>
      <c r="X223" s="10027"/>
      <c r="Y223" s="10027" t="s">
        <v>120</v>
      </c>
      <c r="Z223" s="10027"/>
      <c r="AA223" s="10027" t="s">
        <v>1414</v>
      </c>
      <c r="AB223" s="10027"/>
      <c r="AC223" s="10027" t="s">
        <v>1406</v>
      </c>
      <c r="AD223" s="10027"/>
      <c r="AE223" s="10027" t="s">
        <v>1397</v>
      </c>
      <c r="AF223" s="10027"/>
      <c r="AG223" s="10027" t="s">
        <v>1396</v>
      </c>
      <c r="AH223" s="10027"/>
      <c r="AI223" s="10027" t="s">
        <v>1395</v>
      </c>
      <c r="AJ223" s="10027"/>
      <c r="AK223" s="10027" t="s">
        <v>1405</v>
      </c>
      <c r="AL223" s="10028"/>
      <c r="AM223" s="10034" t="s">
        <v>17</v>
      </c>
      <c r="AN223" s="10036" t="s">
        <v>18</v>
      </c>
      <c r="AO223" s="9979" t="s">
        <v>358</v>
      </c>
      <c r="AP223" s="8581" t="s">
        <v>359</v>
      </c>
      <c r="AQ223" s="10030"/>
      <c r="AR223" s="10030"/>
      <c r="AS223" s="1191"/>
      <c r="AT223" s="1191"/>
      <c r="AU223" s="1191"/>
      <c r="AV223" s="1191"/>
      <c r="AW223" s="1191"/>
      <c r="AX223" s="1191"/>
      <c r="AY223" s="1191"/>
      <c r="AZ223" s="1191"/>
      <c r="BA223" s="1191"/>
      <c r="BB223" s="1191"/>
      <c r="BC223" s="1191"/>
      <c r="BD223" s="1191"/>
      <c r="BE223" s="1191"/>
      <c r="BF223" s="1191"/>
      <c r="BG223" s="1191"/>
      <c r="BH223" s="1191"/>
    </row>
    <row r="224" spans="1:131" ht="16.2" customHeight="1" x14ac:dyDescent="0.3">
      <c r="B224" s="10026"/>
      <c r="C224" s="1194" t="s">
        <v>1783</v>
      </c>
      <c r="D224" s="2153" t="s">
        <v>1784</v>
      </c>
      <c r="E224" s="1195" t="s">
        <v>1783</v>
      </c>
      <c r="F224" s="2151" t="s">
        <v>1784</v>
      </c>
      <c r="G224" s="1195" t="s">
        <v>1783</v>
      </c>
      <c r="H224" s="2151" t="s">
        <v>1784</v>
      </c>
      <c r="I224" s="1195" t="s">
        <v>1783</v>
      </c>
      <c r="J224" s="2151" t="s">
        <v>1784</v>
      </c>
      <c r="K224" s="1195" t="s">
        <v>1783</v>
      </c>
      <c r="L224" s="2151" t="s">
        <v>1784</v>
      </c>
      <c r="M224" s="1195" t="s">
        <v>1783</v>
      </c>
      <c r="N224" s="2151" t="s">
        <v>1784</v>
      </c>
      <c r="O224" s="1195" t="s">
        <v>1783</v>
      </c>
      <c r="P224" s="2151" t="s">
        <v>1784</v>
      </c>
      <c r="Q224" s="1195" t="s">
        <v>1783</v>
      </c>
      <c r="R224" s="2151" t="s">
        <v>1784</v>
      </c>
      <c r="S224" s="1195" t="s">
        <v>1783</v>
      </c>
      <c r="T224" s="2151" t="s">
        <v>1784</v>
      </c>
      <c r="U224" s="1195" t="s">
        <v>1783</v>
      </c>
      <c r="V224" s="2151" t="s">
        <v>1784</v>
      </c>
      <c r="W224" s="1195" t="s">
        <v>1783</v>
      </c>
      <c r="X224" s="2151" t="s">
        <v>1784</v>
      </c>
      <c r="Y224" s="1195" t="s">
        <v>1783</v>
      </c>
      <c r="Z224" s="2151" t="s">
        <v>1784</v>
      </c>
      <c r="AA224" s="1195" t="s">
        <v>1783</v>
      </c>
      <c r="AB224" s="2151" t="s">
        <v>1784</v>
      </c>
      <c r="AC224" s="1195" t="s">
        <v>1783</v>
      </c>
      <c r="AD224" s="2151" t="s">
        <v>1784</v>
      </c>
      <c r="AE224" s="1195" t="s">
        <v>1783</v>
      </c>
      <c r="AF224" s="2151" t="s">
        <v>1784</v>
      </c>
      <c r="AG224" s="1195" t="s">
        <v>1783</v>
      </c>
      <c r="AH224" s="2151" t="s">
        <v>1784</v>
      </c>
      <c r="AI224" s="1195" t="s">
        <v>1783</v>
      </c>
      <c r="AJ224" s="2151" t="s">
        <v>1784</v>
      </c>
      <c r="AK224" s="1195" t="s">
        <v>1783</v>
      </c>
      <c r="AL224" s="2152" t="s">
        <v>1784</v>
      </c>
      <c r="AM224" s="10035"/>
      <c r="AN224" s="10037"/>
      <c r="AO224" s="9980"/>
      <c r="AP224" s="8582"/>
      <c r="AQ224" s="10030"/>
      <c r="AR224" s="10030"/>
      <c r="AS224" s="1191"/>
      <c r="AT224" s="1191"/>
      <c r="AU224" s="1191"/>
      <c r="AV224" s="1191"/>
      <c r="AW224" s="1191"/>
      <c r="AX224" s="1191"/>
      <c r="AY224" s="1191"/>
      <c r="AZ224" s="1191"/>
      <c r="BA224" s="1191"/>
      <c r="BB224" s="1191"/>
      <c r="BC224" s="1191"/>
      <c r="BD224" s="1191"/>
      <c r="BE224" s="1191"/>
      <c r="BF224" s="1191"/>
      <c r="BG224" s="1191"/>
      <c r="BH224" s="1191"/>
    </row>
    <row r="225" spans="1:131" ht="16.2" customHeight="1" x14ac:dyDescent="0.3">
      <c r="A225" s="7258">
        <v>11056479</v>
      </c>
      <c r="B225" s="2148" t="s">
        <v>85</v>
      </c>
      <c r="C225" s="1996" t="s">
        <v>5369</v>
      </c>
      <c r="D225" s="1997" t="s">
        <v>5370</v>
      </c>
      <c r="E225" s="1137" t="s">
        <v>5371</v>
      </c>
      <c r="F225" s="1141" t="s">
        <v>5372</v>
      </c>
      <c r="G225" s="1140" t="s">
        <v>5373</v>
      </c>
      <c r="H225" s="1141" t="s">
        <v>5374</v>
      </c>
      <c r="I225" s="1114" t="s">
        <v>5375</v>
      </c>
      <c r="J225" s="1135" t="s">
        <v>5376</v>
      </c>
      <c r="K225" s="1114" t="s">
        <v>5377</v>
      </c>
      <c r="L225" s="1135" t="s">
        <v>5378</v>
      </c>
      <c r="M225" s="1114" t="s">
        <v>5379</v>
      </c>
      <c r="N225" s="1135" t="s">
        <v>5380</v>
      </c>
      <c r="O225" s="1114" t="s">
        <v>5381</v>
      </c>
      <c r="P225" s="1135" t="s">
        <v>5382</v>
      </c>
      <c r="Q225" s="1114" t="s">
        <v>5383</v>
      </c>
      <c r="R225" s="1135" t="s">
        <v>5384</v>
      </c>
      <c r="S225" s="1114" t="s">
        <v>5385</v>
      </c>
      <c r="T225" s="1135" t="s">
        <v>5386</v>
      </c>
      <c r="U225" s="1114" t="s">
        <v>5387</v>
      </c>
      <c r="V225" s="1135" t="s">
        <v>5388</v>
      </c>
      <c r="W225" s="1114" t="s">
        <v>5389</v>
      </c>
      <c r="X225" s="1135" t="s">
        <v>5390</v>
      </c>
      <c r="Y225" s="1114" t="s">
        <v>5391</v>
      </c>
      <c r="Z225" s="1135" t="s">
        <v>5392</v>
      </c>
      <c r="AA225" s="1140" t="s">
        <v>5393</v>
      </c>
      <c r="AB225" s="1141" t="s">
        <v>5394</v>
      </c>
      <c r="AC225" s="1140" t="s">
        <v>5395</v>
      </c>
      <c r="AD225" s="1141" t="s">
        <v>5396</v>
      </c>
      <c r="AE225" s="1140" t="s">
        <v>5397</v>
      </c>
      <c r="AF225" s="1141" t="s">
        <v>5398</v>
      </c>
      <c r="AG225" s="1140" t="s">
        <v>5399</v>
      </c>
      <c r="AH225" s="1141" t="s">
        <v>5400</v>
      </c>
      <c r="AI225" s="1140" t="s">
        <v>5401</v>
      </c>
      <c r="AJ225" s="1141" t="s">
        <v>5402</v>
      </c>
      <c r="AK225" s="1140" t="s">
        <v>5403</v>
      </c>
      <c r="AL225" s="1142" t="s">
        <v>5404</v>
      </c>
      <c r="AM225" s="1137" t="s">
        <v>5405</v>
      </c>
      <c r="AN225" s="700" t="s">
        <v>5406</v>
      </c>
      <c r="AO225" s="1187" t="s">
        <v>5407</v>
      </c>
      <c r="AP225" s="1115" t="s">
        <v>5408</v>
      </c>
      <c r="AQ225" s="1114" t="s">
        <v>5409</v>
      </c>
      <c r="AR225" s="1196" t="s">
        <v>5410</v>
      </c>
      <c r="AS225" s="1470"/>
      <c r="AT225" s="1197"/>
      <c r="AU225" s="1197"/>
      <c r="AV225" s="1197"/>
      <c r="AW225" s="1197"/>
      <c r="AX225" s="1197"/>
      <c r="AY225" s="1197"/>
      <c r="AZ225" s="1197"/>
      <c r="BA225" s="1197"/>
      <c r="BB225" s="1197"/>
      <c r="BC225" s="1197"/>
      <c r="BD225" s="1197"/>
      <c r="BE225" s="1191"/>
      <c r="BF225" s="1191"/>
      <c r="BG225" s="1191"/>
      <c r="BH225" s="1191"/>
      <c r="CB225" s="2194" t="str">
        <f t="shared" ref="CB225:CB231" si="408">IF(C225&lt;   D225,"* El total de Reactivos NO DEBE ser superior al total de Procesados. ","")</f>
        <v xml:space="preserve">* El total de Reactivos NO DEBE ser superior al total de Procesados. </v>
      </c>
      <c r="CC225" s="2194" t="e">
        <f t="shared" ref="CC225:CC231" si="409">IF(C225&lt;&gt; AM225+ AN225,"* La suma de las columnas Sexo DEBE SER IGUAL a los Procesados. ","")</f>
        <v>#VALUE!</v>
      </c>
      <c r="CD225" s="2194" t="e">
        <f t="shared" ref="CD225:CD231" si="410">IF(C225&lt;  AO225+ AP225,"* La suma de las columna Trans NO DEBE ser superior al total de Procesados. ","")</f>
        <v>#VALUE!</v>
      </c>
      <c r="CE225" s="2194" t="str">
        <f t="shared" ref="CE225:CE231" si="411">IF(C225&lt;  AQ225,"* La columna Pueblos Originarios NO DEBE ser superior al total de Procesados. ","")</f>
        <v xml:space="preserve">* La columna Pueblos Originarios NO DEBE ser superior al total de Procesados. </v>
      </c>
      <c r="CF225" s="2194" t="str">
        <f t="shared" ref="CF225:CF231" si="412">IF(C225&lt;  AR225,"* La columna Migrantes NO DEBE ser superior al total de Procesados. ","")</f>
        <v xml:space="preserve">* La columna Migrantes NO DEBE ser superior al total de Procesados. </v>
      </c>
      <c r="CG225" s="2194" t="str">
        <f t="shared" ref="CG225:CG231" si="413">IF(E225&lt;F225,"*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5" s="2194" t="str">
        <f t="shared" ref="CH225:CH231" si="414">IF(G225&lt;H225,"*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5" s="2194" t="str">
        <f t="shared" ref="CI225:CI231" si="415">IF(I225&lt;J225,"*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5" s="2194" t="str">
        <f t="shared" ref="CJ225:CJ231" si="416">IF(K225&lt;L225,"*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5" s="2194" t="str">
        <f t="shared" ref="CK225:CK231" si="417">IF(M225&lt;N225,"*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5" s="2194" t="str">
        <f t="shared" ref="CL225:CL231" si="418">IF(O225&lt;P225,"*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5" s="2194" t="str">
        <f t="shared" ref="CM225:CM231" si="419">IF(Q225&lt;R225,"*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5" s="2194" t="str">
        <f t="shared" ref="CN225:CN231" si="420">IF(S225&lt;T225,"*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5" s="2194" t="str">
        <f t="shared" ref="CO225:CO231" si="421">IF(U225&lt;V225,"*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5" s="2194" t="str">
        <f t="shared" ref="CP225:CP231" si="422">IF(W225&lt;X225,"*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5" s="2194" t="str">
        <f t="shared" ref="CQ225:CQ231" si="423">IF(Y225&lt;Z225,"*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5" s="2194" t="str">
        <f t="shared" ref="CR225:CR231" si="424">IF(AA225&lt;AB225,"*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5" s="2194" t="str">
        <f t="shared" ref="CS225:CS231" si="425">IF(AC225&lt;AD225,"*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5" s="2194" t="str">
        <f t="shared" ref="CT225:CT231" si="426">IF(AE225&lt;AF225,"*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5" s="2194" t="str">
        <f t="shared" ref="CU225:CU231" si="427">IF(AG225&lt;AH225,"*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5" s="2194" t="str">
        <f t="shared" ref="CV225:CV231" si="428">IF(AI225&lt;AJ225,"*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5" s="2194" t="str">
        <f t="shared" ref="CW225:CW231" si="429">IF(AK225&lt;AL225,"*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G225" s="1443">
        <f t="shared" ref="DG225:DG231" si="430">IF(E225&lt;F225,1,0)</f>
        <v>1</v>
      </c>
      <c r="DH225" s="1443">
        <f t="shared" ref="DH225:DH231" si="431">IF(G225&lt;H225,1,0)</f>
        <v>1</v>
      </c>
      <c r="DI225" s="1443">
        <f t="shared" ref="DI225:DI231" si="432">IF(I225&lt;J225,1,0)</f>
        <v>1</v>
      </c>
      <c r="DJ225" s="1443">
        <f t="shared" ref="DJ225:DJ231" si="433">IF(K225&lt;L225,1,0)</f>
        <v>1</v>
      </c>
      <c r="DK225" s="1443">
        <f t="shared" ref="DK225:DK231" si="434">IF(M225&lt;N225,1,0)</f>
        <v>1</v>
      </c>
      <c r="DL225" s="1443">
        <f t="shared" ref="DL225:DL231" si="435">IF(O225&lt;P225,1,0)</f>
        <v>1</v>
      </c>
      <c r="DM225" s="1443">
        <f t="shared" ref="DM225:DM231" si="436">IF(Q225&lt;R225,1,0)</f>
        <v>1</v>
      </c>
      <c r="DN225" s="1443">
        <f t="shared" ref="DN225:DN231" si="437">IF(S225&lt;T225,1,0)</f>
        <v>1</v>
      </c>
      <c r="DO225" s="1443">
        <f t="shared" ref="DO225:DO231" si="438">IF(U225&lt;V225,1,0)</f>
        <v>1</v>
      </c>
      <c r="DP225" s="1443">
        <f t="shared" ref="DP225:DP231" si="439">IF(W225&lt;X225,1,0)</f>
        <v>1</v>
      </c>
      <c r="DQ225" s="1443">
        <f t="shared" ref="DQ225:DQ231" si="440">IF(Y225&lt;Z225,1,0)</f>
        <v>1</v>
      </c>
      <c r="DR225" s="1443">
        <f t="shared" ref="DR225:DR231" si="441">IF(AA225&lt;AB225,1,0)</f>
        <v>1</v>
      </c>
      <c r="DS225" s="1443">
        <f t="shared" ref="DS225:DS231" si="442">IF(AC225&lt;AD225,1,0)</f>
        <v>1</v>
      </c>
      <c r="DT225" s="1443">
        <f t="shared" ref="DT225:DT231" si="443">IF(AE225&lt;AF225,1,0)</f>
        <v>1</v>
      </c>
      <c r="DU225" s="1443">
        <f t="shared" ref="DU225:DU231" si="444">IF(AG225&lt;AH225,1,0)</f>
        <v>1</v>
      </c>
      <c r="DV225" s="1443">
        <f t="shared" ref="DV225:DV231" si="445">IF(AI225&lt;AJ225,1,0)</f>
        <v>1</v>
      </c>
      <c r="DW225" s="1443">
        <f t="shared" ref="DW225:DW231" si="446">IF(AK225&lt;AL225,1,0)</f>
        <v>1</v>
      </c>
      <c r="EA225" s="1443">
        <v>0</v>
      </c>
    </row>
    <row r="226" spans="1:131" ht="16.2" customHeight="1" x14ac:dyDescent="0.3">
      <c r="A226" s="7258">
        <v>11056480</v>
      </c>
      <c r="B226" s="2148" t="s">
        <v>1842</v>
      </c>
      <c r="C226" s="1998" t="s">
        <v>5369</v>
      </c>
      <c r="D226" s="1999" t="s">
        <v>5370</v>
      </c>
      <c r="E226" s="1137" t="s">
        <v>5371</v>
      </c>
      <c r="F226" s="1141" t="s">
        <v>5372</v>
      </c>
      <c r="G226" s="1140" t="s">
        <v>5373</v>
      </c>
      <c r="H226" s="1141" t="s">
        <v>5374</v>
      </c>
      <c r="I226" s="1140" t="s">
        <v>5375</v>
      </c>
      <c r="J226" s="1141" t="s">
        <v>5376</v>
      </c>
      <c r="K226" s="1114" t="s">
        <v>5377</v>
      </c>
      <c r="L226" s="1135" t="s">
        <v>5378</v>
      </c>
      <c r="M226" s="1114" t="s">
        <v>5379</v>
      </c>
      <c r="N226" s="1135" t="s">
        <v>5380</v>
      </c>
      <c r="O226" s="1114" t="s">
        <v>5381</v>
      </c>
      <c r="P226" s="1135" t="s">
        <v>5382</v>
      </c>
      <c r="Q226" s="1114" t="s">
        <v>5383</v>
      </c>
      <c r="R226" s="1135" t="s">
        <v>5384</v>
      </c>
      <c r="S226" s="1114" t="s">
        <v>5385</v>
      </c>
      <c r="T226" s="1135" t="s">
        <v>5386</v>
      </c>
      <c r="U226" s="1114" t="s">
        <v>5387</v>
      </c>
      <c r="V226" s="1135" t="s">
        <v>5388</v>
      </c>
      <c r="W226" s="1114" t="s">
        <v>5389</v>
      </c>
      <c r="X226" s="1135" t="s">
        <v>5390</v>
      </c>
      <c r="Y226" s="1114" t="s">
        <v>5391</v>
      </c>
      <c r="Z226" s="1135" t="s">
        <v>5392</v>
      </c>
      <c r="AA226" s="1114" t="s">
        <v>5393</v>
      </c>
      <c r="AB226" s="1135" t="s">
        <v>5394</v>
      </c>
      <c r="AC226" s="1114" t="s">
        <v>5395</v>
      </c>
      <c r="AD226" s="1135" t="s">
        <v>5396</v>
      </c>
      <c r="AE226" s="1114" t="s">
        <v>5397</v>
      </c>
      <c r="AF226" s="1135" t="s">
        <v>5398</v>
      </c>
      <c r="AG226" s="1114" t="s">
        <v>5399</v>
      </c>
      <c r="AH226" s="1135" t="s">
        <v>5400</v>
      </c>
      <c r="AI226" s="1114" t="s">
        <v>5401</v>
      </c>
      <c r="AJ226" s="1135" t="s">
        <v>5402</v>
      </c>
      <c r="AK226" s="1114" t="s">
        <v>5403</v>
      </c>
      <c r="AL226" s="1136" t="s">
        <v>5404</v>
      </c>
      <c r="AM226" s="1134" t="s">
        <v>5405</v>
      </c>
      <c r="AN226" s="1136" t="s">
        <v>5406</v>
      </c>
      <c r="AO226" s="1134" t="s">
        <v>5407</v>
      </c>
      <c r="AP226" s="1115" t="s">
        <v>5408</v>
      </c>
      <c r="AQ226" s="1114" t="s">
        <v>5409</v>
      </c>
      <c r="AR226" s="1196" t="s">
        <v>5410</v>
      </c>
      <c r="AS226" s="1470"/>
      <c r="AT226" s="1197"/>
      <c r="AU226" s="1197"/>
      <c r="AV226" s="1197"/>
      <c r="AW226" s="1197"/>
      <c r="AX226" s="1197"/>
      <c r="AY226" s="1197"/>
      <c r="AZ226" s="1197"/>
      <c r="BA226" s="1197"/>
      <c r="BB226" s="1197"/>
      <c r="BC226" s="1197"/>
      <c r="BD226" s="1197"/>
      <c r="BE226" s="1191"/>
      <c r="BF226" s="1191"/>
      <c r="BG226" s="1191"/>
      <c r="BH226" s="1191"/>
      <c r="CB226" s="2194" t="str">
        <f t="shared" si="408"/>
        <v xml:space="preserve">* El total de Reactivos NO DEBE ser superior al total de Procesados. </v>
      </c>
      <c r="CC226" s="2194" t="e">
        <f t="shared" si="409"/>
        <v>#VALUE!</v>
      </c>
      <c r="CD226" s="2194" t="e">
        <f t="shared" si="410"/>
        <v>#VALUE!</v>
      </c>
      <c r="CE226" s="2194" t="str">
        <f t="shared" si="411"/>
        <v xml:space="preserve">* La columna Pueblos Originarios NO DEBE ser superior al total de Procesados. </v>
      </c>
      <c r="CF226" s="2194" t="str">
        <f t="shared" si="412"/>
        <v xml:space="preserve">* La columna Migrantes NO DEBE ser superior al total de Procesados. </v>
      </c>
      <c r="CG226" s="2194" t="str">
        <f t="shared" si="413"/>
        <v xml:space="preserve">* Los exámenes Reactivos de 0 a 4 años años NO DEBEN ser mayor a los Exámenes Procesados de la misma edad. </v>
      </c>
      <c r="CH226" s="2194" t="str">
        <f t="shared" si="414"/>
        <v xml:space="preserve">* Los exámenes Reactivos de 5 a 9 años años NO DEBEN ser mayor a los Exámenes Procesados de la misma edad. </v>
      </c>
      <c r="CI226" s="2194" t="str">
        <f t="shared" si="415"/>
        <v xml:space="preserve">* Los exámenes Reactivos de 10 a 14 años años NO DEBEN ser mayor a los Exámenes Procesados de la misma edad. </v>
      </c>
      <c r="CJ226" s="2194" t="str">
        <f t="shared" si="416"/>
        <v xml:space="preserve">* Los exámenes Reactivos de 15 a 19 años años NO DEBEN ser mayor a los Exámenes Procesados de la misma edad. </v>
      </c>
      <c r="CK226" s="2194" t="str">
        <f t="shared" si="417"/>
        <v xml:space="preserve">* Los exámenes Reactivos de 20 a 24 años años NO DEBEN ser mayor a los Exámenes Procesados de la misma edad. </v>
      </c>
      <c r="CL226" s="2194" t="str">
        <f t="shared" si="418"/>
        <v xml:space="preserve">* Los exámenes Reactivos de 25 a 29 años años NO DEBEN ser mayor a los Exámenes Procesados de la misma edad. </v>
      </c>
      <c r="CM226" s="2194" t="str">
        <f t="shared" si="419"/>
        <v xml:space="preserve">* Los exámenes Reactivos de 30 a 34 años años NO DEBEN ser mayor a los Exámenes Procesados de la misma edad. </v>
      </c>
      <c r="CN226" s="2194" t="str">
        <f t="shared" si="420"/>
        <v xml:space="preserve">* Los exámenes Reactivos de 35 a 39 años años NO DEBEN ser mayor a los Exámenes Procesados de la misma edad. </v>
      </c>
      <c r="CO226" s="2194" t="str">
        <f t="shared" si="421"/>
        <v xml:space="preserve">* Los exámenes Reactivos de 40 a 44 años años NO DEBEN ser mayor a los Exámenes Procesados de la misma edad. </v>
      </c>
      <c r="CP226" s="2194" t="str">
        <f t="shared" si="422"/>
        <v xml:space="preserve">* Los exámenes Reactivos de 45 a 49 años años NO DEBEN ser mayor a los Exámenes Procesados de la misma edad. </v>
      </c>
      <c r="CQ226" s="2194" t="str">
        <f t="shared" si="423"/>
        <v xml:space="preserve">* Los exámenes Reactivos de 50 a 54 años años NO DEBEN ser mayor a los Exámenes Procesados de la misma edad. </v>
      </c>
      <c r="CR226" s="2194" t="str">
        <f t="shared" si="424"/>
        <v xml:space="preserve">* Los exámenes Reactivos de 55 a 59 años años NO DEBEN ser mayor a los Exámenes Procesados de la misma edad. </v>
      </c>
      <c r="CS226" s="2194" t="str">
        <f t="shared" si="425"/>
        <v xml:space="preserve">* Los exámenes Reactivos de 60 a 64 años años NO DEBEN ser mayor a los Exámenes Procesados de la misma edad. </v>
      </c>
      <c r="CT226" s="2194" t="str">
        <f t="shared" si="426"/>
        <v xml:space="preserve">* Los exámenes Reactivos de 65 a 69 años años NO DEBEN ser mayor a los Exámenes Procesados de la misma edad. </v>
      </c>
      <c r="CU226" s="2194" t="str">
        <f t="shared" si="427"/>
        <v xml:space="preserve">* Los exámenes Reactivos de 70 a 74 años años NO DEBEN ser mayor a los Exámenes Procesados de la misma edad. </v>
      </c>
      <c r="CV226" s="2194" t="str">
        <f t="shared" si="428"/>
        <v xml:space="preserve">* Los exámenes Reactivos de 75 a 79 años años NO DEBEN ser mayor a los Exámenes Procesados de la misma edad. </v>
      </c>
      <c r="CW226" s="2194" t="str">
        <f t="shared" si="429"/>
        <v xml:space="preserve">* Los exámenes Reactivos de 80 y más años años NO DEBEN ser mayor a los Exámenes Procesados de la misma edad. </v>
      </c>
      <c r="DG226" s="1443">
        <f t="shared" si="430"/>
        <v>1</v>
      </c>
      <c r="DH226" s="1443">
        <f t="shared" si="431"/>
        <v>1</v>
      </c>
      <c r="DI226" s="1443">
        <f t="shared" si="432"/>
        <v>1</v>
      </c>
      <c r="DJ226" s="1443">
        <f t="shared" si="433"/>
        <v>1</v>
      </c>
      <c r="DK226" s="1443">
        <f t="shared" si="434"/>
        <v>1</v>
      </c>
      <c r="DL226" s="1443">
        <f t="shared" si="435"/>
        <v>1</v>
      </c>
      <c r="DM226" s="1443">
        <f t="shared" si="436"/>
        <v>1</v>
      </c>
      <c r="DN226" s="1443">
        <f t="shared" si="437"/>
        <v>1</v>
      </c>
      <c r="DO226" s="1443">
        <f t="shared" si="438"/>
        <v>1</v>
      </c>
      <c r="DP226" s="1443">
        <f t="shared" si="439"/>
        <v>1</v>
      </c>
      <c r="DQ226" s="1443">
        <f t="shared" si="440"/>
        <v>1</v>
      </c>
      <c r="DR226" s="1443">
        <f t="shared" si="441"/>
        <v>1</v>
      </c>
      <c r="DS226" s="1443">
        <f t="shared" si="442"/>
        <v>1</v>
      </c>
      <c r="DT226" s="1443">
        <f t="shared" si="443"/>
        <v>1</v>
      </c>
      <c r="DU226" s="1443">
        <f t="shared" si="444"/>
        <v>1</v>
      </c>
      <c r="DV226" s="1443">
        <f t="shared" si="445"/>
        <v>1</v>
      </c>
      <c r="DW226" s="1443">
        <f t="shared" si="446"/>
        <v>1</v>
      </c>
      <c r="EA226" s="1443">
        <v>0</v>
      </c>
    </row>
    <row r="227" spans="1:131" ht="16.2" customHeight="1" x14ac:dyDescent="0.3">
      <c r="A227" s="7258">
        <v>11056481</v>
      </c>
      <c r="B227" s="2148" t="s">
        <v>1843</v>
      </c>
      <c r="C227" s="1998" t="s">
        <v>5369</v>
      </c>
      <c r="D227" s="1999" t="s">
        <v>5370</v>
      </c>
      <c r="E227" s="1134" t="s">
        <v>5371</v>
      </c>
      <c r="F227" s="1135" t="s">
        <v>5372</v>
      </c>
      <c r="G227" s="1114" t="s">
        <v>5373</v>
      </c>
      <c r="H227" s="1135" t="s">
        <v>5374</v>
      </c>
      <c r="I227" s="1114" t="s">
        <v>5375</v>
      </c>
      <c r="J227" s="1135" t="s">
        <v>5376</v>
      </c>
      <c r="K227" s="1114" t="s">
        <v>5377</v>
      </c>
      <c r="L227" s="1135" t="s">
        <v>5378</v>
      </c>
      <c r="M227" s="1114" t="s">
        <v>5379</v>
      </c>
      <c r="N227" s="1135" t="s">
        <v>5380</v>
      </c>
      <c r="O227" s="1114" t="s">
        <v>5381</v>
      </c>
      <c r="P227" s="1135" t="s">
        <v>5382</v>
      </c>
      <c r="Q227" s="1114" t="s">
        <v>5383</v>
      </c>
      <c r="R227" s="1135" t="s">
        <v>5384</v>
      </c>
      <c r="S227" s="1114" t="s">
        <v>5385</v>
      </c>
      <c r="T227" s="1135" t="s">
        <v>5386</v>
      </c>
      <c r="U227" s="1114" t="s">
        <v>5387</v>
      </c>
      <c r="V227" s="1135" t="s">
        <v>5388</v>
      </c>
      <c r="W227" s="1114" t="s">
        <v>5389</v>
      </c>
      <c r="X227" s="1135" t="s">
        <v>5390</v>
      </c>
      <c r="Y227" s="1114" t="s">
        <v>5391</v>
      </c>
      <c r="Z227" s="1135" t="s">
        <v>5392</v>
      </c>
      <c r="AA227" s="1114" t="s">
        <v>5393</v>
      </c>
      <c r="AB227" s="1135" t="s">
        <v>5394</v>
      </c>
      <c r="AC227" s="1114" t="s">
        <v>5395</v>
      </c>
      <c r="AD227" s="1135" t="s">
        <v>5396</v>
      </c>
      <c r="AE227" s="1114" t="s">
        <v>5397</v>
      </c>
      <c r="AF227" s="1135" t="s">
        <v>5398</v>
      </c>
      <c r="AG227" s="1114" t="s">
        <v>5399</v>
      </c>
      <c r="AH227" s="1135" t="s">
        <v>5400</v>
      </c>
      <c r="AI227" s="1114" t="s">
        <v>5401</v>
      </c>
      <c r="AJ227" s="1135" t="s">
        <v>5402</v>
      </c>
      <c r="AK227" s="1114" t="s">
        <v>5403</v>
      </c>
      <c r="AL227" s="1136" t="s">
        <v>5404</v>
      </c>
      <c r="AM227" s="1134" t="s">
        <v>5405</v>
      </c>
      <c r="AN227" s="1136" t="s">
        <v>5406</v>
      </c>
      <c r="AO227" s="1134" t="s">
        <v>5407</v>
      </c>
      <c r="AP227" s="1115" t="s">
        <v>5408</v>
      </c>
      <c r="AQ227" s="1114" t="s">
        <v>5409</v>
      </c>
      <c r="AR227" s="1196" t="s">
        <v>5410</v>
      </c>
      <c r="AS227" s="1470"/>
      <c r="AT227" s="1197"/>
      <c r="AU227" s="1197"/>
      <c r="AV227" s="1197"/>
      <c r="AW227" s="1197"/>
      <c r="AX227" s="1197"/>
      <c r="AY227" s="1197"/>
      <c r="AZ227" s="1197"/>
      <c r="BA227" s="1197"/>
      <c r="BB227" s="1197"/>
      <c r="BC227" s="1197"/>
      <c r="BD227" s="1197"/>
      <c r="BE227" s="1191"/>
      <c r="BF227" s="1191"/>
      <c r="BG227" s="1191"/>
      <c r="BH227" s="1191"/>
      <c r="CB227" s="2194" t="str">
        <f t="shared" si="408"/>
        <v xml:space="preserve">* El total de Reactivos NO DEBE ser superior al total de Procesados. </v>
      </c>
      <c r="CC227" s="2194" t="e">
        <f t="shared" si="409"/>
        <v>#VALUE!</v>
      </c>
      <c r="CD227" s="2194" t="e">
        <f t="shared" si="410"/>
        <v>#VALUE!</v>
      </c>
      <c r="CE227" s="2194" t="str">
        <f t="shared" si="411"/>
        <v xml:space="preserve">* La columna Pueblos Originarios NO DEBE ser superior al total de Procesados. </v>
      </c>
      <c r="CF227" s="2194" t="str">
        <f t="shared" si="412"/>
        <v xml:space="preserve">* La columna Migrantes NO DEBE ser superior al total de Procesados. </v>
      </c>
      <c r="CG227" s="2194" t="str">
        <f t="shared" si="413"/>
        <v xml:space="preserve">* Los exámenes Reactivos de 0 a 4 años años NO DEBEN ser mayor a los Exámenes Procesados de la misma edad. </v>
      </c>
      <c r="CH227" s="2194" t="str">
        <f t="shared" si="414"/>
        <v xml:space="preserve">* Los exámenes Reactivos de 5 a 9 años años NO DEBEN ser mayor a los Exámenes Procesados de la misma edad. </v>
      </c>
      <c r="CI227" s="2194" t="str">
        <f t="shared" si="415"/>
        <v xml:space="preserve">* Los exámenes Reactivos de 10 a 14 años años NO DEBEN ser mayor a los Exámenes Procesados de la misma edad. </v>
      </c>
      <c r="CJ227" s="2194" t="str">
        <f t="shared" si="416"/>
        <v xml:space="preserve">* Los exámenes Reactivos de 15 a 19 años años NO DEBEN ser mayor a los Exámenes Procesados de la misma edad. </v>
      </c>
      <c r="CK227" s="2194" t="str">
        <f t="shared" si="417"/>
        <v xml:space="preserve">* Los exámenes Reactivos de 20 a 24 años años NO DEBEN ser mayor a los Exámenes Procesados de la misma edad. </v>
      </c>
      <c r="CL227" s="2194" t="str">
        <f t="shared" si="418"/>
        <v xml:space="preserve">* Los exámenes Reactivos de 25 a 29 años años NO DEBEN ser mayor a los Exámenes Procesados de la misma edad. </v>
      </c>
      <c r="CM227" s="2194" t="str">
        <f t="shared" si="419"/>
        <v xml:space="preserve">* Los exámenes Reactivos de 30 a 34 años años NO DEBEN ser mayor a los Exámenes Procesados de la misma edad. </v>
      </c>
      <c r="CN227" s="2194" t="str">
        <f t="shared" si="420"/>
        <v xml:space="preserve">* Los exámenes Reactivos de 35 a 39 años años NO DEBEN ser mayor a los Exámenes Procesados de la misma edad. </v>
      </c>
      <c r="CO227" s="2194" t="str">
        <f t="shared" si="421"/>
        <v xml:space="preserve">* Los exámenes Reactivos de 40 a 44 años años NO DEBEN ser mayor a los Exámenes Procesados de la misma edad. </v>
      </c>
      <c r="CP227" s="2194" t="str">
        <f t="shared" si="422"/>
        <v xml:space="preserve">* Los exámenes Reactivos de 45 a 49 años años NO DEBEN ser mayor a los Exámenes Procesados de la misma edad. </v>
      </c>
      <c r="CQ227" s="2194" t="str">
        <f t="shared" si="423"/>
        <v xml:space="preserve">* Los exámenes Reactivos de 50 a 54 años años NO DEBEN ser mayor a los Exámenes Procesados de la misma edad. </v>
      </c>
      <c r="CR227" s="2194" t="str">
        <f t="shared" si="424"/>
        <v xml:space="preserve">* Los exámenes Reactivos de 55 a 59 años años NO DEBEN ser mayor a los Exámenes Procesados de la misma edad. </v>
      </c>
      <c r="CS227" s="2194" t="str">
        <f t="shared" si="425"/>
        <v xml:space="preserve">* Los exámenes Reactivos de 60 a 64 años años NO DEBEN ser mayor a los Exámenes Procesados de la misma edad. </v>
      </c>
      <c r="CT227" s="2194" t="str">
        <f t="shared" si="426"/>
        <v xml:space="preserve">* Los exámenes Reactivos de 65 a 69 años años NO DEBEN ser mayor a los Exámenes Procesados de la misma edad. </v>
      </c>
      <c r="CU227" s="2194" t="str">
        <f t="shared" si="427"/>
        <v xml:space="preserve">* Los exámenes Reactivos de 70 a 74 años años NO DEBEN ser mayor a los Exámenes Procesados de la misma edad. </v>
      </c>
      <c r="CV227" s="2194" t="str">
        <f t="shared" si="428"/>
        <v xml:space="preserve">* Los exámenes Reactivos de 75 a 79 años años NO DEBEN ser mayor a los Exámenes Procesados de la misma edad. </v>
      </c>
      <c r="CW227" s="2194" t="str">
        <f t="shared" si="429"/>
        <v xml:space="preserve">* Los exámenes Reactivos de 80 y más años años NO DEBEN ser mayor a los Exámenes Procesados de la misma edad. </v>
      </c>
      <c r="DG227" s="1443">
        <f t="shared" si="430"/>
        <v>1</v>
      </c>
      <c r="DH227" s="1443">
        <f t="shared" si="431"/>
        <v>1</v>
      </c>
      <c r="DI227" s="1443">
        <f t="shared" si="432"/>
        <v>1</v>
      </c>
      <c r="DJ227" s="1443">
        <f t="shared" si="433"/>
        <v>1</v>
      </c>
      <c r="DK227" s="1443">
        <f t="shared" si="434"/>
        <v>1</v>
      </c>
      <c r="DL227" s="1443">
        <f t="shared" si="435"/>
        <v>1</v>
      </c>
      <c r="DM227" s="1443">
        <f t="shared" si="436"/>
        <v>1</v>
      </c>
      <c r="DN227" s="1443">
        <f t="shared" si="437"/>
        <v>1</v>
      </c>
      <c r="DO227" s="1443">
        <f t="shared" si="438"/>
        <v>1</v>
      </c>
      <c r="DP227" s="1443">
        <f t="shared" si="439"/>
        <v>1</v>
      </c>
      <c r="DQ227" s="1443">
        <f t="shared" si="440"/>
        <v>1</v>
      </c>
      <c r="DR227" s="1443">
        <f t="shared" si="441"/>
        <v>1</v>
      </c>
      <c r="DS227" s="1443">
        <f t="shared" si="442"/>
        <v>1</v>
      </c>
      <c r="DT227" s="1443">
        <f t="shared" si="443"/>
        <v>1</v>
      </c>
      <c r="DU227" s="1443">
        <f t="shared" si="444"/>
        <v>1</v>
      </c>
      <c r="DV227" s="1443">
        <f t="shared" si="445"/>
        <v>1</v>
      </c>
      <c r="DW227" s="1443">
        <f t="shared" si="446"/>
        <v>1</v>
      </c>
      <c r="EA227" s="1443">
        <v>0</v>
      </c>
    </row>
    <row r="228" spans="1:131" ht="16.2" customHeight="1" x14ac:dyDescent="0.3">
      <c r="A228" s="7258">
        <v>11056482</v>
      </c>
      <c r="B228" s="2148" t="s">
        <v>1844</v>
      </c>
      <c r="C228" s="1998" t="s">
        <v>5369</v>
      </c>
      <c r="D228" s="1999" t="s">
        <v>5370</v>
      </c>
      <c r="E228" s="1134" t="s">
        <v>5371</v>
      </c>
      <c r="F228" s="1135" t="s">
        <v>5372</v>
      </c>
      <c r="G228" s="1114" t="s">
        <v>5373</v>
      </c>
      <c r="H228" s="1135" t="s">
        <v>5374</v>
      </c>
      <c r="I228" s="1114" t="s">
        <v>5375</v>
      </c>
      <c r="J228" s="1135" t="s">
        <v>5376</v>
      </c>
      <c r="K228" s="1114" t="s">
        <v>5377</v>
      </c>
      <c r="L228" s="1135" t="s">
        <v>5378</v>
      </c>
      <c r="M228" s="1114" t="s">
        <v>5379</v>
      </c>
      <c r="N228" s="1135" t="s">
        <v>5380</v>
      </c>
      <c r="O228" s="1114" t="s">
        <v>5381</v>
      </c>
      <c r="P228" s="1135" t="s">
        <v>5382</v>
      </c>
      <c r="Q228" s="1114" t="s">
        <v>5383</v>
      </c>
      <c r="R228" s="1135" t="s">
        <v>5384</v>
      </c>
      <c r="S228" s="1114" t="s">
        <v>5385</v>
      </c>
      <c r="T228" s="1135" t="s">
        <v>5386</v>
      </c>
      <c r="U228" s="1114" t="s">
        <v>5387</v>
      </c>
      <c r="V228" s="1135" t="s">
        <v>5388</v>
      </c>
      <c r="W228" s="1114" t="s">
        <v>5389</v>
      </c>
      <c r="X228" s="1135" t="s">
        <v>5390</v>
      </c>
      <c r="Y228" s="1114" t="s">
        <v>5391</v>
      </c>
      <c r="Z228" s="1135" t="s">
        <v>5392</v>
      </c>
      <c r="AA228" s="1114" t="s">
        <v>5393</v>
      </c>
      <c r="AB228" s="1135" t="s">
        <v>5394</v>
      </c>
      <c r="AC228" s="1114" t="s">
        <v>5395</v>
      </c>
      <c r="AD228" s="1135" t="s">
        <v>5396</v>
      </c>
      <c r="AE228" s="1114" t="s">
        <v>5397</v>
      </c>
      <c r="AF228" s="1135" t="s">
        <v>5398</v>
      </c>
      <c r="AG228" s="1114" t="s">
        <v>5399</v>
      </c>
      <c r="AH228" s="1135" t="s">
        <v>5400</v>
      </c>
      <c r="AI228" s="1114" t="s">
        <v>5401</v>
      </c>
      <c r="AJ228" s="1135" t="s">
        <v>5402</v>
      </c>
      <c r="AK228" s="1114" t="s">
        <v>5403</v>
      </c>
      <c r="AL228" s="1136" t="s">
        <v>5404</v>
      </c>
      <c r="AM228" s="1134" t="s">
        <v>5405</v>
      </c>
      <c r="AN228" s="1136" t="s">
        <v>5406</v>
      </c>
      <c r="AO228" s="1134" t="s">
        <v>5407</v>
      </c>
      <c r="AP228" s="1115" t="s">
        <v>5408</v>
      </c>
      <c r="AQ228" s="1114" t="s">
        <v>5409</v>
      </c>
      <c r="AR228" s="1196" t="s">
        <v>5410</v>
      </c>
      <c r="AS228" s="1470"/>
      <c r="AT228" s="1197"/>
      <c r="AU228" s="1197"/>
      <c r="AV228" s="1197"/>
      <c r="AW228" s="1197"/>
      <c r="AX228" s="1197"/>
      <c r="AY228" s="1197"/>
      <c r="AZ228" s="1197"/>
      <c r="BA228" s="1197"/>
      <c r="BB228" s="1197"/>
      <c r="BC228" s="1197"/>
      <c r="BD228" s="1197"/>
      <c r="BE228" s="1191"/>
      <c r="BF228" s="1191"/>
      <c r="BG228" s="1191"/>
      <c r="BH228" s="1191"/>
      <c r="CB228" s="2194" t="str">
        <f t="shared" si="408"/>
        <v xml:space="preserve">* El total de Reactivos NO DEBE ser superior al total de Procesados. </v>
      </c>
      <c r="CC228" s="2194" t="e">
        <f t="shared" si="409"/>
        <v>#VALUE!</v>
      </c>
      <c r="CD228" s="2194" t="e">
        <f t="shared" si="410"/>
        <v>#VALUE!</v>
      </c>
      <c r="CE228" s="2194" t="str">
        <f t="shared" si="411"/>
        <v xml:space="preserve">* La columna Pueblos Originarios NO DEBE ser superior al total de Procesados. </v>
      </c>
      <c r="CF228" s="2194" t="str">
        <f t="shared" si="412"/>
        <v xml:space="preserve">* La columna Migrantes NO DEBE ser superior al total de Procesados. </v>
      </c>
      <c r="CG228" s="2194" t="str">
        <f t="shared" si="413"/>
        <v xml:space="preserve">* Los exámenes Reactivos de 0 a 4 años años NO DEBEN ser mayor a los Exámenes Procesados de la misma edad. </v>
      </c>
      <c r="CH228" s="2194" t="str">
        <f t="shared" si="414"/>
        <v xml:space="preserve">* Los exámenes Reactivos de 5 a 9 años años NO DEBEN ser mayor a los Exámenes Procesados de la misma edad. </v>
      </c>
      <c r="CI228" s="2194" t="str">
        <f t="shared" si="415"/>
        <v xml:space="preserve">* Los exámenes Reactivos de 10 a 14 años años NO DEBEN ser mayor a los Exámenes Procesados de la misma edad. </v>
      </c>
      <c r="CJ228" s="2194" t="str">
        <f t="shared" si="416"/>
        <v xml:space="preserve">* Los exámenes Reactivos de 15 a 19 años años NO DEBEN ser mayor a los Exámenes Procesados de la misma edad. </v>
      </c>
      <c r="CK228" s="2194" t="str">
        <f t="shared" si="417"/>
        <v xml:space="preserve">* Los exámenes Reactivos de 20 a 24 años años NO DEBEN ser mayor a los Exámenes Procesados de la misma edad. </v>
      </c>
      <c r="CL228" s="2194" t="str">
        <f t="shared" si="418"/>
        <v xml:space="preserve">* Los exámenes Reactivos de 25 a 29 años años NO DEBEN ser mayor a los Exámenes Procesados de la misma edad. </v>
      </c>
      <c r="CM228" s="2194" t="str">
        <f t="shared" si="419"/>
        <v xml:space="preserve">* Los exámenes Reactivos de 30 a 34 años años NO DEBEN ser mayor a los Exámenes Procesados de la misma edad. </v>
      </c>
      <c r="CN228" s="2194" t="str">
        <f t="shared" si="420"/>
        <v xml:space="preserve">* Los exámenes Reactivos de 35 a 39 años años NO DEBEN ser mayor a los Exámenes Procesados de la misma edad. </v>
      </c>
      <c r="CO228" s="2194" t="str">
        <f t="shared" si="421"/>
        <v xml:space="preserve">* Los exámenes Reactivos de 40 a 44 años años NO DEBEN ser mayor a los Exámenes Procesados de la misma edad. </v>
      </c>
      <c r="CP228" s="2194" t="str">
        <f t="shared" si="422"/>
        <v xml:space="preserve">* Los exámenes Reactivos de 45 a 49 años años NO DEBEN ser mayor a los Exámenes Procesados de la misma edad. </v>
      </c>
      <c r="CQ228" s="2194" t="str">
        <f t="shared" si="423"/>
        <v xml:space="preserve">* Los exámenes Reactivos de 50 a 54 años años NO DEBEN ser mayor a los Exámenes Procesados de la misma edad. </v>
      </c>
      <c r="CR228" s="2194" t="str">
        <f t="shared" si="424"/>
        <v xml:space="preserve">* Los exámenes Reactivos de 55 a 59 años años NO DEBEN ser mayor a los Exámenes Procesados de la misma edad. </v>
      </c>
      <c r="CS228" s="2194" t="str">
        <f t="shared" si="425"/>
        <v xml:space="preserve">* Los exámenes Reactivos de 60 a 64 años años NO DEBEN ser mayor a los Exámenes Procesados de la misma edad. </v>
      </c>
      <c r="CT228" s="2194" t="str">
        <f t="shared" si="426"/>
        <v xml:space="preserve">* Los exámenes Reactivos de 65 a 69 años años NO DEBEN ser mayor a los Exámenes Procesados de la misma edad. </v>
      </c>
      <c r="CU228" s="2194" t="str">
        <f t="shared" si="427"/>
        <v xml:space="preserve">* Los exámenes Reactivos de 70 a 74 años años NO DEBEN ser mayor a los Exámenes Procesados de la misma edad. </v>
      </c>
      <c r="CV228" s="2194" t="str">
        <f t="shared" si="428"/>
        <v xml:space="preserve">* Los exámenes Reactivos de 75 a 79 años años NO DEBEN ser mayor a los Exámenes Procesados de la misma edad. </v>
      </c>
      <c r="CW228" s="2194" t="str">
        <f t="shared" si="429"/>
        <v xml:space="preserve">* Los exámenes Reactivos de 80 y más años años NO DEBEN ser mayor a los Exámenes Procesados de la misma edad. </v>
      </c>
      <c r="DG228" s="1443">
        <f t="shared" si="430"/>
        <v>1</v>
      </c>
      <c r="DH228" s="1443">
        <f t="shared" si="431"/>
        <v>1</v>
      </c>
      <c r="DI228" s="1443">
        <f t="shared" si="432"/>
        <v>1</v>
      </c>
      <c r="DJ228" s="1443">
        <f t="shared" si="433"/>
        <v>1</v>
      </c>
      <c r="DK228" s="1443">
        <f t="shared" si="434"/>
        <v>1</v>
      </c>
      <c r="DL228" s="1443">
        <f t="shared" si="435"/>
        <v>1</v>
      </c>
      <c r="DM228" s="1443">
        <f t="shared" si="436"/>
        <v>1</v>
      </c>
      <c r="DN228" s="1443">
        <f t="shared" si="437"/>
        <v>1</v>
      </c>
      <c r="DO228" s="1443">
        <f t="shared" si="438"/>
        <v>1</v>
      </c>
      <c r="DP228" s="1443">
        <f t="shared" si="439"/>
        <v>1</v>
      </c>
      <c r="DQ228" s="1443">
        <f t="shared" si="440"/>
        <v>1</v>
      </c>
      <c r="DR228" s="1443">
        <f t="shared" si="441"/>
        <v>1</v>
      </c>
      <c r="DS228" s="1443">
        <f t="shared" si="442"/>
        <v>1</v>
      </c>
      <c r="DT228" s="1443">
        <f t="shared" si="443"/>
        <v>1</v>
      </c>
      <c r="DU228" s="1443">
        <f t="shared" si="444"/>
        <v>1</v>
      </c>
      <c r="DV228" s="1443">
        <f t="shared" si="445"/>
        <v>1</v>
      </c>
      <c r="DW228" s="1443">
        <f t="shared" si="446"/>
        <v>1</v>
      </c>
      <c r="EA228" s="1443">
        <v>0</v>
      </c>
    </row>
    <row r="229" spans="1:131" ht="27.75" customHeight="1" x14ac:dyDescent="0.3">
      <c r="A229" s="7258">
        <v>11056483</v>
      </c>
      <c r="B229" s="2149" t="s">
        <v>1845</v>
      </c>
      <c r="C229" s="1998" t="s">
        <v>5369</v>
      </c>
      <c r="D229" s="1999" t="s">
        <v>5370</v>
      </c>
      <c r="E229" s="1134" t="s">
        <v>5371</v>
      </c>
      <c r="F229" s="1135" t="s">
        <v>5372</v>
      </c>
      <c r="G229" s="1114" t="s">
        <v>5373</v>
      </c>
      <c r="H229" s="1135" t="s">
        <v>5374</v>
      </c>
      <c r="I229" s="1114" t="s">
        <v>5375</v>
      </c>
      <c r="J229" s="1135" t="s">
        <v>5376</v>
      </c>
      <c r="K229" s="1114" t="s">
        <v>5377</v>
      </c>
      <c r="L229" s="1135" t="s">
        <v>5378</v>
      </c>
      <c r="M229" s="1114" t="s">
        <v>5379</v>
      </c>
      <c r="N229" s="1135" t="s">
        <v>5380</v>
      </c>
      <c r="O229" s="1114" t="s">
        <v>5381</v>
      </c>
      <c r="P229" s="1135" t="s">
        <v>5382</v>
      </c>
      <c r="Q229" s="1114" t="s">
        <v>5383</v>
      </c>
      <c r="R229" s="1135" t="s">
        <v>5384</v>
      </c>
      <c r="S229" s="1114" t="s">
        <v>5385</v>
      </c>
      <c r="T229" s="1135" t="s">
        <v>5386</v>
      </c>
      <c r="U229" s="1114" t="s">
        <v>5387</v>
      </c>
      <c r="V229" s="1135" t="s">
        <v>5388</v>
      </c>
      <c r="W229" s="1114" t="s">
        <v>5389</v>
      </c>
      <c r="X229" s="1135" t="s">
        <v>5390</v>
      </c>
      <c r="Y229" s="1114" t="s">
        <v>5391</v>
      </c>
      <c r="Z229" s="1135" t="s">
        <v>5392</v>
      </c>
      <c r="AA229" s="1114" t="s">
        <v>5393</v>
      </c>
      <c r="AB229" s="1135" t="s">
        <v>5394</v>
      </c>
      <c r="AC229" s="1114" t="s">
        <v>5395</v>
      </c>
      <c r="AD229" s="1135" t="s">
        <v>5396</v>
      </c>
      <c r="AE229" s="1114" t="s">
        <v>5397</v>
      </c>
      <c r="AF229" s="1135" t="s">
        <v>5398</v>
      </c>
      <c r="AG229" s="1114" t="s">
        <v>5399</v>
      </c>
      <c r="AH229" s="1135" t="s">
        <v>5400</v>
      </c>
      <c r="AI229" s="1114" t="s">
        <v>5401</v>
      </c>
      <c r="AJ229" s="1135" t="s">
        <v>5402</v>
      </c>
      <c r="AK229" s="1114" t="s">
        <v>5403</v>
      </c>
      <c r="AL229" s="1136" t="s">
        <v>5404</v>
      </c>
      <c r="AM229" s="1134" t="s">
        <v>5405</v>
      </c>
      <c r="AN229" s="1136" t="s">
        <v>5406</v>
      </c>
      <c r="AO229" s="1134" t="s">
        <v>5407</v>
      </c>
      <c r="AP229" s="1115" t="s">
        <v>5408</v>
      </c>
      <c r="AQ229" s="1114" t="s">
        <v>5409</v>
      </c>
      <c r="AR229" s="1196" t="s">
        <v>5410</v>
      </c>
      <c r="AS229" s="1470"/>
      <c r="AT229" s="1197"/>
      <c r="AU229" s="1197"/>
      <c r="AV229" s="1197"/>
      <c r="AW229" s="1197"/>
      <c r="AX229" s="1197"/>
      <c r="AY229" s="1197"/>
      <c r="AZ229" s="1197"/>
      <c r="BA229" s="1197"/>
      <c r="BB229" s="1197"/>
      <c r="BC229" s="1197"/>
      <c r="BD229" s="1197"/>
      <c r="BE229" s="1191"/>
      <c r="BF229" s="1191"/>
      <c r="BG229" s="1191"/>
      <c r="BH229" s="1191"/>
      <c r="CB229" s="2194" t="str">
        <f t="shared" si="408"/>
        <v xml:space="preserve">* El total de Reactivos NO DEBE ser superior al total de Procesados. </v>
      </c>
      <c r="CC229" s="2194" t="e">
        <f t="shared" si="409"/>
        <v>#VALUE!</v>
      </c>
      <c r="CD229" s="2194" t="e">
        <f t="shared" si="410"/>
        <v>#VALUE!</v>
      </c>
      <c r="CE229" s="2194" t="str">
        <f t="shared" si="411"/>
        <v xml:space="preserve">* La columna Pueblos Originarios NO DEBE ser superior al total de Procesados. </v>
      </c>
      <c r="CF229" s="2194" t="str">
        <f t="shared" si="412"/>
        <v xml:space="preserve">* La columna Migrantes NO DEBE ser superior al total de Procesados. </v>
      </c>
      <c r="CG229" s="2194" t="str">
        <f t="shared" si="413"/>
        <v xml:space="preserve">* Los exámenes Reactivos de 0 a 4 años años NO DEBEN ser mayor a los Exámenes Procesados de la misma edad. </v>
      </c>
      <c r="CH229" s="2194" t="str">
        <f t="shared" si="414"/>
        <v xml:space="preserve">* Los exámenes Reactivos de 5 a 9 años años NO DEBEN ser mayor a los Exámenes Procesados de la misma edad. </v>
      </c>
      <c r="CI229" s="2194" t="str">
        <f t="shared" si="415"/>
        <v xml:space="preserve">* Los exámenes Reactivos de 10 a 14 años años NO DEBEN ser mayor a los Exámenes Procesados de la misma edad. </v>
      </c>
      <c r="CJ229" s="2194" t="str">
        <f t="shared" si="416"/>
        <v xml:space="preserve">* Los exámenes Reactivos de 15 a 19 años años NO DEBEN ser mayor a los Exámenes Procesados de la misma edad. </v>
      </c>
      <c r="CK229" s="2194" t="str">
        <f t="shared" si="417"/>
        <v xml:space="preserve">* Los exámenes Reactivos de 20 a 24 años años NO DEBEN ser mayor a los Exámenes Procesados de la misma edad. </v>
      </c>
      <c r="CL229" s="2194" t="str">
        <f t="shared" si="418"/>
        <v xml:space="preserve">* Los exámenes Reactivos de 25 a 29 años años NO DEBEN ser mayor a los Exámenes Procesados de la misma edad. </v>
      </c>
      <c r="CM229" s="2194" t="str">
        <f t="shared" si="419"/>
        <v xml:space="preserve">* Los exámenes Reactivos de 30 a 34 años años NO DEBEN ser mayor a los Exámenes Procesados de la misma edad. </v>
      </c>
      <c r="CN229" s="2194" t="str">
        <f t="shared" si="420"/>
        <v xml:space="preserve">* Los exámenes Reactivos de 35 a 39 años años NO DEBEN ser mayor a los Exámenes Procesados de la misma edad. </v>
      </c>
      <c r="CO229" s="2194" t="str">
        <f t="shared" si="421"/>
        <v xml:space="preserve">* Los exámenes Reactivos de 40 a 44 años años NO DEBEN ser mayor a los Exámenes Procesados de la misma edad. </v>
      </c>
      <c r="CP229" s="2194" t="str">
        <f t="shared" si="422"/>
        <v xml:space="preserve">* Los exámenes Reactivos de 45 a 49 años años NO DEBEN ser mayor a los Exámenes Procesados de la misma edad. </v>
      </c>
      <c r="CQ229" s="2194" t="str">
        <f t="shared" si="423"/>
        <v xml:space="preserve">* Los exámenes Reactivos de 50 a 54 años años NO DEBEN ser mayor a los Exámenes Procesados de la misma edad. </v>
      </c>
      <c r="CR229" s="2194" t="str">
        <f t="shared" si="424"/>
        <v xml:space="preserve">* Los exámenes Reactivos de 55 a 59 años años NO DEBEN ser mayor a los Exámenes Procesados de la misma edad. </v>
      </c>
      <c r="CS229" s="2194" t="str">
        <f t="shared" si="425"/>
        <v xml:space="preserve">* Los exámenes Reactivos de 60 a 64 años años NO DEBEN ser mayor a los Exámenes Procesados de la misma edad. </v>
      </c>
      <c r="CT229" s="2194" t="str">
        <f t="shared" si="426"/>
        <v xml:space="preserve">* Los exámenes Reactivos de 65 a 69 años años NO DEBEN ser mayor a los Exámenes Procesados de la misma edad. </v>
      </c>
      <c r="CU229" s="2194" t="str">
        <f t="shared" si="427"/>
        <v xml:space="preserve">* Los exámenes Reactivos de 70 a 74 años años NO DEBEN ser mayor a los Exámenes Procesados de la misma edad. </v>
      </c>
      <c r="CV229" s="2194" t="str">
        <f t="shared" si="428"/>
        <v xml:space="preserve">* Los exámenes Reactivos de 75 a 79 años años NO DEBEN ser mayor a los Exámenes Procesados de la misma edad. </v>
      </c>
      <c r="CW229" s="2194" t="str">
        <f t="shared" si="429"/>
        <v xml:space="preserve">* Los exámenes Reactivos de 80 y más años años NO DEBEN ser mayor a los Exámenes Procesados de la misma edad. </v>
      </c>
      <c r="DG229" s="1443">
        <f t="shared" si="430"/>
        <v>1</v>
      </c>
      <c r="DH229" s="1443">
        <f t="shared" si="431"/>
        <v>1</v>
      </c>
      <c r="DI229" s="1443">
        <f t="shared" si="432"/>
        <v>1</v>
      </c>
      <c r="DJ229" s="1443">
        <f t="shared" si="433"/>
        <v>1</v>
      </c>
      <c r="DK229" s="1443">
        <f t="shared" si="434"/>
        <v>1</v>
      </c>
      <c r="DL229" s="1443">
        <f t="shared" si="435"/>
        <v>1</v>
      </c>
      <c r="DM229" s="1443">
        <f t="shared" si="436"/>
        <v>1</v>
      </c>
      <c r="DN229" s="1443">
        <f t="shared" si="437"/>
        <v>1</v>
      </c>
      <c r="DO229" s="1443">
        <f t="shared" si="438"/>
        <v>1</v>
      </c>
      <c r="DP229" s="1443">
        <f t="shared" si="439"/>
        <v>1</v>
      </c>
      <c r="DQ229" s="1443">
        <f t="shared" si="440"/>
        <v>1</v>
      </c>
      <c r="DR229" s="1443">
        <f t="shared" si="441"/>
        <v>1</v>
      </c>
      <c r="DS229" s="1443">
        <f t="shared" si="442"/>
        <v>1</v>
      </c>
      <c r="DT229" s="1443">
        <f t="shared" si="443"/>
        <v>1</v>
      </c>
      <c r="DU229" s="1443">
        <f t="shared" si="444"/>
        <v>1</v>
      </c>
      <c r="DV229" s="1443">
        <f t="shared" si="445"/>
        <v>1</v>
      </c>
      <c r="DW229" s="1443">
        <f t="shared" si="446"/>
        <v>1</v>
      </c>
      <c r="EA229" s="1443">
        <v>0</v>
      </c>
    </row>
    <row r="230" spans="1:131" ht="16.2" customHeight="1" x14ac:dyDescent="0.3">
      <c r="A230" s="7258">
        <v>11056484</v>
      </c>
      <c r="B230" s="2148" t="s">
        <v>1846</v>
      </c>
      <c r="C230" s="1998" t="s">
        <v>5369</v>
      </c>
      <c r="D230" s="1999" t="s">
        <v>5370</v>
      </c>
      <c r="E230" s="1134" t="s">
        <v>5371</v>
      </c>
      <c r="F230" s="1135" t="s">
        <v>5372</v>
      </c>
      <c r="G230" s="1114" t="s">
        <v>5373</v>
      </c>
      <c r="H230" s="1135" t="s">
        <v>5374</v>
      </c>
      <c r="I230" s="1114" t="s">
        <v>5375</v>
      </c>
      <c r="J230" s="1135" t="s">
        <v>5376</v>
      </c>
      <c r="K230" s="1114" t="s">
        <v>5377</v>
      </c>
      <c r="L230" s="1135" t="s">
        <v>5378</v>
      </c>
      <c r="M230" s="1114" t="s">
        <v>5379</v>
      </c>
      <c r="N230" s="1135" t="s">
        <v>5380</v>
      </c>
      <c r="O230" s="1114" t="s">
        <v>5381</v>
      </c>
      <c r="P230" s="1135" t="s">
        <v>5382</v>
      </c>
      <c r="Q230" s="1114" t="s">
        <v>5383</v>
      </c>
      <c r="R230" s="1135" t="s">
        <v>5384</v>
      </c>
      <c r="S230" s="1114" t="s">
        <v>5385</v>
      </c>
      <c r="T230" s="1135" t="s">
        <v>5386</v>
      </c>
      <c r="U230" s="1114" t="s">
        <v>5387</v>
      </c>
      <c r="V230" s="1135" t="s">
        <v>5388</v>
      </c>
      <c r="W230" s="1114" t="s">
        <v>5389</v>
      </c>
      <c r="X230" s="1135" t="s">
        <v>5390</v>
      </c>
      <c r="Y230" s="1114" t="s">
        <v>5391</v>
      </c>
      <c r="Z230" s="1135" t="s">
        <v>5392</v>
      </c>
      <c r="AA230" s="1114" t="s">
        <v>5393</v>
      </c>
      <c r="AB230" s="1135" t="s">
        <v>5394</v>
      </c>
      <c r="AC230" s="1114" t="s">
        <v>5395</v>
      </c>
      <c r="AD230" s="1135" t="s">
        <v>5396</v>
      </c>
      <c r="AE230" s="1114" t="s">
        <v>5397</v>
      </c>
      <c r="AF230" s="1135" t="s">
        <v>5398</v>
      </c>
      <c r="AG230" s="1114" t="s">
        <v>5399</v>
      </c>
      <c r="AH230" s="1135" t="s">
        <v>5400</v>
      </c>
      <c r="AI230" s="1114" t="s">
        <v>5401</v>
      </c>
      <c r="AJ230" s="1135" t="s">
        <v>5402</v>
      </c>
      <c r="AK230" s="1114" t="s">
        <v>5403</v>
      </c>
      <c r="AL230" s="1136" t="s">
        <v>5404</v>
      </c>
      <c r="AM230" s="1134" t="s">
        <v>5405</v>
      </c>
      <c r="AN230" s="1136" t="s">
        <v>5406</v>
      </c>
      <c r="AO230" s="1134" t="s">
        <v>5407</v>
      </c>
      <c r="AP230" s="1115" t="s">
        <v>5408</v>
      </c>
      <c r="AQ230" s="1114" t="s">
        <v>5409</v>
      </c>
      <c r="AR230" s="1196" t="s">
        <v>5410</v>
      </c>
      <c r="AS230" s="1470"/>
      <c r="AT230" s="1197"/>
      <c r="AU230" s="1197"/>
      <c r="AV230" s="1197"/>
      <c r="AW230" s="1197"/>
      <c r="AX230" s="1197"/>
      <c r="AY230" s="1197"/>
      <c r="AZ230" s="1197"/>
      <c r="BA230" s="1197"/>
      <c r="BB230" s="1197"/>
      <c r="BC230" s="1197"/>
      <c r="BD230" s="1197"/>
      <c r="BE230" s="1191"/>
      <c r="BF230" s="1191"/>
      <c r="BG230" s="1191"/>
      <c r="BH230" s="1191"/>
      <c r="CB230" s="2194" t="str">
        <f t="shared" si="408"/>
        <v xml:space="preserve">* El total de Reactivos NO DEBE ser superior al total de Procesados. </v>
      </c>
      <c r="CC230" s="2194" t="e">
        <f t="shared" si="409"/>
        <v>#VALUE!</v>
      </c>
      <c r="CD230" s="2194" t="e">
        <f t="shared" si="410"/>
        <v>#VALUE!</v>
      </c>
      <c r="CE230" s="2194" t="str">
        <f t="shared" si="411"/>
        <v xml:space="preserve">* La columna Pueblos Originarios NO DEBE ser superior al total de Procesados. </v>
      </c>
      <c r="CF230" s="2194" t="str">
        <f t="shared" si="412"/>
        <v xml:space="preserve">* La columna Migrantes NO DEBE ser superior al total de Procesados. </v>
      </c>
      <c r="CG230" s="2194" t="str">
        <f t="shared" si="413"/>
        <v xml:space="preserve">* Los exámenes Reactivos de 0 a 4 años años NO DEBEN ser mayor a los Exámenes Procesados de la misma edad. </v>
      </c>
      <c r="CH230" s="2194" t="str">
        <f t="shared" si="414"/>
        <v xml:space="preserve">* Los exámenes Reactivos de 5 a 9 años años NO DEBEN ser mayor a los Exámenes Procesados de la misma edad. </v>
      </c>
      <c r="CI230" s="2194" t="str">
        <f t="shared" si="415"/>
        <v xml:space="preserve">* Los exámenes Reactivos de 10 a 14 años años NO DEBEN ser mayor a los Exámenes Procesados de la misma edad. </v>
      </c>
      <c r="CJ230" s="2194" t="str">
        <f t="shared" si="416"/>
        <v xml:space="preserve">* Los exámenes Reactivos de 15 a 19 años años NO DEBEN ser mayor a los Exámenes Procesados de la misma edad. </v>
      </c>
      <c r="CK230" s="2194" t="str">
        <f t="shared" si="417"/>
        <v xml:space="preserve">* Los exámenes Reactivos de 20 a 24 años años NO DEBEN ser mayor a los Exámenes Procesados de la misma edad. </v>
      </c>
      <c r="CL230" s="2194" t="str">
        <f t="shared" si="418"/>
        <v xml:space="preserve">* Los exámenes Reactivos de 25 a 29 años años NO DEBEN ser mayor a los Exámenes Procesados de la misma edad. </v>
      </c>
      <c r="CM230" s="2194" t="str">
        <f t="shared" si="419"/>
        <v xml:space="preserve">* Los exámenes Reactivos de 30 a 34 años años NO DEBEN ser mayor a los Exámenes Procesados de la misma edad. </v>
      </c>
      <c r="CN230" s="2194" t="str">
        <f t="shared" si="420"/>
        <v xml:space="preserve">* Los exámenes Reactivos de 35 a 39 años años NO DEBEN ser mayor a los Exámenes Procesados de la misma edad. </v>
      </c>
      <c r="CO230" s="2194" t="str">
        <f t="shared" si="421"/>
        <v xml:space="preserve">* Los exámenes Reactivos de 40 a 44 años años NO DEBEN ser mayor a los Exámenes Procesados de la misma edad. </v>
      </c>
      <c r="CP230" s="2194" t="str">
        <f t="shared" si="422"/>
        <v xml:space="preserve">* Los exámenes Reactivos de 45 a 49 años años NO DEBEN ser mayor a los Exámenes Procesados de la misma edad. </v>
      </c>
      <c r="CQ230" s="2194" t="str">
        <f t="shared" si="423"/>
        <v xml:space="preserve">* Los exámenes Reactivos de 50 a 54 años años NO DEBEN ser mayor a los Exámenes Procesados de la misma edad. </v>
      </c>
      <c r="CR230" s="2194" t="str">
        <f t="shared" si="424"/>
        <v xml:space="preserve">* Los exámenes Reactivos de 55 a 59 años años NO DEBEN ser mayor a los Exámenes Procesados de la misma edad. </v>
      </c>
      <c r="CS230" s="2194" t="str">
        <f t="shared" si="425"/>
        <v xml:space="preserve">* Los exámenes Reactivos de 60 a 64 años años NO DEBEN ser mayor a los Exámenes Procesados de la misma edad. </v>
      </c>
      <c r="CT230" s="2194" t="str">
        <f t="shared" si="426"/>
        <v xml:space="preserve">* Los exámenes Reactivos de 65 a 69 años años NO DEBEN ser mayor a los Exámenes Procesados de la misma edad. </v>
      </c>
      <c r="CU230" s="2194" t="str">
        <f t="shared" si="427"/>
        <v xml:space="preserve">* Los exámenes Reactivos de 70 a 74 años años NO DEBEN ser mayor a los Exámenes Procesados de la misma edad. </v>
      </c>
      <c r="CV230" s="2194" t="str">
        <f t="shared" si="428"/>
        <v xml:space="preserve">* Los exámenes Reactivos de 75 a 79 años años NO DEBEN ser mayor a los Exámenes Procesados de la misma edad. </v>
      </c>
      <c r="CW230" s="2194" t="str">
        <f t="shared" si="429"/>
        <v xml:space="preserve">* Los exámenes Reactivos de 80 y más años años NO DEBEN ser mayor a los Exámenes Procesados de la misma edad. </v>
      </c>
      <c r="DG230" s="1443">
        <f t="shared" si="430"/>
        <v>1</v>
      </c>
      <c r="DH230" s="1443">
        <f t="shared" si="431"/>
        <v>1</v>
      </c>
      <c r="DI230" s="1443">
        <f t="shared" si="432"/>
        <v>1</v>
      </c>
      <c r="DJ230" s="1443">
        <f t="shared" si="433"/>
        <v>1</v>
      </c>
      <c r="DK230" s="1443">
        <f t="shared" si="434"/>
        <v>1</v>
      </c>
      <c r="DL230" s="1443">
        <f t="shared" si="435"/>
        <v>1</v>
      </c>
      <c r="DM230" s="1443">
        <f t="shared" si="436"/>
        <v>1</v>
      </c>
      <c r="DN230" s="1443">
        <f t="shared" si="437"/>
        <v>1</v>
      </c>
      <c r="DO230" s="1443">
        <f t="shared" si="438"/>
        <v>1</v>
      </c>
      <c r="DP230" s="1443">
        <f t="shared" si="439"/>
        <v>1</v>
      </c>
      <c r="DQ230" s="1443">
        <f t="shared" si="440"/>
        <v>1</v>
      </c>
      <c r="DR230" s="1443">
        <f t="shared" si="441"/>
        <v>1</v>
      </c>
      <c r="DS230" s="1443">
        <f t="shared" si="442"/>
        <v>1</v>
      </c>
      <c r="DT230" s="1443">
        <f t="shared" si="443"/>
        <v>1</v>
      </c>
      <c r="DU230" s="1443">
        <f t="shared" si="444"/>
        <v>1</v>
      </c>
      <c r="DV230" s="1443">
        <f t="shared" si="445"/>
        <v>1</v>
      </c>
      <c r="DW230" s="1443">
        <f t="shared" si="446"/>
        <v>1</v>
      </c>
      <c r="EA230" s="1443">
        <v>0</v>
      </c>
    </row>
    <row r="231" spans="1:131" ht="16.2" customHeight="1" x14ac:dyDescent="0.3">
      <c r="A231" s="7258">
        <v>11056485</v>
      </c>
      <c r="B231" s="2150" t="s">
        <v>70</v>
      </c>
      <c r="C231" s="1198" t="s">
        <v>5369</v>
      </c>
      <c r="D231" s="1145" t="s">
        <v>5370</v>
      </c>
      <c r="E231" s="102" t="s">
        <v>5371</v>
      </c>
      <c r="F231" s="83" t="s">
        <v>5372</v>
      </c>
      <c r="G231" s="125" t="s">
        <v>5373</v>
      </c>
      <c r="H231" s="83" t="s">
        <v>5374</v>
      </c>
      <c r="I231" s="125" t="s">
        <v>5375</v>
      </c>
      <c r="J231" s="83" t="s">
        <v>5376</v>
      </c>
      <c r="K231" s="125" t="s">
        <v>5377</v>
      </c>
      <c r="L231" s="83" t="s">
        <v>5378</v>
      </c>
      <c r="M231" s="125" t="s">
        <v>5379</v>
      </c>
      <c r="N231" s="83" t="s">
        <v>5380</v>
      </c>
      <c r="O231" s="125" t="s">
        <v>5381</v>
      </c>
      <c r="P231" s="83" t="s">
        <v>5382</v>
      </c>
      <c r="Q231" s="125" t="s">
        <v>5383</v>
      </c>
      <c r="R231" s="83" t="s">
        <v>5384</v>
      </c>
      <c r="S231" s="125" t="s">
        <v>5385</v>
      </c>
      <c r="T231" s="83" t="s">
        <v>5386</v>
      </c>
      <c r="U231" s="125" t="s">
        <v>5387</v>
      </c>
      <c r="V231" s="83" t="s">
        <v>5388</v>
      </c>
      <c r="W231" s="125" t="s">
        <v>5389</v>
      </c>
      <c r="X231" s="83" t="s">
        <v>5390</v>
      </c>
      <c r="Y231" s="125" t="s">
        <v>5391</v>
      </c>
      <c r="Z231" s="83" t="s">
        <v>5392</v>
      </c>
      <c r="AA231" s="125" t="s">
        <v>5393</v>
      </c>
      <c r="AB231" s="83" t="s">
        <v>5394</v>
      </c>
      <c r="AC231" s="125" t="s">
        <v>5395</v>
      </c>
      <c r="AD231" s="83" t="s">
        <v>5396</v>
      </c>
      <c r="AE231" s="125" t="s">
        <v>5397</v>
      </c>
      <c r="AF231" s="83" t="s">
        <v>5398</v>
      </c>
      <c r="AG231" s="125" t="s">
        <v>5399</v>
      </c>
      <c r="AH231" s="83" t="s">
        <v>5400</v>
      </c>
      <c r="AI231" s="125" t="s">
        <v>5401</v>
      </c>
      <c r="AJ231" s="83" t="s">
        <v>5402</v>
      </c>
      <c r="AK231" s="125" t="s">
        <v>5403</v>
      </c>
      <c r="AL231" s="198" t="s">
        <v>5404</v>
      </c>
      <c r="AM231" s="102" t="s">
        <v>5405</v>
      </c>
      <c r="AN231" s="198" t="s">
        <v>5406</v>
      </c>
      <c r="AO231" s="102" t="s">
        <v>5407</v>
      </c>
      <c r="AP231" s="127" t="s">
        <v>5408</v>
      </c>
      <c r="AQ231" s="125" t="s">
        <v>5409</v>
      </c>
      <c r="AR231" s="86" t="s">
        <v>5410</v>
      </c>
      <c r="AS231" s="1470"/>
      <c r="AT231" s="1197"/>
      <c r="AU231" s="1197"/>
      <c r="AV231" s="1197"/>
      <c r="AW231" s="1197"/>
      <c r="AX231" s="1197"/>
      <c r="AY231" s="1197"/>
      <c r="AZ231" s="1197"/>
      <c r="BA231" s="1197"/>
      <c r="BB231" s="1197"/>
      <c r="BC231" s="1197"/>
      <c r="BD231" s="1197"/>
      <c r="BE231" s="1191"/>
      <c r="BF231" s="1191"/>
      <c r="BG231" s="1191"/>
      <c r="BH231" s="1191"/>
      <c r="CB231" s="2194" t="str">
        <f t="shared" si="408"/>
        <v xml:space="preserve">* El total de Reactivos NO DEBE ser superior al total de Procesados. </v>
      </c>
      <c r="CC231" s="2194" t="e">
        <f t="shared" si="409"/>
        <v>#VALUE!</v>
      </c>
      <c r="CD231" s="2194" t="e">
        <f t="shared" si="410"/>
        <v>#VALUE!</v>
      </c>
      <c r="CE231" s="2194" t="str">
        <f t="shared" si="411"/>
        <v xml:space="preserve">* La columna Pueblos Originarios NO DEBE ser superior al total de Procesados. </v>
      </c>
      <c r="CF231" s="2194" t="str">
        <f t="shared" si="412"/>
        <v xml:space="preserve">* La columna Migrantes NO DEBE ser superior al total de Procesados. </v>
      </c>
      <c r="CG231" s="2194" t="str">
        <f t="shared" si="413"/>
        <v xml:space="preserve">* Los exámenes Reactivos de 0 a 4 años años NO DEBEN ser mayor a los Exámenes Procesados de la misma edad. </v>
      </c>
      <c r="CH231" s="2194" t="str">
        <f t="shared" si="414"/>
        <v xml:space="preserve">* Los exámenes Reactivos de 5 a 9 años años NO DEBEN ser mayor a los Exámenes Procesados de la misma edad. </v>
      </c>
      <c r="CI231" s="2194" t="str">
        <f t="shared" si="415"/>
        <v xml:space="preserve">* Los exámenes Reactivos de 10 a 14 años años NO DEBEN ser mayor a los Exámenes Procesados de la misma edad. </v>
      </c>
      <c r="CJ231" s="2194" t="str">
        <f t="shared" si="416"/>
        <v xml:space="preserve">* Los exámenes Reactivos de 15 a 19 años años NO DEBEN ser mayor a los Exámenes Procesados de la misma edad. </v>
      </c>
      <c r="CK231" s="2194" t="str">
        <f t="shared" si="417"/>
        <v xml:space="preserve">* Los exámenes Reactivos de 20 a 24 años años NO DEBEN ser mayor a los Exámenes Procesados de la misma edad. </v>
      </c>
      <c r="CL231" s="2194" t="str">
        <f t="shared" si="418"/>
        <v xml:space="preserve">* Los exámenes Reactivos de 25 a 29 años años NO DEBEN ser mayor a los Exámenes Procesados de la misma edad. </v>
      </c>
      <c r="CM231" s="2194" t="str">
        <f t="shared" si="419"/>
        <v xml:space="preserve">* Los exámenes Reactivos de 30 a 34 años años NO DEBEN ser mayor a los Exámenes Procesados de la misma edad. </v>
      </c>
      <c r="CN231" s="2194" t="str">
        <f t="shared" si="420"/>
        <v xml:space="preserve">* Los exámenes Reactivos de 35 a 39 años años NO DEBEN ser mayor a los Exámenes Procesados de la misma edad. </v>
      </c>
      <c r="CO231" s="2194" t="str">
        <f t="shared" si="421"/>
        <v xml:space="preserve">* Los exámenes Reactivos de 40 a 44 años años NO DEBEN ser mayor a los Exámenes Procesados de la misma edad. </v>
      </c>
      <c r="CP231" s="2194" t="str">
        <f t="shared" si="422"/>
        <v xml:space="preserve">* Los exámenes Reactivos de 45 a 49 años años NO DEBEN ser mayor a los Exámenes Procesados de la misma edad. </v>
      </c>
      <c r="CQ231" s="2194" t="str">
        <f t="shared" si="423"/>
        <v xml:space="preserve">* Los exámenes Reactivos de 50 a 54 años años NO DEBEN ser mayor a los Exámenes Procesados de la misma edad. </v>
      </c>
      <c r="CR231" s="2194" t="str">
        <f t="shared" si="424"/>
        <v xml:space="preserve">* Los exámenes Reactivos de 55 a 59 años años NO DEBEN ser mayor a los Exámenes Procesados de la misma edad. </v>
      </c>
      <c r="CS231" s="2194" t="str">
        <f t="shared" si="425"/>
        <v xml:space="preserve">* Los exámenes Reactivos de 60 a 64 años años NO DEBEN ser mayor a los Exámenes Procesados de la misma edad. </v>
      </c>
      <c r="CT231" s="2194" t="str">
        <f t="shared" si="426"/>
        <v xml:space="preserve">* Los exámenes Reactivos de 65 a 69 años años NO DEBEN ser mayor a los Exámenes Procesados de la misma edad. </v>
      </c>
      <c r="CU231" s="2194" t="str">
        <f t="shared" si="427"/>
        <v xml:space="preserve">* Los exámenes Reactivos de 70 a 74 años años NO DEBEN ser mayor a los Exámenes Procesados de la misma edad. </v>
      </c>
      <c r="CV231" s="2194" t="str">
        <f t="shared" si="428"/>
        <v xml:space="preserve">* Los exámenes Reactivos de 75 a 79 años años NO DEBEN ser mayor a los Exámenes Procesados de la misma edad. </v>
      </c>
      <c r="CW231" s="2194" t="str">
        <f t="shared" si="429"/>
        <v xml:space="preserve">* Los exámenes Reactivos de 80 y más años años NO DEBEN ser mayor a los Exámenes Procesados de la misma edad. </v>
      </c>
      <c r="DG231" s="1443">
        <f t="shared" si="430"/>
        <v>1</v>
      </c>
      <c r="DH231" s="1443">
        <f t="shared" si="431"/>
        <v>1</v>
      </c>
      <c r="DI231" s="1443">
        <f t="shared" si="432"/>
        <v>1</v>
      </c>
      <c r="DJ231" s="1443">
        <f t="shared" si="433"/>
        <v>1</v>
      </c>
      <c r="DK231" s="1443">
        <f t="shared" si="434"/>
        <v>1</v>
      </c>
      <c r="DL231" s="1443">
        <f t="shared" si="435"/>
        <v>1</v>
      </c>
      <c r="DM231" s="1443">
        <f t="shared" si="436"/>
        <v>1</v>
      </c>
      <c r="DN231" s="1443">
        <f t="shared" si="437"/>
        <v>1</v>
      </c>
      <c r="DO231" s="1443">
        <f t="shared" si="438"/>
        <v>1</v>
      </c>
      <c r="DP231" s="1443">
        <f t="shared" si="439"/>
        <v>1</v>
      </c>
      <c r="DQ231" s="1443">
        <f t="shared" si="440"/>
        <v>1</v>
      </c>
      <c r="DR231" s="1443">
        <f t="shared" si="441"/>
        <v>1</v>
      </c>
      <c r="DS231" s="1443">
        <f t="shared" si="442"/>
        <v>1</v>
      </c>
      <c r="DT231" s="1443">
        <f t="shared" si="443"/>
        <v>1</v>
      </c>
      <c r="DU231" s="1443">
        <f t="shared" si="444"/>
        <v>1</v>
      </c>
      <c r="DV231" s="1443">
        <f t="shared" si="445"/>
        <v>1</v>
      </c>
      <c r="DW231" s="1443">
        <f t="shared" si="446"/>
        <v>1</v>
      </c>
      <c r="EA231" s="1443">
        <v>0</v>
      </c>
    </row>
    <row r="232" spans="1:131" ht="27" customHeight="1" x14ac:dyDescent="0.3">
      <c r="B232" s="677" t="s">
        <v>2353</v>
      </c>
      <c r="C232" s="1192"/>
      <c r="D232" s="1192"/>
      <c r="E232" s="1192"/>
      <c r="F232" s="1192"/>
      <c r="G232" s="1192"/>
      <c r="H232" s="1192"/>
      <c r="I232" s="1192"/>
      <c r="J232" s="1192"/>
      <c r="K232" s="1197"/>
      <c r="L232" s="1197"/>
      <c r="M232" s="1197"/>
      <c r="N232" s="1197"/>
      <c r="O232" s="1197"/>
      <c r="P232" s="1197"/>
      <c r="Q232" s="1197"/>
      <c r="R232" s="1197"/>
      <c r="S232" s="1197"/>
      <c r="T232" s="1197"/>
      <c r="U232" s="1197"/>
      <c r="V232" s="1197"/>
      <c r="W232" s="1197"/>
      <c r="X232" s="1197"/>
      <c r="Y232" s="1197"/>
      <c r="Z232" s="1197"/>
      <c r="AA232" s="1197"/>
      <c r="AB232" s="1197"/>
      <c r="AC232" s="1197"/>
      <c r="AD232" s="1197"/>
      <c r="AE232" s="1197"/>
      <c r="AF232" s="1197"/>
      <c r="AG232" s="1197"/>
      <c r="AH232" s="1197"/>
      <c r="AI232" s="1197"/>
      <c r="AJ232" s="1197"/>
      <c r="AK232" s="1197"/>
      <c r="AL232" s="1197"/>
      <c r="AM232" s="1197"/>
      <c r="AN232" s="1197"/>
      <c r="AO232" s="1197"/>
      <c r="AP232" s="1197"/>
      <c r="AQ232" s="1197"/>
      <c r="AR232" s="1197"/>
      <c r="AS232" s="1197"/>
      <c r="AT232" s="1191"/>
      <c r="AU232" s="1191"/>
      <c r="AV232" s="1191"/>
      <c r="AW232" s="1191"/>
      <c r="AX232" s="1191"/>
      <c r="AY232" s="1191"/>
      <c r="AZ232" s="1191"/>
      <c r="BA232" s="1191"/>
      <c r="BB232" s="1191"/>
      <c r="BC232" s="1191"/>
      <c r="BD232" s="1191"/>
      <c r="BE232" s="1191"/>
      <c r="BF232" s="1191"/>
      <c r="BG232" s="1191"/>
      <c r="BH232" s="1191"/>
    </row>
    <row r="233" spans="1:131" ht="15" customHeight="1" x14ac:dyDescent="0.3">
      <c r="B233" s="10051" t="s">
        <v>1847</v>
      </c>
      <c r="C233" s="10052"/>
      <c r="D233" s="10057" t="s">
        <v>24</v>
      </c>
      <c r="E233" s="10058"/>
      <c r="F233" s="10043"/>
      <c r="G233" s="10044"/>
      <c r="H233" s="10044"/>
      <c r="I233" s="10044"/>
      <c r="J233" s="10044"/>
      <c r="K233" s="10044"/>
      <c r="L233" s="10044"/>
      <c r="M233" s="10044"/>
      <c r="N233" s="10044"/>
      <c r="O233" s="10044"/>
      <c r="P233" s="10044"/>
      <c r="Q233" s="10044"/>
      <c r="R233" s="10044"/>
      <c r="S233" s="10044"/>
      <c r="T233" s="10044"/>
      <c r="U233" s="10044"/>
      <c r="V233" s="10044"/>
      <c r="W233" s="10044"/>
      <c r="X233" s="10044"/>
      <c r="Y233" s="10044"/>
      <c r="Z233" s="10044"/>
      <c r="AA233" s="10044"/>
      <c r="AB233" s="10044"/>
      <c r="AC233" s="10044"/>
      <c r="AD233" s="10044"/>
      <c r="AE233" s="10044"/>
      <c r="AF233" s="10044"/>
      <c r="AG233" s="10044"/>
      <c r="AH233" s="10044"/>
      <c r="AI233" s="10044"/>
      <c r="AJ233" s="10044"/>
      <c r="AK233" s="10045"/>
      <c r="AL233" s="10046" t="s">
        <v>43</v>
      </c>
      <c r="AM233" s="10047"/>
      <c r="AN233" s="10047"/>
      <c r="AO233" s="10048"/>
      <c r="AP233" s="10047" t="s">
        <v>713</v>
      </c>
      <c r="AQ233" s="10047"/>
      <c r="AR233" s="10047"/>
      <c r="AS233" s="10048"/>
      <c r="AT233" s="10038" t="s">
        <v>1821</v>
      </c>
      <c r="AU233" s="10038"/>
      <c r="AV233" s="10038" t="s">
        <v>361</v>
      </c>
      <c r="AW233" s="10038"/>
      <c r="AX233" s="8559" t="s">
        <v>1271</v>
      </c>
      <c r="AY233" s="9978"/>
      <c r="AZ233" s="1191"/>
      <c r="BA233" s="1191"/>
      <c r="BB233" s="1191"/>
      <c r="BC233" s="1191"/>
      <c r="BD233" s="1191"/>
      <c r="BE233" s="1191"/>
      <c r="BF233" s="1191"/>
      <c r="BG233" s="1191"/>
      <c r="BH233" s="1191"/>
    </row>
    <row r="234" spans="1:131" ht="21.75" customHeight="1" x14ac:dyDescent="0.3">
      <c r="B234" s="10053"/>
      <c r="C234" s="10054"/>
      <c r="D234" s="10059"/>
      <c r="E234" s="10060"/>
      <c r="F234" s="8648" t="s">
        <v>1822</v>
      </c>
      <c r="G234" s="9970"/>
      <c r="H234" s="8648" t="s">
        <v>722</v>
      </c>
      <c r="I234" s="9970"/>
      <c r="J234" s="8648" t="s">
        <v>1823</v>
      </c>
      <c r="K234" s="9970"/>
      <c r="L234" s="8645" t="s">
        <v>1415</v>
      </c>
      <c r="M234" s="8647"/>
      <c r="N234" s="8645" t="s">
        <v>32</v>
      </c>
      <c r="O234" s="8647"/>
      <c r="P234" s="8645" t="s">
        <v>33</v>
      </c>
      <c r="Q234" s="8647"/>
      <c r="R234" s="8645" t="s">
        <v>40</v>
      </c>
      <c r="S234" s="8647"/>
      <c r="T234" s="8645" t="s">
        <v>115</v>
      </c>
      <c r="U234" s="8647"/>
      <c r="V234" s="8645" t="s">
        <v>116</v>
      </c>
      <c r="W234" s="8647"/>
      <c r="X234" s="8646" t="s">
        <v>117</v>
      </c>
      <c r="Y234" s="8647"/>
      <c r="Z234" s="8646" t="s">
        <v>118</v>
      </c>
      <c r="AA234" s="8647"/>
      <c r="AB234" s="8646" t="s">
        <v>119</v>
      </c>
      <c r="AC234" s="8647"/>
      <c r="AD234" s="8645" t="s">
        <v>120</v>
      </c>
      <c r="AE234" s="8647"/>
      <c r="AF234" s="8646" t="s">
        <v>1414</v>
      </c>
      <c r="AG234" s="8647"/>
      <c r="AH234" s="8646" t="s">
        <v>1406</v>
      </c>
      <c r="AI234" s="8647"/>
      <c r="AJ234" s="8646" t="s">
        <v>1848</v>
      </c>
      <c r="AK234" s="9969"/>
      <c r="AL234" s="10050" t="s">
        <v>17</v>
      </c>
      <c r="AM234" s="10042"/>
      <c r="AN234" s="10041" t="s">
        <v>18</v>
      </c>
      <c r="AO234" s="10042"/>
      <c r="AP234" s="10041" t="s">
        <v>359</v>
      </c>
      <c r="AQ234" s="10042"/>
      <c r="AR234" s="10041" t="s">
        <v>358</v>
      </c>
      <c r="AS234" s="10042"/>
      <c r="AT234" s="10039"/>
      <c r="AU234" s="10039"/>
      <c r="AV234" s="10039"/>
      <c r="AW234" s="10039"/>
      <c r="AX234" s="10040"/>
      <c r="AY234" s="8582"/>
      <c r="AZ234" s="1191"/>
      <c r="BA234" s="1191"/>
      <c r="BB234" s="1191"/>
      <c r="BC234" s="1191"/>
      <c r="BD234" s="1191"/>
      <c r="BE234" s="1191"/>
      <c r="BF234" s="1191"/>
      <c r="BG234" s="1191"/>
      <c r="BH234" s="1191"/>
    </row>
    <row r="235" spans="1:131" ht="39" customHeight="1" x14ac:dyDescent="0.3">
      <c r="B235" s="10055"/>
      <c r="C235" s="10056"/>
      <c r="D235" s="1127" t="s">
        <v>1783</v>
      </c>
      <c r="E235" s="940" t="s">
        <v>1825</v>
      </c>
      <c r="F235" s="1124" t="s">
        <v>1783</v>
      </c>
      <c r="G235" s="940" t="s">
        <v>1825</v>
      </c>
      <c r="H235" s="1124" t="s">
        <v>1783</v>
      </c>
      <c r="I235" s="940" t="s">
        <v>1825</v>
      </c>
      <c r="J235" s="1127" t="s">
        <v>1783</v>
      </c>
      <c r="K235" s="940" t="s">
        <v>1825</v>
      </c>
      <c r="L235" s="1127" t="s">
        <v>1783</v>
      </c>
      <c r="M235" s="940" t="s">
        <v>1825</v>
      </c>
      <c r="N235" s="1124" t="s">
        <v>1783</v>
      </c>
      <c r="O235" s="940" t="s">
        <v>1825</v>
      </c>
      <c r="P235" s="1124" t="s">
        <v>1783</v>
      </c>
      <c r="Q235" s="940" t="s">
        <v>1825</v>
      </c>
      <c r="R235" s="1124" t="s">
        <v>1783</v>
      </c>
      <c r="S235" s="940" t="s">
        <v>1825</v>
      </c>
      <c r="T235" s="1124" t="s">
        <v>1783</v>
      </c>
      <c r="U235" s="940" t="s">
        <v>1825</v>
      </c>
      <c r="V235" s="1124" t="s">
        <v>1783</v>
      </c>
      <c r="W235" s="940" t="s">
        <v>1825</v>
      </c>
      <c r="X235" s="1127" t="s">
        <v>1783</v>
      </c>
      <c r="Y235" s="940" t="s">
        <v>1825</v>
      </c>
      <c r="Z235" s="1127" t="s">
        <v>1783</v>
      </c>
      <c r="AA235" s="940" t="s">
        <v>1825</v>
      </c>
      <c r="AB235" s="1127" t="s">
        <v>1783</v>
      </c>
      <c r="AC235" s="940" t="s">
        <v>1825</v>
      </c>
      <c r="AD235" s="1124" t="s">
        <v>1783</v>
      </c>
      <c r="AE235" s="940" t="s">
        <v>1825</v>
      </c>
      <c r="AF235" s="1127" t="s">
        <v>1783</v>
      </c>
      <c r="AG235" s="940" t="s">
        <v>1825</v>
      </c>
      <c r="AH235" s="1127" t="s">
        <v>1783</v>
      </c>
      <c r="AI235" s="940" t="s">
        <v>1825</v>
      </c>
      <c r="AJ235" s="1127" t="s">
        <v>1783</v>
      </c>
      <c r="AK235" s="940" t="s">
        <v>1825</v>
      </c>
      <c r="AL235" s="2945" t="s">
        <v>1783</v>
      </c>
      <c r="AM235" s="2936" t="s">
        <v>1825</v>
      </c>
      <c r="AN235" s="2918" t="s">
        <v>1783</v>
      </c>
      <c r="AO235" s="2936" t="s">
        <v>1825</v>
      </c>
      <c r="AP235" s="2918" t="s">
        <v>1783</v>
      </c>
      <c r="AQ235" s="2936" t="s">
        <v>1825</v>
      </c>
      <c r="AR235" s="2918" t="s">
        <v>1783</v>
      </c>
      <c r="AS235" s="2936" t="s">
        <v>1825</v>
      </c>
      <c r="AT235" s="2919" t="s">
        <v>1783</v>
      </c>
      <c r="AU235" s="2920" t="s">
        <v>1825</v>
      </c>
      <c r="AV235" s="2919" t="s">
        <v>1783</v>
      </c>
      <c r="AW235" s="2920" t="s">
        <v>1825</v>
      </c>
      <c r="AX235" s="2918" t="s">
        <v>1783</v>
      </c>
      <c r="AY235" s="940" t="s">
        <v>1825</v>
      </c>
      <c r="AZ235" s="1191"/>
      <c r="BA235" s="1191"/>
      <c r="BB235" s="1191"/>
      <c r="BC235" s="1191"/>
      <c r="BD235" s="1191"/>
      <c r="BE235" s="1191"/>
      <c r="BF235" s="1191"/>
      <c r="BG235" s="1191"/>
      <c r="BH235" s="1191"/>
    </row>
    <row r="236" spans="1:131" ht="18" customHeight="1" x14ac:dyDescent="0.3">
      <c r="A236" s="7258">
        <v>11057100</v>
      </c>
      <c r="B236" s="8638" t="s">
        <v>1849</v>
      </c>
      <c r="C236" s="748" t="s">
        <v>1826</v>
      </c>
      <c r="D236" s="2198" t="s">
        <v>5369</v>
      </c>
      <c r="E236" s="2199" t="s">
        <v>5370</v>
      </c>
      <c r="F236" s="2200" t="s">
        <v>5371</v>
      </c>
      <c r="G236" s="2201" t="s">
        <v>5372</v>
      </c>
      <c r="H236" s="2202" t="s">
        <v>5373</v>
      </c>
      <c r="I236" s="2201" t="s">
        <v>5374</v>
      </c>
      <c r="J236" s="2202" t="s">
        <v>5375</v>
      </c>
      <c r="K236" s="2201" t="s">
        <v>5376</v>
      </c>
      <c r="L236" s="2202" t="s">
        <v>5377</v>
      </c>
      <c r="M236" s="2201" t="s">
        <v>5378</v>
      </c>
      <c r="N236" s="1134" t="s">
        <v>5379</v>
      </c>
      <c r="O236" s="1115" t="s">
        <v>5380</v>
      </c>
      <c r="P236" s="1135" t="s">
        <v>5381</v>
      </c>
      <c r="Q236" s="1115" t="s">
        <v>5382</v>
      </c>
      <c r="R236" s="1114" t="s">
        <v>5383</v>
      </c>
      <c r="S236" s="1115" t="s">
        <v>5384</v>
      </c>
      <c r="T236" s="1114" t="s">
        <v>5385</v>
      </c>
      <c r="U236" s="1115" t="s">
        <v>5386</v>
      </c>
      <c r="V236" s="1114" t="s">
        <v>5387</v>
      </c>
      <c r="W236" s="1115" t="s">
        <v>5388</v>
      </c>
      <c r="X236" s="1134" t="s">
        <v>5389</v>
      </c>
      <c r="Y236" s="1115" t="s">
        <v>5390</v>
      </c>
      <c r="Z236" s="1134" t="s">
        <v>5391</v>
      </c>
      <c r="AA236" s="1115" t="s">
        <v>5392</v>
      </c>
      <c r="AB236" s="1134" t="s">
        <v>5393</v>
      </c>
      <c r="AC236" s="1115" t="s">
        <v>5394</v>
      </c>
      <c r="AD236" s="1114" t="s">
        <v>5395</v>
      </c>
      <c r="AE236" s="1115" t="s">
        <v>5396</v>
      </c>
      <c r="AF236" s="1137" t="s">
        <v>5397</v>
      </c>
      <c r="AG236" s="1180" t="s">
        <v>5398</v>
      </c>
      <c r="AH236" s="1137" t="s">
        <v>5399</v>
      </c>
      <c r="AI236" s="1180" t="s">
        <v>5400</v>
      </c>
      <c r="AJ236" s="1137" t="s">
        <v>5401</v>
      </c>
      <c r="AK236" s="2203" t="s">
        <v>5402</v>
      </c>
      <c r="AL236" s="2946" t="s">
        <v>5403</v>
      </c>
      <c r="AM236" s="2947" t="s">
        <v>5404</v>
      </c>
      <c r="AN236" s="2852" t="s">
        <v>5405</v>
      </c>
      <c r="AO236" s="2826" t="s">
        <v>5406</v>
      </c>
      <c r="AP236" s="2852" t="s">
        <v>5407</v>
      </c>
      <c r="AQ236" s="2826" t="s">
        <v>5408</v>
      </c>
      <c r="AR236" s="2852" t="s">
        <v>5409</v>
      </c>
      <c r="AS236" s="2826" t="s">
        <v>5410</v>
      </c>
      <c r="AT236" s="2822" t="s">
        <v>5411</v>
      </c>
      <c r="AU236" s="2826" t="s">
        <v>5412</v>
      </c>
      <c r="AV236" s="2822" t="s">
        <v>5413</v>
      </c>
      <c r="AW236" s="2826" t="s">
        <v>5414</v>
      </c>
      <c r="AX236" s="2852" t="s">
        <v>5415</v>
      </c>
      <c r="AY236" s="1115" t="s">
        <v>5416</v>
      </c>
      <c r="AZ236" s="1197" t="e">
        <f t="shared" ref="AZ236:AZ258" si="447">$CB236&amp;$CC236&amp;$CD236&amp;$CE236&amp;$CF236&amp;$CG236&amp;$CH236&amp;$CI236&amp;$CJ236&amp;$CK236&amp;$CL236&amp;$CM236&amp;$CN236&amp;$CO236&amp;$CP236&amp;$CQ236&amp;$CR236&amp;$CS236&amp;$CT236&amp;$CU236&amp;$CV236&amp;$CW236&amp;$CX236&amp;$CY236&amp;$CZ236&amp;$DA236</f>
        <v>#VALUE!</v>
      </c>
      <c r="BA236" s="1191"/>
      <c r="BB236" s="1191"/>
      <c r="BC236" s="1191"/>
      <c r="BD236" s="1191"/>
      <c r="BE236" s="1191"/>
      <c r="BF236" s="1191"/>
      <c r="BG236" s="1191"/>
      <c r="BH236" s="1191"/>
      <c r="CB236" s="2195" t="str">
        <f>IF(DB236=1,"* El total de Confirmados Positivos por ISP NO DEBE ser mayor que el total de Procesados. ","")</f>
        <v xml:space="preserve">* El total de Confirmados Positivos por ISP NO DEBE ser mayor que el total de Procesados. </v>
      </c>
      <c r="CC236" s="2195" t="e">
        <f>IF((AL236+AN236)&lt;&gt;D236,"* El Total de Procesados por sexo DEBE ser igual al Total de Procesados. ",IF((AM236+AO236)&lt;&gt;E236,"* El Total de Confirmados por sexo DEBE ser igual al Total de Confirmados. ",""))</f>
        <v>#VALUE!</v>
      </c>
      <c r="CD236" s="2195" t="e">
        <f>IF((AP236+AR236)&gt;D236,"* El Total de Procesados Trans NO DEBE ser mayor al Total de Procesados. ",IF((AQ236+AS236)&gt;E236,"* El Total de Confirmados Trans NO DEBE ser mayor al Total de Confirmados. ",""))</f>
        <v>#VALUE!</v>
      </c>
      <c r="CE236" s="2195" t="str">
        <f>IF(AT236&gt;D236,"* El Total de Pueblos Originarios Procesados NO DEBE ser mayor al Total de Procesados. ",IF(AU236&gt;E236,"* El Total de Pueblos Originarios Confirmados NO DEBE ser mayor al Total de Confirmados. ",""))</f>
        <v xml:space="preserve">* El Total de Pueblos Originarios Procesados NO DEBE ser mayor al Total de Procesados. </v>
      </c>
      <c r="CF236" s="2195" t="str">
        <f>IF(AV236&gt;D236,"* El Total de Migrantes Procesados NO DEBE ser mayor al Total de Procesados. ",IF(AW236&gt;E236,"* El Total deMigrantes Confirmados NO DEBE ser mayor al Total de Confirmados. ",""))</f>
        <v xml:space="preserve">* El Total de Migrantes Procesados NO DEBE ser mayor al Total de Procesados. </v>
      </c>
      <c r="CG236" s="2195" t="e">
        <f>IF((N236+P236)&lt;AX236,"* El Total de Procesados de 14-18 años NO DEBE ser mayor al Total de Procesados registrados en los grupos de edad 10 a 14 y 15 a 19 años. ",IF((O236+Q236)&lt;AY236,"* El Total de Confirmados de 14-18 años NO DEBE ser mayor al Total de Confirmados registrados en los grupos de edad 10 a 14 y 15 a 19 años. ",""))</f>
        <v>#VALUE!</v>
      </c>
      <c r="CH236" s="2195" t="str">
        <f>IF(DH236=1,CONCATENATE("*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36" s="2195" t="str">
        <f>IF(DI236=1,CONCATENATE("*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36" s="2195" t="str">
        <f>IF(DJ236=1,CONCATENATE("*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36" s="2195" t="str">
        <f>IF(DK236=1,CONCATENATE("*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36" s="2195" t="str">
        <f>IF(DL236=1,CONCATENATE("*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36" s="2195" t="str">
        <f>IF(DM236=1,CONCATENATE("*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36" s="2195" t="str">
        <f>IF(DN236=1,CONCATENATE("*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36" s="2195" t="str">
        <f>IF(DO236=1,CONCATENATE("*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36" s="2195" t="str">
        <f>IF(DP236=1,CONCATENATE("*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36" s="2195" t="str">
        <f>IF(DQ236=1,CONCATENATE("*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36" s="2195" t="str">
        <f>IF(DR236=1,CONCATENATE("*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36" s="2195" t="str">
        <f>IF(DS236=1,CONCATENATE("*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36" s="2195" t="str">
        <f>IF(DT236=1,CONCATENATE("*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36" s="2195" t="str">
        <f>IF(DU236=1,CONCATENATE("*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36" s="2195" t="str">
        <f>IF(DV236=1,CONCATENATE("*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36" s="2195" t="str">
        <f>IF(DW236=1,CONCATENATE("*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36" s="2195" t="str">
        <f>IF(DX236=1,"* No olvide digitar la columna Procesados Trans y/o Pueblos Originarios y/o Migrantes (Digite Cero si no tiene). ","")</f>
        <v/>
      </c>
      <c r="CY236" s="2195" t="str">
        <f>IF(DY236=1,"* No olvide digitar la columna Confirmados Trans y/o Pueblos Originarios y/o Migrantes (Digite Cero si no tiene). ","")</f>
        <v/>
      </c>
      <c r="CZ236" s="2195"/>
      <c r="DA236" s="2195"/>
      <c r="DB236" s="1446">
        <f>IF(D236&lt;E236,1,0)</f>
        <v>1</v>
      </c>
      <c r="DC236" s="1446" t="e">
        <f>IF(OR((AL236+AN236)&lt;&gt;D236,(AM236+AO236)&lt;&gt;E236),1,0)</f>
        <v>#VALUE!</v>
      </c>
      <c r="DD236" s="1446" t="e">
        <f>IF(OR((AP236+AR236)&gt;D236,(AQ236+AS236)&gt;E236),1,0)</f>
        <v>#VALUE!</v>
      </c>
      <c r="DE236" s="1446">
        <f>IF(OR(AT236&gt;D236,AU236&gt;E236),1,0)</f>
        <v>1</v>
      </c>
      <c r="DF236" s="1446">
        <f>IF(OR(AW236&gt;E236,AV236&gt;D236),1,0)</f>
        <v>1</v>
      </c>
      <c r="DG236" s="1446" t="e">
        <f>IF(OR((N236+P236)&lt;AX236,(O236+Q236)&lt;AY236),1,0)</f>
        <v>#VALUE!</v>
      </c>
      <c r="DH236" s="1446">
        <f>IF(F236&lt;G236,1,0)</f>
        <v>1</v>
      </c>
      <c r="DI236" s="1446">
        <f>IF(H236&lt;I236,1,0)</f>
        <v>1</v>
      </c>
      <c r="DJ236" s="1446">
        <f>IF(J236&lt;K236,1,0)</f>
        <v>1</v>
      </c>
      <c r="DK236" s="1446">
        <f>IF(L236&lt;M236,1,0)</f>
        <v>1</v>
      </c>
      <c r="DL236" s="1446">
        <f>IF(N236&lt;O236,1,0)</f>
        <v>1</v>
      </c>
      <c r="DM236" s="1446">
        <f>IF(P236&lt;Q236,1,0)</f>
        <v>1</v>
      </c>
      <c r="DN236" s="1446">
        <f>IF(R236&lt;S236,1,0)</f>
        <v>1</v>
      </c>
      <c r="DO236" s="1446">
        <f>IF(T236&lt;U236,1,0)</f>
        <v>1</v>
      </c>
      <c r="DP236" s="1446">
        <f>IF(V236&lt;W236,1,0)</f>
        <v>1</v>
      </c>
      <c r="DQ236" s="1446">
        <f>IF(X236&lt;Y236,1,0)</f>
        <v>1</v>
      </c>
      <c r="DR236" s="1446">
        <f>IF(Z236&lt;AA236,1,0)</f>
        <v>1</v>
      </c>
      <c r="DS236" s="1446">
        <f>IF(AB236&lt;AC236,1,0)</f>
        <v>1</v>
      </c>
      <c r="DT236" s="1446">
        <f>IF(AD236&lt;AE236,1,0)</f>
        <v>1</v>
      </c>
      <c r="DU236" s="1446">
        <f>IF(AF236&lt;AG236,1,0)</f>
        <v>1</v>
      </c>
      <c r="DV236" s="1446">
        <f>IF(AH236&lt;AI236,1,0)</f>
        <v>1</v>
      </c>
      <c r="DW236" s="1446">
        <f>IF(AJ236&lt;AK236,1,0)</f>
        <v>1</v>
      </c>
      <c r="DX236" s="1446">
        <f>IF(AND(D236&lt;&gt;0,OR(AP236="",AR236="",AT236="",AV236="")),1,0)</f>
        <v>0</v>
      </c>
      <c r="DY236" s="1446">
        <f>IF(AND(E236&lt;&gt;0,OR(AQ236="",AS236="",AU236="",AW236="")),1,0)</f>
        <v>0</v>
      </c>
    </row>
    <row r="237" spans="1:131" ht="18" customHeight="1" x14ac:dyDescent="0.3">
      <c r="A237" s="7258">
        <v>11057101</v>
      </c>
      <c r="B237" s="8705"/>
      <c r="C237" s="1112" t="s">
        <v>1827</v>
      </c>
      <c r="D237" s="2204" t="s">
        <v>5369</v>
      </c>
      <c r="E237" s="2205" t="s">
        <v>5370</v>
      </c>
      <c r="F237" s="2206" t="s">
        <v>5371</v>
      </c>
      <c r="G237" s="2207" t="s">
        <v>5372</v>
      </c>
      <c r="H237" s="2208" t="s">
        <v>5373</v>
      </c>
      <c r="I237" s="2207" t="s">
        <v>5374</v>
      </c>
      <c r="J237" s="2208" t="s">
        <v>5375</v>
      </c>
      <c r="K237" s="2207" t="s">
        <v>5376</v>
      </c>
      <c r="L237" s="2208" t="s">
        <v>5377</v>
      </c>
      <c r="M237" s="2207" t="s">
        <v>5378</v>
      </c>
      <c r="N237" s="1134" t="s">
        <v>5379</v>
      </c>
      <c r="O237" s="1115" t="s">
        <v>5380</v>
      </c>
      <c r="P237" s="1135" t="s">
        <v>5381</v>
      </c>
      <c r="Q237" s="1115" t="s">
        <v>5382</v>
      </c>
      <c r="R237" s="1114" t="s">
        <v>5383</v>
      </c>
      <c r="S237" s="1115" t="s">
        <v>5384</v>
      </c>
      <c r="T237" s="1114" t="s">
        <v>5385</v>
      </c>
      <c r="U237" s="1115" t="s">
        <v>5386</v>
      </c>
      <c r="V237" s="1114" t="s">
        <v>5387</v>
      </c>
      <c r="W237" s="1115" t="s">
        <v>5388</v>
      </c>
      <c r="X237" s="1134" t="s">
        <v>5389</v>
      </c>
      <c r="Y237" s="1115" t="s">
        <v>5390</v>
      </c>
      <c r="Z237" s="1134" t="s">
        <v>5391</v>
      </c>
      <c r="AA237" s="1115" t="s">
        <v>5392</v>
      </c>
      <c r="AB237" s="1134" t="s">
        <v>5393</v>
      </c>
      <c r="AC237" s="1115" t="s">
        <v>5394</v>
      </c>
      <c r="AD237" s="1114" t="s">
        <v>5395</v>
      </c>
      <c r="AE237" s="1115" t="s">
        <v>5396</v>
      </c>
      <c r="AF237" s="1137" t="s">
        <v>5397</v>
      </c>
      <c r="AG237" s="1180" t="s">
        <v>5398</v>
      </c>
      <c r="AH237" s="1137" t="s">
        <v>5399</v>
      </c>
      <c r="AI237" s="1180" t="s">
        <v>5400</v>
      </c>
      <c r="AJ237" s="1137" t="s">
        <v>5401</v>
      </c>
      <c r="AK237" s="2203" t="s">
        <v>5402</v>
      </c>
      <c r="AL237" s="2946" t="s">
        <v>5403</v>
      </c>
      <c r="AM237" s="2947" t="s">
        <v>5404</v>
      </c>
      <c r="AN237" s="2852" t="s">
        <v>5405</v>
      </c>
      <c r="AO237" s="2826" t="s">
        <v>5406</v>
      </c>
      <c r="AP237" s="2852" t="s">
        <v>5407</v>
      </c>
      <c r="AQ237" s="2826" t="s">
        <v>5408</v>
      </c>
      <c r="AR237" s="2852" t="s">
        <v>5409</v>
      </c>
      <c r="AS237" s="2826" t="s">
        <v>5410</v>
      </c>
      <c r="AT237" s="2822" t="s">
        <v>5411</v>
      </c>
      <c r="AU237" s="2826" t="s">
        <v>5412</v>
      </c>
      <c r="AV237" s="2822" t="s">
        <v>5413</v>
      </c>
      <c r="AW237" s="2826" t="s">
        <v>5414</v>
      </c>
      <c r="AX237" s="2852" t="s">
        <v>5415</v>
      </c>
      <c r="AY237" s="1115" t="s">
        <v>5416</v>
      </c>
      <c r="AZ237" s="1197" t="e">
        <f t="shared" si="447"/>
        <v>#VALUE!</v>
      </c>
      <c r="BA237" s="1191"/>
      <c r="BB237" s="1191"/>
      <c r="BC237" s="1191"/>
      <c r="BD237" s="1191"/>
      <c r="BE237" s="1191"/>
      <c r="BF237" s="1191"/>
      <c r="BG237" s="1191"/>
      <c r="BH237" s="1191"/>
      <c r="CB237" s="2195" t="str">
        <f t="shared" ref="CB237:CB258" si="448">IF(DB237=1,"* El total de Confirmados Positivos por ISP NO DEBE ser mayor que el total de Procesados. ","")</f>
        <v xml:space="preserve">* El total de Confirmados Positivos por ISP NO DEBE ser mayor que el total de Procesados. </v>
      </c>
      <c r="CC237" s="2195" t="e">
        <f t="shared" ref="CC237:CC258" si="449">IF((AL237+AN237)&lt;&gt;D237,"* El Total de Procesados por sexo DEBE ser igual al Total de Procesados. ",IF((AM237+AO237)&lt;&gt;E237,"* El Total de Confirmados por sexo DEBE ser igual al Total de Confirmados. ",""))</f>
        <v>#VALUE!</v>
      </c>
      <c r="CD237" s="2195" t="e">
        <f t="shared" ref="CD237:CD258" si="450">IF((AP237+AR237)&gt;D237,"* El Total de Procesados Trans NO DEBE ser mayor al Total de Procesados. ",IF((AQ237+AS237)&gt;E237,"* El Total de Confirmados Trans NO DEBE ser mayor al Total de Confirmados. ",""))</f>
        <v>#VALUE!</v>
      </c>
      <c r="CE237" s="2195" t="str">
        <f t="shared" ref="CE237:CE258" si="451">IF(AT237&gt;D237,"* El Total de Pueblos Originarios Procesados NO DEBE ser mayor al Total de Procesados. ",IF(AU237&gt;E237,"* El Total de Pueblos Originarios Confirmados NO DEBE ser mayor al Total de Confirmados. ",""))</f>
        <v xml:space="preserve">* El Total de Pueblos Originarios Procesados NO DEBE ser mayor al Total de Procesados. </v>
      </c>
      <c r="CF237" s="2195" t="str">
        <f t="shared" ref="CF237:CF258" si="452">IF(AV237&gt;D237,"* El Total de Migrantes Procesados NO DEBE ser mayor al Total de Procesados. ",IF(AW237&gt;E237,"* El Total deMigrantes Confirmados NO DEBE ser mayor al Total de Confirmados. ",""))</f>
        <v xml:space="preserve">* El Total de Migrantes Procesados NO DEBE ser mayor al Total de Procesados. </v>
      </c>
      <c r="CG237" s="2195" t="e">
        <f t="shared" ref="CG237:CG258" si="453">IF((N237+P237)&lt;AX237,"* El Total de Procesados de 14-18 años NO DEBE ser mayor al Total de Procesados registrados en los grupos de edad 10 a 14 y 15 a 19 años. ",IF((O237+Q237)&lt;AY237,"* El Total de Confirmados de 14-18 años NO DEBE ser mayor al Total de Confirmados registrados en los grupos de edad 10 a 14 y 15 a 19 años. ",""))</f>
        <v>#VALUE!</v>
      </c>
      <c r="CH237" s="2195" t="str">
        <f t="shared" ref="CH237:CH258" si="454">IF(DH237=1,CONCATENATE("*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37" s="2195" t="str">
        <f t="shared" ref="CI237:CI258" si="455">IF(DI237=1,CONCATENATE("*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37" s="2195" t="str">
        <f t="shared" ref="CJ237:CJ258" si="456">IF(DJ237=1,CONCATENATE("*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37" s="2195" t="str">
        <f t="shared" ref="CK237:CK258" si="457">IF(DK237=1,CONCATENATE("*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37" s="2195" t="str">
        <f t="shared" ref="CL237:CL258" si="458">IF(DL237=1,CONCATENATE("*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37" s="2195" t="str">
        <f t="shared" ref="CM237:CM258" si="459">IF(DM237=1,CONCATENATE("*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37" s="2195" t="str">
        <f t="shared" ref="CN237:CN258" si="460">IF(DN237=1,CONCATENATE("*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37" s="2195" t="str">
        <f t="shared" ref="CO237:CO258" si="461">IF(DO237=1,CONCATENATE("*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37" s="2195" t="str">
        <f t="shared" ref="CP237:CP258" si="462">IF(DP237=1,CONCATENATE("*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37" s="2195" t="str">
        <f t="shared" ref="CQ237:CQ258" si="463">IF(DQ237=1,CONCATENATE("*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37" s="2195" t="str">
        <f t="shared" ref="CR237:CR258" si="464">IF(DR237=1,CONCATENATE("*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37" s="2195" t="str">
        <f t="shared" ref="CS237:CS258" si="465">IF(DS237=1,CONCATENATE("*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37" s="2195" t="str">
        <f t="shared" ref="CT237:CT258" si="466">IF(DT237=1,CONCATENATE("*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37" s="2195" t="str">
        <f t="shared" ref="CU237:CU258" si="467">IF(DU237=1,CONCATENATE("*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37" s="2195" t="str">
        <f t="shared" ref="CV237:CV258" si="468">IF(DV237=1,CONCATENATE("*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37" s="2195" t="str">
        <f t="shared" ref="CW237:CW258" si="469">IF(DW237=1,CONCATENATE("*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37" s="2195" t="str">
        <f t="shared" ref="CX237:CX258" si="470">IF(DX237=1,"* No olvide digitar la columna Procesados Trans y/o Pueblos Originarios y/o Migrantes (Digite Cero si no tiene). ","")</f>
        <v/>
      </c>
      <c r="CY237" s="2195" t="str">
        <f t="shared" ref="CY237:CY258" si="471">IF(DY237=1,"* No olvide digitar la columna Confirmados Trans y/o Pueblos Originarios y/o Migrantes (Digite Cero si no tiene). ","")</f>
        <v/>
      </c>
      <c r="CZ237" s="2195"/>
      <c r="DA237" s="2195"/>
      <c r="DB237" s="1446">
        <f t="shared" ref="DB237:DB258" si="472">IF(D237&lt;E237,1,0)</f>
        <v>1</v>
      </c>
      <c r="DC237" s="1446" t="e">
        <f t="shared" ref="DC237:DC258" si="473">IF(OR((AL237+AN237)&lt;&gt;D237,(AM237+AO237)&lt;&gt;E237),1,0)</f>
        <v>#VALUE!</v>
      </c>
      <c r="DD237" s="1446" t="e">
        <f t="shared" ref="DD237:DD258" si="474">IF(OR((AP237+AR237)&gt;D237,(AQ237+AS237)&gt;E237),1,0)</f>
        <v>#VALUE!</v>
      </c>
      <c r="DE237" s="1446">
        <f t="shared" ref="DE237:DE258" si="475">IF(OR(AT237&gt;D237,AU237&gt;E237),1,0)</f>
        <v>1</v>
      </c>
      <c r="DF237" s="1446">
        <f t="shared" ref="DF237:DF258" si="476">IF(OR(AW237&gt;E237,AV237&gt;D237),1,0)</f>
        <v>1</v>
      </c>
      <c r="DG237" s="1446" t="e">
        <f t="shared" ref="DG237:DG258" si="477">IF(OR((N237+P237)&lt;AX237,(O237+Q237)&lt;AY237),1,0)</f>
        <v>#VALUE!</v>
      </c>
      <c r="DH237" s="1446">
        <f t="shared" ref="DH237:DH258" si="478">IF(F237&lt;G237,1,0)</f>
        <v>1</v>
      </c>
      <c r="DI237" s="1446">
        <f t="shared" ref="DI237:DI258" si="479">IF(H237&lt;I237,1,0)</f>
        <v>1</v>
      </c>
      <c r="DJ237" s="1446">
        <f t="shared" ref="DJ237:DJ258" si="480">IF(J237&lt;K237,1,0)</f>
        <v>1</v>
      </c>
      <c r="DK237" s="1446">
        <f t="shared" ref="DK237:DK258" si="481">IF(L237&lt;M237,1,0)</f>
        <v>1</v>
      </c>
      <c r="DL237" s="1446">
        <f t="shared" ref="DL237:DL258" si="482">IF(N237&lt;O237,1,0)</f>
        <v>1</v>
      </c>
      <c r="DM237" s="1446">
        <f t="shared" ref="DM237:DM258" si="483">IF(P237&lt;Q237,1,0)</f>
        <v>1</v>
      </c>
      <c r="DN237" s="1446">
        <f t="shared" ref="DN237:DN258" si="484">IF(R237&lt;S237,1,0)</f>
        <v>1</v>
      </c>
      <c r="DO237" s="1446">
        <f t="shared" ref="DO237:DO258" si="485">IF(T237&lt;U237,1,0)</f>
        <v>1</v>
      </c>
      <c r="DP237" s="1446">
        <f t="shared" ref="DP237:DP258" si="486">IF(V237&lt;W237,1,0)</f>
        <v>1</v>
      </c>
      <c r="DQ237" s="1446">
        <f t="shared" ref="DQ237:DQ258" si="487">IF(X237&lt;Y237,1,0)</f>
        <v>1</v>
      </c>
      <c r="DR237" s="1446">
        <f t="shared" ref="DR237:DR258" si="488">IF(Z237&lt;AA237,1,0)</f>
        <v>1</v>
      </c>
      <c r="DS237" s="1446">
        <f t="shared" ref="DS237:DS258" si="489">IF(AB237&lt;AC237,1,0)</f>
        <v>1</v>
      </c>
      <c r="DT237" s="1446">
        <f t="shared" ref="DT237:DT258" si="490">IF(AD237&lt;AE237,1,0)</f>
        <v>1</v>
      </c>
      <c r="DU237" s="1446">
        <f t="shared" ref="DU237:DU258" si="491">IF(AF237&lt;AG237,1,0)</f>
        <v>1</v>
      </c>
      <c r="DV237" s="1446">
        <f t="shared" ref="DV237:DV258" si="492">IF(AH237&lt;AI237,1,0)</f>
        <v>1</v>
      </c>
      <c r="DW237" s="1446">
        <f t="shared" ref="DW237:DW258" si="493">IF(AJ237&lt;AK237,1,0)</f>
        <v>1</v>
      </c>
      <c r="DX237" s="1446">
        <f t="shared" ref="DX237:DY251" si="494">IF(AND(D237&lt;&gt;0,OR(AP237="",AR237="",AT237="",AV237="")),1,0)</f>
        <v>0</v>
      </c>
      <c r="DY237" s="1446">
        <f t="shared" si="494"/>
        <v>0</v>
      </c>
    </row>
    <row r="238" spans="1:131" ht="27.75" customHeight="1" x14ac:dyDescent="0.3">
      <c r="A238" s="7258">
        <v>11057102</v>
      </c>
      <c r="B238" s="8705"/>
      <c r="C238" s="1147" t="s">
        <v>1828</v>
      </c>
      <c r="D238" s="2204" t="s">
        <v>5369</v>
      </c>
      <c r="E238" s="2205" t="s">
        <v>5370</v>
      </c>
      <c r="F238" s="2206" t="s">
        <v>5371</v>
      </c>
      <c r="G238" s="2207" t="s">
        <v>5372</v>
      </c>
      <c r="H238" s="2208" t="s">
        <v>5373</v>
      </c>
      <c r="I238" s="2207" t="s">
        <v>5374</v>
      </c>
      <c r="J238" s="2208" t="s">
        <v>5375</v>
      </c>
      <c r="K238" s="2207" t="s">
        <v>5376</v>
      </c>
      <c r="L238" s="2208" t="s">
        <v>5377</v>
      </c>
      <c r="M238" s="2207" t="s">
        <v>5378</v>
      </c>
      <c r="N238" s="2209" t="s">
        <v>5379</v>
      </c>
      <c r="O238" s="2210" t="s">
        <v>5380</v>
      </c>
      <c r="P238" s="1135" t="s">
        <v>5381</v>
      </c>
      <c r="Q238" s="1115" t="s">
        <v>5382</v>
      </c>
      <c r="R238" s="1114" t="s">
        <v>5383</v>
      </c>
      <c r="S238" s="1115" t="s">
        <v>5384</v>
      </c>
      <c r="T238" s="1114" t="s">
        <v>5385</v>
      </c>
      <c r="U238" s="1115" t="s">
        <v>5386</v>
      </c>
      <c r="V238" s="1114" t="s">
        <v>5387</v>
      </c>
      <c r="W238" s="1115" t="s">
        <v>5388</v>
      </c>
      <c r="X238" s="1134" t="s">
        <v>5389</v>
      </c>
      <c r="Y238" s="1115" t="s">
        <v>5390</v>
      </c>
      <c r="Z238" s="1134" t="s">
        <v>5391</v>
      </c>
      <c r="AA238" s="1115" t="s">
        <v>5392</v>
      </c>
      <c r="AB238" s="1134" t="s">
        <v>5393</v>
      </c>
      <c r="AC238" s="1115" t="s">
        <v>5394</v>
      </c>
      <c r="AD238" s="1114" t="s">
        <v>5395</v>
      </c>
      <c r="AE238" s="1115" t="s">
        <v>5396</v>
      </c>
      <c r="AF238" s="1137" t="s">
        <v>5397</v>
      </c>
      <c r="AG238" s="1180" t="s">
        <v>5398</v>
      </c>
      <c r="AH238" s="1137" t="s">
        <v>5399</v>
      </c>
      <c r="AI238" s="1180" t="s">
        <v>5400</v>
      </c>
      <c r="AJ238" s="1137" t="s">
        <v>5401</v>
      </c>
      <c r="AK238" s="2203" t="s">
        <v>5402</v>
      </c>
      <c r="AL238" s="2946" t="s">
        <v>5403</v>
      </c>
      <c r="AM238" s="2947" t="s">
        <v>5404</v>
      </c>
      <c r="AN238" s="2852" t="s">
        <v>5405</v>
      </c>
      <c r="AO238" s="2826" t="s">
        <v>5406</v>
      </c>
      <c r="AP238" s="2852" t="s">
        <v>5407</v>
      </c>
      <c r="AQ238" s="2826" t="s">
        <v>5408</v>
      </c>
      <c r="AR238" s="2852" t="s">
        <v>5409</v>
      </c>
      <c r="AS238" s="2826" t="s">
        <v>5410</v>
      </c>
      <c r="AT238" s="2822" t="s">
        <v>5411</v>
      </c>
      <c r="AU238" s="2826" t="s">
        <v>5412</v>
      </c>
      <c r="AV238" s="2822" t="s">
        <v>5413</v>
      </c>
      <c r="AW238" s="2826" t="s">
        <v>5414</v>
      </c>
      <c r="AX238" s="2852" t="s">
        <v>5415</v>
      </c>
      <c r="AY238" s="1115" t="s">
        <v>5416</v>
      </c>
      <c r="AZ238" s="1197" t="e">
        <f t="shared" si="447"/>
        <v>#VALUE!</v>
      </c>
      <c r="CB238" s="2195" t="str">
        <f t="shared" si="448"/>
        <v xml:space="preserve">* El total de Confirmados Positivos por ISP NO DEBE ser mayor que el total de Procesados. </v>
      </c>
      <c r="CC238" s="2195" t="e">
        <f t="shared" si="449"/>
        <v>#VALUE!</v>
      </c>
      <c r="CD238" s="2195" t="e">
        <f t="shared" si="450"/>
        <v>#VALUE!</v>
      </c>
      <c r="CE238" s="2195" t="str">
        <f t="shared" si="451"/>
        <v xml:space="preserve">* El Total de Pueblos Originarios Procesados NO DEBE ser mayor al Total de Procesados. </v>
      </c>
      <c r="CF238" s="2195" t="str">
        <f t="shared" si="452"/>
        <v xml:space="preserve">* El Total de Migrantes Procesados NO DEBE ser mayor al Total de Procesados. </v>
      </c>
      <c r="CG238" s="2195" t="e">
        <f t="shared" si="453"/>
        <v>#VALUE!</v>
      </c>
      <c r="CH238" s="2195" t="str">
        <f t="shared" si="454"/>
        <v xml:space="preserve">* Los exámenes positivos de Menor de 12 meses NO DEBEN ser mayor a los exámenes procesados de la misma edad. </v>
      </c>
      <c r="CI238" s="2195" t="str">
        <f t="shared" si="455"/>
        <v xml:space="preserve">* Los exámenes positivos de 12-24 meses NO DEBEN ser mayor a los exámenes procesados de la misma edad. </v>
      </c>
      <c r="CJ238" s="2195" t="str">
        <f t="shared" si="456"/>
        <v xml:space="preserve">* Los exámenes positivos de 3 a 4 años NO DEBEN ser mayor a los exámenes procesados de la misma edad. </v>
      </c>
      <c r="CK238" s="2195" t="str">
        <f t="shared" si="457"/>
        <v xml:space="preserve">* Los exámenes positivos de 5 a 9 años NO DEBEN ser mayor a los exámenes procesados de la misma edad. </v>
      </c>
      <c r="CL238" s="2195" t="str">
        <f t="shared" si="458"/>
        <v xml:space="preserve">* Los exámenes positivos de 10 a 14 años NO DEBEN ser mayor a los exámenes procesados de la misma edad. </v>
      </c>
      <c r="CM238" s="2195" t="str">
        <f t="shared" si="459"/>
        <v xml:space="preserve">* Los exámenes positivos de 15 a 19 años NO DEBEN ser mayor a los exámenes procesados de la misma edad. </v>
      </c>
      <c r="CN238" s="2195" t="str">
        <f t="shared" si="460"/>
        <v xml:space="preserve">* Los exámenes positivos de 20 a 24 años NO DEBEN ser mayor a los exámenes procesados de la misma edad. </v>
      </c>
      <c r="CO238" s="2195" t="str">
        <f t="shared" si="461"/>
        <v xml:space="preserve">* Los exámenes positivos de 25 a 29 años NO DEBEN ser mayor a los exámenes procesados de la misma edad. </v>
      </c>
      <c r="CP238" s="2195" t="str">
        <f t="shared" si="462"/>
        <v xml:space="preserve">* Los exámenes positivos de 30 a 34 años NO DEBEN ser mayor a los exámenes procesados de la misma edad. </v>
      </c>
      <c r="CQ238" s="2195" t="str">
        <f t="shared" si="463"/>
        <v xml:space="preserve">* Los exámenes positivos de 35 a 39 años NO DEBEN ser mayor a los exámenes procesados de la misma edad. </v>
      </c>
      <c r="CR238" s="2195" t="str">
        <f t="shared" si="464"/>
        <v xml:space="preserve">* Los exámenes positivos de 40 a 44 años NO DEBEN ser mayor a los exámenes procesados de la misma edad. </v>
      </c>
      <c r="CS238" s="2195" t="str">
        <f t="shared" si="465"/>
        <v xml:space="preserve">* Los exámenes positivos de 45 a 49 años NO DEBEN ser mayor a los exámenes procesados de la misma edad. </v>
      </c>
      <c r="CT238" s="2195" t="str">
        <f t="shared" si="466"/>
        <v xml:space="preserve">* Los exámenes positivos de 50 a 54 años NO DEBEN ser mayor a los exámenes procesados de la misma edad. </v>
      </c>
      <c r="CU238" s="2195" t="str">
        <f t="shared" si="467"/>
        <v xml:space="preserve">* Los exámenes positivos de 55 a 59 años NO DEBEN ser mayor a los exámenes procesados de la misma edad. </v>
      </c>
      <c r="CV238" s="2195" t="str">
        <f t="shared" si="468"/>
        <v xml:space="preserve">* Los exámenes positivos de 60 a 64 años NO DEBEN ser mayor a los exámenes procesados de la misma edad. </v>
      </c>
      <c r="CW238" s="2195" t="str">
        <f t="shared" si="469"/>
        <v xml:space="preserve">* Los exámenes positivos de  65 y más años NO DEBEN ser mayor a los exámenes procesados de la misma edad. </v>
      </c>
      <c r="CX238" s="2195" t="str">
        <f t="shared" si="470"/>
        <v/>
      </c>
      <c r="CY238" s="2195" t="str">
        <f t="shared" si="471"/>
        <v/>
      </c>
      <c r="CZ238" s="2195"/>
      <c r="DA238" s="2195"/>
      <c r="DB238" s="1446">
        <f t="shared" si="472"/>
        <v>1</v>
      </c>
      <c r="DC238" s="1446" t="e">
        <f t="shared" si="473"/>
        <v>#VALUE!</v>
      </c>
      <c r="DD238" s="1446" t="e">
        <f t="shared" si="474"/>
        <v>#VALUE!</v>
      </c>
      <c r="DE238" s="1446">
        <f t="shared" si="475"/>
        <v>1</v>
      </c>
      <c r="DF238" s="1446">
        <f t="shared" si="476"/>
        <v>1</v>
      </c>
      <c r="DG238" s="1446" t="e">
        <f t="shared" si="477"/>
        <v>#VALUE!</v>
      </c>
      <c r="DH238" s="1446">
        <f t="shared" si="478"/>
        <v>1</v>
      </c>
      <c r="DI238" s="1446">
        <f t="shared" si="479"/>
        <v>1</v>
      </c>
      <c r="DJ238" s="1446">
        <f t="shared" si="480"/>
        <v>1</v>
      </c>
      <c r="DK238" s="1446">
        <f t="shared" si="481"/>
        <v>1</v>
      </c>
      <c r="DL238" s="1446">
        <f t="shared" si="482"/>
        <v>1</v>
      </c>
      <c r="DM238" s="1446">
        <f t="shared" si="483"/>
        <v>1</v>
      </c>
      <c r="DN238" s="1446">
        <f t="shared" si="484"/>
        <v>1</v>
      </c>
      <c r="DO238" s="1446">
        <f t="shared" si="485"/>
        <v>1</v>
      </c>
      <c r="DP238" s="1446">
        <f t="shared" si="486"/>
        <v>1</v>
      </c>
      <c r="DQ238" s="1446">
        <f t="shared" si="487"/>
        <v>1</v>
      </c>
      <c r="DR238" s="1446">
        <f t="shared" si="488"/>
        <v>1</v>
      </c>
      <c r="DS238" s="1446">
        <f t="shared" si="489"/>
        <v>1</v>
      </c>
      <c r="DT238" s="1446">
        <f t="shared" si="490"/>
        <v>1</v>
      </c>
      <c r="DU238" s="1446">
        <f t="shared" si="491"/>
        <v>1</v>
      </c>
      <c r="DV238" s="1446">
        <f t="shared" si="492"/>
        <v>1</v>
      </c>
      <c r="DW238" s="1446">
        <f t="shared" si="493"/>
        <v>1</v>
      </c>
      <c r="DX238" s="1446">
        <f t="shared" si="494"/>
        <v>0</v>
      </c>
      <c r="DY238" s="1446">
        <f t="shared" si="494"/>
        <v>0</v>
      </c>
    </row>
    <row r="239" spans="1:131" ht="28.5" customHeight="1" x14ac:dyDescent="0.3">
      <c r="A239" s="7258">
        <v>11057103</v>
      </c>
      <c r="B239" s="8705"/>
      <c r="C239" s="1147" t="s">
        <v>1795</v>
      </c>
      <c r="D239" s="2204" t="s">
        <v>5369</v>
      </c>
      <c r="E239" s="2205" t="s">
        <v>5370</v>
      </c>
      <c r="F239" s="2206" t="s">
        <v>5371</v>
      </c>
      <c r="G239" s="2207" t="s">
        <v>5372</v>
      </c>
      <c r="H239" s="2208" t="s">
        <v>5373</v>
      </c>
      <c r="I239" s="2207" t="s">
        <v>5374</v>
      </c>
      <c r="J239" s="2208" t="s">
        <v>5375</v>
      </c>
      <c r="K239" s="2207" t="s">
        <v>5376</v>
      </c>
      <c r="L239" s="2208" t="s">
        <v>5377</v>
      </c>
      <c r="M239" s="2207" t="s">
        <v>5378</v>
      </c>
      <c r="N239" s="2211" t="s">
        <v>5379</v>
      </c>
      <c r="O239" s="2212" t="s">
        <v>5380</v>
      </c>
      <c r="P239" s="1134" t="s">
        <v>5381</v>
      </c>
      <c r="Q239" s="1115" t="s">
        <v>5382</v>
      </c>
      <c r="R239" s="1114" t="s">
        <v>5383</v>
      </c>
      <c r="S239" s="1115" t="s">
        <v>5384</v>
      </c>
      <c r="T239" s="1114" t="s">
        <v>5385</v>
      </c>
      <c r="U239" s="1115" t="s">
        <v>5386</v>
      </c>
      <c r="V239" s="1114" t="s">
        <v>5387</v>
      </c>
      <c r="W239" s="1115" t="s">
        <v>5388</v>
      </c>
      <c r="X239" s="1134" t="s">
        <v>5389</v>
      </c>
      <c r="Y239" s="1115" t="s">
        <v>5390</v>
      </c>
      <c r="Z239" s="1134" t="s">
        <v>5391</v>
      </c>
      <c r="AA239" s="1115" t="s">
        <v>5392</v>
      </c>
      <c r="AB239" s="1134" t="s">
        <v>5393</v>
      </c>
      <c r="AC239" s="1115" t="s">
        <v>5394</v>
      </c>
      <c r="AD239" s="1114" t="s">
        <v>5395</v>
      </c>
      <c r="AE239" s="1115" t="s">
        <v>5396</v>
      </c>
      <c r="AF239" s="1134" t="s">
        <v>5397</v>
      </c>
      <c r="AG239" s="1115" t="s">
        <v>5398</v>
      </c>
      <c r="AH239" s="1134" t="s">
        <v>5399</v>
      </c>
      <c r="AI239" s="1115" t="s">
        <v>5400</v>
      </c>
      <c r="AJ239" s="1134" t="s">
        <v>5401</v>
      </c>
      <c r="AK239" s="1162" t="s">
        <v>5402</v>
      </c>
      <c r="AL239" s="2848" t="s">
        <v>5403</v>
      </c>
      <c r="AM239" s="2826" t="s">
        <v>5404</v>
      </c>
      <c r="AN239" s="2852" t="s">
        <v>5405</v>
      </c>
      <c r="AO239" s="2826" t="s">
        <v>5406</v>
      </c>
      <c r="AP239" s="2852" t="s">
        <v>5407</v>
      </c>
      <c r="AQ239" s="2826" t="s">
        <v>5408</v>
      </c>
      <c r="AR239" s="2852" t="s">
        <v>5409</v>
      </c>
      <c r="AS239" s="2826" t="s">
        <v>5410</v>
      </c>
      <c r="AT239" s="2822" t="s">
        <v>5411</v>
      </c>
      <c r="AU239" s="2826" t="s">
        <v>5412</v>
      </c>
      <c r="AV239" s="2822" t="s">
        <v>5413</v>
      </c>
      <c r="AW239" s="2826" t="s">
        <v>5414</v>
      </c>
      <c r="AX239" s="2852" t="s">
        <v>5415</v>
      </c>
      <c r="AY239" s="1115" t="s">
        <v>5416</v>
      </c>
      <c r="AZ239" s="1197" t="e">
        <f t="shared" si="447"/>
        <v>#VALUE!</v>
      </c>
      <c r="CB239" s="2195" t="str">
        <f t="shared" si="448"/>
        <v xml:space="preserve">* El total de Confirmados Positivos por ISP NO DEBE ser mayor que el total de Procesados. </v>
      </c>
      <c r="CC239" s="2195" t="e">
        <f t="shared" si="449"/>
        <v>#VALUE!</v>
      </c>
      <c r="CD239" s="2195" t="e">
        <f t="shared" si="450"/>
        <v>#VALUE!</v>
      </c>
      <c r="CE239" s="2195" t="str">
        <f t="shared" si="451"/>
        <v xml:space="preserve">* El Total de Pueblos Originarios Procesados NO DEBE ser mayor al Total de Procesados. </v>
      </c>
      <c r="CF239" s="2195" t="str">
        <f t="shared" si="452"/>
        <v xml:space="preserve">* El Total de Migrantes Procesados NO DEBE ser mayor al Total de Procesados. </v>
      </c>
      <c r="CG239" s="2195" t="e">
        <f t="shared" si="453"/>
        <v>#VALUE!</v>
      </c>
      <c r="CH239" s="2195" t="str">
        <f t="shared" si="454"/>
        <v xml:space="preserve">* Los exámenes positivos de Menor de 12 meses NO DEBEN ser mayor a los exámenes procesados de la misma edad. </v>
      </c>
      <c r="CI239" s="2195" t="str">
        <f t="shared" si="455"/>
        <v xml:space="preserve">* Los exámenes positivos de 12-24 meses NO DEBEN ser mayor a los exámenes procesados de la misma edad. </v>
      </c>
      <c r="CJ239" s="2195" t="str">
        <f t="shared" si="456"/>
        <v xml:space="preserve">* Los exámenes positivos de 3 a 4 años NO DEBEN ser mayor a los exámenes procesados de la misma edad. </v>
      </c>
      <c r="CK239" s="2195" t="str">
        <f t="shared" si="457"/>
        <v xml:space="preserve">* Los exámenes positivos de 5 a 9 años NO DEBEN ser mayor a los exámenes procesados de la misma edad. </v>
      </c>
      <c r="CL239" s="2195" t="str">
        <f t="shared" si="458"/>
        <v xml:space="preserve">* Los exámenes positivos de 10 a 14 años NO DEBEN ser mayor a los exámenes procesados de la misma edad. </v>
      </c>
      <c r="CM239" s="2195" t="str">
        <f t="shared" si="459"/>
        <v xml:space="preserve">* Los exámenes positivos de 15 a 19 años NO DEBEN ser mayor a los exámenes procesados de la misma edad. </v>
      </c>
      <c r="CN239" s="2195" t="str">
        <f t="shared" si="460"/>
        <v xml:space="preserve">* Los exámenes positivos de 20 a 24 años NO DEBEN ser mayor a los exámenes procesados de la misma edad. </v>
      </c>
      <c r="CO239" s="2195" t="str">
        <f t="shared" si="461"/>
        <v xml:space="preserve">* Los exámenes positivos de 25 a 29 años NO DEBEN ser mayor a los exámenes procesados de la misma edad. </v>
      </c>
      <c r="CP239" s="2195" t="str">
        <f t="shared" si="462"/>
        <v xml:space="preserve">* Los exámenes positivos de 30 a 34 años NO DEBEN ser mayor a los exámenes procesados de la misma edad. </v>
      </c>
      <c r="CQ239" s="2195" t="str">
        <f t="shared" si="463"/>
        <v xml:space="preserve">* Los exámenes positivos de 35 a 39 años NO DEBEN ser mayor a los exámenes procesados de la misma edad. </v>
      </c>
      <c r="CR239" s="2195" t="str">
        <f t="shared" si="464"/>
        <v xml:space="preserve">* Los exámenes positivos de 40 a 44 años NO DEBEN ser mayor a los exámenes procesados de la misma edad. </v>
      </c>
      <c r="CS239" s="2195" t="str">
        <f t="shared" si="465"/>
        <v xml:space="preserve">* Los exámenes positivos de 45 a 49 años NO DEBEN ser mayor a los exámenes procesados de la misma edad. </v>
      </c>
      <c r="CT239" s="2195" t="str">
        <f t="shared" si="466"/>
        <v xml:space="preserve">* Los exámenes positivos de 50 a 54 años NO DEBEN ser mayor a los exámenes procesados de la misma edad. </v>
      </c>
      <c r="CU239" s="2195" t="str">
        <f t="shared" si="467"/>
        <v xml:space="preserve">* Los exámenes positivos de 55 a 59 años NO DEBEN ser mayor a los exámenes procesados de la misma edad. </v>
      </c>
      <c r="CV239" s="2195" t="str">
        <f t="shared" si="468"/>
        <v xml:space="preserve">* Los exámenes positivos de 60 a 64 años NO DEBEN ser mayor a los exámenes procesados de la misma edad. </v>
      </c>
      <c r="CW239" s="2195" t="str">
        <f t="shared" si="469"/>
        <v xml:space="preserve">* Los exámenes positivos de  65 y más años NO DEBEN ser mayor a los exámenes procesados de la misma edad. </v>
      </c>
      <c r="CX239" s="2195" t="str">
        <f t="shared" si="470"/>
        <v/>
      </c>
      <c r="CY239" s="2195" t="str">
        <f t="shared" si="471"/>
        <v/>
      </c>
      <c r="CZ239" s="2195"/>
      <c r="DA239" s="2195"/>
      <c r="DB239" s="1446">
        <f t="shared" si="472"/>
        <v>1</v>
      </c>
      <c r="DC239" s="1446" t="e">
        <f t="shared" si="473"/>
        <v>#VALUE!</v>
      </c>
      <c r="DD239" s="1446" t="e">
        <f t="shared" si="474"/>
        <v>#VALUE!</v>
      </c>
      <c r="DE239" s="1446">
        <f t="shared" si="475"/>
        <v>1</v>
      </c>
      <c r="DF239" s="1446">
        <f t="shared" si="476"/>
        <v>1</v>
      </c>
      <c r="DG239" s="1446" t="e">
        <f t="shared" si="477"/>
        <v>#VALUE!</v>
      </c>
      <c r="DH239" s="1446">
        <f t="shared" si="478"/>
        <v>1</v>
      </c>
      <c r="DI239" s="1446">
        <f t="shared" si="479"/>
        <v>1</v>
      </c>
      <c r="DJ239" s="1446">
        <f t="shared" si="480"/>
        <v>1</v>
      </c>
      <c r="DK239" s="1446">
        <f t="shared" si="481"/>
        <v>1</v>
      </c>
      <c r="DL239" s="1446">
        <f t="shared" si="482"/>
        <v>1</v>
      </c>
      <c r="DM239" s="1446">
        <f t="shared" si="483"/>
        <v>1</v>
      </c>
      <c r="DN239" s="1446">
        <f t="shared" si="484"/>
        <v>1</v>
      </c>
      <c r="DO239" s="1446">
        <f t="shared" si="485"/>
        <v>1</v>
      </c>
      <c r="DP239" s="1446">
        <f t="shared" si="486"/>
        <v>1</v>
      </c>
      <c r="DQ239" s="1446">
        <f t="shared" si="487"/>
        <v>1</v>
      </c>
      <c r="DR239" s="1446">
        <f t="shared" si="488"/>
        <v>1</v>
      </c>
      <c r="DS239" s="1446">
        <f t="shared" si="489"/>
        <v>1</v>
      </c>
      <c r="DT239" s="1446">
        <f t="shared" si="490"/>
        <v>1</v>
      </c>
      <c r="DU239" s="1446">
        <f t="shared" si="491"/>
        <v>1</v>
      </c>
      <c r="DV239" s="1446">
        <f t="shared" si="492"/>
        <v>1</v>
      </c>
      <c r="DW239" s="1446">
        <f t="shared" si="493"/>
        <v>1</v>
      </c>
      <c r="DX239" s="1446">
        <f t="shared" si="494"/>
        <v>0</v>
      </c>
      <c r="DY239" s="1446">
        <f t="shared" si="494"/>
        <v>0</v>
      </c>
    </row>
    <row r="240" spans="1:131" ht="18" customHeight="1" x14ac:dyDescent="0.3">
      <c r="A240" s="7258">
        <v>11057104</v>
      </c>
      <c r="B240" s="8705"/>
      <c r="C240" s="1112" t="s">
        <v>1829</v>
      </c>
      <c r="D240" s="2204" t="s">
        <v>5369</v>
      </c>
      <c r="E240" s="2213" t="s">
        <v>5370</v>
      </c>
      <c r="F240" s="1183" t="s">
        <v>5371</v>
      </c>
      <c r="G240" s="143" t="s">
        <v>5372</v>
      </c>
      <c r="H240" s="1183" t="s">
        <v>5373</v>
      </c>
      <c r="I240" s="143" t="s">
        <v>5374</v>
      </c>
      <c r="J240" s="1183" t="s">
        <v>5375</v>
      </c>
      <c r="K240" s="143" t="s">
        <v>5376</v>
      </c>
      <c r="L240" s="1183" t="s">
        <v>5377</v>
      </c>
      <c r="M240" s="143" t="s">
        <v>5378</v>
      </c>
      <c r="N240" s="1183" t="s">
        <v>5379</v>
      </c>
      <c r="O240" s="143" t="s">
        <v>5380</v>
      </c>
      <c r="P240" s="1135" t="s">
        <v>5381</v>
      </c>
      <c r="Q240" s="1115" t="s">
        <v>5382</v>
      </c>
      <c r="R240" s="1114" t="s">
        <v>5383</v>
      </c>
      <c r="S240" s="1115" t="s">
        <v>5384</v>
      </c>
      <c r="T240" s="1114" t="s">
        <v>5385</v>
      </c>
      <c r="U240" s="1115" t="s">
        <v>5386</v>
      </c>
      <c r="V240" s="1114" t="s">
        <v>5387</v>
      </c>
      <c r="W240" s="1115" t="s">
        <v>5388</v>
      </c>
      <c r="X240" s="1134" t="s">
        <v>5389</v>
      </c>
      <c r="Y240" s="1115" t="s">
        <v>5390</v>
      </c>
      <c r="Z240" s="1134" t="s">
        <v>5391</v>
      </c>
      <c r="AA240" s="1115" t="s">
        <v>5392</v>
      </c>
      <c r="AB240" s="1134" t="s">
        <v>5393</v>
      </c>
      <c r="AC240" s="1115" t="s">
        <v>5394</v>
      </c>
      <c r="AD240" s="1114" t="s">
        <v>5395</v>
      </c>
      <c r="AE240" s="1115" t="s">
        <v>5396</v>
      </c>
      <c r="AF240" s="1134" t="s">
        <v>5397</v>
      </c>
      <c r="AG240" s="1115" t="s">
        <v>5398</v>
      </c>
      <c r="AH240" s="1134" t="s">
        <v>5399</v>
      </c>
      <c r="AI240" s="1115" t="s">
        <v>5400</v>
      </c>
      <c r="AJ240" s="1134" t="s">
        <v>5401</v>
      </c>
      <c r="AK240" s="1162" t="s">
        <v>5402</v>
      </c>
      <c r="AL240" s="2848" t="s">
        <v>5403</v>
      </c>
      <c r="AM240" s="2826" t="s">
        <v>5404</v>
      </c>
      <c r="AN240" s="2852" t="s">
        <v>5405</v>
      </c>
      <c r="AO240" s="2826" t="s">
        <v>5406</v>
      </c>
      <c r="AP240" s="2852" t="s">
        <v>5407</v>
      </c>
      <c r="AQ240" s="2826" t="s">
        <v>5408</v>
      </c>
      <c r="AR240" s="2852" t="s">
        <v>5409</v>
      </c>
      <c r="AS240" s="2826" t="s">
        <v>5410</v>
      </c>
      <c r="AT240" s="2822" t="s">
        <v>5411</v>
      </c>
      <c r="AU240" s="2826" t="s">
        <v>5412</v>
      </c>
      <c r="AV240" s="2822" t="s">
        <v>5413</v>
      </c>
      <c r="AW240" s="2826" t="s">
        <v>5414</v>
      </c>
      <c r="AX240" s="2852" t="s">
        <v>5415</v>
      </c>
      <c r="AY240" s="1115" t="s">
        <v>5416</v>
      </c>
      <c r="AZ240" s="1197" t="e">
        <f t="shared" si="447"/>
        <v>#VALUE!</v>
      </c>
      <c r="CB240" s="2195" t="str">
        <f t="shared" si="448"/>
        <v xml:space="preserve">* El total de Confirmados Positivos por ISP NO DEBE ser mayor que el total de Procesados. </v>
      </c>
      <c r="CC240" s="2195" t="e">
        <f t="shared" si="449"/>
        <v>#VALUE!</v>
      </c>
      <c r="CD240" s="2195" t="e">
        <f t="shared" si="450"/>
        <v>#VALUE!</v>
      </c>
      <c r="CE240" s="2195" t="str">
        <f t="shared" si="451"/>
        <v xml:space="preserve">* El Total de Pueblos Originarios Procesados NO DEBE ser mayor al Total de Procesados. </v>
      </c>
      <c r="CF240" s="2195" t="str">
        <f t="shared" si="452"/>
        <v xml:space="preserve">* El Total de Migrantes Procesados NO DEBE ser mayor al Total de Procesados. </v>
      </c>
      <c r="CG240" s="2195" t="e">
        <f t="shared" si="453"/>
        <v>#VALUE!</v>
      </c>
      <c r="CH240" s="2195" t="str">
        <f t="shared" si="454"/>
        <v xml:space="preserve">* Los exámenes positivos de Menor de 12 meses NO DEBEN ser mayor a los exámenes procesados de la misma edad. </v>
      </c>
      <c r="CI240" s="2195" t="str">
        <f t="shared" si="455"/>
        <v xml:space="preserve">* Los exámenes positivos de 12-24 meses NO DEBEN ser mayor a los exámenes procesados de la misma edad. </v>
      </c>
      <c r="CJ240" s="2195" t="str">
        <f t="shared" si="456"/>
        <v xml:space="preserve">* Los exámenes positivos de 3 a 4 años NO DEBEN ser mayor a los exámenes procesados de la misma edad. </v>
      </c>
      <c r="CK240" s="2195" t="str">
        <f t="shared" si="457"/>
        <v xml:space="preserve">* Los exámenes positivos de 5 a 9 años NO DEBEN ser mayor a los exámenes procesados de la misma edad. </v>
      </c>
      <c r="CL240" s="2195" t="str">
        <f t="shared" si="458"/>
        <v xml:space="preserve">* Los exámenes positivos de 10 a 14 años NO DEBEN ser mayor a los exámenes procesados de la misma edad. </v>
      </c>
      <c r="CM240" s="2195" t="str">
        <f t="shared" si="459"/>
        <v xml:space="preserve">* Los exámenes positivos de 15 a 19 años NO DEBEN ser mayor a los exámenes procesados de la misma edad. </v>
      </c>
      <c r="CN240" s="2195" t="str">
        <f t="shared" si="460"/>
        <v xml:space="preserve">* Los exámenes positivos de 20 a 24 años NO DEBEN ser mayor a los exámenes procesados de la misma edad. </v>
      </c>
      <c r="CO240" s="2195" t="str">
        <f t="shared" si="461"/>
        <v xml:space="preserve">* Los exámenes positivos de 25 a 29 años NO DEBEN ser mayor a los exámenes procesados de la misma edad. </v>
      </c>
      <c r="CP240" s="2195" t="str">
        <f t="shared" si="462"/>
        <v xml:space="preserve">* Los exámenes positivos de 30 a 34 años NO DEBEN ser mayor a los exámenes procesados de la misma edad. </v>
      </c>
      <c r="CQ240" s="2195" t="str">
        <f t="shared" si="463"/>
        <v xml:space="preserve">* Los exámenes positivos de 35 a 39 años NO DEBEN ser mayor a los exámenes procesados de la misma edad. </v>
      </c>
      <c r="CR240" s="2195" t="str">
        <f t="shared" si="464"/>
        <v xml:space="preserve">* Los exámenes positivos de 40 a 44 años NO DEBEN ser mayor a los exámenes procesados de la misma edad. </v>
      </c>
      <c r="CS240" s="2195" t="str">
        <f t="shared" si="465"/>
        <v xml:space="preserve">* Los exámenes positivos de 45 a 49 años NO DEBEN ser mayor a los exámenes procesados de la misma edad. </v>
      </c>
      <c r="CT240" s="2195" t="str">
        <f t="shared" si="466"/>
        <v xml:space="preserve">* Los exámenes positivos de 50 a 54 años NO DEBEN ser mayor a los exámenes procesados de la misma edad. </v>
      </c>
      <c r="CU240" s="2195" t="str">
        <f t="shared" si="467"/>
        <v xml:space="preserve">* Los exámenes positivos de 55 a 59 años NO DEBEN ser mayor a los exámenes procesados de la misma edad. </v>
      </c>
      <c r="CV240" s="2195" t="str">
        <f t="shared" si="468"/>
        <v xml:space="preserve">* Los exámenes positivos de 60 a 64 años NO DEBEN ser mayor a los exámenes procesados de la misma edad. </v>
      </c>
      <c r="CW240" s="2195" t="str">
        <f t="shared" si="469"/>
        <v xml:space="preserve">* Los exámenes positivos de  65 y más años NO DEBEN ser mayor a los exámenes procesados de la misma edad. </v>
      </c>
      <c r="CX240" s="2195" t="str">
        <f t="shared" si="470"/>
        <v/>
      </c>
      <c r="CY240" s="2195" t="str">
        <f t="shared" si="471"/>
        <v/>
      </c>
      <c r="CZ240" s="2195"/>
      <c r="DA240" s="2195"/>
      <c r="DB240" s="1446">
        <f t="shared" si="472"/>
        <v>1</v>
      </c>
      <c r="DC240" s="1446" t="e">
        <f t="shared" si="473"/>
        <v>#VALUE!</v>
      </c>
      <c r="DD240" s="1446" t="e">
        <f t="shared" si="474"/>
        <v>#VALUE!</v>
      </c>
      <c r="DE240" s="1446">
        <f t="shared" si="475"/>
        <v>1</v>
      </c>
      <c r="DF240" s="1446">
        <f t="shared" si="476"/>
        <v>1</v>
      </c>
      <c r="DG240" s="1446" t="e">
        <f t="shared" si="477"/>
        <v>#VALUE!</v>
      </c>
      <c r="DH240" s="1446">
        <f t="shared" si="478"/>
        <v>1</v>
      </c>
      <c r="DI240" s="1446">
        <f t="shared" si="479"/>
        <v>1</v>
      </c>
      <c r="DJ240" s="1446">
        <f t="shared" si="480"/>
        <v>1</v>
      </c>
      <c r="DK240" s="1446">
        <f t="shared" si="481"/>
        <v>1</v>
      </c>
      <c r="DL240" s="1446">
        <f t="shared" si="482"/>
        <v>1</v>
      </c>
      <c r="DM240" s="1446">
        <f t="shared" si="483"/>
        <v>1</v>
      </c>
      <c r="DN240" s="1446">
        <f t="shared" si="484"/>
        <v>1</v>
      </c>
      <c r="DO240" s="1446">
        <f t="shared" si="485"/>
        <v>1</v>
      </c>
      <c r="DP240" s="1446">
        <f t="shared" si="486"/>
        <v>1</v>
      </c>
      <c r="DQ240" s="1446">
        <f t="shared" si="487"/>
        <v>1</v>
      </c>
      <c r="DR240" s="1446">
        <f t="shared" si="488"/>
        <v>1</v>
      </c>
      <c r="DS240" s="1446">
        <f t="shared" si="489"/>
        <v>1</v>
      </c>
      <c r="DT240" s="1446">
        <f t="shared" si="490"/>
        <v>1</v>
      </c>
      <c r="DU240" s="1446">
        <f t="shared" si="491"/>
        <v>1</v>
      </c>
      <c r="DV240" s="1446">
        <f t="shared" si="492"/>
        <v>1</v>
      </c>
      <c r="DW240" s="1446">
        <f t="shared" si="493"/>
        <v>1</v>
      </c>
      <c r="DX240" s="1446">
        <f t="shared" si="494"/>
        <v>0</v>
      </c>
      <c r="DY240" s="1446">
        <f t="shared" si="494"/>
        <v>0</v>
      </c>
    </row>
    <row r="241" spans="1:129" ht="35.25" customHeight="1" x14ac:dyDescent="0.3">
      <c r="A241" s="7258">
        <v>11057105</v>
      </c>
      <c r="B241" s="8705"/>
      <c r="C241" s="1147" t="s">
        <v>1830</v>
      </c>
      <c r="D241" s="2214" t="s">
        <v>5369</v>
      </c>
      <c r="E241" s="2205" t="s">
        <v>5370</v>
      </c>
      <c r="F241" s="2206" t="s">
        <v>5371</v>
      </c>
      <c r="G241" s="2207" t="s">
        <v>5372</v>
      </c>
      <c r="H241" s="2208" t="s">
        <v>5373</v>
      </c>
      <c r="I241" s="2207" t="s">
        <v>5374</v>
      </c>
      <c r="J241" s="2208" t="s">
        <v>5375</v>
      </c>
      <c r="K241" s="2207" t="s">
        <v>5376</v>
      </c>
      <c r="L241" s="2208" t="s">
        <v>5377</v>
      </c>
      <c r="M241" s="2207" t="s">
        <v>5378</v>
      </c>
      <c r="N241" s="1114" t="s">
        <v>5379</v>
      </c>
      <c r="O241" s="1115" t="s">
        <v>5380</v>
      </c>
      <c r="P241" s="1134" t="s">
        <v>5381</v>
      </c>
      <c r="Q241" s="1115" t="s">
        <v>5382</v>
      </c>
      <c r="R241" s="1114" t="s">
        <v>5383</v>
      </c>
      <c r="S241" s="1115" t="s">
        <v>5384</v>
      </c>
      <c r="T241" s="1114" t="s">
        <v>5385</v>
      </c>
      <c r="U241" s="1115" t="s">
        <v>5386</v>
      </c>
      <c r="V241" s="1114" t="s">
        <v>5387</v>
      </c>
      <c r="W241" s="1115" t="s">
        <v>5388</v>
      </c>
      <c r="X241" s="1134" t="s">
        <v>5389</v>
      </c>
      <c r="Y241" s="1115" t="s">
        <v>5390</v>
      </c>
      <c r="Z241" s="1134" t="s">
        <v>5391</v>
      </c>
      <c r="AA241" s="1115" t="s">
        <v>5392</v>
      </c>
      <c r="AB241" s="1134" t="s">
        <v>5393</v>
      </c>
      <c r="AC241" s="1115" t="s">
        <v>5394</v>
      </c>
      <c r="AD241" s="1114" t="s">
        <v>5395</v>
      </c>
      <c r="AE241" s="1115" t="s">
        <v>5396</v>
      </c>
      <c r="AF241" s="1134" t="s">
        <v>5397</v>
      </c>
      <c r="AG241" s="1115" t="s">
        <v>5398</v>
      </c>
      <c r="AH241" s="1134" t="s">
        <v>5399</v>
      </c>
      <c r="AI241" s="1115" t="s">
        <v>5400</v>
      </c>
      <c r="AJ241" s="1134" t="s">
        <v>5401</v>
      </c>
      <c r="AK241" s="1162" t="s">
        <v>5402</v>
      </c>
      <c r="AL241" s="2848" t="s">
        <v>5403</v>
      </c>
      <c r="AM241" s="2826" t="s">
        <v>5404</v>
      </c>
      <c r="AN241" s="2852" t="s">
        <v>5405</v>
      </c>
      <c r="AO241" s="2826" t="s">
        <v>5406</v>
      </c>
      <c r="AP241" s="2852" t="s">
        <v>5407</v>
      </c>
      <c r="AQ241" s="2826" t="s">
        <v>5408</v>
      </c>
      <c r="AR241" s="2852" t="s">
        <v>5409</v>
      </c>
      <c r="AS241" s="2826" t="s">
        <v>5410</v>
      </c>
      <c r="AT241" s="2822" t="s">
        <v>5411</v>
      </c>
      <c r="AU241" s="2826" t="s">
        <v>5412</v>
      </c>
      <c r="AV241" s="2822" t="s">
        <v>5413</v>
      </c>
      <c r="AW241" s="2826" t="s">
        <v>5414</v>
      </c>
      <c r="AX241" s="2852" t="s">
        <v>5415</v>
      </c>
      <c r="AY241" s="1115" t="s">
        <v>5416</v>
      </c>
      <c r="AZ241" s="1197" t="e">
        <f t="shared" si="447"/>
        <v>#VALUE!</v>
      </c>
      <c r="CB241" s="2195" t="str">
        <f t="shared" si="448"/>
        <v xml:space="preserve">* El total de Confirmados Positivos por ISP NO DEBE ser mayor que el total de Procesados. </v>
      </c>
      <c r="CC241" s="2195" t="e">
        <f t="shared" si="449"/>
        <v>#VALUE!</v>
      </c>
      <c r="CD241" s="2195" t="e">
        <f t="shared" si="450"/>
        <v>#VALUE!</v>
      </c>
      <c r="CE241" s="2195" t="str">
        <f t="shared" si="451"/>
        <v xml:space="preserve">* El Total de Pueblos Originarios Procesados NO DEBE ser mayor al Total de Procesados. </v>
      </c>
      <c r="CF241" s="2195" t="str">
        <f t="shared" si="452"/>
        <v xml:space="preserve">* El Total de Migrantes Procesados NO DEBE ser mayor al Total de Procesados. </v>
      </c>
      <c r="CG241" s="2195" t="e">
        <f t="shared" si="453"/>
        <v>#VALUE!</v>
      </c>
      <c r="CH241" s="2195" t="str">
        <f t="shared" si="454"/>
        <v xml:space="preserve">* Los exámenes positivos de Menor de 12 meses NO DEBEN ser mayor a los exámenes procesados de la misma edad. </v>
      </c>
      <c r="CI241" s="2195" t="str">
        <f t="shared" si="455"/>
        <v xml:space="preserve">* Los exámenes positivos de 12-24 meses NO DEBEN ser mayor a los exámenes procesados de la misma edad. </v>
      </c>
      <c r="CJ241" s="2195" t="str">
        <f t="shared" si="456"/>
        <v xml:space="preserve">* Los exámenes positivos de 3 a 4 años NO DEBEN ser mayor a los exámenes procesados de la misma edad. </v>
      </c>
      <c r="CK241" s="2195" t="str">
        <f t="shared" si="457"/>
        <v xml:space="preserve">* Los exámenes positivos de 5 a 9 años NO DEBEN ser mayor a los exámenes procesados de la misma edad. </v>
      </c>
      <c r="CL241" s="2195" t="str">
        <f t="shared" si="458"/>
        <v xml:space="preserve">* Los exámenes positivos de 10 a 14 años NO DEBEN ser mayor a los exámenes procesados de la misma edad. </v>
      </c>
      <c r="CM241" s="2195" t="str">
        <f t="shared" si="459"/>
        <v xml:space="preserve">* Los exámenes positivos de 15 a 19 años NO DEBEN ser mayor a los exámenes procesados de la misma edad. </v>
      </c>
      <c r="CN241" s="2195" t="str">
        <f t="shared" si="460"/>
        <v xml:space="preserve">* Los exámenes positivos de 20 a 24 años NO DEBEN ser mayor a los exámenes procesados de la misma edad. </v>
      </c>
      <c r="CO241" s="2195" t="str">
        <f t="shared" si="461"/>
        <v xml:space="preserve">* Los exámenes positivos de 25 a 29 años NO DEBEN ser mayor a los exámenes procesados de la misma edad. </v>
      </c>
      <c r="CP241" s="2195" t="str">
        <f t="shared" si="462"/>
        <v xml:space="preserve">* Los exámenes positivos de 30 a 34 años NO DEBEN ser mayor a los exámenes procesados de la misma edad. </v>
      </c>
      <c r="CQ241" s="2195" t="str">
        <f t="shared" si="463"/>
        <v xml:space="preserve">* Los exámenes positivos de 35 a 39 años NO DEBEN ser mayor a los exámenes procesados de la misma edad. </v>
      </c>
      <c r="CR241" s="2195" t="str">
        <f t="shared" si="464"/>
        <v xml:space="preserve">* Los exámenes positivos de 40 a 44 años NO DEBEN ser mayor a los exámenes procesados de la misma edad. </v>
      </c>
      <c r="CS241" s="2195" t="str">
        <f t="shared" si="465"/>
        <v xml:space="preserve">* Los exámenes positivos de 45 a 49 años NO DEBEN ser mayor a los exámenes procesados de la misma edad. </v>
      </c>
      <c r="CT241" s="2195" t="str">
        <f t="shared" si="466"/>
        <v xml:space="preserve">* Los exámenes positivos de 50 a 54 años NO DEBEN ser mayor a los exámenes procesados de la misma edad. </v>
      </c>
      <c r="CU241" s="2195" t="str">
        <f t="shared" si="467"/>
        <v xml:space="preserve">* Los exámenes positivos de 55 a 59 años NO DEBEN ser mayor a los exámenes procesados de la misma edad. </v>
      </c>
      <c r="CV241" s="2195" t="str">
        <f t="shared" si="468"/>
        <v xml:space="preserve">* Los exámenes positivos de 60 a 64 años NO DEBEN ser mayor a los exámenes procesados de la misma edad. </v>
      </c>
      <c r="CW241" s="2195" t="str">
        <f t="shared" si="469"/>
        <v xml:space="preserve">* Los exámenes positivos de  65 y más años NO DEBEN ser mayor a los exámenes procesados de la misma edad. </v>
      </c>
      <c r="CX241" s="2195" t="str">
        <f t="shared" si="470"/>
        <v/>
      </c>
      <c r="CY241" s="2195" t="str">
        <f t="shared" si="471"/>
        <v/>
      </c>
      <c r="CZ241" s="2195"/>
      <c r="DA241" s="2195"/>
      <c r="DB241" s="1446">
        <f t="shared" si="472"/>
        <v>1</v>
      </c>
      <c r="DC241" s="1446" t="e">
        <f t="shared" si="473"/>
        <v>#VALUE!</v>
      </c>
      <c r="DD241" s="1446" t="e">
        <f t="shared" si="474"/>
        <v>#VALUE!</v>
      </c>
      <c r="DE241" s="1446">
        <f t="shared" si="475"/>
        <v>1</v>
      </c>
      <c r="DF241" s="1446">
        <f t="shared" si="476"/>
        <v>1</v>
      </c>
      <c r="DG241" s="1446" t="e">
        <f t="shared" si="477"/>
        <v>#VALUE!</v>
      </c>
      <c r="DH241" s="1446">
        <f t="shared" si="478"/>
        <v>1</v>
      </c>
      <c r="DI241" s="1446">
        <f t="shared" si="479"/>
        <v>1</v>
      </c>
      <c r="DJ241" s="1446">
        <f t="shared" si="480"/>
        <v>1</v>
      </c>
      <c r="DK241" s="1446">
        <f t="shared" si="481"/>
        <v>1</v>
      </c>
      <c r="DL241" s="1446">
        <f t="shared" si="482"/>
        <v>1</v>
      </c>
      <c r="DM241" s="1446">
        <f t="shared" si="483"/>
        <v>1</v>
      </c>
      <c r="DN241" s="1446">
        <f t="shared" si="484"/>
        <v>1</v>
      </c>
      <c r="DO241" s="1446">
        <f t="shared" si="485"/>
        <v>1</v>
      </c>
      <c r="DP241" s="1446">
        <f t="shared" si="486"/>
        <v>1</v>
      </c>
      <c r="DQ241" s="1446">
        <f t="shared" si="487"/>
        <v>1</v>
      </c>
      <c r="DR241" s="1446">
        <f t="shared" si="488"/>
        <v>1</v>
      </c>
      <c r="DS241" s="1446">
        <f t="shared" si="489"/>
        <v>1</v>
      </c>
      <c r="DT241" s="1446">
        <f t="shared" si="490"/>
        <v>1</v>
      </c>
      <c r="DU241" s="1446">
        <f t="shared" si="491"/>
        <v>1</v>
      </c>
      <c r="DV241" s="1446">
        <f t="shared" si="492"/>
        <v>1</v>
      </c>
      <c r="DW241" s="1446">
        <f t="shared" si="493"/>
        <v>1</v>
      </c>
      <c r="DX241" s="1446">
        <f t="shared" si="494"/>
        <v>0</v>
      </c>
      <c r="DY241" s="1446">
        <f t="shared" si="494"/>
        <v>0</v>
      </c>
    </row>
    <row r="242" spans="1:129" ht="18" customHeight="1" x14ac:dyDescent="0.3">
      <c r="A242" s="7258">
        <v>11057106</v>
      </c>
      <c r="B242" s="8705"/>
      <c r="C242" s="1112" t="s">
        <v>2184</v>
      </c>
      <c r="D242" s="2204" t="s">
        <v>5369</v>
      </c>
      <c r="E242" s="2205" t="s">
        <v>5370</v>
      </c>
      <c r="F242" s="2206" t="s">
        <v>5371</v>
      </c>
      <c r="G242" s="2207" t="s">
        <v>5372</v>
      </c>
      <c r="H242" s="2208" t="s">
        <v>5373</v>
      </c>
      <c r="I242" s="2207" t="s">
        <v>5374</v>
      </c>
      <c r="J242" s="2208" t="s">
        <v>5375</v>
      </c>
      <c r="K242" s="2207" t="s">
        <v>5376</v>
      </c>
      <c r="L242" s="2208" t="s">
        <v>5377</v>
      </c>
      <c r="M242" s="2207" t="s">
        <v>5378</v>
      </c>
      <c r="N242" s="2215" t="s">
        <v>5379</v>
      </c>
      <c r="O242" s="2216" t="s">
        <v>5380</v>
      </c>
      <c r="P242" s="1134" t="s">
        <v>5381</v>
      </c>
      <c r="Q242" s="1115" t="s">
        <v>5382</v>
      </c>
      <c r="R242" s="1114" t="s">
        <v>5383</v>
      </c>
      <c r="S242" s="1115" t="s">
        <v>5384</v>
      </c>
      <c r="T242" s="1114" t="s">
        <v>5385</v>
      </c>
      <c r="U242" s="1115" t="s">
        <v>5386</v>
      </c>
      <c r="V242" s="1114" t="s">
        <v>5387</v>
      </c>
      <c r="W242" s="1115" t="s">
        <v>5388</v>
      </c>
      <c r="X242" s="1134" t="s">
        <v>5389</v>
      </c>
      <c r="Y242" s="1115" t="s">
        <v>5390</v>
      </c>
      <c r="Z242" s="1134" t="s">
        <v>5391</v>
      </c>
      <c r="AA242" s="1115" t="s">
        <v>5392</v>
      </c>
      <c r="AB242" s="1134" t="s">
        <v>5393</v>
      </c>
      <c r="AC242" s="1115" t="s">
        <v>5394</v>
      </c>
      <c r="AD242" s="1114" t="s">
        <v>5395</v>
      </c>
      <c r="AE242" s="1115" t="s">
        <v>5396</v>
      </c>
      <c r="AF242" s="1134" t="s">
        <v>5397</v>
      </c>
      <c r="AG242" s="1115" t="s">
        <v>5398</v>
      </c>
      <c r="AH242" s="1134" t="s">
        <v>5399</v>
      </c>
      <c r="AI242" s="1115" t="s">
        <v>5400</v>
      </c>
      <c r="AJ242" s="1134" t="s">
        <v>5401</v>
      </c>
      <c r="AK242" s="1162" t="s">
        <v>5402</v>
      </c>
      <c r="AL242" s="2848" t="s">
        <v>5403</v>
      </c>
      <c r="AM242" s="2826" t="s">
        <v>5404</v>
      </c>
      <c r="AN242" s="2852" t="s">
        <v>5405</v>
      </c>
      <c r="AO242" s="2826" t="s">
        <v>5406</v>
      </c>
      <c r="AP242" s="2852" t="s">
        <v>5407</v>
      </c>
      <c r="AQ242" s="2826" t="s">
        <v>5408</v>
      </c>
      <c r="AR242" s="2852" t="s">
        <v>5409</v>
      </c>
      <c r="AS242" s="2826" t="s">
        <v>5410</v>
      </c>
      <c r="AT242" s="2822" t="s">
        <v>5411</v>
      </c>
      <c r="AU242" s="2826" t="s">
        <v>5412</v>
      </c>
      <c r="AV242" s="2822" t="s">
        <v>5413</v>
      </c>
      <c r="AW242" s="2826" t="s">
        <v>5414</v>
      </c>
      <c r="AX242" s="2852" t="s">
        <v>5415</v>
      </c>
      <c r="AY242" s="1115" t="s">
        <v>5416</v>
      </c>
      <c r="AZ242" s="1197" t="e">
        <f t="shared" si="447"/>
        <v>#VALUE!</v>
      </c>
      <c r="CB242" s="2195" t="str">
        <f t="shared" si="448"/>
        <v xml:space="preserve">* El total de Confirmados Positivos por ISP NO DEBE ser mayor que el total de Procesados. </v>
      </c>
      <c r="CC242" s="2195" t="e">
        <f t="shared" si="449"/>
        <v>#VALUE!</v>
      </c>
      <c r="CD242" s="2195" t="e">
        <f t="shared" si="450"/>
        <v>#VALUE!</v>
      </c>
      <c r="CE242" s="2195" t="str">
        <f t="shared" si="451"/>
        <v xml:space="preserve">* El Total de Pueblos Originarios Procesados NO DEBE ser mayor al Total de Procesados. </v>
      </c>
      <c r="CF242" s="2195" t="str">
        <f t="shared" si="452"/>
        <v xml:space="preserve">* El Total de Migrantes Procesados NO DEBE ser mayor al Total de Procesados. </v>
      </c>
      <c r="CG242" s="2195" t="e">
        <f t="shared" si="453"/>
        <v>#VALUE!</v>
      </c>
      <c r="CH242" s="2195" t="str">
        <f t="shared" si="454"/>
        <v xml:space="preserve">* Los exámenes positivos de Menor de 12 meses NO DEBEN ser mayor a los exámenes procesados de la misma edad. </v>
      </c>
      <c r="CI242" s="2195" t="str">
        <f t="shared" si="455"/>
        <v xml:space="preserve">* Los exámenes positivos de 12-24 meses NO DEBEN ser mayor a los exámenes procesados de la misma edad. </v>
      </c>
      <c r="CJ242" s="2195" t="str">
        <f t="shared" si="456"/>
        <v xml:space="preserve">* Los exámenes positivos de 3 a 4 años NO DEBEN ser mayor a los exámenes procesados de la misma edad. </v>
      </c>
      <c r="CK242" s="2195" t="str">
        <f t="shared" si="457"/>
        <v xml:space="preserve">* Los exámenes positivos de 5 a 9 años NO DEBEN ser mayor a los exámenes procesados de la misma edad. </v>
      </c>
      <c r="CL242" s="2195" t="str">
        <f t="shared" si="458"/>
        <v xml:space="preserve">* Los exámenes positivos de 10 a 14 años NO DEBEN ser mayor a los exámenes procesados de la misma edad. </v>
      </c>
      <c r="CM242" s="2195" t="str">
        <f t="shared" si="459"/>
        <v xml:space="preserve">* Los exámenes positivos de 15 a 19 años NO DEBEN ser mayor a los exámenes procesados de la misma edad. </v>
      </c>
      <c r="CN242" s="2195" t="str">
        <f t="shared" si="460"/>
        <v xml:space="preserve">* Los exámenes positivos de 20 a 24 años NO DEBEN ser mayor a los exámenes procesados de la misma edad. </v>
      </c>
      <c r="CO242" s="2195" t="str">
        <f t="shared" si="461"/>
        <v xml:space="preserve">* Los exámenes positivos de 25 a 29 años NO DEBEN ser mayor a los exámenes procesados de la misma edad. </v>
      </c>
      <c r="CP242" s="2195" t="str">
        <f t="shared" si="462"/>
        <v xml:space="preserve">* Los exámenes positivos de 30 a 34 años NO DEBEN ser mayor a los exámenes procesados de la misma edad. </v>
      </c>
      <c r="CQ242" s="2195" t="str">
        <f t="shared" si="463"/>
        <v xml:space="preserve">* Los exámenes positivos de 35 a 39 años NO DEBEN ser mayor a los exámenes procesados de la misma edad. </v>
      </c>
      <c r="CR242" s="2195" t="str">
        <f t="shared" si="464"/>
        <v xml:space="preserve">* Los exámenes positivos de 40 a 44 años NO DEBEN ser mayor a los exámenes procesados de la misma edad. </v>
      </c>
      <c r="CS242" s="2195" t="str">
        <f t="shared" si="465"/>
        <v xml:space="preserve">* Los exámenes positivos de 45 a 49 años NO DEBEN ser mayor a los exámenes procesados de la misma edad. </v>
      </c>
      <c r="CT242" s="2195" t="str">
        <f t="shared" si="466"/>
        <v xml:space="preserve">* Los exámenes positivos de 50 a 54 años NO DEBEN ser mayor a los exámenes procesados de la misma edad. </v>
      </c>
      <c r="CU242" s="2195" t="str">
        <f t="shared" si="467"/>
        <v xml:space="preserve">* Los exámenes positivos de 55 a 59 años NO DEBEN ser mayor a los exámenes procesados de la misma edad. </v>
      </c>
      <c r="CV242" s="2195" t="str">
        <f t="shared" si="468"/>
        <v xml:space="preserve">* Los exámenes positivos de 60 a 64 años NO DEBEN ser mayor a los exámenes procesados de la misma edad. </v>
      </c>
      <c r="CW242" s="2195" t="str">
        <f t="shared" si="469"/>
        <v xml:space="preserve">* Los exámenes positivos de  65 y más años NO DEBEN ser mayor a los exámenes procesados de la misma edad. </v>
      </c>
      <c r="CX242" s="2195" t="str">
        <f t="shared" si="470"/>
        <v/>
      </c>
      <c r="CY242" s="2195" t="str">
        <f t="shared" si="471"/>
        <v/>
      </c>
      <c r="CZ242" s="2195"/>
      <c r="DA242" s="2195"/>
      <c r="DB242" s="1446">
        <f t="shared" si="472"/>
        <v>1</v>
      </c>
      <c r="DC242" s="1446" t="e">
        <f t="shared" si="473"/>
        <v>#VALUE!</v>
      </c>
      <c r="DD242" s="1446" t="e">
        <f t="shared" si="474"/>
        <v>#VALUE!</v>
      </c>
      <c r="DE242" s="1446">
        <f t="shared" si="475"/>
        <v>1</v>
      </c>
      <c r="DF242" s="1446">
        <f t="shared" si="476"/>
        <v>1</v>
      </c>
      <c r="DG242" s="1446" t="e">
        <f t="shared" si="477"/>
        <v>#VALUE!</v>
      </c>
      <c r="DH242" s="1446">
        <f t="shared" si="478"/>
        <v>1</v>
      </c>
      <c r="DI242" s="1446">
        <f t="shared" si="479"/>
        <v>1</v>
      </c>
      <c r="DJ242" s="1446">
        <f t="shared" si="480"/>
        <v>1</v>
      </c>
      <c r="DK242" s="1446">
        <f t="shared" si="481"/>
        <v>1</v>
      </c>
      <c r="DL242" s="1446">
        <f t="shared" si="482"/>
        <v>1</v>
      </c>
      <c r="DM242" s="1446">
        <f t="shared" si="483"/>
        <v>1</v>
      </c>
      <c r="DN242" s="1446">
        <f t="shared" si="484"/>
        <v>1</v>
      </c>
      <c r="DO242" s="1446">
        <f t="shared" si="485"/>
        <v>1</v>
      </c>
      <c r="DP242" s="1446">
        <f t="shared" si="486"/>
        <v>1</v>
      </c>
      <c r="DQ242" s="1446">
        <f t="shared" si="487"/>
        <v>1</v>
      </c>
      <c r="DR242" s="1446">
        <f t="shared" si="488"/>
        <v>1</v>
      </c>
      <c r="DS242" s="1446">
        <f t="shared" si="489"/>
        <v>1</v>
      </c>
      <c r="DT242" s="1446">
        <f t="shared" si="490"/>
        <v>1</v>
      </c>
      <c r="DU242" s="1446">
        <f t="shared" si="491"/>
        <v>1</v>
      </c>
      <c r="DV242" s="1446">
        <f t="shared" si="492"/>
        <v>1</v>
      </c>
      <c r="DW242" s="1446">
        <f t="shared" si="493"/>
        <v>1</v>
      </c>
      <c r="DX242" s="1446">
        <f t="shared" si="494"/>
        <v>0</v>
      </c>
      <c r="DY242" s="1446">
        <f t="shared" si="494"/>
        <v>0</v>
      </c>
    </row>
    <row r="243" spans="1:129" ht="27.75" customHeight="1" x14ac:dyDescent="0.3">
      <c r="A243" s="7258">
        <v>11057107</v>
      </c>
      <c r="B243" s="8705"/>
      <c r="C243" s="1147" t="s">
        <v>1831</v>
      </c>
      <c r="D243" s="2217" t="s">
        <v>5369</v>
      </c>
      <c r="E243" s="2213" t="s">
        <v>5370</v>
      </c>
      <c r="F243" s="1183" t="s">
        <v>5371</v>
      </c>
      <c r="G243" s="143" t="s">
        <v>5372</v>
      </c>
      <c r="H243" s="1183" t="s">
        <v>5373</v>
      </c>
      <c r="I243" s="143" t="s">
        <v>5374</v>
      </c>
      <c r="J243" s="1183" t="s">
        <v>5375</v>
      </c>
      <c r="K243" s="143" t="s">
        <v>5376</v>
      </c>
      <c r="L243" s="1183" t="s">
        <v>5377</v>
      </c>
      <c r="M243" s="143" t="s">
        <v>5378</v>
      </c>
      <c r="N243" s="1114" t="s">
        <v>5379</v>
      </c>
      <c r="O243" s="1115" t="s">
        <v>5380</v>
      </c>
      <c r="P243" s="1134" t="s">
        <v>5381</v>
      </c>
      <c r="Q243" s="1115" t="s">
        <v>5382</v>
      </c>
      <c r="R243" s="1114" t="s">
        <v>5383</v>
      </c>
      <c r="S243" s="1115" t="s">
        <v>5384</v>
      </c>
      <c r="T243" s="1114" t="s">
        <v>5385</v>
      </c>
      <c r="U243" s="1115" t="s">
        <v>5386</v>
      </c>
      <c r="V243" s="1114" t="s">
        <v>5387</v>
      </c>
      <c r="W243" s="1115" t="s">
        <v>5388</v>
      </c>
      <c r="X243" s="1134" t="s">
        <v>5389</v>
      </c>
      <c r="Y243" s="1115" t="s">
        <v>5390</v>
      </c>
      <c r="Z243" s="1134" t="s">
        <v>5391</v>
      </c>
      <c r="AA243" s="1115" t="s">
        <v>5392</v>
      </c>
      <c r="AB243" s="1134" t="s">
        <v>5393</v>
      </c>
      <c r="AC243" s="1115" t="s">
        <v>5394</v>
      </c>
      <c r="AD243" s="1114" t="s">
        <v>5395</v>
      </c>
      <c r="AE243" s="1115" t="s">
        <v>5396</v>
      </c>
      <c r="AF243" s="1134" t="s">
        <v>5397</v>
      </c>
      <c r="AG243" s="1115" t="s">
        <v>5398</v>
      </c>
      <c r="AH243" s="1134" t="s">
        <v>5399</v>
      </c>
      <c r="AI243" s="1115" t="s">
        <v>5400</v>
      </c>
      <c r="AJ243" s="1134" t="s">
        <v>5401</v>
      </c>
      <c r="AK243" s="1162" t="s">
        <v>5402</v>
      </c>
      <c r="AL243" s="2848" t="s">
        <v>5403</v>
      </c>
      <c r="AM243" s="2826" t="s">
        <v>5404</v>
      </c>
      <c r="AN243" s="2852" t="s">
        <v>5405</v>
      </c>
      <c r="AO243" s="2826" t="s">
        <v>5406</v>
      </c>
      <c r="AP243" s="2852" t="s">
        <v>5407</v>
      </c>
      <c r="AQ243" s="2826" t="s">
        <v>5408</v>
      </c>
      <c r="AR243" s="2852" t="s">
        <v>5409</v>
      </c>
      <c r="AS243" s="2826" t="s">
        <v>5410</v>
      </c>
      <c r="AT243" s="2822" t="s">
        <v>5411</v>
      </c>
      <c r="AU243" s="2826" t="s">
        <v>5412</v>
      </c>
      <c r="AV243" s="2822" t="s">
        <v>5413</v>
      </c>
      <c r="AW243" s="2826" t="s">
        <v>5414</v>
      </c>
      <c r="AX243" s="2852" t="s">
        <v>5415</v>
      </c>
      <c r="AY243" s="1115" t="s">
        <v>5416</v>
      </c>
      <c r="AZ243" s="1197" t="e">
        <f t="shared" si="447"/>
        <v>#VALUE!</v>
      </c>
      <c r="CB243" s="2195" t="str">
        <f t="shared" si="448"/>
        <v xml:space="preserve">* El total de Confirmados Positivos por ISP NO DEBE ser mayor que el total de Procesados. </v>
      </c>
      <c r="CC243" s="2195" t="e">
        <f t="shared" si="449"/>
        <v>#VALUE!</v>
      </c>
      <c r="CD243" s="2195" t="e">
        <f t="shared" si="450"/>
        <v>#VALUE!</v>
      </c>
      <c r="CE243" s="2195" t="str">
        <f t="shared" si="451"/>
        <v xml:space="preserve">* El Total de Pueblos Originarios Procesados NO DEBE ser mayor al Total de Procesados. </v>
      </c>
      <c r="CF243" s="2195" t="str">
        <f t="shared" si="452"/>
        <v xml:space="preserve">* El Total de Migrantes Procesados NO DEBE ser mayor al Total de Procesados. </v>
      </c>
      <c r="CG243" s="2195" t="e">
        <f t="shared" si="453"/>
        <v>#VALUE!</v>
      </c>
      <c r="CH243" s="2195" t="str">
        <f t="shared" si="454"/>
        <v xml:space="preserve">* Los exámenes positivos de Menor de 12 meses NO DEBEN ser mayor a los exámenes procesados de la misma edad. </v>
      </c>
      <c r="CI243" s="2195" t="str">
        <f t="shared" si="455"/>
        <v xml:space="preserve">* Los exámenes positivos de 12-24 meses NO DEBEN ser mayor a los exámenes procesados de la misma edad. </v>
      </c>
      <c r="CJ243" s="2195" t="str">
        <f t="shared" si="456"/>
        <v xml:space="preserve">* Los exámenes positivos de 3 a 4 años NO DEBEN ser mayor a los exámenes procesados de la misma edad. </v>
      </c>
      <c r="CK243" s="2195" t="str">
        <f t="shared" si="457"/>
        <v xml:space="preserve">* Los exámenes positivos de 5 a 9 años NO DEBEN ser mayor a los exámenes procesados de la misma edad. </v>
      </c>
      <c r="CL243" s="2195" t="str">
        <f t="shared" si="458"/>
        <v xml:space="preserve">* Los exámenes positivos de 10 a 14 años NO DEBEN ser mayor a los exámenes procesados de la misma edad. </v>
      </c>
      <c r="CM243" s="2195" t="str">
        <f t="shared" si="459"/>
        <v xml:space="preserve">* Los exámenes positivos de 15 a 19 años NO DEBEN ser mayor a los exámenes procesados de la misma edad. </v>
      </c>
      <c r="CN243" s="2195" t="str">
        <f t="shared" si="460"/>
        <v xml:space="preserve">* Los exámenes positivos de 20 a 24 años NO DEBEN ser mayor a los exámenes procesados de la misma edad. </v>
      </c>
      <c r="CO243" s="2195" t="str">
        <f t="shared" si="461"/>
        <v xml:space="preserve">* Los exámenes positivos de 25 a 29 años NO DEBEN ser mayor a los exámenes procesados de la misma edad. </v>
      </c>
      <c r="CP243" s="2195" t="str">
        <f t="shared" si="462"/>
        <v xml:space="preserve">* Los exámenes positivos de 30 a 34 años NO DEBEN ser mayor a los exámenes procesados de la misma edad. </v>
      </c>
      <c r="CQ243" s="2195" t="str">
        <f t="shared" si="463"/>
        <v xml:space="preserve">* Los exámenes positivos de 35 a 39 años NO DEBEN ser mayor a los exámenes procesados de la misma edad. </v>
      </c>
      <c r="CR243" s="2195" t="str">
        <f t="shared" si="464"/>
        <v xml:space="preserve">* Los exámenes positivos de 40 a 44 años NO DEBEN ser mayor a los exámenes procesados de la misma edad. </v>
      </c>
      <c r="CS243" s="2195" t="str">
        <f t="shared" si="465"/>
        <v xml:space="preserve">* Los exámenes positivos de 45 a 49 años NO DEBEN ser mayor a los exámenes procesados de la misma edad. </v>
      </c>
      <c r="CT243" s="2195" t="str">
        <f t="shared" si="466"/>
        <v xml:space="preserve">* Los exámenes positivos de 50 a 54 años NO DEBEN ser mayor a los exámenes procesados de la misma edad. </v>
      </c>
      <c r="CU243" s="2195" t="str">
        <f t="shared" si="467"/>
        <v xml:space="preserve">* Los exámenes positivos de 55 a 59 años NO DEBEN ser mayor a los exámenes procesados de la misma edad. </v>
      </c>
      <c r="CV243" s="2195" t="str">
        <f t="shared" si="468"/>
        <v xml:space="preserve">* Los exámenes positivos de 60 a 64 años NO DEBEN ser mayor a los exámenes procesados de la misma edad. </v>
      </c>
      <c r="CW243" s="2195" t="str">
        <f t="shared" si="469"/>
        <v xml:space="preserve">* Los exámenes positivos de  65 y más años NO DEBEN ser mayor a los exámenes procesados de la misma edad. </v>
      </c>
      <c r="CX243" s="2195" t="str">
        <f t="shared" si="470"/>
        <v/>
      </c>
      <c r="CY243" s="2195" t="str">
        <f t="shared" si="471"/>
        <v/>
      </c>
      <c r="CZ243" s="2195"/>
      <c r="DA243" s="2195"/>
      <c r="DB243" s="1446">
        <f t="shared" si="472"/>
        <v>1</v>
      </c>
      <c r="DC243" s="1446" t="e">
        <f t="shared" si="473"/>
        <v>#VALUE!</v>
      </c>
      <c r="DD243" s="1446" t="e">
        <f t="shared" si="474"/>
        <v>#VALUE!</v>
      </c>
      <c r="DE243" s="1446">
        <f t="shared" si="475"/>
        <v>1</v>
      </c>
      <c r="DF243" s="1446">
        <f t="shared" si="476"/>
        <v>1</v>
      </c>
      <c r="DG243" s="1446" t="e">
        <f t="shared" si="477"/>
        <v>#VALUE!</v>
      </c>
      <c r="DH243" s="1446">
        <f t="shared" si="478"/>
        <v>1</v>
      </c>
      <c r="DI243" s="1446">
        <f t="shared" si="479"/>
        <v>1</v>
      </c>
      <c r="DJ243" s="1446">
        <f t="shared" si="480"/>
        <v>1</v>
      </c>
      <c r="DK243" s="1446">
        <f t="shared" si="481"/>
        <v>1</v>
      </c>
      <c r="DL243" s="1446">
        <f t="shared" si="482"/>
        <v>1</v>
      </c>
      <c r="DM243" s="1446">
        <f t="shared" si="483"/>
        <v>1</v>
      </c>
      <c r="DN243" s="1446">
        <f t="shared" si="484"/>
        <v>1</v>
      </c>
      <c r="DO243" s="1446">
        <f t="shared" si="485"/>
        <v>1</v>
      </c>
      <c r="DP243" s="1446">
        <f t="shared" si="486"/>
        <v>1</v>
      </c>
      <c r="DQ243" s="1446">
        <f t="shared" si="487"/>
        <v>1</v>
      </c>
      <c r="DR243" s="1446">
        <f t="shared" si="488"/>
        <v>1</v>
      </c>
      <c r="DS243" s="1446">
        <f t="shared" si="489"/>
        <v>1</v>
      </c>
      <c r="DT243" s="1446">
        <f t="shared" si="490"/>
        <v>1</v>
      </c>
      <c r="DU243" s="1446">
        <f t="shared" si="491"/>
        <v>1</v>
      </c>
      <c r="DV243" s="1446">
        <f t="shared" si="492"/>
        <v>1</v>
      </c>
      <c r="DW243" s="1446">
        <f t="shared" si="493"/>
        <v>1</v>
      </c>
      <c r="DX243" s="1446">
        <f t="shared" si="494"/>
        <v>0</v>
      </c>
      <c r="DY243" s="1446">
        <f t="shared" si="494"/>
        <v>0</v>
      </c>
    </row>
    <row r="244" spans="1:129" ht="18" customHeight="1" x14ac:dyDescent="0.3">
      <c r="A244" s="7258">
        <v>11057108</v>
      </c>
      <c r="B244" s="8705"/>
      <c r="C244" s="1112" t="s">
        <v>1799</v>
      </c>
      <c r="D244" s="2204" t="s">
        <v>5369</v>
      </c>
      <c r="E244" s="2213" t="s">
        <v>5370</v>
      </c>
      <c r="F244" s="2206" t="s">
        <v>5371</v>
      </c>
      <c r="G244" s="2207" t="s">
        <v>5372</v>
      </c>
      <c r="H244" s="2208" t="s">
        <v>5373</v>
      </c>
      <c r="I244" s="2207" t="s">
        <v>5374</v>
      </c>
      <c r="J244" s="2208" t="s">
        <v>5375</v>
      </c>
      <c r="K244" s="2207" t="s">
        <v>5376</v>
      </c>
      <c r="L244" s="2208" t="s">
        <v>5377</v>
      </c>
      <c r="M244" s="2207" t="s">
        <v>5378</v>
      </c>
      <c r="N244" s="1134" t="s">
        <v>5379</v>
      </c>
      <c r="O244" s="1115" t="s">
        <v>5380</v>
      </c>
      <c r="P244" s="1135" t="s">
        <v>5381</v>
      </c>
      <c r="Q244" s="1115" t="s">
        <v>5382</v>
      </c>
      <c r="R244" s="1114" t="s">
        <v>5383</v>
      </c>
      <c r="S244" s="1115" t="s">
        <v>5384</v>
      </c>
      <c r="T244" s="1114" t="s">
        <v>5385</v>
      </c>
      <c r="U244" s="1115" t="s">
        <v>5386</v>
      </c>
      <c r="V244" s="1114" t="s">
        <v>5387</v>
      </c>
      <c r="W244" s="1115" t="s">
        <v>5388</v>
      </c>
      <c r="X244" s="1134" t="s">
        <v>5389</v>
      </c>
      <c r="Y244" s="1115" t="s">
        <v>5390</v>
      </c>
      <c r="Z244" s="1134" t="s">
        <v>5391</v>
      </c>
      <c r="AA244" s="1115" t="s">
        <v>5392</v>
      </c>
      <c r="AB244" s="1134" t="s">
        <v>5393</v>
      </c>
      <c r="AC244" s="1115" t="s">
        <v>5394</v>
      </c>
      <c r="AD244" s="1114" t="s">
        <v>5395</v>
      </c>
      <c r="AE244" s="1115" t="s">
        <v>5396</v>
      </c>
      <c r="AF244" s="1134" t="s">
        <v>5397</v>
      </c>
      <c r="AG244" s="1115" t="s">
        <v>5398</v>
      </c>
      <c r="AH244" s="1134" t="s">
        <v>5399</v>
      </c>
      <c r="AI244" s="1115" t="s">
        <v>5400</v>
      </c>
      <c r="AJ244" s="1134" t="s">
        <v>5401</v>
      </c>
      <c r="AK244" s="1162" t="s">
        <v>5402</v>
      </c>
      <c r="AL244" s="2848" t="s">
        <v>5403</v>
      </c>
      <c r="AM244" s="2826" t="s">
        <v>5404</v>
      </c>
      <c r="AN244" s="2852" t="s">
        <v>5405</v>
      </c>
      <c r="AO244" s="2826" t="s">
        <v>5406</v>
      </c>
      <c r="AP244" s="2852" t="s">
        <v>5407</v>
      </c>
      <c r="AQ244" s="2826" t="s">
        <v>5408</v>
      </c>
      <c r="AR244" s="2852" t="s">
        <v>5409</v>
      </c>
      <c r="AS244" s="2826" t="s">
        <v>5410</v>
      </c>
      <c r="AT244" s="2822" t="s">
        <v>5411</v>
      </c>
      <c r="AU244" s="2826" t="s">
        <v>5412</v>
      </c>
      <c r="AV244" s="2822" t="s">
        <v>5413</v>
      </c>
      <c r="AW244" s="2826" t="s">
        <v>5414</v>
      </c>
      <c r="AX244" s="2852" t="s">
        <v>5415</v>
      </c>
      <c r="AY244" s="1115" t="s">
        <v>5416</v>
      </c>
      <c r="AZ244" s="1197" t="e">
        <f t="shared" si="447"/>
        <v>#VALUE!</v>
      </c>
      <c r="CB244" s="2195" t="str">
        <f t="shared" si="448"/>
        <v xml:space="preserve">* El total de Confirmados Positivos por ISP NO DEBE ser mayor que el total de Procesados. </v>
      </c>
      <c r="CC244" s="2195" t="e">
        <f t="shared" si="449"/>
        <v>#VALUE!</v>
      </c>
      <c r="CD244" s="2195" t="e">
        <f t="shared" si="450"/>
        <v>#VALUE!</v>
      </c>
      <c r="CE244" s="2195" t="str">
        <f t="shared" si="451"/>
        <v xml:space="preserve">* El Total de Pueblos Originarios Procesados NO DEBE ser mayor al Total de Procesados. </v>
      </c>
      <c r="CF244" s="2195" t="str">
        <f t="shared" si="452"/>
        <v xml:space="preserve">* El Total de Migrantes Procesados NO DEBE ser mayor al Total de Procesados. </v>
      </c>
      <c r="CG244" s="2195" t="e">
        <f t="shared" si="453"/>
        <v>#VALUE!</v>
      </c>
      <c r="CH244" s="2195" t="str">
        <f t="shared" si="454"/>
        <v xml:space="preserve">* Los exámenes positivos de Menor de 12 meses NO DEBEN ser mayor a los exámenes procesados de la misma edad. </v>
      </c>
      <c r="CI244" s="2195" t="str">
        <f t="shared" si="455"/>
        <v xml:space="preserve">* Los exámenes positivos de 12-24 meses NO DEBEN ser mayor a los exámenes procesados de la misma edad. </v>
      </c>
      <c r="CJ244" s="2195" t="str">
        <f t="shared" si="456"/>
        <v xml:space="preserve">* Los exámenes positivos de 3 a 4 años NO DEBEN ser mayor a los exámenes procesados de la misma edad. </v>
      </c>
      <c r="CK244" s="2195" t="str">
        <f t="shared" si="457"/>
        <v xml:space="preserve">* Los exámenes positivos de 5 a 9 años NO DEBEN ser mayor a los exámenes procesados de la misma edad. </v>
      </c>
      <c r="CL244" s="2195" t="str">
        <f t="shared" si="458"/>
        <v xml:space="preserve">* Los exámenes positivos de 10 a 14 años NO DEBEN ser mayor a los exámenes procesados de la misma edad. </v>
      </c>
      <c r="CM244" s="2195" t="str">
        <f t="shared" si="459"/>
        <v xml:space="preserve">* Los exámenes positivos de 15 a 19 años NO DEBEN ser mayor a los exámenes procesados de la misma edad. </v>
      </c>
      <c r="CN244" s="2195" t="str">
        <f t="shared" si="460"/>
        <v xml:space="preserve">* Los exámenes positivos de 20 a 24 años NO DEBEN ser mayor a los exámenes procesados de la misma edad. </v>
      </c>
      <c r="CO244" s="2195" t="str">
        <f t="shared" si="461"/>
        <v xml:space="preserve">* Los exámenes positivos de 25 a 29 años NO DEBEN ser mayor a los exámenes procesados de la misma edad. </v>
      </c>
      <c r="CP244" s="2195" t="str">
        <f t="shared" si="462"/>
        <v xml:space="preserve">* Los exámenes positivos de 30 a 34 años NO DEBEN ser mayor a los exámenes procesados de la misma edad. </v>
      </c>
      <c r="CQ244" s="2195" t="str">
        <f t="shared" si="463"/>
        <v xml:space="preserve">* Los exámenes positivos de 35 a 39 años NO DEBEN ser mayor a los exámenes procesados de la misma edad. </v>
      </c>
      <c r="CR244" s="2195" t="str">
        <f t="shared" si="464"/>
        <v xml:space="preserve">* Los exámenes positivos de 40 a 44 años NO DEBEN ser mayor a los exámenes procesados de la misma edad. </v>
      </c>
      <c r="CS244" s="2195" t="str">
        <f t="shared" si="465"/>
        <v xml:space="preserve">* Los exámenes positivos de 45 a 49 años NO DEBEN ser mayor a los exámenes procesados de la misma edad. </v>
      </c>
      <c r="CT244" s="2195" t="str">
        <f t="shared" si="466"/>
        <v xml:space="preserve">* Los exámenes positivos de 50 a 54 años NO DEBEN ser mayor a los exámenes procesados de la misma edad. </v>
      </c>
      <c r="CU244" s="2195" t="str">
        <f t="shared" si="467"/>
        <v xml:space="preserve">* Los exámenes positivos de 55 a 59 años NO DEBEN ser mayor a los exámenes procesados de la misma edad. </v>
      </c>
      <c r="CV244" s="2195" t="str">
        <f t="shared" si="468"/>
        <v xml:space="preserve">* Los exámenes positivos de 60 a 64 años NO DEBEN ser mayor a los exámenes procesados de la misma edad. </v>
      </c>
      <c r="CW244" s="2195" t="str">
        <f t="shared" si="469"/>
        <v xml:space="preserve">* Los exámenes positivos de  65 y más años NO DEBEN ser mayor a los exámenes procesados de la misma edad. </v>
      </c>
      <c r="CX244" s="2195" t="str">
        <f t="shared" si="470"/>
        <v/>
      </c>
      <c r="CY244" s="2195" t="str">
        <f t="shared" si="471"/>
        <v/>
      </c>
      <c r="CZ244" s="2195"/>
      <c r="DA244" s="2195"/>
      <c r="DB244" s="1446">
        <f t="shared" si="472"/>
        <v>1</v>
      </c>
      <c r="DC244" s="1446" t="e">
        <f t="shared" si="473"/>
        <v>#VALUE!</v>
      </c>
      <c r="DD244" s="1446" t="e">
        <f t="shared" si="474"/>
        <v>#VALUE!</v>
      </c>
      <c r="DE244" s="1446">
        <f t="shared" si="475"/>
        <v>1</v>
      </c>
      <c r="DF244" s="1446">
        <f t="shared" si="476"/>
        <v>1</v>
      </c>
      <c r="DG244" s="1446" t="e">
        <f t="shared" si="477"/>
        <v>#VALUE!</v>
      </c>
      <c r="DH244" s="1446">
        <f t="shared" si="478"/>
        <v>1</v>
      </c>
      <c r="DI244" s="1446">
        <f t="shared" si="479"/>
        <v>1</v>
      </c>
      <c r="DJ244" s="1446">
        <f t="shared" si="480"/>
        <v>1</v>
      </c>
      <c r="DK244" s="1446">
        <f t="shared" si="481"/>
        <v>1</v>
      </c>
      <c r="DL244" s="1446">
        <f t="shared" si="482"/>
        <v>1</v>
      </c>
      <c r="DM244" s="1446">
        <f t="shared" si="483"/>
        <v>1</v>
      </c>
      <c r="DN244" s="1446">
        <f t="shared" si="484"/>
        <v>1</v>
      </c>
      <c r="DO244" s="1446">
        <f t="shared" si="485"/>
        <v>1</v>
      </c>
      <c r="DP244" s="1446">
        <f t="shared" si="486"/>
        <v>1</v>
      </c>
      <c r="DQ244" s="1446">
        <f t="shared" si="487"/>
        <v>1</v>
      </c>
      <c r="DR244" s="1446">
        <f t="shared" si="488"/>
        <v>1</v>
      </c>
      <c r="DS244" s="1446">
        <f t="shared" si="489"/>
        <v>1</v>
      </c>
      <c r="DT244" s="1446">
        <f t="shared" si="490"/>
        <v>1</v>
      </c>
      <c r="DU244" s="1446">
        <f t="shared" si="491"/>
        <v>1</v>
      </c>
      <c r="DV244" s="1446">
        <f t="shared" si="492"/>
        <v>1</v>
      </c>
      <c r="DW244" s="1446">
        <f t="shared" si="493"/>
        <v>1</v>
      </c>
      <c r="DX244" s="1446">
        <f t="shared" si="494"/>
        <v>0</v>
      </c>
      <c r="DY244" s="1446">
        <f t="shared" si="494"/>
        <v>0</v>
      </c>
    </row>
    <row r="245" spans="1:129" x14ac:dyDescent="0.3">
      <c r="A245" s="7258">
        <v>11057109</v>
      </c>
      <c r="B245" s="8705"/>
      <c r="C245" s="1112" t="s">
        <v>1832</v>
      </c>
      <c r="D245" s="2204" t="s">
        <v>5369</v>
      </c>
      <c r="E245" s="2213" t="s">
        <v>5370</v>
      </c>
      <c r="F245" s="2206" t="s">
        <v>5371</v>
      </c>
      <c r="G245" s="2207" t="s">
        <v>5372</v>
      </c>
      <c r="H245" s="2208" t="s">
        <v>5373</v>
      </c>
      <c r="I245" s="2207" t="s">
        <v>5374</v>
      </c>
      <c r="J245" s="2208" t="s">
        <v>5375</v>
      </c>
      <c r="K245" s="2207" t="s">
        <v>5376</v>
      </c>
      <c r="L245" s="2208" t="s">
        <v>5377</v>
      </c>
      <c r="M245" s="2207" t="s">
        <v>5378</v>
      </c>
      <c r="N245" s="1134" t="s">
        <v>5379</v>
      </c>
      <c r="O245" s="1115" t="s">
        <v>5380</v>
      </c>
      <c r="P245" s="1134" t="s">
        <v>5381</v>
      </c>
      <c r="Q245" s="1115" t="s">
        <v>5382</v>
      </c>
      <c r="R245" s="1114" t="s">
        <v>5383</v>
      </c>
      <c r="S245" s="1115" t="s">
        <v>5384</v>
      </c>
      <c r="T245" s="1114" t="s">
        <v>5385</v>
      </c>
      <c r="U245" s="1115" t="s">
        <v>5386</v>
      </c>
      <c r="V245" s="1114" t="s">
        <v>5387</v>
      </c>
      <c r="W245" s="1115" t="s">
        <v>5388</v>
      </c>
      <c r="X245" s="1134" t="s">
        <v>5389</v>
      </c>
      <c r="Y245" s="1115" t="s">
        <v>5390</v>
      </c>
      <c r="Z245" s="1134" t="s">
        <v>5391</v>
      </c>
      <c r="AA245" s="1115" t="s">
        <v>5392</v>
      </c>
      <c r="AB245" s="1134" t="s">
        <v>5393</v>
      </c>
      <c r="AC245" s="1115" t="s">
        <v>5394</v>
      </c>
      <c r="AD245" s="1114" t="s">
        <v>5395</v>
      </c>
      <c r="AE245" s="1115" t="s">
        <v>5396</v>
      </c>
      <c r="AF245" s="1134" t="s">
        <v>5397</v>
      </c>
      <c r="AG245" s="1115" t="s">
        <v>5398</v>
      </c>
      <c r="AH245" s="1134" t="s">
        <v>5399</v>
      </c>
      <c r="AI245" s="1115" t="s">
        <v>5400</v>
      </c>
      <c r="AJ245" s="1134" t="s">
        <v>5401</v>
      </c>
      <c r="AK245" s="1162" t="s">
        <v>5402</v>
      </c>
      <c r="AL245" s="2848" t="s">
        <v>5403</v>
      </c>
      <c r="AM245" s="2826" t="s">
        <v>5404</v>
      </c>
      <c r="AN245" s="2852" t="s">
        <v>5405</v>
      </c>
      <c r="AO245" s="2826" t="s">
        <v>5406</v>
      </c>
      <c r="AP245" s="2852" t="s">
        <v>5407</v>
      </c>
      <c r="AQ245" s="2826" t="s">
        <v>5408</v>
      </c>
      <c r="AR245" s="2852" t="s">
        <v>5409</v>
      </c>
      <c r="AS245" s="2826" t="s">
        <v>5410</v>
      </c>
      <c r="AT245" s="2822" t="s">
        <v>5411</v>
      </c>
      <c r="AU245" s="2826" t="s">
        <v>5412</v>
      </c>
      <c r="AV245" s="2822" t="s">
        <v>5413</v>
      </c>
      <c r="AW245" s="2826" t="s">
        <v>5414</v>
      </c>
      <c r="AX245" s="2852" t="s">
        <v>5415</v>
      </c>
      <c r="AY245" s="1115" t="s">
        <v>5416</v>
      </c>
      <c r="AZ245" s="1197" t="e">
        <f t="shared" si="447"/>
        <v>#VALUE!</v>
      </c>
      <c r="CB245" s="2195" t="str">
        <f t="shared" si="448"/>
        <v xml:space="preserve">* El total de Confirmados Positivos por ISP NO DEBE ser mayor que el total de Procesados. </v>
      </c>
      <c r="CC245" s="2195" t="e">
        <f t="shared" si="449"/>
        <v>#VALUE!</v>
      </c>
      <c r="CD245" s="2195" t="e">
        <f t="shared" si="450"/>
        <v>#VALUE!</v>
      </c>
      <c r="CE245" s="2195" t="str">
        <f t="shared" si="451"/>
        <v xml:space="preserve">* El Total de Pueblos Originarios Procesados NO DEBE ser mayor al Total de Procesados. </v>
      </c>
      <c r="CF245" s="2195" t="str">
        <f t="shared" si="452"/>
        <v xml:space="preserve">* El Total de Migrantes Procesados NO DEBE ser mayor al Total de Procesados. </v>
      </c>
      <c r="CG245" s="2195" t="e">
        <f t="shared" si="453"/>
        <v>#VALUE!</v>
      </c>
      <c r="CH245" s="2195" t="str">
        <f t="shared" si="454"/>
        <v xml:space="preserve">* Los exámenes positivos de Menor de 12 meses NO DEBEN ser mayor a los exámenes procesados de la misma edad. </v>
      </c>
      <c r="CI245" s="2195" t="str">
        <f t="shared" si="455"/>
        <v xml:space="preserve">* Los exámenes positivos de 12-24 meses NO DEBEN ser mayor a los exámenes procesados de la misma edad. </v>
      </c>
      <c r="CJ245" s="2195" t="str">
        <f t="shared" si="456"/>
        <v xml:space="preserve">* Los exámenes positivos de 3 a 4 años NO DEBEN ser mayor a los exámenes procesados de la misma edad. </v>
      </c>
      <c r="CK245" s="2195" t="str">
        <f t="shared" si="457"/>
        <v xml:space="preserve">* Los exámenes positivos de 5 a 9 años NO DEBEN ser mayor a los exámenes procesados de la misma edad. </v>
      </c>
      <c r="CL245" s="2195" t="str">
        <f t="shared" si="458"/>
        <v xml:space="preserve">* Los exámenes positivos de 10 a 14 años NO DEBEN ser mayor a los exámenes procesados de la misma edad. </v>
      </c>
      <c r="CM245" s="2195" t="str">
        <f t="shared" si="459"/>
        <v xml:space="preserve">* Los exámenes positivos de 15 a 19 años NO DEBEN ser mayor a los exámenes procesados de la misma edad. </v>
      </c>
      <c r="CN245" s="2195" t="str">
        <f t="shared" si="460"/>
        <v xml:space="preserve">* Los exámenes positivos de 20 a 24 años NO DEBEN ser mayor a los exámenes procesados de la misma edad. </v>
      </c>
      <c r="CO245" s="2195" t="str">
        <f t="shared" si="461"/>
        <v xml:space="preserve">* Los exámenes positivos de 25 a 29 años NO DEBEN ser mayor a los exámenes procesados de la misma edad. </v>
      </c>
      <c r="CP245" s="2195" t="str">
        <f t="shared" si="462"/>
        <v xml:space="preserve">* Los exámenes positivos de 30 a 34 años NO DEBEN ser mayor a los exámenes procesados de la misma edad. </v>
      </c>
      <c r="CQ245" s="2195" t="str">
        <f t="shared" si="463"/>
        <v xml:space="preserve">* Los exámenes positivos de 35 a 39 años NO DEBEN ser mayor a los exámenes procesados de la misma edad. </v>
      </c>
      <c r="CR245" s="2195" t="str">
        <f t="shared" si="464"/>
        <v xml:space="preserve">* Los exámenes positivos de 40 a 44 años NO DEBEN ser mayor a los exámenes procesados de la misma edad. </v>
      </c>
      <c r="CS245" s="2195" t="str">
        <f t="shared" si="465"/>
        <v xml:space="preserve">* Los exámenes positivos de 45 a 49 años NO DEBEN ser mayor a los exámenes procesados de la misma edad. </v>
      </c>
      <c r="CT245" s="2195" t="str">
        <f t="shared" si="466"/>
        <v xml:space="preserve">* Los exámenes positivos de 50 a 54 años NO DEBEN ser mayor a los exámenes procesados de la misma edad. </v>
      </c>
      <c r="CU245" s="2195" t="str">
        <f t="shared" si="467"/>
        <v xml:space="preserve">* Los exámenes positivos de 55 a 59 años NO DEBEN ser mayor a los exámenes procesados de la misma edad. </v>
      </c>
      <c r="CV245" s="2195" t="str">
        <f t="shared" si="468"/>
        <v xml:space="preserve">* Los exámenes positivos de 60 a 64 años NO DEBEN ser mayor a los exámenes procesados de la misma edad. </v>
      </c>
      <c r="CW245" s="2195" t="str">
        <f t="shared" si="469"/>
        <v xml:space="preserve">* Los exámenes positivos de  65 y más años NO DEBEN ser mayor a los exámenes procesados de la misma edad. </v>
      </c>
      <c r="CX245" s="2195" t="str">
        <f t="shared" si="470"/>
        <v/>
      </c>
      <c r="CY245" s="2195" t="str">
        <f t="shared" si="471"/>
        <v/>
      </c>
      <c r="CZ245" s="2195"/>
      <c r="DA245" s="2195"/>
      <c r="DB245" s="1446">
        <f t="shared" si="472"/>
        <v>1</v>
      </c>
      <c r="DC245" s="1446" t="e">
        <f t="shared" si="473"/>
        <v>#VALUE!</v>
      </c>
      <c r="DD245" s="1446" t="e">
        <f t="shared" si="474"/>
        <v>#VALUE!</v>
      </c>
      <c r="DE245" s="1446">
        <f t="shared" si="475"/>
        <v>1</v>
      </c>
      <c r="DF245" s="1446">
        <f t="shared" si="476"/>
        <v>1</v>
      </c>
      <c r="DG245" s="1446" t="e">
        <f t="shared" si="477"/>
        <v>#VALUE!</v>
      </c>
      <c r="DH245" s="1446">
        <f t="shared" si="478"/>
        <v>1</v>
      </c>
      <c r="DI245" s="1446">
        <f t="shared" si="479"/>
        <v>1</v>
      </c>
      <c r="DJ245" s="1446">
        <f t="shared" si="480"/>
        <v>1</v>
      </c>
      <c r="DK245" s="1446">
        <f t="shared" si="481"/>
        <v>1</v>
      </c>
      <c r="DL245" s="1446">
        <f t="shared" si="482"/>
        <v>1</v>
      </c>
      <c r="DM245" s="1446">
        <f t="shared" si="483"/>
        <v>1</v>
      </c>
      <c r="DN245" s="1446">
        <f t="shared" si="484"/>
        <v>1</v>
      </c>
      <c r="DO245" s="1446">
        <f t="shared" si="485"/>
        <v>1</v>
      </c>
      <c r="DP245" s="1446">
        <f t="shared" si="486"/>
        <v>1</v>
      </c>
      <c r="DQ245" s="1446">
        <f t="shared" si="487"/>
        <v>1</v>
      </c>
      <c r="DR245" s="1446">
        <f t="shared" si="488"/>
        <v>1</v>
      </c>
      <c r="DS245" s="1446">
        <f t="shared" si="489"/>
        <v>1</v>
      </c>
      <c r="DT245" s="1446">
        <f t="shared" si="490"/>
        <v>1</v>
      </c>
      <c r="DU245" s="1446">
        <f t="shared" si="491"/>
        <v>1</v>
      </c>
      <c r="DV245" s="1446">
        <f t="shared" si="492"/>
        <v>1</v>
      </c>
      <c r="DW245" s="1446">
        <f t="shared" si="493"/>
        <v>1</v>
      </c>
      <c r="DX245" s="1446">
        <f t="shared" si="494"/>
        <v>0</v>
      </c>
      <c r="DY245" s="1446">
        <f t="shared" si="494"/>
        <v>0</v>
      </c>
    </row>
    <row r="246" spans="1:129" ht="15" customHeight="1" x14ac:dyDescent="0.3">
      <c r="A246" s="7258">
        <v>11057110</v>
      </c>
      <c r="B246" s="8705"/>
      <c r="C246" s="1112" t="s">
        <v>1801</v>
      </c>
      <c r="D246" s="2204" t="s">
        <v>5369</v>
      </c>
      <c r="E246" s="2213" t="s">
        <v>5370</v>
      </c>
      <c r="F246" s="1183" t="s">
        <v>5371</v>
      </c>
      <c r="G246" s="143" t="s">
        <v>5372</v>
      </c>
      <c r="H246" s="1183" t="s">
        <v>5373</v>
      </c>
      <c r="I246" s="143" t="s">
        <v>5374</v>
      </c>
      <c r="J246" s="1183" t="s">
        <v>5375</v>
      </c>
      <c r="K246" s="143" t="s">
        <v>5376</v>
      </c>
      <c r="L246" s="1183" t="s">
        <v>5377</v>
      </c>
      <c r="M246" s="143" t="s">
        <v>5378</v>
      </c>
      <c r="N246" s="1134" t="s">
        <v>5379</v>
      </c>
      <c r="O246" s="1115" t="s">
        <v>5380</v>
      </c>
      <c r="P246" s="1134" t="s">
        <v>5381</v>
      </c>
      <c r="Q246" s="1115" t="s">
        <v>5382</v>
      </c>
      <c r="R246" s="1114" t="s">
        <v>5383</v>
      </c>
      <c r="S246" s="1115" t="s">
        <v>5384</v>
      </c>
      <c r="T246" s="1114" t="s">
        <v>5385</v>
      </c>
      <c r="U246" s="1115" t="s">
        <v>5386</v>
      </c>
      <c r="V246" s="1114" t="s">
        <v>5387</v>
      </c>
      <c r="W246" s="1115" t="s">
        <v>5388</v>
      </c>
      <c r="X246" s="1134" t="s">
        <v>5389</v>
      </c>
      <c r="Y246" s="1115" t="s">
        <v>5390</v>
      </c>
      <c r="Z246" s="1134" t="s">
        <v>5391</v>
      </c>
      <c r="AA246" s="1115" t="s">
        <v>5392</v>
      </c>
      <c r="AB246" s="1134" t="s">
        <v>5393</v>
      </c>
      <c r="AC246" s="1115" t="s">
        <v>5394</v>
      </c>
      <c r="AD246" s="1114" t="s">
        <v>5395</v>
      </c>
      <c r="AE246" s="1115" t="s">
        <v>5396</v>
      </c>
      <c r="AF246" s="1134" t="s">
        <v>5397</v>
      </c>
      <c r="AG246" s="1115" t="s">
        <v>5398</v>
      </c>
      <c r="AH246" s="1134" t="s">
        <v>5399</v>
      </c>
      <c r="AI246" s="1115" t="s">
        <v>5400</v>
      </c>
      <c r="AJ246" s="1134" t="s">
        <v>5401</v>
      </c>
      <c r="AK246" s="1162" t="s">
        <v>5402</v>
      </c>
      <c r="AL246" s="2848" t="s">
        <v>5403</v>
      </c>
      <c r="AM246" s="2826" t="s">
        <v>5404</v>
      </c>
      <c r="AN246" s="2852" t="s">
        <v>5405</v>
      </c>
      <c r="AO246" s="2826" t="s">
        <v>5406</v>
      </c>
      <c r="AP246" s="2852" t="s">
        <v>5407</v>
      </c>
      <c r="AQ246" s="2826" t="s">
        <v>5408</v>
      </c>
      <c r="AR246" s="2852" t="s">
        <v>5409</v>
      </c>
      <c r="AS246" s="2826" t="s">
        <v>5410</v>
      </c>
      <c r="AT246" s="2822" t="s">
        <v>5411</v>
      </c>
      <c r="AU246" s="2826" t="s">
        <v>5412</v>
      </c>
      <c r="AV246" s="2822" t="s">
        <v>5413</v>
      </c>
      <c r="AW246" s="2826" t="s">
        <v>5414</v>
      </c>
      <c r="AX246" s="2852" t="s">
        <v>5415</v>
      </c>
      <c r="AY246" s="1115" t="s">
        <v>5416</v>
      </c>
      <c r="AZ246" s="1197" t="e">
        <f t="shared" si="447"/>
        <v>#VALUE!</v>
      </c>
      <c r="CB246" s="2195" t="str">
        <f t="shared" si="448"/>
        <v xml:space="preserve">* El total de Confirmados Positivos por ISP NO DEBE ser mayor que el total de Procesados. </v>
      </c>
      <c r="CC246" s="2195" t="e">
        <f t="shared" si="449"/>
        <v>#VALUE!</v>
      </c>
      <c r="CD246" s="2195" t="e">
        <f t="shared" si="450"/>
        <v>#VALUE!</v>
      </c>
      <c r="CE246" s="2195" t="str">
        <f t="shared" si="451"/>
        <v xml:space="preserve">* El Total de Pueblos Originarios Procesados NO DEBE ser mayor al Total de Procesados. </v>
      </c>
      <c r="CF246" s="2195" t="str">
        <f t="shared" si="452"/>
        <v xml:space="preserve">* El Total de Migrantes Procesados NO DEBE ser mayor al Total de Procesados. </v>
      </c>
      <c r="CG246" s="2195" t="e">
        <f t="shared" si="453"/>
        <v>#VALUE!</v>
      </c>
      <c r="CH246" s="2195" t="str">
        <f t="shared" si="454"/>
        <v xml:space="preserve">* Los exámenes positivos de Menor de 12 meses NO DEBEN ser mayor a los exámenes procesados de la misma edad. </v>
      </c>
      <c r="CI246" s="2195" t="str">
        <f t="shared" si="455"/>
        <v xml:space="preserve">* Los exámenes positivos de 12-24 meses NO DEBEN ser mayor a los exámenes procesados de la misma edad. </v>
      </c>
      <c r="CJ246" s="2195" t="str">
        <f t="shared" si="456"/>
        <v xml:space="preserve">* Los exámenes positivos de 3 a 4 años NO DEBEN ser mayor a los exámenes procesados de la misma edad. </v>
      </c>
      <c r="CK246" s="2195" t="str">
        <f t="shared" si="457"/>
        <v xml:space="preserve">* Los exámenes positivos de 5 a 9 años NO DEBEN ser mayor a los exámenes procesados de la misma edad. </v>
      </c>
      <c r="CL246" s="2195" t="str">
        <f t="shared" si="458"/>
        <v xml:space="preserve">* Los exámenes positivos de 10 a 14 años NO DEBEN ser mayor a los exámenes procesados de la misma edad. </v>
      </c>
      <c r="CM246" s="2195" t="str">
        <f t="shared" si="459"/>
        <v xml:space="preserve">* Los exámenes positivos de 15 a 19 años NO DEBEN ser mayor a los exámenes procesados de la misma edad. </v>
      </c>
      <c r="CN246" s="2195" t="str">
        <f t="shared" si="460"/>
        <v xml:space="preserve">* Los exámenes positivos de 20 a 24 años NO DEBEN ser mayor a los exámenes procesados de la misma edad. </v>
      </c>
      <c r="CO246" s="2195" t="str">
        <f t="shared" si="461"/>
        <v xml:space="preserve">* Los exámenes positivos de 25 a 29 años NO DEBEN ser mayor a los exámenes procesados de la misma edad. </v>
      </c>
      <c r="CP246" s="2195" t="str">
        <f t="shared" si="462"/>
        <v xml:space="preserve">* Los exámenes positivos de 30 a 34 años NO DEBEN ser mayor a los exámenes procesados de la misma edad. </v>
      </c>
      <c r="CQ246" s="2195" t="str">
        <f t="shared" si="463"/>
        <v xml:space="preserve">* Los exámenes positivos de 35 a 39 años NO DEBEN ser mayor a los exámenes procesados de la misma edad. </v>
      </c>
      <c r="CR246" s="2195" t="str">
        <f t="shared" si="464"/>
        <v xml:space="preserve">* Los exámenes positivos de 40 a 44 años NO DEBEN ser mayor a los exámenes procesados de la misma edad. </v>
      </c>
      <c r="CS246" s="2195" t="str">
        <f t="shared" si="465"/>
        <v xml:space="preserve">* Los exámenes positivos de 45 a 49 años NO DEBEN ser mayor a los exámenes procesados de la misma edad. </v>
      </c>
      <c r="CT246" s="2195" t="str">
        <f t="shared" si="466"/>
        <v xml:space="preserve">* Los exámenes positivos de 50 a 54 años NO DEBEN ser mayor a los exámenes procesados de la misma edad. </v>
      </c>
      <c r="CU246" s="2195" t="str">
        <f t="shared" si="467"/>
        <v xml:space="preserve">* Los exámenes positivos de 55 a 59 años NO DEBEN ser mayor a los exámenes procesados de la misma edad. </v>
      </c>
      <c r="CV246" s="2195" t="str">
        <f t="shared" si="468"/>
        <v xml:space="preserve">* Los exámenes positivos de 60 a 64 años NO DEBEN ser mayor a los exámenes procesados de la misma edad. </v>
      </c>
      <c r="CW246" s="2195" t="str">
        <f t="shared" si="469"/>
        <v xml:space="preserve">* Los exámenes positivos de  65 y más años NO DEBEN ser mayor a los exámenes procesados de la misma edad. </v>
      </c>
      <c r="CX246" s="2195" t="str">
        <f t="shared" si="470"/>
        <v/>
      </c>
      <c r="CY246" s="2195" t="str">
        <f t="shared" si="471"/>
        <v/>
      </c>
      <c r="CZ246" s="2195"/>
      <c r="DA246" s="2195"/>
      <c r="DB246" s="1446">
        <f t="shared" si="472"/>
        <v>1</v>
      </c>
      <c r="DC246" s="1446" t="e">
        <f t="shared" si="473"/>
        <v>#VALUE!</v>
      </c>
      <c r="DD246" s="1446" t="e">
        <f t="shared" si="474"/>
        <v>#VALUE!</v>
      </c>
      <c r="DE246" s="1446">
        <f t="shared" si="475"/>
        <v>1</v>
      </c>
      <c r="DF246" s="1446">
        <f t="shared" si="476"/>
        <v>1</v>
      </c>
      <c r="DG246" s="1446" t="e">
        <f t="shared" si="477"/>
        <v>#VALUE!</v>
      </c>
      <c r="DH246" s="1446">
        <f t="shared" si="478"/>
        <v>1</v>
      </c>
      <c r="DI246" s="1446">
        <f t="shared" si="479"/>
        <v>1</v>
      </c>
      <c r="DJ246" s="1446">
        <f t="shared" si="480"/>
        <v>1</v>
      </c>
      <c r="DK246" s="1446">
        <f t="shared" si="481"/>
        <v>1</v>
      </c>
      <c r="DL246" s="1446">
        <f t="shared" si="482"/>
        <v>1</v>
      </c>
      <c r="DM246" s="1446">
        <f t="shared" si="483"/>
        <v>1</v>
      </c>
      <c r="DN246" s="1446">
        <f t="shared" si="484"/>
        <v>1</v>
      </c>
      <c r="DO246" s="1446">
        <f t="shared" si="485"/>
        <v>1</v>
      </c>
      <c r="DP246" s="1446">
        <f t="shared" si="486"/>
        <v>1</v>
      </c>
      <c r="DQ246" s="1446">
        <f t="shared" si="487"/>
        <v>1</v>
      </c>
      <c r="DR246" s="1446">
        <f t="shared" si="488"/>
        <v>1</v>
      </c>
      <c r="DS246" s="1446">
        <f t="shared" si="489"/>
        <v>1</v>
      </c>
      <c r="DT246" s="1446">
        <f t="shared" si="490"/>
        <v>1</v>
      </c>
      <c r="DU246" s="1446">
        <f t="shared" si="491"/>
        <v>1</v>
      </c>
      <c r="DV246" s="1446">
        <f t="shared" si="492"/>
        <v>1</v>
      </c>
      <c r="DW246" s="1446">
        <f t="shared" si="493"/>
        <v>1</v>
      </c>
      <c r="DX246" s="1446">
        <f t="shared" si="494"/>
        <v>0</v>
      </c>
      <c r="DY246" s="1446">
        <f t="shared" si="494"/>
        <v>0</v>
      </c>
    </row>
    <row r="247" spans="1:129" x14ac:dyDescent="0.3">
      <c r="A247" s="7258">
        <v>11057111</v>
      </c>
      <c r="B247" s="8705"/>
      <c r="C247" s="1112" t="s">
        <v>1833</v>
      </c>
      <c r="D247" s="2204" t="s">
        <v>5369</v>
      </c>
      <c r="E247" s="2205" t="s">
        <v>5370</v>
      </c>
      <c r="F247" s="2206" t="s">
        <v>5371</v>
      </c>
      <c r="G247" s="2207" t="s">
        <v>5372</v>
      </c>
      <c r="H247" s="2208" t="s">
        <v>5373</v>
      </c>
      <c r="I247" s="2207" t="s">
        <v>5374</v>
      </c>
      <c r="J247" s="2208" t="s">
        <v>5375</v>
      </c>
      <c r="K247" s="2207" t="s">
        <v>5376</v>
      </c>
      <c r="L247" s="2208" t="s">
        <v>5377</v>
      </c>
      <c r="M247" s="2207" t="s">
        <v>5378</v>
      </c>
      <c r="N247" s="2208" t="s">
        <v>5379</v>
      </c>
      <c r="O247" s="2207" t="s">
        <v>5380</v>
      </c>
      <c r="P247" s="1134" t="s">
        <v>5381</v>
      </c>
      <c r="Q247" s="1115" t="s">
        <v>5382</v>
      </c>
      <c r="R247" s="1114" t="s">
        <v>5383</v>
      </c>
      <c r="S247" s="1115" t="s">
        <v>5384</v>
      </c>
      <c r="T247" s="1114" t="s">
        <v>5385</v>
      </c>
      <c r="U247" s="1115" t="s">
        <v>5386</v>
      </c>
      <c r="V247" s="1114" t="s">
        <v>5387</v>
      </c>
      <c r="W247" s="1115" t="s">
        <v>5388</v>
      </c>
      <c r="X247" s="1134" t="s">
        <v>5389</v>
      </c>
      <c r="Y247" s="1115" t="s">
        <v>5390</v>
      </c>
      <c r="Z247" s="1134" t="s">
        <v>5391</v>
      </c>
      <c r="AA247" s="1115" t="s">
        <v>5392</v>
      </c>
      <c r="AB247" s="1134" t="s">
        <v>5393</v>
      </c>
      <c r="AC247" s="1115" t="s">
        <v>5394</v>
      </c>
      <c r="AD247" s="1114" t="s">
        <v>5395</v>
      </c>
      <c r="AE247" s="1115" t="s">
        <v>5396</v>
      </c>
      <c r="AF247" s="1134" t="s">
        <v>5397</v>
      </c>
      <c r="AG247" s="1115" t="s">
        <v>5398</v>
      </c>
      <c r="AH247" s="1134" t="s">
        <v>5399</v>
      </c>
      <c r="AI247" s="1115" t="s">
        <v>5400</v>
      </c>
      <c r="AJ247" s="1134" t="s">
        <v>5401</v>
      </c>
      <c r="AK247" s="1162" t="s">
        <v>5402</v>
      </c>
      <c r="AL247" s="2848" t="s">
        <v>5403</v>
      </c>
      <c r="AM247" s="2826" t="s">
        <v>5404</v>
      </c>
      <c r="AN247" s="2852" t="s">
        <v>5405</v>
      </c>
      <c r="AO247" s="2826" t="s">
        <v>5406</v>
      </c>
      <c r="AP247" s="2852" t="s">
        <v>5407</v>
      </c>
      <c r="AQ247" s="2826" t="s">
        <v>5408</v>
      </c>
      <c r="AR247" s="2852" t="s">
        <v>5409</v>
      </c>
      <c r="AS247" s="2826" t="s">
        <v>5410</v>
      </c>
      <c r="AT247" s="2822" t="s">
        <v>5411</v>
      </c>
      <c r="AU247" s="2826" t="s">
        <v>5412</v>
      </c>
      <c r="AV247" s="2822" t="s">
        <v>5413</v>
      </c>
      <c r="AW247" s="2826" t="s">
        <v>5414</v>
      </c>
      <c r="AX247" s="2852" t="s">
        <v>5415</v>
      </c>
      <c r="AY247" s="1115" t="s">
        <v>5416</v>
      </c>
      <c r="AZ247" s="1197" t="e">
        <f t="shared" si="447"/>
        <v>#VALUE!</v>
      </c>
      <c r="CB247" s="2195" t="str">
        <f t="shared" si="448"/>
        <v xml:space="preserve">* El total de Confirmados Positivos por ISP NO DEBE ser mayor que el total de Procesados. </v>
      </c>
      <c r="CC247" s="2195" t="e">
        <f t="shared" si="449"/>
        <v>#VALUE!</v>
      </c>
      <c r="CD247" s="2195" t="e">
        <f t="shared" si="450"/>
        <v>#VALUE!</v>
      </c>
      <c r="CE247" s="2195" t="str">
        <f t="shared" si="451"/>
        <v xml:space="preserve">* El Total de Pueblos Originarios Procesados NO DEBE ser mayor al Total de Procesados. </v>
      </c>
      <c r="CF247" s="2195" t="str">
        <f t="shared" si="452"/>
        <v xml:space="preserve">* El Total de Migrantes Procesados NO DEBE ser mayor al Total de Procesados. </v>
      </c>
      <c r="CG247" s="2195" t="e">
        <f t="shared" si="453"/>
        <v>#VALUE!</v>
      </c>
      <c r="CH247" s="2195" t="str">
        <f t="shared" si="454"/>
        <v xml:space="preserve">* Los exámenes positivos de Menor de 12 meses NO DEBEN ser mayor a los exámenes procesados de la misma edad. </v>
      </c>
      <c r="CI247" s="2195" t="str">
        <f t="shared" si="455"/>
        <v xml:space="preserve">* Los exámenes positivos de 12-24 meses NO DEBEN ser mayor a los exámenes procesados de la misma edad. </v>
      </c>
      <c r="CJ247" s="2195" t="str">
        <f t="shared" si="456"/>
        <v xml:space="preserve">* Los exámenes positivos de 3 a 4 años NO DEBEN ser mayor a los exámenes procesados de la misma edad. </v>
      </c>
      <c r="CK247" s="2195" t="str">
        <f t="shared" si="457"/>
        <v xml:space="preserve">* Los exámenes positivos de 5 a 9 años NO DEBEN ser mayor a los exámenes procesados de la misma edad. </v>
      </c>
      <c r="CL247" s="2195" t="str">
        <f t="shared" si="458"/>
        <v xml:space="preserve">* Los exámenes positivos de 10 a 14 años NO DEBEN ser mayor a los exámenes procesados de la misma edad. </v>
      </c>
      <c r="CM247" s="2195" t="str">
        <f t="shared" si="459"/>
        <v xml:space="preserve">* Los exámenes positivos de 15 a 19 años NO DEBEN ser mayor a los exámenes procesados de la misma edad. </v>
      </c>
      <c r="CN247" s="2195" t="str">
        <f t="shared" si="460"/>
        <v xml:space="preserve">* Los exámenes positivos de 20 a 24 años NO DEBEN ser mayor a los exámenes procesados de la misma edad. </v>
      </c>
      <c r="CO247" s="2195" t="str">
        <f t="shared" si="461"/>
        <v xml:space="preserve">* Los exámenes positivos de 25 a 29 años NO DEBEN ser mayor a los exámenes procesados de la misma edad. </v>
      </c>
      <c r="CP247" s="2195" t="str">
        <f t="shared" si="462"/>
        <v xml:space="preserve">* Los exámenes positivos de 30 a 34 años NO DEBEN ser mayor a los exámenes procesados de la misma edad. </v>
      </c>
      <c r="CQ247" s="2195" t="str">
        <f t="shared" si="463"/>
        <v xml:space="preserve">* Los exámenes positivos de 35 a 39 años NO DEBEN ser mayor a los exámenes procesados de la misma edad. </v>
      </c>
      <c r="CR247" s="2195" t="str">
        <f t="shared" si="464"/>
        <v xml:space="preserve">* Los exámenes positivos de 40 a 44 años NO DEBEN ser mayor a los exámenes procesados de la misma edad. </v>
      </c>
      <c r="CS247" s="2195" t="str">
        <f t="shared" si="465"/>
        <v xml:space="preserve">* Los exámenes positivos de 45 a 49 años NO DEBEN ser mayor a los exámenes procesados de la misma edad. </v>
      </c>
      <c r="CT247" s="2195" t="str">
        <f t="shared" si="466"/>
        <v xml:space="preserve">* Los exámenes positivos de 50 a 54 años NO DEBEN ser mayor a los exámenes procesados de la misma edad. </v>
      </c>
      <c r="CU247" s="2195" t="str">
        <f t="shared" si="467"/>
        <v xml:space="preserve">* Los exámenes positivos de 55 a 59 años NO DEBEN ser mayor a los exámenes procesados de la misma edad. </v>
      </c>
      <c r="CV247" s="2195" t="str">
        <f t="shared" si="468"/>
        <v xml:space="preserve">* Los exámenes positivos de 60 a 64 años NO DEBEN ser mayor a los exámenes procesados de la misma edad. </v>
      </c>
      <c r="CW247" s="2195" t="str">
        <f t="shared" si="469"/>
        <v xml:space="preserve">* Los exámenes positivos de  65 y más años NO DEBEN ser mayor a los exámenes procesados de la misma edad. </v>
      </c>
      <c r="CX247" s="2195" t="str">
        <f t="shared" si="470"/>
        <v/>
      </c>
      <c r="CY247" s="2195" t="str">
        <f t="shared" si="471"/>
        <v/>
      </c>
      <c r="CZ247" s="2195"/>
      <c r="DA247" s="2195"/>
      <c r="DB247" s="1446">
        <f t="shared" si="472"/>
        <v>1</v>
      </c>
      <c r="DC247" s="1446" t="e">
        <f t="shared" si="473"/>
        <v>#VALUE!</v>
      </c>
      <c r="DD247" s="1446" t="e">
        <f t="shared" si="474"/>
        <v>#VALUE!</v>
      </c>
      <c r="DE247" s="1446">
        <f t="shared" si="475"/>
        <v>1</v>
      </c>
      <c r="DF247" s="1446">
        <f t="shared" si="476"/>
        <v>1</v>
      </c>
      <c r="DG247" s="1446" t="e">
        <f t="shared" si="477"/>
        <v>#VALUE!</v>
      </c>
      <c r="DH247" s="1446">
        <f t="shared" si="478"/>
        <v>1</v>
      </c>
      <c r="DI247" s="1446">
        <f t="shared" si="479"/>
        <v>1</v>
      </c>
      <c r="DJ247" s="1446">
        <f t="shared" si="480"/>
        <v>1</v>
      </c>
      <c r="DK247" s="1446">
        <f t="shared" si="481"/>
        <v>1</v>
      </c>
      <c r="DL247" s="1446">
        <f t="shared" si="482"/>
        <v>1</v>
      </c>
      <c r="DM247" s="1446">
        <f t="shared" si="483"/>
        <v>1</v>
      </c>
      <c r="DN247" s="1446">
        <f t="shared" si="484"/>
        <v>1</v>
      </c>
      <c r="DO247" s="1446">
        <f t="shared" si="485"/>
        <v>1</v>
      </c>
      <c r="DP247" s="1446">
        <f t="shared" si="486"/>
        <v>1</v>
      </c>
      <c r="DQ247" s="1446">
        <f t="shared" si="487"/>
        <v>1</v>
      </c>
      <c r="DR247" s="1446">
        <f t="shared" si="488"/>
        <v>1</v>
      </c>
      <c r="DS247" s="1446">
        <f t="shared" si="489"/>
        <v>1</v>
      </c>
      <c r="DT247" s="1446">
        <f t="shared" si="490"/>
        <v>1</v>
      </c>
      <c r="DU247" s="1446">
        <f t="shared" si="491"/>
        <v>1</v>
      </c>
      <c r="DV247" s="1446">
        <f t="shared" si="492"/>
        <v>1</v>
      </c>
      <c r="DW247" s="1446">
        <f t="shared" si="493"/>
        <v>1</v>
      </c>
      <c r="DX247" s="1446">
        <f t="shared" si="494"/>
        <v>0</v>
      </c>
      <c r="DY247" s="1446">
        <f t="shared" si="494"/>
        <v>0</v>
      </c>
    </row>
    <row r="248" spans="1:129" ht="15" customHeight="1" x14ac:dyDescent="0.3">
      <c r="A248" s="7258">
        <v>11057112</v>
      </c>
      <c r="B248" s="8705"/>
      <c r="C248" s="1112" t="s">
        <v>1834</v>
      </c>
      <c r="D248" s="2204" t="s">
        <v>5369</v>
      </c>
      <c r="E248" s="2213" t="s">
        <v>5370</v>
      </c>
      <c r="F248" s="2206" t="s">
        <v>5371</v>
      </c>
      <c r="G248" s="2218" t="s">
        <v>5372</v>
      </c>
      <c r="H248" s="2208" t="s">
        <v>5373</v>
      </c>
      <c r="I248" s="2207" t="s">
        <v>5374</v>
      </c>
      <c r="J248" s="2208" t="s">
        <v>5375</v>
      </c>
      <c r="K248" s="2207" t="s">
        <v>5376</v>
      </c>
      <c r="L248" s="2208" t="s">
        <v>5377</v>
      </c>
      <c r="M248" s="2207" t="s">
        <v>5378</v>
      </c>
      <c r="N248" s="1114" t="s">
        <v>5379</v>
      </c>
      <c r="O248" s="1115" t="s">
        <v>5380</v>
      </c>
      <c r="P248" s="1134" t="s">
        <v>5381</v>
      </c>
      <c r="Q248" s="1115" t="s">
        <v>5382</v>
      </c>
      <c r="R248" s="1114" t="s">
        <v>5383</v>
      </c>
      <c r="S248" s="1115" t="s">
        <v>5384</v>
      </c>
      <c r="T248" s="1114" t="s">
        <v>5385</v>
      </c>
      <c r="U248" s="1115" t="s">
        <v>5386</v>
      </c>
      <c r="V248" s="1114" t="s">
        <v>5387</v>
      </c>
      <c r="W248" s="1115" t="s">
        <v>5388</v>
      </c>
      <c r="X248" s="1134" t="s">
        <v>5389</v>
      </c>
      <c r="Y248" s="1115" t="s">
        <v>5390</v>
      </c>
      <c r="Z248" s="1134" t="s">
        <v>5391</v>
      </c>
      <c r="AA248" s="1115" t="s">
        <v>5392</v>
      </c>
      <c r="AB248" s="1134" t="s">
        <v>5393</v>
      </c>
      <c r="AC248" s="1115" t="s">
        <v>5394</v>
      </c>
      <c r="AD248" s="1114" t="s">
        <v>5395</v>
      </c>
      <c r="AE248" s="1115" t="s">
        <v>5396</v>
      </c>
      <c r="AF248" s="1134" t="s">
        <v>5397</v>
      </c>
      <c r="AG248" s="1115" t="s">
        <v>5398</v>
      </c>
      <c r="AH248" s="1134" t="s">
        <v>5399</v>
      </c>
      <c r="AI248" s="1115" t="s">
        <v>5400</v>
      </c>
      <c r="AJ248" s="1134" t="s">
        <v>5401</v>
      </c>
      <c r="AK248" s="1162" t="s">
        <v>5402</v>
      </c>
      <c r="AL248" s="2848" t="s">
        <v>5403</v>
      </c>
      <c r="AM248" s="2826" t="s">
        <v>5404</v>
      </c>
      <c r="AN248" s="2852" t="s">
        <v>5405</v>
      </c>
      <c r="AO248" s="2826" t="s">
        <v>5406</v>
      </c>
      <c r="AP248" s="2852" t="s">
        <v>5407</v>
      </c>
      <c r="AQ248" s="2826" t="s">
        <v>5408</v>
      </c>
      <c r="AR248" s="2852" t="s">
        <v>5409</v>
      </c>
      <c r="AS248" s="2826" t="s">
        <v>5410</v>
      </c>
      <c r="AT248" s="2822" t="s">
        <v>5411</v>
      </c>
      <c r="AU248" s="2826" t="s">
        <v>5412</v>
      </c>
      <c r="AV248" s="2822" t="s">
        <v>5413</v>
      </c>
      <c r="AW248" s="2826" t="s">
        <v>5414</v>
      </c>
      <c r="AX248" s="2852" t="s">
        <v>5415</v>
      </c>
      <c r="AY248" s="1115" t="s">
        <v>5416</v>
      </c>
      <c r="AZ248" s="1197" t="e">
        <f t="shared" si="447"/>
        <v>#VALUE!</v>
      </c>
      <c r="CB248" s="2195" t="str">
        <f t="shared" si="448"/>
        <v xml:space="preserve">* El total de Confirmados Positivos por ISP NO DEBE ser mayor que el total de Procesados. </v>
      </c>
      <c r="CC248" s="2195" t="e">
        <f t="shared" si="449"/>
        <v>#VALUE!</v>
      </c>
      <c r="CD248" s="2195" t="e">
        <f t="shared" si="450"/>
        <v>#VALUE!</v>
      </c>
      <c r="CE248" s="2195" t="str">
        <f t="shared" si="451"/>
        <v xml:space="preserve">* El Total de Pueblos Originarios Procesados NO DEBE ser mayor al Total de Procesados. </v>
      </c>
      <c r="CF248" s="2195" t="str">
        <f t="shared" si="452"/>
        <v xml:space="preserve">* El Total de Migrantes Procesados NO DEBE ser mayor al Total de Procesados. </v>
      </c>
      <c r="CG248" s="2195" t="e">
        <f t="shared" si="453"/>
        <v>#VALUE!</v>
      </c>
      <c r="CH248" s="2195" t="str">
        <f t="shared" si="454"/>
        <v xml:space="preserve">* Los exámenes positivos de Menor de 12 meses NO DEBEN ser mayor a los exámenes procesados de la misma edad. </v>
      </c>
      <c r="CI248" s="2195" t="str">
        <f t="shared" si="455"/>
        <v xml:space="preserve">* Los exámenes positivos de 12-24 meses NO DEBEN ser mayor a los exámenes procesados de la misma edad. </v>
      </c>
      <c r="CJ248" s="2195" t="str">
        <f t="shared" si="456"/>
        <v xml:space="preserve">* Los exámenes positivos de 3 a 4 años NO DEBEN ser mayor a los exámenes procesados de la misma edad. </v>
      </c>
      <c r="CK248" s="2195" t="str">
        <f t="shared" si="457"/>
        <v xml:space="preserve">* Los exámenes positivos de 5 a 9 años NO DEBEN ser mayor a los exámenes procesados de la misma edad. </v>
      </c>
      <c r="CL248" s="2195" t="str">
        <f t="shared" si="458"/>
        <v xml:space="preserve">* Los exámenes positivos de 10 a 14 años NO DEBEN ser mayor a los exámenes procesados de la misma edad. </v>
      </c>
      <c r="CM248" s="2195" t="str">
        <f t="shared" si="459"/>
        <v xml:space="preserve">* Los exámenes positivos de 15 a 19 años NO DEBEN ser mayor a los exámenes procesados de la misma edad. </v>
      </c>
      <c r="CN248" s="2195" t="str">
        <f t="shared" si="460"/>
        <v xml:space="preserve">* Los exámenes positivos de 20 a 24 años NO DEBEN ser mayor a los exámenes procesados de la misma edad. </v>
      </c>
      <c r="CO248" s="2195" t="str">
        <f t="shared" si="461"/>
        <v xml:space="preserve">* Los exámenes positivos de 25 a 29 años NO DEBEN ser mayor a los exámenes procesados de la misma edad. </v>
      </c>
      <c r="CP248" s="2195" t="str">
        <f t="shared" si="462"/>
        <v xml:space="preserve">* Los exámenes positivos de 30 a 34 años NO DEBEN ser mayor a los exámenes procesados de la misma edad. </v>
      </c>
      <c r="CQ248" s="2195" t="str">
        <f t="shared" si="463"/>
        <v xml:space="preserve">* Los exámenes positivos de 35 a 39 años NO DEBEN ser mayor a los exámenes procesados de la misma edad. </v>
      </c>
      <c r="CR248" s="2195" t="str">
        <f t="shared" si="464"/>
        <v xml:space="preserve">* Los exámenes positivos de 40 a 44 años NO DEBEN ser mayor a los exámenes procesados de la misma edad. </v>
      </c>
      <c r="CS248" s="2195" t="str">
        <f t="shared" si="465"/>
        <v xml:space="preserve">* Los exámenes positivos de 45 a 49 años NO DEBEN ser mayor a los exámenes procesados de la misma edad. </v>
      </c>
      <c r="CT248" s="2195" t="str">
        <f t="shared" si="466"/>
        <v xml:space="preserve">* Los exámenes positivos de 50 a 54 años NO DEBEN ser mayor a los exámenes procesados de la misma edad. </v>
      </c>
      <c r="CU248" s="2195" t="str">
        <f t="shared" si="467"/>
        <v xml:space="preserve">* Los exámenes positivos de 55 a 59 años NO DEBEN ser mayor a los exámenes procesados de la misma edad. </v>
      </c>
      <c r="CV248" s="2195" t="str">
        <f t="shared" si="468"/>
        <v xml:space="preserve">* Los exámenes positivos de 60 a 64 años NO DEBEN ser mayor a los exámenes procesados de la misma edad. </v>
      </c>
      <c r="CW248" s="2195" t="str">
        <f t="shared" si="469"/>
        <v xml:space="preserve">* Los exámenes positivos de  65 y más años NO DEBEN ser mayor a los exámenes procesados de la misma edad. </v>
      </c>
      <c r="CX248" s="2195" t="str">
        <f t="shared" si="470"/>
        <v/>
      </c>
      <c r="CY248" s="2195" t="str">
        <f t="shared" si="471"/>
        <v/>
      </c>
      <c r="CZ248" s="2195"/>
      <c r="DA248" s="2195"/>
      <c r="DB248" s="1446">
        <f t="shared" si="472"/>
        <v>1</v>
      </c>
      <c r="DC248" s="1446" t="e">
        <f t="shared" si="473"/>
        <v>#VALUE!</v>
      </c>
      <c r="DD248" s="1446" t="e">
        <f t="shared" si="474"/>
        <v>#VALUE!</v>
      </c>
      <c r="DE248" s="1446">
        <f t="shared" si="475"/>
        <v>1</v>
      </c>
      <c r="DF248" s="1446">
        <f t="shared" si="476"/>
        <v>1</v>
      </c>
      <c r="DG248" s="1446" t="e">
        <f t="shared" si="477"/>
        <v>#VALUE!</v>
      </c>
      <c r="DH248" s="1446">
        <f t="shared" si="478"/>
        <v>1</v>
      </c>
      <c r="DI248" s="1446">
        <f t="shared" si="479"/>
        <v>1</v>
      </c>
      <c r="DJ248" s="1446">
        <f t="shared" si="480"/>
        <v>1</v>
      </c>
      <c r="DK248" s="1446">
        <f t="shared" si="481"/>
        <v>1</v>
      </c>
      <c r="DL248" s="1446">
        <f t="shared" si="482"/>
        <v>1</v>
      </c>
      <c r="DM248" s="1446">
        <f t="shared" si="483"/>
        <v>1</v>
      </c>
      <c r="DN248" s="1446">
        <f t="shared" si="484"/>
        <v>1</v>
      </c>
      <c r="DO248" s="1446">
        <f t="shared" si="485"/>
        <v>1</v>
      </c>
      <c r="DP248" s="1446">
        <f t="shared" si="486"/>
        <v>1</v>
      </c>
      <c r="DQ248" s="1446">
        <f t="shared" si="487"/>
        <v>1</v>
      </c>
      <c r="DR248" s="1446">
        <f t="shared" si="488"/>
        <v>1</v>
      </c>
      <c r="DS248" s="1446">
        <f t="shared" si="489"/>
        <v>1</v>
      </c>
      <c r="DT248" s="1446">
        <f t="shared" si="490"/>
        <v>1</v>
      </c>
      <c r="DU248" s="1446">
        <f t="shared" si="491"/>
        <v>1</v>
      </c>
      <c r="DV248" s="1446">
        <f t="shared" si="492"/>
        <v>1</v>
      </c>
      <c r="DW248" s="1446">
        <f t="shared" si="493"/>
        <v>1</v>
      </c>
      <c r="DX248" s="1446">
        <f t="shared" si="494"/>
        <v>0</v>
      </c>
      <c r="DY248" s="1446">
        <f t="shared" si="494"/>
        <v>0</v>
      </c>
    </row>
    <row r="249" spans="1:129" ht="27" customHeight="1" x14ac:dyDescent="0.3">
      <c r="A249" s="7258">
        <v>11057113</v>
      </c>
      <c r="B249" s="8705"/>
      <c r="C249" s="1147" t="s">
        <v>1835</v>
      </c>
      <c r="D249" s="2219" t="s">
        <v>5369</v>
      </c>
      <c r="E249" s="2205" t="s">
        <v>5370</v>
      </c>
      <c r="F249" s="2206" t="s">
        <v>5371</v>
      </c>
      <c r="G249" s="2207" t="s">
        <v>5372</v>
      </c>
      <c r="H249" s="2208" t="s">
        <v>5373</v>
      </c>
      <c r="I249" s="2218" t="s">
        <v>5374</v>
      </c>
      <c r="J249" s="2208" t="s">
        <v>5375</v>
      </c>
      <c r="K249" s="2207" t="s">
        <v>5376</v>
      </c>
      <c r="L249" s="2208" t="s">
        <v>5377</v>
      </c>
      <c r="M249" s="2207" t="s">
        <v>5378</v>
      </c>
      <c r="N249" s="2215" t="s">
        <v>5379</v>
      </c>
      <c r="O249" s="2216" t="s">
        <v>5380</v>
      </c>
      <c r="P249" s="1134" t="s">
        <v>5381</v>
      </c>
      <c r="Q249" s="1115" t="s">
        <v>5382</v>
      </c>
      <c r="R249" s="1114" t="s">
        <v>5383</v>
      </c>
      <c r="S249" s="1115" t="s">
        <v>5384</v>
      </c>
      <c r="T249" s="1114" t="s">
        <v>5385</v>
      </c>
      <c r="U249" s="1115" t="s">
        <v>5386</v>
      </c>
      <c r="V249" s="1114" t="s">
        <v>5387</v>
      </c>
      <c r="W249" s="1115" t="s">
        <v>5388</v>
      </c>
      <c r="X249" s="1134" t="s">
        <v>5389</v>
      </c>
      <c r="Y249" s="1115" t="s">
        <v>5390</v>
      </c>
      <c r="Z249" s="1134" t="s">
        <v>5391</v>
      </c>
      <c r="AA249" s="1115" t="s">
        <v>5392</v>
      </c>
      <c r="AB249" s="1134" t="s">
        <v>5393</v>
      </c>
      <c r="AC249" s="1115" t="s">
        <v>5394</v>
      </c>
      <c r="AD249" s="1114" t="s">
        <v>5395</v>
      </c>
      <c r="AE249" s="1115" t="s">
        <v>5396</v>
      </c>
      <c r="AF249" s="1134" t="s">
        <v>5397</v>
      </c>
      <c r="AG249" s="1115" t="s">
        <v>5398</v>
      </c>
      <c r="AH249" s="1134" t="s">
        <v>5399</v>
      </c>
      <c r="AI249" s="1115" t="s">
        <v>5400</v>
      </c>
      <c r="AJ249" s="1134" t="s">
        <v>5401</v>
      </c>
      <c r="AK249" s="1162" t="s">
        <v>5402</v>
      </c>
      <c r="AL249" s="2848" t="s">
        <v>5403</v>
      </c>
      <c r="AM249" s="2826" t="s">
        <v>5404</v>
      </c>
      <c r="AN249" s="2852" t="s">
        <v>5405</v>
      </c>
      <c r="AO249" s="2826" t="s">
        <v>5406</v>
      </c>
      <c r="AP249" s="2852" t="s">
        <v>5407</v>
      </c>
      <c r="AQ249" s="2826" t="s">
        <v>5408</v>
      </c>
      <c r="AR249" s="2852" t="s">
        <v>5409</v>
      </c>
      <c r="AS249" s="2826" t="s">
        <v>5410</v>
      </c>
      <c r="AT249" s="2822" t="s">
        <v>5411</v>
      </c>
      <c r="AU249" s="2826" t="s">
        <v>5412</v>
      </c>
      <c r="AV249" s="2822" t="s">
        <v>5413</v>
      </c>
      <c r="AW249" s="2826" t="s">
        <v>5414</v>
      </c>
      <c r="AX249" s="2852" t="s">
        <v>5415</v>
      </c>
      <c r="AY249" s="1115" t="s">
        <v>5416</v>
      </c>
      <c r="AZ249" s="1197" t="e">
        <f t="shared" si="447"/>
        <v>#VALUE!</v>
      </c>
      <c r="CB249" s="2195" t="str">
        <f t="shared" si="448"/>
        <v xml:space="preserve">* El total de Confirmados Positivos por ISP NO DEBE ser mayor que el total de Procesados. </v>
      </c>
      <c r="CC249" s="2195" t="e">
        <f t="shared" si="449"/>
        <v>#VALUE!</v>
      </c>
      <c r="CD249" s="2195" t="e">
        <f t="shared" si="450"/>
        <v>#VALUE!</v>
      </c>
      <c r="CE249" s="2195" t="str">
        <f t="shared" si="451"/>
        <v xml:space="preserve">* El Total de Pueblos Originarios Procesados NO DEBE ser mayor al Total de Procesados. </v>
      </c>
      <c r="CF249" s="2195" t="str">
        <f t="shared" si="452"/>
        <v xml:space="preserve">* El Total de Migrantes Procesados NO DEBE ser mayor al Total de Procesados. </v>
      </c>
      <c r="CG249" s="2195" t="e">
        <f t="shared" si="453"/>
        <v>#VALUE!</v>
      </c>
      <c r="CH249" s="2195" t="str">
        <f t="shared" si="454"/>
        <v xml:space="preserve">* Los exámenes positivos de Menor de 12 meses NO DEBEN ser mayor a los exámenes procesados de la misma edad. </v>
      </c>
      <c r="CI249" s="2195" t="str">
        <f t="shared" si="455"/>
        <v xml:space="preserve">* Los exámenes positivos de 12-24 meses NO DEBEN ser mayor a los exámenes procesados de la misma edad. </v>
      </c>
      <c r="CJ249" s="2195" t="str">
        <f t="shared" si="456"/>
        <v xml:space="preserve">* Los exámenes positivos de 3 a 4 años NO DEBEN ser mayor a los exámenes procesados de la misma edad. </v>
      </c>
      <c r="CK249" s="2195" t="str">
        <f t="shared" si="457"/>
        <v xml:space="preserve">* Los exámenes positivos de 5 a 9 años NO DEBEN ser mayor a los exámenes procesados de la misma edad. </v>
      </c>
      <c r="CL249" s="2195" t="str">
        <f t="shared" si="458"/>
        <v xml:space="preserve">* Los exámenes positivos de 10 a 14 años NO DEBEN ser mayor a los exámenes procesados de la misma edad. </v>
      </c>
      <c r="CM249" s="2195" t="str">
        <f t="shared" si="459"/>
        <v xml:space="preserve">* Los exámenes positivos de 15 a 19 años NO DEBEN ser mayor a los exámenes procesados de la misma edad. </v>
      </c>
      <c r="CN249" s="2195" t="str">
        <f t="shared" si="460"/>
        <v xml:space="preserve">* Los exámenes positivos de 20 a 24 años NO DEBEN ser mayor a los exámenes procesados de la misma edad. </v>
      </c>
      <c r="CO249" s="2195" t="str">
        <f t="shared" si="461"/>
        <v xml:space="preserve">* Los exámenes positivos de 25 a 29 años NO DEBEN ser mayor a los exámenes procesados de la misma edad. </v>
      </c>
      <c r="CP249" s="2195" t="str">
        <f t="shared" si="462"/>
        <v xml:space="preserve">* Los exámenes positivos de 30 a 34 años NO DEBEN ser mayor a los exámenes procesados de la misma edad. </v>
      </c>
      <c r="CQ249" s="2195" t="str">
        <f t="shared" si="463"/>
        <v xml:space="preserve">* Los exámenes positivos de 35 a 39 años NO DEBEN ser mayor a los exámenes procesados de la misma edad. </v>
      </c>
      <c r="CR249" s="2195" t="str">
        <f t="shared" si="464"/>
        <v xml:space="preserve">* Los exámenes positivos de 40 a 44 años NO DEBEN ser mayor a los exámenes procesados de la misma edad. </v>
      </c>
      <c r="CS249" s="2195" t="str">
        <f t="shared" si="465"/>
        <v xml:space="preserve">* Los exámenes positivos de 45 a 49 años NO DEBEN ser mayor a los exámenes procesados de la misma edad. </v>
      </c>
      <c r="CT249" s="2195" t="str">
        <f t="shared" si="466"/>
        <v xml:space="preserve">* Los exámenes positivos de 50 a 54 años NO DEBEN ser mayor a los exámenes procesados de la misma edad. </v>
      </c>
      <c r="CU249" s="2195" t="str">
        <f t="shared" si="467"/>
        <v xml:space="preserve">* Los exámenes positivos de 55 a 59 años NO DEBEN ser mayor a los exámenes procesados de la misma edad. </v>
      </c>
      <c r="CV249" s="2195" t="str">
        <f t="shared" si="468"/>
        <v xml:space="preserve">* Los exámenes positivos de 60 a 64 años NO DEBEN ser mayor a los exámenes procesados de la misma edad. </v>
      </c>
      <c r="CW249" s="2195" t="str">
        <f t="shared" si="469"/>
        <v xml:space="preserve">* Los exámenes positivos de  65 y más años NO DEBEN ser mayor a los exámenes procesados de la misma edad. </v>
      </c>
      <c r="CX249" s="2195" t="str">
        <f t="shared" si="470"/>
        <v/>
      </c>
      <c r="CY249" s="2195" t="str">
        <f t="shared" si="471"/>
        <v/>
      </c>
      <c r="CZ249" s="2195"/>
      <c r="DA249" s="2195"/>
      <c r="DB249" s="1446">
        <f t="shared" si="472"/>
        <v>1</v>
      </c>
      <c r="DC249" s="1446" t="e">
        <f t="shared" si="473"/>
        <v>#VALUE!</v>
      </c>
      <c r="DD249" s="1446" t="e">
        <f t="shared" si="474"/>
        <v>#VALUE!</v>
      </c>
      <c r="DE249" s="1446">
        <f t="shared" si="475"/>
        <v>1</v>
      </c>
      <c r="DF249" s="1446">
        <f t="shared" si="476"/>
        <v>1</v>
      </c>
      <c r="DG249" s="1446" t="e">
        <f t="shared" si="477"/>
        <v>#VALUE!</v>
      </c>
      <c r="DH249" s="1446">
        <f t="shared" si="478"/>
        <v>1</v>
      </c>
      <c r="DI249" s="1446">
        <f t="shared" si="479"/>
        <v>1</v>
      </c>
      <c r="DJ249" s="1446">
        <f t="shared" si="480"/>
        <v>1</v>
      </c>
      <c r="DK249" s="1446">
        <f t="shared" si="481"/>
        <v>1</v>
      </c>
      <c r="DL249" s="1446">
        <f t="shared" si="482"/>
        <v>1</v>
      </c>
      <c r="DM249" s="1446">
        <f t="shared" si="483"/>
        <v>1</v>
      </c>
      <c r="DN249" s="1446">
        <f t="shared" si="484"/>
        <v>1</v>
      </c>
      <c r="DO249" s="1446">
        <f t="shared" si="485"/>
        <v>1</v>
      </c>
      <c r="DP249" s="1446">
        <f t="shared" si="486"/>
        <v>1</v>
      </c>
      <c r="DQ249" s="1446">
        <f t="shared" si="487"/>
        <v>1</v>
      </c>
      <c r="DR249" s="1446">
        <f t="shared" si="488"/>
        <v>1</v>
      </c>
      <c r="DS249" s="1446">
        <f t="shared" si="489"/>
        <v>1</v>
      </c>
      <c r="DT249" s="1446">
        <f t="shared" si="490"/>
        <v>1</v>
      </c>
      <c r="DU249" s="1446">
        <f t="shared" si="491"/>
        <v>1</v>
      </c>
      <c r="DV249" s="1446">
        <f t="shared" si="492"/>
        <v>1</v>
      </c>
      <c r="DW249" s="1446">
        <f t="shared" si="493"/>
        <v>1</v>
      </c>
      <c r="DX249" s="1446">
        <f t="shared" si="494"/>
        <v>0</v>
      </c>
      <c r="DY249" s="1446">
        <f t="shared" si="494"/>
        <v>0</v>
      </c>
    </row>
    <row r="250" spans="1:129" ht="31.5" customHeight="1" x14ac:dyDescent="0.3">
      <c r="A250" s="7258">
        <v>11057114</v>
      </c>
      <c r="B250" s="8705"/>
      <c r="C250" s="1147" t="s">
        <v>1836</v>
      </c>
      <c r="D250" s="2204" t="s">
        <v>5369</v>
      </c>
      <c r="E250" s="2213" t="s">
        <v>5370</v>
      </c>
      <c r="F250" s="2206" t="s">
        <v>5371</v>
      </c>
      <c r="G250" s="2207" t="s">
        <v>5372</v>
      </c>
      <c r="H250" s="2208" t="s">
        <v>5373</v>
      </c>
      <c r="I250" s="2207" t="s">
        <v>5374</v>
      </c>
      <c r="J250" s="2208" t="s">
        <v>5375</v>
      </c>
      <c r="K250" s="2218" t="s">
        <v>5376</v>
      </c>
      <c r="L250" s="2208" t="s">
        <v>5377</v>
      </c>
      <c r="M250" s="2207" t="s">
        <v>5378</v>
      </c>
      <c r="N250" s="1183" t="s">
        <v>5379</v>
      </c>
      <c r="O250" s="130" t="s">
        <v>5380</v>
      </c>
      <c r="P250" s="1134" t="s">
        <v>5381</v>
      </c>
      <c r="Q250" s="1118" t="s">
        <v>5382</v>
      </c>
      <c r="R250" s="1114" t="s">
        <v>5383</v>
      </c>
      <c r="S250" s="1118" t="s">
        <v>5384</v>
      </c>
      <c r="T250" s="1114" t="s">
        <v>5385</v>
      </c>
      <c r="U250" s="1118" t="s">
        <v>5386</v>
      </c>
      <c r="V250" s="1114" t="s">
        <v>5387</v>
      </c>
      <c r="W250" s="1118" t="s">
        <v>5388</v>
      </c>
      <c r="X250" s="1134" t="s">
        <v>5389</v>
      </c>
      <c r="Y250" s="1118" t="s">
        <v>5390</v>
      </c>
      <c r="Z250" s="1134" t="s">
        <v>5391</v>
      </c>
      <c r="AA250" s="1118" t="s">
        <v>5392</v>
      </c>
      <c r="AB250" s="1134" t="s">
        <v>5393</v>
      </c>
      <c r="AC250" s="1118" t="s">
        <v>5394</v>
      </c>
      <c r="AD250" s="1114" t="s">
        <v>5395</v>
      </c>
      <c r="AE250" s="1118" t="s">
        <v>5396</v>
      </c>
      <c r="AF250" s="1134" t="s">
        <v>5397</v>
      </c>
      <c r="AG250" s="1118" t="s">
        <v>5398</v>
      </c>
      <c r="AH250" s="1134" t="s">
        <v>5399</v>
      </c>
      <c r="AI250" s="1118" t="s">
        <v>5400</v>
      </c>
      <c r="AJ250" s="1134" t="s">
        <v>5401</v>
      </c>
      <c r="AK250" s="1136" t="s">
        <v>5402</v>
      </c>
      <c r="AL250" s="2848" t="s">
        <v>5403</v>
      </c>
      <c r="AM250" s="2824" t="s">
        <v>5404</v>
      </c>
      <c r="AN250" s="2852" t="s">
        <v>5405</v>
      </c>
      <c r="AO250" s="2824" t="s">
        <v>5406</v>
      </c>
      <c r="AP250" s="2852" t="s">
        <v>5407</v>
      </c>
      <c r="AQ250" s="2824" t="s">
        <v>5408</v>
      </c>
      <c r="AR250" s="2852" t="s">
        <v>5409</v>
      </c>
      <c r="AS250" s="2824" t="s">
        <v>5410</v>
      </c>
      <c r="AT250" s="2822" t="s">
        <v>5411</v>
      </c>
      <c r="AU250" s="2826" t="s">
        <v>5412</v>
      </c>
      <c r="AV250" s="2822" t="s">
        <v>5413</v>
      </c>
      <c r="AW250" s="2826" t="s">
        <v>5414</v>
      </c>
      <c r="AX250" s="2852" t="s">
        <v>5415</v>
      </c>
      <c r="AY250" s="1118" t="s">
        <v>5416</v>
      </c>
      <c r="AZ250" s="1197" t="e">
        <f t="shared" si="447"/>
        <v>#VALUE!</v>
      </c>
      <c r="CB250" s="2195" t="str">
        <f t="shared" si="448"/>
        <v xml:space="preserve">* El total de Confirmados Positivos por ISP NO DEBE ser mayor que el total de Procesados. </v>
      </c>
      <c r="CC250" s="2195" t="e">
        <f t="shared" si="449"/>
        <v>#VALUE!</v>
      </c>
      <c r="CD250" s="2195" t="e">
        <f t="shared" si="450"/>
        <v>#VALUE!</v>
      </c>
      <c r="CE250" s="2195" t="str">
        <f t="shared" si="451"/>
        <v xml:space="preserve">* El Total de Pueblos Originarios Procesados NO DEBE ser mayor al Total de Procesados. </v>
      </c>
      <c r="CF250" s="2195" t="str">
        <f t="shared" si="452"/>
        <v xml:space="preserve">* El Total de Migrantes Procesados NO DEBE ser mayor al Total de Procesados. </v>
      </c>
      <c r="CG250" s="2195" t="e">
        <f t="shared" si="453"/>
        <v>#VALUE!</v>
      </c>
      <c r="CH250" s="2195" t="str">
        <f t="shared" si="454"/>
        <v xml:space="preserve">* Los exámenes positivos de Menor de 12 meses NO DEBEN ser mayor a los exámenes procesados de la misma edad. </v>
      </c>
      <c r="CI250" s="2195" t="str">
        <f t="shared" si="455"/>
        <v xml:space="preserve">* Los exámenes positivos de 12-24 meses NO DEBEN ser mayor a los exámenes procesados de la misma edad. </v>
      </c>
      <c r="CJ250" s="2195" t="str">
        <f t="shared" si="456"/>
        <v xml:space="preserve">* Los exámenes positivos de 3 a 4 años NO DEBEN ser mayor a los exámenes procesados de la misma edad. </v>
      </c>
      <c r="CK250" s="2195" t="str">
        <f t="shared" si="457"/>
        <v xml:space="preserve">* Los exámenes positivos de 5 a 9 años NO DEBEN ser mayor a los exámenes procesados de la misma edad. </v>
      </c>
      <c r="CL250" s="2195" t="str">
        <f t="shared" si="458"/>
        <v xml:space="preserve">* Los exámenes positivos de 10 a 14 años NO DEBEN ser mayor a los exámenes procesados de la misma edad. </v>
      </c>
      <c r="CM250" s="2195" t="str">
        <f t="shared" si="459"/>
        <v xml:space="preserve">* Los exámenes positivos de 15 a 19 años NO DEBEN ser mayor a los exámenes procesados de la misma edad. </v>
      </c>
      <c r="CN250" s="2195" t="str">
        <f t="shared" si="460"/>
        <v xml:space="preserve">* Los exámenes positivos de 20 a 24 años NO DEBEN ser mayor a los exámenes procesados de la misma edad. </v>
      </c>
      <c r="CO250" s="2195" t="str">
        <f t="shared" si="461"/>
        <v xml:space="preserve">* Los exámenes positivos de 25 a 29 años NO DEBEN ser mayor a los exámenes procesados de la misma edad. </v>
      </c>
      <c r="CP250" s="2195" t="str">
        <f t="shared" si="462"/>
        <v xml:space="preserve">* Los exámenes positivos de 30 a 34 años NO DEBEN ser mayor a los exámenes procesados de la misma edad. </v>
      </c>
      <c r="CQ250" s="2195" t="str">
        <f t="shared" si="463"/>
        <v xml:space="preserve">* Los exámenes positivos de 35 a 39 años NO DEBEN ser mayor a los exámenes procesados de la misma edad. </v>
      </c>
      <c r="CR250" s="2195" t="str">
        <f t="shared" si="464"/>
        <v xml:space="preserve">* Los exámenes positivos de 40 a 44 años NO DEBEN ser mayor a los exámenes procesados de la misma edad. </v>
      </c>
      <c r="CS250" s="2195" t="str">
        <f t="shared" si="465"/>
        <v xml:space="preserve">* Los exámenes positivos de 45 a 49 años NO DEBEN ser mayor a los exámenes procesados de la misma edad. </v>
      </c>
      <c r="CT250" s="2195" t="str">
        <f t="shared" si="466"/>
        <v xml:space="preserve">* Los exámenes positivos de 50 a 54 años NO DEBEN ser mayor a los exámenes procesados de la misma edad. </v>
      </c>
      <c r="CU250" s="2195" t="str">
        <f t="shared" si="467"/>
        <v xml:space="preserve">* Los exámenes positivos de 55 a 59 años NO DEBEN ser mayor a los exámenes procesados de la misma edad. </v>
      </c>
      <c r="CV250" s="2195" t="str">
        <f t="shared" si="468"/>
        <v xml:space="preserve">* Los exámenes positivos de 60 a 64 años NO DEBEN ser mayor a los exámenes procesados de la misma edad. </v>
      </c>
      <c r="CW250" s="2195" t="str">
        <f t="shared" si="469"/>
        <v xml:space="preserve">* Los exámenes positivos de  65 y más años NO DEBEN ser mayor a los exámenes procesados de la misma edad. </v>
      </c>
      <c r="CX250" s="2195" t="str">
        <f t="shared" si="470"/>
        <v/>
      </c>
      <c r="CY250" s="2195" t="str">
        <f t="shared" si="471"/>
        <v/>
      </c>
      <c r="CZ250" s="2195"/>
      <c r="DA250" s="2195"/>
      <c r="DB250" s="1446">
        <f t="shared" si="472"/>
        <v>1</v>
      </c>
      <c r="DC250" s="1446" t="e">
        <f t="shared" si="473"/>
        <v>#VALUE!</v>
      </c>
      <c r="DD250" s="1446" t="e">
        <f t="shared" si="474"/>
        <v>#VALUE!</v>
      </c>
      <c r="DE250" s="1446">
        <f t="shared" si="475"/>
        <v>1</v>
      </c>
      <c r="DF250" s="1446">
        <f t="shared" si="476"/>
        <v>1</v>
      </c>
      <c r="DG250" s="1446" t="e">
        <f t="shared" si="477"/>
        <v>#VALUE!</v>
      </c>
      <c r="DH250" s="1446">
        <f t="shared" si="478"/>
        <v>1</v>
      </c>
      <c r="DI250" s="1446">
        <f t="shared" si="479"/>
        <v>1</v>
      </c>
      <c r="DJ250" s="1446">
        <f t="shared" si="480"/>
        <v>1</v>
      </c>
      <c r="DK250" s="1446">
        <f t="shared" si="481"/>
        <v>1</v>
      </c>
      <c r="DL250" s="1446">
        <f t="shared" si="482"/>
        <v>1</v>
      </c>
      <c r="DM250" s="1446">
        <f t="shared" si="483"/>
        <v>1</v>
      </c>
      <c r="DN250" s="1446">
        <f t="shared" si="484"/>
        <v>1</v>
      </c>
      <c r="DO250" s="1446">
        <f t="shared" si="485"/>
        <v>1</v>
      </c>
      <c r="DP250" s="1446">
        <f t="shared" si="486"/>
        <v>1</v>
      </c>
      <c r="DQ250" s="1446">
        <f t="shared" si="487"/>
        <v>1</v>
      </c>
      <c r="DR250" s="1446">
        <f t="shared" si="488"/>
        <v>1</v>
      </c>
      <c r="DS250" s="1446">
        <f t="shared" si="489"/>
        <v>1</v>
      </c>
      <c r="DT250" s="1446">
        <f t="shared" si="490"/>
        <v>1</v>
      </c>
      <c r="DU250" s="1446">
        <f t="shared" si="491"/>
        <v>1</v>
      </c>
      <c r="DV250" s="1446">
        <f t="shared" si="492"/>
        <v>1</v>
      </c>
      <c r="DW250" s="1446">
        <f t="shared" si="493"/>
        <v>1</v>
      </c>
      <c r="DX250" s="1446">
        <f t="shared" si="494"/>
        <v>0</v>
      </c>
      <c r="DY250" s="1446">
        <f t="shared" si="494"/>
        <v>0</v>
      </c>
    </row>
    <row r="251" spans="1:129" ht="16.5" customHeight="1" x14ac:dyDescent="0.3">
      <c r="A251" s="7258">
        <v>11057115</v>
      </c>
      <c r="B251" s="8705"/>
      <c r="C251" s="1147" t="s">
        <v>1837</v>
      </c>
      <c r="D251" s="2204" t="s">
        <v>5369</v>
      </c>
      <c r="E251" s="2213" t="s">
        <v>5370</v>
      </c>
      <c r="F251" s="2206" t="s">
        <v>5371</v>
      </c>
      <c r="G251" s="2207" t="s">
        <v>5372</v>
      </c>
      <c r="H251" s="2208" t="s">
        <v>5373</v>
      </c>
      <c r="I251" s="2207" t="s">
        <v>5374</v>
      </c>
      <c r="J251" s="2208" t="s">
        <v>5375</v>
      </c>
      <c r="K251" s="2207" t="s">
        <v>5376</v>
      </c>
      <c r="L251" s="2208" t="s">
        <v>5377</v>
      </c>
      <c r="M251" s="2207" t="s">
        <v>5378</v>
      </c>
      <c r="N251" s="1134" t="s">
        <v>5379</v>
      </c>
      <c r="O251" s="1118" t="s">
        <v>5380</v>
      </c>
      <c r="P251" s="1134" t="s">
        <v>5381</v>
      </c>
      <c r="Q251" s="1118" t="s">
        <v>5382</v>
      </c>
      <c r="R251" s="1114" t="s">
        <v>5383</v>
      </c>
      <c r="S251" s="1118" t="s">
        <v>5384</v>
      </c>
      <c r="T251" s="1114" t="s">
        <v>5385</v>
      </c>
      <c r="U251" s="1118" t="s">
        <v>5386</v>
      </c>
      <c r="V251" s="1114" t="s">
        <v>5387</v>
      </c>
      <c r="W251" s="1118" t="s">
        <v>5388</v>
      </c>
      <c r="X251" s="1134" t="s">
        <v>5389</v>
      </c>
      <c r="Y251" s="1118" t="s">
        <v>5390</v>
      </c>
      <c r="Z251" s="1134" t="s">
        <v>5391</v>
      </c>
      <c r="AA251" s="1118" t="s">
        <v>5392</v>
      </c>
      <c r="AB251" s="1134" t="s">
        <v>5393</v>
      </c>
      <c r="AC251" s="1118" t="s">
        <v>5394</v>
      </c>
      <c r="AD251" s="1114" t="s">
        <v>5395</v>
      </c>
      <c r="AE251" s="1118" t="s">
        <v>5396</v>
      </c>
      <c r="AF251" s="1134" t="s">
        <v>5397</v>
      </c>
      <c r="AG251" s="1118" t="s">
        <v>5398</v>
      </c>
      <c r="AH251" s="1134" t="s">
        <v>5399</v>
      </c>
      <c r="AI251" s="1118" t="s">
        <v>5400</v>
      </c>
      <c r="AJ251" s="1134" t="s">
        <v>5401</v>
      </c>
      <c r="AK251" s="1136" t="s">
        <v>5402</v>
      </c>
      <c r="AL251" s="2848" t="s">
        <v>5403</v>
      </c>
      <c r="AM251" s="2824" t="s">
        <v>5404</v>
      </c>
      <c r="AN251" s="2852" t="s">
        <v>5405</v>
      </c>
      <c r="AO251" s="2824" t="s">
        <v>5406</v>
      </c>
      <c r="AP251" s="2852" t="s">
        <v>5407</v>
      </c>
      <c r="AQ251" s="2824" t="s">
        <v>5408</v>
      </c>
      <c r="AR251" s="2852" t="s">
        <v>5409</v>
      </c>
      <c r="AS251" s="2824" t="s">
        <v>5410</v>
      </c>
      <c r="AT251" s="2822" t="s">
        <v>5411</v>
      </c>
      <c r="AU251" s="2826" t="s">
        <v>5412</v>
      </c>
      <c r="AV251" s="2822" t="s">
        <v>5413</v>
      </c>
      <c r="AW251" s="2826" t="s">
        <v>5414</v>
      </c>
      <c r="AX251" s="2852" t="s">
        <v>5415</v>
      </c>
      <c r="AY251" s="1118" t="s">
        <v>5416</v>
      </c>
      <c r="AZ251" s="1197" t="e">
        <f t="shared" si="447"/>
        <v>#VALUE!</v>
      </c>
      <c r="CB251" s="2195" t="str">
        <f t="shared" si="448"/>
        <v xml:space="preserve">* El total de Confirmados Positivos por ISP NO DEBE ser mayor que el total de Procesados. </v>
      </c>
      <c r="CC251" s="2195" t="e">
        <f t="shared" si="449"/>
        <v>#VALUE!</v>
      </c>
      <c r="CD251" s="2195" t="e">
        <f t="shared" si="450"/>
        <v>#VALUE!</v>
      </c>
      <c r="CE251" s="2195" t="str">
        <f t="shared" si="451"/>
        <v xml:space="preserve">* El Total de Pueblos Originarios Procesados NO DEBE ser mayor al Total de Procesados. </v>
      </c>
      <c r="CF251" s="2195" t="str">
        <f t="shared" si="452"/>
        <v xml:space="preserve">* El Total de Migrantes Procesados NO DEBE ser mayor al Total de Procesados. </v>
      </c>
      <c r="CG251" s="2195" t="e">
        <f t="shared" si="453"/>
        <v>#VALUE!</v>
      </c>
      <c r="CH251" s="2195" t="str">
        <f t="shared" si="454"/>
        <v xml:space="preserve">* Los exámenes positivos de Menor de 12 meses NO DEBEN ser mayor a los exámenes procesados de la misma edad. </v>
      </c>
      <c r="CI251" s="2195" t="str">
        <f t="shared" si="455"/>
        <v xml:space="preserve">* Los exámenes positivos de 12-24 meses NO DEBEN ser mayor a los exámenes procesados de la misma edad. </v>
      </c>
      <c r="CJ251" s="2195" t="str">
        <f t="shared" si="456"/>
        <v xml:space="preserve">* Los exámenes positivos de 3 a 4 años NO DEBEN ser mayor a los exámenes procesados de la misma edad. </v>
      </c>
      <c r="CK251" s="2195" t="str">
        <f t="shared" si="457"/>
        <v xml:space="preserve">* Los exámenes positivos de 5 a 9 años NO DEBEN ser mayor a los exámenes procesados de la misma edad. </v>
      </c>
      <c r="CL251" s="2195" t="str">
        <f t="shared" si="458"/>
        <v xml:space="preserve">* Los exámenes positivos de 10 a 14 años NO DEBEN ser mayor a los exámenes procesados de la misma edad. </v>
      </c>
      <c r="CM251" s="2195" t="str">
        <f t="shared" si="459"/>
        <v xml:space="preserve">* Los exámenes positivos de 15 a 19 años NO DEBEN ser mayor a los exámenes procesados de la misma edad. </v>
      </c>
      <c r="CN251" s="2195" t="str">
        <f t="shared" si="460"/>
        <v xml:space="preserve">* Los exámenes positivos de 20 a 24 años NO DEBEN ser mayor a los exámenes procesados de la misma edad. </v>
      </c>
      <c r="CO251" s="2195" t="str">
        <f t="shared" si="461"/>
        <v xml:space="preserve">* Los exámenes positivos de 25 a 29 años NO DEBEN ser mayor a los exámenes procesados de la misma edad. </v>
      </c>
      <c r="CP251" s="2195" t="str">
        <f t="shared" si="462"/>
        <v xml:space="preserve">* Los exámenes positivos de 30 a 34 años NO DEBEN ser mayor a los exámenes procesados de la misma edad. </v>
      </c>
      <c r="CQ251" s="2195" t="str">
        <f t="shared" si="463"/>
        <v xml:space="preserve">* Los exámenes positivos de 35 a 39 años NO DEBEN ser mayor a los exámenes procesados de la misma edad. </v>
      </c>
      <c r="CR251" s="2195" t="str">
        <f t="shared" si="464"/>
        <v xml:space="preserve">* Los exámenes positivos de 40 a 44 años NO DEBEN ser mayor a los exámenes procesados de la misma edad. </v>
      </c>
      <c r="CS251" s="2195" t="str">
        <f t="shared" si="465"/>
        <v xml:space="preserve">* Los exámenes positivos de 45 a 49 años NO DEBEN ser mayor a los exámenes procesados de la misma edad. </v>
      </c>
      <c r="CT251" s="2195" t="str">
        <f t="shared" si="466"/>
        <v xml:space="preserve">* Los exámenes positivos de 50 a 54 años NO DEBEN ser mayor a los exámenes procesados de la misma edad. </v>
      </c>
      <c r="CU251" s="2195" t="str">
        <f t="shared" si="467"/>
        <v xml:space="preserve">* Los exámenes positivos de 55 a 59 años NO DEBEN ser mayor a los exámenes procesados de la misma edad. </v>
      </c>
      <c r="CV251" s="2195" t="str">
        <f t="shared" si="468"/>
        <v xml:space="preserve">* Los exámenes positivos de 60 a 64 años NO DEBEN ser mayor a los exámenes procesados de la misma edad. </v>
      </c>
      <c r="CW251" s="2195" t="str">
        <f t="shared" si="469"/>
        <v xml:space="preserve">* Los exámenes positivos de  65 y más años NO DEBEN ser mayor a los exámenes procesados de la misma edad. </v>
      </c>
      <c r="CX251" s="2195" t="str">
        <f t="shared" si="470"/>
        <v/>
      </c>
      <c r="CY251" s="2195" t="str">
        <f t="shared" si="471"/>
        <v/>
      </c>
      <c r="CZ251" s="2195"/>
      <c r="DA251" s="2195"/>
      <c r="DB251" s="1446">
        <f t="shared" si="472"/>
        <v>1</v>
      </c>
      <c r="DC251" s="1446" t="e">
        <f t="shared" si="473"/>
        <v>#VALUE!</v>
      </c>
      <c r="DD251" s="1446" t="e">
        <f t="shared" si="474"/>
        <v>#VALUE!</v>
      </c>
      <c r="DE251" s="1446">
        <f t="shared" si="475"/>
        <v>1</v>
      </c>
      <c r="DF251" s="1446">
        <f t="shared" si="476"/>
        <v>1</v>
      </c>
      <c r="DG251" s="1446" t="e">
        <f t="shared" si="477"/>
        <v>#VALUE!</v>
      </c>
      <c r="DH251" s="1446">
        <f t="shared" si="478"/>
        <v>1</v>
      </c>
      <c r="DI251" s="1446">
        <f t="shared" si="479"/>
        <v>1</v>
      </c>
      <c r="DJ251" s="1446">
        <f t="shared" si="480"/>
        <v>1</v>
      </c>
      <c r="DK251" s="1446">
        <f t="shared" si="481"/>
        <v>1</v>
      </c>
      <c r="DL251" s="1446">
        <f t="shared" si="482"/>
        <v>1</v>
      </c>
      <c r="DM251" s="1446">
        <f t="shared" si="483"/>
        <v>1</v>
      </c>
      <c r="DN251" s="1446">
        <f t="shared" si="484"/>
        <v>1</v>
      </c>
      <c r="DO251" s="1446">
        <f t="shared" si="485"/>
        <v>1</v>
      </c>
      <c r="DP251" s="1446">
        <f t="shared" si="486"/>
        <v>1</v>
      </c>
      <c r="DQ251" s="1446">
        <f t="shared" si="487"/>
        <v>1</v>
      </c>
      <c r="DR251" s="1446">
        <f t="shared" si="488"/>
        <v>1</v>
      </c>
      <c r="DS251" s="1446">
        <f t="shared" si="489"/>
        <v>1</v>
      </c>
      <c r="DT251" s="1446">
        <f t="shared" si="490"/>
        <v>1</v>
      </c>
      <c r="DU251" s="1446">
        <f t="shared" si="491"/>
        <v>1</v>
      </c>
      <c r="DV251" s="1446">
        <f t="shared" si="492"/>
        <v>1</v>
      </c>
      <c r="DW251" s="1446">
        <f t="shared" si="493"/>
        <v>1</v>
      </c>
      <c r="DX251" s="1446">
        <f t="shared" si="494"/>
        <v>0</v>
      </c>
      <c r="DY251" s="1446">
        <f t="shared" si="494"/>
        <v>0</v>
      </c>
    </row>
    <row r="252" spans="1:129" ht="18" customHeight="1" x14ac:dyDescent="0.3">
      <c r="A252" s="7258">
        <v>11057116</v>
      </c>
      <c r="B252" s="8705"/>
      <c r="C252" s="1147" t="s">
        <v>1838</v>
      </c>
      <c r="D252" s="2217" t="s">
        <v>5369</v>
      </c>
      <c r="E252" s="2213" t="s">
        <v>5370</v>
      </c>
      <c r="F252" s="2206" t="s">
        <v>5371</v>
      </c>
      <c r="G252" s="2207" t="s">
        <v>5372</v>
      </c>
      <c r="H252" s="2208" t="s">
        <v>5373</v>
      </c>
      <c r="I252" s="2207" t="s">
        <v>5374</v>
      </c>
      <c r="J252" s="2208" t="s">
        <v>5375</v>
      </c>
      <c r="K252" s="2207" t="s">
        <v>5376</v>
      </c>
      <c r="L252" s="2208" t="s">
        <v>5377</v>
      </c>
      <c r="M252" s="2207" t="s">
        <v>5378</v>
      </c>
      <c r="N252" s="1134" t="s">
        <v>5379</v>
      </c>
      <c r="O252" s="1118" t="s">
        <v>5380</v>
      </c>
      <c r="P252" s="1134" t="s">
        <v>5381</v>
      </c>
      <c r="Q252" s="1118" t="s">
        <v>5382</v>
      </c>
      <c r="R252" s="1114" t="s">
        <v>5383</v>
      </c>
      <c r="S252" s="1118" t="s">
        <v>5384</v>
      </c>
      <c r="T252" s="1114" t="s">
        <v>5385</v>
      </c>
      <c r="U252" s="1118" t="s">
        <v>5386</v>
      </c>
      <c r="V252" s="1114" t="s">
        <v>5387</v>
      </c>
      <c r="W252" s="1118" t="s">
        <v>5388</v>
      </c>
      <c r="X252" s="1134" t="s">
        <v>5389</v>
      </c>
      <c r="Y252" s="1118" t="s">
        <v>5390</v>
      </c>
      <c r="Z252" s="1134" t="s">
        <v>5391</v>
      </c>
      <c r="AA252" s="1118" t="s">
        <v>5392</v>
      </c>
      <c r="AB252" s="1134" t="s">
        <v>5393</v>
      </c>
      <c r="AC252" s="1118" t="s">
        <v>5394</v>
      </c>
      <c r="AD252" s="1114" t="s">
        <v>5395</v>
      </c>
      <c r="AE252" s="1118" t="s">
        <v>5396</v>
      </c>
      <c r="AF252" s="1134" t="s">
        <v>5397</v>
      </c>
      <c r="AG252" s="1118" t="s">
        <v>5398</v>
      </c>
      <c r="AH252" s="1134" t="s">
        <v>5399</v>
      </c>
      <c r="AI252" s="1118" t="s">
        <v>5400</v>
      </c>
      <c r="AJ252" s="1134" t="s">
        <v>5401</v>
      </c>
      <c r="AK252" s="1136" t="s">
        <v>5402</v>
      </c>
      <c r="AL252" s="2848" t="s">
        <v>5403</v>
      </c>
      <c r="AM252" s="2824" t="s">
        <v>5404</v>
      </c>
      <c r="AN252" s="2852" t="s">
        <v>5405</v>
      </c>
      <c r="AO252" s="2824" t="s">
        <v>5406</v>
      </c>
      <c r="AP252" s="2852" t="s">
        <v>5407</v>
      </c>
      <c r="AQ252" s="2824" t="s">
        <v>5408</v>
      </c>
      <c r="AR252" s="2852" t="s">
        <v>5409</v>
      </c>
      <c r="AS252" s="2824" t="s">
        <v>5410</v>
      </c>
      <c r="AT252" s="2822" t="s">
        <v>5411</v>
      </c>
      <c r="AU252" s="2826" t="s">
        <v>5412</v>
      </c>
      <c r="AV252" s="2822" t="s">
        <v>5413</v>
      </c>
      <c r="AW252" s="2826" t="s">
        <v>5414</v>
      </c>
      <c r="AX252" s="2852" t="s">
        <v>5415</v>
      </c>
      <c r="AY252" s="1118" t="s">
        <v>5416</v>
      </c>
      <c r="AZ252" s="1197" t="e">
        <f t="shared" si="447"/>
        <v>#VALUE!</v>
      </c>
      <c r="CB252" s="2195" t="str">
        <f t="shared" si="448"/>
        <v xml:space="preserve">* El total de Confirmados Positivos por ISP NO DEBE ser mayor que el total de Procesados. </v>
      </c>
      <c r="CC252" s="2195" t="e">
        <f t="shared" si="449"/>
        <v>#VALUE!</v>
      </c>
      <c r="CD252" s="2195" t="e">
        <f t="shared" si="450"/>
        <v>#VALUE!</v>
      </c>
      <c r="CE252" s="2195" t="str">
        <f t="shared" si="451"/>
        <v xml:space="preserve">* El Total de Pueblos Originarios Procesados NO DEBE ser mayor al Total de Procesados. </v>
      </c>
      <c r="CF252" s="2195" t="str">
        <f t="shared" si="452"/>
        <v xml:space="preserve">* El Total de Migrantes Procesados NO DEBE ser mayor al Total de Procesados. </v>
      </c>
      <c r="CG252" s="2195" t="e">
        <f t="shared" si="453"/>
        <v>#VALUE!</v>
      </c>
      <c r="CH252" s="2195" t="str">
        <f t="shared" si="454"/>
        <v xml:space="preserve">* Los exámenes positivos de Menor de 12 meses NO DEBEN ser mayor a los exámenes procesados de la misma edad. </v>
      </c>
      <c r="CI252" s="2195" t="str">
        <f t="shared" si="455"/>
        <v xml:space="preserve">* Los exámenes positivos de 12-24 meses NO DEBEN ser mayor a los exámenes procesados de la misma edad. </v>
      </c>
      <c r="CJ252" s="2195" t="str">
        <f t="shared" si="456"/>
        <v xml:space="preserve">* Los exámenes positivos de 3 a 4 años NO DEBEN ser mayor a los exámenes procesados de la misma edad. </v>
      </c>
      <c r="CK252" s="2195" t="str">
        <f t="shared" si="457"/>
        <v xml:space="preserve">* Los exámenes positivos de 5 a 9 años NO DEBEN ser mayor a los exámenes procesados de la misma edad. </v>
      </c>
      <c r="CL252" s="2195" t="str">
        <f t="shared" si="458"/>
        <v xml:space="preserve">* Los exámenes positivos de 10 a 14 años NO DEBEN ser mayor a los exámenes procesados de la misma edad. </v>
      </c>
      <c r="CM252" s="2195" t="str">
        <f t="shared" si="459"/>
        <v xml:space="preserve">* Los exámenes positivos de 15 a 19 años NO DEBEN ser mayor a los exámenes procesados de la misma edad. </v>
      </c>
      <c r="CN252" s="2195" t="str">
        <f t="shared" si="460"/>
        <v xml:space="preserve">* Los exámenes positivos de 20 a 24 años NO DEBEN ser mayor a los exámenes procesados de la misma edad. </v>
      </c>
      <c r="CO252" s="2195" t="str">
        <f t="shared" si="461"/>
        <v xml:space="preserve">* Los exámenes positivos de 25 a 29 años NO DEBEN ser mayor a los exámenes procesados de la misma edad. </v>
      </c>
      <c r="CP252" s="2195" t="str">
        <f t="shared" si="462"/>
        <v xml:space="preserve">* Los exámenes positivos de 30 a 34 años NO DEBEN ser mayor a los exámenes procesados de la misma edad. </v>
      </c>
      <c r="CQ252" s="2195" t="str">
        <f t="shared" si="463"/>
        <v xml:space="preserve">* Los exámenes positivos de 35 a 39 años NO DEBEN ser mayor a los exámenes procesados de la misma edad. </v>
      </c>
      <c r="CR252" s="2195" t="str">
        <f t="shared" si="464"/>
        <v xml:space="preserve">* Los exámenes positivos de 40 a 44 años NO DEBEN ser mayor a los exámenes procesados de la misma edad. </v>
      </c>
      <c r="CS252" s="2195" t="str">
        <f t="shared" si="465"/>
        <v xml:space="preserve">* Los exámenes positivos de 45 a 49 años NO DEBEN ser mayor a los exámenes procesados de la misma edad. </v>
      </c>
      <c r="CT252" s="2195" t="str">
        <f t="shared" si="466"/>
        <v xml:space="preserve">* Los exámenes positivos de 50 a 54 años NO DEBEN ser mayor a los exámenes procesados de la misma edad. </v>
      </c>
      <c r="CU252" s="2195" t="str">
        <f t="shared" si="467"/>
        <v xml:space="preserve">* Los exámenes positivos de 55 a 59 años NO DEBEN ser mayor a los exámenes procesados de la misma edad. </v>
      </c>
      <c r="CV252" s="2195" t="str">
        <f t="shared" si="468"/>
        <v xml:space="preserve">* Los exámenes positivos de 60 a 64 años NO DEBEN ser mayor a los exámenes procesados de la misma edad. </v>
      </c>
      <c r="CW252" s="2195" t="str">
        <f t="shared" si="469"/>
        <v xml:space="preserve">* Los exámenes positivos de  65 y más años NO DEBEN ser mayor a los exámenes procesados de la misma edad. </v>
      </c>
      <c r="CX252" s="2195" t="str">
        <f t="shared" si="470"/>
        <v/>
      </c>
      <c r="CY252" s="2195" t="str">
        <f t="shared" si="471"/>
        <v/>
      </c>
      <c r="CZ252" s="2195"/>
      <c r="DA252" s="2195"/>
      <c r="DB252" s="1446">
        <f t="shared" si="472"/>
        <v>1</v>
      </c>
      <c r="DC252" s="1446" t="e">
        <f t="shared" si="473"/>
        <v>#VALUE!</v>
      </c>
      <c r="DD252" s="1446" t="e">
        <f t="shared" si="474"/>
        <v>#VALUE!</v>
      </c>
      <c r="DE252" s="1446">
        <f t="shared" si="475"/>
        <v>1</v>
      </c>
      <c r="DF252" s="1446">
        <f t="shared" si="476"/>
        <v>1</v>
      </c>
      <c r="DG252" s="1446" t="e">
        <f t="shared" si="477"/>
        <v>#VALUE!</v>
      </c>
      <c r="DH252" s="1446">
        <f t="shared" si="478"/>
        <v>1</v>
      </c>
      <c r="DI252" s="1446">
        <f t="shared" si="479"/>
        <v>1</v>
      </c>
      <c r="DJ252" s="1446">
        <f t="shared" si="480"/>
        <v>1</v>
      </c>
      <c r="DK252" s="1446">
        <f t="shared" si="481"/>
        <v>1</v>
      </c>
      <c r="DL252" s="1446">
        <f t="shared" si="482"/>
        <v>1</v>
      </c>
      <c r="DM252" s="1446">
        <f t="shared" si="483"/>
        <v>1</v>
      </c>
      <c r="DN252" s="1446">
        <f t="shared" si="484"/>
        <v>1</v>
      </c>
      <c r="DO252" s="1446">
        <f t="shared" si="485"/>
        <v>1</v>
      </c>
      <c r="DP252" s="1446">
        <f t="shared" si="486"/>
        <v>1</v>
      </c>
      <c r="DQ252" s="1446">
        <f t="shared" si="487"/>
        <v>1</v>
      </c>
      <c r="DR252" s="1446">
        <f t="shared" si="488"/>
        <v>1</v>
      </c>
      <c r="DS252" s="1446">
        <f t="shared" si="489"/>
        <v>1</v>
      </c>
      <c r="DT252" s="1446">
        <f t="shared" si="490"/>
        <v>1</v>
      </c>
      <c r="DU252" s="1446">
        <f t="shared" si="491"/>
        <v>1</v>
      </c>
      <c r="DV252" s="1446">
        <f t="shared" si="492"/>
        <v>1</v>
      </c>
      <c r="DW252" s="1446">
        <f t="shared" si="493"/>
        <v>1</v>
      </c>
      <c r="DX252" s="1446">
        <f t="shared" ref="DX252:DY258" si="495">IF(AND(D252&lt;&gt;0,OR(AP252="",AR252="",AT252="",AV252="")),1,0)</f>
        <v>0</v>
      </c>
      <c r="DY252" s="1446">
        <f t="shared" si="495"/>
        <v>0</v>
      </c>
    </row>
    <row r="253" spans="1:129" ht="15" customHeight="1" x14ac:dyDescent="0.3">
      <c r="A253" s="7258">
        <v>11057117</v>
      </c>
      <c r="B253" s="8705"/>
      <c r="C253" s="1112" t="s">
        <v>1839</v>
      </c>
      <c r="D253" s="2204" t="s">
        <v>5369</v>
      </c>
      <c r="E253" s="2213" t="s">
        <v>5370</v>
      </c>
      <c r="F253" s="2206" t="s">
        <v>5371</v>
      </c>
      <c r="G253" s="2207" t="s">
        <v>5372</v>
      </c>
      <c r="H253" s="2208" t="s">
        <v>5373</v>
      </c>
      <c r="I253" s="2207" t="s">
        <v>5374</v>
      </c>
      <c r="J253" s="2208" t="s">
        <v>5375</v>
      </c>
      <c r="K253" s="2207" t="s">
        <v>5376</v>
      </c>
      <c r="L253" s="2208" t="s">
        <v>5377</v>
      </c>
      <c r="M253" s="2218" t="s">
        <v>5378</v>
      </c>
      <c r="N253" s="1134" t="s">
        <v>5379</v>
      </c>
      <c r="O253" s="1118" t="s">
        <v>5380</v>
      </c>
      <c r="P253" s="1134" t="s">
        <v>5381</v>
      </c>
      <c r="Q253" s="1118" t="s">
        <v>5382</v>
      </c>
      <c r="R253" s="1114" t="s">
        <v>5383</v>
      </c>
      <c r="S253" s="1118" t="s">
        <v>5384</v>
      </c>
      <c r="T253" s="1114" t="s">
        <v>5385</v>
      </c>
      <c r="U253" s="1118" t="s">
        <v>5386</v>
      </c>
      <c r="V253" s="1114" t="s">
        <v>5387</v>
      </c>
      <c r="W253" s="1118" t="s">
        <v>5388</v>
      </c>
      <c r="X253" s="1134" t="s">
        <v>5389</v>
      </c>
      <c r="Y253" s="1118" t="s">
        <v>5390</v>
      </c>
      <c r="Z253" s="1134" t="s">
        <v>5391</v>
      </c>
      <c r="AA253" s="1118" t="s">
        <v>5392</v>
      </c>
      <c r="AB253" s="1134" t="s">
        <v>5393</v>
      </c>
      <c r="AC253" s="1118" t="s">
        <v>5394</v>
      </c>
      <c r="AD253" s="1114" t="s">
        <v>5395</v>
      </c>
      <c r="AE253" s="1118" t="s">
        <v>5396</v>
      </c>
      <c r="AF253" s="1134" t="s">
        <v>5397</v>
      </c>
      <c r="AG253" s="1118" t="s">
        <v>5398</v>
      </c>
      <c r="AH253" s="1134" t="s">
        <v>5399</v>
      </c>
      <c r="AI253" s="1118" t="s">
        <v>5400</v>
      </c>
      <c r="AJ253" s="1134" t="s">
        <v>5401</v>
      </c>
      <c r="AK253" s="1136" t="s">
        <v>5402</v>
      </c>
      <c r="AL253" s="2848" t="s">
        <v>5403</v>
      </c>
      <c r="AM253" s="2824" t="s">
        <v>5404</v>
      </c>
      <c r="AN253" s="2852" t="s">
        <v>5405</v>
      </c>
      <c r="AO253" s="2824" t="s">
        <v>5406</v>
      </c>
      <c r="AP253" s="2852" t="s">
        <v>5407</v>
      </c>
      <c r="AQ253" s="2824" t="s">
        <v>5408</v>
      </c>
      <c r="AR253" s="2852" t="s">
        <v>5409</v>
      </c>
      <c r="AS253" s="2824" t="s">
        <v>5410</v>
      </c>
      <c r="AT253" s="2822" t="s">
        <v>5411</v>
      </c>
      <c r="AU253" s="2826" t="s">
        <v>5412</v>
      </c>
      <c r="AV253" s="2822" t="s">
        <v>5413</v>
      </c>
      <c r="AW253" s="2826" t="s">
        <v>5414</v>
      </c>
      <c r="AX253" s="2852" t="s">
        <v>5415</v>
      </c>
      <c r="AY253" s="1118" t="s">
        <v>5416</v>
      </c>
      <c r="AZ253" s="1197" t="e">
        <f t="shared" si="447"/>
        <v>#VALUE!</v>
      </c>
      <c r="CB253" s="2195" t="str">
        <f t="shared" si="448"/>
        <v xml:space="preserve">* El total de Confirmados Positivos por ISP NO DEBE ser mayor que el total de Procesados. </v>
      </c>
      <c r="CC253" s="2195" t="e">
        <f t="shared" si="449"/>
        <v>#VALUE!</v>
      </c>
      <c r="CD253" s="2195" t="e">
        <f t="shared" si="450"/>
        <v>#VALUE!</v>
      </c>
      <c r="CE253" s="2195" t="str">
        <f t="shared" si="451"/>
        <v xml:space="preserve">* El Total de Pueblos Originarios Procesados NO DEBE ser mayor al Total de Procesados. </v>
      </c>
      <c r="CF253" s="2195" t="str">
        <f t="shared" si="452"/>
        <v xml:space="preserve">* El Total de Migrantes Procesados NO DEBE ser mayor al Total de Procesados. </v>
      </c>
      <c r="CG253" s="2195" t="e">
        <f t="shared" si="453"/>
        <v>#VALUE!</v>
      </c>
      <c r="CH253" s="2195" t="str">
        <f t="shared" si="454"/>
        <v xml:space="preserve">* Los exámenes positivos de Menor de 12 meses NO DEBEN ser mayor a los exámenes procesados de la misma edad. </v>
      </c>
      <c r="CI253" s="2195" t="str">
        <f t="shared" si="455"/>
        <v xml:space="preserve">* Los exámenes positivos de 12-24 meses NO DEBEN ser mayor a los exámenes procesados de la misma edad. </v>
      </c>
      <c r="CJ253" s="2195" t="str">
        <f t="shared" si="456"/>
        <v xml:space="preserve">* Los exámenes positivos de 3 a 4 años NO DEBEN ser mayor a los exámenes procesados de la misma edad. </v>
      </c>
      <c r="CK253" s="2195" t="str">
        <f t="shared" si="457"/>
        <v xml:space="preserve">* Los exámenes positivos de 5 a 9 años NO DEBEN ser mayor a los exámenes procesados de la misma edad. </v>
      </c>
      <c r="CL253" s="2195" t="str">
        <f t="shared" si="458"/>
        <v xml:space="preserve">* Los exámenes positivos de 10 a 14 años NO DEBEN ser mayor a los exámenes procesados de la misma edad. </v>
      </c>
      <c r="CM253" s="2195" t="str">
        <f t="shared" si="459"/>
        <v xml:space="preserve">* Los exámenes positivos de 15 a 19 años NO DEBEN ser mayor a los exámenes procesados de la misma edad. </v>
      </c>
      <c r="CN253" s="2195" t="str">
        <f t="shared" si="460"/>
        <v xml:space="preserve">* Los exámenes positivos de 20 a 24 años NO DEBEN ser mayor a los exámenes procesados de la misma edad. </v>
      </c>
      <c r="CO253" s="2195" t="str">
        <f t="shared" si="461"/>
        <v xml:space="preserve">* Los exámenes positivos de 25 a 29 años NO DEBEN ser mayor a los exámenes procesados de la misma edad. </v>
      </c>
      <c r="CP253" s="2195" t="str">
        <f t="shared" si="462"/>
        <v xml:space="preserve">* Los exámenes positivos de 30 a 34 años NO DEBEN ser mayor a los exámenes procesados de la misma edad. </v>
      </c>
      <c r="CQ253" s="2195" t="str">
        <f t="shared" si="463"/>
        <v xml:space="preserve">* Los exámenes positivos de 35 a 39 años NO DEBEN ser mayor a los exámenes procesados de la misma edad. </v>
      </c>
      <c r="CR253" s="2195" t="str">
        <f t="shared" si="464"/>
        <v xml:space="preserve">* Los exámenes positivos de 40 a 44 años NO DEBEN ser mayor a los exámenes procesados de la misma edad. </v>
      </c>
      <c r="CS253" s="2195" t="str">
        <f t="shared" si="465"/>
        <v xml:space="preserve">* Los exámenes positivos de 45 a 49 años NO DEBEN ser mayor a los exámenes procesados de la misma edad. </v>
      </c>
      <c r="CT253" s="2195" t="str">
        <f t="shared" si="466"/>
        <v xml:space="preserve">* Los exámenes positivos de 50 a 54 años NO DEBEN ser mayor a los exámenes procesados de la misma edad. </v>
      </c>
      <c r="CU253" s="2195" t="str">
        <f t="shared" si="467"/>
        <v xml:space="preserve">* Los exámenes positivos de 55 a 59 años NO DEBEN ser mayor a los exámenes procesados de la misma edad. </v>
      </c>
      <c r="CV253" s="2195" t="str">
        <f t="shared" si="468"/>
        <v xml:space="preserve">* Los exámenes positivos de 60 a 64 años NO DEBEN ser mayor a los exámenes procesados de la misma edad. </v>
      </c>
      <c r="CW253" s="2195" t="str">
        <f t="shared" si="469"/>
        <v xml:space="preserve">* Los exámenes positivos de  65 y más años NO DEBEN ser mayor a los exámenes procesados de la misma edad. </v>
      </c>
      <c r="CX253" s="2195" t="str">
        <f t="shared" si="470"/>
        <v/>
      </c>
      <c r="CY253" s="2195" t="str">
        <f t="shared" si="471"/>
        <v/>
      </c>
      <c r="CZ253" s="2195"/>
      <c r="DA253" s="2195"/>
      <c r="DB253" s="1446">
        <f t="shared" si="472"/>
        <v>1</v>
      </c>
      <c r="DC253" s="1446" t="e">
        <f t="shared" si="473"/>
        <v>#VALUE!</v>
      </c>
      <c r="DD253" s="1446" t="e">
        <f t="shared" si="474"/>
        <v>#VALUE!</v>
      </c>
      <c r="DE253" s="1446">
        <f t="shared" si="475"/>
        <v>1</v>
      </c>
      <c r="DF253" s="1446">
        <f t="shared" si="476"/>
        <v>1</v>
      </c>
      <c r="DG253" s="1446" t="e">
        <f t="shared" si="477"/>
        <v>#VALUE!</v>
      </c>
      <c r="DH253" s="1446">
        <f t="shared" si="478"/>
        <v>1</v>
      </c>
      <c r="DI253" s="1446">
        <f t="shared" si="479"/>
        <v>1</v>
      </c>
      <c r="DJ253" s="1446">
        <f t="shared" si="480"/>
        <v>1</v>
      </c>
      <c r="DK253" s="1446">
        <f t="shared" si="481"/>
        <v>1</v>
      </c>
      <c r="DL253" s="1446">
        <f t="shared" si="482"/>
        <v>1</v>
      </c>
      <c r="DM253" s="1446">
        <f t="shared" si="483"/>
        <v>1</v>
      </c>
      <c r="DN253" s="1446">
        <f t="shared" si="484"/>
        <v>1</v>
      </c>
      <c r="DO253" s="1446">
        <f t="shared" si="485"/>
        <v>1</v>
      </c>
      <c r="DP253" s="1446">
        <f t="shared" si="486"/>
        <v>1</v>
      </c>
      <c r="DQ253" s="1446">
        <f t="shared" si="487"/>
        <v>1</v>
      </c>
      <c r="DR253" s="1446">
        <f t="shared" si="488"/>
        <v>1</v>
      </c>
      <c r="DS253" s="1446">
        <f t="shared" si="489"/>
        <v>1</v>
      </c>
      <c r="DT253" s="1446">
        <f t="shared" si="490"/>
        <v>1</v>
      </c>
      <c r="DU253" s="1446">
        <f t="shared" si="491"/>
        <v>1</v>
      </c>
      <c r="DV253" s="1446">
        <f t="shared" si="492"/>
        <v>1</v>
      </c>
      <c r="DW253" s="1446">
        <f t="shared" si="493"/>
        <v>1</v>
      </c>
      <c r="DX253" s="1446">
        <f t="shared" si="495"/>
        <v>0</v>
      </c>
      <c r="DY253" s="1446">
        <f t="shared" si="495"/>
        <v>0</v>
      </c>
    </row>
    <row r="254" spans="1:129" x14ac:dyDescent="0.3">
      <c r="A254" s="7258">
        <v>11057118</v>
      </c>
      <c r="B254" s="10049"/>
      <c r="C254" s="81" t="s">
        <v>1840</v>
      </c>
      <c r="D254" s="826" t="s">
        <v>5369</v>
      </c>
      <c r="E254" s="2220" t="s">
        <v>5370</v>
      </c>
      <c r="F254" s="2221" t="s">
        <v>5371</v>
      </c>
      <c r="G254" s="2222" t="s">
        <v>5372</v>
      </c>
      <c r="H254" s="2223" t="s">
        <v>5373</v>
      </c>
      <c r="I254" s="2222" t="s">
        <v>5374</v>
      </c>
      <c r="J254" s="2223" t="s">
        <v>5375</v>
      </c>
      <c r="K254" s="2222" t="s">
        <v>5376</v>
      </c>
      <c r="L254" s="2223" t="s">
        <v>5377</v>
      </c>
      <c r="M254" s="2222" t="s">
        <v>5378</v>
      </c>
      <c r="N254" s="102" t="s">
        <v>5379</v>
      </c>
      <c r="O254" s="101" t="s">
        <v>5380</v>
      </c>
      <c r="P254" s="102" t="s">
        <v>5381</v>
      </c>
      <c r="Q254" s="101" t="s">
        <v>5382</v>
      </c>
      <c r="R254" s="125" t="s">
        <v>5383</v>
      </c>
      <c r="S254" s="101" t="s">
        <v>5384</v>
      </c>
      <c r="T254" s="125" t="s">
        <v>5385</v>
      </c>
      <c r="U254" s="101" t="s">
        <v>5386</v>
      </c>
      <c r="V254" s="125" t="s">
        <v>5387</v>
      </c>
      <c r="W254" s="101" t="s">
        <v>5388</v>
      </c>
      <c r="X254" s="102" t="s">
        <v>5389</v>
      </c>
      <c r="Y254" s="101" t="s">
        <v>5390</v>
      </c>
      <c r="Z254" s="102" t="s">
        <v>5391</v>
      </c>
      <c r="AA254" s="101" t="s">
        <v>5392</v>
      </c>
      <c r="AB254" s="102" t="s">
        <v>5393</v>
      </c>
      <c r="AC254" s="101" t="s">
        <v>5394</v>
      </c>
      <c r="AD254" s="125" t="s">
        <v>5395</v>
      </c>
      <c r="AE254" s="101" t="s">
        <v>5396</v>
      </c>
      <c r="AF254" s="102" t="s">
        <v>5397</v>
      </c>
      <c r="AG254" s="101" t="s">
        <v>5398</v>
      </c>
      <c r="AH254" s="102" t="s">
        <v>5399</v>
      </c>
      <c r="AI254" s="101" t="s">
        <v>5400</v>
      </c>
      <c r="AJ254" s="102" t="s">
        <v>5401</v>
      </c>
      <c r="AK254" s="198" t="s">
        <v>5402</v>
      </c>
      <c r="AL254" s="2829" t="s">
        <v>5403</v>
      </c>
      <c r="AM254" s="2821" t="s">
        <v>5404</v>
      </c>
      <c r="AN254" s="2477" t="s">
        <v>5405</v>
      </c>
      <c r="AO254" s="2821" t="s">
        <v>5406</v>
      </c>
      <c r="AP254" s="2477" t="s">
        <v>5407</v>
      </c>
      <c r="AQ254" s="2821" t="s">
        <v>5408</v>
      </c>
      <c r="AR254" s="2477" t="s">
        <v>5409</v>
      </c>
      <c r="AS254" s="2821" t="s">
        <v>5410</v>
      </c>
      <c r="AT254" s="2825" t="s">
        <v>5411</v>
      </c>
      <c r="AU254" s="2479" t="s">
        <v>5412</v>
      </c>
      <c r="AV254" s="2825" t="s">
        <v>5413</v>
      </c>
      <c r="AW254" s="2479" t="s">
        <v>5414</v>
      </c>
      <c r="AX254" s="2477" t="s">
        <v>5415</v>
      </c>
      <c r="AY254" s="101" t="s">
        <v>5416</v>
      </c>
      <c r="AZ254" s="1197" t="e">
        <f t="shared" si="447"/>
        <v>#VALUE!</v>
      </c>
      <c r="CB254" s="2195" t="str">
        <f t="shared" si="448"/>
        <v xml:space="preserve">* El total de Confirmados Positivos por ISP NO DEBE ser mayor que el total de Procesados. </v>
      </c>
      <c r="CC254" s="2195" t="e">
        <f t="shared" si="449"/>
        <v>#VALUE!</v>
      </c>
      <c r="CD254" s="2195" t="e">
        <f t="shared" si="450"/>
        <v>#VALUE!</v>
      </c>
      <c r="CE254" s="2195" t="str">
        <f t="shared" si="451"/>
        <v xml:space="preserve">* El Total de Pueblos Originarios Procesados NO DEBE ser mayor al Total de Procesados. </v>
      </c>
      <c r="CF254" s="2195" t="str">
        <f t="shared" si="452"/>
        <v xml:space="preserve">* El Total de Migrantes Procesados NO DEBE ser mayor al Total de Procesados. </v>
      </c>
      <c r="CG254" s="2195" t="e">
        <f t="shared" si="453"/>
        <v>#VALUE!</v>
      </c>
      <c r="CH254" s="2195" t="str">
        <f t="shared" si="454"/>
        <v xml:space="preserve">* Los exámenes positivos de Menor de 12 meses NO DEBEN ser mayor a los exámenes procesados de la misma edad. </v>
      </c>
      <c r="CI254" s="2195" t="str">
        <f t="shared" si="455"/>
        <v xml:space="preserve">* Los exámenes positivos de 12-24 meses NO DEBEN ser mayor a los exámenes procesados de la misma edad. </v>
      </c>
      <c r="CJ254" s="2195" t="str">
        <f t="shared" si="456"/>
        <v xml:space="preserve">* Los exámenes positivos de 3 a 4 años NO DEBEN ser mayor a los exámenes procesados de la misma edad. </v>
      </c>
      <c r="CK254" s="2195" t="str">
        <f t="shared" si="457"/>
        <v xml:space="preserve">* Los exámenes positivos de 5 a 9 años NO DEBEN ser mayor a los exámenes procesados de la misma edad. </v>
      </c>
      <c r="CL254" s="2195" t="str">
        <f t="shared" si="458"/>
        <v xml:space="preserve">* Los exámenes positivos de 10 a 14 años NO DEBEN ser mayor a los exámenes procesados de la misma edad. </v>
      </c>
      <c r="CM254" s="2195" t="str">
        <f t="shared" si="459"/>
        <v xml:space="preserve">* Los exámenes positivos de 15 a 19 años NO DEBEN ser mayor a los exámenes procesados de la misma edad. </v>
      </c>
      <c r="CN254" s="2195" t="str">
        <f t="shared" si="460"/>
        <v xml:space="preserve">* Los exámenes positivos de 20 a 24 años NO DEBEN ser mayor a los exámenes procesados de la misma edad. </v>
      </c>
      <c r="CO254" s="2195" t="str">
        <f t="shared" si="461"/>
        <v xml:space="preserve">* Los exámenes positivos de 25 a 29 años NO DEBEN ser mayor a los exámenes procesados de la misma edad. </v>
      </c>
      <c r="CP254" s="2195" t="str">
        <f t="shared" si="462"/>
        <v xml:space="preserve">* Los exámenes positivos de 30 a 34 años NO DEBEN ser mayor a los exámenes procesados de la misma edad. </v>
      </c>
      <c r="CQ254" s="2195" t="str">
        <f t="shared" si="463"/>
        <v xml:space="preserve">* Los exámenes positivos de 35 a 39 años NO DEBEN ser mayor a los exámenes procesados de la misma edad. </v>
      </c>
      <c r="CR254" s="2195" t="str">
        <f t="shared" si="464"/>
        <v xml:space="preserve">* Los exámenes positivos de 40 a 44 años NO DEBEN ser mayor a los exámenes procesados de la misma edad. </v>
      </c>
      <c r="CS254" s="2195" t="str">
        <f t="shared" si="465"/>
        <v xml:space="preserve">* Los exámenes positivos de 45 a 49 años NO DEBEN ser mayor a los exámenes procesados de la misma edad. </v>
      </c>
      <c r="CT254" s="2195" t="str">
        <f t="shared" si="466"/>
        <v xml:space="preserve">* Los exámenes positivos de 50 a 54 años NO DEBEN ser mayor a los exámenes procesados de la misma edad. </v>
      </c>
      <c r="CU254" s="2195" t="str">
        <f t="shared" si="467"/>
        <v xml:space="preserve">* Los exámenes positivos de 55 a 59 años NO DEBEN ser mayor a los exámenes procesados de la misma edad. </v>
      </c>
      <c r="CV254" s="2195" t="str">
        <f t="shared" si="468"/>
        <v xml:space="preserve">* Los exámenes positivos de 60 a 64 años NO DEBEN ser mayor a los exámenes procesados de la misma edad. </v>
      </c>
      <c r="CW254" s="2195" t="str">
        <f t="shared" si="469"/>
        <v xml:space="preserve">* Los exámenes positivos de  65 y más años NO DEBEN ser mayor a los exámenes procesados de la misma edad. </v>
      </c>
      <c r="CX254" s="2195" t="str">
        <f t="shared" si="470"/>
        <v/>
      </c>
      <c r="CY254" s="2195" t="str">
        <f t="shared" si="471"/>
        <v/>
      </c>
      <c r="CZ254" s="2195"/>
      <c r="DA254" s="2195"/>
      <c r="DB254" s="1446">
        <f t="shared" si="472"/>
        <v>1</v>
      </c>
      <c r="DC254" s="1446" t="e">
        <f t="shared" si="473"/>
        <v>#VALUE!</v>
      </c>
      <c r="DD254" s="1446" t="e">
        <f t="shared" si="474"/>
        <v>#VALUE!</v>
      </c>
      <c r="DE254" s="1446">
        <f t="shared" si="475"/>
        <v>1</v>
      </c>
      <c r="DF254" s="1446">
        <f t="shared" si="476"/>
        <v>1</v>
      </c>
      <c r="DG254" s="1446" t="e">
        <f t="shared" si="477"/>
        <v>#VALUE!</v>
      </c>
      <c r="DH254" s="1446">
        <f t="shared" si="478"/>
        <v>1</v>
      </c>
      <c r="DI254" s="1446">
        <f t="shared" si="479"/>
        <v>1</v>
      </c>
      <c r="DJ254" s="1446">
        <f t="shared" si="480"/>
        <v>1</v>
      </c>
      <c r="DK254" s="1446">
        <f t="shared" si="481"/>
        <v>1</v>
      </c>
      <c r="DL254" s="1446">
        <f t="shared" si="482"/>
        <v>1</v>
      </c>
      <c r="DM254" s="1446">
        <f t="shared" si="483"/>
        <v>1</v>
      </c>
      <c r="DN254" s="1446">
        <f t="shared" si="484"/>
        <v>1</v>
      </c>
      <c r="DO254" s="1446">
        <f t="shared" si="485"/>
        <v>1</v>
      </c>
      <c r="DP254" s="1446">
        <f t="shared" si="486"/>
        <v>1</v>
      </c>
      <c r="DQ254" s="1446">
        <f t="shared" si="487"/>
        <v>1</v>
      </c>
      <c r="DR254" s="1446">
        <f t="shared" si="488"/>
        <v>1</v>
      </c>
      <c r="DS254" s="1446">
        <f t="shared" si="489"/>
        <v>1</v>
      </c>
      <c r="DT254" s="1446">
        <f t="shared" si="490"/>
        <v>1</v>
      </c>
      <c r="DU254" s="1446">
        <f t="shared" si="491"/>
        <v>1</v>
      </c>
      <c r="DV254" s="1446">
        <f t="shared" si="492"/>
        <v>1</v>
      </c>
      <c r="DW254" s="1446">
        <f t="shared" si="493"/>
        <v>1</v>
      </c>
      <c r="DX254" s="1446">
        <f t="shared" si="495"/>
        <v>0</v>
      </c>
      <c r="DY254" s="1446">
        <f t="shared" si="495"/>
        <v>0</v>
      </c>
    </row>
    <row r="255" spans="1:129" ht="15" customHeight="1" x14ac:dyDescent="0.3">
      <c r="A255" s="7258">
        <v>11057119</v>
      </c>
      <c r="B255" s="8638" t="s">
        <v>1850</v>
      </c>
      <c r="C255" s="1146" t="s">
        <v>1851</v>
      </c>
      <c r="D255" s="2224" t="s">
        <v>5369</v>
      </c>
      <c r="E255" s="2225" t="s">
        <v>5370</v>
      </c>
      <c r="F255" s="1183" t="s">
        <v>5371</v>
      </c>
      <c r="G255" s="130" t="s">
        <v>5372</v>
      </c>
      <c r="H255" s="1183" t="s">
        <v>5373</v>
      </c>
      <c r="I255" s="130" t="s">
        <v>5374</v>
      </c>
      <c r="J255" s="1183" t="s">
        <v>5375</v>
      </c>
      <c r="K255" s="130" t="s">
        <v>5376</v>
      </c>
      <c r="L255" s="1183" t="s">
        <v>5377</v>
      </c>
      <c r="M255" s="130" t="s">
        <v>5378</v>
      </c>
      <c r="N255" s="1183" t="s">
        <v>5379</v>
      </c>
      <c r="O255" s="130" t="s">
        <v>5380</v>
      </c>
      <c r="P255" s="1183" t="s">
        <v>5381</v>
      </c>
      <c r="Q255" s="130" t="s">
        <v>5382</v>
      </c>
      <c r="R255" s="910" t="s">
        <v>5383</v>
      </c>
      <c r="S255" s="130" t="s">
        <v>5384</v>
      </c>
      <c r="T255" s="910" t="s">
        <v>5385</v>
      </c>
      <c r="U255" s="130" t="s">
        <v>5386</v>
      </c>
      <c r="V255" s="910" t="s">
        <v>5387</v>
      </c>
      <c r="W255" s="130" t="s">
        <v>5388</v>
      </c>
      <c r="X255" s="1183" t="s">
        <v>5389</v>
      </c>
      <c r="Y255" s="130" t="s">
        <v>5390</v>
      </c>
      <c r="Z255" s="1183" t="s">
        <v>5391</v>
      </c>
      <c r="AA255" s="130" t="s">
        <v>5392</v>
      </c>
      <c r="AB255" s="1183" t="s">
        <v>5393</v>
      </c>
      <c r="AC255" s="130" t="s">
        <v>5394</v>
      </c>
      <c r="AD255" s="910" t="s">
        <v>5395</v>
      </c>
      <c r="AE255" s="130" t="s">
        <v>5396</v>
      </c>
      <c r="AF255" s="1183" t="s">
        <v>5397</v>
      </c>
      <c r="AG255" s="130" t="s">
        <v>5398</v>
      </c>
      <c r="AH255" s="1183" t="s">
        <v>5399</v>
      </c>
      <c r="AI255" s="130" t="s">
        <v>5400</v>
      </c>
      <c r="AJ255" s="1183" t="s">
        <v>5401</v>
      </c>
      <c r="AK255" s="196" t="s">
        <v>5402</v>
      </c>
      <c r="AL255" s="2454" t="s">
        <v>5403</v>
      </c>
      <c r="AM255" s="2450" t="s">
        <v>5404</v>
      </c>
      <c r="AN255" s="2439" t="s">
        <v>5405</v>
      </c>
      <c r="AO255" s="2450" t="s">
        <v>5406</v>
      </c>
      <c r="AP255" s="2439" t="s">
        <v>5407</v>
      </c>
      <c r="AQ255" s="2450" t="s">
        <v>5408</v>
      </c>
      <c r="AR255" s="2439" t="s">
        <v>5409</v>
      </c>
      <c r="AS255" s="2450" t="s">
        <v>5410</v>
      </c>
      <c r="AT255" s="2462" t="s">
        <v>5411</v>
      </c>
      <c r="AU255" s="2814" t="s">
        <v>5412</v>
      </c>
      <c r="AV255" s="2462" t="s">
        <v>5413</v>
      </c>
      <c r="AW255" s="2814" t="s">
        <v>5414</v>
      </c>
      <c r="AX255" s="2439" t="s">
        <v>5415</v>
      </c>
      <c r="AY255" s="130" t="s">
        <v>5416</v>
      </c>
      <c r="AZ255" s="1197" t="e">
        <f t="shared" si="447"/>
        <v>#VALUE!</v>
      </c>
      <c r="CB255" s="2195" t="str">
        <f t="shared" si="448"/>
        <v xml:space="preserve">* El total de Confirmados Positivos por ISP NO DEBE ser mayor que el total de Procesados. </v>
      </c>
      <c r="CC255" s="2195" t="e">
        <f t="shared" si="449"/>
        <v>#VALUE!</v>
      </c>
      <c r="CD255" s="2195" t="e">
        <f t="shared" si="450"/>
        <v>#VALUE!</v>
      </c>
      <c r="CE255" s="2195" t="str">
        <f t="shared" si="451"/>
        <v xml:space="preserve">* El Total de Pueblos Originarios Procesados NO DEBE ser mayor al Total de Procesados. </v>
      </c>
      <c r="CF255" s="2195" t="str">
        <f t="shared" si="452"/>
        <v xml:space="preserve">* El Total de Migrantes Procesados NO DEBE ser mayor al Total de Procesados. </v>
      </c>
      <c r="CG255" s="2195" t="e">
        <f t="shared" si="453"/>
        <v>#VALUE!</v>
      </c>
      <c r="CH255" s="2195" t="str">
        <f t="shared" si="454"/>
        <v xml:space="preserve">* Los exámenes positivos de Menor de 12 meses NO DEBEN ser mayor a los exámenes procesados de la misma edad. </v>
      </c>
      <c r="CI255" s="2195" t="str">
        <f t="shared" si="455"/>
        <v xml:space="preserve">* Los exámenes positivos de 12-24 meses NO DEBEN ser mayor a los exámenes procesados de la misma edad. </v>
      </c>
      <c r="CJ255" s="2195" t="str">
        <f t="shared" si="456"/>
        <v xml:space="preserve">* Los exámenes positivos de 3 a 4 años NO DEBEN ser mayor a los exámenes procesados de la misma edad. </v>
      </c>
      <c r="CK255" s="2195" t="str">
        <f t="shared" si="457"/>
        <v xml:space="preserve">* Los exámenes positivos de 5 a 9 años NO DEBEN ser mayor a los exámenes procesados de la misma edad. </v>
      </c>
      <c r="CL255" s="2195" t="str">
        <f t="shared" si="458"/>
        <v xml:space="preserve">* Los exámenes positivos de 10 a 14 años NO DEBEN ser mayor a los exámenes procesados de la misma edad. </v>
      </c>
      <c r="CM255" s="2195" t="str">
        <f t="shared" si="459"/>
        <v xml:space="preserve">* Los exámenes positivos de 15 a 19 años NO DEBEN ser mayor a los exámenes procesados de la misma edad. </v>
      </c>
      <c r="CN255" s="2195" t="str">
        <f t="shared" si="460"/>
        <v xml:space="preserve">* Los exámenes positivos de 20 a 24 años NO DEBEN ser mayor a los exámenes procesados de la misma edad. </v>
      </c>
      <c r="CO255" s="2195" t="str">
        <f t="shared" si="461"/>
        <v xml:space="preserve">* Los exámenes positivos de 25 a 29 años NO DEBEN ser mayor a los exámenes procesados de la misma edad. </v>
      </c>
      <c r="CP255" s="2195" t="str">
        <f t="shared" si="462"/>
        <v xml:space="preserve">* Los exámenes positivos de 30 a 34 años NO DEBEN ser mayor a los exámenes procesados de la misma edad. </v>
      </c>
      <c r="CQ255" s="2195" t="str">
        <f t="shared" si="463"/>
        <v xml:space="preserve">* Los exámenes positivos de 35 a 39 años NO DEBEN ser mayor a los exámenes procesados de la misma edad. </v>
      </c>
      <c r="CR255" s="2195" t="str">
        <f t="shared" si="464"/>
        <v xml:space="preserve">* Los exámenes positivos de 40 a 44 años NO DEBEN ser mayor a los exámenes procesados de la misma edad. </v>
      </c>
      <c r="CS255" s="2195" t="str">
        <f t="shared" si="465"/>
        <v xml:space="preserve">* Los exámenes positivos de 45 a 49 años NO DEBEN ser mayor a los exámenes procesados de la misma edad. </v>
      </c>
      <c r="CT255" s="2195" t="str">
        <f t="shared" si="466"/>
        <v xml:space="preserve">* Los exámenes positivos de 50 a 54 años NO DEBEN ser mayor a los exámenes procesados de la misma edad. </v>
      </c>
      <c r="CU255" s="2195" t="str">
        <f t="shared" si="467"/>
        <v xml:space="preserve">* Los exámenes positivos de 55 a 59 años NO DEBEN ser mayor a los exámenes procesados de la misma edad. </v>
      </c>
      <c r="CV255" s="2195" t="str">
        <f t="shared" si="468"/>
        <v xml:space="preserve">* Los exámenes positivos de 60 a 64 años NO DEBEN ser mayor a los exámenes procesados de la misma edad. </v>
      </c>
      <c r="CW255" s="2195" t="str">
        <f t="shared" si="469"/>
        <v xml:space="preserve">* Los exámenes positivos de  65 y más años NO DEBEN ser mayor a los exámenes procesados de la misma edad. </v>
      </c>
      <c r="CX255" s="2195" t="str">
        <f t="shared" si="470"/>
        <v/>
      </c>
      <c r="CY255" s="2195" t="str">
        <f t="shared" si="471"/>
        <v/>
      </c>
      <c r="CZ255" s="2195"/>
      <c r="DA255" s="2195"/>
      <c r="DB255" s="1446">
        <f t="shared" si="472"/>
        <v>1</v>
      </c>
      <c r="DC255" s="1446" t="e">
        <f t="shared" si="473"/>
        <v>#VALUE!</v>
      </c>
      <c r="DD255" s="1446" t="e">
        <f t="shared" si="474"/>
        <v>#VALUE!</v>
      </c>
      <c r="DE255" s="1446">
        <f t="shared" si="475"/>
        <v>1</v>
      </c>
      <c r="DF255" s="1446">
        <f t="shared" si="476"/>
        <v>1</v>
      </c>
      <c r="DG255" s="1446" t="e">
        <f t="shared" si="477"/>
        <v>#VALUE!</v>
      </c>
      <c r="DH255" s="1446">
        <f t="shared" si="478"/>
        <v>1</v>
      </c>
      <c r="DI255" s="1446">
        <f t="shared" si="479"/>
        <v>1</v>
      </c>
      <c r="DJ255" s="1446">
        <f t="shared" si="480"/>
        <v>1</v>
      </c>
      <c r="DK255" s="1446">
        <f t="shared" si="481"/>
        <v>1</v>
      </c>
      <c r="DL255" s="1446">
        <f t="shared" si="482"/>
        <v>1</v>
      </c>
      <c r="DM255" s="1446">
        <f t="shared" si="483"/>
        <v>1</v>
      </c>
      <c r="DN255" s="1446">
        <f t="shared" si="484"/>
        <v>1</v>
      </c>
      <c r="DO255" s="1446">
        <f t="shared" si="485"/>
        <v>1</v>
      </c>
      <c r="DP255" s="1446">
        <f t="shared" si="486"/>
        <v>1</v>
      </c>
      <c r="DQ255" s="1446">
        <f t="shared" si="487"/>
        <v>1</v>
      </c>
      <c r="DR255" s="1446">
        <f t="shared" si="488"/>
        <v>1</v>
      </c>
      <c r="DS255" s="1446">
        <f t="shared" si="489"/>
        <v>1</v>
      </c>
      <c r="DT255" s="1446">
        <f t="shared" si="490"/>
        <v>1</v>
      </c>
      <c r="DU255" s="1446">
        <f t="shared" si="491"/>
        <v>1</v>
      </c>
      <c r="DV255" s="1446">
        <f t="shared" si="492"/>
        <v>1</v>
      </c>
      <c r="DW255" s="1446">
        <f t="shared" si="493"/>
        <v>1</v>
      </c>
      <c r="DX255" s="1446">
        <f t="shared" si="495"/>
        <v>0</v>
      </c>
      <c r="DY255" s="1446">
        <f t="shared" si="495"/>
        <v>0</v>
      </c>
    </row>
    <row r="256" spans="1:129" x14ac:dyDescent="0.3">
      <c r="A256" s="7258">
        <v>11057120</v>
      </c>
      <c r="B256" s="8705"/>
      <c r="C256" s="1112" t="s">
        <v>1852</v>
      </c>
      <c r="D256" s="2226" t="s">
        <v>5369</v>
      </c>
      <c r="E256" s="2213" t="s">
        <v>5370</v>
      </c>
      <c r="F256" s="1134" t="s">
        <v>5371</v>
      </c>
      <c r="G256" s="1118" t="s">
        <v>5372</v>
      </c>
      <c r="H256" s="1134" t="s">
        <v>5373</v>
      </c>
      <c r="I256" s="1118" t="s">
        <v>5374</v>
      </c>
      <c r="J256" s="1134" t="s">
        <v>5375</v>
      </c>
      <c r="K256" s="1118" t="s">
        <v>5376</v>
      </c>
      <c r="L256" s="1134" t="s">
        <v>5377</v>
      </c>
      <c r="M256" s="1118" t="s">
        <v>5378</v>
      </c>
      <c r="N256" s="1134" t="s">
        <v>5379</v>
      </c>
      <c r="O256" s="1118" t="s">
        <v>5380</v>
      </c>
      <c r="P256" s="1134" t="s">
        <v>5381</v>
      </c>
      <c r="Q256" s="1118" t="s">
        <v>5382</v>
      </c>
      <c r="R256" s="1114" t="s">
        <v>5383</v>
      </c>
      <c r="S256" s="1118" t="s">
        <v>5384</v>
      </c>
      <c r="T256" s="1114" t="s">
        <v>5385</v>
      </c>
      <c r="U256" s="1118" t="s">
        <v>5386</v>
      </c>
      <c r="V256" s="1114" t="s">
        <v>5387</v>
      </c>
      <c r="W256" s="1118" t="s">
        <v>5388</v>
      </c>
      <c r="X256" s="1134" t="s">
        <v>5389</v>
      </c>
      <c r="Y256" s="1118" t="s">
        <v>5390</v>
      </c>
      <c r="Z256" s="1134" t="s">
        <v>5391</v>
      </c>
      <c r="AA256" s="1118" t="s">
        <v>5392</v>
      </c>
      <c r="AB256" s="1134" t="s">
        <v>5393</v>
      </c>
      <c r="AC256" s="1118" t="s">
        <v>5394</v>
      </c>
      <c r="AD256" s="1114" t="s">
        <v>5395</v>
      </c>
      <c r="AE256" s="1118" t="s">
        <v>5396</v>
      </c>
      <c r="AF256" s="1134" t="s">
        <v>5397</v>
      </c>
      <c r="AG256" s="1118" t="s">
        <v>5398</v>
      </c>
      <c r="AH256" s="1134" t="s">
        <v>5399</v>
      </c>
      <c r="AI256" s="1118" t="s">
        <v>5400</v>
      </c>
      <c r="AJ256" s="1134" t="s">
        <v>5401</v>
      </c>
      <c r="AK256" s="1136" t="s">
        <v>5402</v>
      </c>
      <c r="AL256" s="2848" t="s">
        <v>5403</v>
      </c>
      <c r="AM256" s="2824" t="s">
        <v>5404</v>
      </c>
      <c r="AN256" s="2852" t="s">
        <v>5405</v>
      </c>
      <c r="AO256" s="2824" t="s">
        <v>5406</v>
      </c>
      <c r="AP256" s="2852" t="s">
        <v>5407</v>
      </c>
      <c r="AQ256" s="2824" t="s">
        <v>5408</v>
      </c>
      <c r="AR256" s="2852" t="s">
        <v>5409</v>
      </c>
      <c r="AS256" s="2824" t="s">
        <v>5410</v>
      </c>
      <c r="AT256" s="2822" t="s">
        <v>5411</v>
      </c>
      <c r="AU256" s="2826" t="s">
        <v>5412</v>
      </c>
      <c r="AV256" s="2822" t="s">
        <v>5413</v>
      </c>
      <c r="AW256" s="2826" t="s">
        <v>5414</v>
      </c>
      <c r="AX256" s="2852" t="s">
        <v>5415</v>
      </c>
      <c r="AY256" s="1118" t="s">
        <v>5416</v>
      </c>
      <c r="AZ256" s="1197" t="e">
        <f t="shared" si="447"/>
        <v>#VALUE!</v>
      </c>
      <c r="CB256" s="2195" t="str">
        <f t="shared" si="448"/>
        <v xml:space="preserve">* El total de Confirmados Positivos por ISP NO DEBE ser mayor que el total de Procesados. </v>
      </c>
      <c r="CC256" s="2195" t="e">
        <f t="shared" si="449"/>
        <v>#VALUE!</v>
      </c>
      <c r="CD256" s="2195" t="e">
        <f t="shared" si="450"/>
        <v>#VALUE!</v>
      </c>
      <c r="CE256" s="2195" t="str">
        <f t="shared" si="451"/>
        <v xml:space="preserve">* El Total de Pueblos Originarios Procesados NO DEBE ser mayor al Total de Procesados. </v>
      </c>
      <c r="CF256" s="2195" t="str">
        <f t="shared" si="452"/>
        <v xml:space="preserve">* El Total de Migrantes Procesados NO DEBE ser mayor al Total de Procesados. </v>
      </c>
      <c r="CG256" s="2195" t="e">
        <f t="shared" si="453"/>
        <v>#VALUE!</v>
      </c>
      <c r="CH256" s="2195" t="str">
        <f t="shared" si="454"/>
        <v xml:space="preserve">* Los exámenes positivos de Menor de 12 meses NO DEBEN ser mayor a los exámenes procesados de la misma edad. </v>
      </c>
      <c r="CI256" s="2195" t="str">
        <f t="shared" si="455"/>
        <v xml:space="preserve">* Los exámenes positivos de 12-24 meses NO DEBEN ser mayor a los exámenes procesados de la misma edad. </v>
      </c>
      <c r="CJ256" s="2195" t="str">
        <f t="shared" si="456"/>
        <v xml:space="preserve">* Los exámenes positivos de 3 a 4 años NO DEBEN ser mayor a los exámenes procesados de la misma edad. </v>
      </c>
      <c r="CK256" s="2195" t="str">
        <f t="shared" si="457"/>
        <v xml:space="preserve">* Los exámenes positivos de 5 a 9 años NO DEBEN ser mayor a los exámenes procesados de la misma edad. </v>
      </c>
      <c r="CL256" s="2195" t="str">
        <f t="shared" si="458"/>
        <v xml:space="preserve">* Los exámenes positivos de 10 a 14 años NO DEBEN ser mayor a los exámenes procesados de la misma edad. </v>
      </c>
      <c r="CM256" s="2195" t="str">
        <f t="shared" si="459"/>
        <v xml:space="preserve">* Los exámenes positivos de 15 a 19 años NO DEBEN ser mayor a los exámenes procesados de la misma edad. </v>
      </c>
      <c r="CN256" s="2195" t="str">
        <f t="shared" si="460"/>
        <v xml:space="preserve">* Los exámenes positivos de 20 a 24 años NO DEBEN ser mayor a los exámenes procesados de la misma edad. </v>
      </c>
      <c r="CO256" s="2195" t="str">
        <f t="shared" si="461"/>
        <v xml:space="preserve">* Los exámenes positivos de 25 a 29 años NO DEBEN ser mayor a los exámenes procesados de la misma edad. </v>
      </c>
      <c r="CP256" s="2195" t="str">
        <f t="shared" si="462"/>
        <v xml:space="preserve">* Los exámenes positivos de 30 a 34 años NO DEBEN ser mayor a los exámenes procesados de la misma edad. </v>
      </c>
      <c r="CQ256" s="2195" t="str">
        <f t="shared" si="463"/>
        <v xml:space="preserve">* Los exámenes positivos de 35 a 39 años NO DEBEN ser mayor a los exámenes procesados de la misma edad. </v>
      </c>
      <c r="CR256" s="2195" t="str">
        <f t="shared" si="464"/>
        <v xml:space="preserve">* Los exámenes positivos de 40 a 44 años NO DEBEN ser mayor a los exámenes procesados de la misma edad. </v>
      </c>
      <c r="CS256" s="2195" t="str">
        <f t="shared" si="465"/>
        <v xml:space="preserve">* Los exámenes positivos de 45 a 49 años NO DEBEN ser mayor a los exámenes procesados de la misma edad. </v>
      </c>
      <c r="CT256" s="2195" t="str">
        <f t="shared" si="466"/>
        <v xml:space="preserve">* Los exámenes positivos de 50 a 54 años NO DEBEN ser mayor a los exámenes procesados de la misma edad. </v>
      </c>
      <c r="CU256" s="2195" t="str">
        <f t="shared" si="467"/>
        <v xml:space="preserve">* Los exámenes positivos de 55 a 59 años NO DEBEN ser mayor a los exámenes procesados de la misma edad. </v>
      </c>
      <c r="CV256" s="2195" t="str">
        <f t="shared" si="468"/>
        <v xml:space="preserve">* Los exámenes positivos de 60 a 64 años NO DEBEN ser mayor a los exámenes procesados de la misma edad. </v>
      </c>
      <c r="CW256" s="2195" t="str">
        <f t="shared" si="469"/>
        <v xml:space="preserve">* Los exámenes positivos de  65 y más años NO DEBEN ser mayor a los exámenes procesados de la misma edad. </v>
      </c>
      <c r="CX256" s="2195" t="str">
        <f t="shared" si="470"/>
        <v/>
      </c>
      <c r="CY256" s="2195" t="str">
        <f t="shared" si="471"/>
        <v/>
      </c>
      <c r="CZ256" s="2195"/>
      <c r="DA256" s="2195"/>
      <c r="DB256" s="1446">
        <f t="shared" si="472"/>
        <v>1</v>
      </c>
      <c r="DC256" s="1446" t="e">
        <f t="shared" si="473"/>
        <v>#VALUE!</v>
      </c>
      <c r="DD256" s="1446" t="e">
        <f t="shared" si="474"/>
        <v>#VALUE!</v>
      </c>
      <c r="DE256" s="1446">
        <f t="shared" si="475"/>
        <v>1</v>
      </c>
      <c r="DF256" s="1446">
        <f t="shared" si="476"/>
        <v>1</v>
      </c>
      <c r="DG256" s="1446" t="e">
        <f t="shared" si="477"/>
        <v>#VALUE!</v>
      </c>
      <c r="DH256" s="1446">
        <f t="shared" si="478"/>
        <v>1</v>
      </c>
      <c r="DI256" s="1446">
        <f t="shared" si="479"/>
        <v>1</v>
      </c>
      <c r="DJ256" s="1446">
        <f t="shared" si="480"/>
        <v>1</v>
      </c>
      <c r="DK256" s="1446">
        <f t="shared" si="481"/>
        <v>1</v>
      </c>
      <c r="DL256" s="1446">
        <f t="shared" si="482"/>
        <v>1</v>
      </c>
      <c r="DM256" s="1446">
        <f t="shared" si="483"/>
        <v>1</v>
      </c>
      <c r="DN256" s="1446">
        <f t="shared" si="484"/>
        <v>1</v>
      </c>
      <c r="DO256" s="1446">
        <f t="shared" si="485"/>
        <v>1</v>
      </c>
      <c r="DP256" s="1446">
        <f t="shared" si="486"/>
        <v>1</v>
      </c>
      <c r="DQ256" s="1446">
        <f t="shared" si="487"/>
        <v>1</v>
      </c>
      <c r="DR256" s="1446">
        <f t="shared" si="488"/>
        <v>1</v>
      </c>
      <c r="DS256" s="1446">
        <f t="shared" si="489"/>
        <v>1</v>
      </c>
      <c r="DT256" s="1446">
        <f t="shared" si="490"/>
        <v>1</v>
      </c>
      <c r="DU256" s="1446">
        <f t="shared" si="491"/>
        <v>1</v>
      </c>
      <c r="DV256" s="1446">
        <f t="shared" si="492"/>
        <v>1</v>
      </c>
      <c r="DW256" s="1446">
        <f t="shared" si="493"/>
        <v>1</v>
      </c>
      <c r="DX256" s="1446">
        <f t="shared" si="495"/>
        <v>0</v>
      </c>
      <c r="DY256" s="1446">
        <f t="shared" si="495"/>
        <v>0</v>
      </c>
    </row>
    <row r="257" spans="1:129" x14ac:dyDescent="0.3">
      <c r="A257" s="7258">
        <v>11057121</v>
      </c>
      <c r="B257" s="8705"/>
      <c r="C257" s="1112" t="s">
        <v>1853</v>
      </c>
      <c r="D257" s="2226" t="s">
        <v>5369</v>
      </c>
      <c r="E257" s="2213" t="s">
        <v>5370</v>
      </c>
      <c r="F257" s="1134" t="s">
        <v>5371</v>
      </c>
      <c r="G257" s="1118" t="s">
        <v>5372</v>
      </c>
      <c r="H257" s="1134" t="s">
        <v>5373</v>
      </c>
      <c r="I257" s="1118" t="s">
        <v>5374</v>
      </c>
      <c r="J257" s="1134" t="s">
        <v>5375</v>
      </c>
      <c r="K257" s="1118" t="s">
        <v>5376</v>
      </c>
      <c r="L257" s="1134" t="s">
        <v>5377</v>
      </c>
      <c r="M257" s="1118" t="s">
        <v>5378</v>
      </c>
      <c r="N257" s="1134" t="s">
        <v>5379</v>
      </c>
      <c r="O257" s="1118" t="s">
        <v>5380</v>
      </c>
      <c r="P257" s="1134" t="s">
        <v>5381</v>
      </c>
      <c r="Q257" s="1118" t="s">
        <v>5382</v>
      </c>
      <c r="R257" s="1114" t="s">
        <v>5383</v>
      </c>
      <c r="S257" s="1118" t="s">
        <v>5384</v>
      </c>
      <c r="T257" s="1114" t="s">
        <v>5385</v>
      </c>
      <c r="U257" s="1118" t="s">
        <v>5386</v>
      </c>
      <c r="V257" s="1114" t="s">
        <v>5387</v>
      </c>
      <c r="W257" s="1118" t="s">
        <v>5388</v>
      </c>
      <c r="X257" s="1134" t="s">
        <v>5389</v>
      </c>
      <c r="Y257" s="1118" t="s">
        <v>5390</v>
      </c>
      <c r="Z257" s="1134" t="s">
        <v>5391</v>
      </c>
      <c r="AA257" s="1118" t="s">
        <v>5392</v>
      </c>
      <c r="AB257" s="1134" t="s">
        <v>5393</v>
      </c>
      <c r="AC257" s="1118" t="s">
        <v>5394</v>
      </c>
      <c r="AD257" s="1114" t="s">
        <v>5395</v>
      </c>
      <c r="AE257" s="1118" t="s">
        <v>5396</v>
      </c>
      <c r="AF257" s="1134" t="s">
        <v>5397</v>
      </c>
      <c r="AG257" s="1118" t="s">
        <v>5398</v>
      </c>
      <c r="AH257" s="1134" t="s">
        <v>5399</v>
      </c>
      <c r="AI257" s="1118" t="s">
        <v>5400</v>
      </c>
      <c r="AJ257" s="1134" t="s">
        <v>5401</v>
      </c>
      <c r="AK257" s="1136" t="s">
        <v>5402</v>
      </c>
      <c r="AL257" s="2848" t="s">
        <v>5403</v>
      </c>
      <c r="AM257" s="2824" t="s">
        <v>5404</v>
      </c>
      <c r="AN257" s="2852" t="s">
        <v>5405</v>
      </c>
      <c r="AO257" s="2824" t="s">
        <v>5406</v>
      </c>
      <c r="AP257" s="2852" t="s">
        <v>5407</v>
      </c>
      <c r="AQ257" s="2824" t="s">
        <v>5408</v>
      </c>
      <c r="AR257" s="2852" t="s">
        <v>5409</v>
      </c>
      <c r="AS257" s="2824" t="s">
        <v>5410</v>
      </c>
      <c r="AT257" s="2822" t="s">
        <v>5411</v>
      </c>
      <c r="AU257" s="2826" t="s">
        <v>5412</v>
      </c>
      <c r="AV257" s="2822" t="s">
        <v>5413</v>
      </c>
      <c r="AW257" s="2826" t="s">
        <v>5414</v>
      </c>
      <c r="AX257" s="2852" t="s">
        <v>5415</v>
      </c>
      <c r="AY257" s="1118" t="s">
        <v>5416</v>
      </c>
      <c r="AZ257" s="1197" t="e">
        <f t="shared" si="447"/>
        <v>#VALUE!</v>
      </c>
      <c r="CB257" s="2195" t="str">
        <f t="shared" si="448"/>
        <v xml:space="preserve">* El total de Confirmados Positivos por ISP NO DEBE ser mayor que el total de Procesados. </v>
      </c>
      <c r="CC257" s="2195" t="e">
        <f t="shared" si="449"/>
        <v>#VALUE!</v>
      </c>
      <c r="CD257" s="2195" t="e">
        <f t="shared" si="450"/>
        <v>#VALUE!</v>
      </c>
      <c r="CE257" s="2195" t="str">
        <f t="shared" si="451"/>
        <v xml:space="preserve">* El Total de Pueblos Originarios Procesados NO DEBE ser mayor al Total de Procesados. </v>
      </c>
      <c r="CF257" s="2195" t="str">
        <f t="shared" si="452"/>
        <v xml:space="preserve">* El Total de Migrantes Procesados NO DEBE ser mayor al Total de Procesados. </v>
      </c>
      <c r="CG257" s="2195" t="e">
        <f t="shared" si="453"/>
        <v>#VALUE!</v>
      </c>
      <c r="CH257" s="2195" t="str">
        <f t="shared" si="454"/>
        <v xml:space="preserve">* Los exámenes positivos de Menor de 12 meses NO DEBEN ser mayor a los exámenes procesados de la misma edad. </v>
      </c>
      <c r="CI257" s="2195" t="str">
        <f t="shared" si="455"/>
        <v xml:space="preserve">* Los exámenes positivos de 12-24 meses NO DEBEN ser mayor a los exámenes procesados de la misma edad. </v>
      </c>
      <c r="CJ257" s="2195" t="str">
        <f t="shared" si="456"/>
        <v xml:space="preserve">* Los exámenes positivos de 3 a 4 años NO DEBEN ser mayor a los exámenes procesados de la misma edad. </v>
      </c>
      <c r="CK257" s="2195" t="str">
        <f t="shared" si="457"/>
        <v xml:space="preserve">* Los exámenes positivos de 5 a 9 años NO DEBEN ser mayor a los exámenes procesados de la misma edad. </v>
      </c>
      <c r="CL257" s="2195" t="str">
        <f t="shared" si="458"/>
        <v xml:space="preserve">* Los exámenes positivos de 10 a 14 años NO DEBEN ser mayor a los exámenes procesados de la misma edad. </v>
      </c>
      <c r="CM257" s="2195" t="str">
        <f t="shared" si="459"/>
        <v xml:space="preserve">* Los exámenes positivos de 15 a 19 años NO DEBEN ser mayor a los exámenes procesados de la misma edad. </v>
      </c>
      <c r="CN257" s="2195" t="str">
        <f t="shared" si="460"/>
        <v xml:space="preserve">* Los exámenes positivos de 20 a 24 años NO DEBEN ser mayor a los exámenes procesados de la misma edad. </v>
      </c>
      <c r="CO257" s="2195" t="str">
        <f t="shared" si="461"/>
        <v xml:space="preserve">* Los exámenes positivos de 25 a 29 años NO DEBEN ser mayor a los exámenes procesados de la misma edad. </v>
      </c>
      <c r="CP257" s="2195" t="str">
        <f t="shared" si="462"/>
        <v xml:space="preserve">* Los exámenes positivos de 30 a 34 años NO DEBEN ser mayor a los exámenes procesados de la misma edad. </v>
      </c>
      <c r="CQ257" s="2195" t="str">
        <f t="shared" si="463"/>
        <v xml:space="preserve">* Los exámenes positivos de 35 a 39 años NO DEBEN ser mayor a los exámenes procesados de la misma edad. </v>
      </c>
      <c r="CR257" s="2195" t="str">
        <f t="shared" si="464"/>
        <v xml:space="preserve">* Los exámenes positivos de 40 a 44 años NO DEBEN ser mayor a los exámenes procesados de la misma edad. </v>
      </c>
      <c r="CS257" s="2195" t="str">
        <f t="shared" si="465"/>
        <v xml:space="preserve">* Los exámenes positivos de 45 a 49 años NO DEBEN ser mayor a los exámenes procesados de la misma edad. </v>
      </c>
      <c r="CT257" s="2195" t="str">
        <f t="shared" si="466"/>
        <v xml:space="preserve">* Los exámenes positivos de 50 a 54 años NO DEBEN ser mayor a los exámenes procesados de la misma edad. </v>
      </c>
      <c r="CU257" s="2195" t="str">
        <f t="shared" si="467"/>
        <v xml:space="preserve">* Los exámenes positivos de 55 a 59 años NO DEBEN ser mayor a los exámenes procesados de la misma edad. </v>
      </c>
      <c r="CV257" s="2195" t="str">
        <f t="shared" si="468"/>
        <v xml:space="preserve">* Los exámenes positivos de 60 a 64 años NO DEBEN ser mayor a los exámenes procesados de la misma edad. </v>
      </c>
      <c r="CW257" s="2195" t="str">
        <f t="shared" si="469"/>
        <v xml:space="preserve">* Los exámenes positivos de  65 y más años NO DEBEN ser mayor a los exámenes procesados de la misma edad. </v>
      </c>
      <c r="CX257" s="2195" t="str">
        <f t="shared" si="470"/>
        <v/>
      </c>
      <c r="CY257" s="2195" t="str">
        <f t="shared" si="471"/>
        <v/>
      </c>
      <c r="CZ257" s="2195"/>
      <c r="DA257" s="2195"/>
      <c r="DB257" s="1446">
        <f t="shared" si="472"/>
        <v>1</v>
      </c>
      <c r="DC257" s="1446" t="e">
        <f t="shared" si="473"/>
        <v>#VALUE!</v>
      </c>
      <c r="DD257" s="1446" t="e">
        <f t="shared" si="474"/>
        <v>#VALUE!</v>
      </c>
      <c r="DE257" s="1446">
        <f t="shared" si="475"/>
        <v>1</v>
      </c>
      <c r="DF257" s="1446">
        <f t="shared" si="476"/>
        <v>1</v>
      </c>
      <c r="DG257" s="1446" t="e">
        <f t="shared" si="477"/>
        <v>#VALUE!</v>
      </c>
      <c r="DH257" s="1446">
        <f t="shared" si="478"/>
        <v>1</v>
      </c>
      <c r="DI257" s="1446">
        <f t="shared" si="479"/>
        <v>1</v>
      </c>
      <c r="DJ257" s="1446">
        <f t="shared" si="480"/>
        <v>1</v>
      </c>
      <c r="DK257" s="1446">
        <f t="shared" si="481"/>
        <v>1</v>
      </c>
      <c r="DL257" s="1446">
        <f t="shared" si="482"/>
        <v>1</v>
      </c>
      <c r="DM257" s="1446">
        <f t="shared" si="483"/>
        <v>1</v>
      </c>
      <c r="DN257" s="1446">
        <f t="shared" si="484"/>
        <v>1</v>
      </c>
      <c r="DO257" s="1446">
        <f t="shared" si="485"/>
        <v>1</v>
      </c>
      <c r="DP257" s="1446">
        <f t="shared" si="486"/>
        <v>1</v>
      </c>
      <c r="DQ257" s="1446">
        <f t="shared" si="487"/>
        <v>1</v>
      </c>
      <c r="DR257" s="1446">
        <f t="shared" si="488"/>
        <v>1</v>
      </c>
      <c r="DS257" s="1446">
        <f t="shared" si="489"/>
        <v>1</v>
      </c>
      <c r="DT257" s="1446">
        <f t="shared" si="490"/>
        <v>1</v>
      </c>
      <c r="DU257" s="1446">
        <f t="shared" si="491"/>
        <v>1</v>
      </c>
      <c r="DV257" s="1446">
        <f t="shared" si="492"/>
        <v>1</v>
      </c>
      <c r="DW257" s="1446">
        <f t="shared" si="493"/>
        <v>1</v>
      </c>
      <c r="DX257" s="1446">
        <f t="shared" si="495"/>
        <v>0</v>
      </c>
      <c r="DY257" s="1446">
        <f t="shared" si="495"/>
        <v>0</v>
      </c>
    </row>
    <row r="258" spans="1:129" x14ac:dyDescent="0.3">
      <c r="A258" s="7258">
        <v>11057122</v>
      </c>
      <c r="B258" s="10049"/>
      <c r="C258" s="2227" t="s">
        <v>1854</v>
      </c>
      <c r="D258" s="2228" t="s">
        <v>5369</v>
      </c>
      <c r="E258" s="2229" t="s">
        <v>5370</v>
      </c>
      <c r="F258" s="102" t="s">
        <v>5371</v>
      </c>
      <c r="G258" s="101" t="s">
        <v>5372</v>
      </c>
      <c r="H258" s="102" t="s">
        <v>5373</v>
      </c>
      <c r="I258" s="101" t="s">
        <v>5374</v>
      </c>
      <c r="J258" s="102" t="s">
        <v>5375</v>
      </c>
      <c r="K258" s="101" t="s">
        <v>5376</v>
      </c>
      <c r="L258" s="102" t="s">
        <v>5377</v>
      </c>
      <c r="M258" s="101" t="s">
        <v>5378</v>
      </c>
      <c r="N258" s="102" t="s">
        <v>5379</v>
      </c>
      <c r="O258" s="101" t="s">
        <v>5380</v>
      </c>
      <c r="P258" s="102" t="s">
        <v>5381</v>
      </c>
      <c r="Q258" s="101" t="s">
        <v>5382</v>
      </c>
      <c r="R258" s="125" t="s">
        <v>5383</v>
      </c>
      <c r="S258" s="101" t="s">
        <v>5384</v>
      </c>
      <c r="T258" s="125" t="s">
        <v>5385</v>
      </c>
      <c r="U258" s="101" t="s">
        <v>5386</v>
      </c>
      <c r="V258" s="125" t="s">
        <v>5387</v>
      </c>
      <c r="W258" s="101" t="s">
        <v>5388</v>
      </c>
      <c r="X258" s="102" t="s">
        <v>5389</v>
      </c>
      <c r="Y258" s="101" t="s">
        <v>5390</v>
      </c>
      <c r="Z258" s="102" t="s">
        <v>5391</v>
      </c>
      <c r="AA258" s="101" t="s">
        <v>5392</v>
      </c>
      <c r="AB258" s="102" t="s">
        <v>5393</v>
      </c>
      <c r="AC258" s="101" t="s">
        <v>5394</v>
      </c>
      <c r="AD258" s="125" t="s">
        <v>5395</v>
      </c>
      <c r="AE258" s="101" t="s">
        <v>5396</v>
      </c>
      <c r="AF258" s="102" t="s">
        <v>5397</v>
      </c>
      <c r="AG258" s="101" t="s">
        <v>5398</v>
      </c>
      <c r="AH258" s="102" t="s">
        <v>5399</v>
      </c>
      <c r="AI258" s="101" t="s">
        <v>5400</v>
      </c>
      <c r="AJ258" s="102" t="s">
        <v>5401</v>
      </c>
      <c r="AK258" s="198" t="s">
        <v>5402</v>
      </c>
      <c r="AL258" s="2829" t="s">
        <v>5403</v>
      </c>
      <c r="AM258" s="2821" t="s">
        <v>5404</v>
      </c>
      <c r="AN258" s="2477" t="s">
        <v>5405</v>
      </c>
      <c r="AO258" s="2821" t="s">
        <v>5406</v>
      </c>
      <c r="AP258" s="2477" t="s">
        <v>5407</v>
      </c>
      <c r="AQ258" s="2821" t="s">
        <v>5408</v>
      </c>
      <c r="AR258" s="2477" t="s">
        <v>5409</v>
      </c>
      <c r="AS258" s="2821" t="s">
        <v>5410</v>
      </c>
      <c r="AT258" s="2825" t="s">
        <v>5411</v>
      </c>
      <c r="AU258" s="2479" t="s">
        <v>5412</v>
      </c>
      <c r="AV258" s="2825" t="s">
        <v>5413</v>
      </c>
      <c r="AW258" s="2479" t="s">
        <v>5414</v>
      </c>
      <c r="AX258" s="2477" t="s">
        <v>5415</v>
      </c>
      <c r="AY258" s="101" t="s">
        <v>5416</v>
      </c>
      <c r="AZ258" s="1197" t="e">
        <f t="shared" si="447"/>
        <v>#VALUE!</v>
      </c>
      <c r="CB258" s="2195" t="str">
        <f t="shared" si="448"/>
        <v xml:space="preserve">* El total de Confirmados Positivos por ISP NO DEBE ser mayor que el total de Procesados. </v>
      </c>
      <c r="CC258" s="2195" t="e">
        <f t="shared" si="449"/>
        <v>#VALUE!</v>
      </c>
      <c r="CD258" s="2195" t="e">
        <f t="shared" si="450"/>
        <v>#VALUE!</v>
      </c>
      <c r="CE258" s="2195" t="str">
        <f t="shared" si="451"/>
        <v xml:space="preserve">* El Total de Pueblos Originarios Procesados NO DEBE ser mayor al Total de Procesados. </v>
      </c>
      <c r="CF258" s="2195" t="str">
        <f t="shared" si="452"/>
        <v xml:space="preserve">* El Total de Migrantes Procesados NO DEBE ser mayor al Total de Procesados. </v>
      </c>
      <c r="CG258" s="2195" t="e">
        <f t="shared" si="453"/>
        <v>#VALUE!</v>
      </c>
      <c r="CH258" s="2195" t="str">
        <f t="shared" si="454"/>
        <v xml:space="preserve">* Los exámenes positivos de Menor de 12 meses NO DEBEN ser mayor a los exámenes procesados de la misma edad. </v>
      </c>
      <c r="CI258" s="2195" t="str">
        <f t="shared" si="455"/>
        <v xml:space="preserve">* Los exámenes positivos de 12-24 meses NO DEBEN ser mayor a los exámenes procesados de la misma edad. </v>
      </c>
      <c r="CJ258" s="2195" t="str">
        <f t="shared" si="456"/>
        <v xml:space="preserve">* Los exámenes positivos de 3 a 4 años NO DEBEN ser mayor a los exámenes procesados de la misma edad. </v>
      </c>
      <c r="CK258" s="2195" t="str">
        <f t="shared" si="457"/>
        <v xml:space="preserve">* Los exámenes positivos de 5 a 9 años NO DEBEN ser mayor a los exámenes procesados de la misma edad. </v>
      </c>
      <c r="CL258" s="2195" t="str">
        <f t="shared" si="458"/>
        <v xml:space="preserve">* Los exámenes positivos de 10 a 14 años NO DEBEN ser mayor a los exámenes procesados de la misma edad. </v>
      </c>
      <c r="CM258" s="2195" t="str">
        <f t="shared" si="459"/>
        <v xml:space="preserve">* Los exámenes positivos de 15 a 19 años NO DEBEN ser mayor a los exámenes procesados de la misma edad. </v>
      </c>
      <c r="CN258" s="2195" t="str">
        <f t="shared" si="460"/>
        <v xml:space="preserve">* Los exámenes positivos de 20 a 24 años NO DEBEN ser mayor a los exámenes procesados de la misma edad. </v>
      </c>
      <c r="CO258" s="2195" t="str">
        <f t="shared" si="461"/>
        <v xml:space="preserve">* Los exámenes positivos de 25 a 29 años NO DEBEN ser mayor a los exámenes procesados de la misma edad. </v>
      </c>
      <c r="CP258" s="2195" t="str">
        <f t="shared" si="462"/>
        <v xml:space="preserve">* Los exámenes positivos de 30 a 34 años NO DEBEN ser mayor a los exámenes procesados de la misma edad. </v>
      </c>
      <c r="CQ258" s="2195" t="str">
        <f t="shared" si="463"/>
        <v xml:space="preserve">* Los exámenes positivos de 35 a 39 años NO DEBEN ser mayor a los exámenes procesados de la misma edad. </v>
      </c>
      <c r="CR258" s="2195" t="str">
        <f t="shared" si="464"/>
        <v xml:space="preserve">* Los exámenes positivos de 40 a 44 años NO DEBEN ser mayor a los exámenes procesados de la misma edad. </v>
      </c>
      <c r="CS258" s="2195" t="str">
        <f t="shared" si="465"/>
        <v xml:space="preserve">* Los exámenes positivos de 45 a 49 años NO DEBEN ser mayor a los exámenes procesados de la misma edad. </v>
      </c>
      <c r="CT258" s="2195" t="str">
        <f t="shared" si="466"/>
        <v xml:space="preserve">* Los exámenes positivos de 50 a 54 años NO DEBEN ser mayor a los exámenes procesados de la misma edad. </v>
      </c>
      <c r="CU258" s="2195" t="str">
        <f t="shared" si="467"/>
        <v xml:space="preserve">* Los exámenes positivos de 55 a 59 años NO DEBEN ser mayor a los exámenes procesados de la misma edad. </v>
      </c>
      <c r="CV258" s="2195" t="str">
        <f t="shared" si="468"/>
        <v xml:space="preserve">* Los exámenes positivos de 60 a 64 años NO DEBEN ser mayor a los exámenes procesados de la misma edad. </v>
      </c>
      <c r="CW258" s="2195" t="str">
        <f t="shared" si="469"/>
        <v xml:space="preserve">* Los exámenes positivos de  65 y más años NO DEBEN ser mayor a los exámenes procesados de la misma edad. </v>
      </c>
      <c r="CX258" s="2195" t="str">
        <f t="shared" si="470"/>
        <v/>
      </c>
      <c r="CY258" s="2195" t="str">
        <f t="shared" si="471"/>
        <v/>
      </c>
      <c r="CZ258" s="2195"/>
      <c r="DA258" s="2195"/>
      <c r="DB258" s="1446">
        <f t="shared" si="472"/>
        <v>1</v>
      </c>
      <c r="DC258" s="1446" t="e">
        <f t="shared" si="473"/>
        <v>#VALUE!</v>
      </c>
      <c r="DD258" s="1446" t="e">
        <f t="shared" si="474"/>
        <v>#VALUE!</v>
      </c>
      <c r="DE258" s="1446">
        <f t="shared" si="475"/>
        <v>1</v>
      </c>
      <c r="DF258" s="1446">
        <f t="shared" si="476"/>
        <v>1</v>
      </c>
      <c r="DG258" s="1446" t="e">
        <f t="shared" si="477"/>
        <v>#VALUE!</v>
      </c>
      <c r="DH258" s="1446">
        <f t="shared" si="478"/>
        <v>1</v>
      </c>
      <c r="DI258" s="1446">
        <f t="shared" si="479"/>
        <v>1</v>
      </c>
      <c r="DJ258" s="1446">
        <f t="shared" si="480"/>
        <v>1</v>
      </c>
      <c r="DK258" s="1446">
        <f t="shared" si="481"/>
        <v>1</v>
      </c>
      <c r="DL258" s="1446">
        <f t="shared" si="482"/>
        <v>1</v>
      </c>
      <c r="DM258" s="1446">
        <f t="shared" si="483"/>
        <v>1</v>
      </c>
      <c r="DN258" s="1446">
        <f t="shared" si="484"/>
        <v>1</v>
      </c>
      <c r="DO258" s="1446">
        <f t="shared" si="485"/>
        <v>1</v>
      </c>
      <c r="DP258" s="1446">
        <f t="shared" si="486"/>
        <v>1</v>
      </c>
      <c r="DQ258" s="1446">
        <f t="shared" si="487"/>
        <v>1</v>
      </c>
      <c r="DR258" s="1446">
        <f t="shared" si="488"/>
        <v>1</v>
      </c>
      <c r="DS258" s="1446">
        <f t="shared" si="489"/>
        <v>1</v>
      </c>
      <c r="DT258" s="1446">
        <f t="shared" si="490"/>
        <v>1</v>
      </c>
      <c r="DU258" s="1446">
        <f t="shared" si="491"/>
        <v>1</v>
      </c>
      <c r="DV258" s="1446">
        <f t="shared" si="492"/>
        <v>1</v>
      </c>
      <c r="DW258" s="1446">
        <f t="shared" si="493"/>
        <v>1</v>
      </c>
      <c r="DX258" s="1446">
        <f t="shared" si="495"/>
        <v>0</v>
      </c>
      <c r="DY258" s="1446">
        <f t="shared" si="495"/>
        <v>0</v>
      </c>
    </row>
    <row r="259" spans="1:129" ht="27.75" customHeight="1" x14ac:dyDescent="0.3">
      <c r="B259" s="2230" t="s">
        <v>2354</v>
      </c>
    </row>
    <row r="260" spans="1:129" x14ac:dyDescent="0.3">
      <c r="B260" s="10061" t="s">
        <v>805</v>
      </c>
      <c r="C260" s="10061" t="s">
        <v>24</v>
      </c>
      <c r="D260" s="10063" t="s">
        <v>2275</v>
      </c>
      <c r="E260" s="10063"/>
      <c r="F260" s="10063"/>
      <c r="G260" s="10063"/>
      <c r="H260" s="10063"/>
      <c r="I260" s="10063"/>
      <c r="J260" s="10063"/>
      <c r="K260" s="10063"/>
      <c r="L260" s="10063"/>
      <c r="M260" s="10064"/>
      <c r="N260" s="10065" t="s">
        <v>362</v>
      </c>
      <c r="O260" s="10061" t="s">
        <v>361</v>
      </c>
    </row>
    <row r="261" spans="1:129" ht="27.6" x14ac:dyDescent="0.3">
      <c r="B261" s="10062"/>
      <c r="C261" s="10062"/>
      <c r="D261" s="2231" t="s">
        <v>32</v>
      </c>
      <c r="E261" s="2232" t="s">
        <v>33</v>
      </c>
      <c r="F261" s="2232" t="s">
        <v>40</v>
      </c>
      <c r="G261" s="2232" t="s">
        <v>115</v>
      </c>
      <c r="H261" s="2232" t="s">
        <v>116</v>
      </c>
      <c r="I261" s="2232" t="s">
        <v>117</v>
      </c>
      <c r="J261" s="2232" t="s">
        <v>118</v>
      </c>
      <c r="K261" s="2232" t="s">
        <v>119</v>
      </c>
      <c r="L261" s="2232" t="s">
        <v>120</v>
      </c>
      <c r="M261" s="2233" t="s">
        <v>1303</v>
      </c>
      <c r="N261" s="10066"/>
      <c r="O261" s="10062"/>
    </row>
    <row r="262" spans="1:129" ht="17.25" customHeight="1" x14ac:dyDescent="0.3">
      <c r="A262" s="7258">
        <v>11057123</v>
      </c>
      <c r="B262" s="2234" t="s">
        <v>2229</v>
      </c>
      <c r="C262" s="2235" t="s">
        <v>5369</v>
      </c>
      <c r="D262" s="1312" t="s">
        <v>5370</v>
      </c>
      <c r="E262" s="1319" t="s">
        <v>5371</v>
      </c>
      <c r="F262" s="1319" t="s">
        <v>5372</v>
      </c>
      <c r="G262" s="1319" t="s">
        <v>5373</v>
      </c>
      <c r="H262" s="1319" t="s">
        <v>5374</v>
      </c>
      <c r="I262" s="1319" t="s">
        <v>5375</v>
      </c>
      <c r="J262" s="1319" t="s">
        <v>5376</v>
      </c>
      <c r="K262" s="1319" t="s">
        <v>5377</v>
      </c>
      <c r="L262" s="1319" t="s">
        <v>5378</v>
      </c>
      <c r="M262" s="1790" t="s">
        <v>5379</v>
      </c>
      <c r="N262" s="1644" t="s">
        <v>5380</v>
      </c>
      <c r="O262" s="1882" t="s">
        <v>5381</v>
      </c>
      <c r="P262" s="1197" t="str">
        <f>$CB262&amp;$CC262&amp;$CD262&amp;$CE262&amp;$CF262&amp;$CG262&amp;$CH262&amp;$CI262&amp;$CJ262&amp;$CK262&amp;$CL262&amp;$CM262&amp;$CN262&amp;$CO262&amp;$CP262&amp;$CQ262&amp;$CR262&amp;$CS262&amp;$CT262&amp;$CU262&amp;$CV262&amp;$CW262&amp;$CX262&amp;$CY262&amp;$CZ262&amp;$DA262</f>
        <v xml:space="preserve">* El Número de Screenings de Pueblos Originarios no puede superar el Total. * El Número de Screenings de Población Migrante no puede superar el Total. </v>
      </c>
      <c r="CB262" s="2195" t="str">
        <f>IF(AND($C262&lt;&gt;0,N262=""),"* No olvide ingresar la columna Pueblos Originarios (Digite CERO si no tiene). ",IF(N262&gt;$C262,"* El Número de Screenings de Pueblos Originarios no puede superar el Total. ",""))</f>
        <v xml:space="preserve">* El Número de Screenings de Pueblos Originarios no puede superar el Total. </v>
      </c>
      <c r="CC262" s="2195" t="str">
        <f>IF(AND($C262&lt;&gt;0,O262=""),"* No olvide ingresar la columna Migrantes (Digite CERO si no tiene). ",IF(O262&gt;$C262,"* El Número de Screenings de Población Migrante no puede superar el Total. ",""))</f>
        <v xml:space="preserve">* El Número de Screenings de Población Migrante no puede superar el Total. </v>
      </c>
      <c r="DB262" s="1446">
        <f t="shared" ref="DB262:DC266" si="496">IF(AND($C262&lt;&gt;0,N262=""),1,IF(N262&gt;$C262,1,0))</f>
        <v>1</v>
      </c>
      <c r="DC262" s="1446">
        <f t="shared" si="496"/>
        <v>1</v>
      </c>
    </row>
    <row r="263" spans="1:129" ht="17.25" customHeight="1" x14ac:dyDescent="0.3">
      <c r="A263" s="7258">
        <v>11057124</v>
      </c>
      <c r="B263" s="2236" t="s">
        <v>2230</v>
      </c>
      <c r="C263" s="2237" t="s">
        <v>5369</v>
      </c>
      <c r="D263" s="1990" t="s">
        <v>5370</v>
      </c>
      <c r="E263" s="2033" t="s">
        <v>5371</v>
      </c>
      <c r="F263" s="2033" t="s">
        <v>5372</v>
      </c>
      <c r="G263" s="2033" t="s">
        <v>5373</v>
      </c>
      <c r="H263" s="2033" t="s">
        <v>5374</v>
      </c>
      <c r="I263" s="2033" t="s">
        <v>5375</v>
      </c>
      <c r="J263" s="2033" t="s">
        <v>5376</v>
      </c>
      <c r="K263" s="2033" t="s">
        <v>5377</v>
      </c>
      <c r="L263" s="2033" t="s">
        <v>5378</v>
      </c>
      <c r="M263" s="2062" t="s">
        <v>5379</v>
      </c>
      <c r="N263" s="1644" t="s">
        <v>5380</v>
      </c>
      <c r="O263" s="1657" t="s">
        <v>5381</v>
      </c>
      <c r="P263" s="1197" t="str">
        <f>$CB263&amp;$CC263&amp;$CD263&amp;$CE263&amp;$CF263&amp;$CG263&amp;$CH263&amp;$CI263&amp;$CJ263&amp;$CK263&amp;$CL263&amp;$CM263&amp;$CN263&amp;$CO263&amp;$CP263&amp;$CQ263&amp;$CR263&amp;$CS263&amp;$CT263&amp;$CU263&amp;$CV263&amp;$CW263&amp;$CX263&amp;$CY263&amp;$CZ263&amp;$DA263</f>
        <v xml:space="preserve">* El Número de Screenings de Pueblos Originarios no puede superar el Total. * El Número de Screenings de Población Migrante no puede superar el Total. </v>
      </c>
      <c r="CB263" s="2195" t="str">
        <f>IF(AND($C263&lt;&gt;0,N263=""),"* No olvide ingresar la columna Pueblos Originarios (Digite CERO si no tiene). ",IF(N263&gt;$C263,"* El Número de Screenings de Pueblos Originarios no puede superar el Total. ",""))</f>
        <v xml:space="preserve">* El Número de Screenings de Pueblos Originarios no puede superar el Total. </v>
      </c>
      <c r="CC263" s="2195" t="str">
        <f>IF(AND($C263&lt;&gt;0,O263=""),"* No olvide ingresar la columna Migrantes (Digite CERO si no tiene). ",IF(O263&gt;$C263,"* El Número de Screenings de Población Migrante no puede superar el Total. ",""))</f>
        <v xml:space="preserve">* El Número de Screenings de Población Migrante no puede superar el Total. </v>
      </c>
      <c r="DB263" s="1446">
        <f t="shared" si="496"/>
        <v>1</v>
      </c>
      <c r="DC263" s="1446">
        <f t="shared" si="496"/>
        <v>1</v>
      </c>
    </row>
    <row r="264" spans="1:129" ht="17.25" customHeight="1" x14ac:dyDescent="0.3">
      <c r="A264" s="7258">
        <v>11057125</v>
      </c>
      <c r="B264" s="2236" t="s">
        <v>2231</v>
      </c>
      <c r="C264" s="2238" t="s">
        <v>5369</v>
      </c>
      <c r="D264" s="1990" t="s">
        <v>5370</v>
      </c>
      <c r="E264" s="2033" t="s">
        <v>5371</v>
      </c>
      <c r="F264" s="2033" t="s">
        <v>5372</v>
      </c>
      <c r="G264" s="2033" t="s">
        <v>5373</v>
      </c>
      <c r="H264" s="2033" t="s">
        <v>5374</v>
      </c>
      <c r="I264" s="2033" t="s">
        <v>5375</v>
      </c>
      <c r="J264" s="2033" t="s">
        <v>5376</v>
      </c>
      <c r="K264" s="2033" t="s">
        <v>5377</v>
      </c>
      <c r="L264" s="2033" t="s">
        <v>5378</v>
      </c>
      <c r="M264" s="2062" t="s">
        <v>5379</v>
      </c>
      <c r="N264" s="1644" t="s">
        <v>5380</v>
      </c>
      <c r="O264" s="1657" t="s">
        <v>5381</v>
      </c>
      <c r="P264" s="1197" t="str">
        <f>$CB264&amp;$CC264&amp;$CD264&amp;$CE264&amp;$CF264&amp;$CG264&amp;$CH264&amp;$CI264&amp;$CJ264&amp;$CK264&amp;$CL264&amp;$CM264&amp;$CN264&amp;$CO264&amp;$CP264&amp;$CQ264&amp;$CR264&amp;$CS264&amp;$CT264&amp;$CU264&amp;$CV264&amp;$CW264&amp;$CX264&amp;$CY264&amp;$CZ264&amp;$DA264</f>
        <v xml:space="preserve">* El Número de Screenings de Pueblos Originarios no puede superar el Total. * El Número de Screenings de Población Migrante no puede superar el Total. </v>
      </c>
      <c r="CB264" s="2195" t="str">
        <f>IF(AND($C264&lt;&gt;0,N264=""),"* No olvide ingresar la columna Pueblos Originarios (Digite CERO si no tiene). ",IF(N264&gt;$C264,"* El Número de Screenings de Pueblos Originarios no puede superar el Total. ",""))</f>
        <v xml:space="preserve">* El Número de Screenings de Pueblos Originarios no puede superar el Total. </v>
      </c>
      <c r="CC264" s="2195" t="str">
        <f>IF(AND($C264&lt;&gt;0,O264=""),"* No olvide ingresar la columna Migrantes (Digite CERO si no tiene). ",IF(O264&gt;$C264,"* El Número de Screenings de Población Migrante no puede superar el Total. ",""))</f>
        <v xml:space="preserve">* El Número de Screenings de Población Migrante no puede superar el Total. </v>
      </c>
      <c r="DB264" s="1446">
        <f t="shared" si="496"/>
        <v>1</v>
      </c>
      <c r="DC264" s="1446">
        <f t="shared" si="496"/>
        <v>1</v>
      </c>
    </row>
    <row r="265" spans="1:129" ht="30.75" customHeight="1" x14ac:dyDescent="0.3">
      <c r="A265" s="7258">
        <v>11057126</v>
      </c>
      <c r="B265" s="2236" t="s">
        <v>2564</v>
      </c>
      <c r="C265" s="2238" t="s">
        <v>5369</v>
      </c>
      <c r="D265" s="1990" t="s">
        <v>5370</v>
      </c>
      <c r="E265" s="2033" t="s">
        <v>5371</v>
      </c>
      <c r="F265" s="2033" t="s">
        <v>5372</v>
      </c>
      <c r="G265" s="2033" t="s">
        <v>5373</v>
      </c>
      <c r="H265" s="2033" t="s">
        <v>5374</v>
      </c>
      <c r="I265" s="2033" t="s">
        <v>5375</v>
      </c>
      <c r="J265" s="2033" t="s">
        <v>5376</v>
      </c>
      <c r="K265" s="2033" t="s">
        <v>5377</v>
      </c>
      <c r="L265" s="2033" t="s">
        <v>5378</v>
      </c>
      <c r="M265" s="2062" t="s">
        <v>5379</v>
      </c>
      <c r="N265" s="1644" t="s">
        <v>5380</v>
      </c>
      <c r="O265" s="1657" t="s">
        <v>5381</v>
      </c>
      <c r="P265" s="1197" t="str">
        <f>$CB265&amp;$CC265&amp;$CD265&amp;$CE265&amp;$CF265&amp;$CG265&amp;$CH265&amp;$CI265&amp;$CJ265&amp;$CK265&amp;$CL265&amp;$CM265&amp;$CN265&amp;$CO265&amp;$CP265&amp;$CQ265&amp;$CR265&amp;$CS265&amp;$CT265&amp;$CU265&amp;$CV265&amp;$CW265&amp;$CX265&amp;$CY265&amp;$CZ265&amp;$DA265</f>
        <v xml:space="preserve">* El Número de Screenings de Pueblos Originarios no puede superar el Total. * El Número de Screenings de Población Migrante no puede superar el Total. </v>
      </c>
      <c r="CB265" s="2195" t="str">
        <f>IF(AND($C265&lt;&gt;0,N265=""),"* No olvide ingresar la columna Pueblos Originarios (Digite CERO si no tiene). ",IF(N265&gt;$C265,"* El Número de Screenings de Pueblos Originarios no puede superar el Total. ",""))</f>
        <v xml:space="preserve">* El Número de Screenings de Pueblos Originarios no puede superar el Total. </v>
      </c>
      <c r="CC265" s="2195" t="str">
        <f>IF(AND($C265&lt;&gt;0,O265=""),"* No olvide ingresar la columna Migrantes (Digite CERO si no tiene). ",IF(O265&gt;$C265,"* El Número de Screenings de Población Migrante no puede superar el Total. ",""))</f>
        <v xml:space="preserve">* El Número de Screenings de Población Migrante no puede superar el Total. </v>
      </c>
      <c r="DB265" s="1446">
        <f t="shared" si="496"/>
        <v>1</v>
      </c>
      <c r="DC265" s="1446">
        <f t="shared" si="496"/>
        <v>1</v>
      </c>
    </row>
    <row r="266" spans="1:129" ht="18" customHeight="1" x14ac:dyDescent="0.3">
      <c r="A266" s="7258">
        <v>11057127</v>
      </c>
      <c r="B266" s="2239" t="s">
        <v>2232</v>
      </c>
      <c r="C266" s="2240" t="s">
        <v>5369</v>
      </c>
      <c r="D266" s="1951" t="s">
        <v>5370</v>
      </c>
      <c r="E266" s="1950" t="s">
        <v>5371</v>
      </c>
      <c r="F266" s="1950" t="s">
        <v>5372</v>
      </c>
      <c r="G266" s="1950" t="s">
        <v>5373</v>
      </c>
      <c r="H266" s="1950" t="s">
        <v>5374</v>
      </c>
      <c r="I266" s="1950" t="s">
        <v>5375</v>
      </c>
      <c r="J266" s="1950" t="s">
        <v>5376</v>
      </c>
      <c r="K266" s="1950" t="s">
        <v>5377</v>
      </c>
      <c r="L266" s="1950" t="s">
        <v>5378</v>
      </c>
      <c r="M266" s="2063" t="s">
        <v>5379</v>
      </c>
      <c r="N266" s="1636" t="s">
        <v>5380</v>
      </c>
      <c r="O266" s="1654" t="s">
        <v>5381</v>
      </c>
      <c r="P266" s="1197" t="str">
        <f>$CB266&amp;$CC266&amp;$CD266&amp;$CE266&amp;$CF266&amp;$CG266&amp;$CH266&amp;$CI266&amp;$CJ266&amp;$CK266&amp;$CL266&amp;$CM266&amp;$CN266&amp;$CO266&amp;$CP266&amp;$CQ266&amp;$CR266&amp;$CS266&amp;$CT266&amp;$CU266&amp;$CV266&amp;$CW266&amp;$CX266&amp;$CY266&amp;$CZ266&amp;$DA266</f>
        <v xml:space="preserve">* El Número de Screenings de Pueblos Originarios no puede superar el Total. * El Número de Screenings de Población Migrante no puede superar el Total. </v>
      </c>
      <c r="CB266" s="2195" t="str">
        <f>IF(AND($C266&lt;&gt;0,N266=""),"* No olvide ingresar la columna Pueblos Originarios (Digite CERO si no tiene). ",IF(N266&gt;$C266,"* El Número de Screenings de Pueblos Originarios no puede superar el Total. ",""))</f>
        <v xml:space="preserve">* El Número de Screenings de Pueblos Originarios no puede superar el Total. </v>
      </c>
      <c r="CC266" s="2195" t="str">
        <f>IF(AND($C266&lt;&gt;0,O266=""),"* No olvide ingresar la columna Migrantes (Digite CERO si no tiene). ",IF(O266&gt;$C266,"* El Número de Screenings de Población Migrante no puede superar el Total. ",""))</f>
        <v xml:space="preserve">* El Número de Screenings de Población Migrante no puede superar el Total. </v>
      </c>
      <c r="DB266" s="1446">
        <f t="shared" si="496"/>
        <v>1</v>
      </c>
      <c r="DC266" s="1446">
        <f t="shared" si="496"/>
        <v>1</v>
      </c>
    </row>
    <row r="267" spans="1:129" ht="19.5" customHeight="1" x14ac:dyDescent="0.3">
      <c r="B267" s="2230" t="s">
        <v>2355</v>
      </c>
    </row>
    <row r="268" spans="1:129" x14ac:dyDescent="0.3">
      <c r="B268" s="10061" t="s">
        <v>2233</v>
      </c>
      <c r="C268" s="10061" t="s">
        <v>24</v>
      </c>
      <c r="D268" s="10067" t="s">
        <v>21</v>
      </c>
      <c r="E268" s="10068"/>
      <c r="F268" s="10068"/>
      <c r="G268" s="10068"/>
      <c r="H268" s="10068"/>
      <c r="I268" s="10068"/>
      <c r="J268" s="10068"/>
      <c r="K268" s="10068"/>
      <c r="L268" s="10068"/>
      <c r="M268" s="10068"/>
      <c r="N268" s="10068"/>
      <c r="O268" s="10068"/>
      <c r="P268" s="10068"/>
      <c r="Q268" s="10068"/>
      <c r="R268" s="10068"/>
      <c r="S268" s="10069"/>
      <c r="T268" s="10089" t="s">
        <v>362</v>
      </c>
      <c r="U268" s="10065" t="s">
        <v>361</v>
      </c>
    </row>
    <row r="269" spans="1:129" x14ac:dyDescent="0.3">
      <c r="B269" s="10062"/>
      <c r="C269" s="10062"/>
      <c r="D269" s="2241" t="s">
        <v>2234</v>
      </c>
      <c r="E269" s="2242" t="s">
        <v>690</v>
      </c>
      <c r="F269" s="2242" t="s">
        <v>689</v>
      </c>
      <c r="G269" s="2242" t="s">
        <v>688</v>
      </c>
      <c r="H269" s="2242" t="s">
        <v>687</v>
      </c>
      <c r="I269" s="2242" t="s">
        <v>2235</v>
      </c>
      <c r="J269" s="2242" t="s">
        <v>685</v>
      </c>
      <c r="K269" s="2242" t="s">
        <v>2236</v>
      </c>
      <c r="L269" s="2242" t="s">
        <v>2237</v>
      </c>
      <c r="M269" s="2242" t="s">
        <v>2238</v>
      </c>
      <c r="N269" s="2242" t="s">
        <v>2239</v>
      </c>
      <c r="O269" s="2242" t="s">
        <v>2240</v>
      </c>
      <c r="P269" s="2242" t="s">
        <v>2241</v>
      </c>
      <c r="Q269" s="2243" t="s">
        <v>2242</v>
      </c>
      <c r="R269" s="2243" t="s">
        <v>2243</v>
      </c>
      <c r="S269" s="2244" t="s">
        <v>2244</v>
      </c>
      <c r="T269" s="10090"/>
      <c r="U269" s="10066"/>
    </row>
    <row r="270" spans="1:129" ht="26.25" customHeight="1" x14ac:dyDescent="0.3">
      <c r="A270" s="7258">
        <v>11057128</v>
      </c>
      <c r="B270" s="2234" t="s">
        <v>2245</v>
      </c>
      <c r="C270" s="2235" t="s">
        <v>5369</v>
      </c>
      <c r="D270" s="1735" t="s">
        <v>5370</v>
      </c>
      <c r="E270" s="2245" t="s">
        <v>5371</v>
      </c>
      <c r="F270" s="2245" t="s">
        <v>5372</v>
      </c>
      <c r="G270" s="2245" t="s">
        <v>5373</v>
      </c>
      <c r="H270" s="2245" t="s">
        <v>5374</v>
      </c>
      <c r="I270" s="2245" t="s">
        <v>5375</v>
      </c>
      <c r="J270" s="2245" t="s">
        <v>5376</v>
      </c>
      <c r="K270" s="2245" t="s">
        <v>5377</v>
      </c>
      <c r="L270" s="2245" t="s">
        <v>5378</v>
      </c>
      <c r="M270" s="2245" t="s">
        <v>5379</v>
      </c>
      <c r="N270" s="2245" t="s">
        <v>5380</v>
      </c>
      <c r="O270" s="2245" t="s">
        <v>5381</v>
      </c>
      <c r="P270" s="2245" t="s">
        <v>5382</v>
      </c>
      <c r="Q270" s="2245" t="s">
        <v>5383</v>
      </c>
      <c r="R270" s="2245" t="s">
        <v>5384</v>
      </c>
      <c r="S270" s="2191" t="s">
        <v>5385</v>
      </c>
      <c r="T270" s="2246" t="s">
        <v>5386</v>
      </c>
      <c r="U270" s="1696" t="s">
        <v>5387</v>
      </c>
      <c r="V270" s="1197" t="str">
        <f>$CB270&amp;$CC270&amp;$CD270&amp;$CE270&amp;$CF270&amp;$CG270&amp;$CH270&amp;$CI270&amp;$CJ270&amp;$CK270&amp;$CL270&amp;$CM270&amp;$CN270&amp;$CO270&amp;$CP270&amp;$CQ270&amp;$CR270&amp;$CS270&amp;$CT270&amp;$CU270&amp;$CV270&amp;$CW270&amp;$CX270&amp;$CY270&amp;$CZ270&amp;$DA270</f>
        <v xml:space="preserve">* El Número de Hijos de Pueblos Originarios no puede superar el Total. * El Número de Hijos de Migrantes no puede superar el Total. </v>
      </c>
      <c r="CB270" s="2195" t="str">
        <f>IF(AND($C270&lt;&gt;0,T270=""),"* No olvide ingresar la columna Pueblos Originarios (Digite CERO si no tiene). ",IF(T270&gt;$C270,"* El Número de Hijos de Pueblos Originarios no puede superar el Total. ",""))</f>
        <v xml:space="preserve">* El Número de Hijos de Pueblos Originarios no puede superar el Total. </v>
      </c>
      <c r="CC270" s="2195" t="str">
        <f>IF(AND($C270&lt;&gt;0,U270=""),"* No olvide ingresar la columna Migrantes (Digite CERO si no tiene). ",IF(U270&gt;$C270,"* El Número de Hijos de Migrantes no puede superar el Total. ",""))</f>
        <v xml:space="preserve">* El Número de Hijos de Migrantes no puede superar el Total. </v>
      </c>
      <c r="DB270" s="1446">
        <f t="shared" ref="DB270:DC274" si="497">IF(AND($C270&lt;&gt;0,T270=""),1,IF(T270&gt;$C270,1,0))</f>
        <v>1</v>
      </c>
      <c r="DC270" s="1446">
        <f t="shared" si="497"/>
        <v>1</v>
      </c>
    </row>
    <row r="271" spans="1:129" ht="27" customHeight="1" x14ac:dyDescent="0.3">
      <c r="A271" s="7258">
        <v>11057129</v>
      </c>
      <c r="B271" s="2236" t="s">
        <v>2246</v>
      </c>
      <c r="C271" s="2247" t="s">
        <v>5369</v>
      </c>
      <c r="D271" s="1661" t="s">
        <v>5370</v>
      </c>
      <c r="E271" s="1662" t="s">
        <v>5371</v>
      </c>
      <c r="F271" s="1662" t="s">
        <v>5372</v>
      </c>
      <c r="G271" s="1662" t="s">
        <v>5373</v>
      </c>
      <c r="H271" s="1662" t="s">
        <v>5374</v>
      </c>
      <c r="I271" s="1662" t="s">
        <v>5375</v>
      </c>
      <c r="J271" s="1662" t="s">
        <v>5376</v>
      </c>
      <c r="K271" s="1662" t="s">
        <v>5377</v>
      </c>
      <c r="L271" s="1662" t="s">
        <v>5378</v>
      </c>
      <c r="M271" s="1662" t="s">
        <v>5379</v>
      </c>
      <c r="N271" s="1662" t="s">
        <v>5380</v>
      </c>
      <c r="O271" s="1662" t="s">
        <v>5381</v>
      </c>
      <c r="P271" s="1662" t="s">
        <v>5382</v>
      </c>
      <c r="Q271" s="1662" t="s">
        <v>5383</v>
      </c>
      <c r="R271" s="1662" t="s">
        <v>5384</v>
      </c>
      <c r="S271" s="1788" t="s">
        <v>5385</v>
      </c>
      <c r="T271" s="2248" t="s">
        <v>5386</v>
      </c>
      <c r="U271" s="1644" t="s">
        <v>5387</v>
      </c>
      <c r="V271" s="1197" t="str">
        <f>$CB271&amp;$CC271&amp;$CD271&amp;$CE271&amp;$CF271&amp;$CG271&amp;$CH271&amp;$CI271&amp;$CJ271&amp;$CK271&amp;$CL271&amp;$CM271&amp;$CN271&amp;$CO271&amp;$CP271&amp;$CQ271&amp;$CR271&amp;$CS271&amp;$CT271&amp;$CU271&amp;$CV271&amp;$CW271&amp;$CX271&amp;$CY271&amp;$CZ271&amp;$DA271</f>
        <v xml:space="preserve">* El Número de Hijos de Pueblos Originarios no puede superar el Total. * El Número de Hijos de Migrantes no puede superar el Total. </v>
      </c>
      <c r="CB271" s="2195" t="str">
        <f>IF(AND($C271&lt;&gt;0,T271=""),"* No olvide ingresar la columna Pueblos Originarios (Digite CERO si no tiene). ",IF(T271&gt;$C271,"* El Número de Hijos de Pueblos Originarios no puede superar el Total. ",""))</f>
        <v xml:space="preserve">* El Número de Hijos de Pueblos Originarios no puede superar el Total. </v>
      </c>
      <c r="CC271" s="2195" t="str">
        <f>IF(AND($C271&lt;&gt;0,U271=""),"* No olvide ingresar la columna Migrantes (Digite CERO si no tiene). ",IF(U271&gt;$C271,"* El Número de Hijos de Migrantes no puede superar el Total. ",""))</f>
        <v xml:space="preserve">* El Número de Hijos de Migrantes no puede superar el Total. </v>
      </c>
      <c r="DB271" s="1446">
        <f t="shared" si="497"/>
        <v>1</v>
      </c>
      <c r="DC271" s="1446">
        <f t="shared" si="497"/>
        <v>1</v>
      </c>
    </row>
    <row r="272" spans="1:129" ht="27" customHeight="1" x14ac:dyDescent="0.3">
      <c r="A272" s="7258">
        <v>11057130</v>
      </c>
      <c r="B272" s="2249" t="s">
        <v>2247</v>
      </c>
      <c r="C272" s="2237" t="s">
        <v>5369</v>
      </c>
      <c r="D272" s="1661" t="s">
        <v>5370</v>
      </c>
      <c r="E272" s="1662" t="s">
        <v>5371</v>
      </c>
      <c r="F272" s="1662" t="s">
        <v>5372</v>
      </c>
      <c r="G272" s="1662" t="s">
        <v>5373</v>
      </c>
      <c r="H272" s="1662" t="s">
        <v>5374</v>
      </c>
      <c r="I272" s="1662" t="s">
        <v>5375</v>
      </c>
      <c r="J272" s="1662" t="s">
        <v>5376</v>
      </c>
      <c r="K272" s="1662" t="s">
        <v>5377</v>
      </c>
      <c r="L272" s="1662" t="s">
        <v>5378</v>
      </c>
      <c r="M272" s="1662" t="s">
        <v>5379</v>
      </c>
      <c r="N272" s="1662" t="s">
        <v>5380</v>
      </c>
      <c r="O272" s="1662" t="s">
        <v>5381</v>
      </c>
      <c r="P272" s="1662" t="s">
        <v>5382</v>
      </c>
      <c r="Q272" s="1662" t="s">
        <v>5383</v>
      </c>
      <c r="R272" s="1662" t="s">
        <v>5384</v>
      </c>
      <c r="S272" s="1788" t="s">
        <v>5385</v>
      </c>
      <c r="T272" s="2248" t="s">
        <v>5386</v>
      </c>
      <c r="U272" s="1644" t="s">
        <v>5387</v>
      </c>
      <c r="V272" s="1197" t="str">
        <f>$CB272&amp;$CC272&amp;$CD272&amp;$CE272&amp;$CF272&amp;$CG272&amp;$CH272&amp;$CI272&amp;$CJ272&amp;$CK272&amp;$CL272&amp;$CM272&amp;$CN272&amp;$CO272&amp;$CP272&amp;$CQ272&amp;$CR272&amp;$CS272&amp;$CT272&amp;$CU272&amp;$CV272&amp;$CW272&amp;$CX272&amp;$CY272&amp;$CZ272&amp;$DA272</f>
        <v xml:space="preserve">* El Número de Hijos de Pueblos Originarios no puede superar el Total. * El Número de Hijos de Migrantes no puede superar el Total. </v>
      </c>
      <c r="CB272" s="2195" t="str">
        <f>IF(AND($C272&lt;&gt;0,T272=""),"* No olvide ingresar la columna Pueblos Originarios (Digite CERO si no tiene). ",IF(T272&gt;$C272,"* El Número de Hijos de Pueblos Originarios no puede superar el Total. ",""))</f>
        <v xml:space="preserve">* El Número de Hijos de Pueblos Originarios no puede superar el Total. </v>
      </c>
      <c r="CC272" s="2195" t="str">
        <f>IF(AND($C272&lt;&gt;0,U272=""),"* No olvide ingresar la columna Migrantes (Digite CERO si no tiene). ",IF(U272&gt;$C272,"* El Número de Hijos de Migrantes no puede superar el Total. ",""))</f>
        <v xml:space="preserve">* El Número de Hijos de Migrantes no puede superar el Total. </v>
      </c>
      <c r="DB272" s="1446">
        <f t="shared" si="497"/>
        <v>1</v>
      </c>
      <c r="DC272" s="1446">
        <f t="shared" si="497"/>
        <v>1</v>
      </c>
    </row>
    <row r="273" spans="1:131" ht="28.5" customHeight="1" x14ac:dyDescent="0.3">
      <c r="A273" s="7258">
        <v>11057131</v>
      </c>
      <c r="B273" s="2250" t="s">
        <v>2248</v>
      </c>
      <c r="C273" s="2238" t="s">
        <v>5369</v>
      </c>
      <c r="D273" s="1661" t="s">
        <v>5370</v>
      </c>
      <c r="E273" s="1662" t="s">
        <v>5371</v>
      </c>
      <c r="F273" s="1662" t="s">
        <v>5372</v>
      </c>
      <c r="G273" s="1662" t="s">
        <v>5373</v>
      </c>
      <c r="H273" s="1662" t="s">
        <v>5374</v>
      </c>
      <c r="I273" s="1662" t="s">
        <v>5375</v>
      </c>
      <c r="J273" s="1662" t="s">
        <v>5376</v>
      </c>
      <c r="K273" s="1662" t="s">
        <v>5377</v>
      </c>
      <c r="L273" s="1662" t="s">
        <v>5378</v>
      </c>
      <c r="M273" s="1662" t="s">
        <v>5379</v>
      </c>
      <c r="N273" s="1662" t="s">
        <v>5380</v>
      </c>
      <c r="O273" s="1662" t="s">
        <v>5381</v>
      </c>
      <c r="P273" s="1662" t="s">
        <v>5382</v>
      </c>
      <c r="Q273" s="1662" t="s">
        <v>5383</v>
      </c>
      <c r="R273" s="1662" t="s">
        <v>5384</v>
      </c>
      <c r="S273" s="1788" t="s">
        <v>5385</v>
      </c>
      <c r="T273" s="2248" t="s">
        <v>5386</v>
      </c>
      <c r="U273" s="1644" t="s">
        <v>5387</v>
      </c>
      <c r="V273" s="1197" t="str">
        <f>$CB273&amp;$CC273&amp;$CD273&amp;$CE273&amp;$CF273&amp;$CG273&amp;$CH273&amp;$CI273&amp;$CJ273&amp;$CK273&amp;$CL273&amp;$CM273&amp;$CN273&amp;$CO273&amp;$CP273&amp;$CQ273&amp;$CR273&amp;$CS273&amp;$CT273&amp;$CU273&amp;$CV273&amp;$CW273&amp;$CX273&amp;$CY273&amp;$CZ273&amp;$DA273</f>
        <v xml:space="preserve">* El Número de Hijos de Pueblos Originarios no puede superar el Total. * El Número de Hijos de Migrantes no puede superar el Total. </v>
      </c>
      <c r="CB273" s="2195" t="str">
        <f>IF(AND($C273&lt;&gt;0,T273=""),"* No olvide ingresar la columna Pueblos Originarios (Digite CERO si no tiene). ",IF(T273&gt;$C273,"* El Número de Hijos de Pueblos Originarios no puede superar el Total. ",""))</f>
        <v xml:space="preserve">* El Número de Hijos de Pueblos Originarios no puede superar el Total. </v>
      </c>
      <c r="CC273" s="2195" t="str">
        <f>IF(AND($C273&lt;&gt;0,U273=""),"* No olvide ingresar la columna Migrantes (Digite CERO si no tiene). ",IF(U273&gt;$C273,"* El Número de Hijos de Migrantes no puede superar el Total. ",""))</f>
        <v xml:space="preserve">* El Número de Hijos de Migrantes no puede superar el Total. </v>
      </c>
      <c r="DB273" s="1446">
        <f t="shared" si="497"/>
        <v>1</v>
      </c>
      <c r="DC273" s="1446">
        <f t="shared" si="497"/>
        <v>1</v>
      </c>
    </row>
    <row r="274" spans="1:131" ht="26.25" customHeight="1" x14ac:dyDescent="0.3">
      <c r="A274" s="7258">
        <v>11057132</v>
      </c>
      <c r="B274" s="2251" t="s">
        <v>2249</v>
      </c>
      <c r="C274" s="2252" t="s">
        <v>5369</v>
      </c>
      <c r="D274" s="1656" t="s">
        <v>5370</v>
      </c>
      <c r="E274" s="758" t="s">
        <v>5371</v>
      </c>
      <c r="F274" s="758" t="s">
        <v>5372</v>
      </c>
      <c r="G274" s="758" t="s">
        <v>5373</v>
      </c>
      <c r="H274" s="758" t="s">
        <v>5374</v>
      </c>
      <c r="I274" s="758" t="s">
        <v>5375</v>
      </c>
      <c r="J274" s="758" t="s">
        <v>5376</v>
      </c>
      <c r="K274" s="758" t="s">
        <v>5377</v>
      </c>
      <c r="L274" s="758" t="s">
        <v>5378</v>
      </c>
      <c r="M274" s="758" t="s">
        <v>5379</v>
      </c>
      <c r="N274" s="758" t="s">
        <v>5380</v>
      </c>
      <c r="O274" s="758" t="s">
        <v>5381</v>
      </c>
      <c r="P274" s="758" t="s">
        <v>5382</v>
      </c>
      <c r="Q274" s="758" t="s">
        <v>5383</v>
      </c>
      <c r="R274" s="758" t="s">
        <v>5384</v>
      </c>
      <c r="S274" s="1791" t="s">
        <v>5385</v>
      </c>
      <c r="T274" s="2253" t="s">
        <v>5386</v>
      </c>
      <c r="U274" s="1697" t="s">
        <v>5387</v>
      </c>
      <c r="V274" s="1197" t="str">
        <f>$CB274&amp;$CC274&amp;$CD274&amp;$CE274&amp;$CF274&amp;$CG274&amp;$CH274&amp;$CI274&amp;$CJ274&amp;$CK274&amp;$CL274&amp;$CM274&amp;$CN274&amp;$CO274&amp;$CP274&amp;$CQ274&amp;$CR274&amp;$CS274&amp;$CT274&amp;$CU274&amp;$CV274&amp;$CW274&amp;$CX274&amp;$CY274&amp;$CZ274&amp;$DA274</f>
        <v xml:space="preserve">* El Número de Hijos de Pueblos Originarios no puede superar el Total. * El Número de Hijos de Migrantes no puede superar el Total. </v>
      </c>
      <c r="CB274" s="2195" t="str">
        <f>IF(AND($C274&lt;&gt;0,T274=""),"* No olvide ingresar la columna Pueblos Originarios (Digite CERO si no tiene). ",IF(T274&gt;$C274,"* El Número de Hijos de Pueblos Originarios no puede superar el Total. ",""))</f>
        <v xml:space="preserve">* El Número de Hijos de Pueblos Originarios no puede superar el Total. </v>
      </c>
      <c r="CC274" s="2195" t="str">
        <f>IF(AND($C274&lt;&gt;0,U274=""),"* No olvide ingresar la columna Migrantes (Digite CERO si no tiene). ",IF(U274&gt;$C274,"* El Número de Hijos de Migrantes no puede superar el Total. ",""))</f>
        <v xml:space="preserve">* El Número de Hijos de Migrantes no puede superar el Total. </v>
      </c>
      <c r="DB274" s="1446">
        <f t="shared" si="497"/>
        <v>1</v>
      </c>
      <c r="DC274" s="1446">
        <f t="shared" si="497"/>
        <v>1</v>
      </c>
    </row>
    <row r="275" spans="1:131" ht="21.75" customHeight="1" x14ac:dyDescent="0.3">
      <c r="B275" s="2230" t="s">
        <v>2356</v>
      </c>
    </row>
    <row r="276" spans="1:131" ht="15" customHeight="1" x14ac:dyDescent="0.3">
      <c r="B276" s="10070" t="s">
        <v>805</v>
      </c>
      <c r="C276" s="10073" t="s">
        <v>24</v>
      </c>
      <c r="D276" s="10074"/>
      <c r="E276" s="10065"/>
      <c r="F276" s="10067" t="s">
        <v>2276</v>
      </c>
      <c r="G276" s="10068"/>
      <c r="H276" s="10068"/>
      <c r="I276" s="10068"/>
      <c r="J276" s="10068"/>
      <c r="K276" s="10068"/>
      <c r="L276" s="10068"/>
      <c r="M276" s="10068"/>
      <c r="N276" s="10068"/>
      <c r="O276" s="10068"/>
      <c r="P276" s="10068"/>
      <c r="Q276" s="10068"/>
      <c r="R276" s="10068"/>
      <c r="S276" s="10068"/>
      <c r="T276" s="10068"/>
      <c r="U276" s="10068"/>
      <c r="V276" s="10068"/>
      <c r="W276" s="10068"/>
      <c r="X276" s="10068"/>
      <c r="Y276" s="10068"/>
      <c r="Z276" s="10068"/>
      <c r="AA276" s="10068"/>
      <c r="AB276" s="10068"/>
      <c r="AC276" s="10068"/>
      <c r="AD276" s="10068"/>
      <c r="AE276" s="10068"/>
      <c r="AF276" s="10068"/>
      <c r="AG276" s="10068"/>
      <c r="AH276" s="10068"/>
      <c r="AI276" s="10068"/>
      <c r="AJ276" s="10068"/>
      <c r="AK276" s="10078"/>
    </row>
    <row r="277" spans="1:131" s="1199" customFormat="1" hidden="1" x14ac:dyDescent="0.3">
      <c r="B277" s="10071"/>
      <c r="C277" s="10075"/>
      <c r="D277" s="10076"/>
      <c r="E277" s="10077"/>
      <c r="F277" s="10079" t="s">
        <v>2250</v>
      </c>
      <c r="G277" s="10080"/>
      <c r="H277" s="10081" t="s">
        <v>2251</v>
      </c>
      <c r="I277" s="10082"/>
      <c r="J277" s="10081" t="s">
        <v>2252</v>
      </c>
      <c r="K277" s="10082"/>
      <c r="L277" s="10081" t="s">
        <v>2253</v>
      </c>
      <c r="M277" s="10082"/>
      <c r="N277" s="10079" t="s">
        <v>71</v>
      </c>
      <c r="O277" s="10080"/>
      <c r="P277" s="10079" t="s">
        <v>4</v>
      </c>
      <c r="Q277" s="10080"/>
      <c r="R277" s="10079" t="s">
        <v>5</v>
      </c>
      <c r="S277" s="10080"/>
      <c r="T277" s="10079" t="s">
        <v>6</v>
      </c>
      <c r="U277" s="10080"/>
      <c r="V277" s="10079" t="s">
        <v>7</v>
      </c>
      <c r="W277" s="10080"/>
      <c r="X277" s="10079" t="s">
        <v>8</v>
      </c>
      <c r="Y277" s="10080"/>
      <c r="Z277" s="10079" t="s">
        <v>9</v>
      </c>
      <c r="AA277" s="10080"/>
      <c r="AB277" s="10079" t="s">
        <v>10</v>
      </c>
      <c r="AC277" s="10080"/>
      <c r="AD277" s="10079" t="s">
        <v>1240</v>
      </c>
      <c r="AE277" s="10080"/>
      <c r="AF277" s="10079" t="s">
        <v>1985</v>
      </c>
      <c r="AG277" s="10080"/>
      <c r="AH277" s="10079" t="s">
        <v>2254</v>
      </c>
      <c r="AI277" s="10080"/>
      <c r="AJ277" s="10079" t="s">
        <v>2255</v>
      </c>
      <c r="AK277" s="10080"/>
      <c r="CA277" s="1547"/>
      <c r="CB277" s="2194"/>
      <c r="CC277" s="2194"/>
      <c r="CD277" s="2194"/>
      <c r="CE277" s="2194"/>
      <c r="CF277" s="2194"/>
      <c r="CG277" s="2194"/>
      <c r="CH277" s="2194"/>
      <c r="CI277" s="2194"/>
      <c r="CJ277" s="2194"/>
      <c r="CK277" s="2194"/>
      <c r="CL277" s="2194"/>
      <c r="CM277" s="2194"/>
      <c r="CN277" s="2194"/>
      <c r="CO277" s="2194"/>
      <c r="CP277" s="2194"/>
      <c r="CQ277" s="2194"/>
      <c r="CR277" s="2194"/>
      <c r="CS277" s="2194"/>
      <c r="CT277" s="2194"/>
      <c r="CU277" s="2194"/>
      <c r="CV277" s="2194"/>
      <c r="CW277" s="2194"/>
      <c r="CX277" s="2194"/>
      <c r="CY277" s="2194"/>
      <c r="CZ277" s="2194"/>
      <c r="DA277" s="2194"/>
      <c r="DB277" s="1443"/>
      <c r="DC277" s="1443"/>
      <c r="DD277" s="1443"/>
      <c r="DE277" s="1443"/>
      <c r="DF277" s="1443"/>
      <c r="DG277" s="1443"/>
      <c r="DH277" s="1443"/>
      <c r="DI277" s="1443"/>
      <c r="DJ277" s="1443"/>
      <c r="DK277" s="1443"/>
      <c r="DL277" s="1443"/>
      <c r="DM277" s="1443"/>
      <c r="DN277" s="1443"/>
      <c r="DO277" s="1443"/>
      <c r="DP277" s="1443"/>
      <c r="DQ277" s="1443"/>
      <c r="DR277" s="1443"/>
      <c r="DS277" s="1443"/>
      <c r="DT277" s="1443"/>
      <c r="DU277" s="1443"/>
      <c r="DV277" s="1443"/>
      <c r="DW277" s="1443"/>
      <c r="DX277" s="1443"/>
      <c r="DY277" s="1443"/>
      <c r="DZ277" s="1443"/>
      <c r="EA277" s="1443"/>
    </row>
    <row r="278" spans="1:131" x14ac:dyDescent="0.3">
      <c r="B278" s="10071"/>
      <c r="C278" s="8939" t="s">
        <v>1371</v>
      </c>
      <c r="D278" s="10083" t="s">
        <v>17</v>
      </c>
      <c r="E278" s="10085" t="s">
        <v>18</v>
      </c>
      <c r="F278" s="10079" t="s">
        <v>676</v>
      </c>
      <c r="G278" s="10080"/>
      <c r="H278" s="10081" t="s">
        <v>2270</v>
      </c>
      <c r="I278" s="10082"/>
      <c r="J278" s="10081" t="s">
        <v>2271</v>
      </c>
      <c r="K278" s="10082"/>
      <c r="L278" s="10081" t="s">
        <v>48</v>
      </c>
      <c r="M278" s="10082"/>
      <c r="N278" s="10079" t="s">
        <v>80</v>
      </c>
      <c r="O278" s="10080"/>
      <c r="P278" s="10079" t="s">
        <v>81</v>
      </c>
      <c r="Q278" s="10080"/>
      <c r="R278" s="10079" t="s">
        <v>82</v>
      </c>
      <c r="S278" s="10080"/>
      <c r="T278" s="10079" t="s">
        <v>83</v>
      </c>
      <c r="U278" s="10080"/>
      <c r="V278" s="10079" t="s">
        <v>400</v>
      </c>
      <c r="W278" s="10080"/>
      <c r="X278" s="10079" t="s">
        <v>124</v>
      </c>
      <c r="Y278" s="10080"/>
      <c r="Z278" s="10079" t="s">
        <v>125</v>
      </c>
      <c r="AA278" s="10080"/>
      <c r="AB278" s="10079" t="s">
        <v>126</v>
      </c>
      <c r="AC278" s="10080"/>
      <c r="AD278" s="10079" t="s">
        <v>2272</v>
      </c>
      <c r="AE278" s="10080"/>
      <c r="AF278" s="10079" t="s">
        <v>2132</v>
      </c>
      <c r="AG278" s="10080"/>
      <c r="AH278" s="10079" t="s">
        <v>2198</v>
      </c>
      <c r="AI278" s="10080"/>
      <c r="AJ278" s="10079" t="s">
        <v>2273</v>
      </c>
      <c r="AK278" s="10080"/>
    </row>
    <row r="279" spans="1:131" x14ac:dyDescent="0.3">
      <c r="B279" s="10072"/>
      <c r="C279" s="8940"/>
      <c r="D279" s="10084"/>
      <c r="E279" s="8895"/>
      <c r="F279" s="1683" t="s">
        <v>17</v>
      </c>
      <c r="G279" s="2073" t="s">
        <v>18</v>
      </c>
      <c r="H279" s="3178" t="s">
        <v>17</v>
      </c>
      <c r="I279" s="2068" t="s">
        <v>18</v>
      </c>
      <c r="J279" s="1683" t="s">
        <v>17</v>
      </c>
      <c r="K279" s="2073" t="s">
        <v>18</v>
      </c>
      <c r="L279" s="1683" t="s">
        <v>17</v>
      </c>
      <c r="M279" s="2073" t="s">
        <v>18</v>
      </c>
      <c r="N279" s="2067" t="s">
        <v>17</v>
      </c>
      <c r="O279" s="2073" t="s">
        <v>18</v>
      </c>
      <c r="P279" s="1683" t="s">
        <v>17</v>
      </c>
      <c r="Q279" s="2073" t="s">
        <v>18</v>
      </c>
      <c r="R279" s="1683" t="s">
        <v>17</v>
      </c>
      <c r="S279" s="2073" t="s">
        <v>18</v>
      </c>
      <c r="T279" s="1683" t="s">
        <v>17</v>
      </c>
      <c r="U279" s="2073" t="s">
        <v>18</v>
      </c>
      <c r="V279" s="1683" t="s">
        <v>17</v>
      </c>
      <c r="W279" s="2073" t="s">
        <v>18</v>
      </c>
      <c r="X279" s="1683" t="s">
        <v>17</v>
      </c>
      <c r="Y279" s="2073" t="s">
        <v>18</v>
      </c>
      <c r="Z279" s="1683" t="s">
        <v>17</v>
      </c>
      <c r="AA279" s="2073" t="s">
        <v>18</v>
      </c>
      <c r="AB279" s="1683" t="s">
        <v>17</v>
      </c>
      <c r="AC279" s="2073" t="s">
        <v>18</v>
      </c>
      <c r="AD279" s="1683" t="s">
        <v>17</v>
      </c>
      <c r="AE279" s="2073" t="s">
        <v>18</v>
      </c>
      <c r="AF279" s="1683" t="s">
        <v>17</v>
      </c>
      <c r="AG279" s="2073" t="s">
        <v>18</v>
      </c>
      <c r="AH279" s="1683" t="s">
        <v>17</v>
      </c>
      <c r="AI279" s="2073" t="s">
        <v>18</v>
      </c>
      <c r="AJ279" s="1683" t="s">
        <v>17</v>
      </c>
      <c r="AK279" s="2073" t="s">
        <v>18</v>
      </c>
    </row>
    <row r="280" spans="1:131" ht="33.75" customHeight="1" x14ac:dyDescent="0.3">
      <c r="A280" s="7258">
        <v>11057133</v>
      </c>
      <c r="B280" s="2254" t="s">
        <v>2259</v>
      </c>
      <c r="C280" s="8126" t="s">
        <v>5369</v>
      </c>
      <c r="D280" s="8127" t="s">
        <v>5370</v>
      </c>
      <c r="E280" s="8128" t="s">
        <v>5371</v>
      </c>
      <c r="F280" s="8129" t="s">
        <v>5372</v>
      </c>
      <c r="G280" s="8130" t="s">
        <v>5373</v>
      </c>
      <c r="H280" s="8129" t="s">
        <v>5374</v>
      </c>
      <c r="I280" s="8130" t="s">
        <v>5375</v>
      </c>
      <c r="J280" s="8129" t="s">
        <v>5376</v>
      </c>
      <c r="K280" s="8130" t="s">
        <v>5377</v>
      </c>
      <c r="L280" s="8129" t="s">
        <v>5378</v>
      </c>
      <c r="M280" s="8130" t="s">
        <v>5379</v>
      </c>
      <c r="N280" s="8129" t="s">
        <v>5380</v>
      </c>
      <c r="O280" s="8130" t="s">
        <v>5381</v>
      </c>
      <c r="P280" s="8129" t="s">
        <v>5382</v>
      </c>
      <c r="Q280" s="8130" t="s">
        <v>5383</v>
      </c>
      <c r="R280" s="8129" t="s">
        <v>5384</v>
      </c>
      <c r="S280" s="8130" t="s">
        <v>5385</v>
      </c>
      <c r="T280" s="8129" t="s">
        <v>5386</v>
      </c>
      <c r="U280" s="8130" t="s">
        <v>5387</v>
      </c>
      <c r="V280" s="8129" t="s">
        <v>5388</v>
      </c>
      <c r="W280" s="8130" t="s">
        <v>5389</v>
      </c>
      <c r="X280" s="8129" t="s">
        <v>5390</v>
      </c>
      <c r="Y280" s="8130" t="s">
        <v>5391</v>
      </c>
      <c r="Z280" s="8129" t="s">
        <v>5392</v>
      </c>
      <c r="AA280" s="8130" t="s">
        <v>5393</v>
      </c>
      <c r="AB280" s="8129" t="s">
        <v>5394</v>
      </c>
      <c r="AC280" s="8130" t="s">
        <v>5395</v>
      </c>
      <c r="AD280" s="8131" t="s">
        <v>5396</v>
      </c>
      <c r="AE280" s="8130" t="s">
        <v>5397</v>
      </c>
      <c r="AF280" s="8131" t="s">
        <v>5398</v>
      </c>
      <c r="AG280" s="8130" t="s">
        <v>5399</v>
      </c>
      <c r="AH280" s="8131" t="s">
        <v>5400</v>
      </c>
      <c r="AI280" s="8130" t="s">
        <v>5401</v>
      </c>
      <c r="AJ280" s="8131" t="s">
        <v>5402</v>
      </c>
      <c r="AK280" s="8130" t="s">
        <v>5403</v>
      </c>
    </row>
    <row r="281" spans="1:131" ht="31.8" x14ac:dyDescent="0.3">
      <c r="A281" s="7258">
        <v>11057134</v>
      </c>
      <c r="B281" s="2249" t="s">
        <v>2260</v>
      </c>
      <c r="C281" s="2249" t="s">
        <v>5369</v>
      </c>
      <c r="D281" s="8132" t="s">
        <v>5370</v>
      </c>
      <c r="E281" s="8133" t="s">
        <v>5371</v>
      </c>
      <c r="F281" s="8131" t="s">
        <v>5372</v>
      </c>
      <c r="G281" s="8130" t="s">
        <v>5373</v>
      </c>
      <c r="H281" s="8131" t="s">
        <v>5374</v>
      </c>
      <c r="I281" s="8130" t="s">
        <v>5375</v>
      </c>
      <c r="J281" s="8131" t="s">
        <v>5376</v>
      </c>
      <c r="K281" s="8130" t="s">
        <v>5377</v>
      </c>
      <c r="L281" s="8131" t="s">
        <v>5378</v>
      </c>
      <c r="M281" s="8130" t="s">
        <v>5379</v>
      </c>
      <c r="N281" s="8131" t="s">
        <v>5380</v>
      </c>
      <c r="O281" s="8130" t="s">
        <v>5381</v>
      </c>
      <c r="P281" s="8131" t="s">
        <v>5382</v>
      </c>
      <c r="Q281" s="8130" t="s">
        <v>5383</v>
      </c>
      <c r="R281" s="8131" t="s">
        <v>5384</v>
      </c>
      <c r="S281" s="8130" t="s">
        <v>5385</v>
      </c>
      <c r="T281" s="8131" t="s">
        <v>5386</v>
      </c>
      <c r="U281" s="8130" t="s">
        <v>5387</v>
      </c>
      <c r="V281" s="8131" t="s">
        <v>5388</v>
      </c>
      <c r="W281" s="8130" t="s">
        <v>5389</v>
      </c>
      <c r="X281" s="8131" t="s">
        <v>5390</v>
      </c>
      <c r="Y281" s="8130" t="s">
        <v>5391</v>
      </c>
      <c r="Z281" s="8131" t="s">
        <v>5392</v>
      </c>
      <c r="AA281" s="8130" t="s">
        <v>5393</v>
      </c>
      <c r="AB281" s="8131" t="s">
        <v>5394</v>
      </c>
      <c r="AC281" s="8130" t="s">
        <v>5395</v>
      </c>
      <c r="AD281" s="8131" t="s">
        <v>5396</v>
      </c>
      <c r="AE281" s="8130" t="s">
        <v>5397</v>
      </c>
      <c r="AF281" s="8131" t="s">
        <v>5398</v>
      </c>
      <c r="AG281" s="8130" t="s">
        <v>5399</v>
      </c>
      <c r="AH281" s="8131" t="s">
        <v>5400</v>
      </c>
      <c r="AI281" s="8130" t="s">
        <v>5401</v>
      </c>
      <c r="AJ281" s="8131" t="s">
        <v>5402</v>
      </c>
      <c r="AK281" s="8130" t="s">
        <v>5403</v>
      </c>
    </row>
    <row r="282" spans="1:131" ht="21.6" x14ac:dyDescent="0.3">
      <c r="A282" s="7258">
        <v>11057135</v>
      </c>
      <c r="B282" s="2249" t="s">
        <v>2261</v>
      </c>
      <c r="C282" s="2249" t="s">
        <v>5369</v>
      </c>
      <c r="D282" s="8132" t="s">
        <v>5370</v>
      </c>
      <c r="E282" s="8133" t="s">
        <v>5371</v>
      </c>
      <c r="F282" s="8131" t="s">
        <v>5372</v>
      </c>
      <c r="G282" s="8130" t="s">
        <v>5373</v>
      </c>
      <c r="H282" s="8131" t="s">
        <v>5374</v>
      </c>
      <c r="I282" s="8130" t="s">
        <v>5375</v>
      </c>
      <c r="J282" s="8131" t="s">
        <v>5376</v>
      </c>
      <c r="K282" s="8130" t="s">
        <v>5377</v>
      </c>
      <c r="L282" s="8131" t="s">
        <v>5378</v>
      </c>
      <c r="M282" s="8130" t="s">
        <v>5379</v>
      </c>
      <c r="N282" s="8131" t="s">
        <v>5380</v>
      </c>
      <c r="O282" s="8130" t="s">
        <v>5381</v>
      </c>
      <c r="P282" s="8131" t="s">
        <v>5382</v>
      </c>
      <c r="Q282" s="8130" t="s">
        <v>5383</v>
      </c>
      <c r="R282" s="8131" t="s">
        <v>5384</v>
      </c>
      <c r="S282" s="8130" t="s">
        <v>5385</v>
      </c>
      <c r="T282" s="8131" t="s">
        <v>5386</v>
      </c>
      <c r="U282" s="8130" t="s">
        <v>5387</v>
      </c>
      <c r="V282" s="8131" t="s">
        <v>5388</v>
      </c>
      <c r="W282" s="8130" t="s">
        <v>5389</v>
      </c>
      <c r="X282" s="8131" t="s">
        <v>5390</v>
      </c>
      <c r="Y282" s="8130" t="s">
        <v>5391</v>
      </c>
      <c r="Z282" s="8131" t="s">
        <v>5392</v>
      </c>
      <c r="AA282" s="8130" t="s">
        <v>5393</v>
      </c>
      <c r="AB282" s="8131" t="s">
        <v>5394</v>
      </c>
      <c r="AC282" s="8130" t="s">
        <v>5395</v>
      </c>
      <c r="AD282" s="8131" t="s">
        <v>5396</v>
      </c>
      <c r="AE282" s="8130" t="s">
        <v>5397</v>
      </c>
      <c r="AF282" s="8131" t="s">
        <v>5398</v>
      </c>
      <c r="AG282" s="8130" t="s">
        <v>5399</v>
      </c>
      <c r="AH282" s="8131" t="s">
        <v>5400</v>
      </c>
      <c r="AI282" s="8130" t="s">
        <v>5401</v>
      </c>
      <c r="AJ282" s="8131" t="s">
        <v>5402</v>
      </c>
      <c r="AK282" s="8130" t="s">
        <v>5403</v>
      </c>
    </row>
    <row r="283" spans="1:131" ht="21.6" x14ac:dyDescent="0.3">
      <c r="A283" s="7258">
        <v>11057136</v>
      </c>
      <c r="B283" s="2249" t="s">
        <v>2262</v>
      </c>
      <c r="C283" s="8134" t="s">
        <v>5369</v>
      </c>
      <c r="D283" s="8135" t="s">
        <v>5370</v>
      </c>
      <c r="E283" s="8136" t="s">
        <v>5371</v>
      </c>
      <c r="F283" s="8137" t="s">
        <v>5372</v>
      </c>
      <c r="G283" s="7984" t="s">
        <v>5373</v>
      </c>
      <c r="H283" s="8137" t="s">
        <v>5374</v>
      </c>
      <c r="I283" s="7984" t="s">
        <v>5375</v>
      </c>
      <c r="J283" s="8137" t="s">
        <v>5376</v>
      </c>
      <c r="K283" s="7984" t="s">
        <v>5377</v>
      </c>
      <c r="L283" s="8137" t="s">
        <v>5378</v>
      </c>
      <c r="M283" s="7984" t="s">
        <v>5379</v>
      </c>
      <c r="N283" s="8137" t="s">
        <v>5380</v>
      </c>
      <c r="O283" s="7984" t="s">
        <v>5381</v>
      </c>
      <c r="P283" s="8137" t="s">
        <v>5382</v>
      </c>
      <c r="Q283" s="7984" t="s">
        <v>5383</v>
      </c>
      <c r="R283" s="8137" t="s">
        <v>5384</v>
      </c>
      <c r="S283" s="7984" t="s">
        <v>5385</v>
      </c>
      <c r="T283" s="8137" t="s">
        <v>5386</v>
      </c>
      <c r="U283" s="7984" t="s">
        <v>5387</v>
      </c>
      <c r="V283" s="8137" t="s">
        <v>5388</v>
      </c>
      <c r="W283" s="7984" t="s">
        <v>5389</v>
      </c>
      <c r="X283" s="8137" t="s">
        <v>5390</v>
      </c>
      <c r="Y283" s="7984" t="s">
        <v>5391</v>
      </c>
      <c r="Z283" s="8137" t="s">
        <v>5392</v>
      </c>
      <c r="AA283" s="7984" t="s">
        <v>5393</v>
      </c>
      <c r="AB283" s="8137" t="s">
        <v>5394</v>
      </c>
      <c r="AC283" s="7984" t="s">
        <v>5395</v>
      </c>
      <c r="AD283" s="8137" t="s">
        <v>5396</v>
      </c>
      <c r="AE283" s="7984" t="s">
        <v>5397</v>
      </c>
      <c r="AF283" s="8137" t="s">
        <v>5398</v>
      </c>
      <c r="AG283" s="7984" t="s">
        <v>5399</v>
      </c>
      <c r="AH283" s="8137" t="s">
        <v>5400</v>
      </c>
      <c r="AI283" s="7984" t="s">
        <v>5401</v>
      </c>
      <c r="AJ283" s="8137" t="s">
        <v>5402</v>
      </c>
      <c r="AK283" s="7984" t="s">
        <v>5403</v>
      </c>
    </row>
    <row r="284" spans="1:131" ht="31.8" x14ac:dyDescent="0.3">
      <c r="A284" s="7258">
        <v>11057137</v>
      </c>
      <c r="B284" s="2249" t="s">
        <v>2263</v>
      </c>
      <c r="C284" s="2249" t="s">
        <v>5369</v>
      </c>
      <c r="D284" s="8132" t="s">
        <v>5370</v>
      </c>
      <c r="E284" s="8133" t="s">
        <v>5371</v>
      </c>
      <c r="F284" s="8131" t="s">
        <v>5372</v>
      </c>
      <c r="G284" s="8130" t="s">
        <v>5373</v>
      </c>
      <c r="H284" s="8131" t="s">
        <v>5374</v>
      </c>
      <c r="I284" s="8130" t="s">
        <v>5375</v>
      </c>
      <c r="J284" s="8131" t="s">
        <v>5376</v>
      </c>
      <c r="K284" s="8130" t="s">
        <v>5377</v>
      </c>
      <c r="L284" s="8131" t="s">
        <v>5378</v>
      </c>
      <c r="M284" s="8130" t="s">
        <v>5379</v>
      </c>
      <c r="N284" s="8131" t="s">
        <v>5380</v>
      </c>
      <c r="O284" s="8130" t="s">
        <v>5381</v>
      </c>
      <c r="P284" s="8131" t="s">
        <v>5382</v>
      </c>
      <c r="Q284" s="8130" t="s">
        <v>5383</v>
      </c>
      <c r="R284" s="8131" t="s">
        <v>5384</v>
      </c>
      <c r="S284" s="8130" t="s">
        <v>5385</v>
      </c>
      <c r="T284" s="8131" t="s">
        <v>5386</v>
      </c>
      <c r="U284" s="8130" t="s">
        <v>5387</v>
      </c>
      <c r="V284" s="8131" t="s">
        <v>5388</v>
      </c>
      <c r="W284" s="8130" t="s">
        <v>5389</v>
      </c>
      <c r="X284" s="8131" t="s">
        <v>5390</v>
      </c>
      <c r="Y284" s="8130" t="s">
        <v>5391</v>
      </c>
      <c r="Z284" s="8131" t="s">
        <v>5392</v>
      </c>
      <c r="AA284" s="8130" t="s">
        <v>5393</v>
      </c>
      <c r="AB284" s="8131" t="s">
        <v>5394</v>
      </c>
      <c r="AC284" s="8130" t="s">
        <v>5395</v>
      </c>
      <c r="AD284" s="8131" t="s">
        <v>5396</v>
      </c>
      <c r="AE284" s="8130" t="s">
        <v>5397</v>
      </c>
      <c r="AF284" s="8131" t="s">
        <v>5398</v>
      </c>
      <c r="AG284" s="8130" t="s">
        <v>5399</v>
      </c>
      <c r="AH284" s="8131" t="s">
        <v>5400</v>
      </c>
      <c r="AI284" s="8130" t="s">
        <v>5401</v>
      </c>
      <c r="AJ284" s="8131" t="s">
        <v>5402</v>
      </c>
      <c r="AK284" s="8130" t="s">
        <v>5403</v>
      </c>
    </row>
    <row r="285" spans="1:131" ht="36" customHeight="1" x14ac:dyDescent="0.3">
      <c r="A285" s="7258">
        <v>11057138</v>
      </c>
      <c r="B285" s="2256" t="s">
        <v>2264</v>
      </c>
      <c r="C285" s="2256" t="s">
        <v>5369</v>
      </c>
      <c r="D285" s="8138" t="s">
        <v>5370</v>
      </c>
      <c r="E285" s="8139" t="s">
        <v>5371</v>
      </c>
      <c r="F285" s="8140" t="s">
        <v>5372</v>
      </c>
      <c r="G285" s="8141" t="s">
        <v>5373</v>
      </c>
      <c r="H285" s="8140" t="s">
        <v>5374</v>
      </c>
      <c r="I285" s="8141" t="s">
        <v>5375</v>
      </c>
      <c r="J285" s="8140" t="s">
        <v>5376</v>
      </c>
      <c r="K285" s="8141" t="s">
        <v>5377</v>
      </c>
      <c r="L285" s="8140" t="s">
        <v>5378</v>
      </c>
      <c r="M285" s="8141" t="s">
        <v>5379</v>
      </c>
      <c r="N285" s="8140" t="s">
        <v>5380</v>
      </c>
      <c r="O285" s="8141" t="s">
        <v>5381</v>
      </c>
      <c r="P285" s="8140" t="s">
        <v>5382</v>
      </c>
      <c r="Q285" s="8141" t="s">
        <v>5383</v>
      </c>
      <c r="R285" s="8140" t="s">
        <v>5384</v>
      </c>
      <c r="S285" s="8141" t="s">
        <v>5385</v>
      </c>
      <c r="T285" s="8140" t="s">
        <v>5386</v>
      </c>
      <c r="U285" s="8141" t="s">
        <v>5387</v>
      </c>
      <c r="V285" s="8140" t="s">
        <v>5388</v>
      </c>
      <c r="W285" s="8141" t="s">
        <v>5389</v>
      </c>
      <c r="X285" s="8140" t="s">
        <v>5390</v>
      </c>
      <c r="Y285" s="8141" t="s">
        <v>5391</v>
      </c>
      <c r="Z285" s="8140" t="s">
        <v>5392</v>
      </c>
      <c r="AA285" s="8141" t="s">
        <v>5393</v>
      </c>
      <c r="AB285" s="8140" t="s">
        <v>5394</v>
      </c>
      <c r="AC285" s="8141" t="s">
        <v>5395</v>
      </c>
      <c r="AD285" s="8140" t="s">
        <v>5396</v>
      </c>
      <c r="AE285" s="8141" t="s">
        <v>5397</v>
      </c>
      <c r="AF285" s="8140" t="s">
        <v>5398</v>
      </c>
      <c r="AG285" s="8141" t="s">
        <v>5399</v>
      </c>
      <c r="AH285" s="8140" t="s">
        <v>5400</v>
      </c>
      <c r="AI285" s="8141" t="s">
        <v>5401</v>
      </c>
      <c r="AJ285" s="8140" t="s">
        <v>5402</v>
      </c>
      <c r="AK285" s="8141" t="s">
        <v>5403</v>
      </c>
    </row>
    <row r="286" spans="1:131" ht="22.5" customHeight="1" x14ac:dyDescent="0.3">
      <c r="B286" s="2230" t="s">
        <v>2357</v>
      </c>
    </row>
    <row r="287" spans="1:131" ht="15" customHeight="1" x14ac:dyDescent="0.3">
      <c r="B287" s="10070" t="s">
        <v>805</v>
      </c>
      <c r="C287" s="10073" t="s">
        <v>24</v>
      </c>
      <c r="D287" s="10074"/>
      <c r="E287" s="10065"/>
      <c r="F287" s="10067" t="s">
        <v>2277</v>
      </c>
      <c r="G287" s="10068"/>
      <c r="H287" s="10068"/>
      <c r="I287" s="10068"/>
      <c r="J287" s="10068"/>
      <c r="K287" s="10068"/>
      <c r="L287" s="10068"/>
      <c r="M287" s="10068"/>
      <c r="N287" s="10068"/>
      <c r="O287" s="10068"/>
      <c r="P287" s="10068"/>
      <c r="Q287" s="10068"/>
      <c r="R287" s="10068"/>
      <c r="S287" s="10068"/>
      <c r="T287" s="10068"/>
      <c r="U287" s="10068"/>
      <c r="V287" s="10068"/>
      <c r="W287" s="10068"/>
      <c r="X287" s="10068"/>
      <c r="Y287" s="10068"/>
      <c r="Z287" s="10068"/>
      <c r="AA287" s="10068"/>
      <c r="AB287" s="10068"/>
      <c r="AC287" s="10069"/>
      <c r="AD287" s="10091" t="s">
        <v>362</v>
      </c>
      <c r="AE287" s="10065" t="s">
        <v>361</v>
      </c>
    </row>
    <row r="288" spans="1:131" x14ac:dyDescent="0.3">
      <c r="B288" s="10071"/>
      <c r="C288" s="10075"/>
      <c r="D288" s="10076"/>
      <c r="E288" s="10077"/>
      <c r="F288" s="10079" t="s">
        <v>2565</v>
      </c>
      <c r="G288" s="10080"/>
      <c r="H288" s="10079" t="s">
        <v>81</v>
      </c>
      <c r="I288" s="10080"/>
      <c r="J288" s="10079" t="s">
        <v>82</v>
      </c>
      <c r="K288" s="10080"/>
      <c r="L288" s="10079" t="s">
        <v>83</v>
      </c>
      <c r="M288" s="10080"/>
      <c r="N288" s="10079" t="s">
        <v>400</v>
      </c>
      <c r="O288" s="10080"/>
      <c r="P288" s="10079" t="s">
        <v>124</v>
      </c>
      <c r="Q288" s="10080"/>
      <c r="R288" s="10079" t="s">
        <v>125</v>
      </c>
      <c r="S288" s="10080"/>
      <c r="T288" s="10079" t="s">
        <v>126</v>
      </c>
      <c r="U288" s="10080"/>
      <c r="V288" s="10079" t="s">
        <v>2272</v>
      </c>
      <c r="W288" s="10080"/>
      <c r="X288" s="10079" t="s">
        <v>2132</v>
      </c>
      <c r="Y288" s="10080"/>
      <c r="Z288" s="10079" t="s">
        <v>2198</v>
      </c>
      <c r="AA288" s="10080"/>
      <c r="AB288" s="10079" t="s">
        <v>2274</v>
      </c>
      <c r="AC288" s="10088"/>
      <c r="AD288" s="10092"/>
      <c r="AE288" s="10077"/>
    </row>
    <row r="289" spans="1:107" x14ac:dyDescent="0.3">
      <c r="B289" s="10072"/>
      <c r="C289" s="2257" t="s">
        <v>1371</v>
      </c>
      <c r="D289" s="1683" t="s">
        <v>17</v>
      </c>
      <c r="E289" s="2073" t="s">
        <v>18</v>
      </c>
      <c r="F289" s="1683" t="s">
        <v>17</v>
      </c>
      <c r="G289" s="2073" t="s">
        <v>18</v>
      </c>
      <c r="H289" s="1683" t="s">
        <v>17</v>
      </c>
      <c r="I289" s="2073" t="s">
        <v>18</v>
      </c>
      <c r="J289" s="1683" t="s">
        <v>17</v>
      </c>
      <c r="K289" s="2073" t="s">
        <v>18</v>
      </c>
      <c r="L289" s="1683" t="s">
        <v>17</v>
      </c>
      <c r="M289" s="2073" t="s">
        <v>18</v>
      </c>
      <c r="N289" s="1683" t="s">
        <v>17</v>
      </c>
      <c r="O289" s="2073" t="s">
        <v>18</v>
      </c>
      <c r="P289" s="1683" t="s">
        <v>17</v>
      </c>
      <c r="Q289" s="2073" t="s">
        <v>18</v>
      </c>
      <c r="R289" s="1683" t="s">
        <v>17</v>
      </c>
      <c r="S289" s="2073" t="s">
        <v>18</v>
      </c>
      <c r="T289" s="1683" t="s">
        <v>17</v>
      </c>
      <c r="U289" s="2073" t="s">
        <v>18</v>
      </c>
      <c r="V289" s="1683" t="s">
        <v>17</v>
      </c>
      <c r="W289" s="2073" t="s">
        <v>18</v>
      </c>
      <c r="X289" s="1683" t="s">
        <v>17</v>
      </c>
      <c r="Y289" s="2073" t="s">
        <v>18</v>
      </c>
      <c r="Z289" s="1683" t="s">
        <v>17</v>
      </c>
      <c r="AA289" s="2073" t="s">
        <v>18</v>
      </c>
      <c r="AB289" s="1683" t="s">
        <v>17</v>
      </c>
      <c r="AC289" s="2190" t="s">
        <v>18</v>
      </c>
      <c r="AD289" s="10093"/>
      <c r="AE289" s="10066"/>
    </row>
    <row r="290" spans="1:107" ht="27.75" customHeight="1" x14ac:dyDescent="0.3">
      <c r="A290" s="7258">
        <v>11057139</v>
      </c>
      <c r="B290" s="2258" t="s">
        <v>2256</v>
      </c>
      <c r="C290" s="2259" t="s">
        <v>5369</v>
      </c>
      <c r="D290" s="2260" t="s">
        <v>5370</v>
      </c>
      <c r="E290" s="2261" t="s">
        <v>5371</v>
      </c>
      <c r="F290" s="1661" t="s">
        <v>5372</v>
      </c>
      <c r="G290" s="1665" t="s">
        <v>5373</v>
      </c>
      <c r="H290" s="1661" t="s">
        <v>5374</v>
      </c>
      <c r="I290" s="1665" t="s">
        <v>5375</v>
      </c>
      <c r="J290" s="1661" t="s">
        <v>5376</v>
      </c>
      <c r="K290" s="1665" t="s">
        <v>5377</v>
      </c>
      <c r="L290" s="1661" t="s">
        <v>5378</v>
      </c>
      <c r="M290" s="1665" t="s">
        <v>5379</v>
      </c>
      <c r="N290" s="1661" t="s">
        <v>5380</v>
      </c>
      <c r="O290" s="1665" t="s">
        <v>5381</v>
      </c>
      <c r="P290" s="1661" t="s">
        <v>5382</v>
      </c>
      <c r="Q290" s="1665" t="s">
        <v>5383</v>
      </c>
      <c r="R290" s="1661" t="s">
        <v>5384</v>
      </c>
      <c r="S290" s="1665" t="s">
        <v>5385</v>
      </c>
      <c r="T290" s="1661" t="s">
        <v>5386</v>
      </c>
      <c r="U290" s="1665" t="s">
        <v>5387</v>
      </c>
      <c r="V290" s="1661" t="s">
        <v>5388</v>
      </c>
      <c r="W290" s="1665" t="s">
        <v>5389</v>
      </c>
      <c r="X290" s="1661" t="s">
        <v>5390</v>
      </c>
      <c r="Y290" s="1665" t="s">
        <v>5391</v>
      </c>
      <c r="Z290" s="1661" t="s">
        <v>5392</v>
      </c>
      <c r="AA290" s="1665" t="s">
        <v>5393</v>
      </c>
      <c r="AB290" s="1661" t="s">
        <v>5394</v>
      </c>
      <c r="AC290" s="1638" t="s">
        <v>5395</v>
      </c>
      <c r="AD290" s="1667" t="s">
        <v>5396</v>
      </c>
      <c r="AE290" s="1668" t="s">
        <v>5397</v>
      </c>
      <c r="AF290" s="1197" t="str">
        <f>$CB290&amp;$CC290&amp;$CD290&amp;$CE290&amp;$CF290&amp;$CG290&amp;$CH290&amp;$CI290&amp;$CJ290&amp;$CK290&amp;$CL290&amp;$CM290&amp;$CN290&amp;$CO290&amp;$CP290&amp;$CQ290&amp;$CR290&amp;$CS290&amp;$CT290&amp;$CU290&amp;$CV290&amp;$CW290&amp;$CX290&amp;$CY290&amp;$CZ290&amp;$DA290</f>
        <v xml:space="preserve">* El Número de Donantes Confirmados pertenecientes a Pueblos Originarios no puede superar el Total. * El Número de Donantes Confirmados pertenecientes a Población Migrante no puede superar el Total. </v>
      </c>
      <c r="CB290" s="2195" t="str">
        <f>IF(AND($C290&lt;&gt;0,AD290=""),"* No olvide ingresar la columna Pueblos Originarios (Digite CERO si no tiene). ",IF(AD290&gt;$C290,"* El Número de Donantes Confirmados pertenecientes a Pueblos Originarios no puede superar el Total. ",""))</f>
        <v xml:space="preserve">* El Número de Donantes Confirmados pertenecientes a Pueblos Originarios no puede superar el Total. </v>
      </c>
      <c r="CC290" s="2195" t="str">
        <f>IF(AND($C290&lt;&gt;0,AE290=""),"* No olvide ingresar la columna Migrantes (Digite CERO si no tiene). ",IF(AE290&gt;$C290,"* El Número de Donantes Confirmados pertenecientes a Población Migrante no puede superar el Total. ",""))</f>
        <v xml:space="preserve">* El Número de Donantes Confirmados pertenecientes a Población Migrante no puede superar el Total. </v>
      </c>
      <c r="DB290" s="1446">
        <f>IF(AND($C290&lt;&gt;0,AD290=""),1,IF(AD290&gt;$C290,1,0))</f>
        <v>1</v>
      </c>
      <c r="DC290" s="1446">
        <f>IF(AND($C290&lt;&gt;0,AE290=""),1,IF(AE290&gt;$C290,1,0))</f>
        <v>1</v>
      </c>
    </row>
    <row r="291" spans="1:107" ht="28.5" customHeight="1" x14ac:dyDescent="0.3">
      <c r="A291" s="7258">
        <v>11057140</v>
      </c>
      <c r="B291" s="2256" t="s">
        <v>2257</v>
      </c>
      <c r="C291" s="2262" t="s">
        <v>5369</v>
      </c>
      <c r="D291" s="2263" t="s">
        <v>5370</v>
      </c>
      <c r="E291" s="2264" t="s">
        <v>5371</v>
      </c>
      <c r="F291" s="1621" t="s">
        <v>5372</v>
      </c>
      <c r="G291" s="1636" t="s">
        <v>5373</v>
      </c>
      <c r="H291" s="1621" t="s">
        <v>5374</v>
      </c>
      <c r="I291" s="1636" t="s">
        <v>5375</v>
      </c>
      <c r="J291" s="1621" t="s">
        <v>5376</v>
      </c>
      <c r="K291" s="1636" t="s">
        <v>5377</v>
      </c>
      <c r="L291" s="1621" t="s">
        <v>5378</v>
      </c>
      <c r="M291" s="1636" t="s">
        <v>5379</v>
      </c>
      <c r="N291" s="1621" t="s">
        <v>5380</v>
      </c>
      <c r="O291" s="1636" t="s">
        <v>5381</v>
      </c>
      <c r="P291" s="1621" t="s">
        <v>5382</v>
      </c>
      <c r="Q291" s="1636" t="s">
        <v>5383</v>
      </c>
      <c r="R291" s="1621" t="s">
        <v>5384</v>
      </c>
      <c r="S291" s="1636" t="s">
        <v>5385</v>
      </c>
      <c r="T291" s="1621" t="s">
        <v>5386</v>
      </c>
      <c r="U291" s="1636" t="s">
        <v>5387</v>
      </c>
      <c r="V291" s="1621" t="s">
        <v>5388</v>
      </c>
      <c r="W291" s="1636" t="s">
        <v>5389</v>
      </c>
      <c r="X291" s="1621" t="s">
        <v>5390</v>
      </c>
      <c r="Y291" s="1636" t="s">
        <v>5391</v>
      </c>
      <c r="Z291" s="1621" t="s">
        <v>5392</v>
      </c>
      <c r="AA291" s="1636" t="s">
        <v>5393</v>
      </c>
      <c r="AB291" s="1621" t="s">
        <v>5394</v>
      </c>
      <c r="AC291" s="1717" t="s">
        <v>5395</v>
      </c>
      <c r="AD291" s="1666" t="s">
        <v>5396</v>
      </c>
      <c r="AE291" s="1622" t="s">
        <v>5397</v>
      </c>
      <c r="AF291" s="1197" t="str">
        <f>$CB291&amp;$CC291&amp;$CD291&amp;$CE291&amp;$CF291&amp;$CG291&amp;$CH291&amp;$CI291&amp;$CJ291&amp;$CK291&amp;$CL291&amp;$CM291&amp;$CN291&amp;$CO291&amp;$CP291&amp;$CQ291&amp;$CR291&amp;$CS291&amp;$CT291&amp;$CU291&amp;$CV291&amp;$CW291&amp;$CX291&amp;$CY291&amp;$CZ291&amp;$DA291</f>
        <v xml:space="preserve">* El Número de Donantes Confirmados pertenecientes a Pueblos Originarios no puede superar el Total. * El Número de Donantes Confirmados pertenecientes a Población Migrante no puede superar el Total. </v>
      </c>
      <c r="CB291" s="2195" t="str">
        <f>IF(AND($C291&lt;&gt;0,AD291=""),"* No olvide ingresar la columna Pueblos Originarios (Digite CERO si no tiene). ",IF(AD291&gt;$C291,"* El Número de Donantes Confirmados pertenecientes a Pueblos Originarios no puede superar el Total. ",""))</f>
        <v xml:space="preserve">* El Número de Donantes Confirmados pertenecientes a Pueblos Originarios no puede superar el Total. </v>
      </c>
      <c r="CC291" s="2195" t="str">
        <f>IF(AND($C291&lt;&gt;0,AE291=""),"* No olvide ingresar la columna Migrantes (Digite CERO si no tiene). ",IF(AE291&gt;$C291,"* El Número de Donantes Confirmados pertenecientes a Población Migrante no puede superar el Total. ",""))</f>
        <v xml:space="preserve">* El Número de Donantes Confirmados pertenecientes a Población Migrante no puede superar el Total. </v>
      </c>
      <c r="DB291" s="1446">
        <f>IF(AND($C291&lt;&gt;0,AD291=""),1,IF(AD291&gt;$C291,1,0))</f>
        <v>1</v>
      </c>
      <c r="DC291" s="1446">
        <f>IF(AND($C291&lt;&gt;0,AE291=""),1,IF(AE291&gt;$C291,1,0))</f>
        <v>1</v>
      </c>
    </row>
    <row r="292" spans="1:107" ht="19.5" customHeight="1" x14ac:dyDescent="0.3">
      <c r="B292" s="2230" t="s">
        <v>2358</v>
      </c>
    </row>
    <row r="293" spans="1:107" x14ac:dyDescent="0.3">
      <c r="B293" s="10070" t="s">
        <v>805</v>
      </c>
      <c r="C293" s="10073" t="s">
        <v>24</v>
      </c>
      <c r="D293" s="10074"/>
      <c r="E293" s="10065"/>
      <c r="F293" s="10094" t="s">
        <v>2277</v>
      </c>
      <c r="G293" s="10094"/>
      <c r="H293" s="10094"/>
      <c r="I293" s="10094"/>
      <c r="J293" s="10094"/>
      <c r="K293" s="10094"/>
      <c r="L293" s="10094"/>
      <c r="M293" s="10094"/>
      <c r="N293" s="10094"/>
      <c r="O293" s="10094"/>
      <c r="P293" s="10094"/>
      <c r="Q293" s="10094"/>
      <c r="R293" s="10094"/>
      <c r="S293" s="10094"/>
      <c r="T293" s="10094"/>
      <c r="U293" s="10094"/>
      <c r="V293" s="10094"/>
      <c r="W293" s="10094"/>
      <c r="X293" s="10094"/>
      <c r="Y293" s="10094"/>
      <c r="Z293" s="10094"/>
      <c r="AA293" s="10094"/>
      <c r="AB293" s="10094"/>
      <c r="AC293" s="10094"/>
      <c r="AD293" s="10094"/>
      <c r="AE293" s="10094"/>
      <c r="AF293" s="10094"/>
      <c r="AG293" s="10094"/>
      <c r="AH293" s="10094"/>
      <c r="AI293" s="10094"/>
      <c r="AJ293" s="10094"/>
      <c r="AK293" s="10095"/>
      <c r="AL293" s="10091" t="s">
        <v>362</v>
      </c>
      <c r="AM293" s="10065" t="s">
        <v>361</v>
      </c>
    </row>
    <row r="294" spans="1:107" x14ac:dyDescent="0.3">
      <c r="B294" s="10071"/>
      <c r="C294" s="10075"/>
      <c r="D294" s="10076"/>
      <c r="E294" s="10077"/>
      <c r="F294" s="10079" t="s">
        <v>676</v>
      </c>
      <c r="G294" s="10080"/>
      <c r="H294" s="10081" t="s">
        <v>2270</v>
      </c>
      <c r="I294" s="10082"/>
      <c r="J294" s="10081" t="s">
        <v>2271</v>
      </c>
      <c r="K294" s="10082"/>
      <c r="L294" s="10081" t="s">
        <v>48</v>
      </c>
      <c r="M294" s="10082"/>
      <c r="N294" s="10079" t="s">
        <v>80</v>
      </c>
      <c r="O294" s="10080"/>
      <c r="P294" s="10079" t="s">
        <v>81</v>
      </c>
      <c r="Q294" s="10080"/>
      <c r="R294" s="10079" t="s">
        <v>82</v>
      </c>
      <c r="S294" s="10080"/>
      <c r="T294" s="10079" t="s">
        <v>83</v>
      </c>
      <c r="U294" s="10080"/>
      <c r="V294" s="10079" t="s">
        <v>400</v>
      </c>
      <c r="W294" s="10080"/>
      <c r="X294" s="10079" t="s">
        <v>124</v>
      </c>
      <c r="Y294" s="10080"/>
      <c r="Z294" s="10079" t="s">
        <v>125</v>
      </c>
      <c r="AA294" s="10080"/>
      <c r="AB294" s="10079" t="s">
        <v>126</v>
      </c>
      <c r="AC294" s="10080"/>
      <c r="AD294" s="10079" t="s">
        <v>2272</v>
      </c>
      <c r="AE294" s="10080"/>
      <c r="AF294" s="10079" t="s">
        <v>2132</v>
      </c>
      <c r="AG294" s="10080"/>
      <c r="AH294" s="10079" t="s">
        <v>2198</v>
      </c>
      <c r="AI294" s="10080"/>
      <c r="AJ294" s="10086" t="s">
        <v>2273</v>
      </c>
      <c r="AK294" s="10087"/>
      <c r="AL294" s="10092"/>
      <c r="AM294" s="10077"/>
    </row>
    <row r="295" spans="1:107" x14ac:dyDescent="0.3">
      <c r="B295" s="10072"/>
      <c r="C295" s="2257" t="s">
        <v>1371</v>
      </c>
      <c r="D295" s="1683" t="s">
        <v>17</v>
      </c>
      <c r="E295" s="2073" t="s">
        <v>18</v>
      </c>
      <c r="F295" s="1683" t="s">
        <v>17</v>
      </c>
      <c r="G295" s="2073" t="s">
        <v>18</v>
      </c>
      <c r="H295" s="1683" t="s">
        <v>17</v>
      </c>
      <c r="I295" s="2073" t="s">
        <v>18</v>
      </c>
      <c r="J295" s="1683" t="s">
        <v>17</v>
      </c>
      <c r="K295" s="2073" t="s">
        <v>18</v>
      </c>
      <c r="L295" s="1683" t="s">
        <v>17</v>
      </c>
      <c r="M295" s="2073" t="s">
        <v>18</v>
      </c>
      <c r="N295" s="1683" t="s">
        <v>17</v>
      </c>
      <c r="O295" s="2073" t="s">
        <v>18</v>
      </c>
      <c r="P295" s="1683" t="s">
        <v>17</v>
      </c>
      <c r="Q295" s="2073" t="s">
        <v>18</v>
      </c>
      <c r="R295" s="1683" t="s">
        <v>17</v>
      </c>
      <c r="S295" s="2073" t="s">
        <v>18</v>
      </c>
      <c r="T295" s="1683" t="s">
        <v>17</v>
      </c>
      <c r="U295" s="2073" t="s">
        <v>18</v>
      </c>
      <c r="V295" s="1683" t="s">
        <v>17</v>
      </c>
      <c r="W295" s="2073" t="s">
        <v>18</v>
      </c>
      <c r="X295" s="1683" t="s">
        <v>17</v>
      </c>
      <c r="Y295" s="2073" t="s">
        <v>18</v>
      </c>
      <c r="Z295" s="1683" t="s">
        <v>17</v>
      </c>
      <c r="AA295" s="2073" t="s">
        <v>18</v>
      </c>
      <c r="AB295" s="1683" t="s">
        <v>17</v>
      </c>
      <c r="AC295" s="2073" t="s">
        <v>18</v>
      </c>
      <c r="AD295" s="1683" t="s">
        <v>17</v>
      </c>
      <c r="AE295" s="2073" t="s">
        <v>18</v>
      </c>
      <c r="AF295" s="1683" t="s">
        <v>17</v>
      </c>
      <c r="AG295" s="2073" t="s">
        <v>18</v>
      </c>
      <c r="AH295" s="1683" t="s">
        <v>17</v>
      </c>
      <c r="AI295" s="2073" t="s">
        <v>18</v>
      </c>
      <c r="AJ295" s="3178" t="s">
        <v>17</v>
      </c>
      <c r="AK295" s="3177" t="s">
        <v>18</v>
      </c>
      <c r="AL295" s="10093"/>
      <c r="AM295" s="10066"/>
    </row>
    <row r="296" spans="1:107" ht="26.25" customHeight="1" x14ac:dyDescent="0.3">
      <c r="A296" s="7258">
        <v>11057141</v>
      </c>
      <c r="B296" s="2258" t="s">
        <v>2265</v>
      </c>
      <c r="C296" s="2235" t="s">
        <v>5369</v>
      </c>
      <c r="D296" s="2265" t="s">
        <v>5370</v>
      </c>
      <c r="E296" s="2261" t="s">
        <v>5371</v>
      </c>
      <c r="F296" s="1661" t="s">
        <v>5372</v>
      </c>
      <c r="G296" s="1663" t="s">
        <v>5373</v>
      </c>
      <c r="H296" s="1661" t="s">
        <v>5374</v>
      </c>
      <c r="I296" s="1663" t="s">
        <v>5375</v>
      </c>
      <c r="J296" s="1661" t="s">
        <v>5376</v>
      </c>
      <c r="K296" s="1663" t="s">
        <v>5377</v>
      </c>
      <c r="L296" s="1661" t="s">
        <v>5378</v>
      </c>
      <c r="M296" s="1663" t="s">
        <v>5379</v>
      </c>
      <c r="N296" s="1661" t="s">
        <v>5380</v>
      </c>
      <c r="O296" s="1663" t="s">
        <v>5381</v>
      </c>
      <c r="P296" s="1661" t="s">
        <v>5382</v>
      </c>
      <c r="Q296" s="1663" t="s">
        <v>5383</v>
      </c>
      <c r="R296" s="1661" t="s">
        <v>5384</v>
      </c>
      <c r="S296" s="1663" t="s">
        <v>5385</v>
      </c>
      <c r="T296" s="1661" t="s">
        <v>5386</v>
      </c>
      <c r="U296" s="1663" t="s">
        <v>5387</v>
      </c>
      <c r="V296" s="1661" t="s">
        <v>5388</v>
      </c>
      <c r="W296" s="1663" t="s">
        <v>5389</v>
      </c>
      <c r="X296" s="1661" t="s">
        <v>5390</v>
      </c>
      <c r="Y296" s="1663" t="s">
        <v>5391</v>
      </c>
      <c r="Z296" s="1661" t="s">
        <v>5392</v>
      </c>
      <c r="AA296" s="1663" t="s">
        <v>5393</v>
      </c>
      <c r="AB296" s="1661" t="s">
        <v>5394</v>
      </c>
      <c r="AC296" s="1663" t="s">
        <v>5395</v>
      </c>
      <c r="AD296" s="1661" t="s">
        <v>5396</v>
      </c>
      <c r="AE296" s="1663" t="s">
        <v>5397</v>
      </c>
      <c r="AF296" s="1661" t="s">
        <v>5398</v>
      </c>
      <c r="AG296" s="1663" t="s">
        <v>5399</v>
      </c>
      <c r="AH296" s="1661" t="s">
        <v>5400</v>
      </c>
      <c r="AI296" s="1663" t="s">
        <v>5401</v>
      </c>
      <c r="AJ296" s="1661" t="s">
        <v>5402</v>
      </c>
      <c r="AK296" s="1638" t="s">
        <v>5403</v>
      </c>
      <c r="AL296" s="1137" t="s">
        <v>5404</v>
      </c>
      <c r="AM296" s="2266" t="s">
        <v>5405</v>
      </c>
    </row>
    <row r="297" spans="1:107" ht="27" customHeight="1" x14ac:dyDescent="0.3">
      <c r="A297" s="7258">
        <v>11057142</v>
      </c>
      <c r="B297" s="2249" t="s">
        <v>2266</v>
      </c>
      <c r="C297" s="2267" t="s">
        <v>5369</v>
      </c>
      <c r="D297" s="2268" t="s">
        <v>5370</v>
      </c>
      <c r="E297" s="2255" t="s">
        <v>5371</v>
      </c>
      <c r="F297" s="1661" t="s">
        <v>5372</v>
      </c>
      <c r="G297" s="1663" t="s">
        <v>5373</v>
      </c>
      <c r="H297" s="1661" t="s">
        <v>5374</v>
      </c>
      <c r="I297" s="1663" t="s">
        <v>5375</v>
      </c>
      <c r="J297" s="1661" t="s">
        <v>5376</v>
      </c>
      <c r="K297" s="1663" t="s">
        <v>5377</v>
      </c>
      <c r="L297" s="1661" t="s">
        <v>5378</v>
      </c>
      <c r="M297" s="1663" t="s">
        <v>5379</v>
      </c>
      <c r="N297" s="1661" t="s">
        <v>5380</v>
      </c>
      <c r="O297" s="1663" t="s">
        <v>5381</v>
      </c>
      <c r="P297" s="1661" t="s">
        <v>5382</v>
      </c>
      <c r="Q297" s="1663" t="s">
        <v>5383</v>
      </c>
      <c r="R297" s="1661" t="s">
        <v>5384</v>
      </c>
      <c r="S297" s="1663" t="s">
        <v>5385</v>
      </c>
      <c r="T297" s="1661" t="s">
        <v>5386</v>
      </c>
      <c r="U297" s="1663" t="s">
        <v>5387</v>
      </c>
      <c r="V297" s="1661" t="s">
        <v>5388</v>
      </c>
      <c r="W297" s="1663" t="s">
        <v>5389</v>
      </c>
      <c r="X297" s="1661" t="s">
        <v>5390</v>
      </c>
      <c r="Y297" s="1663" t="s">
        <v>5391</v>
      </c>
      <c r="Z297" s="1661" t="s">
        <v>5392</v>
      </c>
      <c r="AA297" s="1663" t="s">
        <v>5393</v>
      </c>
      <c r="AB297" s="1661" t="s">
        <v>5394</v>
      </c>
      <c r="AC297" s="1663" t="s">
        <v>5395</v>
      </c>
      <c r="AD297" s="1661" t="s">
        <v>5396</v>
      </c>
      <c r="AE297" s="1663" t="s">
        <v>5397</v>
      </c>
      <c r="AF297" s="1661" t="s">
        <v>5398</v>
      </c>
      <c r="AG297" s="1663" t="s">
        <v>5399</v>
      </c>
      <c r="AH297" s="1661" t="s">
        <v>5400</v>
      </c>
      <c r="AI297" s="1663" t="s">
        <v>5401</v>
      </c>
      <c r="AJ297" s="1661" t="s">
        <v>5402</v>
      </c>
      <c r="AK297" s="1638" t="s">
        <v>5403</v>
      </c>
      <c r="AL297" s="1665" t="s">
        <v>5404</v>
      </c>
      <c r="AM297" s="1663" t="s">
        <v>5405</v>
      </c>
      <c r="AN297" s="1197" t="str">
        <f>$CB297&amp;$CC297&amp;$CD297&amp;$CE297&amp;$CF297&amp;$CG297&amp;$CH297&amp;$CI297&amp;$CJ297&amp;$CK297&amp;$CL297&amp;$CM297&amp;$CN297&amp;$CO297&amp;$CP297&amp;$CQ297&amp;$CR297&amp;$CS297&amp;$CT297&amp;$CU297&amp;$CV297&amp;$CW297&amp;$CX297&amp;$CY297&amp;$CZ297&amp;$DA297</f>
        <v xml:space="preserve">* El Número de personas en seguimiento pertenecientes a Pueblos Originarios no puede superar el Total. * El Número de personas en seguimiento pertenecientes a Población Migrante no puede superar el Total. </v>
      </c>
      <c r="CB297" s="2195" t="str">
        <f>IF(AND($C297&lt;&gt;0,AL297=""),"* No olvide ingresar la columna Pueblos Originarios (Digite CERO si no tiene). ",IF(AL297&gt;$C297,"* El Número de personas en seguimiento pertenecientes a Pueblos Originarios no puede superar el Total. ",""))</f>
        <v xml:space="preserve">* El Número de personas en seguimiento pertenecientes a Pueblos Originarios no puede superar el Total. </v>
      </c>
      <c r="CC297" s="2195" t="str">
        <f>IF(AND($C297&lt;&gt;0,AM297=""),"* No olvide ingresar la columna Migrantes (Digite CERO si no tiene). ",IF(AM297&gt;$C297,"* El Número de personas en seguimiento pertenecientes a Población Migrante no puede superar el Total. ",""))</f>
        <v xml:space="preserve">* El Número de personas en seguimiento pertenecientes a Población Migrante no puede superar el Total. </v>
      </c>
      <c r="DB297" s="1446">
        <f>IF(AND($C297&lt;&gt;0,AL297=""),1,IF(AL297&gt;$C297,1,0))</f>
        <v>1</v>
      </c>
      <c r="DC297" s="1446">
        <f>IF(AND($C297&lt;&gt;0,AM297=""),1,IF(AM297&gt;$C297,1,0))</f>
        <v>1</v>
      </c>
    </row>
    <row r="298" spans="1:107" ht="30" customHeight="1" x14ac:dyDescent="0.3">
      <c r="A298" s="7258">
        <v>11057143</v>
      </c>
      <c r="B298" s="2269" t="s">
        <v>2258</v>
      </c>
      <c r="C298" s="2270" t="s">
        <v>5369</v>
      </c>
      <c r="D298" s="2271" t="s">
        <v>5370</v>
      </c>
      <c r="E298" s="2272" t="s">
        <v>5371</v>
      </c>
      <c r="F298" s="1656" t="s">
        <v>5372</v>
      </c>
      <c r="G298" s="1120" t="s">
        <v>5373</v>
      </c>
      <c r="H298" s="1656" t="s">
        <v>5374</v>
      </c>
      <c r="I298" s="1120" t="s">
        <v>5375</v>
      </c>
      <c r="J298" s="1656" t="s">
        <v>5376</v>
      </c>
      <c r="K298" s="1120" t="s">
        <v>5377</v>
      </c>
      <c r="L298" s="1656" t="s">
        <v>5378</v>
      </c>
      <c r="M298" s="1120" t="s">
        <v>5379</v>
      </c>
      <c r="N298" s="1656" t="s">
        <v>5380</v>
      </c>
      <c r="O298" s="1120" t="s">
        <v>5381</v>
      </c>
      <c r="P298" s="1656" t="s">
        <v>5382</v>
      </c>
      <c r="Q298" s="1120" t="s">
        <v>5383</v>
      </c>
      <c r="R298" s="1656" t="s">
        <v>5384</v>
      </c>
      <c r="S298" s="1120" t="s">
        <v>5385</v>
      </c>
      <c r="T298" s="1656" t="s">
        <v>5386</v>
      </c>
      <c r="U298" s="1120" t="s">
        <v>5387</v>
      </c>
      <c r="V298" s="1656" t="s">
        <v>5388</v>
      </c>
      <c r="W298" s="1120" t="s">
        <v>5389</v>
      </c>
      <c r="X298" s="1656" t="s">
        <v>5390</v>
      </c>
      <c r="Y298" s="1120" t="s">
        <v>5391</v>
      </c>
      <c r="Z298" s="1656" t="s">
        <v>5392</v>
      </c>
      <c r="AA298" s="1120" t="s">
        <v>5393</v>
      </c>
      <c r="AB298" s="1656" t="s">
        <v>5394</v>
      </c>
      <c r="AC298" s="1120" t="s">
        <v>5395</v>
      </c>
      <c r="AD298" s="1656" t="s">
        <v>5396</v>
      </c>
      <c r="AE298" s="1120" t="s">
        <v>5397</v>
      </c>
      <c r="AF298" s="1656" t="s">
        <v>5398</v>
      </c>
      <c r="AG298" s="1120" t="s">
        <v>5399</v>
      </c>
      <c r="AH298" s="1656" t="s">
        <v>5400</v>
      </c>
      <c r="AI298" s="1120" t="s">
        <v>5401</v>
      </c>
      <c r="AJ298" s="1656" t="s">
        <v>5402</v>
      </c>
      <c r="AK298" s="1659" t="s">
        <v>5403</v>
      </c>
      <c r="AL298" s="1742" t="s">
        <v>5404</v>
      </c>
      <c r="AM298" s="1120" t="s">
        <v>5405</v>
      </c>
      <c r="AN298" s="1197" t="str">
        <f>$CB298&amp;$CC298&amp;$CD298&amp;$CE298&amp;$CF298&amp;$CG298&amp;$CH298&amp;$CI298&amp;$CJ298&amp;$CK298&amp;$CL298&amp;$CM298&amp;$CN298&amp;$CO298&amp;$CP298&amp;$CQ298&amp;$CR298&amp;$CS298&amp;$CT298&amp;$CU298&amp;$CV298&amp;$CW298&amp;$CX298&amp;$CY298&amp;$CZ298&amp;$DA298</f>
        <v xml:space="preserve">* El Número de personas en seguimiento pertenecientes a Pueblos Originarios no puede superar el Total. * El Número de personas en seguimiento pertenecientes a Población Migrante no puede superar el Total. </v>
      </c>
      <c r="CB298" s="2195" t="str">
        <f>IF(AND($C298&lt;&gt;0,AL298=""),"* No olvide ingresar la columna Pueblos Originarios (Digite CERO si no tiene). ",IF(AL298&gt;$C298,"* El Número de personas en seguimiento pertenecientes a Pueblos Originarios no puede superar el Total. ",""))</f>
        <v xml:space="preserve">* El Número de personas en seguimiento pertenecientes a Pueblos Originarios no puede superar el Total. </v>
      </c>
      <c r="CC298" s="2195" t="str">
        <f>IF(AND($C298&lt;&gt;0,AM298=""),"* No olvide ingresar la columna Migrantes (Digite CERO si no tiene). ",IF(AM298&gt;$C298,"* El Número de personas en seguimiento pertenecientes a Población Migrante no puede superar el Total. ",""))</f>
        <v xml:space="preserve">* El Número de personas en seguimiento pertenecientes a Población Migrante no puede superar el Total. </v>
      </c>
      <c r="DB298" s="1446">
        <f>IF(AND($C298&lt;&gt;0,AL298=""),1,IF(AL298&gt;$C298,1,0))</f>
        <v>1</v>
      </c>
      <c r="DC298" s="1446">
        <f>IF(AND($C298&lt;&gt;0,AM298=""),1,IF(AM298&gt;$C298,1,0))</f>
        <v>1</v>
      </c>
    </row>
    <row r="308" spans="2:3" s="1199" customFormat="1" hidden="1" x14ac:dyDescent="0.3">
      <c r="B308" s="1199">
        <f>SUM(C296:C298,C290:C291,C280:C285,C270:C274,C262:C266,D236:E258,C225:D231,C214:D220,D187:E209,D160:E182,D151:Q155,D143:Q147,C122:D139,C100:D117,C78:D95,C56:D73,C34:D51,C12:D29)</f>
        <v>0</v>
      </c>
      <c r="C308" s="1199" t="e">
        <f>SUM(DB12:EA298)</f>
        <v>#VALUE!</v>
      </c>
    </row>
  </sheetData>
  <mergeCells count="465">
    <mergeCell ref="T268:T269"/>
    <mergeCell ref="U268:U269"/>
    <mergeCell ref="AD287:AD289"/>
    <mergeCell ref="AE287:AE289"/>
    <mergeCell ref="AL293:AL295"/>
    <mergeCell ref="AM293:AM295"/>
    <mergeCell ref="B293:B295"/>
    <mergeCell ref="C293:E294"/>
    <mergeCell ref="F293:AK293"/>
    <mergeCell ref="F294:G294"/>
    <mergeCell ref="H294:I294"/>
    <mergeCell ref="J294:K294"/>
    <mergeCell ref="L294:M294"/>
    <mergeCell ref="N294:O294"/>
    <mergeCell ref="P294:Q294"/>
    <mergeCell ref="R294:S294"/>
    <mergeCell ref="T294:U294"/>
    <mergeCell ref="V294:W294"/>
    <mergeCell ref="X294:Y294"/>
    <mergeCell ref="Z294:AA294"/>
    <mergeCell ref="AB294:AC294"/>
    <mergeCell ref="AD294:AE294"/>
    <mergeCell ref="AF294:AG294"/>
    <mergeCell ref="AH294:AI294"/>
    <mergeCell ref="AJ294:AK294"/>
    <mergeCell ref="B287:B289"/>
    <mergeCell ref="C287:E288"/>
    <mergeCell ref="F287:AC287"/>
    <mergeCell ref="F288:G288"/>
    <mergeCell ref="H288:I288"/>
    <mergeCell ref="J288:K288"/>
    <mergeCell ref="L288:M288"/>
    <mergeCell ref="N288:O288"/>
    <mergeCell ref="P288:Q288"/>
    <mergeCell ref="R288:S288"/>
    <mergeCell ref="T288:U288"/>
    <mergeCell ref="V288:W288"/>
    <mergeCell ref="X288:Y288"/>
    <mergeCell ref="Z288:AA288"/>
    <mergeCell ref="AB288:AC288"/>
    <mergeCell ref="AF277:AG277"/>
    <mergeCell ref="AH277:AI277"/>
    <mergeCell ref="AJ277:AK277"/>
    <mergeCell ref="C278:C279"/>
    <mergeCell ref="D278:D279"/>
    <mergeCell ref="E278:E279"/>
    <mergeCell ref="F278:G278"/>
    <mergeCell ref="H278:I278"/>
    <mergeCell ref="J278:K278"/>
    <mergeCell ref="L278:M278"/>
    <mergeCell ref="N278:O278"/>
    <mergeCell ref="P278:Q278"/>
    <mergeCell ref="R278:S278"/>
    <mergeCell ref="T278:U278"/>
    <mergeCell ref="V278:W278"/>
    <mergeCell ref="X278:Y278"/>
    <mergeCell ref="Z278:AA278"/>
    <mergeCell ref="AB278:AC278"/>
    <mergeCell ref="AD278:AE278"/>
    <mergeCell ref="AF278:AG278"/>
    <mergeCell ref="AH278:AI278"/>
    <mergeCell ref="AJ278:AK278"/>
    <mergeCell ref="B260:B261"/>
    <mergeCell ref="C260:C261"/>
    <mergeCell ref="D260:M260"/>
    <mergeCell ref="N260:N261"/>
    <mergeCell ref="O260:O261"/>
    <mergeCell ref="B268:B269"/>
    <mergeCell ref="C268:C269"/>
    <mergeCell ref="D268:S268"/>
    <mergeCell ref="B276:B279"/>
    <mergeCell ref="C276:E277"/>
    <mergeCell ref="F276:AK276"/>
    <mergeCell ref="F277:G277"/>
    <mergeCell ref="H277:I277"/>
    <mergeCell ref="J277:K277"/>
    <mergeCell ref="L277:M277"/>
    <mergeCell ref="N277:O277"/>
    <mergeCell ref="P277:Q277"/>
    <mergeCell ref="R277:S277"/>
    <mergeCell ref="T277:U277"/>
    <mergeCell ref="V277:W277"/>
    <mergeCell ref="X277:Y277"/>
    <mergeCell ref="Z277:AA277"/>
    <mergeCell ref="AB277:AC277"/>
    <mergeCell ref="AD277:AE277"/>
    <mergeCell ref="B236:B254"/>
    <mergeCell ref="B255:B258"/>
    <mergeCell ref="AF234:AG234"/>
    <mergeCell ref="AH234:AI234"/>
    <mergeCell ref="AJ234:AK234"/>
    <mergeCell ref="AL234:AM234"/>
    <mergeCell ref="AN234:AO234"/>
    <mergeCell ref="AP234:AQ234"/>
    <mergeCell ref="T234:U234"/>
    <mergeCell ref="V234:W234"/>
    <mergeCell ref="X234:Y234"/>
    <mergeCell ref="Z234:AA234"/>
    <mergeCell ref="AB234:AC234"/>
    <mergeCell ref="AD234:AE234"/>
    <mergeCell ref="B233:C235"/>
    <mergeCell ref="D233:E234"/>
    <mergeCell ref="AT233:AU234"/>
    <mergeCell ref="AV233:AW234"/>
    <mergeCell ref="AX233:AY234"/>
    <mergeCell ref="F234:G234"/>
    <mergeCell ref="H234:I234"/>
    <mergeCell ref="J234:K234"/>
    <mergeCell ref="L234:M234"/>
    <mergeCell ref="N234:O234"/>
    <mergeCell ref="P234:Q234"/>
    <mergeCell ref="R234:S234"/>
    <mergeCell ref="AR234:AS234"/>
    <mergeCell ref="F233:AK233"/>
    <mergeCell ref="AL233:AO233"/>
    <mergeCell ref="AP233:AS233"/>
    <mergeCell ref="AQ222:AQ224"/>
    <mergeCell ref="AR222:AR224"/>
    <mergeCell ref="E223:F223"/>
    <mergeCell ref="G223:H223"/>
    <mergeCell ref="I223:J223"/>
    <mergeCell ref="K223:L223"/>
    <mergeCell ref="M223:N223"/>
    <mergeCell ref="O223:P223"/>
    <mergeCell ref="Q223:R223"/>
    <mergeCell ref="S223:T223"/>
    <mergeCell ref="B222:B224"/>
    <mergeCell ref="C222:D223"/>
    <mergeCell ref="E222:AL222"/>
    <mergeCell ref="AM222:AN222"/>
    <mergeCell ref="AO222:AP222"/>
    <mergeCell ref="U223:V223"/>
    <mergeCell ref="W223:X223"/>
    <mergeCell ref="AC212:AD212"/>
    <mergeCell ref="AE212:AF212"/>
    <mergeCell ref="AG212:AH212"/>
    <mergeCell ref="AI212:AJ212"/>
    <mergeCell ref="AK212:AL212"/>
    <mergeCell ref="AM212:AM213"/>
    <mergeCell ref="AK223:AL223"/>
    <mergeCell ref="AM223:AM224"/>
    <mergeCell ref="AN223:AN224"/>
    <mergeCell ref="AO223:AO224"/>
    <mergeCell ref="AP223:AP224"/>
    <mergeCell ref="Y223:Z223"/>
    <mergeCell ref="AA223:AB223"/>
    <mergeCell ref="AC223:AD223"/>
    <mergeCell ref="AE223:AF223"/>
    <mergeCell ref="AG223:AH223"/>
    <mergeCell ref="AI223:AJ223"/>
    <mergeCell ref="AQ211:AQ213"/>
    <mergeCell ref="AR211:AR213"/>
    <mergeCell ref="E212:F212"/>
    <mergeCell ref="G212:H212"/>
    <mergeCell ref="I212:J212"/>
    <mergeCell ref="K212:L212"/>
    <mergeCell ref="M212:N212"/>
    <mergeCell ref="O212:P212"/>
    <mergeCell ref="Q212:R212"/>
    <mergeCell ref="S212:T212"/>
    <mergeCell ref="AN212:AN213"/>
    <mergeCell ref="AO212:AO213"/>
    <mergeCell ref="AP212:AP213"/>
    <mergeCell ref="B209:C209"/>
    <mergeCell ref="B211:B213"/>
    <mergeCell ref="C211:D212"/>
    <mergeCell ref="E211:AL211"/>
    <mergeCell ref="AM211:AN211"/>
    <mergeCell ref="AO211:AP211"/>
    <mergeCell ref="U212:V212"/>
    <mergeCell ref="W212:X212"/>
    <mergeCell ref="Y212:Z212"/>
    <mergeCell ref="AA212:AB212"/>
    <mergeCell ref="B205:C205"/>
    <mergeCell ref="B206:C206"/>
    <mergeCell ref="B207:C207"/>
    <mergeCell ref="B208:C208"/>
    <mergeCell ref="B194:C194"/>
    <mergeCell ref="B195:C195"/>
    <mergeCell ref="B196:B198"/>
    <mergeCell ref="B199:C199"/>
    <mergeCell ref="B200:C200"/>
    <mergeCell ref="B201:C201"/>
    <mergeCell ref="B190:C190"/>
    <mergeCell ref="B191:C191"/>
    <mergeCell ref="B192:C192"/>
    <mergeCell ref="B193:C193"/>
    <mergeCell ref="AJ185:AK185"/>
    <mergeCell ref="AL185:AM185"/>
    <mergeCell ref="AN185:AO185"/>
    <mergeCell ref="B202:C202"/>
    <mergeCell ref="B203:C203"/>
    <mergeCell ref="B187:C187"/>
    <mergeCell ref="X185:Y185"/>
    <mergeCell ref="Z185:AA185"/>
    <mergeCell ref="AB185:AC185"/>
    <mergeCell ref="AD185:AE185"/>
    <mergeCell ref="AF185:AG185"/>
    <mergeCell ref="AH185:AI185"/>
    <mergeCell ref="B188:C188"/>
    <mergeCell ref="B189:C189"/>
    <mergeCell ref="AL184:AO184"/>
    <mergeCell ref="AP184:AS184"/>
    <mergeCell ref="AT184:AU185"/>
    <mergeCell ref="AV184:AW185"/>
    <mergeCell ref="AX184:AY185"/>
    <mergeCell ref="F185:G185"/>
    <mergeCell ref="H185:I185"/>
    <mergeCell ref="J185:K185"/>
    <mergeCell ref="L185:M185"/>
    <mergeCell ref="N185:O185"/>
    <mergeCell ref="AP185:AQ185"/>
    <mergeCell ref="AR185:AS185"/>
    <mergeCell ref="B181:C181"/>
    <mergeCell ref="B182:C182"/>
    <mergeCell ref="B183:R183"/>
    <mergeCell ref="B184:C186"/>
    <mergeCell ref="D184:E185"/>
    <mergeCell ref="F184:AK184"/>
    <mergeCell ref="P185:Q185"/>
    <mergeCell ref="R185:S185"/>
    <mergeCell ref="T185:U185"/>
    <mergeCell ref="V185:W185"/>
    <mergeCell ref="B174:C174"/>
    <mergeCell ref="B175:C175"/>
    <mergeCell ref="B176:C176"/>
    <mergeCell ref="B178:C178"/>
    <mergeCell ref="B179:C179"/>
    <mergeCell ref="B180:C180"/>
    <mergeCell ref="B166:C166"/>
    <mergeCell ref="B167:C167"/>
    <mergeCell ref="B168:C168"/>
    <mergeCell ref="B169:B171"/>
    <mergeCell ref="B172:C172"/>
    <mergeCell ref="B173:C173"/>
    <mergeCell ref="B160:C160"/>
    <mergeCell ref="B161:C161"/>
    <mergeCell ref="B162:C162"/>
    <mergeCell ref="B163:C163"/>
    <mergeCell ref="B164:C164"/>
    <mergeCell ref="B165:C165"/>
    <mergeCell ref="AH158:AI158"/>
    <mergeCell ref="AJ158:AK158"/>
    <mergeCell ref="AL158:AM158"/>
    <mergeCell ref="AL157:AO157"/>
    <mergeCell ref="AP157:AS157"/>
    <mergeCell ref="AT157:AU158"/>
    <mergeCell ref="AV157:AW158"/>
    <mergeCell ref="AX157:AY158"/>
    <mergeCell ref="F158:G158"/>
    <mergeCell ref="H158:I158"/>
    <mergeCell ref="J158:K158"/>
    <mergeCell ref="L158:M158"/>
    <mergeCell ref="N158:O158"/>
    <mergeCell ref="AN158:AO158"/>
    <mergeCell ref="AP158:AQ158"/>
    <mergeCell ref="AR158:AS158"/>
    <mergeCell ref="V158:W158"/>
    <mergeCell ref="X158:Y158"/>
    <mergeCell ref="Z158:AA158"/>
    <mergeCell ref="AB158:AC158"/>
    <mergeCell ref="AD158:AE158"/>
    <mergeCell ref="AF158:AG158"/>
    <mergeCell ref="B151:C151"/>
    <mergeCell ref="B152:B154"/>
    <mergeCell ref="B155:C155"/>
    <mergeCell ref="B156:R156"/>
    <mergeCell ref="B157:C159"/>
    <mergeCell ref="D157:E158"/>
    <mergeCell ref="F157:AK157"/>
    <mergeCell ref="P158:Q158"/>
    <mergeCell ref="R158:S158"/>
    <mergeCell ref="T158:U158"/>
    <mergeCell ref="B143:C143"/>
    <mergeCell ref="B144:B146"/>
    <mergeCell ref="B147:C147"/>
    <mergeCell ref="B148:S148"/>
    <mergeCell ref="B149:C150"/>
    <mergeCell ref="D149:F149"/>
    <mergeCell ref="G149:I149"/>
    <mergeCell ref="J149:L149"/>
    <mergeCell ref="M149:O149"/>
    <mergeCell ref="P149:Q149"/>
    <mergeCell ref="B140:R140"/>
    <mergeCell ref="B141:C142"/>
    <mergeCell ref="D141:F141"/>
    <mergeCell ref="G141:I141"/>
    <mergeCell ref="J141:L141"/>
    <mergeCell ref="M141:O141"/>
    <mergeCell ref="P141:Q141"/>
    <mergeCell ref="AI120:AJ120"/>
    <mergeCell ref="AK120:AL120"/>
    <mergeCell ref="W120:X120"/>
    <mergeCell ref="Y120:Z120"/>
    <mergeCell ref="AA120:AB120"/>
    <mergeCell ref="AC120:AD120"/>
    <mergeCell ref="AE120:AF120"/>
    <mergeCell ref="AG120:AH120"/>
    <mergeCell ref="B119:B121"/>
    <mergeCell ref="C119:D120"/>
    <mergeCell ref="AU119:AV120"/>
    <mergeCell ref="AW119:AW121"/>
    <mergeCell ref="AX119:AX121"/>
    <mergeCell ref="E120:F120"/>
    <mergeCell ref="G120:H120"/>
    <mergeCell ref="I120:J120"/>
    <mergeCell ref="K120:L120"/>
    <mergeCell ref="M120:N120"/>
    <mergeCell ref="O120:P120"/>
    <mergeCell ref="Q120:R120"/>
    <mergeCell ref="AT120:AT121"/>
    <mergeCell ref="AM120:AN120"/>
    <mergeCell ref="AO120:AP120"/>
    <mergeCell ref="AQ120:AR120"/>
    <mergeCell ref="AS120:AS121"/>
    <mergeCell ref="E119:AR119"/>
    <mergeCell ref="AS119:AT119"/>
    <mergeCell ref="S120:T120"/>
    <mergeCell ref="U120:V120"/>
    <mergeCell ref="AW97:AW99"/>
    <mergeCell ref="AX97:AX99"/>
    <mergeCell ref="E98:F98"/>
    <mergeCell ref="G98:H98"/>
    <mergeCell ref="I98:J98"/>
    <mergeCell ref="K98:L98"/>
    <mergeCell ref="M98:N98"/>
    <mergeCell ref="O98:P98"/>
    <mergeCell ref="Q98:R98"/>
    <mergeCell ref="S98:T98"/>
    <mergeCell ref="AO98:AP98"/>
    <mergeCell ref="AQ98:AR98"/>
    <mergeCell ref="AS98:AS99"/>
    <mergeCell ref="AT98:AT99"/>
    <mergeCell ref="B97:B99"/>
    <mergeCell ref="C97:D98"/>
    <mergeCell ref="E97:AR97"/>
    <mergeCell ref="AS97:AT97"/>
    <mergeCell ref="AU97:AV98"/>
    <mergeCell ref="U98:V98"/>
    <mergeCell ref="W98:X98"/>
    <mergeCell ref="Y98:Z98"/>
    <mergeCell ref="AA98:AB98"/>
    <mergeCell ref="AC98:AD98"/>
    <mergeCell ref="AE98:AF98"/>
    <mergeCell ref="AG98:AH98"/>
    <mergeCell ref="AI98:AJ98"/>
    <mergeCell ref="AK98:AL98"/>
    <mergeCell ref="AM98:AN98"/>
    <mergeCell ref="AW75:AW77"/>
    <mergeCell ref="AX75:AX77"/>
    <mergeCell ref="E76:F76"/>
    <mergeCell ref="G76:H76"/>
    <mergeCell ref="I76:J76"/>
    <mergeCell ref="K76:L76"/>
    <mergeCell ref="M76:N76"/>
    <mergeCell ref="O76:P76"/>
    <mergeCell ref="Q76:R76"/>
    <mergeCell ref="AT76:AT77"/>
    <mergeCell ref="AI76:AJ76"/>
    <mergeCell ref="AK76:AL76"/>
    <mergeCell ref="AM76:AN76"/>
    <mergeCell ref="AO76:AP76"/>
    <mergeCell ref="AQ76:AR76"/>
    <mergeCell ref="AS76:AS77"/>
    <mergeCell ref="W76:X76"/>
    <mergeCell ref="Y76:Z76"/>
    <mergeCell ref="AA76:AB76"/>
    <mergeCell ref="AC76:AD76"/>
    <mergeCell ref="AE76:AF76"/>
    <mergeCell ref="AG76:AH76"/>
    <mergeCell ref="AU75:AV76"/>
    <mergeCell ref="B75:B77"/>
    <mergeCell ref="C75:D76"/>
    <mergeCell ref="E75:AR75"/>
    <mergeCell ref="AS75:AT75"/>
    <mergeCell ref="S76:T76"/>
    <mergeCell ref="U76:V76"/>
    <mergeCell ref="AC54:AD54"/>
    <mergeCell ref="AE54:AF54"/>
    <mergeCell ref="AG54:AH54"/>
    <mergeCell ref="AI54:AJ54"/>
    <mergeCell ref="AK54:AL54"/>
    <mergeCell ref="AM54:AN54"/>
    <mergeCell ref="B53:B55"/>
    <mergeCell ref="C53:D54"/>
    <mergeCell ref="AW53:AW55"/>
    <mergeCell ref="AX53:AX55"/>
    <mergeCell ref="E54:F54"/>
    <mergeCell ref="G54:H54"/>
    <mergeCell ref="I54:J54"/>
    <mergeCell ref="K54:L54"/>
    <mergeCell ref="M54:N54"/>
    <mergeCell ref="O54:P54"/>
    <mergeCell ref="Q54:R54"/>
    <mergeCell ref="S54:T54"/>
    <mergeCell ref="AO54:AP54"/>
    <mergeCell ref="AQ54:AR54"/>
    <mergeCell ref="AS54:AS55"/>
    <mergeCell ref="AT54:AT55"/>
    <mergeCell ref="E53:AR53"/>
    <mergeCell ref="AS53:AT53"/>
    <mergeCell ref="AU53:AV54"/>
    <mergeCell ref="U54:V54"/>
    <mergeCell ref="W54:X54"/>
    <mergeCell ref="Y54:Z54"/>
    <mergeCell ref="AA54:AB54"/>
    <mergeCell ref="AW31:AW33"/>
    <mergeCell ref="AX31:AX33"/>
    <mergeCell ref="E32:F32"/>
    <mergeCell ref="G32:H32"/>
    <mergeCell ref="I32:J32"/>
    <mergeCell ref="K32:L32"/>
    <mergeCell ref="M32:N32"/>
    <mergeCell ref="O32:P32"/>
    <mergeCell ref="Q32:R32"/>
    <mergeCell ref="AT32:AT33"/>
    <mergeCell ref="AI32:AJ32"/>
    <mergeCell ref="AK32:AL32"/>
    <mergeCell ref="AM32:AN32"/>
    <mergeCell ref="AO32:AP32"/>
    <mergeCell ref="AQ32:AR32"/>
    <mergeCell ref="AS32:AS33"/>
    <mergeCell ref="W32:X32"/>
    <mergeCell ref="Y32:Z32"/>
    <mergeCell ref="AA32:AB32"/>
    <mergeCell ref="AC32:AD32"/>
    <mergeCell ref="AE32:AF32"/>
    <mergeCell ref="AG32:AH32"/>
    <mergeCell ref="AU31:AV32"/>
    <mergeCell ref="B31:B33"/>
    <mergeCell ref="C31:D32"/>
    <mergeCell ref="E31:AR31"/>
    <mergeCell ref="AS31:AT31"/>
    <mergeCell ref="S32:T32"/>
    <mergeCell ref="U32:V32"/>
    <mergeCell ref="AC10:AD10"/>
    <mergeCell ref="AE10:AF10"/>
    <mergeCell ref="AG10:AH10"/>
    <mergeCell ref="AI10:AJ10"/>
    <mergeCell ref="AK10:AL10"/>
    <mergeCell ref="AM10:AN10"/>
    <mergeCell ref="AW9:AW11"/>
    <mergeCell ref="AX9:AX11"/>
    <mergeCell ref="E10:F10"/>
    <mergeCell ref="G10:H10"/>
    <mergeCell ref="I10:J10"/>
    <mergeCell ref="K10:L10"/>
    <mergeCell ref="M10:N10"/>
    <mergeCell ref="O10:P10"/>
    <mergeCell ref="Q10:R10"/>
    <mergeCell ref="S10:T10"/>
    <mergeCell ref="AO10:AP10"/>
    <mergeCell ref="AQ10:AR10"/>
    <mergeCell ref="AS10:AS11"/>
    <mergeCell ref="AT10:AT11"/>
    <mergeCell ref="B6:Q6"/>
    <mergeCell ref="B9:B11"/>
    <mergeCell ref="C9:D10"/>
    <mergeCell ref="E9:AR9"/>
    <mergeCell ref="AS9:AT9"/>
    <mergeCell ref="AU9:AV10"/>
    <mergeCell ref="U10:V10"/>
    <mergeCell ref="W10:X10"/>
    <mergeCell ref="Y10:Z10"/>
    <mergeCell ref="AA10:AB10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6"/>
  <dimension ref="A1:DA101"/>
  <sheetViews>
    <sheetView showGridLines="0" zoomScaleNormal="100" workbookViewId="0"/>
  </sheetViews>
  <sheetFormatPr baseColWidth="10" defaultColWidth="11.44140625" defaultRowHeight="14.4" x14ac:dyDescent="0.3"/>
  <cols>
    <col min="1" max="1" width="14" style="1192" customWidth="1"/>
    <col min="2" max="2" width="60.109375" style="2274" customWidth="1"/>
    <col min="3" max="3" width="12" style="1192" customWidth="1"/>
    <col min="4" max="4" width="12.6640625" style="1192" customWidth="1"/>
    <col min="5" max="20" width="11.44140625" style="1192"/>
    <col min="21" max="21" width="13" style="1192" bestFit="1" customWidth="1"/>
    <col min="22" max="79" width="11.44140625" style="1192"/>
    <col min="80" max="105" width="11.44140625" style="2273" hidden="1" customWidth="1"/>
    <col min="106" max="16384" width="11.44140625" style="1192"/>
  </cols>
  <sheetData>
    <row r="1" spans="1:91" x14ac:dyDescent="0.3">
      <c r="B1" s="150" t="s">
        <v>207</v>
      </c>
    </row>
    <row r="2" spans="1:91" x14ac:dyDescent="0.3">
      <c r="B2" s="150" t="str">
        <f>CONCATENATE("COMUNA: ",NOMBRE!B2," - ","( ",NOMBRE!C2,NOMBRE!D2,NOMBRE!E2,NOMBRE!F2,NOMBRE!G2," )")</f>
        <v>COMUNA:  - (  )</v>
      </c>
    </row>
    <row r="3" spans="1:91" x14ac:dyDescent="0.3">
      <c r="B3" s="150" t="str">
        <f>CONCATENATE("ESTABLECIMIENTO/ESTRATEGIA: ",NOMBRE!B3," - ","( ",NOMBRE!C3,NOMBRE!D3,NOMBRE!E3,NOMBRE!F3,NOMBRE!G3,NOMBRE!H3," )")</f>
        <v>ESTABLECIMIENTO/ESTRATEGIA:  - (  )</v>
      </c>
    </row>
    <row r="4" spans="1:91" x14ac:dyDescent="0.3">
      <c r="B4" s="150" t="str">
        <f>CONCATENATE("MES: ",NOMBRE!B6," - ","( ",NOMBRE!C6,NOMBRE!D6," )")</f>
        <v>MES:  - (  )</v>
      </c>
    </row>
    <row r="5" spans="1:91" x14ac:dyDescent="0.3">
      <c r="B5" s="150" t="str">
        <f>CONCATENATE("AÑO: ",NOMBRE!B7)</f>
        <v>AÑO: 2023</v>
      </c>
    </row>
    <row r="6" spans="1:91" ht="20.25" customHeight="1" x14ac:dyDescent="0.3">
      <c r="B6" s="8629" t="s">
        <v>2344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594"/>
      <c r="P6" s="594"/>
      <c r="Q6" s="594"/>
      <c r="R6" s="594"/>
      <c r="S6" s="594"/>
    </row>
    <row r="8" spans="1:91" ht="29.25" customHeight="1" x14ac:dyDescent="0.3">
      <c r="B8" s="10126" t="s">
        <v>2295</v>
      </c>
      <c r="C8" s="10126"/>
      <c r="D8" s="10126"/>
      <c r="E8" s="2275"/>
      <c r="F8" s="2275"/>
      <c r="G8" s="2275"/>
      <c r="H8" s="2275"/>
    </row>
    <row r="9" spans="1:91" ht="17.25" customHeight="1" x14ac:dyDescent="0.3">
      <c r="A9" s="7311"/>
      <c r="B9" s="10099"/>
      <c r="C9" s="10101" t="s">
        <v>44</v>
      </c>
      <c r="D9" s="10103" t="s">
        <v>540</v>
      </c>
      <c r="E9" s="10104"/>
      <c r="F9" s="10104"/>
      <c r="G9" s="10104"/>
      <c r="H9" s="10104"/>
      <c r="I9" s="10104"/>
      <c r="J9" s="10104"/>
      <c r="K9" s="10104"/>
      <c r="L9" s="10105"/>
      <c r="M9" s="10106" t="s">
        <v>362</v>
      </c>
      <c r="N9" s="10108" t="s">
        <v>361</v>
      </c>
      <c r="CH9" s="2276"/>
      <c r="CI9" s="2276"/>
      <c r="CJ9" s="2276"/>
      <c r="CK9" s="2276"/>
      <c r="CL9" s="2276"/>
      <c r="CM9" s="2276"/>
    </row>
    <row r="10" spans="1:91" ht="22.5" customHeight="1" x14ac:dyDescent="0.3">
      <c r="A10" s="7311"/>
      <c r="B10" s="10100"/>
      <c r="C10" s="10102"/>
      <c r="D10" s="2277" t="s">
        <v>32</v>
      </c>
      <c r="E10" s="2278" t="s">
        <v>33</v>
      </c>
      <c r="F10" s="2278" t="s">
        <v>40</v>
      </c>
      <c r="G10" s="2278" t="s">
        <v>115</v>
      </c>
      <c r="H10" s="2278" t="s">
        <v>116</v>
      </c>
      <c r="I10" s="2278" t="s">
        <v>117</v>
      </c>
      <c r="J10" s="2278" t="s">
        <v>118</v>
      </c>
      <c r="K10" s="2278" t="s">
        <v>119</v>
      </c>
      <c r="L10" s="2279" t="s">
        <v>120</v>
      </c>
      <c r="M10" s="10107"/>
      <c r="N10" s="10109"/>
      <c r="CH10" s="2276"/>
      <c r="CI10" s="2276"/>
      <c r="CJ10" s="2276"/>
      <c r="CK10" s="2276"/>
      <c r="CL10" s="2276"/>
      <c r="CM10" s="2276"/>
    </row>
    <row r="11" spans="1:91" ht="32.25" customHeight="1" x14ac:dyDescent="0.3">
      <c r="A11" s="7313"/>
      <c r="B11" s="2280" t="s">
        <v>2296</v>
      </c>
      <c r="C11" s="6997"/>
      <c r="D11" s="6998"/>
      <c r="E11" s="6999"/>
      <c r="F11" s="6999"/>
      <c r="G11" s="6999"/>
      <c r="H11" s="6999"/>
      <c r="I11" s="6999"/>
      <c r="J11" s="6999"/>
      <c r="K11" s="6999"/>
      <c r="L11" s="7000"/>
      <c r="M11" s="7001"/>
      <c r="N11" s="2281"/>
      <c r="CH11" s="2276"/>
      <c r="CI11" s="2276"/>
      <c r="CJ11" s="2276"/>
      <c r="CK11" s="2276"/>
      <c r="CL11" s="2276"/>
      <c r="CM11" s="2276"/>
    </row>
    <row r="12" spans="1:91" ht="25.5" customHeight="1" x14ac:dyDescent="0.3">
      <c r="A12" s="7263">
        <v>11061000</v>
      </c>
      <c r="B12" s="2282" t="s">
        <v>2360</v>
      </c>
      <c r="C12" s="2283" t="s">
        <v>5369</v>
      </c>
      <c r="D12" s="1885" t="s">
        <v>5370</v>
      </c>
      <c r="E12" s="1669" t="s">
        <v>5371</v>
      </c>
      <c r="F12" s="1669" t="s">
        <v>5372</v>
      </c>
      <c r="G12" s="1669" t="s">
        <v>5373</v>
      </c>
      <c r="H12" s="1669" t="s">
        <v>5374</v>
      </c>
      <c r="I12" s="1669" t="s">
        <v>5375</v>
      </c>
      <c r="J12" s="1669" t="s">
        <v>5376</v>
      </c>
      <c r="K12" s="1669" t="s">
        <v>5377</v>
      </c>
      <c r="L12" s="1790" t="s">
        <v>5378</v>
      </c>
      <c r="M12" s="1937" t="s">
        <v>5379</v>
      </c>
      <c r="N12" s="918" t="s">
        <v>5380</v>
      </c>
      <c r="O12" s="1192" t="str">
        <f>CONCATENATE($CB12,$CC12)</f>
        <v xml:space="preserve">* El Número de personas en tratamiento pertenecientes a Pueblos Originarios no puede superar el Total. * El Número de personas en tratamiento pertenecientes a Población Migrante no puede superar el Total. </v>
      </c>
      <c r="CB12" s="2195" t="str">
        <f>IF(AND($C12&lt;&gt;0,M12=""),"* No olvide ingresar la columna Pueblos Originarios (Digite CERO si no tiene). ",IF(M12&gt;$C12,"* El Número de personas en tratamiento pertenecientes a Pueblos Originarios no puede superar el Total. ",""))</f>
        <v xml:space="preserve">* El Número de personas en tratamiento pertenecientes a Pueblos Originarios no puede superar el Total. </v>
      </c>
      <c r="CC12" s="2195" t="str">
        <f>IF(AND($C12&lt;&gt;0,N12=""),"* No olvide ingresar la columna Migrantes (Digite CERO si no tiene). ",IF(N12&gt;$C12,"* El Número de personas en tratamiento pertenecientes a Población Migrante no puede superar el Total. ",""))</f>
        <v xml:space="preserve">* El Número de personas en tratamiento pertenecientes a Población Migrante no puede superar el Total. </v>
      </c>
      <c r="CH12" s="1446">
        <f t="shared" ref="CH12:CI19" si="0">IF(AND($C12&lt;&gt;0,M12=""),1,IF(M12&gt;$C12,1,0))</f>
        <v>1</v>
      </c>
      <c r="CI12" s="1446">
        <f t="shared" si="0"/>
        <v>1</v>
      </c>
      <c r="CJ12" s="2276"/>
      <c r="CK12" s="2276"/>
      <c r="CL12" s="2276"/>
      <c r="CM12" s="2276"/>
    </row>
    <row r="13" spans="1:91" ht="21.75" customHeight="1" x14ac:dyDescent="0.3">
      <c r="A13" s="7263">
        <v>11061010</v>
      </c>
      <c r="B13" s="2284" t="s">
        <v>2361</v>
      </c>
      <c r="C13" s="2285" t="s">
        <v>5369</v>
      </c>
      <c r="D13" s="1656" t="s">
        <v>5370</v>
      </c>
      <c r="E13" s="758" t="s">
        <v>5371</v>
      </c>
      <c r="F13" s="758" t="s">
        <v>5372</v>
      </c>
      <c r="G13" s="758" t="s">
        <v>5373</v>
      </c>
      <c r="H13" s="758" t="s">
        <v>5374</v>
      </c>
      <c r="I13" s="758" t="s">
        <v>5375</v>
      </c>
      <c r="J13" s="758" t="s">
        <v>5376</v>
      </c>
      <c r="K13" s="758" t="s">
        <v>5377</v>
      </c>
      <c r="L13" s="2286" t="s">
        <v>5378</v>
      </c>
      <c r="M13" s="1936" t="s">
        <v>5379</v>
      </c>
      <c r="N13" s="1697" t="s">
        <v>5380</v>
      </c>
      <c r="O13" s="1192" t="str">
        <f t="shared" ref="O13:O19" si="1">CONCATENATE($CB13,$CC13)</f>
        <v xml:space="preserve">* El Número de personas en tratamiento pertenecientes a Pueblos Originarios no puede superar el Total. * El Número de personas en tratamiento pertenecientes a Población Migrante no puede superar el Total. </v>
      </c>
      <c r="CB13" s="2195" t="str">
        <f t="shared" ref="CB13:CB19" si="2">IF(AND($C13&lt;&gt;0,M13=""),"* No olvide ingresar la columna Pueblos Originarios (Digite CERO si no tiene). ",IF(M13&gt;$C13,"* El Número de personas en tratamiento pertenecientes a Pueblos Originarios no puede superar el Total. ",""))</f>
        <v xml:space="preserve">* El Número de personas en tratamiento pertenecientes a Pueblos Originarios no puede superar el Total. </v>
      </c>
      <c r="CC13" s="2195" t="str">
        <f t="shared" ref="CC13:CC19" si="3">IF(AND($C13&lt;&gt;0,N13=""),"* No olvide ingresar la columna Migrantes (Digite CERO si no tiene). ",IF(N13&gt;$C13,"* El Número de personas en tratamiento pertenecientes a Población Migrante no puede superar el Total. ",""))</f>
        <v xml:space="preserve">* El Número de personas en tratamiento pertenecientes a Población Migrante no puede superar el Total. </v>
      </c>
      <c r="CH13" s="1446">
        <f t="shared" si="0"/>
        <v>1</v>
      </c>
      <c r="CI13" s="1446">
        <f t="shared" si="0"/>
        <v>1</v>
      </c>
      <c r="CJ13" s="2276"/>
      <c r="CK13" s="2276"/>
      <c r="CL13" s="2276"/>
      <c r="CM13" s="2276"/>
    </row>
    <row r="14" spans="1:91" ht="26.25" customHeight="1" x14ac:dyDescent="0.3">
      <c r="A14" s="7313"/>
      <c r="B14" s="2280" t="s">
        <v>2297</v>
      </c>
      <c r="C14" s="2287"/>
      <c r="D14" s="7002"/>
      <c r="E14" s="7003"/>
      <c r="F14" s="7003"/>
      <c r="G14" s="7003"/>
      <c r="H14" s="7003"/>
      <c r="I14" s="7003"/>
      <c r="J14" s="7003"/>
      <c r="K14" s="7003"/>
      <c r="L14" s="7004"/>
      <c r="M14" s="7005"/>
      <c r="N14" s="7006"/>
      <c r="CB14" s="2195" t="str">
        <f t="shared" si="2"/>
        <v/>
      </c>
      <c r="CC14" s="2195" t="str">
        <f t="shared" si="3"/>
        <v/>
      </c>
      <c r="CH14" s="1446">
        <f t="shared" si="0"/>
        <v>0</v>
      </c>
      <c r="CI14" s="1446">
        <f t="shared" si="0"/>
        <v>0</v>
      </c>
      <c r="CJ14" s="2276"/>
      <c r="CK14" s="2276"/>
      <c r="CL14" s="2276"/>
      <c r="CM14" s="2276"/>
    </row>
    <row r="15" spans="1:91" ht="27" customHeight="1" x14ac:dyDescent="0.3">
      <c r="A15" s="7263">
        <v>11061020</v>
      </c>
      <c r="B15" s="2282" t="s">
        <v>2362</v>
      </c>
      <c r="C15" s="2288" t="s">
        <v>5369</v>
      </c>
      <c r="D15" s="1885" t="s">
        <v>5370</v>
      </c>
      <c r="E15" s="1669" t="s">
        <v>5371</v>
      </c>
      <c r="F15" s="1669" t="s">
        <v>5372</v>
      </c>
      <c r="G15" s="1669" t="s">
        <v>5373</v>
      </c>
      <c r="H15" s="1669" t="s">
        <v>5374</v>
      </c>
      <c r="I15" s="1669" t="s">
        <v>5375</v>
      </c>
      <c r="J15" s="1669" t="s">
        <v>5376</v>
      </c>
      <c r="K15" s="1669" t="s">
        <v>5377</v>
      </c>
      <c r="L15" s="1790" t="s">
        <v>5378</v>
      </c>
      <c r="M15" s="1937" t="s">
        <v>5379</v>
      </c>
      <c r="N15" s="918" t="s">
        <v>5380</v>
      </c>
      <c r="O15" s="1192" t="str">
        <f t="shared" si="1"/>
        <v xml:space="preserve">* El Número de personas en tratamiento pertenecientes a Pueblos Originarios no puede superar el Total. * El Número de personas en tratamiento pertenecientes a Población Migrante no puede superar el Total. </v>
      </c>
      <c r="CB15" s="2195" t="str">
        <f t="shared" si="2"/>
        <v xml:space="preserve">* El Número de personas en tratamiento pertenecientes a Pueblos Originarios no puede superar el Total. </v>
      </c>
      <c r="CC15" s="2195" t="str">
        <f t="shared" si="3"/>
        <v xml:space="preserve">* El Número de personas en tratamiento pertenecientes a Población Migrante no puede superar el Total. </v>
      </c>
      <c r="CH15" s="1446">
        <f t="shared" si="0"/>
        <v>1</v>
      </c>
      <c r="CI15" s="1446">
        <f t="shared" si="0"/>
        <v>1</v>
      </c>
      <c r="CJ15" s="2276"/>
      <c r="CK15" s="2276"/>
      <c r="CL15" s="2276"/>
      <c r="CM15" s="2276"/>
    </row>
    <row r="16" spans="1:91" ht="22.5" customHeight="1" x14ac:dyDescent="0.3">
      <c r="A16" s="7263">
        <v>11061030</v>
      </c>
      <c r="B16" s="2284" t="s">
        <v>2363</v>
      </c>
      <c r="C16" s="2285" t="s">
        <v>5369</v>
      </c>
      <c r="D16" s="1656" t="s">
        <v>5370</v>
      </c>
      <c r="E16" s="758" t="s">
        <v>5371</v>
      </c>
      <c r="F16" s="758" t="s">
        <v>5372</v>
      </c>
      <c r="G16" s="758" t="s">
        <v>5373</v>
      </c>
      <c r="H16" s="758" t="s">
        <v>5374</v>
      </c>
      <c r="I16" s="758" t="s">
        <v>5375</v>
      </c>
      <c r="J16" s="758" t="s">
        <v>5376</v>
      </c>
      <c r="K16" s="758" t="s">
        <v>5377</v>
      </c>
      <c r="L16" s="2286" t="s">
        <v>5378</v>
      </c>
      <c r="M16" s="1936" t="s">
        <v>5379</v>
      </c>
      <c r="N16" s="1697" t="s">
        <v>5380</v>
      </c>
      <c r="O16" s="1192" t="str">
        <f t="shared" si="1"/>
        <v xml:space="preserve">* El Número de personas en tratamiento pertenecientes a Pueblos Originarios no puede superar el Total. * El Número de personas en tratamiento pertenecientes a Población Migrante no puede superar el Total. </v>
      </c>
      <c r="CB16" s="2195" t="str">
        <f t="shared" si="2"/>
        <v xml:space="preserve">* El Número de personas en tratamiento pertenecientes a Pueblos Originarios no puede superar el Total. </v>
      </c>
      <c r="CC16" s="2195" t="str">
        <f t="shared" si="3"/>
        <v xml:space="preserve">* El Número de personas en tratamiento pertenecientes a Población Migrante no puede superar el Total. </v>
      </c>
      <c r="CH16" s="1446">
        <f t="shared" si="0"/>
        <v>1</v>
      </c>
      <c r="CI16" s="1446">
        <f t="shared" si="0"/>
        <v>1</v>
      </c>
      <c r="CJ16" s="2276"/>
      <c r="CK16" s="2276"/>
      <c r="CL16" s="2276"/>
      <c r="CM16" s="2276"/>
    </row>
    <row r="17" spans="1:91" ht="26.25" customHeight="1" x14ac:dyDescent="0.3">
      <c r="A17" s="7313"/>
      <c r="B17" s="2280" t="s">
        <v>2298</v>
      </c>
      <c r="C17" s="7007"/>
      <c r="D17" s="7002"/>
      <c r="E17" s="7003"/>
      <c r="F17" s="7003"/>
      <c r="G17" s="7003"/>
      <c r="H17" s="7003"/>
      <c r="I17" s="7003"/>
      <c r="J17" s="7003"/>
      <c r="K17" s="7003"/>
      <c r="L17" s="7004"/>
      <c r="M17" s="7005"/>
      <c r="N17" s="7006"/>
      <c r="CB17" s="2195" t="str">
        <f t="shared" si="2"/>
        <v/>
      </c>
      <c r="CC17" s="2195" t="str">
        <f t="shared" si="3"/>
        <v/>
      </c>
      <c r="CH17" s="1446">
        <f t="shared" si="0"/>
        <v>0</v>
      </c>
      <c r="CI17" s="1446">
        <f t="shared" si="0"/>
        <v>0</v>
      </c>
      <c r="CJ17" s="2276"/>
      <c r="CK17" s="2276"/>
      <c r="CL17" s="2276"/>
      <c r="CM17" s="2276"/>
    </row>
    <row r="18" spans="1:91" ht="36" customHeight="1" x14ac:dyDescent="0.3">
      <c r="A18" s="7263">
        <v>11061040</v>
      </c>
      <c r="B18" s="2289" t="s">
        <v>2364</v>
      </c>
      <c r="C18" s="2290" t="s">
        <v>5369</v>
      </c>
      <c r="D18" s="1885" t="s">
        <v>5370</v>
      </c>
      <c r="E18" s="1669" t="s">
        <v>5371</v>
      </c>
      <c r="F18" s="1669" t="s">
        <v>5372</v>
      </c>
      <c r="G18" s="1669" t="s">
        <v>5373</v>
      </c>
      <c r="H18" s="1669" t="s">
        <v>5374</v>
      </c>
      <c r="I18" s="1669" t="s">
        <v>5375</v>
      </c>
      <c r="J18" s="1669" t="s">
        <v>5376</v>
      </c>
      <c r="K18" s="1669" t="s">
        <v>5377</v>
      </c>
      <c r="L18" s="1790" t="s">
        <v>5378</v>
      </c>
      <c r="M18" s="1937" t="s">
        <v>5379</v>
      </c>
      <c r="N18" s="918" t="s">
        <v>5380</v>
      </c>
      <c r="O18" s="1192" t="str">
        <f t="shared" si="1"/>
        <v xml:space="preserve">* El Número de personas en tratamiento pertenecientes a Pueblos Originarios no puede superar el Total. * El Número de personas en tratamiento pertenecientes a Población Migrante no puede superar el Total. </v>
      </c>
      <c r="CB18" s="2195" t="str">
        <f t="shared" si="2"/>
        <v xml:space="preserve">* El Número de personas en tratamiento pertenecientes a Pueblos Originarios no puede superar el Total. </v>
      </c>
      <c r="CC18" s="2195" t="str">
        <f t="shared" si="3"/>
        <v xml:space="preserve">* El Número de personas en tratamiento pertenecientes a Población Migrante no puede superar el Total. </v>
      </c>
      <c r="CH18" s="1446">
        <f t="shared" si="0"/>
        <v>1</v>
      </c>
      <c r="CI18" s="1446">
        <f t="shared" si="0"/>
        <v>1</v>
      </c>
      <c r="CJ18" s="2276"/>
      <c r="CK18" s="2276"/>
      <c r="CL18" s="2276"/>
      <c r="CM18" s="2276"/>
    </row>
    <row r="19" spans="1:91" ht="24" customHeight="1" x14ac:dyDescent="0.3">
      <c r="A19" s="7263">
        <v>11061050</v>
      </c>
      <c r="B19" s="2284" t="s">
        <v>2363</v>
      </c>
      <c r="C19" s="2285" t="s">
        <v>5369</v>
      </c>
      <c r="D19" s="1656" t="s">
        <v>5370</v>
      </c>
      <c r="E19" s="758" t="s">
        <v>5371</v>
      </c>
      <c r="F19" s="758" t="s">
        <v>5372</v>
      </c>
      <c r="G19" s="758" t="s">
        <v>5373</v>
      </c>
      <c r="H19" s="758" t="s">
        <v>5374</v>
      </c>
      <c r="I19" s="758" t="s">
        <v>5375</v>
      </c>
      <c r="J19" s="758" t="s">
        <v>5376</v>
      </c>
      <c r="K19" s="758" t="s">
        <v>5377</v>
      </c>
      <c r="L19" s="2286" t="s">
        <v>5378</v>
      </c>
      <c r="M19" s="1936" t="s">
        <v>5379</v>
      </c>
      <c r="N19" s="1697" t="s">
        <v>5380</v>
      </c>
      <c r="O19" s="1192" t="str">
        <f t="shared" si="1"/>
        <v xml:space="preserve">* El Número de personas en tratamiento pertenecientes a Pueblos Originarios no puede superar el Total. * El Número de personas en tratamiento pertenecientes a Población Migrante no puede superar el Total. </v>
      </c>
      <c r="CB19" s="2195" t="str">
        <f t="shared" si="2"/>
        <v xml:space="preserve">* El Número de personas en tratamiento pertenecientes a Pueblos Originarios no puede superar el Total. </v>
      </c>
      <c r="CC19" s="2195" t="str">
        <f t="shared" si="3"/>
        <v xml:space="preserve">* El Número de personas en tratamiento pertenecientes a Población Migrante no puede superar el Total. </v>
      </c>
      <c r="CH19" s="1446">
        <f t="shared" si="0"/>
        <v>1</v>
      </c>
      <c r="CI19" s="1446">
        <f t="shared" si="0"/>
        <v>1</v>
      </c>
      <c r="CJ19" s="2276"/>
      <c r="CK19" s="2276"/>
      <c r="CL19" s="2276"/>
      <c r="CM19" s="2276"/>
    </row>
    <row r="20" spans="1:91" ht="29.25" customHeight="1" x14ac:dyDescent="0.3">
      <c r="B20" s="10111" t="s">
        <v>2299</v>
      </c>
      <c r="C20" s="10111"/>
      <c r="D20" s="10111"/>
      <c r="E20" s="10111"/>
      <c r="F20" s="10111"/>
      <c r="G20" s="2291"/>
      <c r="H20" s="2291"/>
      <c r="I20" s="10111"/>
      <c r="J20" s="10111"/>
      <c r="K20" s="10111"/>
      <c r="L20" s="10111"/>
      <c r="CH20" s="2276"/>
      <c r="CI20" s="2276"/>
      <c r="CJ20" s="2276"/>
      <c r="CK20" s="2276"/>
      <c r="CL20" s="2276"/>
      <c r="CM20" s="2276"/>
    </row>
    <row r="21" spans="1:91" ht="26.25" customHeight="1" x14ac:dyDescent="0.3">
      <c r="A21" s="7311"/>
      <c r="B21" s="2292"/>
      <c r="C21" s="2293" t="s">
        <v>44</v>
      </c>
      <c r="D21" s="2294" t="s">
        <v>362</v>
      </c>
      <c r="E21" s="2188" t="s">
        <v>361</v>
      </c>
      <c r="CH21" s="2276"/>
      <c r="CI21" s="2276"/>
      <c r="CJ21" s="2276"/>
      <c r="CK21" s="2276"/>
      <c r="CL21" s="2276"/>
      <c r="CM21" s="2276"/>
    </row>
    <row r="22" spans="1:91" ht="36" customHeight="1" x14ac:dyDescent="0.3">
      <c r="A22" s="7263">
        <v>11061060</v>
      </c>
      <c r="B22" s="2289" t="s">
        <v>2332</v>
      </c>
      <c r="C22" s="2295" t="s">
        <v>5369</v>
      </c>
      <c r="D22" s="2296" t="s">
        <v>5370</v>
      </c>
      <c r="E22" s="1787" t="s">
        <v>5371</v>
      </c>
      <c r="F22" s="1192" t="str">
        <f>CONCATENATE($CB22,$CC22)</f>
        <v xml:space="preserve">* El Número de recién nacidos pertenecientes a Pueblos Originarios no puede superar el Total. * El Número de recién nacidos en tratamiento pertenecientes a Población Migrante no puede superar el Total. </v>
      </c>
      <c r="CB22" s="2195" t="str">
        <f>IF(AND($C22&lt;&gt;0,D22=""),"* No olvide ingresar la columna Pueblos Originarios (Digite CERO si no tiene). ",IF(D22&gt;$C22,"* El Número de recién nacidos pertenecientes a Pueblos Originarios no puede superar el Total. ",""))</f>
        <v xml:space="preserve">* El Número de recién nacidos pertenecientes a Pueblos Originarios no puede superar el Total. </v>
      </c>
      <c r="CC22" s="2195" t="str">
        <f>IF(AND($C22&lt;&gt;0,E22=""),"* No olvide ingresar la columna Migrantes (Digite CERO si no tiene). ",IF(E22&gt;$C22,"*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22" s="1446">
        <f>IF(AND($C22&lt;&gt;0,D22=""),1,IF(D22&gt;$C22,1,0))</f>
        <v>1</v>
      </c>
      <c r="CI22" s="1446">
        <f>IF(AND($C22&lt;&gt;0,E22=""),1,IF(E22&gt;$C22,1,0))</f>
        <v>1</v>
      </c>
      <c r="CJ22" s="2276"/>
      <c r="CK22" s="2276"/>
      <c r="CL22" s="2276"/>
      <c r="CM22" s="2276"/>
    </row>
    <row r="23" spans="1:91" ht="41.25" customHeight="1" x14ac:dyDescent="0.3">
      <c r="A23" s="7263">
        <v>11061070</v>
      </c>
      <c r="B23" s="2297" t="s">
        <v>2333</v>
      </c>
      <c r="C23" s="1647" t="s">
        <v>5369</v>
      </c>
      <c r="D23" s="1936" t="s">
        <v>5370</v>
      </c>
      <c r="E23" s="1697" t="s">
        <v>5371</v>
      </c>
      <c r="F23" s="1192" t="str">
        <f>CONCATENATE($CB23,$CC23)</f>
        <v xml:space="preserve">* El Número de recién nacidos pertenecientes a Pueblos Originarios no puede superar el Total. * El Número de recién nacidos en tratamiento pertenecientes a Población Migrante no puede superar el Total. </v>
      </c>
      <c r="CB23" s="2195" t="str">
        <f>IF(AND($C23&lt;&gt;0,D23=""),"* No olvide ingresar la columna Pueblos Originarios (Digite CERO si no tiene). ",IF(D23&gt;$C23,"* El Número de recién nacidos pertenecientes a Pueblos Originarios no puede superar el Total. ",""))</f>
        <v xml:space="preserve">* El Número de recién nacidos pertenecientes a Pueblos Originarios no puede superar el Total. </v>
      </c>
      <c r="CC23" s="2195" t="str">
        <f>IF(AND($C23&lt;&gt;0,E23=""),"* No olvide ingresar la columna Migrantes (Digite CERO si no tiene). ",IF(E23&gt;$C23,"*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23" s="1446">
        <f>IF(AND($C23&lt;&gt;0,D23=""),1,IF(D23&gt;$C23,1,0))</f>
        <v>1</v>
      </c>
      <c r="CI23" s="1446">
        <f>IF(AND($C23&lt;&gt;0,E23=""),1,IF(E23&gt;$C23,1,0))</f>
        <v>1</v>
      </c>
      <c r="CJ23" s="2276"/>
      <c r="CK23" s="2276"/>
      <c r="CL23" s="2276"/>
      <c r="CM23" s="2276"/>
    </row>
    <row r="24" spans="1:91" ht="30" customHeight="1" x14ac:dyDescent="0.3">
      <c r="B24" s="10110" t="s">
        <v>2300</v>
      </c>
      <c r="C24" s="10110"/>
      <c r="D24" s="10110"/>
      <c r="E24" s="10110"/>
      <c r="F24" s="10110"/>
      <c r="G24" s="10110"/>
      <c r="H24" s="10110"/>
      <c r="CH24" s="2276"/>
      <c r="CI24" s="2276"/>
      <c r="CJ24" s="2276"/>
      <c r="CK24" s="2276"/>
      <c r="CL24" s="2276"/>
      <c r="CM24" s="2276"/>
    </row>
    <row r="25" spans="1:91" x14ac:dyDescent="0.3">
      <c r="A25" s="7311"/>
      <c r="B25" s="10099"/>
      <c r="C25" s="10123" t="s">
        <v>44</v>
      </c>
      <c r="D25" s="10125" t="s">
        <v>540</v>
      </c>
      <c r="E25" s="10104"/>
      <c r="F25" s="10104"/>
      <c r="G25" s="10104"/>
      <c r="H25" s="10104"/>
      <c r="I25" s="10104"/>
      <c r="J25" s="10104"/>
      <c r="K25" s="10104"/>
      <c r="L25" s="10105"/>
      <c r="M25" s="10116" t="s">
        <v>362</v>
      </c>
      <c r="N25" s="10097" t="s">
        <v>361</v>
      </c>
      <c r="CH25" s="2276"/>
      <c r="CI25" s="2276"/>
      <c r="CJ25" s="2276"/>
      <c r="CK25" s="2276"/>
      <c r="CL25" s="2276"/>
      <c r="CM25" s="2276"/>
    </row>
    <row r="26" spans="1:91" ht="21" customHeight="1" x14ac:dyDescent="0.3">
      <c r="A26" s="7311"/>
      <c r="B26" s="10100"/>
      <c r="C26" s="10124"/>
      <c r="D26" s="2298" t="s">
        <v>32</v>
      </c>
      <c r="E26" s="2299" t="s">
        <v>33</v>
      </c>
      <c r="F26" s="2299" t="s">
        <v>40</v>
      </c>
      <c r="G26" s="2299" t="s">
        <v>115</v>
      </c>
      <c r="H26" s="2299" t="s">
        <v>116</v>
      </c>
      <c r="I26" s="2299" t="s">
        <v>117</v>
      </c>
      <c r="J26" s="2299" t="s">
        <v>118</v>
      </c>
      <c r="K26" s="2299" t="s">
        <v>119</v>
      </c>
      <c r="L26" s="2300" t="s">
        <v>120</v>
      </c>
      <c r="M26" s="10109"/>
      <c r="N26" s="10098"/>
      <c r="CH26" s="2276"/>
      <c r="CI26" s="2276"/>
      <c r="CJ26" s="2276"/>
      <c r="CK26" s="2276"/>
      <c r="CL26" s="2276"/>
      <c r="CM26" s="2276"/>
    </row>
    <row r="27" spans="1:91" ht="27" customHeight="1" x14ac:dyDescent="0.3">
      <c r="A27" s="7263">
        <v>11061080</v>
      </c>
      <c r="B27" s="2289" t="s">
        <v>2339</v>
      </c>
      <c r="C27" s="2301" t="s">
        <v>5369</v>
      </c>
      <c r="D27" s="1312" t="s">
        <v>5370</v>
      </c>
      <c r="E27" s="1669" t="s">
        <v>5371</v>
      </c>
      <c r="F27" s="1669" t="s">
        <v>5372</v>
      </c>
      <c r="G27" s="1669" t="s">
        <v>5373</v>
      </c>
      <c r="H27" s="1669" t="s">
        <v>5374</v>
      </c>
      <c r="I27" s="1669" t="s">
        <v>5375</v>
      </c>
      <c r="J27" s="1669" t="s">
        <v>5376</v>
      </c>
      <c r="K27" s="1669" t="s">
        <v>5377</v>
      </c>
      <c r="L27" s="1790" t="s">
        <v>5378</v>
      </c>
      <c r="M27" s="1585" t="s">
        <v>5379</v>
      </c>
      <c r="N27" s="1313" t="s">
        <v>5380</v>
      </c>
      <c r="O27" s="1192" t="str">
        <f t="shared" ref="O27:O32" si="4">CONCATENATE($CB27,$CC27)</f>
        <v xml:space="preserve">* El Número de mujeres pertenecientes a Pueblos Originarios no puede superar el Total. * El Número de mujeres pertenecientes a Población Migrante no puede superar el Total. </v>
      </c>
      <c r="CB27" s="2195" t="str">
        <f t="shared" ref="CB27:CB32" si="5">IF(AND($C27&lt;&gt;0,M27=""),"* No olvide ingresar la columna Pueblos Originarios (Digite CERO si no tiene). ",IF(M27&gt;$C27,"* El Número de mujeres pertenecientes a Pueblos Originarios no puede superar el Total. ",""))</f>
        <v xml:space="preserve">* El Número de mujeres pertenecientes a Pueblos Originarios no puede superar el Total. </v>
      </c>
      <c r="CC27" s="2195" t="str">
        <f t="shared" ref="CC27:CC32" si="6">IF(AND($C27&lt;&gt;0,N27=""),"* No olvide ingresar la columna Migrantes (Digite CERO si no tiene). ",IF(N27&gt;$C27,"* El Número de mujeres pertenecientes a Población Migrante no puede superar el Total. ",""))</f>
        <v xml:space="preserve">* El Número de mujeres pertenecientes a Población Migrante no puede superar el Total. </v>
      </c>
      <c r="CH27" s="1446">
        <f t="shared" ref="CH27:CI32" si="7">IF(AND($C27&lt;&gt;0,M27=""),1,IF(M27&gt;$C27,1,0))</f>
        <v>1</v>
      </c>
      <c r="CI27" s="1446">
        <f t="shared" si="7"/>
        <v>1</v>
      </c>
      <c r="CJ27" s="2276"/>
      <c r="CK27" s="2276"/>
      <c r="CL27" s="2276"/>
      <c r="CM27" s="2276"/>
    </row>
    <row r="28" spans="1:91" ht="21" customHeight="1" x14ac:dyDescent="0.3">
      <c r="A28" s="7263">
        <v>11061090</v>
      </c>
      <c r="B28" s="2289" t="s">
        <v>2338</v>
      </c>
      <c r="C28" s="2302" t="s">
        <v>5369</v>
      </c>
      <c r="D28" s="1312" t="s">
        <v>5370</v>
      </c>
      <c r="E28" s="1669" t="s">
        <v>5371</v>
      </c>
      <c r="F28" s="1669" t="s">
        <v>5372</v>
      </c>
      <c r="G28" s="1669" t="s">
        <v>5373</v>
      </c>
      <c r="H28" s="1669" t="s">
        <v>5374</v>
      </c>
      <c r="I28" s="1669" t="s">
        <v>5375</v>
      </c>
      <c r="J28" s="1669" t="s">
        <v>5376</v>
      </c>
      <c r="K28" s="1669" t="s">
        <v>5377</v>
      </c>
      <c r="L28" s="1790" t="s">
        <v>5378</v>
      </c>
      <c r="M28" s="1585" t="s">
        <v>5379</v>
      </c>
      <c r="N28" s="1313" t="s">
        <v>5380</v>
      </c>
      <c r="O28" s="1192" t="str">
        <f t="shared" si="4"/>
        <v xml:space="preserve">* El Número de mujeres pertenecientes a Pueblos Originarios no puede superar el Total. * El Número de mujeres pertenecientes a Población Migrante no puede superar el Total. </v>
      </c>
      <c r="CB28" s="2195" t="str">
        <f t="shared" si="5"/>
        <v xml:space="preserve">* El Número de mujeres pertenecientes a Pueblos Originarios no puede superar el Total. </v>
      </c>
      <c r="CC28" s="2195" t="str">
        <f t="shared" si="6"/>
        <v xml:space="preserve">* El Número de mujeres pertenecientes a Población Migrante no puede superar el Total. </v>
      </c>
      <c r="CH28" s="1446">
        <f t="shared" si="7"/>
        <v>1</v>
      </c>
      <c r="CI28" s="1446">
        <f t="shared" si="7"/>
        <v>1</v>
      </c>
      <c r="CJ28" s="2276"/>
      <c r="CK28" s="2276"/>
      <c r="CL28" s="2276"/>
      <c r="CM28" s="2276"/>
    </row>
    <row r="29" spans="1:91" ht="34.5" customHeight="1" x14ac:dyDescent="0.3">
      <c r="A29" s="7263">
        <v>11061100</v>
      </c>
      <c r="B29" s="2289" t="s">
        <v>2337</v>
      </c>
      <c r="C29" s="2302" t="s">
        <v>5369</v>
      </c>
      <c r="D29" s="1312" t="s">
        <v>5370</v>
      </c>
      <c r="E29" s="1669" t="s">
        <v>5371</v>
      </c>
      <c r="F29" s="1669" t="s">
        <v>5372</v>
      </c>
      <c r="G29" s="1669" t="s">
        <v>5373</v>
      </c>
      <c r="H29" s="1669" t="s">
        <v>5374</v>
      </c>
      <c r="I29" s="1669" t="s">
        <v>5375</v>
      </c>
      <c r="J29" s="1669" t="s">
        <v>5376</v>
      </c>
      <c r="K29" s="1669" t="s">
        <v>5377</v>
      </c>
      <c r="L29" s="1790" t="s">
        <v>5378</v>
      </c>
      <c r="M29" s="1585" t="s">
        <v>5379</v>
      </c>
      <c r="N29" s="1313" t="s">
        <v>5380</v>
      </c>
      <c r="O29" s="1192" t="str">
        <f t="shared" si="4"/>
        <v xml:space="preserve">* El Número de mujeres pertenecientes a Pueblos Originarios no puede superar el Total. * El Número de mujeres pertenecientes a Población Migrante no puede superar el Total. </v>
      </c>
      <c r="CB29" s="2195" t="str">
        <f t="shared" si="5"/>
        <v xml:space="preserve">* El Número de mujeres pertenecientes a Pueblos Originarios no puede superar el Total. </v>
      </c>
      <c r="CC29" s="2195" t="str">
        <f t="shared" si="6"/>
        <v xml:space="preserve">* El Número de mujeres pertenecientes a Población Migrante no puede superar el Total. </v>
      </c>
      <c r="CH29" s="1446">
        <f t="shared" si="7"/>
        <v>1</v>
      </c>
      <c r="CI29" s="1446">
        <f t="shared" si="7"/>
        <v>1</v>
      </c>
      <c r="CJ29" s="2276"/>
      <c r="CK29" s="2276"/>
      <c r="CL29" s="2276"/>
      <c r="CM29" s="2276"/>
    </row>
    <row r="30" spans="1:91" ht="23.25" customHeight="1" x14ac:dyDescent="0.3">
      <c r="A30" s="7263">
        <v>11061110</v>
      </c>
      <c r="B30" s="2289" t="s">
        <v>2334</v>
      </c>
      <c r="C30" s="2302" t="s">
        <v>5369</v>
      </c>
      <c r="D30" s="1312" t="s">
        <v>5370</v>
      </c>
      <c r="E30" s="1669" t="s">
        <v>5371</v>
      </c>
      <c r="F30" s="1669" t="s">
        <v>5372</v>
      </c>
      <c r="G30" s="1669" t="s">
        <v>5373</v>
      </c>
      <c r="H30" s="1669" t="s">
        <v>5374</v>
      </c>
      <c r="I30" s="1669" t="s">
        <v>5375</v>
      </c>
      <c r="J30" s="1669" t="s">
        <v>5376</v>
      </c>
      <c r="K30" s="1669" t="s">
        <v>5377</v>
      </c>
      <c r="L30" s="1790" t="s">
        <v>5378</v>
      </c>
      <c r="M30" s="1585" t="s">
        <v>5379</v>
      </c>
      <c r="N30" s="1313" t="s">
        <v>5380</v>
      </c>
      <c r="O30" s="1192" t="str">
        <f t="shared" si="4"/>
        <v xml:space="preserve">* El Número de mujeres pertenecientes a Pueblos Originarios no puede superar el Total. * El Número de mujeres pertenecientes a Población Migrante no puede superar el Total. </v>
      </c>
      <c r="CB30" s="2195" t="str">
        <f t="shared" si="5"/>
        <v xml:space="preserve">* El Número de mujeres pertenecientes a Pueblos Originarios no puede superar el Total. </v>
      </c>
      <c r="CC30" s="2195" t="str">
        <f t="shared" si="6"/>
        <v xml:space="preserve">* El Número de mujeres pertenecientes a Población Migrante no puede superar el Total. </v>
      </c>
      <c r="CH30" s="1446">
        <f t="shared" si="7"/>
        <v>1</v>
      </c>
      <c r="CI30" s="1446">
        <f t="shared" si="7"/>
        <v>1</v>
      </c>
      <c r="CJ30" s="2276"/>
      <c r="CK30" s="2276"/>
      <c r="CL30" s="2276"/>
      <c r="CM30" s="2276"/>
    </row>
    <row r="31" spans="1:91" ht="25.5" customHeight="1" x14ac:dyDescent="0.3">
      <c r="A31" s="7263">
        <v>11061120</v>
      </c>
      <c r="B31" s="2289" t="s">
        <v>2335</v>
      </c>
      <c r="C31" s="2302" t="s">
        <v>5369</v>
      </c>
      <c r="D31" s="1312" t="s">
        <v>5370</v>
      </c>
      <c r="E31" s="1669" t="s">
        <v>5371</v>
      </c>
      <c r="F31" s="1669" t="s">
        <v>5372</v>
      </c>
      <c r="G31" s="1669" t="s">
        <v>5373</v>
      </c>
      <c r="H31" s="1669" t="s">
        <v>5374</v>
      </c>
      <c r="I31" s="1669" t="s">
        <v>5375</v>
      </c>
      <c r="J31" s="1669" t="s">
        <v>5376</v>
      </c>
      <c r="K31" s="1669" t="s">
        <v>5377</v>
      </c>
      <c r="L31" s="1790" t="s">
        <v>5378</v>
      </c>
      <c r="M31" s="1585" t="s">
        <v>5379</v>
      </c>
      <c r="N31" s="1313" t="s">
        <v>5380</v>
      </c>
      <c r="O31" s="1192" t="str">
        <f t="shared" si="4"/>
        <v xml:space="preserve">* El Número de mujeres pertenecientes a Pueblos Originarios no puede superar el Total. * El Número de mujeres pertenecientes a Población Migrante no puede superar el Total. </v>
      </c>
      <c r="CB31" s="2195" t="str">
        <f t="shared" si="5"/>
        <v xml:space="preserve">* El Número de mujeres pertenecientes a Pueblos Originarios no puede superar el Total. </v>
      </c>
      <c r="CC31" s="2195" t="str">
        <f t="shared" si="6"/>
        <v xml:space="preserve">* El Número de mujeres pertenecientes a Población Migrante no puede superar el Total. </v>
      </c>
      <c r="CH31" s="1446">
        <f t="shared" si="7"/>
        <v>1</v>
      </c>
      <c r="CI31" s="1446">
        <f t="shared" si="7"/>
        <v>1</v>
      </c>
      <c r="CJ31" s="2276"/>
      <c r="CK31" s="2276"/>
      <c r="CL31" s="2276"/>
      <c r="CM31" s="2276"/>
    </row>
    <row r="32" spans="1:91" ht="24" customHeight="1" x14ac:dyDescent="0.3">
      <c r="A32" s="7263">
        <v>11061130</v>
      </c>
      <c r="B32" s="2289" t="s">
        <v>2336</v>
      </c>
      <c r="C32" s="2285" t="s">
        <v>5369</v>
      </c>
      <c r="D32" s="1621" t="s">
        <v>5370</v>
      </c>
      <c r="E32" s="1664" t="s">
        <v>5371</v>
      </c>
      <c r="F32" s="1664" t="s">
        <v>5372</v>
      </c>
      <c r="G32" s="1664" t="s">
        <v>5373</v>
      </c>
      <c r="H32" s="1664" t="s">
        <v>5374</v>
      </c>
      <c r="I32" s="1664" t="s">
        <v>5375</v>
      </c>
      <c r="J32" s="1664" t="s">
        <v>5376</v>
      </c>
      <c r="K32" s="1664" t="s">
        <v>5377</v>
      </c>
      <c r="L32" s="1789" t="s">
        <v>5378</v>
      </c>
      <c r="M32" s="1666" t="s">
        <v>5379</v>
      </c>
      <c r="N32" s="1654" t="s">
        <v>5380</v>
      </c>
      <c r="O32" s="1192" t="str">
        <f t="shared" si="4"/>
        <v xml:space="preserve">* El Número de mujeres pertenecientes a Pueblos Originarios no puede superar el Total. * El Número de mujeres pertenecientes a Población Migrante no puede superar el Total. </v>
      </c>
      <c r="CB32" s="2195" t="str">
        <f t="shared" si="5"/>
        <v xml:space="preserve">* El Número de mujeres pertenecientes a Pueblos Originarios no puede superar el Total. </v>
      </c>
      <c r="CC32" s="2195" t="str">
        <f t="shared" si="6"/>
        <v xml:space="preserve">* El Número de mujeres pertenecientes a Población Migrante no puede superar el Total. </v>
      </c>
      <c r="CH32" s="1446">
        <f t="shared" si="7"/>
        <v>1</v>
      </c>
      <c r="CI32" s="1446">
        <f t="shared" si="7"/>
        <v>1</v>
      </c>
      <c r="CJ32" s="2276"/>
      <c r="CK32" s="2276"/>
      <c r="CL32" s="2276"/>
      <c r="CM32" s="2276"/>
    </row>
    <row r="33" spans="1:91" ht="30" customHeight="1" x14ac:dyDescent="0.3">
      <c r="B33" s="10111" t="s">
        <v>2301</v>
      </c>
      <c r="C33" s="10111"/>
      <c r="D33" s="10111"/>
      <c r="E33" s="10111"/>
      <c r="F33" s="10111"/>
      <c r="G33" s="10111"/>
      <c r="H33" s="10111"/>
      <c r="CH33" s="2276"/>
      <c r="CI33" s="2276"/>
      <c r="CJ33" s="2276"/>
      <c r="CK33" s="2276"/>
      <c r="CL33" s="2276"/>
      <c r="CM33" s="2276"/>
    </row>
    <row r="34" spans="1:91" ht="30.75" customHeight="1" x14ac:dyDescent="0.3">
      <c r="A34" s="7311"/>
      <c r="B34" s="2303"/>
      <c r="C34" s="2293" t="s">
        <v>44</v>
      </c>
      <c r="D34" s="2294" t="s">
        <v>362</v>
      </c>
      <c r="E34" s="2188" t="s">
        <v>361</v>
      </c>
      <c r="CH34" s="2276"/>
      <c r="CI34" s="2276"/>
      <c r="CJ34" s="2276"/>
      <c r="CK34" s="2276"/>
      <c r="CL34" s="2276"/>
      <c r="CM34" s="2276"/>
    </row>
    <row r="35" spans="1:91" ht="27.75" customHeight="1" x14ac:dyDescent="0.3">
      <c r="A35" s="7263">
        <v>11061140</v>
      </c>
      <c r="B35" s="2289" t="s">
        <v>2331</v>
      </c>
      <c r="C35" s="1311" t="s">
        <v>5369</v>
      </c>
      <c r="D35" s="1585" t="s">
        <v>5370</v>
      </c>
      <c r="E35" s="1317" t="s">
        <v>5371</v>
      </c>
      <c r="F35" s="1192" t="str">
        <f>CONCATENATE($CB35,$CC35)</f>
        <v xml:space="preserve">* El Número de recién nacidos pertenecientes a Pueblos Originarios no puede superar el Total. * El Número de recién nacidos en tratamiento pertenecientes a Población Migrante no puede superar el Total. </v>
      </c>
      <c r="CB35" s="2195" t="str">
        <f>IF(AND($C35&lt;&gt;0,D35=""),"* No olvide ingresar la columna Pueblos Originarios (Digite CERO si no tiene). ",IF(D35&gt;$C35,"* El Número de recién nacidos pertenecientes a Pueblos Originarios no puede superar el Total. ",""))</f>
        <v xml:space="preserve">* El Número de recién nacidos pertenecientes a Pueblos Originarios no puede superar el Total. </v>
      </c>
      <c r="CC35" s="2195" t="str">
        <f>IF(AND($C35&lt;&gt;0,E35=""),"* No olvide ingresar la columna Migrantes (Digite CERO si no tiene). ",IF(E35&gt;$C35,"*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35" s="1446">
        <f>IF(AND($C35&lt;&gt;0,D35=""),1,IF(D35&gt;$C35,1,0))</f>
        <v>1</v>
      </c>
      <c r="CI35" s="1446">
        <f>IF(AND($C35&lt;&gt;0,E35=""),1,IF(E35&gt;$C35,1,0))</f>
        <v>1</v>
      </c>
      <c r="CJ35" s="2276"/>
      <c r="CK35" s="2276"/>
      <c r="CL35" s="2276"/>
      <c r="CM35" s="2276"/>
    </row>
    <row r="36" spans="1:91" ht="27" customHeight="1" x14ac:dyDescent="0.3">
      <c r="A36" s="7263">
        <v>11061150</v>
      </c>
      <c r="B36" s="2297" t="s">
        <v>2302</v>
      </c>
      <c r="C36" s="1291" t="s">
        <v>5369</v>
      </c>
      <c r="D36" s="1666" t="s">
        <v>5370</v>
      </c>
      <c r="E36" s="1614" t="s">
        <v>5371</v>
      </c>
      <c r="F36" s="1192" t="str">
        <f>CONCATENATE($CB36,$CC36)</f>
        <v xml:space="preserve">* El Número de recién nacidos pertenecientes a Pueblos Originarios no puede superar el Total. * El Número de recién nacidos en tratamiento pertenecientes a Población Migrante no puede superar el Total. </v>
      </c>
      <c r="CB36" s="2195" t="str">
        <f>IF(AND($C36&lt;&gt;0,D36=""),"* No olvide ingresar la columna Pueblos Originarios (Digite CERO si no tiene). ",IF(D36&gt;$C36,"* El Número de recién nacidos pertenecientes a Pueblos Originarios no puede superar el Total. ",""))</f>
        <v xml:space="preserve">* El Número de recién nacidos pertenecientes a Pueblos Originarios no puede superar el Total. </v>
      </c>
      <c r="CC36" s="2195" t="str">
        <f>IF(AND($C36&lt;&gt;0,E36=""),"* No olvide ingresar la columna Migrantes (Digite CERO si no tiene). ",IF(E36&gt;$C36,"*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36" s="1446">
        <f>IF(AND($C36&lt;&gt;0,D36=""),1,IF(D36&gt;$C36,1,0))</f>
        <v>1</v>
      </c>
      <c r="CI36" s="1446">
        <f>IF(AND($C36&lt;&gt;0,E36=""),1,IF(E36&gt;$C36,1,0))</f>
        <v>1</v>
      </c>
      <c r="CJ36" s="2276"/>
      <c r="CK36" s="2276"/>
      <c r="CL36" s="2276"/>
      <c r="CM36" s="2276"/>
    </row>
    <row r="37" spans="1:91" ht="27.75" customHeight="1" x14ac:dyDescent="0.3">
      <c r="B37" s="10110" t="s">
        <v>2340</v>
      </c>
      <c r="C37" s="10110"/>
      <c r="D37" s="10110"/>
      <c r="E37" s="10110"/>
      <c r="F37" s="10110"/>
      <c r="G37" s="10110"/>
      <c r="H37" s="10110"/>
      <c r="I37" s="10110"/>
      <c r="J37" s="10110"/>
      <c r="K37" s="2275"/>
      <c r="L37" s="2275"/>
      <c r="CH37" s="2276"/>
      <c r="CI37" s="2276"/>
      <c r="CJ37" s="2276"/>
      <c r="CK37" s="2276"/>
      <c r="CL37" s="2276"/>
      <c r="CM37" s="2276"/>
    </row>
    <row r="38" spans="1:91" x14ac:dyDescent="0.3">
      <c r="A38" s="7311"/>
      <c r="B38" s="10112"/>
      <c r="C38" s="10118" t="s">
        <v>44</v>
      </c>
      <c r="D38" s="10103" t="s">
        <v>540</v>
      </c>
      <c r="E38" s="10104"/>
      <c r="F38" s="10104"/>
      <c r="G38" s="10104"/>
      <c r="H38" s="10104"/>
      <c r="I38" s="10104"/>
      <c r="J38" s="10104"/>
      <c r="K38" s="10104"/>
      <c r="L38" s="10105"/>
      <c r="M38" s="10106" t="s">
        <v>362</v>
      </c>
      <c r="N38" s="10116" t="s">
        <v>361</v>
      </c>
      <c r="CH38" s="2276"/>
      <c r="CI38" s="2276"/>
      <c r="CJ38" s="2276"/>
      <c r="CK38" s="2276"/>
      <c r="CL38" s="2276"/>
      <c r="CM38" s="2276"/>
    </row>
    <row r="39" spans="1:91" ht="22.5" customHeight="1" x14ac:dyDescent="0.3">
      <c r="A39" s="7311"/>
      <c r="B39" s="10113"/>
      <c r="C39" s="10119"/>
      <c r="D39" s="2304" t="s">
        <v>32</v>
      </c>
      <c r="E39" s="2305" t="s">
        <v>33</v>
      </c>
      <c r="F39" s="2305" t="s">
        <v>40</v>
      </c>
      <c r="G39" s="2305" t="s">
        <v>115</v>
      </c>
      <c r="H39" s="2305" t="s">
        <v>116</v>
      </c>
      <c r="I39" s="2305" t="s">
        <v>117</v>
      </c>
      <c r="J39" s="2305" t="s">
        <v>118</v>
      </c>
      <c r="K39" s="2305" t="s">
        <v>119</v>
      </c>
      <c r="L39" s="2306" t="s">
        <v>120</v>
      </c>
      <c r="M39" s="10107"/>
      <c r="N39" s="10109"/>
      <c r="CH39" s="2276"/>
      <c r="CI39" s="2276"/>
      <c r="CJ39" s="2276"/>
      <c r="CK39" s="2276"/>
      <c r="CL39" s="2276"/>
      <c r="CM39" s="2276"/>
    </row>
    <row r="40" spans="1:91" ht="30" customHeight="1" x14ac:dyDescent="0.3">
      <c r="A40" s="7263">
        <v>11061160</v>
      </c>
      <c r="B40" s="2289" t="s">
        <v>2544</v>
      </c>
      <c r="C40" s="2307" t="s">
        <v>5369</v>
      </c>
      <c r="D40" s="1665" t="s">
        <v>5370</v>
      </c>
      <c r="E40" s="1585" t="s">
        <v>5371</v>
      </c>
      <c r="F40" s="1585" t="s">
        <v>5372</v>
      </c>
      <c r="G40" s="1585" t="s">
        <v>5373</v>
      </c>
      <c r="H40" s="1585" t="s">
        <v>5374</v>
      </c>
      <c r="I40" s="1585" t="s">
        <v>5375</v>
      </c>
      <c r="J40" s="1585" t="s">
        <v>5376</v>
      </c>
      <c r="K40" s="1585" t="s">
        <v>5377</v>
      </c>
      <c r="L40" s="1790" t="s">
        <v>5378</v>
      </c>
      <c r="M40" s="1610" t="s">
        <v>5379</v>
      </c>
      <c r="N40" s="918" t="s">
        <v>5380</v>
      </c>
      <c r="O40" s="1192" t="str">
        <f t="shared" ref="O40:O47" si="8">CONCATENATE($CB40,$CC40)</f>
        <v xml:space="preserve">* El Número de mujeres pertenecientes a Pueblos Originarios no puede superar el Total. * El Número de mujeres pertenecientes a Población Migrante no puede superar el Total. </v>
      </c>
      <c r="CB40" s="2195" t="str">
        <f>IF(AND($C40&lt;&gt;0,M40=""),"* No olvide ingresar la columna Pueblos Originarios (Digite CERO si no tiene). ",IF(M40&gt;$C40,"* El Número de mujeres pertenecientes a Pueblos Originarios no puede superar el Total. ",""))</f>
        <v xml:space="preserve">* El Número de mujeres pertenecientes a Pueblos Originarios no puede superar el Total. </v>
      </c>
      <c r="CC40" s="2195" t="str">
        <f>IF(AND($C40&lt;&gt;0,N40=""),"* No olvide ingresar la columna Migrantes (Digite CERO si no tiene). ",IF(N40&gt;$C40,"* El Número de mujeres pertenecientes a Población Migrante no puede superar el Total. ",""))</f>
        <v xml:space="preserve">* El Número de mujeres pertenecientes a Población Migrante no puede superar el Total. </v>
      </c>
      <c r="CH40" s="1446">
        <f>IF(AND($C40&lt;&gt;0,M40=""),1,IF(M40&gt;$C40,1,0))</f>
        <v>1</v>
      </c>
      <c r="CI40" s="1446">
        <f>IF(AND($C40&lt;&gt;0,N40=""),1,IF(N40&gt;$C40,1,0))</f>
        <v>1</v>
      </c>
      <c r="CJ40" s="2276"/>
      <c r="CK40" s="2276"/>
      <c r="CL40" s="2276"/>
      <c r="CM40" s="2276"/>
    </row>
    <row r="41" spans="1:91" ht="33" customHeight="1" x14ac:dyDescent="0.3">
      <c r="A41" s="7263">
        <v>11061170</v>
      </c>
      <c r="B41" s="2289" t="s">
        <v>2545</v>
      </c>
      <c r="C41" s="2307" t="s">
        <v>5369</v>
      </c>
      <c r="D41" s="1665" t="s">
        <v>5370</v>
      </c>
      <c r="E41" s="1585" t="s">
        <v>5371</v>
      </c>
      <c r="F41" s="1585" t="s">
        <v>5372</v>
      </c>
      <c r="G41" s="1585" t="s">
        <v>5373</v>
      </c>
      <c r="H41" s="1585" t="s">
        <v>5374</v>
      </c>
      <c r="I41" s="1585" t="s">
        <v>5375</v>
      </c>
      <c r="J41" s="1585" t="s">
        <v>5376</v>
      </c>
      <c r="K41" s="1585" t="s">
        <v>5377</v>
      </c>
      <c r="L41" s="1790" t="s">
        <v>5378</v>
      </c>
      <c r="M41" s="1610" t="s">
        <v>5379</v>
      </c>
      <c r="N41" s="918" t="s">
        <v>5380</v>
      </c>
      <c r="O41" s="119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41" s="2195" t="str">
        <f t="shared" ref="CB41:CB47" si="9">IF(AND($C41&lt;&gt;0,M41=""),"* No olvide ingresar la columna Pueblos Originarios (Digite CERO si no tiene). ",IF(M41&gt;$C41,"* El Número de mujeres pertenecientes a Pueblos Originarios no puede superar el Total. ",""))</f>
        <v xml:space="preserve">* El Número de mujeres pertenecientes a Pueblos Originarios no puede superar el Total. </v>
      </c>
      <c r="CC41" s="2195" t="str">
        <f t="shared" ref="CC41:CC47" si="10">IF(AND($C41&lt;&gt;0,N41=""),"* No olvide ingresar la columna Migrantes (Digite CERO si no tiene). ",IF(N41&gt;$C41,"* El Número de mujeres pertenecientes a Población Migrante no puede superar el Total. ",""))</f>
        <v xml:space="preserve">* El Número de mujeres pertenecientes a Población Migrante no puede superar el Total. </v>
      </c>
      <c r="CH41" s="1446">
        <f t="shared" ref="CH41:CH47" si="11">IF(AND($C41&lt;&gt;0,M41=""),1,IF(M41&gt;$C41,1,0))</f>
        <v>1</v>
      </c>
      <c r="CI41" s="1446">
        <f t="shared" ref="CI41:CI47" si="12">IF(AND($C41&lt;&gt;0,N41=""),1,IF(N41&gt;$C41,1,0))</f>
        <v>1</v>
      </c>
      <c r="CJ41" s="2276"/>
      <c r="CK41" s="2276"/>
      <c r="CL41" s="2276"/>
      <c r="CM41" s="2276"/>
    </row>
    <row r="42" spans="1:91" ht="33" customHeight="1" x14ac:dyDescent="0.3">
      <c r="A42" s="7263">
        <v>11061180</v>
      </c>
      <c r="B42" s="2289" t="s">
        <v>2546</v>
      </c>
      <c r="C42" s="2307" t="s">
        <v>5369</v>
      </c>
      <c r="D42" s="1665" t="s">
        <v>5370</v>
      </c>
      <c r="E42" s="1585" t="s">
        <v>5371</v>
      </c>
      <c r="F42" s="1585" t="s">
        <v>5372</v>
      </c>
      <c r="G42" s="1585" t="s">
        <v>5373</v>
      </c>
      <c r="H42" s="1585" t="s">
        <v>5374</v>
      </c>
      <c r="I42" s="1585" t="s">
        <v>5375</v>
      </c>
      <c r="J42" s="1585" t="s">
        <v>5376</v>
      </c>
      <c r="K42" s="1585" t="s">
        <v>5377</v>
      </c>
      <c r="L42" s="1790" t="s">
        <v>5378</v>
      </c>
      <c r="M42" s="1610" t="s">
        <v>5379</v>
      </c>
      <c r="N42" s="918" t="s">
        <v>5380</v>
      </c>
      <c r="O42" s="119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42" s="2195" t="str">
        <f t="shared" si="9"/>
        <v xml:space="preserve">* El Número de mujeres pertenecientes a Pueblos Originarios no puede superar el Total. </v>
      </c>
      <c r="CC42" s="2195" t="str">
        <f t="shared" si="10"/>
        <v xml:space="preserve">* El Número de mujeres pertenecientes a Población Migrante no puede superar el Total. </v>
      </c>
      <c r="CH42" s="1446">
        <f t="shared" si="11"/>
        <v>1</v>
      </c>
      <c r="CI42" s="1446">
        <f t="shared" si="12"/>
        <v>1</v>
      </c>
      <c r="CJ42" s="2276"/>
      <c r="CK42" s="2276"/>
      <c r="CL42" s="2276"/>
      <c r="CM42" s="2276"/>
    </row>
    <row r="43" spans="1:91" ht="18.75" customHeight="1" x14ac:dyDescent="0.3">
      <c r="A43" s="7263">
        <v>11061190</v>
      </c>
      <c r="B43" s="2289" t="s">
        <v>2547</v>
      </c>
      <c r="C43" s="2307" t="s">
        <v>5369</v>
      </c>
      <c r="D43" s="1665" t="s">
        <v>5370</v>
      </c>
      <c r="E43" s="1585" t="s">
        <v>5371</v>
      </c>
      <c r="F43" s="1585" t="s">
        <v>5372</v>
      </c>
      <c r="G43" s="1585" t="s">
        <v>5373</v>
      </c>
      <c r="H43" s="1585" t="s">
        <v>5374</v>
      </c>
      <c r="I43" s="1585" t="s">
        <v>5375</v>
      </c>
      <c r="J43" s="1585" t="s">
        <v>5376</v>
      </c>
      <c r="K43" s="1585" t="s">
        <v>5377</v>
      </c>
      <c r="L43" s="1790" t="s">
        <v>5378</v>
      </c>
      <c r="M43" s="1610" t="s">
        <v>5379</v>
      </c>
      <c r="N43" s="918" t="s">
        <v>5380</v>
      </c>
      <c r="O43" s="119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43" s="2195" t="str">
        <f t="shared" si="9"/>
        <v xml:space="preserve">* El Número de mujeres pertenecientes a Pueblos Originarios no puede superar el Total. </v>
      </c>
      <c r="CC43" s="2195" t="str">
        <f t="shared" si="10"/>
        <v xml:space="preserve">* El Número de mujeres pertenecientes a Población Migrante no puede superar el Total. </v>
      </c>
      <c r="CH43" s="1446">
        <f t="shared" si="11"/>
        <v>1</v>
      </c>
      <c r="CI43" s="1446">
        <f t="shared" si="12"/>
        <v>1</v>
      </c>
      <c r="CJ43" s="2276"/>
      <c r="CK43" s="2276"/>
      <c r="CL43" s="2276"/>
      <c r="CM43" s="2276"/>
    </row>
    <row r="44" spans="1:91" ht="32.25" customHeight="1" x14ac:dyDescent="0.3">
      <c r="A44" s="7263">
        <v>11061200</v>
      </c>
      <c r="B44" s="2289" t="s">
        <v>2548</v>
      </c>
      <c r="C44" s="2307" t="s">
        <v>5369</v>
      </c>
      <c r="D44" s="1665" t="s">
        <v>5370</v>
      </c>
      <c r="E44" s="1585" t="s">
        <v>5371</v>
      </c>
      <c r="F44" s="1585" t="s">
        <v>5372</v>
      </c>
      <c r="G44" s="1585" t="s">
        <v>5373</v>
      </c>
      <c r="H44" s="1585" t="s">
        <v>5374</v>
      </c>
      <c r="I44" s="1585" t="s">
        <v>5375</v>
      </c>
      <c r="J44" s="1585" t="s">
        <v>5376</v>
      </c>
      <c r="K44" s="1585" t="s">
        <v>5377</v>
      </c>
      <c r="L44" s="1790" t="s">
        <v>5378</v>
      </c>
      <c r="M44" s="1610" t="s">
        <v>5379</v>
      </c>
      <c r="N44" s="918" t="s">
        <v>5380</v>
      </c>
      <c r="O44" s="119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44" s="2195" t="str">
        <f t="shared" si="9"/>
        <v xml:space="preserve">* El Número de mujeres pertenecientes a Pueblos Originarios no puede superar el Total. </v>
      </c>
      <c r="CC44" s="2195" t="str">
        <f t="shared" si="10"/>
        <v xml:space="preserve">* El Número de mujeres pertenecientes a Población Migrante no puede superar el Total. </v>
      </c>
      <c r="CH44" s="1446">
        <f t="shared" si="11"/>
        <v>1</v>
      </c>
      <c r="CI44" s="1446">
        <f t="shared" si="12"/>
        <v>1</v>
      </c>
      <c r="CJ44" s="2276"/>
      <c r="CK44" s="2276"/>
      <c r="CL44" s="2276"/>
      <c r="CM44" s="2276"/>
    </row>
    <row r="45" spans="1:91" ht="29.25" customHeight="1" x14ac:dyDescent="0.3">
      <c r="A45" s="7263">
        <v>11061210</v>
      </c>
      <c r="B45" s="2289" t="s">
        <v>2549</v>
      </c>
      <c r="C45" s="2307" t="s">
        <v>5369</v>
      </c>
      <c r="D45" s="1665" t="s">
        <v>5370</v>
      </c>
      <c r="E45" s="1585" t="s">
        <v>5371</v>
      </c>
      <c r="F45" s="1585" t="s">
        <v>5372</v>
      </c>
      <c r="G45" s="1585" t="s">
        <v>5373</v>
      </c>
      <c r="H45" s="1585" t="s">
        <v>5374</v>
      </c>
      <c r="I45" s="1585" t="s">
        <v>5375</v>
      </c>
      <c r="J45" s="1585" t="s">
        <v>5376</v>
      </c>
      <c r="K45" s="1585" t="s">
        <v>5377</v>
      </c>
      <c r="L45" s="1790" t="s">
        <v>5378</v>
      </c>
      <c r="M45" s="1610" t="s">
        <v>5379</v>
      </c>
      <c r="N45" s="918" t="s">
        <v>5380</v>
      </c>
      <c r="O45" s="119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45" s="2195" t="str">
        <f t="shared" si="9"/>
        <v xml:space="preserve">* El Número de mujeres pertenecientes a Pueblos Originarios no puede superar el Total. </v>
      </c>
      <c r="CC45" s="2195" t="str">
        <f t="shared" si="10"/>
        <v xml:space="preserve">* El Número de mujeres pertenecientes a Población Migrante no puede superar el Total. </v>
      </c>
      <c r="CH45" s="1446">
        <f t="shared" si="11"/>
        <v>1</v>
      </c>
      <c r="CI45" s="1446">
        <f t="shared" si="12"/>
        <v>1</v>
      </c>
      <c r="CJ45" s="2276"/>
      <c r="CK45" s="2276"/>
      <c r="CL45" s="2276"/>
      <c r="CM45" s="2276"/>
    </row>
    <row r="46" spans="1:91" ht="34.5" customHeight="1" x14ac:dyDescent="0.3">
      <c r="A46" s="7263">
        <v>11061220</v>
      </c>
      <c r="B46" s="2289" t="s">
        <v>2550</v>
      </c>
      <c r="C46" s="2307" t="s">
        <v>5369</v>
      </c>
      <c r="D46" s="1665" t="s">
        <v>5370</v>
      </c>
      <c r="E46" s="1585" t="s">
        <v>5371</v>
      </c>
      <c r="F46" s="1585" t="s">
        <v>5372</v>
      </c>
      <c r="G46" s="1585" t="s">
        <v>5373</v>
      </c>
      <c r="H46" s="1585" t="s">
        <v>5374</v>
      </c>
      <c r="I46" s="1585" t="s">
        <v>5375</v>
      </c>
      <c r="J46" s="1585" t="s">
        <v>5376</v>
      </c>
      <c r="K46" s="1585" t="s">
        <v>5377</v>
      </c>
      <c r="L46" s="1790" t="s">
        <v>5378</v>
      </c>
      <c r="M46" s="1610" t="s">
        <v>5379</v>
      </c>
      <c r="N46" s="918" t="s">
        <v>5380</v>
      </c>
      <c r="O46" s="119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46" s="2195" t="str">
        <f t="shared" si="9"/>
        <v xml:space="preserve">* El Número de mujeres pertenecientes a Pueblos Originarios no puede superar el Total. </v>
      </c>
      <c r="CC46" s="2195" t="str">
        <f t="shared" si="10"/>
        <v xml:space="preserve">* El Número de mujeres pertenecientes a Población Migrante no puede superar el Total. </v>
      </c>
      <c r="CH46" s="1446">
        <f t="shared" si="11"/>
        <v>1</v>
      </c>
      <c r="CI46" s="1446">
        <f t="shared" si="12"/>
        <v>1</v>
      </c>
      <c r="CJ46" s="2276"/>
      <c r="CK46" s="2276"/>
      <c r="CL46" s="2276"/>
      <c r="CM46" s="2276"/>
    </row>
    <row r="47" spans="1:91" ht="31.5" customHeight="1" x14ac:dyDescent="0.3">
      <c r="A47" s="7263">
        <v>11061230</v>
      </c>
      <c r="B47" s="2289" t="s">
        <v>2551</v>
      </c>
      <c r="C47" s="2307" t="s">
        <v>5369</v>
      </c>
      <c r="D47" s="1666" t="s">
        <v>5370</v>
      </c>
      <c r="E47" s="1666" t="s">
        <v>5371</v>
      </c>
      <c r="F47" s="1666" t="s">
        <v>5372</v>
      </c>
      <c r="G47" s="1666" t="s">
        <v>5373</v>
      </c>
      <c r="H47" s="1666" t="s">
        <v>5374</v>
      </c>
      <c r="I47" s="1666" t="s">
        <v>5375</v>
      </c>
      <c r="J47" s="1666" t="s">
        <v>5376</v>
      </c>
      <c r="K47" s="1666" t="s">
        <v>5377</v>
      </c>
      <c r="L47" s="1789" t="s">
        <v>5378</v>
      </c>
      <c r="M47" s="2308" t="s">
        <v>5379</v>
      </c>
      <c r="N47" s="1636" t="s">
        <v>5380</v>
      </c>
      <c r="O47" s="119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47" s="2195" t="str">
        <f t="shared" si="9"/>
        <v xml:space="preserve">* El Número de mujeres pertenecientes a Pueblos Originarios no puede superar el Total. </v>
      </c>
      <c r="CC47" s="2195" t="str">
        <f t="shared" si="10"/>
        <v xml:space="preserve">* El Número de mujeres pertenecientes a Población Migrante no puede superar el Total. </v>
      </c>
      <c r="CH47" s="1446">
        <f t="shared" si="11"/>
        <v>1</v>
      </c>
      <c r="CI47" s="1446">
        <f t="shared" si="12"/>
        <v>1</v>
      </c>
      <c r="CJ47" s="2276"/>
      <c r="CK47" s="2276"/>
      <c r="CL47" s="2276"/>
      <c r="CM47" s="2276"/>
    </row>
    <row r="48" spans="1:91" ht="30" customHeight="1" x14ac:dyDescent="0.3">
      <c r="B48" s="10111" t="s">
        <v>2350</v>
      </c>
      <c r="C48" s="10111"/>
      <c r="D48" s="10111"/>
      <c r="E48" s="10111"/>
      <c r="F48" s="10111"/>
      <c r="G48" s="10111"/>
      <c r="H48" s="10111"/>
      <c r="I48" s="10111"/>
      <c r="CH48" s="2276"/>
      <c r="CI48" s="2276"/>
      <c r="CJ48" s="2276"/>
      <c r="CK48" s="2276"/>
      <c r="CL48" s="2276"/>
      <c r="CM48" s="2276"/>
    </row>
    <row r="49" spans="1:91" ht="26.25" customHeight="1" x14ac:dyDescent="0.3">
      <c r="B49" s="2309"/>
      <c r="C49" s="2293" t="s">
        <v>44</v>
      </c>
      <c r="D49" s="2294" t="s">
        <v>362</v>
      </c>
      <c r="E49" s="2188" t="s">
        <v>361</v>
      </c>
      <c r="CH49" s="2276"/>
      <c r="CI49" s="2276"/>
      <c r="CJ49" s="2276"/>
      <c r="CK49" s="2276"/>
      <c r="CL49" s="2276"/>
      <c r="CM49" s="2276"/>
    </row>
    <row r="50" spans="1:91" ht="30" customHeight="1" x14ac:dyDescent="0.3">
      <c r="A50" s="7263">
        <v>11061240</v>
      </c>
      <c r="B50" s="2289" t="s">
        <v>2330</v>
      </c>
      <c r="C50" s="1788" t="s">
        <v>5369</v>
      </c>
      <c r="D50" s="1665" t="s">
        <v>5370</v>
      </c>
      <c r="E50" s="1644" t="s">
        <v>5371</v>
      </c>
      <c r="F50" s="1192" t="str">
        <f>CONCATENATE($CB50,$CC50)</f>
        <v xml:space="preserve">* El Número de recién nacidos pertenecientes a Pueblos Originarios no puede superar el Total. * El Número de recién nacidos en tratamiento pertenecientes a Población Migrante no puede superar el Total. </v>
      </c>
      <c r="CB50" s="2195" t="str">
        <f>IF(AND($C50&lt;&gt;0,D50=""),"* No olvide ingresar la columna Pueblos Originarios (Digite CERO si no tiene). ",IF(D50&gt;$C50,"* El Número de recién nacidos pertenecientes a Pueblos Originarios no puede superar el Total. ",""))</f>
        <v xml:space="preserve">* El Número de recién nacidos pertenecientes a Pueblos Originarios no puede superar el Total. </v>
      </c>
      <c r="CC50" s="2195" t="str">
        <f>IF(AND($C50&lt;&gt;0,E50=""),"* No olvide ingresar la columna Migrantes (Digite CERO si no tiene). ",IF(E50&gt;$C50,"*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0" s="1446">
        <f t="shared" ref="CH50:CI53" si="13">IF(AND($C50&lt;&gt;0,D50=""),1,IF(D50&gt;$C50,1,0))</f>
        <v>1</v>
      </c>
      <c r="CI50" s="1446">
        <f t="shared" si="13"/>
        <v>1</v>
      </c>
      <c r="CJ50" s="2276"/>
      <c r="CK50" s="2276"/>
      <c r="CL50" s="2276"/>
      <c r="CM50" s="2276"/>
    </row>
    <row r="51" spans="1:91" ht="22.5" customHeight="1" x14ac:dyDescent="0.3">
      <c r="A51" s="7263">
        <v>11061250</v>
      </c>
      <c r="B51" s="2289" t="s">
        <v>2326</v>
      </c>
      <c r="C51" s="1788" t="s">
        <v>5369</v>
      </c>
      <c r="D51" s="1665" t="s">
        <v>5370</v>
      </c>
      <c r="E51" s="1644" t="s">
        <v>5371</v>
      </c>
      <c r="F51" s="1192" t="str">
        <f>CONCATENATE($CB51,$CC51)</f>
        <v xml:space="preserve">* El Número de recién nacidos pertenecientes a Pueblos Originarios no puede superar el Total. * El Número de recién nacidos en tratamiento pertenecientes a Población Migrante no puede superar el Total. </v>
      </c>
      <c r="CB51" s="2195" t="str">
        <f>IF(AND($C51&lt;&gt;0,D51=""),"* No olvide ingresar la columna Pueblos Originarios (Digite CERO si no tiene). ",IF(D51&gt;$C51,"* El Número de recién nacidos pertenecientes a Pueblos Originarios no puede superar el Total. ",""))</f>
        <v xml:space="preserve">* El Número de recién nacidos pertenecientes a Pueblos Originarios no puede superar el Total. </v>
      </c>
      <c r="CC51" s="2195" t="str">
        <f>IF(AND($C51&lt;&gt;0,E51=""),"* No olvide ingresar la columna Migrantes (Digite CERO si no tiene). ",IF(E51&gt;$C51,"*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1" s="1446">
        <f t="shared" si="13"/>
        <v>1</v>
      </c>
      <c r="CI51" s="1446">
        <f t="shared" si="13"/>
        <v>1</v>
      </c>
      <c r="CJ51" s="2276"/>
      <c r="CK51" s="2276"/>
      <c r="CL51" s="2276"/>
      <c r="CM51" s="2276"/>
    </row>
    <row r="52" spans="1:91" ht="41.25" customHeight="1" x14ac:dyDescent="0.3">
      <c r="A52" s="7263">
        <v>11061260</v>
      </c>
      <c r="B52" s="2289" t="s">
        <v>2329</v>
      </c>
      <c r="C52" s="1788" t="s">
        <v>5369</v>
      </c>
      <c r="D52" s="1665" t="s">
        <v>5370</v>
      </c>
      <c r="E52" s="1644" t="s">
        <v>5371</v>
      </c>
      <c r="F52" s="1192" t="str">
        <f>CONCATENATE($CB52,$CC52)</f>
        <v xml:space="preserve">* El Número de recién nacidos pertenecientes a Pueblos Originarios no puede superar el Total. * El Número de recién nacidos en tratamiento pertenecientes a Población Migrante no puede superar el Total. </v>
      </c>
      <c r="CB52" s="2195" t="str">
        <f>IF(AND($C52&lt;&gt;0,D52=""),"* No olvide ingresar la columna Pueblos Originarios (Digite CERO si no tiene). ",IF(D52&gt;$C52,"* El Número de recién nacidos pertenecientes a Pueblos Originarios no puede superar el Total. ",""))</f>
        <v xml:space="preserve">* El Número de recién nacidos pertenecientes a Pueblos Originarios no puede superar el Total. </v>
      </c>
      <c r="CC52" s="2195" t="str">
        <f>IF(AND($C52&lt;&gt;0,E52=""),"* No olvide ingresar la columna Migrantes (Digite CERO si no tiene). ",IF(E52&gt;$C52,"*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2" s="1446">
        <f t="shared" si="13"/>
        <v>1</v>
      </c>
      <c r="CI52" s="1446">
        <f t="shared" si="13"/>
        <v>1</v>
      </c>
      <c r="CJ52" s="2276"/>
      <c r="CK52" s="2276"/>
      <c r="CL52" s="2276"/>
      <c r="CM52" s="2276"/>
    </row>
    <row r="53" spans="1:91" ht="30" customHeight="1" x14ac:dyDescent="0.3">
      <c r="A53" s="7263">
        <v>11061270</v>
      </c>
      <c r="B53" s="2297" t="s">
        <v>2328</v>
      </c>
      <c r="C53" s="1789" t="s">
        <v>5369</v>
      </c>
      <c r="D53" s="1666" t="s">
        <v>5370</v>
      </c>
      <c r="E53" s="1636" t="s">
        <v>5371</v>
      </c>
      <c r="F53" s="1192" t="str">
        <f>CONCATENATE($CB53,$CC53)</f>
        <v xml:space="preserve">* El Número de recién nacidos pertenecientes a Pueblos Originarios no puede superar el Total. * El Número de recién nacidos en tratamiento pertenecientes a Población Migrante no puede superar el Total. </v>
      </c>
      <c r="CB53" s="2195" t="str">
        <f>IF(AND($C53&lt;&gt;0,D53=""),"* No olvide ingresar la columna Pueblos Originarios (Digite CERO si no tiene). ",IF(D53&gt;$C53,"* El Número de recién nacidos pertenecientes a Pueblos Originarios no puede superar el Total. ",""))</f>
        <v xml:space="preserve">* El Número de recién nacidos pertenecientes a Pueblos Originarios no puede superar el Total. </v>
      </c>
      <c r="CC53" s="2195" t="str">
        <f>IF(AND($C53&lt;&gt;0,E53=""),"* No olvide ingresar la columna Migrantes (Digite CERO si no tiene). ",IF(E53&gt;$C53,"*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3" s="1446">
        <f t="shared" si="13"/>
        <v>1</v>
      </c>
      <c r="CI53" s="1446">
        <f t="shared" si="13"/>
        <v>1</v>
      </c>
      <c r="CJ53" s="2276"/>
      <c r="CK53" s="2276"/>
      <c r="CL53" s="2276"/>
      <c r="CM53" s="2276"/>
    </row>
    <row r="54" spans="1:91" ht="33" customHeight="1" x14ac:dyDescent="0.3">
      <c r="B54" s="10117" t="s">
        <v>2345</v>
      </c>
      <c r="C54" s="10117"/>
      <c r="D54" s="10117"/>
      <c r="E54" s="10117"/>
      <c r="F54" s="10117"/>
      <c r="G54" s="10117"/>
      <c r="H54" s="10117"/>
      <c r="I54" s="10117"/>
      <c r="J54" s="10117"/>
      <c r="K54" s="10117"/>
      <c r="L54" s="10117"/>
      <c r="CH54" s="2276"/>
      <c r="CI54" s="2276"/>
      <c r="CJ54" s="2276"/>
      <c r="CK54" s="2276"/>
      <c r="CL54" s="2276"/>
      <c r="CM54" s="2276"/>
    </row>
    <row r="55" spans="1:91" ht="31.5" customHeight="1" x14ac:dyDescent="0.3">
      <c r="B55" s="2310"/>
      <c r="C55" s="2293" t="s">
        <v>44</v>
      </c>
      <c r="D55" s="2294" t="s">
        <v>362</v>
      </c>
      <c r="E55" s="2188" t="s">
        <v>361</v>
      </c>
      <c r="CH55" s="2276"/>
      <c r="CI55" s="2276"/>
      <c r="CJ55" s="2276"/>
      <c r="CK55" s="2276"/>
      <c r="CL55" s="2276"/>
      <c r="CM55" s="2276"/>
    </row>
    <row r="56" spans="1:91" ht="33.75" customHeight="1" x14ac:dyDescent="0.3">
      <c r="A56" s="7263">
        <v>11061280</v>
      </c>
      <c r="B56" s="2289" t="s">
        <v>2327</v>
      </c>
      <c r="C56" s="1788" t="s">
        <v>5369</v>
      </c>
      <c r="D56" s="1665" t="s">
        <v>5370</v>
      </c>
      <c r="E56" s="1644" t="s">
        <v>5371</v>
      </c>
      <c r="F56" s="1192" t="str">
        <f>CONCATENATE($CB56,$CC56)</f>
        <v xml:space="preserve">* El Número de recién nacidos pertenecientes a Pueblos Originarios no puede superar el Total. * El Número de recién nacidos en tratamiento pertenecientes a Población Migrante no puede superar el Total. </v>
      </c>
      <c r="CB56" s="2195" t="str">
        <f>IF(AND($C56&lt;&gt;0,D56=""),"* No olvide ingresar la columna Pueblos Originarios (Digite CERO si no tiene). ",IF(D56&gt;$C56,"* El Número de recién nacidos pertenecientes a Pueblos Originarios no puede superar el Total. ",""))</f>
        <v xml:space="preserve">* El Número de recién nacidos pertenecientes a Pueblos Originarios no puede superar el Total. </v>
      </c>
      <c r="CC56" s="2195" t="str">
        <f>IF(AND($C56&lt;&gt;0,E56=""),"* No olvide ingresar la columna Migrantes (Digite CERO si no tiene). ",IF(E56&gt;$C56,"*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6" s="1446">
        <f t="shared" ref="CH56:CI59" si="14">IF(AND($C56&lt;&gt;0,D56=""),1,IF(D56&gt;$C56,1,0))</f>
        <v>1</v>
      </c>
      <c r="CI56" s="1446">
        <f t="shared" si="14"/>
        <v>1</v>
      </c>
      <c r="CJ56" s="2276"/>
      <c r="CK56" s="2276"/>
      <c r="CL56" s="2276"/>
      <c r="CM56" s="2276"/>
    </row>
    <row r="57" spans="1:91" ht="25.5" customHeight="1" x14ac:dyDescent="0.3">
      <c r="A57" s="7263">
        <v>11061290</v>
      </c>
      <c r="B57" s="2289" t="s">
        <v>2326</v>
      </c>
      <c r="C57" s="1788" t="s">
        <v>5369</v>
      </c>
      <c r="D57" s="1665" t="s">
        <v>5370</v>
      </c>
      <c r="E57" s="1644" t="s">
        <v>5371</v>
      </c>
      <c r="F57" s="1192" t="str">
        <f>CONCATENATE($CB57,$CC57)</f>
        <v xml:space="preserve">* El Número de recién nacidos pertenecientes a Pueblos Originarios no puede superar el Total. * El Número de recién nacidos en tratamiento pertenecientes a Población Migrante no puede superar el Total. </v>
      </c>
      <c r="CB57" s="2195" t="str">
        <f>IF(AND($C57&lt;&gt;0,D57=""),"* No olvide ingresar la columna Pueblos Originarios (Digite CERO si no tiene). ",IF(D57&gt;$C57,"* El Número de recién nacidos pertenecientes a Pueblos Originarios no puede superar el Total. ",""))</f>
        <v xml:space="preserve">* El Número de recién nacidos pertenecientes a Pueblos Originarios no puede superar el Total. </v>
      </c>
      <c r="CC57" s="2195" t="str">
        <f>IF(AND($C57&lt;&gt;0,E57=""),"* No olvide ingresar la columna Migrantes (Digite CERO si no tiene). ",IF(E57&gt;$C57,"*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7" s="1446">
        <f t="shared" si="14"/>
        <v>1</v>
      </c>
      <c r="CI57" s="1446">
        <f t="shared" si="14"/>
        <v>1</v>
      </c>
      <c r="CJ57" s="2276"/>
      <c r="CK57" s="2276"/>
      <c r="CL57" s="2276"/>
      <c r="CM57" s="2276"/>
    </row>
    <row r="58" spans="1:91" ht="42.75" customHeight="1" x14ac:dyDescent="0.3">
      <c r="A58" s="7263">
        <v>11061300</v>
      </c>
      <c r="B58" s="2289" t="s">
        <v>2325</v>
      </c>
      <c r="C58" s="1788" t="s">
        <v>5369</v>
      </c>
      <c r="D58" s="1665" t="s">
        <v>5370</v>
      </c>
      <c r="E58" s="1644" t="s">
        <v>5371</v>
      </c>
      <c r="F58" s="1192" t="str">
        <f>CONCATENATE($CB58,$CC58)</f>
        <v xml:space="preserve">* El Número de recién nacidos pertenecientes a Pueblos Originarios no puede superar el Total. * El Número de recién nacidos en tratamiento pertenecientes a Población Migrante no puede superar el Total. </v>
      </c>
      <c r="CB58" s="2195" t="str">
        <f>IF(AND($C58&lt;&gt;0,D58=""),"* No olvide ingresar la columna Pueblos Originarios (Digite CERO si no tiene). ",IF(D58&gt;$C58,"* El Número de recién nacidos pertenecientes a Pueblos Originarios no puede superar el Total. ",""))</f>
        <v xml:space="preserve">* El Número de recién nacidos pertenecientes a Pueblos Originarios no puede superar el Total. </v>
      </c>
      <c r="CC58" s="2195" t="str">
        <f>IF(AND($C58&lt;&gt;0,E58=""),"* No olvide ingresar la columna Migrantes (Digite CERO si no tiene). ",IF(E58&gt;$C58,"*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8" s="1446">
        <f t="shared" si="14"/>
        <v>1</v>
      </c>
      <c r="CI58" s="1446">
        <f t="shared" si="14"/>
        <v>1</v>
      </c>
      <c r="CJ58" s="2276"/>
      <c r="CK58" s="2276"/>
      <c r="CL58" s="2276"/>
      <c r="CM58" s="2276"/>
    </row>
    <row r="59" spans="1:91" ht="30" customHeight="1" x14ac:dyDescent="0.3">
      <c r="A59" s="7263">
        <v>11061310</v>
      </c>
      <c r="B59" s="2289" t="s">
        <v>2324</v>
      </c>
      <c r="C59" s="1291" t="s">
        <v>5369</v>
      </c>
      <c r="D59" s="2308" t="s">
        <v>5370</v>
      </c>
      <c r="E59" s="1636" t="s">
        <v>5371</v>
      </c>
      <c r="F59" s="1192" t="str">
        <f>CONCATENATE($CB59,$CC59)</f>
        <v xml:space="preserve">* El Número de recién nacidos pertenecientes a Pueblos Originarios no puede superar el Total. * El Número de recién nacidos en tratamiento pertenecientes a Población Migrante no puede superar el Total. </v>
      </c>
      <c r="CB59" s="2195" t="str">
        <f>IF(AND($C59&lt;&gt;0,D59=""),"* No olvide ingresar la columna Pueblos Originarios (Digite CERO si no tiene). ",IF(D59&gt;$C59,"* El Número de recién nacidos pertenecientes a Pueblos Originarios no puede superar el Total. ",""))</f>
        <v xml:space="preserve">* El Número de recién nacidos pertenecientes a Pueblos Originarios no puede superar el Total. </v>
      </c>
      <c r="CC59" s="2195" t="str">
        <f>IF(AND($C59&lt;&gt;0,E59=""),"* No olvide ingresar la columna Migrantes (Digite CERO si no tiene). ",IF(E59&gt;$C59,"*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9" s="1446">
        <f t="shared" si="14"/>
        <v>1</v>
      </c>
      <c r="CI59" s="1446">
        <f t="shared" si="14"/>
        <v>1</v>
      </c>
      <c r="CJ59" s="2276"/>
      <c r="CK59" s="2276"/>
      <c r="CL59" s="2276"/>
      <c r="CM59" s="2276"/>
    </row>
    <row r="60" spans="1:91" ht="30" customHeight="1" x14ac:dyDescent="0.3">
      <c r="B60" s="10110" t="s">
        <v>2341</v>
      </c>
      <c r="C60" s="10110"/>
      <c r="D60" s="10110"/>
      <c r="E60" s="10110"/>
      <c r="F60" s="10110"/>
      <c r="G60" s="10110"/>
      <c r="H60" s="10110"/>
      <c r="I60" s="10110"/>
      <c r="J60" s="10110"/>
      <c r="K60" s="10110"/>
      <c r="L60" s="10110"/>
      <c r="CH60" s="2276"/>
      <c r="CI60" s="2276"/>
      <c r="CJ60" s="2276"/>
      <c r="CK60" s="2276"/>
      <c r="CL60" s="2276"/>
      <c r="CM60" s="2276"/>
    </row>
    <row r="61" spans="1:91" ht="21" customHeight="1" x14ac:dyDescent="0.3">
      <c r="A61" s="7311"/>
      <c r="B61" s="10120"/>
      <c r="C61" s="10121" t="s">
        <v>44</v>
      </c>
      <c r="D61" s="10104" t="s">
        <v>540</v>
      </c>
      <c r="E61" s="10104"/>
      <c r="F61" s="10104"/>
      <c r="G61" s="10104"/>
      <c r="H61" s="10104"/>
      <c r="I61" s="10104"/>
      <c r="J61" s="10104"/>
      <c r="K61" s="10104"/>
      <c r="L61" s="10105"/>
      <c r="M61" s="10114" t="s">
        <v>362</v>
      </c>
      <c r="N61" s="10116" t="s">
        <v>361</v>
      </c>
      <c r="CH61" s="2276"/>
      <c r="CI61" s="2276"/>
      <c r="CJ61" s="2276"/>
      <c r="CK61" s="2276"/>
      <c r="CL61" s="2276"/>
      <c r="CM61" s="2276"/>
    </row>
    <row r="62" spans="1:91" ht="26.25" customHeight="1" x14ac:dyDescent="0.3">
      <c r="A62" s="7311"/>
      <c r="B62" s="10100"/>
      <c r="C62" s="10122"/>
      <c r="D62" s="2311" t="s">
        <v>32</v>
      </c>
      <c r="E62" s="2305" t="s">
        <v>33</v>
      </c>
      <c r="F62" s="2305" t="s">
        <v>40</v>
      </c>
      <c r="G62" s="2305" t="s">
        <v>115</v>
      </c>
      <c r="H62" s="2305" t="s">
        <v>116</v>
      </c>
      <c r="I62" s="2305" t="s">
        <v>117</v>
      </c>
      <c r="J62" s="2305" t="s">
        <v>118</v>
      </c>
      <c r="K62" s="2305" t="s">
        <v>119</v>
      </c>
      <c r="L62" s="2312" t="s">
        <v>120</v>
      </c>
      <c r="M62" s="10115"/>
      <c r="N62" s="10109"/>
      <c r="CH62" s="2276"/>
      <c r="CI62" s="2276"/>
      <c r="CJ62" s="2276"/>
      <c r="CK62" s="2276"/>
      <c r="CL62" s="2276"/>
      <c r="CM62" s="2276"/>
    </row>
    <row r="63" spans="1:91" ht="27.75" customHeight="1" x14ac:dyDescent="0.3">
      <c r="A63" s="7312"/>
      <c r="B63" s="2320" t="s">
        <v>2303</v>
      </c>
      <c r="C63" s="2313"/>
      <c r="D63" s="2314"/>
      <c r="E63" s="2314"/>
      <c r="F63" s="2314"/>
      <c r="G63" s="2314"/>
      <c r="H63" s="2314"/>
      <c r="I63" s="2314"/>
      <c r="J63" s="2314"/>
      <c r="K63" s="2314"/>
      <c r="L63" s="2315"/>
      <c r="M63" s="2316"/>
      <c r="N63" s="2281"/>
      <c r="CB63" s="2195" t="str">
        <f>IF(AND($C63&lt;&gt;0,M63=""),"* No olvide ingresar la columna Pueblos Originarios (Digite CERO si no tiene). ",IF(M63&gt;$C63,"* El Número de gestantes pertenecientes a Pueblos Originarios no puede superar el Total. ",""))</f>
        <v/>
      </c>
      <c r="CC63" s="2195" t="str">
        <f>IF(AND($C63&lt;&gt;0,N63=""),"* No olvide ingresar la columna Migrantes (Digite CERO si no tiene). ",IF(N63&gt;$C63,"* El Número de gestantes pertenecientes a Población Migrante no puede superar el Total. ",""))</f>
        <v/>
      </c>
      <c r="CH63" s="1446">
        <f>IF(AND($C63&lt;&gt;0,M63=""),1,IF(M63&gt;$C63,1,0))</f>
        <v>0</v>
      </c>
      <c r="CI63" s="1446">
        <f>IF(AND($C63&lt;&gt;0,N63=""),1,IF(N63&gt;$C63,1,0))</f>
        <v>0</v>
      </c>
      <c r="CJ63" s="2276"/>
      <c r="CK63" s="2276"/>
      <c r="CL63" s="2276"/>
      <c r="CM63" s="2276"/>
    </row>
    <row r="64" spans="1:91" ht="24" customHeight="1" x14ac:dyDescent="0.3">
      <c r="A64" s="7263">
        <v>11061320</v>
      </c>
      <c r="B64" s="2289" t="s">
        <v>2323</v>
      </c>
      <c r="C64" s="2317" t="s">
        <v>5369</v>
      </c>
      <c r="D64" s="1585" t="s">
        <v>5370</v>
      </c>
      <c r="E64" s="1585" t="s">
        <v>5371</v>
      </c>
      <c r="F64" s="1585" t="s">
        <v>5372</v>
      </c>
      <c r="G64" s="1585" t="s">
        <v>5373</v>
      </c>
      <c r="H64" s="1585" t="s">
        <v>5374</v>
      </c>
      <c r="I64" s="1585" t="s">
        <v>5375</v>
      </c>
      <c r="J64" s="1585" t="s">
        <v>5376</v>
      </c>
      <c r="K64" s="1585" t="s">
        <v>5377</v>
      </c>
      <c r="L64" s="1701" t="s">
        <v>5378</v>
      </c>
      <c r="M64" s="1585" t="s">
        <v>5379</v>
      </c>
      <c r="N64" s="918" t="s">
        <v>5380</v>
      </c>
      <c r="O64" s="1192" t="str">
        <f t="shared" ref="O64:O73" si="15">CONCATENATE($CB64,$CC64)</f>
        <v xml:space="preserve">* El Número de gestantes pertenecientes a Pueblos Originarios no puede superar el Total. * El Número de gestantes pertenecientes a Población Migrante no puede superar el Total. </v>
      </c>
      <c r="CB64" s="2195" t="str">
        <f t="shared" ref="CB64:CB73" si="16">IF(AND($C64&lt;&gt;0,M64=""),"* No olvide ingresar la columna Pueblos Originarios (Digite CERO si no tiene). ",IF(M64&gt;$C64,"* El Número de gestantes pertenecientes a Pueblos Originarios no puede superar el Total. ",""))</f>
        <v xml:space="preserve">* El Número de gestantes pertenecientes a Pueblos Originarios no puede superar el Total. </v>
      </c>
      <c r="CC64" s="2195" t="str">
        <f t="shared" ref="CC64:CC72" si="17">IF(AND($C64&lt;&gt;0,N64=""),"* No olvide ingresar la columna Migrantes (Digite CERO si no tiene). ",IF(N64&gt;$C64,"* El Número de gestantes pertenecientes a Población Migrante no puede superar el Total. ",""))</f>
        <v xml:space="preserve">* El Número de gestantes pertenecientes a Población Migrante no puede superar el Total. </v>
      </c>
      <c r="CH64" s="1446">
        <f t="shared" ref="CH64:CH73" si="18">IF(AND($C64&lt;&gt;0,M64=""),1,IF(M64&gt;$C64,1,0))</f>
        <v>1</v>
      </c>
      <c r="CI64" s="1446">
        <f t="shared" ref="CI64:CI73" si="19">IF(AND($C64&lt;&gt;0,N64=""),1,IF(N64&gt;$C64,1,0))</f>
        <v>1</v>
      </c>
      <c r="CJ64" s="2276"/>
      <c r="CK64" s="2276"/>
      <c r="CL64" s="2276"/>
      <c r="CM64" s="2276"/>
    </row>
    <row r="65" spans="1:91" ht="26.25" customHeight="1" x14ac:dyDescent="0.3">
      <c r="A65" s="7263">
        <v>11061330</v>
      </c>
      <c r="B65" s="2349" t="s">
        <v>2322</v>
      </c>
      <c r="C65" s="2318" t="s">
        <v>5369</v>
      </c>
      <c r="D65" s="2017" t="s">
        <v>5370</v>
      </c>
      <c r="E65" s="2017" t="s">
        <v>5371</v>
      </c>
      <c r="F65" s="2017" t="s">
        <v>5372</v>
      </c>
      <c r="G65" s="2017" t="s">
        <v>5373</v>
      </c>
      <c r="H65" s="2017" t="s">
        <v>5374</v>
      </c>
      <c r="I65" s="2017" t="s">
        <v>5375</v>
      </c>
      <c r="J65" s="2017" t="s">
        <v>5376</v>
      </c>
      <c r="K65" s="2017" t="s">
        <v>5377</v>
      </c>
      <c r="L65" s="1628" t="s">
        <v>5378</v>
      </c>
      <c r="M65" s="2017" t="s">
        <v>5379</v>
      </c>
      <c r="N65" s="1806" t="s">
        <v>5380</v>
      </c>
      <c r="O65" s="1192" t="str">
        <f t="shared" si="15"/>
        <v xml:space="preserve">* El Número de gestantes pertenecientes a Pueblos Originarios no puede superar el Total. * El Número de gestantes pertenecientes a Población Migrante no puede superar el Total. </v>
      </c>
      <c r="CB65" s="2195" t="str">
        <f t="shared" si="16"/>
        <v xml:space="preserve">* El Número de gestantes pertenecientes a Pueblos Originarios no puede superar el Total. </v>
      </c>
      <c r="CC65" s="2195" t="str">
        <f t="shared" si="17"/>
        <v xml:space="preserve">* El Número de gestantes pertenecientes a Población Migrante no puede superar el Total. </v>
      </c>
      <c r="CH65" s="1446">
        <f t="shared" si="18"/>
        <v>1</v>
      </c>
      <c r="CI65" s="1446">
        <f t="shared" si="19"/>
        <v>1</v>
      </c>
      <c r="CJ65" s="2276"/>
      <c r="CK65" s="2276"/>
      <c r="CL65" s="2276"/>
      <c r="CM65" s="2276"/>
    </row>
    <row r="66" spans="1:91" ht="36" customHeight="1" x14ac:dyDescent="0.3">
      <c r="A66" s="7312"/>
      <c r="B66" s="2348" t="s">
        <v>2304</v>
      </c>
      <c r="C66" s="2287"/>
      <c r="D66" s="2363"/>
      <c r="E66" s="2364"/>
      <c r="F66" s="2364"/>
      <c r="G66" s="2364"/>
      <c r="H66" s="2364"/>
      <c r="I66" s="2364"/>
      <c r="J66" s="2364"/>
      <c r="K66" s="2364"/>
      <c r="L66" s="2365"/>
      <c r="M66" s="2363"/>
      <c r="N66" s="2366"/>
      <c r="CB66" s="2195" t="str">
        <f t="shared" si="16"/>
        <v/>
      </c>
      <c r="CC66" s="2195" t="str">
        <f t="shared" si="17"/>
        <v/>
      </c>
      <c r="CH66" s="1446">
        <f t="shared" si="18"/>
        <v>0</v>
      </c>
      <c r="CI66" s="1446">
        <f t="shared" si="19"/>
        <v>0</v>
      </c>
      <c r="CJ66" s="2276"/>
      <c r="CK66" s="2276"/>
      <c r="CL66" s="2276"/>
      <c r="CM66" s="2276"/>
    </row>
    <row r="67" spans="1:91" ht="23.25" customHeight="1" x14ac:dyDescent="0.3">
      <c r="A67" s="7263">
        <v>11061340</v>
      </c>
      <c r="B67" s="2289" t="s">
        <v>2321</v>
      </c>
      <c r="C67" s="2317" t="s">
        <v>5369</v>
      </c>
      <c r="D67" s="1585" t="s">
        <v>5370</v>
      </c>
      <c r="E67" s="1585" t="s">
        <v>5371</v>
      </c>
      <c r="F67" s="1585" t="s">
        <v>5372</v>
      </c>
      <c r="G67" s="1585" t="s">
        <v>5373</v>
      </c>
      <c r="H67" s="1585" t="s">
        <v>5374</v>
      </c>
      <c r="I67" s="1585" t="s">
        <v>5375</v>
      </c>
      <c r="J67" s="1585" t="s">
        <v>5376</v>
      </c>
      <c r="K67" s="1585" t="s">
        <v>5377</v>
      </c>
      <c r="L67" s="1318" t="s">
        <v>5378</v>
      </c>
      <c r="M67" s="1585" t="s">
        <v>5379</v>
      </c>
      <c r="N67" s="918" t="s">
        <v>5380</v>
      </c>
      <c r="O67" s="1192" t="str">
        <f t="shared" si="15"/>
        <v xml:space="preserve">* El Número de gestantes pertenecientes a Pueblos Originarios no puede superar el Total. * El Número de gestantes pertenecientes a Población Migrante no puede superar el Total. </v>
      </c>
      <c r="CB67" s="2195" t="str">
        <f t="shared" si="16"/>
        <v xml:space="preserve">* El Número de gestantes pertenecientes a Pueblos Originarios no puede superar el Total. </v>
      </c>
      <c r="CC67" s="2195" t="str">
        <f t="shared" si="17"/>
        <v xml:space="preserve">* El Número de gestantes pertenecientes a Población Migrante no puede superar el Total. </v>
      </c>
      <c r="CH67" s="1446">
        <f t="shared" si="18"/>
        <v>1</v>
      </c>
      <c r="CI67" s="1446">
        <f t="shared" si="19"/>
        <v>1</v>
      </c>
      <c r="CJ67" s="2276"/>
      <c r="CK67" s="2276"/>
      <c r="CL67" s="2276"/>
      <c r="CM67" s="2276"/>
    </row>
    <row r="68" spans="1:91" ht="24.75" customHeight="1" x14ac:dyDescent="0.3">
      <c r="A68" s="7263">
        <v>11061350</v>
      </c>
      <c r="B68" s="2349" t="s">
        <v>2320</v>
      </c>
      <c r="C68" s="2318" t="s">
        <v>5369</v>
      </c>
      <c r="D68" s="2017" t="s">
        <v>5370</v>
      </c>
      <c r="E68" s="2017" t="s">
        <v>5371</v>
      </c>
      <c r="F68" s="2017" t="s">
        <v>5372</v>
      </c>
      <c r="G68" s="2017" t="s">
        <v>5373</v>
      </c>
      <c r="H68" s="2017" t="s">
        <v>5374</v>
      </c>
      <c r="I68" s="2017" t="s">
        <v>5375</v>
      </c>
      <c r="J68" s="2017" t="s">
        <v>5376</v>
      </c>
      <c r="K68" s="2017" t="s">
        <v>5377</v>
      </c>
      <c r="L68" s="1628" t="s">
        <v>5378</v>
      </c>
      <c r="M68" s="1792" t="s">
        <v>5379</v>
      </c>
      <c r="N68" s="1150" t="s">
        <v>5380</v>
      </c>
      <c r="O68" s="1192" t="str">
        <f t="shared" si="15"/>
        <v xml:space="preserve">* El Número de gestantes pertenecientes a Pueblos Originarios no puede superar el Total. * El Número de gestantes pertenecientes a Población Migrante no puede superar el Total. </v>
      </c>
      <c r="CB68" s="2195" t="str">
        <f t="shared" si="16"/>
        <v xml:space="preserve">* El Número de gestantes pertenecientes a Pueblos Originarios no puede superar el Total. </v>
      </c>
      <c r="CC68" s="2195" t="str">
        <f t="shared" si="17"/>
        <v xml:space="preserve">* El Número de gestantes pertenecientes a Población Migrante no puede superar el Total. </v>
      </c>
      <c r="CH68" s="1446">
        <f t="shared" si="18"/>
        <v>1</v>
      </c>
      <c r="CI68" s="1446">
        <f t="shared" si="19"/>
        <v>1</v>
      </c>
      <c r="CJ68" s="2276"/>
      <c r="CK68" s="2276"/>
      <c r="CL68" s="2276"/>
      <c r="CM68" s="2276"/>
    </row>
    <row r="69" spans="1:91" ht="32.25" customHeight="1" x14ac:dyDescent="0.3">
      <c r="A69" s="7312"/>
      <c r="B69" s="2348" t="s">
        <v>2305</v>
      </c>
      <c r="C69" s="2287"/>
      <c r="D69" s="2363"/>
      <c r="E69" s="2364"/>
      <c r="F69" s="2364"/>
      <c r="G69" s="2364"/>
      <c r="H69" s="2364"/>
      <c r="I69" s="2364"/>
      <c r="J69" s="2364"/>
      <c r="K69" s="2364"/>
      <c r="L69" s="2365"/>
      <c r="M69" s="2367"/>
      <c r="N69" s="2368"/>
      <c r="CB69" s="2195" t="str">
        <f t="shared" si="16"/>
        <v/>
      </c>
      <c r="CC69" s="2195" t="str">
        <f t="shared" si="17"/>
        <v/>
      </c>
      <c r="CH69" s="1446">
        <f t="shared" si="18"/>
        <v>0</v>
      </c>
      <c r="CI69" s="1446">
        <f t="shared" si="19"/>
        <v>0</v>
      </c>
      <c r="CJ69" s="2276"/>
      <c r="CK69" s="2276"/>
      <c r="CL69" s="2276"/>
      <c r="CM69" s="2276"/>
    </row>
    <row r="70" spans="1:91" ht="23.25" customHeight="1" x14ac:dyDescent="0.3">
      <c r="A70" s="7263">
        <v>11061360</v>
      </c>
      <c r="B70" s="2289" t="s">
        <v>2319</v>
      </c>
      <c r="C70" s="2317" t="s">
        <v>5369</v>
      </c>
      <c r="D70" s="1585" t="s">
        <v>5370</v>
      </c>
      <c r="E70" s="1585" t="s">
        <v>5371</v>
      </c>
      <c r="F70" s="1585" t="s">
        <v>5372</v>
      </c>
      <c r="G70" s="1585" t="s">
        <v>5373</v>
      </c>
      <c r="H70" s="1585" t="s">
        <v>5374</v>
      </c>
      <c r="I70" s="1585" t="s">
        <v>5375</v>
      </c>
      <c r="J70" s="1585" t="s">
        <v>5376</v>
      </c>
      <c r="K70" s="1585" t="s">
        <v>5377</v>
      </c>
      <c r="L70" s="1318" t="s">
        <v>5378</v>
      </c>
      <c r="M70" s="1585" t="s">
        <v>5379</v>
      </c>
      <c r="N70" s="918" t="s">
        <v>5380</v>
      </c>
      <c r="O70" s="1192" t="str">
        <f t="shared" si="15"/>
        <v xml:space="preserve">* El Número de gestantes pertenecientes a Pueblos Originarios no puede superar el Total. * El Número de gestantes pertenecientes a Población Migrante no puede superar el Total. </v>
      </c>
      <c r="CB70" s="2195" t="str">
        <f t="shared" si="16"/>
        <v xml:space="preserve">* El Número de gestantes pertenecientes a Pueblos Originarios no puede superar el Total. </v>
      </c>
      <c r="CC70" s="2195" t="str">
        <f t="shared" si="17"/>
        <v xml:space="preserve">* El Número de gestantes pertenecientes a Población Migrante no puede superar el Total. </v>
      </c>
      <c r="CH70" s="1446">
        <f t="shared" si="18"/>
        <v>1</v>
      </c>
      <c r="CI70" s="1446">
        <f t="shared" si="19"/>
        <v>1</v>
      </c>
      <c r="CJ70" s="2276"/>
      <c r="CK70" s="2276"/>
      <c r="CL70" s="2276"/>
      <c r="CM70" s="2276"/>
    </row>
    <row r="71" spans="1:91" ht="33.75" customHeight="1" x14ac:dyDescent="0.3">
      <c r="A71" s="7263">
        <v>11061370</v>
      </c>
      <c r="B71" s="2349" t="s">
        <v>2318</v>
      </c>
      <c r="C71" s="2318" t="s">
        <v>5369</v>
      </c>
      <c r="D71" s="2017" t="s">
        <v>5370</v>
      </c>
      <c r="E71" s="2017" t="s">
        <v>5371</v>
      </c>
      <c r="F71" s="2017" t="s">
        <v>5372</v>
      </c>
      <c r="G71" s="2017" t="s">
        <v>5373</v>
      </c>
      <c r="H71" s="2017" t="s">
        <v>5374</v>
      </c>
      <c r="I71" s="2017" t="s">
        <v>5375</v>
      </c>
      <c r="J71" s="2017" t="s">
        <v>5376</v>
      </c>
      <c r="K71" s="2017" t="s">
        <v>5377</v>
      </c>
      <c r="L71" s="1628" t="s">
        <v>5378</v>
      </c>
      <c r="M71" s="2017" t="s">
        <v>5379</v>
      </c>
      <c r="N71" s="1806" t="s">
        <v>5380</v>
      </c>
      <c r="O71" s="1192" t="str">
        <f t="shared" si="15"/>
        <v xml:space="preserve">* El Número de gestantes pertenecientes a Pueblos Originarios no puede superar el Total. * El Número de gestantes pertenecientes a Población Migrante no puede superar el Total. </v>
      </c>
      <c r="CB71" s="2195" t="str">
        <f t="shared" si="16"/>
        <v xml:space="preserve">* El Número de gestantes pertenecientes a Pueblos Originarios no puede superar el Total. </v>
      </c>
      <c r="CC71" s="2195" t="str">
        <f t="shared" si="17"/>
        <v xml:space="preserve">* El Número de gestantes pertenecientes a Población Migrante no puede superar el Total. </v>
      </c>
      <c r="CH71" s="1446">
        <f t="shared" si="18"/>
        <v>1</v>
      </c>
      <c r="CI71" s="1446">
        <f t="shared" si="19"/>
        <v>1</v>
      </c>
      <c r="CJ71" s="2276"/>
      <c r="CK71" s="2276"/>
      <c r="CL71" s="2276"/>
      <c r="CM71" s="2276"/>
    </row>
    <row r="72" spans="1:91" ht="32.25" customHeight="1" x14ac:dyDescent="0.3">
      <c r="A72" s="7312"/>
      <c r="B72" s="2348" t="s">
        <v>2306</v>
      </c>
      <c r="C72" s="2369"/>
      <c r="D72" s="2363"/>
      <c r="E72" s="2363"/>
      <c r="F72" s="2363"/>
      <c r="G72" s="2363"/>
      <c r="H72" s="2363"/>
      <c r="I72" s="2363"/>
      <c r="J72" s="2363"/>
      <c r="K72" s="2363"/>
      <c r="L72" s="2365"/>
      <c r="M72" s="2363"/>
      <c r="N72" s="2368"/>
      <c r="CB72" s="2195" t="str">
        <f t="shared" si="16"/>
        <v/>
      </c>
      <c r="CC72" s="2195" t="str">
        <f t="shared" si="17"/>
        <v/>
      </c>
      <c r="CH72" s="1446">
        <f t="shared" si="18"/>
        <v>0</v>
      </c>
      <c r="CI72" s="1446">
        <f t="shared" si="19"/>
        <v>0</v>
      </c>
      <c r="CJ72" s="2276"/>
      <c r="CK72" s="2276"/>
      <c r="CL72" s="2276"/>
      <c r="CM72" s="2276"/>
    </row>
    <row r="73" spans="1:91" ht="27.75" customHeight="1" x14ac:dyDescent="0.3">
      <c r="A73" s="7263">
        <v>11061380</v>
      </c>
      <c r="B73" s="2284" t="s">
        <v>2317</v>
      </c>
      <c r="C73" s="2319" t="s">
        <v>5369</v>
      </c>
      <c r="D73" s="1742" t="s">
        <v>5370</v>
      </c>
      <c r="E73" s="1742" t="s">
        <v>5371</v>
      </c>
      <c r="F73" s="1742" t="s">
        <v>5372</v>
      </c>
      <c r="G73" s="1742" t="s">
        <v>5373</v>
      </c>
      <c r="H73" s="1742" t="s">
        <v>5374</v>
      </c>
      <c r="I73" s="1742" t="s">
        <v>5375</v>
      </c>
      <c r="J73" s="1742" t="s">
        <v>5376</v>
      </c>
      <c r="K73" s="1742" t="s">
        <v>5377</v>
      </c>
      <c r="L73" s="1304" t="s">
        <v>5378</v>
      </c>
      <c r="M73" s="1742" t="s">
        <v>5379</v>
      </c>
      <c r="N73" s="1697" t="s">
        <v>5380</v>
      </c>
      <c r="O73" s="1192" t="str">
        <f t="shared" si="15"/>
        <v xml:space="preserve">* El Número de gestantes pertenecientes a Pueblos Originarios no puede superar el Total. * El Número de gestantes pertenecientes a Población Migrante no puede superar el Total. </v>
      </c>
      <c r="CB73" s="2195" t="str">
        <f t="shared" si="16"/>
        <v xml:space="preserve">* El Número de gestantes pertenecientes a Pueblos Originarios no puede superar el Total. </v>
      </c>
      <c r="CC73" s="2195" t="str">
        <f>IF(AND($C73&lt;&gt;0,N73=""),"* No olvide ingresar la columna Migrantes (Digite CERO si no tiene). ",IF(N73&gt;$C73,"* El Número de gestantes pertenecientes a Población Migrante no puede superar el Total. ",""))</f>
        <v xml:space="preserve">* El Número de gestantes pertenecientes a Población Migrante no puede superar el Total. </v>
      </c>
      <c r="CH73" s="1446">
        <f t="shared" si="18"/>
        <v>1</v>
      </c>
      <c r="CI73" s="1446">
        <f t="shared" si="19"/>
        <v>1</v>
      </c>
      <c r="CJ73" s="2276"/>
      <c r="CK73" s="2276"/>
      <c r="CL73" s="2276"/>
      <c r="CM73" s="2276"/>
    </row>
    <row r="74" spans="1:91" ht="22.5" customHeight="1" x14ac:dyDescent="0.3">
      <c r="B74" s="10110" t="s">
        <v>2342</v>
      </c>
      <c r="C74" s="10110"/>
      <c r="D74" s="10110"/>
      <c r="E74" s="10110"/>
      <c r="F74" s="10110"/>
      <c r="G74" s="10110"/>
      <c r="H74" s="10110"/>
      <c r="CH74" s="2276"/>
      <c r="CI74" s="2276"/>
      <c r="CJ74" s="2276"/>
      <c r="CK74" s="2276"/>
      <c r="CL74" s="2276"/>
      <c r="CM74" s="2276"/>
    </row>
    <row r="75" spans="1:91" ht="18.75" customHeight="1" x14ac:dyDescent="0.3">
      <c r="A75" s="7311"/>
      <c r="B75" s="10120"/>
      <c r="C75" s="10121" t="s">
        <v>44</v>
      </c>
      <c r="D75" s="10104" t="s">
        <v>540</v>
      </c>
      <c r="E75" s="10104"/>
      <c r="F75" s="10104"/>
      <c r="G75" s="10104"/>
      <c r="H75" s="10104"/>
      <c r="I75" s="10104"/>
      <c r="J75" s="10104"/>
      <c r="K75" s="10104"/>
      <c r="L75" s="10105"/>
      <c r="M75" s="10114" t="s">
        <v>362</v>
      </c>
      <c r="N75" s="10116" t="s">
        <v>361</v>
      </c>
      <c r="CH75" s="2276"/>
      <c r="CI75" s="2276"/>
      <c r="CJ75" s="2276"/>
      <c r="CK75" s="2276"/>
      <c r="CL75" s="2276"/>
      <c r="CM75" s="2276"/>
    </row>
    <row r="76" spans="1:91" ht="21" customHeight="1" x14ac:dyDescent="0.3">
      <c r="A76" s="7311"/>
      <c r="B76" s="10100"/>
      <c r="C76" s="10122"/>
      <c r="D76" s="2311" t="s">
        <v>32</v>
      </c>
      <c r="E76" s="2305" t="s">
        <v>33</v>
      </c>
      <c r="F76" s="2305" t="s">
        <v>40</v>
      </c>
      <c r="G76" s="2305" t="s">
        <v>115</v>
      </c>
      <c r="H76" s="2305" t="s">
        <v>116</v>
      </c>
      <c r="I76" s="2305" t="s">
        <v>117</v>
      </c>
      <c r="J76" s="2305" t="s">
        <v>118</v>
      </c>
      <c r="K76" s="2305" t="s">
        <v>119</v>
      </c>
      <c r="L76" s="2312" t="s">
        <v>120</v>
      </c>
      <c r="M76" s="10115"/>
      <c r="N76" s="10109"/>
      <c r="CH76" s="2276"/>
      <c r="CI76" s="2276"/>
      <c r="CJ76" s="2276"/>
      <c r="CK76" s="2276"/>
      <c r="CL76" s="2276"/>
      <c r="CM76" s="2276"/>
    </row>
    <row r="77" spans="1:91" ht="35.25" customHeight="1" x14ac:dyDescent="0.3">
      <c r="A77" s="7312"/>
      <c r="B77" s="2320" t="s">
        <v>2307</v>
      </c>
      <c r="C77" s="2321"/>
      <c r="D77" s="2322"/>
      <c r="E77" s="2322"/>
      <c r="F77" s="2322"/>
      <c r="G77" s="2322"/>
      <c r="H77" s="2322"/>
      <c r="I77" s="2322"/>
      <c r="J77" s="2322"/>
      <c r="K77" s="2322"/>
      <c r="L77" s="2323"/>
      <c r="M77" s="2324"/>
      <c r="N77" s="2325"/>
      <c r="CB77" s="2195" t="str">
        <f>IF(AND($C77&lt;&gt;0,M77=""),"* No olvide ingresar la columna Pueblos Originarios (Digite CERO si no tiene). ",IF(M77&gt;$C77,"* El Número de gestantes pertenecientes a Pueblos Originarios no puede superar el Total. ",""))</f>
        <v/>
      </c>
      <c r="CC77" s="2195" t="str">
        <f>IF(AND($C77&lt;&gt;0,N77=""),"* No olvide ingresar la columna Migrantes (Digite CERO si no tiene). ",IF(N77&gt;$C77,"* El Número de gestantes pertenecientes a Población Migrante no puede superar el Total. ",""))</f>
        <v/>
      </c>
      <c r="CH77" s="1446">
        <f>IF(AND($C77&lt;&gt;0,M77=""),1,IF(M77&gt;$C77,1,0))</f>
        <v>0</v>
      </c>
      <c r="CI77" s="1446">
        <f>IF(AND($C77&lt;&gt;0,N77=""),1,IF(N77&gt;$C77,1,0))</f>
        <v>0</v>
      </c>
      <c r="CJ77" s="2276"/>
      <c r="CK77" s="2276"/>
      <c r="CL77" s="2276"/>
      <c r="CM77" s="2276"/>
    </row>
    <row r="78" spans="1:91" ht="23.25" customHeight="1" x14ac:dyDescent="0.3">
      <c r="A78" s="7263">
        <v>11061390</v>
      </c>
      <c r="B78" s="2289" t="s">
        <v>2316</v>
      </c>
      <c r="C78" s="2317" t="s">
        <v>5369</v>
      </c>
      <c r="D78" s="1585" t="s">
        <v>5370</v>
      </c>
      <c r="E78" s="1585" t="s">
        <v>5371</v>
      </c>
      <c r="F78" s="1585" t="s">
        <v>5372</v>
      </c>
      <c r="G78" s="1585" t="s">
        <v>5373</v>
      </c>
      <c r="H78" s="1585" t="s">
        <v>5374</v>
      </c>
      <c r="I78" s="1585" t="s">
        <v>5375</v>
      </c>
      <c r="J78" s="1585" t="s">
        <v>5376</v>
      </c>
      <c r="K78" s="1585" t="s">
        <v>5377</v>
      </c>
      <c r="L78" s="1318" t="s">
        <v>5378</v>
      </c>
      <c r="M78" s="1585" t="s">
        <v>5379</v>
      </c>
      <c r="N78" s="918" t="s">
        <v>5380</v>
      </c>
      <c r="O78" s="1192" t="str">
        <f t="shared" ref="O78:O88" si="20">CONCATENATE($CB78,$CC78)</f>
        <v xml:space="preserve">* El Número de gestantes pertenecientes a Pueblos Originarios no puede superar el Total. * El Número de gestantes pertenecientes a Población Migrante no puede superar el Total. </v>
      </c>
      <c r="CB78" s="2195" t="str">
        <f t="shared" ref="CB78:CB87" si="21">IF(AND($C78&lt;&gt;0,M78=""),"* No olvide ingresar la columna Pueblos Originarios (Digite CERO si no tiene). ",IF(M78&gt;$C78,"* El Número de gestantes pertenecientes a Pueblos Originarios no puede superar el Total. ",""))</f>
        <v xml:space="preserve">* El Número de gestantes pertenecientes a Pueblos Originarios no puede superar el Total. </v>
      </c>
      <c r="CC78" s="2195" t="str">
        <f t="shared" ref="CC78:CC87" si="22">IF(AND($C78&lt;&gt;0,N78=""),"* No olvide ingresar la columna Migrantes (Digite CERO si no tiene). ",IF(N78&gt;$C78,"* El Número de gestantes pertenecientes a Población Migrante no puede superar el Total. ",""))</f>
        <v xml:space="preserve">* El Número de gestantes pertenecientes a Población Migrante no puede superar el Total. </v>
      </c>
      <c r="CH78" s="1446">
        <f t="shared" ref="CH78:CH88" si="23">IF(AND($C78&lt;&gt;0,M78=""),1,IF(M78&gt;$C78,1,0))</f>
        <v>1</v>
      </c>
      <c r="CI78" s="1446">
        <f t="shared" ref="CI78:CI88" si="24">IF(AND($C78&lt;&gt;0,N78=""),1,IF(N78&gt;$C78,1,0))</f>
        <v>1</v>
      </c>
      <c r="CJ78" s="2276"/>
      <c r="CK78" s="2276"/>
      <c r="CL78" s="2276"/>
      <c r="CM78" s="2276"/>
    </row>
    <row r="79" spans="1:91" ht="23.25" customHeight="1" x14ac:dyDescent="0.3">
      <c r="A79" s="7263">
        <v>11061400</v>
      </c>
      <c r="B79" s="2289" t="s">
        <v>2315</v>
      </c>
      <c r="C79" s="2317" t="s">
        <v>5369</v>
      </c>
      <c r="D79" s="1585" t="s">
        <v>5370</v>
      </c>
      <c r="E79" s="1585" t="s">
        <v>5371</v>
      </c>
      <c r="F79" s="1585" t="s">
        <v>5372</v>
      </c>
      <c r="G79" s="1585" t="s">
        <v>5373</v>
      </c>
      <c r="H79" s="1585" t="s">
        <v>5374</v>
      </c>
      <c r="I79" s="1585" t="s">
        <v>5375</v>
      </c>
      <c r="J79" s="1585" t="s">
        <v>5376</v>
      </c>
      <c r="K79" s="1585" t="s">
        <v>5377</v>
      </c>
      <c r="L79" s="1318" t="s">
        <v>5378</v>
      </c>
      <c r="M79" s="1585" t="s">
        <v>5379</v>
      </c>
      <c r="N79" s="918" t="s">
        <v>5380</v>
      </c>
      <c r="O79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79" s="2195" t="str">
        <f t="shared" si="21"/>
        <v xml:space="preserve">* El Número de gestantes pertenecientes a Pueblos Originarios no puede superar el Total. </v>
      </c>
      <c r="CC79" s="2195" t="str">
        <f t="shared" si="22"/>
        <v xml:space="preserve">* El Número de gestantes pertenecientes a Población Migrante no puede superar el Total. </v>
      </c>
      <c r="CH79" s="1446">
        <f t="shared" si="23"/>
        <v>1</v>
      </c>
      <c r="CI79" s="1446">
        <f t="shared" si="24"/>
        <v>1</v>
      </c>
      <c r="CJ79" s="2276"/>
      <c r="CK79" s="2276"/>
      <c r="CL79" s="2276"/>
      <c r="CM79" s="2276"/>
    </row>
    <row r="80" spans="1:91" ht="27" customHeight="1" x14ac:dyDescent="0.3">
      <c r="A80" s="7263">
        <v>11061410</v>
      </c>
      <c r="B80" s="2349" t="s">
        <v>2314</v>
      </c>
      <c r="C80" s="2326" t="s">
        <v>5369</v>
      </c>
      <c r="D80" s="1792" t="s">
        <v>5370</v>
      </c>
      <c r="E80" s="1792" t="s">
        <v>5371</v>
      </c>
      <c r="F80" s="1792" t="s">
        <v>5372</v>
      </c>
      <c r="G80" s="1792" t="s">
        <v>5373</v>
      </c>
      <c r="H80" s="1792" t="s">
        <v>5374</v>
      </c>
      <c r="I80" s="1792" t="s">
        <v>5375</v>
      </c>
      <c r="J80" s="1792" t="s">
        <v>5376</v>
      </c>
      <c r="K80" s="1792" t="s">
        <v>5377</v>
      </c>
      <c r="L80" s="713" t="s">
        <v>5378</v>
      </c>
      <c r="M80" s="1792" t="s">
        <v>5379</v>
      </c>
      <c r="N80" s="1150" t="s">
        <v>5380</v>
      </c>
      <c r="O80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80" s="2195" t="str">
        <f t="shared" si="21"/>
        <v xml:space="preserve">* El Número de gestantes pertenecientes a Pueblos Originarios no puede superar el Total. </v>
      </c>
      <c r="CC80" s="2195" t="str">
        <f t="shared" si="22"/>
        <v xml:space="preserve">* El Número de gestantes pertenecientes a Población Migrante no puede superar el Total. </v>
      </c>
      <c r="CH80" s="1446">
        <f t="shared" si="23"/>
        <v>1</v>
      </c>
      <c r="CI80" s="1446">
        <f t="shared" si="24"/>
        <v>1</v>
      </c>
      <c r="CJ80" s="2276"/>
      <c r="CK80" s="2276"/>
      <c r="CL80" s="2276"/>
      <c r="CM80" s="2276"/>
    </row>
    <row r="81" spans="1:91" ht="30" customHeight="1" x14ac:dyDescent="0.3">
      <c r="A81" s="7312"/>
      <c r="B81" s="2348" t="s">
        <v>2308</v>
      </c>
      <c r="C81" s="2369"/>
      <c r="D81" s="2363"/>
      <c r="E81" s="2363"/>
      <c r="F81" s="2363"/>
      <c r="G81" s="2363"/>
      <c r="H81" s="2363"/>
      <c r="I81" s="2363"/>
      <c r="J81" s="2363"/>
      <c r="K81" s="2363"/>
      <c r="L81" s="2365"/>
      <c r="M81" s="2363"/>
      <c r="N81" s="2368"/>
      <c r="CB81" s="2195" t="str">
        <f t="shared" si="21"/>
        <v/>
      </c>
      <c r="CC81" s="2195" t="str">
        <f t="shared" si="22"/>
        <v/>
      </c>
      <c r="CH81" s="1446">
        <f t="shared" si="23"/>
        <v>0</v>
      </c>
      <c r="CI81" s="1446">
        <f t="shared" si="24"/>
        <v>0</v>
      </c>
      <c r="CJ81" s="2276"/>
      <c r="CK81" s="2276"/>
      <c r="CL81" s="2276"/>
      <c r="CM81" s="2276"/>
    </row>
    <row r="82" spans="1:91" ht="21.75" customHeight="1" x14ac:dyDescent="0.3">
      <c r="A82" s="7263">
        <v>11061420</v>
      </c>
      <c r="B82" s="2289" t="s">
        <v>2316</v>
      </c>
      <c r="C82" s="2317" t="s">
        <v>5369</v>
      </c>
      <c r="D82" s="1585" t="s">
        <v>5370</v>
      </c>
      <c r="E82" s="1585" t="s">
        <v>5371</v>
      </c>
      <c r="F82" s="1585" t="s">
        <v>5372</v>
      </c>
      <c r="G82" s="1585" t="s">
        <v>5373</v>
      </c>
      <c r="H82" s="1585" t="s">
        <v>5374</v>
      </c>
      <c r="I82" s="1585" t="s">
        <v>5375</v>
      </c>
      <c r="J82" s="1585" t="s">
        <v>5376</v>
      </c>
      <c r="K82" s="1585" t="s">
        <v>5377</v>
      </c>
      <c r="L82" s="1318" t="s">
        <v>5378</v>
      </c>
      <c r="M82" s="1585" t="s">
        <v>5379</v>
      </c>
      <c r="N82" s="918" t="s">
        <v>5380</v>
      </c>
      <c r="O82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82" s="2195" t="str">
        <f t="shared" si="21"/>
        <v xml:space="preserve">* El Número de gestantes pertenecientes a Pueblos Originarios no puede superar el Total. </v>
      </c>
      <c r="CC82" s="2195" t="str">
        <f t="shared" si="22"/>
        <v xml:space="preserve">* El Número de gestantes pertenecientes a Población Migrante no puede superar el Total. </v>
      </c>
      <c r="CH82" s="1446">
        <f t="shared" si="23"/>
        <v>1</v>
      </c>
      <c r="CI82" s="1446">
        <f t="shared" si="24"/>
        <v>1</v>
      </c>
      <c r="CJ82" s="2276"/>
      <c r="CK82" s="2276"/>
      <c r="CL82" s="2276"/>
      <c r="CM82" s="2276"/>
    </row>
    <row r="83" spans="1:91" ht="21.75" customHeight="1" x14ac:dyDescent="0.3">
      <c r="A83" s="7263">
        <v>11061430</v>
      </c>
      <c r="B83" s="2289" t="s">
        <v>2315</v>
      </c>
      <c r="C83" s="2317" t="s">
        <v>5369</v>
      </c>
      <c r="D83" s="1585" t="s">
        <v>5370</v>
      </c>
      <c r="E83" s="1585" t="s">
        <v>5371</v>
      </c>
      <c r="F83" s="1585" t="s">
        <v>5372</v>
      </c>
      <c r="G83" s="1585" t="s">
        <v>5373</v>
      </c>
      <c r="H83" s="1585" t="s">
        <v>5374</v>
      </c>
      <c r="I83" s="1585" t="s">
        <v>5375</v>
      </c>
      <c r="J83" s="1585" t="s">
        <v>5376</v>
      </c>
      <c r="K83" s="1585" t="s">
        <v>5377</v>
      </c>
      <c r="L83" s="1318" t="s">
        <v>5378</v>
      </c>
      <c r="M83" s="1585" t="s">
        <v>5379</v>
      </c>
      <c r="N83" s="918" t="s">
        <v>5380</v>
      </c>
      <c r="O83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83" s="2195" t="str">
        <f t="shared" si="21"/>
        <v xml:space="preserve">* El Número de gestantes pertenecientes a Pueblos Originarios no puede superar el Total. </v>
      </c>
      <c r="CC83" s="2195" t="str">
        <f t="shared" si="22"/>
        <v xml:space="preserve">* El Número de gestantes pertenecientes a Población Migrante no puede superar el Total. </v>
      </c>
      <c r="CH83" s="1446">
        <f t="shared" si="23"/>
        <v>1</v>
      </c>
      <c r="CI83" s="1446">
        <f t="shared" si="24"/>
        <v>1</v>
      </c>
      <c r="CJ83" s="2276"/>
      <c r="CK83" s="2276"/>
      <c r="CL83" s="2276"/>
      <c r="CM83" s="2276"/>
    </row>
    <row r="84" spans="1:91" ht="25.5" customHeight="1" x14ac:dyDescent="0.3">
      <c r="A84" s="7263">
        <v>11061440</v>
      </c>
      <c r="B84" s="2297" t="s">
        <v>2314</v>
      </c>
      <c r="C84" s="2327" t="s">
        <v>5369</v>
      </c>
      <c r="D84" s="1666" t="s">
        <v>5370</v>
      </c>
      <c r="E84" s="1666" t="s">
        <v>5371</v>
      </c>
      <c r="F84" s="1666" t="s">
        <v>5372</v>
      </c>
      <c r="G84" s="1666" t="s">
        <v>5373</v>
      </c>
      <c r="H84" s="1666" t="s">
        <v>5374</v>
      </c>
      <c r="I84" s="1666" t="s">
        <v>5375</v>
      </c>
      <c r="J84" s="1666" t="s">
        <v>5376</v>
      </c>
      <c r="K84" s="1666" t="s">
        <v>5377</v>
      </c>
      <c r="L84" s="1284" t="s">
        <v>5378</v>
      </c>
      <c r="M84" s="1666" t="s">
        <v>5379</v>
      </c>
      <c r="N84" s="1636" t="s">
        <v>5380</v>
      </c>
      <c r="O84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84" s="2195" t="str">
        <f t="shared" si="21"/>
        <v xml:space="preserve">* El Número de gestantes pertenecientes a Pueblos Originarios no puede superar el Total. </v>
      </c>
      <c r="CC84" s="2195" t="str">
        <f t="shared" si="22"/>
        <v xml:space="preserve">* El Número de gestantes pertenecientes a Población Migrante no puede superar el Total. </v>
      </c>
      <c r="CH84" s="1446">
        <f t="shared" si="23"/>
        <v>1</v>
      </c>
      <c r="CI84" s="1446">
        <f t="shared" si="24"/>
        <v>1</v>
      </c>
      <c r="CJ84" s="2276"/>
      <c r="CK84" s="2276"/>
      <c r="CL84" s="2276"/>
      <c r="CM84" s="2276"/>
    </row>
    <row r="85" spans="1:91" ht="23.25" customHeight="1" x14ac:dyDescent="0.3">
      <c r="A85" s="7312"/>
      <c r="B85" s="2320" t="s">
        <v>2309</v>
      </c>
      <c r="C85" s="2369"/>
      <c r="D85" s="2363"/>
      <c r="E85" s="2363"/>
      <c r="F85" s="2363"/>
      <c r="G85" s="2363"/>
      <c r="H85" s="2363"/>
      <c r="I85" s="2363"/>
      <c r="J85" s="2363"/>
      <c r="K85" s="2363"/>
      <c r="L85" s="2365"/>
      <c r="M85" s="2363"/>
      <c r="N85" s="2368"/>
      <c r="CB85" s="2195" t="str">
        <f t="shared" si="21"/>
        <v/>
      </c>
      <c r="CC85" s="2195" t="str">
        <f t="shared" si="22"/>
        <v/>
      </c>
      <c r="CH85" s="1446">
        <f t="shared" si="23"/>
        <v>0</v>
      </c>
      <c r="CI85" s="1446">
        <f t="shared" si="24"/>
        <v>0</v>
      </c>
      <c r="CJ85" s="2276"/>
      <c r="CK85" s="2276"/>
      <c r="CL85" s="2276"/>
      <c r="CM85" s="2276"/>
    </row>
    <row r="86" spans="1:91" ht="24" customHeight="1" x14ac:dyDescent="0.3">
      <c r="A86" s="7263">
        <v>11061450</v>
      </c>
      <c r="B86" s="2289" t="s">
        <v>2316</v>
      </c>
      <c r="C86" s="2317" t="s">
        <v>5369</v>
      </c>
      <c r="D86" s="1585" t="s">
        <v>5370</v>
      </c>
      <c r="E86" s="1585" t="s">
        <v>5371</v>
      </c>
      <c r="F86" s="1585" t="s">
        <v>5372</v>
      </c>
      <c r="G86" s="1585" t="s">
        <v>5373</v>
      </c>
      <c r="H86" s="1585" t="s">
        <v>5374</v>
      </c>
      <c r="I86" s="1585" t="s">
        <v>5375</v>
      </c>
      <c r="J86" s="1585" t="s">
        <v>5376</v>
      </c>
      <c r="K86" s="1585" t="s">
        <v>5377</v>
      </c>
      <c r="L86" s="1318" t="s">
        <v>5378</v>
      </c>
      <c r="M86" s="1585" t="s">
        <v>5379</v>
      </c>
      <c r="N86" s="918" t="s">
        <v>5380</v>
      </c>
      <c r="O86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86" s="2195" t="str">
        <f t="shared" si="21"/>
        <v xml:space="preserve">* El Número de gestantes pertenecientes a Pueblos Originarios no puede superar el Total. </v>
      </c>
      <c r="CC86" s="2195" t="str">
        <f t="shared" si="22"/>
        <v xml:space="preserve">* El Número de gestantes pertenecientes a Población Migrante no puede superar el Total. </v>
      </c>
      <c r="CH86" s="1446">
        <f t="shared" si="23"/>
        <v>1</v>
      </c>
      <c r="CI86" s="1446">
        <f t="shared" si="24"/>
        <v>1</v>
      </c>
      <c r="CJ86" s="2276"/>
      <c r="CK86" s="2276"/>
      <c r="CL86" s="2276"/>
      <c r="CM86" s="2276"/>
    </row>
    <row r="87" spans="1:91" ht="18" customHeight="1" x14ac:dyDescent="0.3">
      <c r="A87" s="7263">
        <v>11061460</v>
      </c>
      <c r="B87" s="2289" t="s">
        <v>2315</v>
      </c>
      <c r="C87" s="2317" t="s">
        <v>5369</v>
      </c>
      <c r="D87" s="1585" t="s">
        <v>5370</v>
      </c>
      <c r="E87" s="1585" t="s">
        <v>5371</v>
      </c>
      <c r="F87" s="1585" t="s">
        <v>5372</v>
      </c>
      <c r="G87" s="1585" t="s">
        <v>5373</v>
      </c>
      <c r="H87" s="1585" t="s">
        <v>5374</v>
      </c>
      <c r="I87" s="1585" t="s">
        <v>5375</v>
      </c>
      <c r="J87" s="1585" t="s">
        <v>5376</v>
      </c>
      <c r="K87" s="1585" t="s">
        <v>5377</v>
      </c>
      <c r="L87" s="1318" t="s">
        <v>5378</v>
      </c>
      <c r="M87" s="1585" t="s">
        <v>5379</v>
      </c>
      <c r="N87" s="918" t="s">
        <v>5380</v>
      </c>
      <c r="O87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87" s="2195" t="str">
        <f t="shared" si="21"/>
        <v xml:space="preserve">* El Número de gestantes pertenecientes a Pueblos Originarios no puede superar el Total. </v>
      </c>
      <c r="CC87" s="2195" t="str">
        <f t="shared" si="22"/>
        <v xml:space="preserve">* El Número de gestantes pertenecientes a Población Migrante no puede superar el Total. </v>
      </c>
      <c r="CH87" s="1446">
        <f t="shared" si="23"/>
        <v>1</v>
      </c>
      <c r="CI87" s="1446">
        <f t="shared" si="24"/>
        <v>1</v>
      </c>
      <c r="CJ87" s="2276"/>
      <c r="CK87" s="2276"/>
      <c r="CL87" s="2276"/>
      <c r="CM87" s="2276"/>
    </row>
    <row r="88" spans="1:91" ht="24.75" customHeight="1" x14ac:dyDescent="0.3">
      <c r="A88" s="7263">
        <v>11061470</v>
      </c>
      <c r="B88" s="2289" t="s">
        <v>2314</v>
      </c>
      <c r="C88" s="2319" t="s">
        <v>5369</v>
      </c>
      <c r="D88" s="1742" t="s">
        <v>5370</v>
      </c>
      <c r="E88" s="1742" t="s">
        <v>5371</v>
      </c>
      <c r="F88" s="1742" t="s">
        <v>5372</v>
      </c>
      <c r="G88" s="1742" t="s">
        <v>5373</v>
      </c>
      <c r="H88" s="1742" t="s">
        <v>5374</v>
      </c>
      <c r="I88" s="1742" t="s">
        <v>5375</v>
      </c>
      <c r="J88" s="1742" t="s">
        <v>5376</v>
      </c>
      <c r="K88" s="1742" t="s">
        <v>5377</v>
      </c>
      <c r="L88" s="1304" t="s">
        <v>5378</v>
      </c>
      <c r="M88" s="1742" t="s">
        <v>5379</v>
      </c>
      <c r="N88" s="1697" t="s">
        <v>5380</v>
      </c>
      <c r="O88" s="1192" t="str">
        <f t="shared" si="20"/>
        <v xml:space="preserve">* El Número de gestantes pertenecientes a Pueblos Originarios no puede superar el Total. * El Número de gestantes pertenecientes a Población Migrante no puede superar el Total. </v>
      </c>
      <c r="CB88" s="2195" t="str">
        <f>IF(AND($C88&lt;&gt;0,M88=""),"* No olvide ingresar la columna Pueblos Originarios (Digite CERO si no tiene). ",IF(M88&gt;$C88,"* El Número de gestantes pertenecientes a Pueblos Originarios no puede superar el Total. ",""))</f>
        <v xml:space="preserve">* El Número de gestantes pertenecientes a Pueblos Originarios no puede superar el Total. </v>
      </c>
      <c r="CC88" s="2195" t="str">
        <f>IF(AND($C88&lt;&gt;0,N88=""),"* No olvide ingresar la columna Migrantes (Digite CERO si no tiene). ",IF(N88&gt;$C88,"* El Número de gestantes pertenecientes a Población Migrante no puede superar el Total. ",""))</f>
        <v xml:space="preserve">* El Número de gestantes pertenecientes a Población Migrante no puede superar el Total. </v>
      </c>
      <c r="CH88" s="1446">
        <f t="shared" si="23"/>
        <v>1</v>
      </c>
      <c r="CI88" s="1446">
        <f t="shared" si="24"/>
        <v>1</v>
      </c>
      <c r="CJ88" s="2276"/>
      <c r="CK88" s="2276"/>
      <c r="CL88" s="2276"/>
      <c r="CM88" s="2276"/>
    </row>
    <row r="89" spans="1:91" ht="30" customHeight="1" x14ac:dyDescent="0.3">
      <c r="B89" s="10111" t="s">
        <v>2343</v>
      </c>
      <c r="C89" s="10111"/>
      <c r="D89" s="10111"/>
      <c r="E89" s="10111"/>
      <c r="F89" s="10111"/>
      <c r="G89" s="10111"/>
      <c r="H89" s="10111"/>
      <c r="I89" s="10111"/>
      <c r="J89" s="10111"/>
      <c r="K89" s="10111"/>
      <c r="L89" s="10111"/>
      <c r="M89" s="10111"/>
      <c r="N89" s="10111"/>
      <c r="CH89" s="2276"/>
      <c r="CI89" s="2276"/>
      <c r="CJ89" s="2276"/>
      <c r="CK89" s="2276"/>
      <c r="CL89" s="2276"/>
      <c r="CM89" s="2276"/>
    </row>
    <row r="90" spans="1:91" ht="29.25" customHeight="1" x14ac:dyDescent="0.3">
      <c r="A90" s="7311"/>
      <c r="B90" s="1925"/>
      <c r="C90" s="2293" t="s">
        <v>44</v>
      </c>
      <c r="D90" s="1804" t="s">
        <v>362</v>
      </c>
      <c r="E90" s="2188" t="s">
        <v>361</v>
      </c>
      <c r="CH90" s="2276"/>
      <c r="CI90" s="2276"/>
      <c r="CJ90" s="2276"/>
      <c r="CK90" s="2276"/>
      <c r="CL90" s="2276"/>
      <c r="CM90" s="2276"/>
    </row>
    <row r="91" spans="1:91" ht="27" customHeight="1" x14ac:dyDescent="0.3">
      <c r="A91" s="7263">
        <v>11061480</v>
      </c>
      <c r="B91" s="2282" t="s">
        <v>2310</v>
      </c>
      <c r="C91" s="1311" t="s">
        <v>5369</v>
      </c>
      <c r="D91" s="1585" t="s">
        <v>5370</v>
      </c>
      <c r="E91" s="918" t="s">
        <v>5371</v>
      </c>
      <c r="F91" s="1192" t="str">
        <f>CONCATENATE($CB91,$CC91)</f>
        <v xml:space="preserve">* El Número de recién nacidos pertenecientes a Pueblos Originarios no puede superar el Total. * El Número de recién nacidos en tratamiento pertenecientes a Población Migrante no puede superar el Total. </v>
      </c>
      <c r="CB91" s="2195" t="str">
        <f>IF(AND($C91&lt;&gt;0,D91=""),"* No olvide ingresar la columna Pueblos Originarios (Digite CERO si no tiene). ",IF(D91&gt;$C91,"* El Número de recién nacidos pertenecientes a Pueblos Originarios no puede superar el Total. ",""))</f>
        <v xml:space="preserve">* El Número de recién nacidos pertenecientes a Pueblos Originarios no puede superar el Total. </v>
      </c>
      <c r="CC91" s="2195" t="str">
        <f>IF(AND($C91&lt;&gt;0,E91=""),"* No olvide ingresar la columna Migrantes (Digite CERO si no tiene). ",IF(E91&gt;$C91,"*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91" s="1446">
        <f>IF(AND($C91&lt;&gt;0,D91=""),1,IF(D91&gt;$C91,1,0))</f>
        <v>1</v>
      </c>
      <c r="CI91" s="1446">
        <f>IF(AND($C91&lt;&gt;0,E91=""),1,IF(E91&gt;$C91,1,0))</f>
        <v>1</v>
      </c>
      <c r="CJ91" s="2276"/>
      <c r="CK91" s="2276"/>
      <c r="CL91" s="2276"/>
      <c r="CM91" s="2276"/>
    </row>
    <row r="92" spans="1:91" ht="27.75" customHeight="1" x14ac:dyDescent="0.3">
      <c r="A92" s="7263">
        <v>11061490</v>
      </c>
      <c r="B92" s="2297" t="s">
        <v>2311</v>
      </c>
      <c r="C92" s="1291" t="s">
        <v>5369</v>
      </c>
      <c r="D92" s="1666" t="s">
        <v>5370</v>
      </c>
      <c r="E92" s="1636" t="s">
        <v>5371</v>
      </c>
      <c r="F92" s="1192" t="str">
        <f>CONCATENATE($CB92,$CC92)</f>
        <v xml:space="preserve">* El Número de recién nacidos pertenecientes a Pueblos Originarios no puede superar el Total. * El Número de recién nacidos en tratamiento pertenecientes a Población Migrante no puede superar el Total. </v>
      </c>
      <c r="CB92" s="2195" t="str">
        <f>IF(AND($C92&lt;&gt;0,D92=""),"* No olvide ingresar la columna Pueblos Originarios (Digite CERO si no tiene). ",IF(D92&gt;$C92,"* El Número de recién nacidos pertenecientes a Pueblos Originarios no puede superar el Total. ",""))</f>
        <v xml:space="preserve">* El Número de recién nacidos pertenecientes a Pueblos Originarios no puede superar el Total. </v>
      </c>
      <c r="CC92" s="2195" t="str">
        <f>IF(AND($C92&lt;&gt;0,E92=""),"* No olvide ingresar la columna Migrantes (Digite CERO si no tiene). ",IF(E92&gt;$C92,"*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92" s="1446">
        <f>IF(AND($C92&lt;&gt;0,D92=""),1,IF(D92&gt;$C92,1,0))</f>
        <v>1</v>
      </c>
      <c r="CI92" s="1446">
        <f>IF(AND($C92&lt;&gt;0,E92=""),1,IF(E92&gt;$C92,1,0))</f>
        <v>1</v>
      </c>
      <c r="CJ92" s="2276"/>
      <c r="CK92" s="2276"/>
      <c r="CL92" s="2276"/>
      <c r="CM92" s="2276"/>
    </row>
    <row r="93" spans="1:91" ht="24.75" customHeight="1" x14ac:dyDescent="0.3">
      <c r="B93" s="10096" t="s">
        <v>2359</v>
      </c>
      <c r="C93" s="10096"/>
      <c r="D93" s="10096"/>
      <c r="E93" s="10096"/>
      <c r="F93" s="2328"/>
      <c r="G93" s="2328"/>
      <c r="H93" s="2328"/>
      <c r="I93" s="2328"/>
      <c r="J93" s="2328"/>
      <c r="K93" s="2328"/>
      <c r="L93" s="2328"/>
      <c r="M93" s="2328"/>
      <c r="N93" s="2328"/>
      <c r="CH93" s="2276"/>
      <c r="CI93" s="2276"/>
      <c r="CJ93" s="2276"/>
      <c r="CK93" s="2276"/>
      <c r="CL93" s="2276"/>
      <c r="CM93" s="2276"/>
    </row>
    <row r="94" spans="1:91" ht="26.25" customHeight="1" x14ac:dyDescent="0.3">
      <c r="A94" s="7311"/>
      <c r="B94" s="1925"/>
      <c r="C94" s="2293" t="s">
        <v>44</v>
      </c>
      <c r="D94" s="1804" t="s">
        <v>362</v>
      </c>
      <c r="E94" s="2188" t="s">
        <v>361</v>
      </c>
      <c r="CH94" s="2276"/>
      <c r="CI94" s="2276"/>
      <c r="CJ94" s="2276"/>
      <c r="CK94" s="2276"/>
      <c r="CL94" s="2276"/>
      <c r="CM94" s="2276"/>
    </row>
    <row r="95" spans="1:91" ht="19.5" customHeight="1" x14ac:dyDescent="0.3">
      <c r="A95" s="7263">
        <v>11061500</v>
      </c>
      <c r="B95" s="2289" t="s">
        <v>2312</v>
      </c>
      <c r="C95" s="1311" t="s">
        <v>5369</v>
      </c>
      <c r="D95" s="1585" t="s">
        <v>5370</v>
      </c>
      <c r="E95" s="918" t="s">
        <v>5371</v>
      </c>
      <c r="F95" s="1192" t="str">
        <f>CONCATENATE($CB95,$CC95)</f>
        <v xml:space="preserve">* El Número de niños pertenecientes a Pueblos Originarios no puede superar el Total. * El Número de niños en tratamiento pertenecientes a Población Migrante no puede superar el Total. </v>
      </c>
      <c r="CB95" s="2195" t="str">
        <f>IF(AND($C95&lt;&gt;0,D95=""),"* No olvide ingresar la columna Pueblos Originarios (Digite CERO si no tiene). ",IF(D95&gt;$C95,"* El Número de niños pertenecientes a Pueblos Originarios no puede superar el Total. ",""))</f>
        <v xml:space="preserve">* El Número de niños pertenecientes a Pueblos Originarios no puede superar el Total. </v>
      </c>
      <c r="CC95" s="2195" t="str">
        <f>IF(AND($C95&lt;&gt;0,E95=""),"* No olvide ingresar la columna Migrantes (Digite CERO si no tiene). ",IF(E95&gt;$C95,"* El Número de niños en tratamiento pertenecientes a Población Migrante no puede superar el Total. ",""))</f>
        <v xml:space="preserve">* El Número de niños en tratamiento pertenecientes a Población Migrante no puede superar el Total. </v>
      </c>
      <c r="CH95" s="1446">
        <f>IF(AND($C95&lt;&gt;0,D95=""),1,IF(D95&gt;$C95,1,0))</f>
        <v>1</v>
      </c>
      <c r="CI95" s="1446">
        <f>IF(AND($C95&lt;&gt;0,E95=""),1,IF(E95&gt;$C95,1,0))</f>
        <v>1</v>
      </c>
      <c r="CJ95" s="2276"/>
      <c r="CK95" s="2276"/>
      <c r="CL95" s="2276"/>
      <c r="CM95" s="2276"/>
    </row>
    <row r="96" spans="1:91" ht="25.5" customHeight="1" x14ac:dyDescent="0.3">
      <c r="A96" s="7263">
        <v>11061510</v>
      </c>
      <c r="B96" s="2297" t="s">
        <v>2313</v>
      </c>
      <c r="C96" s="1647" t="s">
        <v>5369</v>
      </c>
      <c r="D96" s="1742" t="s">
        <v>5370</v>
      </c>
      <c r="E96" s="1697" t="s">
        <v>5371</v>
      </c>
      <c r="F96" s="1192" t="str">
        <f>CONCATENATE($CB96,$CC96)</f>
        <v xml:space="preserve">* El Número de niños pertenecientes a Pueblos Originarios no puede superar el Total. * El Número de niños en tratamiento pertenecientes a Población Migrante no puede superar el Total. </v>
      </c>
      <c r="CB96" s="2195" t="str">
        <f>IF(AND($C96&lt;&gt;0,D96=""),"* No olvide ingresar la columna Pueblos Originarios (Digite CERO si no tiene). ",IF(D96&gt;$C96,"* El Número de niños pertenecientes a Pueblos Originarios no puede superar el Total. ",""))</f>
        <v xml:space="preserve">* El Número de niños pertenecientes a Pueblos Originarios no puede superar el Total. </v>
      </c>
      <c r="CC96" s="2195" t="str">
        <f>IF(AND($C96&lt;&gt;0,E96=""),"* No olvide ingresar la columna Migrantes (Digite CERO si no tiene). ",IF(E96&gt;$C96,"* El Número de niños en tratamiento pertenecientes a Población Migrante no puede superar el Total. ",""))</f>
        <v xml:space="preserve">* El Número de niños en tratamiento pertenecientes a Población Migrante no puede superar el Total. </v>
      </c>
      <c r="CH96" s="1446">
        <f>IF(AND($C96&lt;&gt;0,D96=""),1,IF(D96&gt;$C96,1,0))</f>
        <v>1</v>
      </c>
      <c r="CI96" s="1446">
        <f>IF(AND($C96&lt;&gt;0,E96=""),1,IF(E96&gt;$C96,1,0))</f>
        <v>1</v>
      </c>
      <c r="CJ96" s="2276"/>
      <c r="CK96" s="2276"/>
      <c r="CL96" s="2276"/>
      <c r="CM96" s="2276"/>
    </row>
    <row r="97" spans="2:91" x14ac:dyDescent="0.3">
      <c r="CH97" s="2276"/>
      <c r="CI97" s="2276"/>
      <c r="CJ97" s="2276"/>
      <c r="CK97" s="2276"/>
      <c r="CL97" s="2276"/>
      <c r="CM97" s="2276"/>
    </row>
    <row r="98" spans="2:91" x14ac:dyDescent="0.3">
      <c r="CH98" s="2276"/>
      <c r="CI98" s="2276"/>
      <c r="CJ98" s="2276"/>
      <c r="CK98" s="2276"/>
      <c r="CL98" s="2276"/>
      <c r="CM98" s="2276"/>
    </row>
    <row r="101" spans="2:91" hidden="1" x14ac:dyDescent="0.3">
      <c r="B101" s="2329">
        <f>SUM(C11:C19,C22:E23,C27:C32,C35:E36,C40:C47,C50:E53,C56:E59,C63:C73,C77:C88,C91:E92,C95:E96)</f>
        <v>0</v>
      </c>
      <c r="C101" s="2330">
        <f>SUM(CH9:CM98)</f>
        <v>104</v>
      </c>
    </row>
  </sheetData>
  <mergeCells count="40">
    <mergeCell ref="B6:N6"/>
    <mergeCell ref="B48:I48"/>
    <mergeCell ref="M38:M39"/>
    <mergeCell ref="N38:N39"/>
    <mergeCell ref="B24:H24"/>
    <mergeCell ref="B25:B26"/>
    <mergeCell ref="C25:C26"/>
    <mergeCell ref="D25:L25"/>
    <mergeCell ref="M25:M26"/>
    <mergeCell ref="B8:D8"/>
    <mergeCell ref="B37:J37"/>
    <mergeCell ref="B75:B76"/>
    <mergeCell ref="C75:C76"/>
    <mergeCell ref="D75:L75"/>
    <mergeCell ref="C61:C62"/>
    <mergeCell ref="D61:L61"/>
    <mergeCell ref="B61:B62"/>
    <mergeCell ref="B54:H54"/>
    <mergeCell ref="I54:L54"/>
    <mergeCell ref="B60:H60"/>
    <mergeCell ref="I60:L60"/>
    <mergeCell ref="B33:H33"/>
    <mergeCell ref="C38:C39"/>
    <mergeCell ref="D38:L38"/>
    <mergeCell ref="B93:E93"/>
    <mergeCell ref="N25:N26"/>
    <mergeCell ref="B9:B10"/>
    <mergeCell ref="C9:C10"/>
    <mergeCell ref="D9:L9"/>
    <mergeCell ref="M9:M10"/>
    <mergeCell ref="N9:N10"/>
    <mergeCell ref="B74:H74"/>
    <mergeCell ref="B89:N89"/>
    <mergeCell ref="I20:L20"/>
    <mergeCell ref="B20:F20"/>
    <mergeCell ref="B38:B39"/>
    <mergeCell ref="M75:M76"/>
    <mergeCell ref="N75:N76"/>
    <mergeCell ref="M61:M62"/>
    <mergeCell ref="N61:N6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DB242"/>
  <sheetViews>
    <sheetView zoomScaleNormal="100" workbookViewId="0"/>
  </sheetViews>
  <sheetFormatPr baseColWidth="10" defaultColWidth="11.44140625" defaultRowHeight="14.4" x14ac:dyDescent="0.3"/>
  <cols>
    <col min="1" max="1" width="18.88671875" style="827" customWidth="1"/>
    <col min="2" max="2" width="43.109375" style="827" customWidth="1"/>
    <col min="3" max="3" width="31.6640625" style="827" customWidth="1"/>
    <col min="4" max="4" width="20.33203125" style="827" customWidth="1"/>
    <col min="5" max="5" width="18" style="827" customWidth="1"/>
    <col min="6" max="6" width="16" style="827" customWidth="1"/>
    <col min="7" max="7" width="14.88671875" style="827" customWidth="1"/>
    <col min="8" max="8" width="16" style="827" customWidth="1"/>
    <col min="9" max="9" width="16.44140625" style="827" customWidth="1"/>
    <col min="10" max="10" width="13.33203125" style="827" customWidth="1"/>
    <col min="11" max="11" width="15.44140625" style="827" customWidth="1"/>
    <col min="12" max="12" width="17" style="827" customWidth="1"/>
    <col min="13" max="13" width="14.88671875" style="827" customWidth="1"/>
    <col min="14" max="38" width="11.44140625" style="827"/>
    <col min="39" max="39" width="13.6640625" style="827" customWidth="1"/>
    <col min="40" max="40" width="11.44140625" style="827"/>
    <col min="41" max="41" width="12" style="827" customWidth="1"/>
    <col min="42" max="42" width="13" style="827" customWidth="1"/>
    <col min="43" max="43" width="13.109375" style="827" customWidth="1"/>
    <col min="44" max="44" width="11.44140625" style="827"/>
    <col min="45" max="45" width="12.44140625" style="827" customWidth="1"/>
    <col min="46" max="75" width="11.44140625" style="827"/>
    <col min="76" max="76" width="11.6640625" style="827" customWidth="1"/>
    <col min="77" max="77" width="11.6640625" style="1123" customWidth="1"/>
    <col min="78" max="78" width="11.6640625" style="1123" hidden="1" customWidth="1"/>
    <col min="79" max="79" width="12.109375" style="1123" hidden="1" customWidth="1"/>
    <col min="80" max="105" width="12.109375" style="1442" hidden="1" customWidth="1"/>
    <col min="106" max="106" width="12.109375" style="827" hidden="1" customWidth="1"/>
    <col min="107" max="16384" width="11.44140625" style="827"/>
  </cols>
  <sheetData>
    <row r="1" spans="1:94" ht="16.350000000000001" customHeight="1" x14ac:dyDescent="0.3">
      <c r="B1" s="150" t="s">
        <v>207</v>
      </c>
    </row>
    <row r="2" spans="1:94" ht="16.350000000000001" customHeight="1" x14ac:dyDescent="0.3">
      <c r="B2" s="150" t="str">
        <f>CONCATENATE("COMUNA: ",NOMBRE!B2," - ","( ",NOMBRE!C2,NOMBRE!D2,NOMBRE!E2,NOMBRE!F2,NOMBRE!G2," )")</f>
        <v>COMUNA:  - (  )</v>
      </c>
    </row>
    <row r="3" spans="1:94" ht="16.350000000000001" customHeight="1" x14ac:dyDescent="0.3">
      <c r="B3" s="150" t="str">
        <f>CONCATENATE("ESTABLECIMIENTO/ESTRATEGIA: ",NOMBRE!B3," - ","( ",NOMBRE!C3,NOMBRE!D3,NOMBRE!E3,NOMBRE!F3,NOMBRE!G3,NOMBRE!H3," )")</f>
        <v>ESTABLECIMIENTO/ESTRATEGIA:  - (  )</v>
      </c>
    </row>
    <row r="4" spans="1:94" ht="16.350000000000001" customHeight="1" x14ac:dyDescent="0.3">
      <c r="B4" s="150" t="str">
        <f>CONCATENATE("MES: ",NOMBRE!B6," - ","( ",NOMBRE!C6,NOMBRE!D6," )")</f>
        <v>MES:  - (  )</v>
      </c>
    </row>
    <row r="5" spans="1:94" ht="16.350000000000001" customHeight="1" x14ac:dyDescent="0.3">
      <c r="B5" s="150" t="str">
        <f>CONCATENATE("AÑO: ",NOMBRE!B7)</f>
        <v>AÑO: 2023</v>
      </c>
    </row>
    <row r="6" spans="1:94" ht="16.2" x14ac:dyDescent="0.3">
      <c r="B6" s="8629" t="s">
        <v>1276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8629"/>
      <c r="P6" s="8629"/>
      <c r="Q6" s="8629"/>
      <c r="R6" s="8629"/>
      <c r="S6" s="8629"/>
      <c r="T6" s="8629"/>
      <c r="U6" s="8629"/>
    </row>
    <row r="7" spans="1:94" ht="16.2" x14ac:dyDescent="0.3">
      <c r="B7" s="1096"/>
      <c r="C7" s="1096"/>
      <c r="D7" s="1096"/>
      <c r="E7" s="1096"/>
      <c r="F7" s="1096"/>
      <c r="G7" s="1096"/>
      <c r="H7" s="1096"/>
      <c r="I7" s="1096"/>
      <c r="J7" s="1096"/>
      <c r="K7" s="1096"/>
      <c r="L7" s="1096"/>
      <c r="M7" s="1096"/>
      <c r="N7" s="1096"/>
      <c r="O7" s="1096"/>
      <c r="P7" s="1096"/>
      <c r="Q7" s="1096"/>
      <c r="R7" s="1096"/>
      <c r="S7" s="1096"/>
      <c r="T7" s="1096"/>
      <c r="U7" s="1096"/>
    </row>
    <row r="8" spans="1:94" ht="32.1" customHeight="1" x14ac:dyDescent="0.3">
      <c r="B8" s="10153" t="s">
        <v>1275</v>
      </c>
      <c r="C8" s="10153"/>
      <c r="D8" s="169"/>
      <c r="E8" s="169"/>
      <c r="F8" s="169"/>
      <c r="G8" s="169"/>
      <c r="H8" s="169"/>
      <c r="I8" s="169"/>
      <c r="J8" s="169"/>
      <c r="K8" s="169"/>
      <c r="L8" s="169"/>
      <c r="M8" s="169"/>
    </row>
    <row r="9" spans="1:94" ht="32.1" customHeight="1" x14ac:dyDescent="0.3">
      <c r="B9" s="3438" t="s">
        <v>1274</v>
      </c>
      <c r="C9" s="800"/>
      <c r="D9" s="800"/>
      <c r="E9" s="800"/>
      <c r="F9" s="800"/>
      <c r="G9" s="674"/>
      <c r="H9" s="674"/>
      <c r="I9" s="674"/>
      <c r="J9" s="674"/>
      <c r="K9" s="674"/>
      <c r="L9" s="674"/>
      <c r="M9" s="674"/>
    </row>
    <row r="10" spans="1:94" ht="16.350000000000001" customHeight="1" x14ac:dyDescent="0.3">
      <c r="A10" s="7315"/>
      <c r="B10" s="9696" t="s">
        <v>1273</v>
      </c>
      <c r="C10" s="8616" t="s">
        <v>0</v>
      </c>
      <c r="D10" s="8612" t="s">
        <v>1261</v>
      </c>
      <c r="E10" s="8597"/>
      <c r="F10" s="8613"/>
      <c r="G10" s="9587" t="s">
        <v>84</v>
      </c>
      <c r="H10" s="9629"/>
      <c r="I10" s="9629"/>
      <c r="J10" s="9629"/>
      <c r="K10" s="9629"/>
      <c r="L10" s="9629"/>
      <c r="M10" s="9629"/>
      <c r="N10" s="9629"/>
      <c r="O10" s="9629"/>
      <c r="P10" s="9629"/>
      <c r="Q10" s="9629"/>
      <c r="R10" s="9629"/>
      <c r="S10" s="9629"/>
      <c r="T10" s="9629"/>
      <c r="U10" s="9629"/>
      <c r="V10" s="9629"/>
      <c r="W10" s="9629"/>
      <c r="X10" s="9629"/>
      <c r="Y10" s="9629"/>
      <c r="Z10" s="9629"/>
      <c r="AA10" s="9629"/>
      <c r="AB10" s="9629"/>
      <c r="AC10" s="9629"/>
      <c r="AD10" s="9629"/>
      <c r="AE10" s="9629"/>
      <c r="AF10" s="9629"/>
      <c r="AG10" s="9629"/>
      <c r="AH10" s="9629"/>
      <c r="AI10" s="9629"/>
      <c r="AJ10" s="9629"/>
      <c r="AK10" s="9629"/>
      <c r="AL10" s="9629"/>
      <c r="AM10" s="9629"/>
      <c r="AN10" s="10154"/>
      <c r="AO10" s="10129" t="s">
        <v>1272</v>
      </c>
      <c r="AP10" s="8559" t="s">
        <v>713</v>
      </c>
      <c r="AQ10" s="8613"/>
      <c r="AR10" s="8583" t="s">
        <v>362</v>
      </c>
      <c r="AS10" s="8583" t="s">
        <v>361</v>
      </c>
      <c r="AT10" s="8583" t="s">
        <v>1271</v>
      </c>
      <c r="AU10" s="8583" t="s">
        <v>2956</v>
      </c>
      <c r="AV10" s="8583" t="s">
        <v>2615</v>
      </c>
      <c r="BY10" s="827"/>
    </row>
    <row r="11" spans="1:94" ht="16.350000000000001" customHeight="1" x14ac:dyDescent="0.3">
      <c r="A11" s="7315"/>
      <c r="B11" s="9696"/>
      <c r="C11" s="8619"/>
      <c r="D11" s="8621"/>
      <c r="E11" s="8560"/>
      <c r="F11" s="8622"/>
      <c r="G11" s="10155"/>
      <c r="H11" s="9630"/>
      <c r="I11" s="9630"/>
      <c r="J11" s="9630"/>
      <c r="K11" s="9630"/>
      <c r="L11" s="9630"/>
      <c r="M11" s="9630"/>
      <c r="N11" s="9630"/>
      <c r="O11" s="9630"/>
      <c r="P11" s="9630"/>
      <c r="Q11" s="9630"/>
      <c r="R11" s="9630"/>
      <c r="S11" s="9630"/>
      <c r="T11" s="9630"/>
      <c r="U11" s="9630"/>
      <c r="V11" s="9630"/>
      <c r="W11" s="9630"/>
      <c r="X11" s="9630"/>
      <c r="Y11" s="9630"/>
      <c r="Z11" s="9630"/>
      <c r="AA11" s="9630"/>
      <c r="AB11" s="9630"/>
      <c r="AC11" s="9630"/>
      <c r="AD11" s="9630"/>
      <c r="AE11" s="9630"/>
      <c r="AF11" s="9630"/>
      <c r="AG11" s="9630"/>
      <c r="AH11" s="9630"/>
      <c r="AI11" s="9630"/>
      <c r="AJ11" s="9630"/>
      <c r="AK11" s="9630"/>
      <c r="AL11" s="9630"/>
      <c r="AM11" s="9630"/>
      <c r="AN11" s="10156"/>
      <c r="AO11" s="8994"/>
      <c r="AP11" s="8560"/>
      <c r="AQ11" s="8622"/>
      <c r="AR11" s="8555"/>
      <c r="AS11" s="8555"/>
      <c r="AT11" s="8555"/>
      <c r="AU11" s="8555"/>
      <c r="AV11" s="8555"/>
      <c r="BY11" s="827"/>
      <c r="CH11" s="1443"/>
      <c r="CI11" s="1443"/>
      <c r="CJ11" s="1443"/>
      <c r="CK11" s="1443"/>
      <c r="CL11" s="1443"/>
      <c r="CM11" s="1443"/>
      <c r="CN11" s="1443"/>
      <c r="CO11" s="1443"/>
      <c r="CP11" s="1443"/>
    </row>
    <row r="12" spans="1:94" ht="16.350000000000001" customHeight="1" x14ac:dyDescent="0.3">
      <c r="A12" s="7315"/>
      <c r="B12" s="9696"/>
      <c r="C12" s="8619"/>
      <c r="D12" s="8872"/>
      <c r="E12" s="8598"/>
      <c r="F12" s="8759"/>
      <c r="G12" s="10159" t="s">
        <v>399</v>
      </c>
      <c r="H12" s="10159"/>
      <c r="I12" s="10131" t="s">
        <v>54</v>
      </c>
      <c r="J12" s="10132"/>
      <c r="K12" s="10131" t="s">
        <v>79</v>
      </c>
      <c r="L12" s="10132"/>
      <c r="M12" s="10131" t="s">
        <v>3479</v>
      </c>
      <c r="N12" s="10132"/>
      <c r="O12" s="10131" t="s">
        <v>50</v>
      </c>
      <c r="P12" s="10132"/>
      <c r="Q12" s="10131" t="s">
        <v>3480</v>
      </c>
      <c r="R12" s="10132"/>
      <c r="S12" s="10131" t="s">
        <v>3481</v>
      </c>
      <c r="T12" s="10132"/>
      <c r="U12" s="10131" t="s">
        <v>3482</v>
      </c>
      <c r="V12" s="10132"/>
      <c r="W12" s="10131" t="s">
        <v>3483</v>
      </c>
      <c r="X12" s="10132"/>
      <c r="Y12" s="10131" t="s">
        <v>3484</v>
      </c>
      <c r="Z12" s="10132"/>
      <c r="AA12" s="10131" t="s">
        <v>3485</v>
      </c>
      <c r="AB12" s="10132"/>
      <c r="AC12" s="10131" t="s">
        <v>2272</v>
      </c>
      <c r="AD12" s="10132"/>
      <c r="AE12" s="10131" t="s">
        <v>2132</v>
      </c>
      <c r="AF12" s="10132"/>
      <c r="AG12" s="10131" t="s">
        <v>2198</v>
      </c>
      <c r="AH12" s="10132"/>
      <c r="AI12" s="10131" t="s">
        <v>3486</v>
      </c>
      <c r="AJ12" s="10132"/>
      <c r="AK12" s="10131" t="s">
        <v>3487</v>
      </c>
      <c r="AL12" s="10132"/>
      <c r="AM12" s="10157" t="s">
        <v>1919</v>
      </c>
      <c r="AN12" s="10158"/>
      <c r="AO12" s="8994"/>
      <c r="AP12" s="10040"/>
      <c r="AQ12" s="8759"/>
      <c r="AR12" s="8555"/>
      <c r="AS12" s="8555"/>
      <c r="AT12" s="8555"/>
      <c r="AU12" s="8555"/>
      <c r="AV12" s="8555"/>
      <c r="BY12" s="827"/>
      <c r="CH12" s="1443"/>
      <c r="CI12" s="1443"/>
      <c r="CJ12" s="1443"/>
      <c r="CK12" s="1443"/>
      <c r="CL12" s="1443"/>
      <c r="CM12" s="1443"/>
      <c r="CN12" s="1443"/>
      <c r="CO12" s="1443"/>
      <c r="CP12" s="1443"/>
    </row>
    <row r="13" spans="1:94" ht="16.350000000000001" customHeight="1" x14ac:dyDescent="0.3">
      <c r="A13" s="7315"/>
      <c r="B13" s="9696"/>
      <c r="C13" s="10141"/>
      <c r="D13" s="2120" t="s">
        <v>1239</v>
      </c>
      <c r="E13" s="2138" t="s">
        <v>701</v>
      </c>
      <c r="F13" s="2081" t="s">
        <v>700</v>
      </c>
      <c r="G13" s="2120" t="s">
        <v>701</v>
      </c>
      <c r="H13" s="2079" t="s">
        <v>700</v>
      </c>
      <c r="I13" s="2120" t="s">
        <v>701</v>
      </c>
      <c r="J13" s="2079" t="s">
        <v>700</v>
      </c>
      <c r="K13" s="2120" t="s">
        <v>701</v>
      </c>
      <c r="L13" s="2079" t="s">
        <v>700</v>
      </c>
      <c r="M13" s="2120" t="s">
        <v>701</v>
      </c>
      <c r="N13" s="2079" t="s">
        <v>700</v>
      </c>
      <c r="O13" s="2120" t="s">
        <v>701</v>
      </c>
      <c r="P13" s="2079" t="s">
        <v>700</v>
      </c>
      <c r="Q13" s="2120" t="s">
        <v>701</v>
      </c>
      <c r="R13" s="2079" t="s">
        <v>700</v>
      </c>
      <c r="S13" s="2120" t="s">
        <v>701</v>
      </c>
      <c r="T13" s="2079" t="s">
        <v>700</v>
      </c>
      <c r="U13" s="2120" t="s">
        <v>701</v>
      </c>
      <c r="V13" s="2079" t="s">
        <v>700</v>
      </c>
      <c r="W13" s="2120" t="s">
        <v>701</v>
      </c>
      <c r="X13" s="2079" t="s">
        <v>700</v>
      </c>
      <c r="Y13" s="2120" t="s">
        <v>701</v>
      </c>
      <c r="Z13" s="2079" t="s">
        <v>700</v>
      </c>
      <c r="AA13" s="2120" t="s">
        <v>701</v>
      </c>
      <c r="AB13" s="2079" t="s">
        <v>700</v>
      </c>
      <c r="AC13" s="2120" t="s">
        <v>701</v>
      </c>
      <c r="AD13" s="2079" t="s">
        <v>700</v>
      </c>
      <c r="AE13" s="2120" t="s">
        <v>701</v>
      </c>
      <c r="AF13" s="2079" t="s">
        <v>700</v>
      </c>
      <c r="AG13" s="2120" t="s">
        <v>701</v>
      </c>
      <c r="AH13" s="2079" t="s">
        <v>700</v>
      </c>
      <c r="AI13" s="2120" t="s">
        <v>701</v>
      </c>
      <c r="AJ13" s="2079" t="s">
        <v>700</v>
      </c>
      <c r="AK13" s="2120" t="s">
        <v>701</v>
      </c>
      <c r="AL13" s="2079" t="s">
        <v>700</v>
      </c>
      <c r="AM13" s="2120" t="s">
        <v>701</v>
      </c>
      <c r="AN13" s="2136" t="s">
        <v>700</v>
      </c>
      <c r="AO13" s="10130"/>
      <c r="AP13" s="2948" t="s">
        <v>358</v>
      </c>
      <c r="AQ13" s="1923" t="s">
        <v>359</v>
      </c>
      <c r="AR13" s="8859"/>
      <c r="AS13" s="8859"/>
      <c r="AT13" s="8859"/>
      <c r="AU13" s="8859"/>
      <c r="AV13" s="8859"/>
      <c r="AW13" s="1191"/>
      <c r="AX13" s="1191"/>
      <c r="AY13" s="1191"/>
      <c r="AZ13" s="1191"/>
      <c r="BA13" s="1191"/>
      <c r="BB13" s="1191"/>
      <c r="BC13" s="1191"/>
      <c r="BD13" s="1191"/>
      <c r="BE13" s="1191"/>
      <c r="BF13" s="1191"/>
      <c r="BG13" s="1191"/>
      <c r="BH13" s="1191"/>
      <c r="BY13" s="827"/>
      <c r="CH13" s="1443"/>
      <c r="CI13" s="1443"/>
      <c r="CJ13" s="1443"/>
      <c r="CK13" s="1443"/>
      <c r="CL13" s="1443"/>
      <c r="CM13" s="1443"/>
      <c r="CN13" s="1443"/>
      <c r="CO13" s="1443"/>
      <c r="CP13" s="1443"/>
    </row>
    <row r="14" spans="1:94" ht="16.350000000000001" customHeight="1" x14ac:dyDescent="0.3">
      <c r="A14" s="7294" t="s">
        <v>5000</v>
      </c>
      <c r="B14" s="10133" t="s">
        <v>2589</v>
      </c>
      <c r="C14" s="8197" t="s">
        <v>2590</v>
      </c>
      <c r="D14" s="1332" t="s">
        <v>5369</v>
      </c>
      <c r="E14" s="1333" t="s">
        <v>5370</v>
      </c>
      <c r="F14" s="787" t="s">
        <v>5371</v>
      </c>
      <c r="G14" s="527" t="s">
        <v>5372</v>
      </c>
      <c r="H14" s="525" t="s">
        <v>5373</v>
      </c>
      <c r="I14" s="527" t="s">
        <v>5374</v>
      </c>
      <c r="J14" s="525" t="s">
        <v>5375</v>
      </c>
      <c r="K14" s="527" t="s">
        <v>5376</v>
      </c>
      <c r="L14" s="761" t="s">
        <v>5377</v>
      </c>
      <c r="M14" s="527" t="s">
        <v>5378</v>
      </c>
      <c r="N14" s="761" t="s">
        <v>5379</v>
      </c>
      <c r="O14" s="527" t="s">
        <v>5380</v>
      </c>
      <c r="P14" s="761" t="s">
        <v>5381</v>
      </c>
      <c r="Q14" s="527" t="s">
        <v>5382</v>
      </c>
      <c r="R14" s="761" t="s">
        <v>5383</v>
      </c>
      <c r="S14" s="527" t="s">
        <v>5384</v>
      </c>
      <c r="T14" s="761" t="s">
        <v>5385</v>
      </c>
      <c r="U14" s="527" t="s">
        <v>5386</v>
      </c>
      <c r="V14" s="761" t="s">
        <v>5387</v>
      </c>
      <c r="W14" s="527" t="s">
        <v>5388</v>
      </c>
      <c r="X14" s="761" t="s">
        <v>5389</v>
      </c>
      <c r="Y14" s="527" t="s">
        <v>5390</v>
      </c>
      <c r="Z14" s="761" t="s">
        <v>5391</v>
      </c>
      <c r="AA14" s="527" t="s">
        <v>5392</v>
      </c>
      <c r="AB14" s="761" t="s">
        <v>5393</v>
      </c>
      <c r="AC14" s="527" t="s">
        <v>5394</v>
      </c>
      <c r="AD14" s="761" t="s">
        <v>5395</v>
      </c>
      <c r="AE14" s="527" t="s">
        <v>5396</v>
      </c>
      <c r="AF14" s="761" t="s">
        <v>5397</v>
      </c>
      <c r="AG14" s="527" t="s">
        <v>5398</v>
      </c>
      <c r="AH14" s="761" t="s">
        <v>5399</v>
      </c>
      <c r="AI14" s="527" t="s">
        <v>5400</v>
      </c>
      <c r="AJ14" s="761" t="s">
        <v>5401</v>
      </c>
      <c r="AK14" s="527" t="s">
        <v>5402</v>
      </c>
      <c r="AL14" s="761" t="s">
        <v>5403</v>
      </c>
      <c r="AM14" s="762" t="s">
        <v>5404</v>
      </c>
      <c r="AN14" s="759" t="s">
        <v>5405</v>
      </c>
      <c r="AO14" s="2951" t="s">
        <v>5406</v>
      </c>
      <c r="AP14" s="2949" t="s">
        <v>5407</v>
      </c>
      <c r="AQ14" s="1848" t="s">
        <v>5408</v>
      </c>
      <c r="AR14" s="694" t="s">
        <v>5409</v>
      </c>
      <c r="AS14" s="694" t="s">
        <v>5410</v>
      </c>
      <c r="AT14" s="799" t="s">
        <v>5411</v>
      </c>
      <c r="AU14" s="6836" t="s">
        <v>5412</v>
      </c>
      <c r="AV14" s="1134" t="s">
        <v>5413</v>
      </c>
      <c r="AW14" s="806"/>
      <c r="AX14" s="806"/>
      <c r="AY14" s="806"/>
      <c r="AZ14" s="806"/>
      <c r="BA14" s="806"/>
      <c r="BB14" s="806"/>
      <c r="BC14" s="806"/>
      <c r="BD14" s="806"/>
      <c r="BE14" s="806"/>
      <c r="BF14" s="806"/>
      <c r="BG14" s="1191"/>
      <c r="BH14" s="1191"/>
      <c r="BY14" s="827"/>
      <c r="CB14" s="1445" t="str">
        <f t="shared" ref="CB14:CB34" si="0">IF(CH14=1,"* No olvide digitar la columna Trans y/o Pueblos Originarios y/o Migrantes y/o Población SENAME (Digite Cero si no tiene). ","")</f>
        <v/>
      </c>
      <c r="CC14" s="1445" t="e">
        <f t="shared" ref="CC14:CC34" si="1">IF(CI14=1,"* El número de Trans y/o Pueblos Originarios y/o Migrantes y/o Población SENAME NO DEBE ser mayor que el Total. ","")</f>
        <v>#VALUE!</v>
      </c>
      <c r="CD14" s="1445" t="str">
        <f t="shared" ref="CD14:CD34" si="2">IF(CJ14=1,"* Las consejerías realizadas en Espacios amigables NO DEBEN ser mayor al Total. ","")</f>
        <v xml:space="preserve">* Las consejerías realizadas en Espacios amigables NO DEBEN ser mayor al Total. </v>
      </c>
      <c r="CE14" s="1445" t="e">
        <f t="shared" ref="CE14:CE34" si="3">IF(CK14=1,"* La columna 14-18 AÑOS no puede ser mayor al total por grupo edad de 10 a 19 años. ","")</f>
        <v>#VALUE!</v>
      </c>
      <c r="CF14" s="1445"/>
      <c r="CG14" s="1445"/>
      <c r="CH14" s="1446">
        <f t="shared" ref="CH14:CH45" si="4">IF(AND(D14&lt;&gt;0,OR(AP14="",AQ14="",AR14="",AS14="",AU14="")),1,0)</f>
        <v>0</v>
      </c>
      <c r="CI14" s="1446" t="e">
        <f t="shared" ref="CI14:CI45" si="5">IF(OR(D14&lt;(AP14+AQ14),D14&lt;AR14,D14&lt;AS14,D14&lt;AU14),1,0)</f>
        <v>#VALUE!</v>
      </c>
      <c r="CJ14" s="1446">
        <f t="shared" ref="CJ14:CJ45" si="6">IF(D14&lt;AO14,1,0)</f>
        <v>1</v>
      </c>
      <c r="CK14" s="1446" t="e">
        <f t="shared" ref="CK14:CK45" si="7">IF((K14+L14+M14+N14)&lt;AT14,1,0)</f>
        <v>#VALUE!</v>
      </c>
      <c r="CL14" s="1443"/>
      <c r="CM14" s="1443"/>
      <c r="CN14" s="1443"/>
      <c r="CO14" s="1443"/>
      <c r="CP14" s="1443"/>
    </row>
    <row r="15" spans="1:94" ht="16.350000000000001" customHeight="1" x14ac:dyDescent="0.3">
      <c r="A15" s="7294" t="s">
        <v>5001</v>
      </c>
      <c r="B15" s="10134"/>
      <c r="C15" s="8198" t="s">
        <v>23</v>
      </c>
      <c r="D15" s="323" t="s">
        <v>5369</v>
      </c>
      <c r="E15" s="324" t="s">
        <v>5370</v>
      </c>
      <c r="F15" s="786" t="s">
        <v>5371</v>
      </c>
      <c r="G15" s="110" t="s">
        <v>5372</v>
      </c>
      <c r="H15" s="144" t="s">
        <v>5373</v>
      </c>
      <c r="I15" s="110" t="s">
        <v>5374</v>
      </c>
      <c r="J15" s="144" t="s">
        <v>5375</v>
      </c>
      <c r="K15" s="110" t="s">
        <v>5376</v>
      </c>
      <c r="L15" s="122" t="s">
        <v>5377</v>
      </c>
      <c r="M15" s="110" t="s">
        <v>5378</v>
      </c>
      <c r="N15" s="122" t="s">
        <v>5379</v>
      </c>
      <c r="O15" s="110" t="s">
        <v>5380</v>
      </c>
      <c r="P15" s="122" t="s">
        <v>5381</v>
      </c>
      <c r="Q15" s="110" t="s">
        <v>5382</v>
      </c>
      <c r="R15" s="122" t="s">
        <v>5383</v>
      </c>
      <c r="S15" s="110" t="s">
        <v>5384</v>
      </c>
      <c r="T15" s="122" t="s">
        <v>5385</v>
      </c>
      <c r="U15" s="110" t="s">
        <v>5386</v>
      </c>
      <c r="V15" s="122" t="s">
        <v>5387</v>
      </c>
      <c r="W15" s="110" t="s">
        <v>5388</v>
      </c>
      <c r="X15" s="122" t="s">
        <v>5389</v>
      </c>
      <c r="Y15" s="110" t="s">
        <v>5390</v>
      </c>
      <c r="Z15" s="122" t="s">
        <v>5391</v>
      </c>
      <c r="AA15" s="110" t="s">
        <v>5392</v>
      </c>
      <c r="AB15" s="122" t="s">
        <v>5393</v>
      </c>
      <c r="AC15" s="110" t="s">
        <v>5394</v>
      </c>
      <c r="AD15" s="122" t="s">
        <v>5395</v>
      </c>
      <c r="AE15" s="110" t="s">
        <v>5396</v>
      </c>
      <c r="AF15" s="122" t="s">
        <v>5397</v>
      </c>
      <c r="AG15" s="110" t="s">
        <v>5398</v>
      </c>
      <c r="AH15" s="122" t="s">
        <v>5399</v>
      </c>
      <c r="AI15" s="110" t="s">
        <v>5400</v>
      </c>
      <c r="AJ15" s="122" t="s">
        <v>5401</v>
      </c>
      <c r="AK15" s="110" t="s">
        <v>5402</v>
      </c>
      <c r="AL15" s="122" t="s">
        <v>5403</v>
      </c>
      <c r="AM15" s="157" t="s">
        <v>5404</v>
      </c>
      <c r="AN15" s="197" t="s">
        <v>5405</v>
      </c>
      <c r="AO15" s="2512" t="s">
        <v>5406</v>
      </c>
      <c r="AP15" s="2852" t="s">
        <v>5407</v>
      </c>
      <c r="AQ15" s="1843" t="s">
        <v>5408</v>
      </c>
      <c r="AR15" s="123" t="s">
        <v>5409</v>
      </c>
      <c r="AS15" s="123" t="s">
        <v>5410</v>
      </c>
      <c r="AT15" s="728" t="s">
        <v>5411</v>
      </c>
      <c r="AU15" s="123" t="s">
        <v>5412</v>
      </c>
      <c r="AV15" s="123" t="s">
        <v>5413</v>
      </c>
      <c r="AW15" s="806"/>
      <c r="AX15" s="806"/>
      <c r="AY15" s="806"/>
      <c r="AZ15" s="806"/>
      <c r="BA15" s="806"/>
      <c r="BB15" s="806"/>
      <c r="BC15" s="806"/>
      <c r="BD15" s="806"/>
      <c r="BE15" s="806"/>
      <c r="BF15" s="806"/>
      <c r="BG15" s="1191"/>
      <c r="BH15" s="1191"/>
      <c r="BY15" s="827"/>
      <c r="CB15" s="1445" t="str">
        <f t="shared" si="0"/>
        <v/>
      </c>
      <c r="CC15" s="1445" t="e">
        <f t="shared" si="1"/>
        <v>#VALUE!</v>
      </c>
      <c r="CD15" s="1445" t="str">
        <f t="shared" si="2"/>
        <v xml:space="preserve">* Las consejerías realizadas en Espacios amigables NO DEBEN ser mayor al Total. </v>
      </c>
      <c r="CE15" s="1445" t="e">
        <f t="shared" si="3"/>
        <v>#VALUE!</v>
      </c>
      <c r="CF15" s="1445"/>
      <c r="CG15" s="1445"/>
      <c r="CH15" s="1446">
        <f t="shared" si="4"/>
        <v>0</v>
      </c>
      <c r="CI15" s="1446" t="e">
        <f t="shared" si="5"/>
        <v>#VALUE!</v>
      </c>
      <c r="CJ15" s="1446">
        <f t="shared" si="6"/>
        <v>1</v>
      </c>
      <c r="CK15" s="1446" t="e">
        <f t="shared" si="7"/>
        <v>#VALUE!</v>
      </c>
      <c r="CL15" s="1443"/>
      <c r="CM15" s="1443"/>
      <c r="CN15" s="1443"/>
      <c r="CO15" s="1443"/>
      <c r="CP15" s="1443"/>
    </row>
    <row r="16" spans="1:94" ht="16.350000000000001" customHeight="1" x14ac:dyDescent="0.3">
      <c r="A16" s="7294" t="s">
        <v>5002</v>
      </c>
      <c r="B16" s="10134"/>
      <c r="C16" s="8198" t="s">
        <v>20</v>
      </c>
      <c r="D16" s="323" t="s">
        <v>5369</v>
      </c>
      <c r="E16" s="324" t="s">
        <v>5370</v>
      </c>
      <c r="F16" s="786" t="s">
        <v>5371</v>
      </c>
      <c r="G16" s="110" t="s">
        <v>5372</v>
      </c>
      <c r="H16" s="144" t="s">
        <v>5373</v>
      </c>
      <c r="I16" s="110" t="s">
        <v>5374</v>
      </c>
      <c r="J16" s="144" t="s">
        <v>5375</v>
      </c>
      <c r="K16" s="110" t="s">
        <v>5376</v>
      </c>
      <c r="L16" s="122" t="s">
        <v>5377</v>
      </c>
      <c r="M16" s="110" t="s">
        <v>5378</v>
      </c>
      <c r="N16" s="122" t="s">
        <v>5379</v>
      </c>
      <c r="O16" s="110" t="s">
        <v>5380</v>
      </c>
      <c r="P16" s="122" t="s">
        <v>5381</v>
      </c>
      <c r="Q16" s="110" t="s">
        <v>5382</v>
      </c>
      <c r="R16" s="122" t="s">
        <v>5383</v>
      </c>
      <c r="S16" s="110" t="s">
        <v>5384</v>
      </c>
      <c r="T16" s="122" t="s">
        <v>5385</v>
      </c>
      <c r="U16" s="110" t="s">
        <v>5386</v>
      </c>
      <c r="V16" s="122" t="s">
        <v>5387</v>
      </c>
      <c r="W16" s="110" t="s">
        <v>5388</v>
      </c>
      <c r="X16" s="122" t="s">
        <v>5389</v>
      </c>
      <c r="Y16" s="110" t="s">
        <v>5390</v>
      </c>
      <c r="Z16" s="122" t="s">
        <v>5391</v>
      </c>
      <c r="AA16" s="110" t="s">
        <v>5392</v>
      </c>
      <c r="AB16" s="122" t="s">
        <v>5393</v>
      </c>
      <c r="AC16" s="110" t="s">
        <v>5394</v>
      </c>
      <c r="AD16" s="122" t="s">
        <v>5395</v>
      </c>
      <c r="AE16" s="110" t="s">
        <v>5396</v>
      </c>
      <c r="AF16" s="122" t="s">
        <v>5397</v>
      </c>
      <c r="AG16" s="110" t="s">
        <v>5398</v>
      </c>
      <c r="AH16" s="122" t="s">
        <v>5399</v>
      </c>
      <c r="AI16" s="110" t="s">
        <v>5400</v>
      </c>
      <c r="AJ16" s="122" t="s">
        <v>5401</v>
      </c>
      <c r="AK16" s="110" t="s">
        <v>5402</v>
      </c>
      <c r="AL16" s="122" t="s">
        <v>5403</v>
      </c>
      <c r="AM16" s="157" t="s">
        <v>5404</v>
      </c>
      <c r="AN16" s="197" t="s">
        <v>5405</v>
      </c>
      <c r="AO16" s="2512" t="s">
        <v>5406</v>
      </c>
      <c r="AP16" s="2852" t="s">
        <v>5407</v>
      </c>
      <c r="AQ16" s="1843" t="s">
        <v>5408</v>
      </c>
      <c r="AR16" s="123" t="s">
        <v>5409</v>
      </c>
      <c r="AS16" s="123" t="s">
        <v>5410</v>
      </c>
      <c r="AT16" s="728" t="s">
        <v>5411</v>
      </c>
      <c r="AU16" s="123" t="s">
        <v>5412</v>
      </c>
      <c r="AV16" s="123" t="s">
        <v>5413</v>
      </c>
      <c r="AW16" s="806"/>
      <c r="AX16" s="806"/>
      <c r="AY16" s="806"/>
      <c r="AZ16" s="806"/>
      <c r="BA16" s="806"/>
      <c r="BB16" s="806"/>
      <c r="BC16" s="806"/>
      <c r="BD16" s="806"/>
      <c r="BE16" s="806"/>
      <c r="BF16" s="806"/>
      <c r="BG16" s="1191"/>
      <c r="BH16" s="1191"/>
      <c r="BY16" s="827"/>
      <c r="CB16" s="1445" t="str">
        <f t="shared" si="0"/>
        <v/>
      </c>
      <c r="CC16" s="1445" t="e">
        <f t="shared" si="1"/>
        <v>#VALUE!</v>
      </c>
      <c r="CD16" s="1445" t="str">
        <f t="shared" si="2"/>
        <v xml:space="preserve">* Las consejerías realizadas en Espacios amigables NO DEBEN ser mayor al Total. </v>
      </c>
      <c r="CE16" s="1445" t="e">
        <f t="shared" si="3"/>
        <v>#VALUE!</v>
      </c>
      <c r="CF16" s="1445"/>
      <c r="CG16" s="1445"/>
      <c r="CH16" s="1446">
        <f t="shared" si="4"/>
        <v>0</v>
      </c>
      <c r="CI16" s="1446" t="e">
        <f t="shared" si="5"/>
        <v>#VALUE!</v>
      </c>
      <c r="CJ16" s="1446">
        <f t="shared" si="6"/>
        <v>1</v>
      </c>
      <c r="CK16" s="1446" t="e">
        <f t="shared" si="7"/>
        <v>#VALUE!</v>
      </c>
      <c r="CL16" s="1443"/>
      <c r="CM16" s="1443"/>
      <c r="CN16" s="1443"/>
      <c r="CO16" s="1443"/>
      <c r="CP16" s="1443"/>
    </row>
    <row r="17" spans="1:94" ht="16.350000000000001" customHeight="1" x14ac:dyDescent="0.3">
      <c r="A17" s="7294" t="s">
        <v>5003</v>
      </c>
      <c r="B17" s="10134"/>
      <c r="C17" s="8198" t="s">
        <v>26</v>
      </c>
      <c r="D17" s="323" t="s">
        <v>5369</v>
      </c>
      <c r="E17" s="324" t="s">
        <v>5370</v>
      </c>
      <c r="F17" s="786" t="s">
        <v>5371</v>
      </c>
      <c r="G17" s="110" t="s">
        <v>5372</v>
      </c>
      <c r="H17" s="144" t="s">
        <v>5373</v>
      </c>
      <c r="I17" s="110" t="s">
        <v>5374</v>
      </c>
      <c r="J17" s="144" t="s">
        <v>5375</v>
      </c>
      <c r="K17" s="110" t="s">
        <v>5376</v>
      </c>
      <c r="L17" s="122" t="s">
        <v>5377</v>
      </c>
      <c r="M17" s="110" t="s">
        <v>5378</v>
      </c>
      <c r="N17" s="122" t="s">
        <v>5379</v>
      </c>
      <c r="O17" s="110" t="s">
        <v>5380</v>
      </c>
      <c r="P17" s="122" t="s">
        <v>5381</v>
      </c>
      <c r="Q17" s="110" t="s">
        <v>5382</v>
      </c>
      <c r="R17" s="122" t="s">
        <v>5383</v>
      </c>
      <c r="S17" s="110" t="s">
        <v>5384</v>
      </c>
      <c r="T17" s="122" t="s">
        <v>5385</v>
      </c>
      <c r="U17" s="110" t="s">
        <v>5386</v>
      </c>
      <c r="V17" s="122" t="s">
        <v>5387</v>
      </c>
      <c r="W17" s="110" t="s">
        <v>5388</v>
      </c>
      <c r="X17" s="122" t="s">
        <v>5389</v>
      </c>
      <c r="Y17" s="110" t="s">
        <v>5390</v>
      </c>
      <c r="Z17" s="122" t="s">
        <v>5391</v>
      </c>
      <c r="AA17" s="110" t="s">
        <v>5392</v>
      </c>
      <c r="AB17" s="122" t="s">
        <v>5393</v>
      </c>
      <c r="AC17" s="110" t="s">
        <v>5394</v>
      </c>
      <c r="AD17" s="122" t="s">
        <v>5395</v>
      </c>
      <c r="AE17" s="110" t="s">
        <v>5396</v>
      </c>
      <c r="AF17" s="122" t="s">
        <v>5397</v>
      </c>
      <c r="AG17" s="110" t="s">
        <v>5398</v>
      </c>
      <c r="AH17" s="122" t="s">
        <v>5399</v>
      </c>
      <c r="AI17" s="110" t="s">
        <v>5400</v>
      </c>
      <c r="AJ17" s="122" t="s">
        <v>5401</v>
      </c>
      <c r="AK17" s="110" t="s">
        <v>5402</v>
      </c>
      <c r="AL17" s="122" t="s">
        <v>5403</v>
      </c>
      <c r="AM17" s="157" t="s">
        <v>5404</v>
      </c>
      <c r="AN17" s="197" t="s">
        <v>5405</v>
      </c>
      <c r="AO17" s="2512" t="s">
        <v>5406</v>
      </c>
      <c r="AP17" s="2852" t="s">
        <v>5407</v>
      </c>
      <c r="AQ17" s="1843" t="s">
        <v>5408</v>
      </c>
      <c r="AR17" s="123" t="s">
        <v>5409</v>
      </c>
      <c r="AS17" s="123" t="s">
        <v>5410</v>
      </c>
      <c r="AT17" s="728" t="s">
        <v>5411</v>
      </c>
      <c r="AU17" s="123" t="s">
        <v>5412</v>
      </c>
      <c r="AV17" s="123" t="s">
        <v>5413</v>
      </c>
      <c r="AW17" s="806"/>
      <c r="AX17" s="806"/>
      <c r="AY17" s="806"/>
      <c r="AZ17" s="806"/>
      <c r="BA17" s="806"/>
      <c r="BB17" s="806"/>
      <c r="BC17" s="806"/>
      <c r="BD17" s="806"/>
      <c r="BE17" s="806"/>
      <c r="BF17" s="806"/>
      <c r="BG17" s="1191"/>
      <c r="BH17" s="1191"/>
      <c r="BY17" s="827"/>
      <c r="CB17" s="1445" t="str">
        <f t="shared" si="0"/>
        <v/>
      </c>
      <c r="CC17" s="1445" t="e">
        <f t="shared" si="1"/>
        <v>#VALUE!</v>
      </c>
      <c r="CD17" s="1445" t="str">
        <f t="shared" si="2"/>
        <v xml:space="preserve">* Las consejerías realizadas en Espacios amigables NO DEBEN ser mayor al Total. </v>
      </c>
      <c r="CE17" s="1445" t="e">
        <f t="shared" si="3"/>
        <v>#VALUE!</v>
      </c>
      <c r="CF17" s="1445"/>
      <c r="CG17" s="1445"/>
      <c r="CH17" s="1446">
        <f t="shared" si="4"/>
        <v>0</v>
      </c>
      <c r="CI17" s="1446" t="e">
        <f t="shared" si="5"/>
        <v>#VALUE!</v>
      </c>
      <c r="CJ17" s="1446">
        <f t="shared" si="6"/>
        <v>1</v>
      </c>
      <c r="CK17" s="1446" t="e">
        <f t="shared" si="7"/>
        <v>#VALUE!</v>
      </c>
      <c r="CL17" s="1443"/>
      <c r="CM17" s="1443"/>
      <c r="CN17" s="1443"/>
      <c r="CO17" s="1443"/>
      <c r="CP17" s="1443"/>
    </row>
    <row r="18" spans="1:94" ht="16.350000000000001" customHeight="1" x14ac:dyDescent="0.3">
      <c r="A18" s="7294" t="s">
        <v>5004</v>
      </c>
      <c r="B18" s="10134"/>
      <c r="C18" s="8198" t="s">
        <v>2597</v>
      </c>
      <c r="D18" s="323" t="s">
        <v>5369</v>
      </c>
      <c r="E18" s="324" t="s">
        <v>5370</v>
      </c>
      <c r="F18" s="786" t="s">
        <v>5371</v>
      </c>
      <c r="G18" s="110" t="s">
        <v>5372</v>
      </c>
      <c r="H18" s="144" t="s">
        <v>5373</v>
      </c>
      <c r="I18" s="110" t="s">
        <v>5374</v>
      </c>
      <c r="J18" s="144" t="s">
        <v>5375</v>
      </c>
      <c r="K18" s="110" t="s">
        <v>5376</v>
      </c>
      <c r="L18" s="122" t="s">
        <v>5377</v>
      </c>
      <c r="M18" s="110" t="s">
        <v>5378</v>
      </c>
      <c r="N18" s="122" t="s">
        <v>5379</v>
      </c>
      <c r="O18" s="110" t="s">
        <v>5380</v>
      </c>
      <c r="P18" s="122" t="s">
        <v>5381</v>
      </c>
      <c r="Q18" s="110" t="s">
        <v>5382</v>
      </c>
      <c r="R18" s="122" t="s">
        <v>5383</v>
      </c>
      <c r="S18" s="110" t="s">
        <v>5384</v>
      </c>
      <c r="T18" s="122" t="s">
        <v>5385</v>
      </c>
      <c r="U18" s="110" t="s">
        <v>5386</v>
      </c>
      <c r="V18" s="122" t="s">
        <v>5387</v>
      </c>
      <c r="W18" s="110" t="s">
        <v>5388</v>
      </c>
      <c r="X18" s="122" t="s">
        <v>5389</v>
      </c>
      <c r="Y18" s="110" t="s">
        <v>5390</v>
      </c>
      <c r="Z18" s="122" t="s">
        <v>5391</v>
      </c>
      <c r="AA18" s="110" t="s">
        <v>5392</v>
      </c>
      <c r="AB18" s="122" t="s">
        <v>5393</v>
      </c>
      <c r="AC18" s="110" t="s">
        <v>5394</v>
      </c>
      <c r="AD18" s="122" t="s">
        <v>5395</v>
      </c>
      <c r="AE18" s="110" t="s">
        <v>5396</v>
      </c>
      <c r="AF18" s="122" t="s">
        <v>5397</v>
      </c>
      <c r="AG18" s="110" t="s">
        <v>5398</v>
      </c>
      <c r="AH18" s="122" t="s">
        <v>5399</v>
      </c>
      <c r="AI18" s="110" t="s">
        <v>5400</v>
      </c>
      <c r="AJ18" s="122" t="s">
        <v>5401</v>
      </c>
      <c r="AK18" s="110" t="s">
        <v>5402</v>
      </c>
      <c r="AL18" s="122" t="s">
        <v>5403</v>
      </c>
      <c r="AM18" s="157" t="s">
        <v>5404</v>
      </c>
      <c r="AN18" s="197" t="s">
        <v>5405</v>
      </c>
      <c r="AO18" s="2512" t="s">
        <v>5406</v>
      </c>
      <c r="AP18" s="2852" t="s">
        <v>5407</v>
      </c>
      <c r="AQ18" s="1843" t="s">
        <v>5408</v>
      </c>
      <c r="AR18" s="123" t="s">
        <v>5409</v>
      </c>
      <c r="AS18" s="123" t="s">
        <v>5410</v>
      </c>
      <c r="AT18" s="728" t="s">
        <v>5411</v>
      </c>
      <c r="AU18" s="123" t="s">
        <v>5412</v>
      </c>
      <c r="AV18" s="123" t="s">
        <v>5413</v>
      </c>
      <c r="AW18" s="806"/>
      <c r="AX18" s="806"/>
      <c r="AY18" s="806"/>
      <c r="AZ18" s="806"/>
      <c r="BA18" s="806"/>
      <c r="BB18" s="806"/>
      <c r="BC18" s="806"/>
      <c r="BD18" s="806"/>
      <c r="BE18" s="806"/>
      <c r="BF18" s="806"/>
      <c r="BG18" s="1191"/>
      <c r="BH18" s="1191"/>
      <c r="BY18" s="827"/>
      <c r="CB18" s="1445" t="str">
        <f t="shared" si="0"/>
        <v/>
      </c>
      <c r="CC18" s="1445" t="e">
        <f t="shared" si="1"/>
        <v>#VALUE!</v>
      </c>
      <c r="CD18" s="1445" t="str">
        <f t="shared" si="2"/>
        <v xml:space="preserve">* Las consejerías realizadas en Espacios amigables NO DEBEN ser mayor al Total. </v>
      </c>
      <c r="CE18" s="1445" t="e">
        <f t="shared" si="3"/>
        <v>#VALUE!</v>
      </c>
      <c r="CF18" s="1445"/>
      <c r="CG18" s="1445"/>
      <c r="CH18" s="1446">
        <f t="shared" si="4"/>
        <v>0</v>
      </c>
      <c r="CI18" s="1446" t="e">
        <f t="shared" si="5"/>
        <v>#VALUE!</v>
      </c>
      <c r="CJ18" s="1446">
        <f t="shared" si="6"/>
        <v>1</v>
      </c>
      <c r="CK18" s="1446" t="e">
        <f t="shared" si="7"/>
        <v>#VALUE!</v>
      </c>
      <c r="CL18" s="1443"/>
      <c r="CM18" s="1443"/>
      <c r="CN18" s="1443"/>
      <c r="CO18" s="1443"/>
      <c r="CP18" s="1443"/>
    </row>
    <row r="19" spans="1:94" ht="16.350000000000001" customHeight="1" x14ac:dyDescent="0.3">
      <c r="A19" s="7294" t="s">
        <v>5005</v>
      </c>
      <c r="B19" s="10134"/>
      <c r="C19" s="8198" t="s">
        <v>1267</v>
      </c>
      <c r="D19" s="323" t="s">
        <v>5369</v>
      </c>
      <c r="E19" s="324" t="s">
        <v>5370</v>
      </c>
      <c r="F19" s="786" t="s">
        <v>5371</v>
      </c>
      <c r="G19" s="110" t="s">
        <v>5372</v>
      </c>
      <c r="H19" s="144" t="s">
        <v>5373</v>
      </c>
      <c r="I19" s="110" t="s">
        <v>5374</v>
      </c>
      <c r="J19" s="144" t="s">
        <v>5375</v>
      </c>
      <c r="K19" s="110" t="s">
        <v>5376</v>
      </c>
      <c r="L19" s="122" t="s">
        <v>5377</v>
      </c>
      <c r="M19" s="110" t="s">
        <v>5378</v>
      </c>
      <c r="N19" s="122" t="s">
        <v>5379</v>
      </c>
      <c r="O19" s="110" t="s">
        <v>5380</v>
      </c>
      <c r="P19" s="122" t="s">
        <v>5381</v>
      </c>
      <c r="Q19" s="110" t="s">
        <v>5382</v>
      </c>
      <c r="R19" s="122" t="s">
        <v>5383</v>
      </c>
      <c r="S19" s="110" t="s">
        <v>5384</v>
      </c>
      <c r="T19" s="122" t="s">
        <v>5385</v>
      </c>
      <c r="U19" s="110" t="s">
        <v>5386</v>
      </c>
      <c r="V19" s="122" t="s">
        <v>5387</v>
      </c>
      <c r="W19" s="110" t="s">
        <v>5388</v>
      </c>
      <c r="X19" s="122" t="s">
        <v>5389</v>
      </c>
      <c r="Y19" s="110" t="s">
        <v>5390</v>
      </c>
      <c r="Z19" s="122" t="s">
        <v>5391</v>
      </c>
      <c r="AA19" s="110" t="s">
        <v>5392</v>
      </c>
      <c r="AB19" s="122" t="s">
        <v>5393</v>
      </c>
      <c r="AC19" s="110" t="s">
        <v>5394</v>
      </c>
      <c r="AD19" s="122" t="s">
        <v>5395</v>
      </c>
      <c r="AE19" s="110" t="s">
        <v>5396</v>
      </c>
      <c r="AF19" s="122" t="s">
        <v>5397</v>
      </c>
      <c r="AG19" s="110" t="s">
        <v>5398</v>
      </c>
      <c r="AH19" s="122" t="s">
        <v>5399</v>
      </c>
      <c r="AI19" s="110" t="s">
        <v>5400</v>
      </c>
      <c r="AJ19" s="122" t="s">
        <v>5401</v>
      </c>
      <c r="AK19" s="110" t="s">
        <v>5402</v>
      </c>
      <c r="AL19" s="122" t="s">
        <v>5403</v>
      </c>
      <c r="AM19" s="157" t="s">
        <v>5404</v>
      </c>
      <c r="AN19" s="197" t="s">
        <v>5405</v>
      </c>
      <c r="AO19" s="2512" t="s">
        <v>5406</v>
      </c>
      <c r="AP19" s="2852" t="s">
        <v>5407</v>
      </c>
      <c r="AQ19" s="1843" t="s">
        <v>5408</v>
      </c>
      <c r="AR19" s="123" t="s">
        <v>5409</v>
      </c>
      <c r="AS19" s="123" t="s">
        <v>5410</v>
      </c>
      <c r="AT19" s="728" t="s">
        <v>5411</v>
      </c>
      <c r="AU19" s="123" t="s">
        <v>5412</v>
      </c>
      <c r="AV19" s="123" t="s">
        <v>5413</v>
      </c>
      <c r="AW19" s="806"/>
      <c r="AX19" s="806"/>
      <c r="AY19" s="806"/>
      <c r="AZ19" s="806"/>
      <c r="BA19" s="806"/>
      <c r="BB19" s="806"/>
      <c r="BC19" s="806"/>
      <c r="BD19" s="806"/>
      <c r="BE19" s="806"/>
      <c r="BF19" s="806"/>
      <c r="BG19" s="1191"/>
      <c r="BH19" s="1191"/>
      <c r="BY19" s="827"/>
      <c r="CB19" s="1445" t="str">
        <f t="shared" si="0"/>
        <v/>
      </c>
      <c r="CC19" s="1445" t="e">
        <f t="shared" si="1"/>
        <v>#VALUE!</v>
      </c>
      <c r="CD19" s="1445" t="str">
        <f t="shared" si="2"/>
        <v xml:space="preserve">* Las consejerías realizadas en Espacios amigables NO DEBEN ser mayor al Total. </v>
      </c>
      <c r="CE19" s="1445" t="e">
        <f t="shared" si="3"/>
        <v>#VALUE!</v>
      </c>
      <c r="CF19" s="1445"/>
      <c r="CG19" s="1445"/>
      <c r="CH19" s="1446">
        <f t="shared" si="4"/>
        <v>0</v>
      </c>
      <c r="CI19" s="1446" t="e">
        <f t="shared" si="5"/>
        <v>#VALUE!</v>
      </c>
      <c r="CJ19" s="1446">
        <f t="shared" si="6"/>
        <v>1</v>
      </c>
      <c r="CK19" s="1446" t="e">
        <f t="shared" si="7"/>
        <v>#VALUE!</v>
      </c>
      <c r="CL19" s="1443"/>
      <c r="CM19" s="1443"/>
      <c r="CN19" s="1443"/>
      <c r="CO19" s="1443"/>
      <c r="CP19" s="1443"/>
    </row>
    <row r="20" spans="1:94" ht="16.350000000000001" customHeight="1" x14ac:dyDescent="0.3">
      <c r="A20" s="7294" t="s">
        <v>5006</v>
      </c>
      <c r="B20" s="10134"/>
      <c r="C20" s="8198" t="s">
        <v>1016</v>
      </c>
      <c r="D20" s="323" t="s">
        <v>5369</v>
      </c>
      <c r="E20" s="324" t="s">
        <v>5370</v>
      </c>
      <c r="F20" s="786" t="s">
        <v>5371</v>
      </c>
      <c r="G20" s="110" t="s">
        <v>5372</v>
      </c>
      <c r="H20" s="144" t="s">
        <v>5373</v>
      </c>
      <c r="I20" s="110" t="s">
        <v>5374</v>
      </c>
      <c r="J20" s="144" t="s">
        <v>5375</v>
      </c>
      <c r="K20" s="110" t="s">
        <v>5376</v>
      </c>
      <c r="L20" s="122" t="s">
        <v>5377</v>
      </c>
      <c r="M20" s="110" t="s">
        <v>5378</v>
      </c>
      <c r="N20" s="122" t="s">
        <v>5379</v>
      </c>
      <c r="O20" s="110" t="s">
        <v>5380</v>
      </c>
      <c r="P20" s="122" t="s">
        <v>5381</v>
      </c>
      <c r="Q20" s="110" t="s">
        <v>5382</v>
      </c>
      <c r="R20" s="122" t="s">
        <v>5383</v>
      </c>
      <c r="S20" s="110" t="s">
        <v>5384</v>
      </c>
      <c r="T20" s="122" t="s">
        <v>5385</v>
      </c>
      <c r="U20" s="110" t="s">
        <v>5386</v>
      </c>
      <c r="V20" s="122" t="s">
        <v>5387</v>
      </c>
      <c r="W20" s="110" t="s">
        <v>5388</v>
      </c>
      <c r="X20" s="122" t="s">
        <v>5389</v>
      </c>
      <c r="Y20" s="110" t="s">
        <v>5390</v>
      </c>
      <c r="Z20" s="122" t="s">
        <v>5391</v>
      </c>
      <c r="AA20" s="110" t="s">
        <v>5392</v>
      </c>
      <c r="AB20" s="122" t="s">
        <v>5393</v>
      </c>
      <c r="AC20" s="110" t="s">
        <v>5394</v>
      </c>
      <c r="AD20" s="122" t="s">
        <v>5395</v>
      </c>
      <c r="AE20" s="110" t="s">
        <v>5396</v>
      </c>
      <c r="AF20" s="122" t="s">
        <v>5397</v>
      </c>
      <c r="AG20" s="110" t="s">
        <v>5398</v>
      </c>
      <c r="AH20" s="122" t="s">
        <v>5399</v>
      </c>
      <c r="AI20" s="110" t="s">
        <v>5400</v>
      </c>
      <c r="AJ20" s="122" t="s">
        <v>5401</v>
      </c>
      <c r="AK20" s="110" t="s">
        <v>5402</v>
      </c>
      <c r="AL20" s="122" t="s">
        <v>5403</v>
      </c>
      <c r="AM20" s="157" t="s">
        <v>5404</v>
      </c>
      <c r="AN20" s="197" t="s">
        <v>5405</v>
      </c>
      <c r="AO20" s="2512" t="s">
        <v>5406</v>
      </c>
      <c r="AP20" s="2852" t="s">
        <v>5407</v>
      </c>
      <c r="AQ20" s="1843" t="s">
        <v>5408</v>
      </c>
      <c r="AR20" s="123" t="s">
        <v>5409</v>
      </c>
      <c r="AS20" s="123" t="s">
        <v>5410</v>
      </c>
      <c r="AT20" s="728" t="s">
        <v>5411</v>
      </c>
      <c r="AU20" s="123" t="s">
        <v>5412</v>
      </c>
      <c r="AV20" s="123" t="s">
        <v>5413</v>
      </c>
      <c r="AW20" s="806"/>
      <c r="AX20" s="806"/>
      <c r="AY20" s="806"/>
      <c r="AZ20" s="806"/>
      <c r="BA20" s="806"/>
      <c r="BB20" s="806"/>
      <c r="BC20" s="806"/>
      <c r="BD20" s="806"/>
      <c r="BE20" s="806"/>
      <c r="BF20" s="806"/>
      <c r="BG20" s="1191"/>
      <c r="BH20" s="1191"/>
      <c r="BY20" s="827"/>
      <c r="CB20" s="1445" t="str">
        <f t="shared" si="0"/>
        <v/>
      </c>
      <c r="CC20" s="1445" t="e">
        <f t="shared" si="1"/>
        <v>#VALUE!</v>
      </c>
      <c r="CD20" s="1445" t="str">
        <f t="shared" si="2"/>
        <v xml:space="preserve">* Las consejerías realizadas en Espacios amigables NO DEBEN ser mayor al Total. </v>
      </c>
      <c r="CE20" s="1445" t="e">
        <f t="shared" si="3"/>
        <v>#VALUE!</v>
      </c>
      <c r="CF20" s="1445"/>
      <c r="CG20" s="1445"/>
      <c r="CH20" s="1446">
        <f t="shared" si="4"/>
        <v>0</v>
      </c>
      <c r="CI20" s="1446" t="e">
        <f t="shared" si="5"/>
        <v>#VALUE!</v>
      </c>
      <c r="CJ20" s="1446">
        <f t="shared" si="6"/>
        <v>1</v>
      </c>
      <c r="CK20" s="1446" t="e">
        <f t="shared" si="7"/>
        <v>#VALUE!</v>
      </c>
      <c r="CL20" s="1443"/>
      <c r="CM20" s="1443"/>
      <c r="CN20" s="1443"/>
      <c r="CO20" s="1443"/>
      <c r="CP20" s="1443"/>
    </row>
    <row r="21" spans="1:94" ht="16.350000000000001" customHeight="1" x14ac:dyDescent="0.3">
      <c r="A21" s="7294" t="s">
        <v>5007</v>
      </c>
      <c r="B21" s="10134"/>
      <c r="C21" s="8199" t="s">
        <v>62</v>
      </c>
      <c r="D21" s="560" t="s">
        <v>5369</v>
      </c>
      <c r="E21" s="559" t="s">
        <v>5370</v>
      </c>
      <c r="F21" s="796" t="s">
        <v>5371</v>
      </c>
      <c r="G21" s="137" t="s">
        <v>5372</v>
      </c>
      <c r="H21" s="164" t="s">
        <v>5373</v>
      </c>
      <c r="I21" s="137" t="s">
        <v>5374</v>
      </c>
      <c r="J21" s="164" t="s">
        <v>5375</v>
      </c>
      <c r="K21" s="137" t="s">
        <v>5376</v>
      </c>
      <c r="L21" s="138" t="s">
        <v>5377</v>
      </c>
      <c r="M21" s="137" t="s">
        <v>5378</v>
      </c>
      <c r="N21" s="138" t="s">
        <v>5379</v>
      </c>
      <c r="O21" s="137" t="s">
        <v>5380</v>
      </c>
      <c r="P21" s="138" t="s">
        <v>5381</v>
      </c>
      <c r="Q21" s="137" t="s">
        <v>5382</v>
      </c>
      <c r="R21" s="138" t="s">
        <v>5383</v>
      </c>
      <c r="S21" s="137" t="s">
        <v>5384</v>
      </c>
      <c r="T21" s="138" t="s">
        <v>5385</v>
      </c>
      <c r="U21" s="137" t="s">
        <v>5386</v>
      </c>
      <c r="V21" s="138" t="s">
        <v>5387</v>
      </c>
      <c r="W21" s="137" t="s">
        <v>5388</v>
      </c>
      <c r="X21" s="138" t="s">
        <v>5389</v>
      </c>
      <c r="Y21" s="137" t="s">
        <v>5390</v>
      </c>
      <c r="Z21" s="138" t="s">
        <v>5391</v>
      </c>
      <c r="AA21" s="137" t="s">
        <v>5392</v>
      </c>
      <c r="AB21" s="138" t="s">
        <v>5393</v>
      </c>
      <c r="AC21" s="137" t="s">
        <v>5394</v>
      </c>
      <c r="AD21" s="138" t="s">
        <v>5395</v>
      </c>
      <c r="AE21" s="137" t="s">
        <v>5396</v>
      </c>
      <c r="AF21" s="138" t="s">
        <v>5397</v>
      </c>
      <c r="AG21" s="137" t="s">
        <v>5398</v>
      </c>
      <c r="AH21" s="138" t="s">
        <v>5399</v>
      </c>
      <c r="AI21" s="137" t="s">
        <v>5400</v>
      </c>
      <c r="AJ21" s="138" t="s">
        <v>5401</v>
      </c>
      <c r="AK21" s="137" t="s">
        <v>5402</v>
      </c>
      <c r="AL21" s="138" t="s">
        <v>5403</v>
      </c>
      <c r="AM21" s="161" t="s">
        <v>5404</v>
      </c>
      <c r="AN21" s="260" t="s">
        <v>5405</v>
      </c>
      <c r="AO21" s="2512" t="s">
        <v>5406</v>
      </c>
      <c r="AP21" s="2796" t="s">
        <v>5407</v>
      </c>
      <c r="AQ21" s="1843" t="s">
        <v>5408</v>
      </c>
      <c r="AR21" s="123" t="s">
        <v>5409</v>
      </c>
      <c r="AS21" s="123" t="s">
        <v>5410</v>
      </c>
      <c r="AT21" s="728" t="s">
        <v>5411</v>
      </c>
      <c r="AU21" s="123" t="s">
        <v>5412</v>
      </c>
      <c r="AV21" s="123" t="s">
        <v>5413</v>
      </c>
      <c r="AW21" s="806"/>
      <c r="AX21" s="806"/>
      <c r="AY21" s="806"/>
      <c r="AZ21" s="806"/>
      <c r="BA21" s="806"/>
      <c r="BB21" s="806"/>
      <c r="BC21" s="806"/>
      <c r="BD21" s="806"/>
      <c r="BE21" s="806"/>
      <c r="BF21" s="806"/>
      <c r="BG21" s="1191"/>
      <c r="BH21" s="1191"/>
      <c r="BY21" s="827"/>
      <c r="CB21" s="1445" t="str">
        <f t="shared" si="0"/>
        <v/>
      </c>
      <c r="CC21" s="1445" t="e">
        <f t="shared" si="1"/>
        <v>#VALUE!</v>
      </c>
      <c r="CD21" s="1445" t="str">
        <f t="shared" si="2"/>
        <v xml:space="preserve">* Las consejerías realizadas en Espacios amigables NO DEBEN ser mayor al Total. </v>
      </c>
      <c r="CE21" s="1445" t="e">
        <f t="shared" si="3"/>
        <v>#VALUE!</v>
      </c>
      <c r="CF21" s="1445"/>
      <c r="CG21" s="1445"/>
      <c r="CH21" s="1446">
        <f t="shared" si="4"/>
        <v>0</v>
      </c>
      <c r="CI21" s="1446" t="e">
        <f t="shared" si="5"/>
        <v>#VALUE!</v>
      </c>
      <c r="CJ21" s="1446">
        <f t="shared" si="6"/>
        <v>1</v>
      </c>
      <c r="CK21" s="1446" t="e">
        <f t="shared" si="7"/>
        <v>#VALUE!</v>
      </c>
      <c r="CL21" s="1443"/>
      <c r="CM21" s="1443"/>
      <c r="CN21" s="1443"/>
      <c r="CO21" s="1443"/>
      <c r="CP21" s="1443"/>
    </row>
    <row r="22" spans="1:94" ht="16.350000000000001" customHeight="1" x14ac:dyDescent="0.3">
      <c r="A22" s="7294" t="s">
        <v>5008</v>
      </c>
      <c r="B22" s="10134"/>
      <c r="C22" s="8198" t="s">
        <v>1265</v>
      </c>
      <c r="D22" s="323" t="s">
        <v>5369</v>
      </c>
      <c r="E22" s="324" t="s">
        <v>5370</v>
      </c>
      <c r="F22" s="786" t="s">
        <v>5371</v>
      </c>
      <c r="G22" s="110" t="s">
        <v>5372</v>
      </c>
      <c r="H22" s="144" t="s">
        <v>5373</v>
      </c>
      <c r="I22" s="110" t="s">
        <v>5374</v>
      </c>
      <c r="J22" s="144" t="s">
        <v>5375</v>
      </c>
      <c r="K22" s="110" t="s">
        <v>5376</v>
      </c>
      <c r="L22" s="122" t="s">
        <v>5377</v>
      </c>
      <c r="M22" s="110" t="s">
        <v>5378</v>
      </c>
      <c r="N22" s="122" t="s">
        <v>5379</v>
      </c>
      <c r="O22" s="110" t="s">
        <v>5380</v>
      </c>
      <c r="P22" s="122" t="s">
        <v>5381</v>
      </c>
      <c r="Q22" s="110" t="s">
        <v>5382</v>
      </c>
      <c r="R22" s="122" t="s">
        <v>5383</v>
      </c>
      <c r="S22" s="110" t="s">
        <v>5384</v>
      </c>
      <c r="T22" s="122" t="s">
        <v>5385</v>
      </c>
      <c r="U22" s="110" t="s">
        <v>5386</v>
      </c>
      <c r="V22" s="122" t="s">
        <v>5387</v>
      </c>
      <c r="W22" s="110" t="s">
        <v>5388</v>
      </c>
      <c r="X22" s="122" t="s">
        <v>5389</v>
      </c>
      <c r="Y22" s="110" t="s">
        <v>5390</v>
      </c>
      <c r="Z22" s="122" t="s">
        <v>5391</v>
      </c>
      <c r="AA22" s="110" t="s">
        <v>5392</v>
      </c>
      <c r="AB22" s="122" t="s">
        <v>5393</v>
      </c>
      <c r="AC22" s="110" t="s">
        <v>5394</v>
      </c>
      <c r="AD22" s="122" t="s">
        <v>5395</v>
      </c>
      <c r="AE22" s="110" t="s">
        <v>5396</v>
      </c>
      <c r="AF22" s="122" t="s">
        <v>5397</v>
      </c>
      <c r="AG22" s="110" t="s">
        <v>5398</v>
      </c>
      <c r="AH22" s="122" t="s">
        <v>5399</v>
      </c>
      <c r="AI22" s="110" t="s">
        <v>5400</v>
      </c>
      <c r="AJ22" s="122" t="s">
        <v>5401</v>
      </c>
      <c r="AK22" s="110" t="s">
        <v>5402</v>
      </c>
      <c r="AL22" s="122" t="s">
        <v>5403</v>
      </c>
      <c r="AM22" s="157" t="s">
        <v>5404</v>
      </c>
      <c r="AN22" s="197" t="s">
        <v>5405</v>
      </c>
      <c r="AO22" s="2512" t="s">
        <v>5406</v>
      </c>
      <c r="AP22" s="2852" t="s">
        <v>5407</v>
      </c>
      <c r="AQ22" s="1843" t="s">
        <v>5408</v>
      </c>
      <c r="AR22" s="123" t="s">
        <v>5409</v>
      </c>
      <c r="AS22" s="123" t="s">
        <v>5410</v>
      </c>
      <c r="AT22" s="728" t="s">
        <v>5411</v>
      </c>
      <c r="AU22" s="123" t="s">
        <v>5412</v>
      </c>
      <c r="AV22" s="123" t="s">
        <v>5413</v>
      </c>
      <c r="AW22" s="806"/>
      <c r="AX22" s="806"/>
      <c r="AY22" s="806"/>
      <c r="AZ22" s="806"/>
      <c r="BA22" s="806"/>
      <c r="BB22" s="806"/>
      <c r="BC22" s="806"/>
      <c r="BD22" s="806"/>
      <c r="BE22" s="806"/>
      <c r="BF22" s="806"/>
      <c r="BG22" s="1191"/>
      <c r="BH22" s="1191"/>
      <c r="BY22" s="827"/>
      <c r="CB22" s="1445" t="str">
        <f t="shared" si="0"/>
        <v/>
      </c>
      <c r="CC22" s="1445" t="e">
        <f t="shared" si="1"/>
        <v>#VALUE!</v>
      </c>
      <c r="CD22" s="1445" t="str">
        <f t="shared" si="2"/>
        <v xml:space="preserve">* Las consejerías realizadas en Espacios amigables NO DEBEN ser mayor al Total. </v>
      </c>
      <c r="CE22" s="1445" t="e">
        <f t="shared" si="3"/>
        <v>#VALUE!</v>
      </c>
      <c r="CF22" s="1445"/>
      <c r="CG22" s="1445"/>
      <c r="CH22" s="1446">
        <f t="shared" si="4"/>
        <v>0</v>
      </c>
      <c r="CI22" s="1446" t="e">
        <f t="shared" si="5"/>
        <v>#VALUE!</v>
      </c>
      <c r="CJ22" s="1446">
        <f t="shared" si="6"/>
        <v>1</v>
      </c>
      <c r="CK22" s="1446" t="e">
        <f t="shared" si="7"/>
        <v>#VALUE!</v>
      </c>
      <c r="CL22" s="1443"/>
      <c r="CM22" s="1443"/>
      <c r="CN22" s="1443"/>
      <c r="CO22" s="1443"/>
      <c r="CP22" s="1443"/>
    </row>
    <row r="23" spans="1:94" ht="16.350000000000001" customHeight="1" x14ac:dyDescent="0.3">
      <c r="A23" s="7294" t="s">
        <v>5009</v>
      </c>
      <c r="B23" s="10134"/>
      <c r="C23" s="8200" t="s">
        <v>1266</v>
      </c>
      <c r="D23" s="323" t="s">
        <v>5369</v>
      </c>
      <c r="E23" s="739" t="s">
        <v>5370</v>
      </c>
      <c r="F23" s="785" t="s">
        <v>5371</v>
      </c>
      <c r="G23" s="110" t="s">
        <v>5372</v>
      </c>
      <c r="H23" s="144" t="s">
        <v>5373</v>
      </c>
      <c r="I23" s="110" t="s">
        <v>5374</v>
      </c>
      <c r="J23" s="144" t="s">
        <v>5375</v>
      </c>
      <c r="K23" s="110" t="s">
        <v>5376</v>
      </c>
      <c r="L23" s="122" t="s">
        <v>5377</v>
      </c>
      <c r="M23" s="110" t="s">
        <v>5378</v>
      </c>
      <c r="N23" s="122" t="s">
        <v>5379</v>
      </c>
      <c r="O23" s="110" t="s">
        <v>5380</v>
      </c>
      <c r="P23" s="122" t="s">
        <v>5381</v>
      </c>
      <c r="Q23" s="110" t="s">
        <v>5382</v>
      </c>
      <c r="R23" s="122" t="s">
        <v>5383</v>
      </c>
      <c r="S23" s="110" t="s">
        <v>5384</v>
      </c>
      <c r="T23" s="122" t="s">
        <v>5385</v>
      </c>
      <c r="U23" s="110" t="s">
        <v>5386</v>
      </c>
      <c r="V23" s="122" t="s">
        <v>5387</v>
      </c>
      <c r="W23" s="110" t="s">
        <v>5388</v>
      </c>
      <c r="X23" s="122" t="s">
        <v>5389</v>
      </c>
      <c r="Y23" s="110" t="s">
        <v>5390</v>
      </c>
      <c r="Z23" s="122" t="s">
        <v>5391</v>
      </c>
      <c r="AA23" s="110" t="s">
        <v>5392</v>
      </c>
      <c r="AB23" s="122" t="s">
        <v>5393</v>
      </c>
      <c r="AC23" s="110" t="s">
        <v>5394</v>
      </c>
      <c r="AD23" s="122" t="s">
        <v>5395</v>
      </c>
      <c r="AE23" s="110" t="s">
        <v>5396</v>
      </c>
      <c r="AF23" s="122" t="s">
        <v>5397</v>
      </c>
      <c r="AG23" s="110" t="s">
        <v>5398</v>
      </c>
      <c r="AH23" s="122" t="s">
        <v>5399</v>
      </c>
      <c r="AI23" s="110" t="s">
        <v>5400</v>
      </c>
      <c r="AJ23" s="122" t="s">
        <v>5401</v>
      </c>
      <c r="AK23" s="110" t="s">
        <v>5402</v>
      </c>
      <c r="AL23" s="122" t="s">
        <v>5403</v>
      </c>
      <c r="AM23" s="201" t="s">
        <v>5404</v>
      </c>
      <c r="AN23" s="197" t="s">
        <v>5405</v>
      </c>
      <c r="AO23" s="2512" t="s">
        <v>5406</v>
      </c>
      <c r="AP23" s="2852" t="s">
        <v>5407</v>
      </c>
      <c r="AQ23" s="1843" t="s">
        <v>5408</v>
      </c>
      <c r="AR23" s="123" t="s">
        <v>5409</v>
      </c>
      <c r="AS23" s="123" t="s">
        <v>5410</v>
      </c>
      <c r="AT23" s="728" t="s">
        <v>5411</v>
      </c>
      <c r="AU23" s="123" t="s">
        <v>5412</v>
      </c>
      <c r="AV23" s="123" t="s">
        <v>5413</v>
      </c>
      <c r="AW23" s="806"/>
      <c r="AX23" s="806"/>
      <c r="AY23" s="806"/>
      <c r="AZ23" s="806"/>
      <c r="BA23" s="806"/>
      <c r="BB23" s="806"/>
      <c r="BC23" s="806"/>
      <c r="BD23" s="806"/>
      <c r="BE23" s="806"/>
      <c r="BF23" s="806"/>
      <c r="BG23" s="1191"/>
      <c r="BH23" s="1191"/>
      <c r="BY23" s="827"/>
      <c r="CB23" s="1445" t="str">
        <f t="shared" si="0"/>
        <v/>
      </c>
      <c r="CC23" s="1445" t="e">
        <f t="shared" si="1"/>
        <v>#VALUE!</v>
      </c>
      <c r="CD23" s="1445" t="str">
        <f t="shared" si="2"/>
        <v xml:space="preserve">* Las consejerías realizadas en Espacios amigables NO DEBEN ser mayor al Total. </v>
      </c>
      <c r="CE23" s="1445" t="e">
        <f t="shared" si="3"/>
        <v>#VALUE!</v>
      </c>
      <c r="CF23" s="1445"/>
      <c r="CG23" s="1445"/>
      <c r="CH23" s="1446">
        <f t="shared" si="4"/>
        <v>0</v>
      </c>
      <c r="CI23" s="1446" t="e">
        <f t="shared" si="5"/>
        <v>#VALUE!</v>
      </c>
      <c r="CJ23" s="1446">
        <f t="shared" si="6"/>
        <v>1</v>
      </c>
      <c r="CK23" s="1446" t="e">
        <f t="shared" si="7"/>
        <v>#VALUE!</v>
      </c>
      <c r="CL23" s="1443"/>
      <c r="CM23" s="1443"/>
      <c r="CN23" s="1443"/>
      <c r="CO23" s="1443"/>
      <c r="CP23" s="1443"/>
    </row>
    <row r="24" spans="1:94" ht="16.350000000000001" customHeight="1" x14ac:dyDescent="0.3">
      <c r="A24" s="7294" t="s">
        <v>5010</v>
      </c>
      <c r="B24" s="10135"/>
      <c r="C24" s="8201" t="s">
        <v>27</v>
      </c>
      <c r="D24" s="1336" t="s">
        <v>5369</v>
      </c>
      <c r="E24" s="1337" t="s">
        <v>5370</v>
      </c>
      <c r="F24" s="784" t="s">
        <v>5371</v>
      </c>
      <c r="G24" s="707" t="s">
        <v>5372</v>
      </c>
      <c r="H24" s="793" t="s">
        <v>5373</v>
      </c>
      <c r="I24" s="707" t="s">
        <v>5374</v>
      </c>
      <c r="J24" s="793" t="s">
        <v>5375</v>
      </c>
      <c r="K24" s="707" t="s">
        <v>5376</v>
      </c>
      <c r="L24" s="706" t="s">
        <v>5377</v>
      </c>
      <c r="M24" s="707" t="s">
        <v>5378</v>
      </c>
      <c r="N24" s="706" t="s">
        <v>5379</v>
      </c>
      <c r="O24" s="707" t="s">
        <v>5380</v>
      </c>
      <c r="P24" s="706" t="s">
        <v>5381</v>
      </c>
      <c r="Q24" s="707" t="s">
        <v>5382</v>
      </c>
      <c r="R24" s="706" t="s">
        <v>5383</v>
      </c>
      <c r="S24" s="707" t="s">
        <v>5384</v>
      </c>
      <c r="T24" s="706" t="s">
        <v>5385</v>
      </c>
      <c r="U24" s="707" t="s">
        <v>5386</v>
      </c>
      <c r="V24" s="706" t="s">
        <v>5387</v>
      </c>
      <c r="W24" s="707" t="s">
        <v>5388</v>
      </c>
      <c r="X24" s="706" t="s">
        <v>5389</v>
      </c>
      <c r="Y24" s="707" t="s">
        <v>5390</v>
      </c>
      <c r="Z24" s="706" t="s">
        <v>5391</v>
      </c>
      <c r="AA24" s="707" t="s">
        <v>5392</v>
      </c>
      <c r="AB24" s="706" t="s">
        <v>5393</v>
      </c>
      <c r="AC24" s="707" t="s">
        <v>5394</v>
      </c>
      <c r="AD24" s="706" t="s">
        <v>5395</v>
      </c>
      <c r="AE24" s="707" t="s">
        <v>5396</v>
      </c>
      <c r="AF24" s="706" t="s">
        <v>5397</v>
      </c>
      <c r="AG24" s="707" t="s">
        <v>5398</v>
      </c>
      <c r="AH24" s="706" t="s">
        <v>5399</v>
      </c>
      <c r="AI24" s="707" t="s">
        <v>5400</v>
      </c>
      <c r="AJ24" s="706" t="s">
        <v>5401</v>
      </c>
      <c r="AK24" s="707" t="s">
        <v>5402</v>
      </c>
      <c r="AL24" s="706" t="s">
        <v>5403</v>
      </c>
      <c r="AM24" s="125" t="s">
        <v>5404</v>
      </c>
      <c r="AN24" s="712" t="s">
        <v>5405</v>
      </c>
      <c r="AO24" s="2490" t="s">
        <v>5406</v>
      </c>
      <c r="AP24" s="2873" t="s">
        <v>5407</v>
      </c>
      <c r="AQ24" s="1636" t="s">
        <v>5408</v>
      </c>
      <c r="AR24" s="86" t="s">
        <v>5409</v>
      </c>
      <c r="AS24" s="86" t="s">
        <v>5410</v>
      </c>
      <c r="AT24" s="798" t="s">
        <v>5411</v>
      </c>
      <c r="AU24" s="86" t="s">
        <v>5412</v>
      </c>
      <c r="AV24" s="86" t="s">
        <v>5413</v>
      </c>
      <c r="AW24" s="806"/>
      <c r="AX24" s="806"/>
      <c r="AY24" s="806"/>
      <c r="AZ24" s="806"/>
      <c r="BA24" s="806"/>
      <c r="BB24" s="806"/>
      <c r="BC24" s="806"/>
      <c r="BD24" s="806"/>
      <c r="BE24" s="806"/>
      <c r="BF24" s="806"/>
      <c r="BG24" s="1191"/>
      <c r="BH24" s="1191"/>
      <c r="BY24" s="827"/>
      <c r="CB24" s="1445" t="str">
        <f t="shared" si="0"/>
        <v/>
      </c>
      <c r="CC24" s="1445" t="e">
        <f t="shared" si="1"/>
        <v>#VALUE!</v>
      </c>
      <c r="CD24" s="1445" t="str">
        <f t="shared" si="2"/>
        <v xml:space="preserve">* Las consejerías realizadas en Espacios amigables NO DEBEN ser mayor al Total. </v>
      </c>
      <c r="CE24" s="1445" t="e">
        <f t="shared" si="3"/>
        <v>#VALUE!</v>
      </c>
      <c r="CF24" s="1445"/>
      <c r="CG24" s="1445"/>
      <c r="CH24" s="1446">
        <f t="shared" si="4"/>
        <v>0</v>
      </c>
      <c r="CI24" s="1446" t="e">
        <f t="shared" si="5"/>
        <v>#VALUE!</v>
      </c>
      <c r="CJ24" s="1446">
        <f t="shared" si="6"/>
        <v>1</v>
      </c>
      <c r="CK24" s="1446" t="e">
        <f t="shared" si="7"/>
        <v>#VALUE!</v>
      </c>
      <c r="CL24" s="1443"/>
      <c r="CM24" s="1443"/>
      <c r="CN24" s="1443"/>
      <c r="CO24" s="1443"/>
      <c r="CP24" s="1443"/>
    </row>
    <row r="25" spans="1:94" ht="16.350000000000001" customHeight="1" x14ac:dyDescent="0.3">
      <c r="A25" s="7258">
        <v>19120301</v>
      </c>
      <c r="B25" s="8583" t="s">
        <v>824</v>
      </c>
      <c r="C25" s="778" t="s">
        <v>2590</v>
      </c>
      <c r="D25" s="1332" t="s">
        <v>5369</v>
      </c>
      <c r="E25" s="1333" t="s">
        <v>5370</v>
      </c>
      <c r="F25" s="787" t="s">
        <v>5371</v>
      </c>
      <c r="G25" s="791" t="s">
        <v>5372</v>
      </c>
      <c r="H25" s="571" t="s">
        <v>5373</v>
      </c>
      <c r="I25" s="527" t="s">
        <v>5374</v>
      </c>
      <c r="J25" s="525" t="s">
        <v>5375</v>
      </c>
      <c r="K25" s="527" t="s">
        <v>5376</v>
      </c>
      <c r="L25" s="761" t="s">
        <v>5377</v>
      </c>
      <c r="M25" s="527" t="s">
        <v>5378</v>
      </c>
      <c r="N25" s="761" t="s">
        <v>5379</v>
      </c>
      <c r="O25" s="527" t="s">
        <v>5380</v>
      </c>
      <c r="P25" s="761" t="s">
        <v>5381</v>
      </c>
      <c r="Q25" s="527" t="s">
        <v>5382</v>
      </c>
      <c r="R25" s="761" t="s">
        <v>5383</v>
      </c>
      <c r="S25" s="527" t="s">
        <v>5384</v>
      </c>
      <c r="T25" s="761" t="s">
        <v>5385</v>
      </c>
      <c r="U25" s="527" t="s">
        <v>5386</v>
      </c>
      <c r="V25" s="761" t="s">
        <v>5387</v>
      </c>
      <c r="W25" s="527" t="s">
        <v>5388</v>
      </c>
      <c r="X25" s="761" t="s">
        <v>5389</v>
      </c>
      <c r="Y25" s="527" t="s">
        <v>5390</v>
      </c>
      <c r="Z25" s="761" t="s">
        <v>5391</v>
      </c>
      <c r="AA25" s="527" t="s">
        <v>5392</v>
      </c>
      <c r="AB25" s="761" t="s">
        <v>5393</v>
      </c>
      <c r="AC25" s="527" t="s">
        <v>5394</v>
      </c>
      <c r="AD25" s="761" t="s">
        <v>5395</v>
      </c>
      <c r="AE25" s="527" t="s">
        <v>5396</v>
      </c>
      <c r="AF25" s="761" t="s">
        <v>5397</v>
      </c>
      <c r="AG25" s="527" t="s">
        <v>5398</v>
      </c>
      <c r="AH25" s="761" t="s">
        <v>5399</v>
      </c>
      <c r="AI25" s="527" t="s">
        <v>5400</v>
      </c>
      <c r="AJ25" s="761" t="s">
        <v>5401</v>
      </c>
      <c r="AK25" s="527" t="s">
        <v>5402</v>
      </c>
      <c r="AL25" s="761" t="s">
        <v>5403</v>
      </c>
      <c r="AM25" s="762" t="s">
        <v>5404</v>
      </c>
      <c r="AN25" s="759" t="s">
        <v>5405</v>
      </c>
      <c r="AO25" s="2449" t="s">
        <v>5406</v>
      </c>
      <c r="AP25" s="2949" t="s">
        <v>5407</v>
      </c>
      <c r="AQ25" s="1848" t="s">
        <v>5408</v>
      </c>
      <c r="AR25" s="694" t="s">
        <v>5409</v>
      </c>
      <c r="AS25" s="694" t="s">
        <v>5410</v>
      </c>
      <c r="AT25" s="799" t="s">
        <v>5411</v>
      </c>
      <c r="AU25" s="91" t="s">
        <v>5412</v>
      </c>
      <c r="AV25" s="91" t="s">
        <v>5413</v>
      </c>
      <c r="AW25" s="806"/>
      <c r="AX25" s="806"/>
      <c r="AY25" s="806"/>
      <c r="AZ25" s="806"/>
      <c r="BA25" s="806"/>
      <c r="BB25" s="806"/>
      <c r="BC25" s="806"/>
      <c r="BD25" s="806"/>
      <c r="BE25" s="806"/>
      <c r="BF25" s="806"/>
      <c r="BG25" s="1191"/>
      <c r="BH25" s="1191"/>
      <c r="BY25" s="827"/>
      <c r="CB25" s="1445" t="str">
        <f t="shared" si="0"/>
        <v/>
      </c>
      <c r="CC25" s="1445" t="e">
        <f t="shared" si="1"/>
        <v>#VALUE!</v>
      </c>
      <c r="CD25" s="1445" t="str">
        <f t="shared" si="2"/>
        <v xml:space="preserve">* Las consejerías realizadas en Espacios amigables NO DEBEN ser mayor al Total. </v>
      </c>
      <c r="CE25" s="1445" t="e">
        <f t="shared" si="3"/>
        <v>#VALUE!</v>
      </c>
      <c r="CF25" s="1445"/>
      <c r="CG25" s="1445"/>
      <c r="CH25" s="1446">
        <f t="shared" si="4"/>
        <v>0</v>
      </c>
      <c r="CI25" s="1446" t="e">
        <f t="shared" si="5"/>
        <v>#VALUE!</v>
      </c>
      <c r="CJ25" s="1446">
        <f t="shared" si="6"/>
        <v>1</v>
      </c>
      <c r="CK25" s="1446" t="e">
        <f t="shared" si="7"/>
        <v>#VALUE!</v>
      </c>
      <c r="CL25" s="1443"/>
      <c r="CM25" s="1443"/>
      <c r="CN25" s="1443"/>
      <c r="CO25" s="1443"/>
      <c r="CP25" s="1443"/>
    </row>
    <row r="26" spans="1:94" ht="16.350000000000001" customHeight="1" x14ac:dyDescent="0.3">
      <c r="A26" s="7258">
        <v>19120302</v>
      </c>
      <c r="B26" s="8555"/>
      <c r="C26" s="135" t="s">
        <v>23</v>
      </c>
      <c r="D26" s="323" t="s">
        <v>5369</v>
      </c>
      <c r="E26" s="324" t="s">
        <v>5370</v>
      </c>
      <c r="F26" s="786" t="s">
        <v>5371</v>
      </c>
      <c r="G26" s="93" t="s">
        <v>5372</v>
      </c>
      <c r="H26" s="170" t="s">
        <v>5373</v>
      </c>
      <c r="I26" s="110" t="s">
        <v>5374</v>
      </c>
      <c r="J26" s="144" t="s">
        <v>5375</v>
      </c>
      <c r="K26" s="110" t="s">
        <v>5376</v>
      </c>
      <c r="L26" s="122" t="s">
        <v>5377</v>
      </c>
      <c r="M26" s="110" t="s">
        <v>5378</v>
      </c>
      <c r="N26" s="122" t="s">
        <v>5379</v>
      </c>
      <c r="O26" s="110" t="s">
        <v>5380</v>
      </c>
      <c r="P26" s="122" t="s">
        <v>5381</v>
      </c>
      <c r="Q26" s="110" t="s">
        <v>5382</v>
      </c>
      <c r="R26" s="122" t="s">
        <v>5383</v>
      </c>
      <c r="S26" s="110" t="s">
        <v>5384</v>
      </c>
      <c r="T26" s="122" t="s">
        <v>5385</v>
      </c>
      <c r="U26" s="110" t="s">
        <v>5386</v>
      </c>
      <c r="V26" s="122" t="s">
        <v>5387</v>
      </c>
      <c r="W26" s="110" t="s">
        <v>5388</v>
      </c>
      <c r="X26" s="122" t="s">
        <v>5389</v>
      </c>
      <c r="Y26" s="110" t="s">
        <v>5390</v>
      </c>
      <c r="Z26" s="122" t="s">
        <v>5391</v>
      </c>
      <c r="AA26" s="110" t="s">
        <v>5392</v>
      </c>
      <c r="AB26" s="122" t="s">
        <v>5393</v>
      </c>
      <c r="AC26" s="110" t="s">
        <v>5394</v>
      </c>
      <c r="AD26" s="122" t="s">
        <v>5395</v>
      </c>
      <c r="AE26" s="110" t="s">
        <v>5396</v>
      </c>
      <c r="AF26" s="122" t="s">
        <v>5397</v>
      </c>
      <c r="AG26" s="110" t="s">
        <v>5398</v>
      </c>
      <c r="AH26" s="122" t="s">
        <v>5399</v>
      </c>
      <c r="AI26" s="110" t="s">
        <v>5400</v>
      </c>
      <c r="AJ26" s="122" t="s">
        <v>5401</v>
      </c>
      <c r="AK26" s="110" t="s">
        <v>5402</v>
      </c>
      <c r="AL26" s="122" t="s">
        <v>5403</v>
      </c>
      <c r="AM26" s="157" t="s">
        <v>5404</v>
      </c>
      <c r="AN26" s="197" t="s">
        <v>5405</v>
      </c>
      <c r="AO26" s="2512" t="s">
        <v>5406</v>
      </c>
      <c r="AP26" s="2852" t="s">
        <v>5407</v>
      </c>
      <c r="AQ26" s="1843" t="s">
        <v>5408</v>
      </c>
      <c r="AR26" s="123" t="s">
        <v>5409</v>
      </c>
      <c r="AS26" s="123" t="s">
        <v>5410</v>
      </c>
      <c r="AT26" s="728" t="s">
        <v>5411</v>
      </c>
      <c r="AU26" s="123" t="s">
        <v>5412</v>
      </c>
      <c r="AV26" s="123" t="s">
        <v>5413</v>
      </c>
      <c r="AW26" s="806"/>
      <c r="AX26" s="806"/>
      <c r="AY26" s="806"/>
      <c r="AZ26" s="806"/>
      <c r="BA26" s="806"/>
      <c r="BB26" s="806"/>
      <c r="BC26" s="806"/>
      <c r="BD26" s="806"/>
      <c r="BE26" s="806"/>
      <c r="BF26" s="806"/>
      <c r="BG26" s="1191"/>
      <c r="BH26" s="1191"/>
      <c r="BY26" s="827"/>
      <c r="CB26" s="1445" t="str">
        <f t="shared" si="0"/>
        <v/>
      </c>
      <c r="CC26" s="1445" t="e">
        <f t="shared" si="1"/>
        <v>#VALUE!</v>
      </c>
      <c r="CD26" s="1445" t="str">
        <f t="shared" si="2"/>
        <v xml:space="preserve">* Las consejerías realizadas en Espacios amigables NO DEBEN ser mayor al Total. </v>
      </c>
      <c r="CE26" s="1445" t="e">
        <f t="shared" si="3"/>
        <v>#VALUE!</v>
      </c>
      <c r="CF26" s="1445"/>
      <c r="CG26" s="1445"/>
      <c r="CH26" s="1446">
        <f t="shared" si="4"/>
        <v>0</v>
      </c>
      <c r="CI26" s="1446" t="e">
        <f t="shared" si="5"/>
        <v>#VALUE!</v>
      </c>
      <c r="CJ26" s="1446">
        <f t="shared" si="6"/>
        <v>1</v>
      </c>
      <c r="CK26" s="1446" t="e">
        <f t="shared" si="7"/>
        <v>#VALUE!</v>
      </c>
      <c r="CL26" s="1443"/>
      <c r="CM26" s="1443"/>
      <c r="CN26" s="1443"/>
      <c r="CO26" s="1443"/>
      <c r="CP26" s="1443"/>
    </row>
    <row r="27" spans="1:94" ht="16.350000000000001" customHeight="1" x14ac:dyDescent="0.3">
      <c r="A27" s="7258">
        <v>19120303</v>
      </c>
      <c r="B27" s="8555"/>
      <c r="C27" s="135" t="s">
        <v>20</v>
      </c>
      <c r="D27" s="323" t="s">
        <v>5369</v>
      </c>
      <c r="E27" s="324" t="s">
        <v>5370</v>
      </c>
      <c r="F27" s="786" t="s">
        <v>5371</v>
      </c>
      <c r="G27" s="93" t="s">
        <v>5372</v>
      </c>
      <c r="H27" s="170" t="s">
        <v>5373</v>
      </c>
      <c r="I27" s="110" t="s">
        <v>5374</v>
      </c>
      <c r="J27" s="144" t="s">
        <v>5375</v>
      </c>
      <c r="K27" s="110" t="s">
        <v>5376</v>
      </c>
      <c r="L27" s="122" t="s">
        <v>5377</v>
      </c>
      <c r="M27" s="110" t="s">
        <v>5378</v>
      </c>
      <c r="N27" s="122" t="s">
        <v>5379</v>
      </c>
      <c r="O27" s="110" t="s">
        <v>5380</v>
      </c>
      <c r="P27" s="122" t="s">
        <v>5381</v>
      </c>
      <c r="Q27" s="110" t="s">
        <v>5382</v>
      </c>
      <c r="R27" s="122" t="s">
        <v>5383</v>
      </c>
      <c r="S27" s="110" t="s">
        <v>5384</v>
      </c>
      <c r="T27" s="122" t="s">
        <v>5385</v>
      </c>
      <c r="U27" s="110" t="s">
        <v>5386</v>
      </c>
      <c r="V27" s="122" t="s">
        <v>5387</v>
      </c>
      <c r="W27" s="110" t="s">
        <v>5388</v>
      </c>
      <c r="X27" s="122" t="s">
        <v>5389</v>
      </c>
      <c r="Y27" s="110" t="s">
        <v>5390</v>
      </c>
      <c r="Z27" s="122" t="s">
        <v>5391</v>
      </c>
      <c r="AA27" s="110" t="s">
        <v>5392</v>
      </c>
      <c r="AB27" s="122" t="s">
        <v>5393</v>
      </c>
      <c r="AC27" s="110" t="s">
        <v>5394</v>
      </c>
      <c r="AD27" s="122" t="s">
        <v>5395</v>
      </c>
      <c r="AE27" s="110" t="s">
        <v>5396</v>
      </c>
      <c r="AF27" s="122" t="s">
        <v>5397</v>
      </c>
      <c r="AG27" s="110" t="s">
        <v>5398</v>
      </c>
      <c r="AH27" s="122" t="s">
        <v>5399</v>
      </c>
      <c r="AI27" s="110" t="s">
        <v>5400</v>
      </c>
      <c r="AJ27" s="122" t="s">
        <v>5401</v>
      </c>
      <c r="AK27" s="110" t="s">
        <v>5402</v>
      </c>
      <c r="AL27" s="122" t="s">
        <v>5403</v>
      </c>
      <c r="AM27" s="157" t="s">
        <v>5404</v>
      </c>
      <c r="AN27" s="197" t="s">
        <v>5405</v>
      </c>
      <c r="AO27" s="2512" t="s">
        <v>5406</v>
      </c>
      <c r="AP27" s="2852" t="s">
        <v>5407</v>
      </c>
      <c r="AQ27" s="1843" t="s">
        <v>5408</v>
      </c>
      <c r="AR27" s="123" t="s">
        <v>5409</v>
      </c>
      <c r="AS27" s="123" t="s">
        <v>5410</v>
      </c>
      <c r="AT27" s="728" t="s">
        <v>5411</v>
      </c>
      <c r="AU27" s="123" t="s">
        <v>5412</v>
      </c>
      <c r="AV27" s="123" t="s">
        <v>5413</v>
      </c>
      <c r="AW27" s="806"/>
      <c r="AX27" s="806"/>
      <c r="AY27" s="806"/>
      <c r="AZ27" s="806"/>
      <c r="BA27" s="806"/>
      <c r="BB27" s="806"/>
      <c r="BC27" s="806"/>
      <c r="BD27" s="806"/>
      <c r="BE27" s="806"/>
      <c r="BF27" s="806"/>
      <c r="BG27" s="1191"/>
      <c r="BH27" s="1191"/>
      <c r="BY27" s="827"/>
      <c r="CB27" s="1445" t="str">
        <f t="shared" si="0"/>
        <v/>
      </c>
      <c r="CC27" s="1445" t="e">
        <f t="shared" si="1"/>
        <v>#VALUE!</v>
      </c>
      <c r="CD27" s="1445" t="str">
        <f t="shared" si="2"/>
        <v xml:space="preserve">* Las consejerías realizadas en Espacios amigables NO DEBEN ser mayor al Total. </v>
      </c>
      <c r="CE27" s="1445" t="e">
        <f t="shared" si="3"/>
        <v>#VALUE!</v>
      </c>
      <c r="CF27" s="1445"/>
      <c r="CG27" s="1445"/>
      <c r="CH27" s="1446">
        <f t="shared" si="4"/>
        <v>0</v>
      </c>
      <c r="CI27" s="1446" t="e">
        <f t="shared" si="5"/>
        <v>#VALUE!</v>
      </c>
      <c r="CJ27" s="1446">
        <f t="shared" si="6"/>
        <v>1</v>
      </c>
      <c r="CK27" s="1446" t="e">
        <f t="shared" si="7"/>
        <v>#VALUE!</v>
      </c>
      <c r="CL27" s="1443"/>
      <c r="CM27" s="1443"/>
      <c r="CN27" s="1443"/>
      <c r="CO27" s="1443"/>
      <c r="CP27" s="1443"/>
    </row>
    <row r="28" spans="1:94" ht="16.350000000000001" customHeight="1" x14ac:dyDescent="0.3">
      <c r="A28" s="7258">
        <v>19120304</v>
      </c>
      <c r="B28" s="8555"/>
      <c r="C28" s="135" t="s">
        <v>26</v>
      </c>
      <c r="D28" s="323" t="s">
        <v>5369</v>
      </c>
      <c r="E28" s="324" t="s">
        <v>5370</v>
      </c>
      <c r="F28" s="786" t="s">
        <v>5371</v>
      </c>
      <c r="G28" s="93" t="s">
        <v>5372</v>
      </c>
      <c r="H28" s="170" t="s">
        <v>5373</v>
      </c>
      <c r="I28" s="110" t="s">
        <v>5374</v>
      </c>
      <c r="J28" s="144" t="s">
        <v>5375</v>
      </c>
      <c r="K28" s="110" t="s">
        <v>5376</v>
      </c>
      <c r="L28" s="122" t="s">
        <v>5377</v>
      </c>
      <c r="M28" s="110" t="s">
        <v>5378</v>
      </c>
      <c r="N28" s="122" t="s">
        <v>5379</v>
      </c>
      <c r="O28" s="110" t="s">
        <v>5380</v>
      </c>
      <c r="P28" s="122" t="s">
        <v>5381</v>
      </c>
      <c r="Q28" s="110" t="s">
        <v>5382</v>
      </c>
      <c r="R28" s="122" t="s">
        <v>5383</v>
      </c>
      <c r="S28" s="110" t="s">
        <v>5384</v>
      </c>
      <c r="T28" s="122" t="s">
        <v>5385</v>
      </c>
      <c r="U28" s="110" t="s">
        <v>5386</v>
      </c>
      <c r="V28" s="122" t="s">
        <v>5387</v>
      </c>
      <c r="W28" s="110" t="s">
        <v>5388</v>
      </c>
      <c r="X28" s="122" t="s">
        <v>5389</v>
      </c>
      <c r="Y28" s="110" t="s">
        <v>5390</v>
      </c>
      <c r="Z28" s="122" t="s">
        <v>5391</v>
      </c>
      <c r="AA28" s="110" t="s">
        <v>5392</v>
      </c>
      <c r="AB28" s="122" t="s">
        <v>5393</v>
      </c>
      <c r="AC28" s="110" t="s">
        <v>5394</v>
      </c>
      <c r="AD28" s="122" t="s">
        <v>5395</v>
      </c>
      <c r="AE28" s="110" t="s">
        <v>5396</v>
      </c>
      <c r="AF28" s="122" t="s">
        <v>5397</v>
      </c>
      <c r="AG28" s="110" t="s">
        <v>5398</v>
      </c>
      <c r="AH28" s="122" t="s">
        <v>5399</v>
      </c>
      <c r="AI28" s="110" t="s">
        <v>5400</v>
      </c>
      <c r="AJ28" s="122" t="s">
        <v>5401</v>
      </c>
      <c r="AK28" s="110" t="s">
        <v>5402</v>
      </c>
      <c r="AL28" s="122" t="s">
        <v>5403</v>
      </c>
      <c r="AM28" s="157" t="s">
        <v>5404</v>
      </c>
      <c r="AN28" s="197" t="s">
        <v>5405</v>
      </c>
      <c r="AO28" s="2512" t="s">
        <v>5406</v>
      </c>
      <c r="AP28" s="2852" t="s">
        <v>5407</v>
      </c>
      <c r="AQ28" s="1843" t="s">
        <v>5408</v>
      </c>
      <c r="AR28" s="123" t="s">
        <v>5409</v>
      </c>
      <c r="AS28" s="123" t="s">
        <v>5410</v>
      </c>
      <c r="AT28" s="728" t="s">
        <v>5411</v>
      </c>
      <c r="AU28" s="123" t="s">
        <v>5412</v>
      </c>
      <c r="AV28" s="123" t="s">
        <v>5413</v>
      </c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1191"/>
      <c r="BH28" s="1191"/>
      <c r="BY28" s="827"/>
      <c r="CB28" s="1445" t="str">
        <f t="shared" si="0"/>
        <v/>
      </c>
      <c r="CC28" s="1445" t="e">
        <f t="shared" si="1"/>
        <v>#VALUE!</v>
      </c>
      <c r="CD28" s="1445" t="str">
        <f t="shared" si="2"/>
        <v xml:space="preserve">* Las consejerías realizadas en Espacios amigables NO DEBEN ser mayor al Total. </v>
      </c>
      <c r="CE28" s="1445" t="e">
        <f t="shared" si="3"/>
        <v>#VALUE!</v>
      </c>
      <c r="CF28" s="1445"/>
      <c r="CG28" s="1445"/>
      <c r="CH28" s="1446">
        <f t="shared" si="4"/>
        <v>0</v>
      </c>
      <c r="CI28" s="1446" t="e">
        <f t="shared" si="5"/>
        <v>#VALUE!</v>
      </c>
      <c r="CJ28" s="1446">
        <f t="shared" si="6"/>
        <v>1</v>
      </c>
      <c r="CK28" s="1446" t="e">
        <f t="shared" si="7"/>
        <v>#VALUE!</v>
      </c>
      <c r="CL28" s="1443"/>
      <c r="CM28" s="1443"/>
      <c r="CN28" s="1443"/>
      <c r="CO28" s="1443"/>
      <c r="CP28" s="1443"/>
    </row>
    <row r="29" spans="1:94" ht="16.350000000000001" customHeight="1" x14ac:dyDescent="0.3">
      <c r="A29" s="7258">
        <v>19120306</v>
      </c>
      <c r="B29" s="8555"/>
      <c r="C29" s="135" t="s">
        <v>2597</v>
      </c>
      <c r="D29" s="323" t="s">
        <v>5369</v>
      </c>
      <c r="E29" s="324" t="s">
        <v>5370</v>
      </c>
      <c r="F29" s="786" t="s">
        <v>5371</v>
      </c>
      <c r="G29" s="93" t="s">
        <v>5372</v>
      </c>
      <c r="H29" s="170" t="s">
        <v>5373</v>
      </c>
      <c r="I29" s="110" t="s">
        <v>5374</v>
      </c>
      <c r="J29" s="144" t="s">
        <v>5375</v>
      </c>
      <c r="K29" s="110" t="s">
        <v>5376</v>
      </c>
      <c r="L29" s="122" t="s">
        <v>5377</v>
      </c>
      <c r="M29" s="110" t="s">
        <v>5378</v>
      </c>
      <c r="N29" s="122" t="s">
        <v>5379</v>
      </c>
      <c r="O29" s="110" t="s">
        <v>5380</v>
      </c>
      <c r="P29" s="122" t="s">
        <v>5381</v>
      </c>
      <c r="Q29" s="110" t="s">
        <v>5382</v>
      </c>
      <c r="R29" s="122" t="s">
        <v>5383</v>
      </c>
      <c r="S29" s="110" t="s">
        <v>5384</v>
      </c>
      <c r="T29" s="122" t="s">
        <v>5385</v>
      </c>
      <c r="U29" s="110" t="s">
        <v>5386</v>
      </c>
      <c r="V29" s="122" t="s">
        <v>5387</v>
      </c>
      <c r="W29" s="110" t="s">
        <v>5388</v>
      </c>
      <c r="X29" s="122" t="s">
        <v>5389</v>
      </c>
      <c r="Y29" s="110" t="s">
        <v>5390</v>
      </c>
      <c r="Z29" s="122" t="s">
        <v>5391</v>
      </c>
      <c r="AA29" s="110" t="s">
        <v>5392</v>
      </c>
      <c r="AB29" s="122" t="s">
        <v>5393</v>
      </c>
      <c r="AC29" s="110" t="s">
        <v>5394</v>
      </c>
      <c r="AD29" s="122" t="s">
        <v>5395</v>
      </c>
      <c r="AE29" s="110" t="s">
        <v>5396</v>
      </c>
      <c r="AF29" s="122" t="s">
        <v>5397</v>
      </c>
      <c r="AG29" s="110" t="s">
        <v>5398</v>
      </c>
      <c r="AH29" s="122" t="s">
        <v>5399</v>
      </c>
      <c r="AI29" s="110" t="s">
        <v>5400</v>
      </c>
      <c r="AJ29" s="122" t="s">
        <v>5401</v>
      </c>
      <c r="AK29" s="110" t="s">
        <v>5402</v>
      </c>
      <c r="AL29" s="122" t="s">
        <v>5403</v>
      </c>
      <c r="AM29" s="157" t="s">
        <v>5404</v>
      </c>
      <c r="AN29" s="197" t="s">
        <v>5405</v>
      </c>
      <c r="AO29" s="2512" t="s">
        <v>5406</v>
      </c>
      <c r="AP29" s="2852" t="s">
        <v>5407</v>
      </c>
      <c r="AQ29" s="1843" t="s">
        <v>5408</v>
      </c>
      <c r="AR29" s="123" t="s">
        <v>5409</v>
      </c>
      <c r="AS29" s="123" t="s">
        <v>5410</v>
      </c>
      <c r="AT29" s="728" t="s">
        <v>5411</v>
      </c>
      <c r="AU29" s="123" t="s">
        <v>5412</v>
      </c>
      <c r="AV29" s="123" t="s">
        <v>5413</v>
      </c>
      <c r="AW29" s="806"/>
      <c r="AX29" s="806"/>
      <c r="AY29" s="806"/>
      <c r="AZ29" s="806"/>
      <c r="BA29" s="806"/>
      <c r="BB29" s="806"/>
      <c r="BC29" s="806"/>
      <c r="BD29" s="806"/>
      <c r="BE29" s="806"/>
      <c r="BF29" s="806"/>
      <c r="BG29" s="1191"/>
      <c r="BH29" s="1191"/>
      <c r="BY29" s="827"/>
      <c r="CB29" s="1445" t="str">
        <f t="shared" si="0"/>
        <v/>
      </c>
      <c r="CC29" s="1445" t="e">
        <f t="shared" si="1"/>
        <v>#VALUE!</v>
      </c>
      <c r="CD29" s="1445" t="str">
        <f t="shared" si="2"/>
        <v xml:space="preserve">* Las consejerías realizadas en Espacios amigables NO DEBEN ser mayor al Total. </v>
      </c>
      <c r="CE29" s="1445" t="e">
        <f t="shared" si="3"/>
        <v>#VALUE!</v>
      </c>
      <c r="CF29" s="1445"/>
      <c r="CG29" s="1445"/>
      <c r="CH29" s="1446">
        <f t="shared" si="4"/>
        <v>0</v>
      </c>
      <c r="CI29" s="1446" t="e">
        <f t="shared" si="5"/>
        <v>#VALUE!</v>
      </c>
      <c r="CJ29" s="1446">
        <f t="shared" si="6"/>
        <v>1</v>
      </c>
      <c r="CK29" s="1446" t="e">
        <f t="shared" si="7"/>
        <v>#VALUE!</v>
      </c>
      <c r="CL29" s="1443"/>
      <c r="CM29" s="1443"/>
      <c r="CN29" s="1443"/>
      <c r="CO29" s="1443"/>
      <c r="CP29" s="1443"/>
    </row>
    <row r="30" spans="1:94" ht="16.350000000000001" customHeight="1" x14ac:dyDescent="0.3">
      <c r="A30" s="7258">
        <v>19120308</v>
      </c>
      <c r="B30" s="8555"/>
      <c r="C30" s="135" t="s">
        <v>1267</v>
      </c>
      <c r="D30" s="323" t="s">
        <v>5369</v>
      </c>
      <c r="E30" s="324" t="s">
        <v>5370</v>
      </c>
      <c r="F30" s="786" t="s">
        <v>5371</v>
      </c>
      <c r="G30" s="93" t="s">
        <v>5372</v>
      </c>
      <c r="H30" s="170" t="s">
        <v>5373</v>
      </c>
      <c r="I30" s="110" t="s">
        <v>5374</v>
      </c>
      <c r="J30" s="144" t="s">
        <v>5375</v>
      </c>
      <c r="K30" s="110" t="s">
        <v>5376</v>
      </c>
      <c r="L30" s="122" t="s">
        <v>5377</v>
      </c>
      <c r="M30" s="110" t="s">
        <v>5378</v>
      </c>
      <c r="N30" s="122" t="s">
        <v>5379</v>
      </c>
      <c r="O30" s="110" t="s">
        <v>5380</v>
      </c>
      <c r="P30" s="122" t="s">
        <v>5381</v>
      </c>
      <c r="Q30" s="110" t="s">
        <v>5382</v>
      </c>
      <c r="R30" s="122" t="s">
        <v>5383</v>
      </c>
      <c r="S30" s="110" t="s">
        <v>5384</v>
      </c>
      <c r="T30" s="122" t="s">
        <v>5385</v>
      </c>
      <c r="U30" s="110" t="s">
        <v>5386</v>
      </c>
      <c r="V30" s="122" t="s">
        <v>5387</v>
      </c>
      <c r="W30" s="110" t="s">
        <v>5388</v>
      </c>
      <c r="X30" s="122" t="s">
        <v>5389</v>
      </c>
      <c r="Y30" s="110" t="s">
        <v>5390</v>
      </c>
      <c r="Z30" s="122" t="s">
        <v>5391</v>
      </c>
      <c r="AA30" s="110" t="s">
        <v>5392</v>
      </c>
      <c r="AB30" s="122" t="s">
        <v>5393</v>
      </c>
      <c r="AC30" s="110" t="s">
        <v>5394</v>
      </c>
      <c r="AD30" s="122" t="s">
        <v>5395</v>
      </c>
      <c r="AE30" s="110" t="s">
        <v>5396</v>
      </c>
      <c r="AF30" s="122" t="s">
        <v>5397</v>
      </c>
      <c r="AG30" s="110" t="s">
        <v>5398</v>
      </c>
      <c r="AH30" s="122" t="s">
        <v>5399</v>
      </c>
      <c r="AI30" s="110" t="s">
        <v>5400</v>
      </c>
      <c r="AJ30" s="122" t="s">
        <v>5401</v>
      </c>
      <c r="AK30" s="110" t="s">
        <v>5402</v>
      </c>
      <c r="AL30" s="122" t="s">
        <v>5403</v>
      </c>
      <c r="AM30" s="157" t="s">
        <v>5404</v>
      </c>
      <c r="AN30" s="197" t="s">
        <v>5405</v>
      </c>
      <c r="AO30" s="2512" t="s">
        <v>5406</v>
      </c>
      <c r="AP30" s="2852" t="s">
        <v>5407</v>
      </c>
      <c r="AQ30" s="1843" t="s">
        <v>5408</v>
      </c>
      <c r="AR30" s="123" t="s">
        <v>5409</v>
      </c>
      <c r="AS30" s="123" t="s">
        <v>5410</v>
      </c>
      <c r="AT30" s="728" t="s">
        <v>5411</v>
      </c>
      <c r="AU30" s="123" t="s">
        <v>5412</v>
      </c>
      <c r="AV30" s="123" t="s">
        <v>5413</v>
      </c>
      <c r="AW30" s="806"/>
      <c r="AX30" s="806"/>
      <c r="AY30" s="806"/>
      <c r="AZ30" s="806"/>
      <c r="BA30" s="806"/>
      <c r="BB30" s="806"/>
      <c r="BC30" s="806"/>
      <c r="BD30" s="806"/>
      <c r="BE30" s="806"/>
      <c r="BF30" s="806"/>
      <c r="BG30" s="1191"/>
      <c r="BH30" s="1191"/>
      <c r="BY30" s="827"/>
      <c r="CB30" s="1445" t="str">
        <f t="shared" si="0"/>
        <v/>
      </c>
      <c r="CC30" s="1445" t="e">
        <f t="shared" si="1"/>
        <v>#VALUE!</v>
      </c>
      <c r="CD30" s="1445" t="str">
        <f t="shared" si="2"/>
        <v xml:space="preserve">* Las consejerías realizadas en Espacios amigables NO DEBEN ser mayor al Total. </v>
      </c>
      <c r="CE30" s="1445" t="e">
        <f t="shared" si="3"/>
        <v>#VALUE!</v>
      </c>
      <c r="CF30" s="1445"/>
      <c r="CG30" s="1445"/>
      <c r="CH30" s="1446">
        <f t="shared" si="4"/>
        <v>0</v>
      </c>
      <c r="CI30" s="1446" t="e">
        <f t="shared" si="5"/>
        <v>#VALUE!</v>
      </c>
      <c r="CJ30" s="1446">
        <f t="shared" si="6"/>
        <v>1</v>
      </c>
      <c r="CK30" s="1446" t="e">
        <f t="shared" si="7"/>
        <v>#VALUE!</v>
      </c>
      <c r="CL30" s="1443"/>
      <c r="CM30" s="1443"/>
      <c r="CN30" s="1443"/>
      <c r="CO30" s="1443"/>
      <c r="CP30" s="1443"/>
    </row>
    <row r="31" spans="1:94" ht="16.350000000000001" customHeight="1" x14ac:dyDescent="0.3">
      <c r="A31" s="7258">
        <v>19120310</v>
      </c>
      <c r="B31" s="8555"/>
      <c r="C31" s="135" t="s">
        <v>1016</v>
      </c>
      <c r="D31" s="323" t="s">
        <v>5369</v>
      </c>
      <c r="E31" s="324" t="s">
        <v>5370</v>
      </c>
      <c r="F31" s="786" t="s">
        <v>5371</v>
      </c>
      <c r="G31" s="93" t="s">
        <v>5372</v>
      </c>
      <c r="H31" s="170" t="s">
        <v>5373</v>
      </c>
      <c r="I31" s="110" t="s">
        <v>5374</v>
      </c>
      <c r="J31" s="144" t="s">
        <v>5375</v>
      </c>
      <c r="K31" s="110" t="s">
        <v>5376</v>
      </c>
      <c r="L31" s="122" t="s">
        <v>5377</v>
      </c>
      <c r="M31" s="110" t="s">
        <v>5378</v>
      </c>
      <c r="N31" s="122" t="s">
        <v>5379</v>
      </c>
      <c r="O31" s="110" t="s">
        <v>5380</v>
      </c>
      <c r="P31" s="122" t="s">
        <v>5381</v>
      </c>
      <c r="Q31" s="110" t="s">
        <v>5382</v>
      </c>
      <c r="R31" s="122" t="s">
        <v>5383</v>
      </c>
      <c r="S31" s="110" t="s">
        <v>5384</v>
      </c>
      <c r="T31" s="122" t="s">
        <v>5385</v>
      </c>
      <c r="U31" s="110" t="s">
        <v>5386</v>
      </c>
      <c r="V31" s="122" t="s">
        <v>5387</v>
      </c>
      <c r="W31" s="110" t="s">
        <v>5388</v>
      </c>
      <c r="X31" s="122" t="s">
        <v>5389</v>
      </c>
      <c r="Y31" s="110" t="s">
        <v>5390</v>
      </c>
      <c r="Z31" s="122" t="s">
        <v>5391</v>
      </c>
      <c r="AA31" s="110" t="s">
        <v>5392</v>
      </c>
      <c r="AB31" s="122" t="s">
        <v>5393</v>
      </c>
      <c r="AC31" s="110" t="s">
        <v>5394</v>
      </c>
      <c r="AD31" s="122" t="s">
        <v>5395</v>
      </c>
      <c r="AE31" s="110" t="s">
        <v>5396</v>
      </c>
      <c r="AF31" s="122" t="s">
        <v>5397</v>
      </c>
      <c r="AG31" s="110" t="s">
        <v>5398</v>
      </c>
      <c r="AH31" s="122" t="s">
        <v>5399</v>
      </c>
      <c r="AI31" s="110" t="s">
        <v>5400</v>
      </c>
      <c r="AJ31" s="122" t="s">
        <v>5401</v>
      </c>
      <c r="AK31" s="110" t="s">
        <v>5402</v>
      </c>
      <c r="AL31" s="122" t="s">
        <v>5403</v>
      </c>
      <c r="AM31" s="157" t="s">
        <v>5404</v>
      </c>
      <c r="AN31" s="197" t="s">
        <v>5405</v>
      </c>
      <c r="AO31" s="2512" t="s">
        <v>5406</v>
      </c>
      <c r="AP31" s="2852" t="s">
        <v>5407</v>
      </c>
      <c r="AQ31" s="1843" t="s">
        <v>5408</v>
      </c>
      <c r="AR31" s="123" t="s">
        <v>5409</v>
      </c>
      <c r="AS31" s="123" t="s">
        <v>5410</v>
      </c>
      <c r="AT31" s="728" t="s">
        <v>5411</v>
      </c>
      <c r="AU31" s="123" t="s">
        <v>5412</v>
      </c>
      <c r="AV31" s="123" t="s">
        <v>5413</v>
      </c>
      <c r="AW31" s="806"/>
      <c r="AX31" s="806"/>
      <c r="AY31" s="806"/>
      <c r="AZ31" s="806"/>
      <c r="BA31" s="806"/>
      <c r="BB31" s="806"/>
      <c r="BC31" s="806"/>
      <c r="BD31" s="806"/>
      <c r="BE31" s="806"/>
      <c r="BF31" s="806"/>
      <c r="BG31" s="1191"/>
      <c r="BH31" s="1191"/>
      <c r="BY31" s="827"/>
      <c r="CB31" s="1445" t="str">
        <f t="shared" si="0"/>
        <v/>
      </c>
      <c r="CC31" s="1445" t="e">
        <f t="shared" si="1"/>
        <v>#VALUE!</v>
      </c>
      <c r="CD31" s="1445" t="str">
        <f t="shared" si="2"/>
        <v xml:space="preserve">* Las consejerías realizadas en Espacios amigables NO DEBEN ser mayor al Total. </v>
      </c>
      <c r="CE31" s="1445" t="e">
        <f t="shared" si="3"/>
        <v>#VALUE!</v>
      </c>
      <c r="CF31" s="1445"/>
      <c r="CG31" s="1445"/>
      <c r="CH31" s="1446">
        <f t="shared" si="4"/>
        <v>0</v>
      </c>
      <c r="CI31" s="1446" t="e">
        <f t="shared" si="5"/>
        <v>#VALUE!</v>
      </c>
      <c r="CJ31" s="1446">
        <f t="shared" si="6"/>
        <v>1</v>
      </c>
      <c r="CK31" s="1446" t="e">
        <f t="shared" si="7"/>
        <v>#VALUE!</v>
      </c>
      <c r="CL31" s="1443"/>
      <c r="CM31" s="1443"/>
      <c r="CN31" s="1443"/>
      <c r="CO31" s="1443"/>
      <c r="CP31" s="1443"/>
    </row>
    <row r="32" spans="1:94" ht="16.350000000000001" customHeight="1" x14ac:dyDescent="0.3">
      <c r="A32" s="7258">
        <v>19170200</v>
      </c>
      <c r="B32" s="8555"/>
      <c r="C32" s="3277" t="s">
        <v>62</v>
      </c>
      <c r="D32" s="560" t="s">
        <v>5369</v>
      </c>
      <c r="E32" s="559" t="s">
        <v>5370</v>
      </c>
      <c r="F32" s="796" t="s">
        <v>5371</v>
      </c>
      <c r="G32" s="93" t="s">
        <v>5372</v>
      </c>
      <c r="H32" s="170" t="s">
        <v>5373</v>
      </c>
      <c r="I32" s="137" t="s">
        <v>5374</v>
      </c>
      <c r="J32" s="164" t="s">
        <v>5375</v>
      </c>
      <c r="K32" s="137" t="s">
        <v>5376</v>
      </c>
      <c r="L32" s="138" t="s">
        <v>5377</v>
      </c>
      <c r="M32" s="137" t="s">
        <v>5378</v>
      </c>
      <c r="N32" s="138" t="s">
        <v>5379</v>
      </c>
      <c r="O32" s="137" t="s">
        <v>5380</v>
      </c>
      <c r="P32" s="138" t="s">
        <v>5381</v>
      </c>
      <c r="Q32" s="137" t="s">
        <v>5382</v>
      </c>
      <c r="R32" s="138" t="s">
        <v>5383</v>
      </c>
      <c r="S32" s="137" t="s">
        <v>5384</v>
      </c>
      <c r="T32" s="138" t="s">
        <v>5385</v>
      </c>
      <c r="U32" s="137" t="s">
        <v>5386</v>
      </c>
      <c r="V32" s="138" t="s">
        <v>5387</v>
      </c>
      <c r="W32" s="137" t="s">
        <v>5388</v>
      </c>
      <c r="X32" s="138" t="s">
        <v>5389</v>
      </c>
      <c r="Y32" s="137" t="s">
        <v>5390</v>
      </c>
      <c r="Z32" s="138" t="s">
        <v>5391</v>
      </c>
      <c r="AA32" s="137" t="s">
        <v>5392</v>
      </c>
      <c r="AB32" s="138" t="s">
        <v>5393</v>
      </c>
      <c r="AC32" s="137" t="s">
        <v>5394</v>
      </c>
      <c r="AD32" s="138" t="s">
        <v>5395</v>
      </c>
      <c r="AE32" s="137" t="s">
        <v>5396</v>
      </c>
      <c r="AF32" s="138" t="s">
        <v>5397</v>
      </c>
      <c r="AG32" s="137" t="s">
        <v>5398</v>
      </c>
      <c r="AH32" s="138" t="s">
        <v>5399</v>
      </c>
      <c r="AI32" s="137" t="s">
        <v>5400</v>
      </c>
      <c r="AJ32" s="138" t="s">
        <v>5401</v>
      </c>
      <c r="AK32" s="137" t="s">
        <v>5402</v>
      </c>
      <c r="AL32" s="138" t="s">
        <v>5403</v>
      </c>
      <c r="AM32" s="161" t="s">
        <v>5404</v>
      </c>
      <c r="AN32" s="260" t="s">
        <v>5405</v>
      </c>
      <c r="AO32" s="2512" t="s">
        <v>5406</v>
      </c>
      <c r="AP32" s="2796" t="s">
        <v>5407</v>
      </c>
      <c r="AQ32" s="1843" t="s">
        <v>5408</v>
      </c>
      <c r="AR32" s="123" t="s">
        <v>5409</v>
      </c>
      <c r="AS32" s="123" t="s">
        <v>5410</v>
      </c>
      <c r="AT32" s="728" t="s">
        <v>5411</v>
      </c>
      <c r="AU32" s="123" t="s">
        <v>5412</v>
      </c>
      <c r="AV32" s="123" t="s">
        <v>5413</v>
      </c>
      <c r="AW32" s="806"/>
      <c r="AX32" s="806"/>
      <c r="AY32" s="806"/>
      <c r="AZ32" s="806"/>
      <c r="BA32" s="806"/>
      <c r="BB32" s="806"/>
      <c r="BC32" s="806"/>
      <c r="BD32" s="806"/>
      <c r="BE32" s="806"/>
      <c r="BF32" s="806"/>
      <c r="BG32" s="1191"/>
      <c r="BH32" s="1191"/>
      <c r="BY32" s="827"/>
      <c r="CB32" s="1445" t="str">
        <f t="shared" si="0"/>
        <v/>
      </c>
      <c r="CC32" s="1445" t="e">
        <f t="shared" si="1"/>
        <v>#VALUE!</v>
      </c>
      <c r="CD32" s="1445" t="str">
        <f t="shared" si="2"/>
        <v xml:space="preserve">* Las consejerías realizadas en Espacios amigables NO DEBEN ser mayor al Total. </v>
      </c>
      <c r="CE32" s="1445" t="e">
        <f t="shared" si="3"/>
        <v>#VALUE!</v>
      </c>
      <c r="CF32" s="1445"/>
      <c r="CG32" s="1445"/>
      <c r="CH32" s="1446">
        <f t="shared" si="4"/>
        <v>0</v>
      </c>
      <c r="CI32" s="1446" t="e">
        <f t="shared" si="5"/>
        <v>#VALUE!</v>
      </c>
      <c r="CJ32" s="1446">
        <f t="shared" si="6"/>
        <v>1</v>
      </c>
      <c r="CK32" s="1446" t="e">
        <f t="shared" si="7"/>
        <v>#VALUE!</v>
      </c>
      <c r="CL32" s="1443"/>
      <c r="CM32" s="1443"/>
      <c r="CN32" s="1443"/>
      <c r="CO32" s="1443"/>
      <c r="CP32" s="1443"/>
    </row>
    <row r="33" spans="1:94" ht="16.350000000000001" customHeight="1" x14ac:dyDescent="0.3">
      <c r="A33" s="7258">
        <v>19120311</v>
      </c>
      <c r="B33" s="8555"/>
      <c r="C33" s="135" t="s">
        <v>1265</v>
      </c>
      <c r="D33" s="323" t="s">
        <v>5369</v>
      </c>
      <c r="E33" s="324" t="s">
        <v>5370</v>
      </c>
      <c r="F33" s="786" t="s">
        <v>5371</v>
      </c>
      <c r="G33" s="93" t="s">
        <v>5372</v>
      </c>
      <c r="H33" s="1583" t="s">
        <v>5373</v>
      </c>
      <c r="I33" s="110" t="s">
        <v>5374</v>
      </c>
      <c r="J33" s="144" t="s">
        <v>5375</v>
      </c>
      <c r="K33" s="110" t="s">
        <v>5376</v>
      </c>
      <c r="L33" s="122" t="s">
        <v>5377</v>
      </c>
      <c r="M33" s="110" t="s">
        <v>5378</v>
      </c>
      <c r="N33" s="122" t="s">
        <v>5379</v>
      </c>
      <c r="O33" s="110" t="s">
        <v>5380</v>
      </c>
      <c r="P33" s="122" t="s">
        <v>5381</v>
      </c>
      <c r="Q33" s="110" t="s">
        <v>5382</v>
      </c>
      <c r="R33" s="122" t="s">
        <v>5383</v>
      </c>
      <c r="S33" s="110" t="s">
        <v>5384</v>
      </c>
      <c r="T33" s="122" t="s">
        <v>5385</v>
      </c>
      <c r="U33" s="110" t="s">
        <v>5386</v>
      </c>
      <c r="V33" s="122" t="s">
        <v>5387</v>
      </c>
      <c r="W33" s="110" t="s">
        <v>5388</v>
      </c>
      <c r="X33" s="122" t="s">
        <v>5389</v>
      </c>
      <c r="Y33" s="110" t="s">
        <v>5390</v>
      </c>
      <c r="Z33" s="122" t="s">
        <v>5391</v>
      </c>
      <c r="AA33" s="110" t="s">
        <v>5392</v>
      </c>
      <c r="AB33" s="122" t="s">
        <v>5393</v>
      </c>
      <c r="AC33" s="110" t="s">
        <v>5394</v>
      </c>
      <c r="AD33" s="122" t="s">
        <v>5395</v>
      </c>
      <c r="AE33" s="110" t="s">
        <v>5396</v>
      </c>
      <c r="AF33" s="122" t="s">
        <v>5397</v>
      </c>
      <c r="AG33" s="110" t="s">
        <v>5398</v>
      </c>
      <c r="AH33" s="122" t="s">
        <v>5399</v>
      </c>
      <c r="AI33" s="110" t="s">
        <v>5400</v>
      </c>
      <c r="AJ33" s="122" t="s">
        <v>5401</v>
      </c>
      <c r="AK33" s="110" t="s">
        <v>5402</v>
      </c>
      <c r="AL33" s="122" t="s">
        <v>5403</v>
      </c>
      <c r="AM33" s="157" t="s">
        <v>5404</v>
      </c>
      <c r="AN33" s="197" t="s">
        <v>5405</v>
      </c>
      <c r="AO33" s="2512" t="s">
        <v>5406</v>
      </c>
      <c r="AP33" s="2852" t="s">
        <v>5407</v>
      </c>
      <c r="AQ33" s="1843" t="s">
        <v>5408</v>
      </c>
      <c r="AR33" s="123" t="s">
        <v>5409</v>
      </c>
      <c r="AS33" s="123" t="s">
        <v>5410</v>
      </c>
      <c r="AT33" s="728" t="s">
        <v>5411</v>
      </c>
      <c r="AU33" s="123" t="s">
        <v>5412</v>
      </c>
      <c r="AV33" s="123" t="s">
        <v>5413</v>
      </c>
      <c r="AW33" s="806"/>
      <c r="AX33" s="806"/>
      <c r="AY33" s="806"/>
      <c r="AZ33" s="806"/>
      <c r="BA33" s="806"/>
      <c r="BB33" s="806"/>
      <c r="BC33" s="806"/>
      <c r="BD33" s="806"/>
      <c r="BE33" s="806"/>
      <c r="BF33" s="806"/>
      <c r="BG33" s="1191"/>
      <c r="BH33" s="1191"/>
      <c r="BY33" s="827"/>
      <c r="CB33" s="1445" t="str">
        <f t="shared" si="0"/>
        <v/>
      </c>
      <c r="CC33" s="1445" t="e">
        <f t="shared" si="1"/>
        <v>#VALUE!</v>
      </c>
      <c r="CD33" s="1445" t="str">
        <f t="shared" si="2"/>
        <v xml:space="preserve">* Las consejerías realizadas en Espacios amigables NO DEBEN ser mayor al Total. </v>
      </c>
      <c r="CE33" s="1445" t="e">
        <f t="shared" si="3"/>
        <v>#VALUE!</v>
      </c>
      <c r="CF33" s="1445"/>
      <c r="CG33" s="1445"/>
      <c r="CH33" s="1446">
        <f t="shared" si="4"/>
        <v>0</v>
      </c>
      <c r="CI33" s="1446" t="e">
        <f t="shared" si="5"/>
        <v>#VALUE!</v>
      </c>
      <c r="CJ33" s="1446">
        <f t="shared" si="6"/>
        <v>1</v>
      </c>
      <c r="CK33" s="1446" t="e">
        <f t="shared" si="7"/>
        <v>#VALUE!</v>
      </c>
      <c r="CL33" s="1443"/>
      <c r="CM33" s="1443"/>
      <c r="CN33" s="1443"/>
      <c r="CO33" s="1443"/>
      <c r="CP33" s="1443"/>
    </row>
    <row r="34" spans="1:94" ht="16.350000000000001" customHeight="1" x14ac:dyDescent="0.3">
      <c r="A34" s="7258">
        <v>19120312</v>
      </c>
      <c r="B34" s="8555"/>
      <c r="C34" s="153" t="s">
        <v>1266</v>
      </c>
      <c r="D34" s="323" t="s">
        <v>5369</v>
      </c>
      <c r="E34" s="324" t="s">
        <v>5370</v>
      </c>
      <c r="F34" s="785" t="s">
        <v>5371</v>
      </c>
      <c r="G34" s="93" t="s">
        <v>5372</v>
      </c>
      <c r="H34" s="90" t="s">
        <v>5373</v>
      </c>
      <c r="I34" s="129" t="s">
        <v>5374</v>
      </c>
      <c r="J34" s="143" t="s">
        <v>5375</v>
      </c>
      <c r="K34" s="129" t="s">
        <v>5376</v>
      </c>
      <c r="L34" s="130" t="s">
        <v>5377</v>
      </c>
      <c r="M34" s="129" t="s">
        <v>5378</v>
      </c>
      <c r="N34" s="130" t="s">
        <v>5379</v>
      </c>
      <c r="O34" s="129" t="s">
        <v>5380</v>
      </c>
      <c r="P34" s="130" t="s">
        <v>5381</v>
      </c>
      <c r="Q34" s="129" t="s">
        <v>5382</v>
      </c>
      <c r="R34" s="130" t="s">
        <v>5383</v>
      </c>
      <c r="S34" s="110" t="s">
        <v>5384</v>
      </c>
      <c r="T34" s="122" t="s">
        <v>5385</v>
      </c>
      <c r="U34" s="110" t="s">
        <v>5386</v>
      </c>
      <c r="V34" s="122" t="s">
        <v>5387</v>
      </c>
      <c r="W34" s="110" t="s">
        <v>5388</v>
      </c>
      <c r="X34" s="122" t="s">
        <v>5389</v>
      </c>
      <c r="Y34" s="110" t="s">
        <v>5390</v>
      </c>
      <c r="Z34" s="122" t="s">
        <v>5391</v>
      </c>
      <c r="AA34" s="110" t="s">
        <v>5392</v>
      </c>
      <c r="AB34" s="122" t="s">
        <v>5393</v>
      </c>
      <c r="AC34" s="110" t="s">
        <v>5394</v>
      </c>
      <c r="AD34" s="122" t="s">
        <v>5395</v>
      </c>
      <c r="AE34" s="110" t="s">
        <v>5396</v>
      </c>
      <c r="AF34" s="122" t="s">
        <v>5397</v>
      </c>
      <c r="AG34" s="110" t="s">
        <v>5398</v>
      </c>
      <c r="AH34" s="122" t="s">
        <v>5399</v>
      </c>
      <c r="AI34" s="110" t="s">
        <v>5400</v>
      </c>
      <c r="AJ34" s="122" t="s">
        <v>5401</v>
      </c>
      <c r="AK34" s="110" t="s">
        <v>5402</v>
      </c>
      <c r="AL34" s="122" t="s">
        <v>5403</v>
      </c>
      <c r="AM34" s="157" t="s">
        <v>5404</v>
      </c>
      <c r="AN34" s="197" t="s">
        <v>5405</v>
      </c>
      <c r="AO34" s="2512" t="s">
        <v>5406</v>
      </c>
      <c r="AP34" s="2852" t="s">
        <v>5407</v>
      </c>
      <c r="AQ34" s="1843" t="s">
        <v>5408</v>
      </c>
      <c r="AR34" s="123" t="s">
        <v>5409</v>
      </c>
      <c r="AS34" s="123" t="s">
        <v>5410</v>
      </c>
      <c r="AT34" s="728" t="s">
        <v>5411</v>
      </c>
      <c r="AU34" s="123" t="s">
        <v>5412</v>
      </c>
      <c r="AV34" s="123" t="s">
        <v>5413</v>
      </c>
      <c r="AW34" s="806"/>
      <c r="AX34" s="806"/>
      <c r="AY34" s="806"/>
      <c r="AZ34" s="806"/>
      <c r="BA34" s="806"/>
      <c r="BB34" s="806"/>
      <c r="BC34" s="806"/>
      <c r="BD34" s="806"/>
      <c r="BE34" s="806"/>
      <c r="BF34" s="806"/>
      <c r="BG34" s="1191"/>
      <c r="BH34" s="1191"/>
      <c r="BY34" s="827"/>
      <c r="CB34" s="1445" t="str">
        <f t="shared" si="0"/>
        <v/>
      </c>
      <c r="CC34" s="1445" t="e">
        <f t="shared" si="1"/>
        <v>#VALUE!</v>
      </c>
      <c r="CD34" s="1445" t="str">
        <f t="shared" si="2"/>
        <v xml:space="preserve">* Las consejerías realizadas en Espacios amigables NO DEBEN ser mayor al Total. </v>
      </c>
      <c r="CE34" s="1445" t="e">
        <f t="shared" si="3"/>
        <v>#VALUE!</v>
      </c>
      <c r="CF34" s="1445"/>
      <c r="CG34" s="1445"/>
      <c r="CH34" s="1446">
        <f t="shared" si="4"/>
        <v>0</v>
      </c>
      <c r="CI34" s="1446" t="e">
        <f t="shared" si="5"/>
        <v>#VALUE!</v>
      </c>
      <c r="CJ34" s="1446">
        <f t="shared" si="6"/>
        <v>1</v>
      </c>
      <c r="CK34" s="1446" t="e">
        <f t="shared" si="7"/>
        <v>#VALUE!</v>
      </c>
      <c r="CL34" s="1443"/>
      <c r="CM34" s="1443"/>
      <c r="CN34" s="1443"/>
      <c r="CO34" s="1443"/>
      <c r="CP34" s="1443"/>
    </row>
    <row r="35" spans="1:94" ht="16.350000000000001" customHeight="1" x14ac:dyDescent="0.3">
      <c r="A35" s="7258">
        <v>19120305</v>
      </c>
      <c r="B35" s="8859"/>
      <c r="C35" s="534" t="s">
        <v>27</v>
      </c>
      <c r="D35" s="1336" t="s">
        <v>5369</v>
      </c>
      <c r="E35" s="1337" t="s">
        <v>5370</v>
      </c>
      <c r="F35" s="784" t="s">
        <v>5371</v>
      </c>
      <c r="G35" s="82" t="s">
        <v>5372</v>
      </c>
      <c r="H35" s="795" t="s">
        <v>5373</v>
      </c>
      <c r="I35" s="707" t="s">
        <v>5374</v>
      </c>
      <c r="J35" s="793" t="s">
        <v>5375</v>
      </c>
      <c r="K35" s="707" t="s">
        <v>5376</v>
      </c>
      <c r="L35" s="706" t="s">
        <v>5377</v>
      </c>
      <c r="M35" s="707" t="s">
        <v>5378</v>
      </c>
      <c r="N35" s="706" t="s">
        <v>5379</v>
      </c>
      <c r="O35" s="707" t="s">
        <v>5380</v>
      </c>
      <c r="P35" s="706" t="s">
        <v>5381</v>
      </c>
      <c r="Q35" s="707" t="s">
        <v>5382</v>
      </c>
      <c r="R35" s="706" t="s">
        <v>5383</v>
      </c>
      <c r="S35" s="707" t="s">
        <v>5384</v>
      </c>
      <c r="T35" s="706" t="s">
        <v>5385</v>
      </c>
      <c r="U35" s="707" t="s">
        <v>5386</v>
      </c>
      <c r="V35" s="706" t="s">
        <v>5387</v>
      </c>
      <c r="W35" s="707" t="s">
        <v>5388</v>
      </c>
      <c r="X35" s="706" t="s">
        <v>5389</v>
      </c>
      <c r="Y35" s="707" t="s">
        <v>5390</v>
      </c>
      <c r="Z35" s="706" t="s">
        <v>5391</v>
      </c>
      <c r="AA35" s="707" t="s">
        <v>5392</v>
      </c>
      <c r="AB35" s="706" t="s">
        <v>5393</v>
      </c>
      <c r="AC35" s="707" t="s">
        <v>5394</v>
      </c>
      <c r="AD35" s="706" t="s">
        <v>5395</v>
      </c>
      <c r="AE35" s="707" t="s">
        <v>5396</v>
      </c>
      <c r="AF35" s="706" t="s">
        <v>5397</v>
      </c>
      <c r="AG35" s="707" t="s">
        <v>5398</v>
      </c>
      <c r="AH35" s="706" t="s">
        <v>5399</v>
      </c>
      <c r="AI35" s="707" t="s">
        <v>5400</v>
      </c>
      <c r="AJ35" s="706" t="s">
        <v>5401</v>
      </c>
      <c r="AK35" s="707" t="s">
        <v>5402</v>
      </c>
      <c r="AL35" s="706" t="s">
        <v>5403</v>
      </c>
      <c r="AM35" s="794" t="s">
        <v>5404</v>
      </c>
      <c r="AN35" s="712" t="s">
        <v>5405</v>
      </c>
      <c r="AO35" s="2490" t="s">
        <v>5406</v>
      </c>
      <c r="AP35" s="2873" t="s">
        <v>5407</v>
      </c>
      <c r="AQ35" s="1636" t="s">
        <v>5408</v>
      </c>
      <c r="AR35" s="86" t="s">
        <v>5409</v>
      </c>
      <c r="AS35" s="86" t="s">
        <v>5410</v>
      </c>
      <c r="AT35" s="798" t="s">
        <v>5411</v>
      </c>
      <c r="AU35" s="86" t="s">
        <v>5412</v>
      </c>
      <c r="AV35" s="86" t="s">
        <v>5413</v>
      </c>
      <c r="AW35" s="806"/>
      <c r="AX35" s="806"/>
      <c r="AY35" s="806"/>
      <c r="AZ35" s="806"/>
      <c r="BA35" s="806"/>
      <c r="BB35" s="806"/>
      <c r="BC35" s="806"/>
      <c r="BD35" s="806"/>
      <c r="BE35" s="806"/>
      <c r="BF35" s="806"/>
      <c r="BG35" s="1191"/>
      <c r="BH35" s="1191"/>
      <c r="BY35" s="827"/>
      <c r="CB35" s="1445" t="str">
        <f t="shared" ref="CB35:CB65" si="8">IF(CH35=1,"* No olvide digitar la columna Trans y/o Pueblos Originarios y/o Migrantes y/o Población SENAME (Digite Cero si no tiene). ","")</f>
        <v/>
      </c>
      <c r="CC35" s="1445" t="e">
        <f t="shared" ref="CC35:CC65" si="9">IF(CI35=1,"* El número de Trans y/o Pueblos Originarios y/o Migrantes y/o Población SENAME NO DEBE ser mayor que el Total. ","")</f>
        <v>#VALUE!</v>
      </c>
      <c r="CD35" s="1445" t="str">
        <f t="shared" ref="CD35:CD65" si="10">IF(CJ35=1,"* Las consejerías realizadas en Espacios amigables NO DEBEN ser mayor al Total. ","")</f>
        <v xml:space="preserve">* Las consejerías realizadas en Espacios amigables NO DEBEN ser mayor al Total. </v>
      </c>
      <c r="CE35" s="1445" t="e">
        <f t="shared" ref="CE35:CE65" si="11">IF(CK35=1,"* La columna 14-18 AÑOS no puede ser mayor al total por grupo edad de 10 a 19 años. ","")</f>
        <v>#VALUE!</v>
      </c>
      <c r="CF35" s="1445"/>
      <c r="CG35" s="1445"/>
      <c r="CH35" s="1446">
        <f t="shared" si="4"/>
        <v>0</v>
      </c>
      <c r="CI35" s="1446" t="e">
        <f t="shared" si="5"/>
        <v>#VALUE!</v>
      </c>
      <c r="CJ35" s="1446">
        <f t="shared" si="6"/>
        <v>1</v>
      </c>
      <c r="CK35" s="1446" t="e">
        <f t="shared" si="7"/>
        <v>#VALUE!</v>
      </c>
      <c r="CL35" s="1443"/>
      <c r="CM35" s="1443"/>
      <c r="CN35" s="1443"/>
      <c r="CO35" s="1443"/>
      <c r="CP35" s="1443"/>
    </row>
    <row r="36" spans="1:94" ht="16.350000000000001" customHeight="1" x14ac:dyDescent="0.3">
      <c r="A36" s="7258">
        <v>19185000</v>
      </c>
      <c r="B36" s="8583" t="s">
        <v>1270</v>
      </c>
      <c r="C36" s="778" t="s">
        <v>2590</v>
      </c>
      <c r="D36" s="1332" t="s">
        <v>5369</v>
      </c>
      <c r="E36" s="1333" t="s">
        <v>5370</v>
      </c>
      <c r="F36" s="787" t="s">
        <v>5371</v>
      </c>
      <c r="G36" s="791" t="s">
        <v>5372</v>
      </c>
      <c r="H36" s="571" t="s">
        <v>5373</v>
      </c>
      <c r="I36" s="527" t="s">
        <v>5374</v>
      </c>
      <c r="J36" s="525" t="s">
        <v>5375</v>
      </c>
      <c r="K36" s="527" t="s">
        <v>5376</v>
      </c>
      <c r="L36" s="761" t="s">
        <v>5377</v>
      </c>
      <c r="M36" s="527" t="s">
        <v>5378</v>
      </c>
      <c r="N36" s="761" t="s">
        <v>5379</v>
      </c>
      <c r="O36" s="527" t="s">
        <v>5380</v>
      </c>
      <c r="P36" s="761" t="s">
        <v>5381</v>
      </c>
      <c r="Q36" s="527" t="s">
        <v>5382</v>
      </c>
      <c r="R36" s="761" t="s">
        <v>5383</v>
      </c>
      <c r="S36" s="527" t="s">
        <v>5384</v>
      </c>
      <c r="T36" s="761" t="s">
        <v>5385</v>
      </c>
      <c r="U36" s="527" t="s">
        <v>5386</v>
      </c>
      <c r="V36" s="761" t="s">
        <v>5387</v>
      </c>
      <c r="W36" s="527" t="s">
        <v>5388</v>
      </c>
      <c r="X36" s="761" t="s">
        <v>5389</v>
      </c>
      <c r="Y36" s="527" t="s">
        <v>5390</v>
      </c>
      <c r="Z36" s="761" t="s">
        <v>5391</v>
      </c>
      <c r="AA36" s="527" t="s">
        <v>5392</v>
      </c>
      <c r="AB36" s="761" t="s">
        <v>5393</v>
      </c>
      <c r="AC36" s="527" t="s">
        <v>5394</v>
      </c>
      <c r="AD36" s="761" t="s">
        <v>5395</v>
      </c>
      <c r="AE36" s="527" t="s">
        <v>5396</v>
      </c>
      <c r="AF36" s="761" t="s">
        <v>5397</v>
      </c>
      <c r="AG36" s="527" t="s">
        <v>5398</v>
      </c>
      <c r="AH36" s="761" t="s">
        <v>5399</v>
      </c>
      <c r="AI36" s="527" t="s">
        <v>5400</v>
      </c>
      <c r="AJ36" s="761" t="s">
        <v>5401</v>
      </c>
      <c r="AK36" s="527" t="s">
        <v>5402</v>
      </c>
      <c r="AL36" s="761" t="s">
        <v>5403</v>
      </c>
      <c r="AM36" s="762" t="s">
        <v>5404</v>
      </c>
      <c r="AN36" s="759" t="s">
        <v>5405</v>
      </c>
      <c r="AO36" s="2449" t="s">
        <v>5406</v>
      </c>
      <c r="AP36" s="2949" t="s">
        <v>5407</v>
      </c>
      <c r="AQ36" s="1848" t="s">
        <v>5408</v>
      </c>
      <c r="AR36" s="91" t="s">
        <v>5409</v>
      </c>
      <c r="AS36" s="91" t="s">
        <v>5410</v>
      </c>
      <c r="AT36" s="797" t="s">
        <v>5411</v>
      </c>
      <c r="AU36" s="91" t="s">
        <v>5412</v>
      </c>
      <c r="AV36" s="91" t="s">
        <v>5413</v>
      </c>
      <c r="AW36" s="806"/>
      <c r="AX36" s="806"/>
      <c r="AY36" s="806"/>
      <c r="AZ36" s="806"/>
      <c r="BA36" s="806"/>
      <c r="BB36" s="806"/>
      <c r="BC36" s="806"/>
      <c r="BD36" s="806"/>
      <c r="BE36" s="806"/>
      <c r="BF36" s="806"/>
      <c r="BG36" s="1191"/>
      <c r="BH36" s="1191"/>
      <c r="BY36" s="827"/>
      <c r="CB36" s="1445" t="str">
        <f t="shared" si="8"/>
        <v/>
      </c>
      <c r="CC36" s="1445" t="e">
        <f t="shared" si="9"/>
        <v>#VALUE!</v>
      </c>
      <c r="CD36" s="1445" t="str">
        <f t="shared" si="10"/>
        <v xml:space="preserve">* Las consejerías realizadas en Espacios amigables NO DEBEN ser mayor al Total. </v>
      </c>
      <c r="CE36" s="1445" t="e">
        <f t="shared" si="11"/>
        <v>#VALUE!</v>
      </c>
      <c r="CF36" s="1445"/>
      <c r="CG36" s="1445"/>
      <c r="CH36" s="1446">
        <f t="shared" si="4"/>
        <v>0</v>
      </c>
      <c r="CI36" s="1446" t="e">
        <f t="shared" si="5"/>
        <v>#VALUE!</v>
      </c>
      <c r="CJ36" s="1446">
        <f t="shared" si="6"/>
        <v>1</v>
      </c>
      <c r="CK36" s="1446" t="e">
        <f t="shared" si="7"/>
        <v>#VALUE!</v>
      </c>
      <c r="CL36" s="1443"/>
      <c r="CM36" s="1443"/>
      <c r="CN36" s="1443"/>
      <c r="CO36" s="1443"/>
      <c r="CP36" s="1443"/>
    </row>
    <row r="37" spans="1:94" ht="16.350000000000001" customHeight="1" x14ac:dyDescent="0.3">
      <c r="A37" s="7258">
        <v>19185100</v>
      </c>
      <c r="B37" s="8555"/>
      <c r="C37" s="135" t="s">
        <v>23</v>
      </c>
      <c r="D37" s="323" t="s">
        <v>5369</v>
      </c>
      <c r="E37" s="324" t="s">
        <v>5370</v>
      </c>
      <c r="F37" s="786" t="s">
        <v>5371</v>
      </c>
      <c r="G37" s="93" t="s">
        <v>5372</v>
      </c>
      <c r="H37" s="170" t="s">
        <v>5373</v>
      </c>
      <c r="I37" s="110" t="s">
        <v>5374</v>
      </c>
      <c r="J37" s="144" t="s">
        <v>5375</v>
      </c>
      <c r="K37" s="110" t="s">
        <v>5376</v>
      </c>
      <c r="L37" s="122" t="s">
        <v>5377</v>
      </c>
      <c r="M37" s="110" t="s">
        <v>5378</v>
      </c>
      <c r="N37" s="122" t="s">
        <v>5379</v>
      </c>
      <c r="O37" s="110" t="s">
        <v>5380</v>
      </c>
      <c r="P37" s="122" t="s">
        <v>5381</v>
      </c>
      <c r="Q37" s="110" t="s">
        <v>5382</v>
      </c>
      <c r="R37" s="122" t="s">
        <v>5383</v>
      </c>
      <c r="S37" s="110" t="s">
        <v>5384</v>
      </c>
      <c r="T37" s="122" t="s">
        <v>5385</v>
      </c>
      <c r="U37" s="110" t="s">
        <v>5386</v>
      </c>
      <c r="V37" s="122" t="s">
        <v>5387</v>
      </c>
      <c r="W37" s="110" t="s">
        <v>5388</v>
      </c>
      <c r="X37" s="122" t="s">
        <v>5389</v>
      </c>
      <c r="Y37" s="110" t="s">
        <v>5390</v>
      </c>
      <c r="Z37" s="122" t="s">
        <v>5391</v>
      </c>
      <c r="AA37" s="110" t="s">
        <v>5392</v>
      </c>
      <c r="AB37" s="122" t="s">
        <v>5393</v>
      </c>
      <c r="AC37" s="110" t="s">
        <v>5394</v>
      </c>
      <c r="AD37" s="122" t="s">
        <v>5395</v>
      </c>
      <c r="AE37" s="110" t="s">
        <v>5396</v>
      </c>
      <c r="AF37" s="122" t="s">
        <v>5397</v>
      </c>
      <c r="AG37" s="110" t="s">
        <v>5398</v>
      </c>
      <c r="AH37" s="122" t="s">
        <v>5399</v>
      </c>
      <c r="AI37" s="110" t="s">
        <v>5400</v>
      </c>
      <c r="AJ37" s="122" t="s">
        <v>5401</v>
      </c>
      <c r="AK37" s="110" t="s">
        <v>5402</v>
      </c>
      <c r="AL37" s="122" t="s">
        <v>5403</v>
      </c>
      <c r="AM37" s="157" t="s">
        <v>5404</v>
      </c>
      <c r="AN37" s="197" t="s">
        <v>5405</v>
      </c>
      <c r="AO37" s="2512" t="s">
        <v>5406</v>
      </c>
      <c r="AP37" s="2852" t="s">
        <v>5407</v>
      </c>
      <c r="AQ37" s="1843" t="s">
        <v>5408</v>
      </c>
      <c r="AR37" s="123" t="s">
        <v>5409</v>
      </c>
      <c r="AS37" s="123" t="s">
        <v>5410</v>
      </c>
      <c r="AT37" s="728" t="s">
        <v>5411</v>
      </c>
      <c r="AU37" s="123" t="s">
        <v>5412</v>
      </c>
      <c r="AV37" s="123" t="s">
        <v>5413</v>
      </c>
      <c r="AW37" s="806"/>
      <c r="AX37" s="806"/>
      <c r="AY37" s="806"/>
      <c r="AZ37" s="806"/>
      <c r="BA37" s="806"/>
      <c r="BB37" s="806"/>
      <c r="BC37" s="806"/>
      <c r="BD37" s="806"/>
      <c r="BE37" s="806"/>
      <c r="BF37" s="806"/>
      <c r="BG37" s="1191"/>
      <c r="BH37" s="1191"/>
      <c r="BY37" s="827"/>
      <c r="CB37" s="1445" t="str">
        <f t="shared" si="8"/>
        <v/>
      </c>
      <c r="CC37" s="1445" t="e">
        <f t="shared" si="9"/>
        <v>#VALUE!</v>
      </c>
      <c r="CD37" s="1445" t="str">
        <f t="shared" si="10"/>
        <v xml:space="preserve">* Las consejerías realizadas en Espacios amigables NO DEBEN ser mayor al Total. </v>
      </c>
      <c r="CE37" s="1445" t="e">
        <f t="shared" si="11"/>
        <v>#VALUE!</v>
      </c>
      <c r="CF37" s="1445"/>
      <c r="CG37" s="1445"/>
      <c r="CH37" s="1446">
        <f t="shared" si="4"/>
        <v>0</v>
      </c>
      <c r="CI37" s="1446" t="e">
        <f t="shared" si="5"/>
        <v>#VALUE!</v>
      </c>
      <c r="CJ37" s="1446">
        <f t="shared" si="6"/>
        <v>1</v>
      </c>
      <c r="CK37" s="1446" t="e">
        <f t="shared" si="7"/>
        <v>#VALUE!</v>
      </c>
      <c r="CL37" s="1443"/>
      <c r="CM37" s="1443"/>
      <c r="CN37" s="1443"/>
      <c r="CO37" s="1443"/>
      <c r="CP37" s="1443"/>
    </row>
    <row r="38" spans="1:94" ht="16.350000000000001" customHeight="1" x14ac:dyDescent="0.3">
      <c r="A38" s="7258">
        <v>19185200</v>
      </c>
      <c r="B38" s="8555"/>
      <c r="C38" s="135" t="s">
        <v>20</v>
      </c>
      <c r="D38" s="323" t="s">
        <v>5369</v>
      </c>
      <c r="E38" s="324" t="s">
        <v>5370</v>
      </c>
      <c r="F38" s="786" t="s">
        <v>5371</v>
      </c>
      <c r="G38" s="93" t="s">
        <v>5372</v>
      </c>
      <c r="H38" s="170" t="s">
        <v>5373</v>
      </c>
      <c r="I38" s="110" t="s">
        <v>5374</v>
      </c>
      <c r="J38" s="144" t="s">
        <v>5375</v>
      </c>
      <c r="K38" s="110" t="s">
        <v>5376</v>
      </c>
      <c r="L38" s="122" t="s">
        <v>5377</v>
      </c>
      <c r="M38" s="110" t="s">
        <v>5378</v>
      </c>
      <c r="N38" s="122" t="s">
        <v>5379</v>
      </c>
      <c r="O38" s="110" t="s">
        <v>5380</v>
      </c>
      <c r="P38" s="122" t="s">
        <v>5381</v>
      </c>
      <c r="Q38" s="110" t="s">
        <v>5382</v>
      </c>
      <c r="R38" s="122" t="s">
        <v>5383</v>
      </c>
      <c r="S38" s="110" t="s">
        <v>5384</v>
      </c>
      <c r="T38" s="122" t="s">
        <v>5385</v>
      </c>
      <c r="U38" s="110" t="s">
        <v>5386</v>
      </c>
      <c r="V38" s="122" t="s">
        <v>5387</v>
      </c>
      <c r="W38" s="110" t="s">
        <v>5388</v>
      </c>
      <c r="X38" s="122" t="s">
        <v>5389</v>
      </c>
      <c r="Y38" s="110" t="s">
        <v>5390</v>
      </c>
      <c r="Z38" s="122" t="s">
        <v>5391</v>
      </c>
      <c r="AA38" s="110" t="s">
        <v>5392</v>
      </c>
      <c r="AB38" s="122" t="s">
        <v>5393</v>
      </c>
      <c r="AC38" s="110" t="s">
        <v>5394</v>
      </c>
      <c r="AD38" s="122" t="s">
        <v>5395</v>
      </c>
      <c r="AE38" s="110" t="s">
        <v>5396</v>
      </c>
      <c r="AF38" s="122" t="s">
        <v>5397</v>
      </c>
      <c r="AG38" s="110" t="s">
        <v>5398</v>
      </c>
      <c r="AH38" s="122" t="s">
        <v>5399</v>
      </c>
      <c r="AI38" s="110" t="s">
        <v>5400</v>
      </c>
      <c r="AJ38" s="122" t="s">
        <v>5401</v>
      </c>
      <c r="AK38" s="110" t="s">
        <v>5402</v>
      </c>
      <c r="AL38" s="122" t="s">
        <v>5403</v>
      </c>
      <c r="AM38" s="157" t="s">
        <v>5404</v>
      </c>
      <c r="AN38" s="197" t="s">
        <v>5405</v>
      </c>
      <c r="AO38" s="2512" t="s">
        <v>5406</v>
      </c>
      <c r="AP38" s="2852" t="s">
        <v>5407</v>
      </c>
      <c r="AQ38" s="1843" t="s">
        <v>5408</v>
      </c>
      <c r="AR38" s="123" t="s">
        <v>5409</v>
      </c>
      <c r="AS38" s="123" t="s">
        <v>5410</v>
      </c>
      <c r="AT38" s="728" t="s">
        <v>5411</v>
      </c>
      <c r="AU38" s="123" t="s">
        <v>5412</v>
      </c>
      <c r="AV38" s="123" t="s">
        <v>5413</v>
      </c>
      <c r="AW38" s="806"/>
      <c r="AX38" s="806"/>
      <c r="AY38" s="806"/>
      <c r="AZ38" s="806"/>
      <c r="BA38" s="806"/>
      <c r="BB38" s="806"/>
      <c r="BC38" s="806"/>
      <c r="BD38" s="806"/>
      <c r="BE38" s="806"/>
      <c r="BF38" s="806"/>
      <c r="BG38" s="1191"/>
      <c r="BH38" s="1191"/>
      <c r="BY38" s="827"/>
      <c r="CB38" s="1445" t="str">
        <f t="shared" si="8"/>
        <v/>
      </c>
      <c r="CC38" s="1445" t="e">
        <f t="shared" si="9"/>
        <v>#VALUE!</v>
      </c>
      <c r="CD38" s="1445" t="str">
        <f t="shared" si="10"/>
        <v xml:space="preserve">* Las consejerías realizadas en Espacios amigables NO DEBEN ser mayor al Total. </v>
      </c>
      <c r="CE38" s="1445" t="e">
        <f t="shared" si="11"/>
        <v>#VALUE!</v>
      </c>
      <c r="CF38" s="1445"/>
      <c r="CG38" s="1445"/>
      <c r="CH38" s="1446">
        <f t="shared" si="4"/>
        <v>0</v>
      </c>
      <c r="CI38" s="1446" t="e">
        <f t="shared" si="5"/>
        <v>#VALUE!</v>
      </c>
      <c r="CJ38" s="1446">
        <f t="shared" si="6"/>
        <v>1</v>
      </c>
      <c r="CK38" s="1446" t="e">
        <f t="shared" si="7"/>
        <v>#VALUE!</v>
      </c>
      <c r="CL38" s="1443"/>
      <c r="CM38" s="1443"/>
      <c r="CN38" s="1443"/>
      <c r="CO38" s="1443"/>
      <c r="CP38" s="1443"/>
    </row>
    <row r="39" spans="1:94" ht="16.350000000000001" customHeight="1" x14ac:dyDescent="0.3">
      <c r="A39" s="7258">
        <v>19185300</v>
      </c>
      <c r="B39" s="8555"/>
      <c r="C39" s="135" t="s">
        <v>26</v>
      </c>
      <c r="D39" s="323" t="s">
        <v>5369</v>
      </c>
      <c r="E39" s="324" t="s">
        <v>5370</v>
      </c>
      <c r="F39" s="786" t="s">
        <v>5371</v>
      </c>
      <c r="G39" s="93" t="s">
        <v>5372</v>
      </c>
      <c r="H39" s="170" t="s">
        <v>5373</v>
      </c>
      <c r="I39" s="110" t="s">
        <v>5374</v>
      </c>
      <c r="J39" s="144" t="s">
        <v>5375</v>
      </c>
      <c r="K39" s="110" t="s">
        <v>5376</v>
      </c>
      <c r="L39" s="122" t="s">
        <v>5377</v>
      </c>
      <c r="M39" s="110" t="s">
        <v>5378</v>
      </c>
      <c r="N39" s="122" t="s">
        <v>5379</v>
      </c>
      <c r="O39" s="110" t="s">
        <v>5380</v>
      </c>
      <c r="P39" s="122" t="s">
        <v>5381</v>
      </c>
      <c r="Q39" s="110" t="s">
        <v>5382</v>
      </c>
      <c r="R39" s="122" t="s">
        <v>5383</v>
      </c>
      <c r="S39" s="110" t="s">
        <v>5384</v>
      </c>
      <c r="T39" s="122" t="s">
        <v>5385</v>
      </c>
      <c r="U39" s="110" t="s">
        <v>5386</v>
      </c>
      <c r="V39" s="122" t="s">
        <v>5387</v>
      </c>
      <c r="W39" s="110" t="s">
        <v>5388</v>
      </c>
      <c r="X39" s="122" t="s">
        <v>5389</v>
      </c>
      <c r="Y39" s="110" t="s">
        <v>5390</v>
      </c>
      <c r="Z39" s="122" t="s">
        <v>5391</v>
      </c>
      <c r="AA39" s="110" t="s">
        <v>5392</v>
      </c>
      <c r="AB39" s="122" t="s">
        <v>5393</v>
      </c>
      <c r="AC39" s="110" t="s">
        <v>5394</v>
      </c>
      <c r="AD39" s="122" t="s">
        <v>5395</v>
      </c>
      <c r="AE39" s="110" t="s">
        <v>5396</v>
      </c>
      <c r="AF39" s="122" t="s">
        <v>5397</v>
      </c>
      <c r="AG39" s="110" t="s">
        <v>5398</v>
      </c>
      <c r="AH39" s="122" t="s">
        <v>5399</v>
      </c>
      <c r="AI39" s="110" t="s">
        <v>5400</v>
      </c>
      <c r="AJ39" s="122" t="s">
        <v>5401</v>
      </c>
      <c r="AK39" s="110" t="s">
        <v>5402</v>
      </c>
      <c r="AL39" s="122" t="s">
        <v>5403</v>
      </c>
      <c r="AM39" s="157" t="s">
        <v>5404</v>
      </c>
      <c r="AN39" s="197" t="s">
        <v>5405</v>
      </c>
      <c r="AO39" s="2512" t="s">
        <v>5406</v>
      </c>
      <c r="AP39" s="2852" t="s">
        <v>5407</v>
      </c>
      <c r="AQ39" s="1843" t="s">
        <v>5408</v>
      </c>
      <c r="AR39" s="123" t="s">
        <v>5409</v>
      </c>
      <c r="AS39" s="123" t="s">
        <v>5410</v>
      </c>
      <c r="AT39" s="728" t="s">
        <v>5411</v>
      </c>
      <c r="AU39" s="123" t="s">
        <v>5412</v>
      </c>
      <c r="AV39" s="123" t="s">
        <v>5413</v>
      </c>
      <c r="AW39" s="806"/>
      <c r="AX39" s="806"/>
      <c r="AY39" s="806"/>
      <c r="AZ39" s="806"/>
      <c r="BA39" s="806"/>
      <c r="BB39" s="806"/>
      <c r="BC39" s="806"/>
      <c r="BD39" s="806"/>
      <c r="BE39" s="806"/>
      <c r="BF39" s="806"/>
      <c r="BG39" s="1191"/>
      <c r="BH39" s="1191"/>
      <c r="BY39" s="827"/>
      <c r="CB39" s="1445" t="str">
        <f t="shared" si="8"/>
        <v/>
      </c>
      <c r="CC39" s="1445" t="e">
        <f t="shared" si="9"/>
        <v>#VALUE!</v>
      </c>
      <c r="CD39" s="1445" t="str">
        <f t="shared" si="10"/>
        <v xml:space="preserve">* Las consejerías realizadas en Espacios amigables NO DEBEN ser mayor al Total. </v>
      </c>
      <c r="CE39" s="1445" t="e">
        <f t="shared" si="11"/>
        <v>#VALUE!</v>
      </c>
      <c r="CF39" s="1445"/>
      <c r="CG39" s="1445"/>
      <c r="CH39" s="1446">
        <f t="shared" si="4"/>
        <v>0</v>
      </c>
      <c r="CI39" s="1446" t="e">
        <f t="shared" si="5"/>
        <v>#VALUE!</v>
      </c>
      <c r="CJ39" s="1446">
        <f t="shared" si="6"/>
        <v>1</v>
      </c>
      <c r="CK39" s="1446" t="e">
        <f t="shared" si="7"/>
        <v>#VALUE!</v>
      </c>
      <c r="CL39" s="1443"/>
      <c r="CM39" s="1443"/>
      <c r="CN39" s="1443"/>
      <c r="CO39" s="1443"/>
      <c r="CP39" s="1443"/>
    </row>
    <row r="40" spans="1:94" ht="16.350000000000001" customHeight="1" x14ac:dyDescent="0.3">
      <c r="A40" s="7258">
        <v>19185400</v>
      </c>
      <c r="B40" s="8555"/>
      <c r="C40" s="135" t="s">
        <v>2597</v>
      </c>
      <c r="D40" s="323" t="s">
        <v>5369</v>
      </c>
      <c r="E40" s="324" t="s">
        <v>5370</v>
      </c>
      <c r="F40" s="786" t="s">
        <v>5371</v>
      </c>
      <c r="G40" s="93" t="s">
        <v>5372</v>
      </c>
      <c r="H40" s="170" t="s">
        <v>5373</v>
      </c>
      <c r="I40" s="110" t="s">
        <v>5374</v>
      </c>
      <c r="J40" s="144" t="s">
        <v>5375</v>
      </c>
      <c r="K40" s="110" t="s">
        <v>5376</v>
      </c>
      <c r="L40" s="122" t="s">
        <v>5377</v>
      </c>
      <c r="M40" s="110" t="s">
        <v>5378</v>
      </c>
      <c r="N40" s="122" t="s">
        <v>5379</v>
      </c>
      <c r="O40" s="110" t="s">
        <v>5380</v>
      </c>
      <c r="P40" s="122" t="s">
        <v>5381</v>
      </c>
      <c r="Q40" s="110" t="s">
        <v>5382</v>
      </c>
      <c r="R40" s="122" t="s">
        <v>5383</v>
      </c>
      <c r="S40" s="110" t="s">
        <v>5384</v>
      </c>
      <c r="T40" s="122" t="s">
        <v>5385</v>
      </c>
      <c r="U40" s="110" t="s">
        <v>5386</v>
      </c>
      <c r="V40" s="122" t="s">
        <v>5387</v>
      </c>
      <c r="W40" s="110" t="s">
        <v>5388</v>
      </c>
      <c r="X40" s="122" t="s">
        <v>5389</v>
      </c>
      <c r="Y40" s="110" t="s">
        <v>5390</v>
      </c>
      <c r="Z40" s="122" t="s">
        <v>5391</v>
      </c>
      <c r="AA40" s="110" t="s">
        <v>5392</v>
      </c>
      <c r="AB40" s="122" t="s">
        <v>5393</v>
      </c>
      <c r="AC40" s="110" t="s">
        <v>5394</v>
      </c>
      <c r="AD40" s="122" t="s">
        <v>5395</v>
      </c>
      <c r="AE40" s="110" t="s">
        <v>5396</v>
      </c>
      <c r="AF40" s="122" t="s">
        <v>5397</v>
      </c>
      <c r="AG40" s="110" t="s">
        <v>5398</v>
      </c>
      <c r="AH40" s="122" t="s">
        <v>5399</v>
      </c>
      <c r="AI40" s="110" t="s">
        <v>5400</v>
      </c>
      <c r="AJ40" s="122" t="s">
        <v>5401</v>
      </c>
      <c r="AK40" s="110" t="s">
        <v>5402</v>
      </c>
      <c r="AL40" s="122" t="s">
        <v>5403</v>
      </c>
      <c r="AM40" s="157" t="s">
        <v>5404</v>
      </c>
      <c r="AN40" s="197" t="s">
        <v>5405</v>
      </c>
      <c r="AO40" s="2512" t="s">
        <v>5406</v>
      </c>
      <c r="AP40" s="2852" t="s">
        <v>5407</v>
      </c>
      <c r="AQ40" s="1843" t="s">
        <v>5408</v>
      </c>
      <c r="AR40" s="123" t="s">
        <v>5409</v>
      </c>
      <c r="AS40" s="123" t="s">
        <v>5410</v>
      </c>
      <c r="AT40" s="728" t="s">
        <v>5411</v>
      </c>
      <c r="AU40" s="123" t="s">
        <v>5412</v>
      </c>
      <c r="AV40" s="123" t="s">
        <v>5413</v>
      </c>
      <c r="AW40" s="806"/>
      <c r="AX40" s="806"/>
      <c r="AY40" s="806"/>
      <c r="AZ40" s="806"/>
      <c r="BA40" s="806"/>
      <c r="BB40" s="806"/>
      <c r="BC40" s="806"/>
      <c r="BD40" s="806"/>
      <c r="BE40" s="806"/>
      <c r="BF40" s="806"/>
      <c r="BG40" s="1191"/>
      <c r="BH40" s="1191"/>
      <c r="BY40" s="827"/>
      <c r="CB40" s="1445" t="str">
        <f t="shared" si="8"/>
        <v/>
      </c>
      <c r="CC40" s="1445" t="e">
        <f t="shared" si="9"/>
        <v>#VALUE!</v>
      </c>
      <c r="CD40" s="1445" t="str">
        <f t="shared" si="10"/>
        <v xml:space="preserve">* Las consejerías realizadas en Espacios amigables NO DEBEN ser mayor al Total. </v>
      </c>
      <c r="CE40" s="1445" t="e">
        <f t="shared" si="11"/>
        <v>#VALUE!</v>
      </c>
      <c r="CF40" s="1445"/>
      <c r="CG40" s="1445"/>
      <c r="CH40" s="1446">
        <f t="shared" si="4"/>
        <v>0</v>
      </c>
      <c r="CI40" s="1446" t="e">
        <f t="shared" si="5"/>
        <v>#VALUE!</v>
      </c>
      <c r="CJ40" s="1446">
        <f t="shared" si="6"/>
        <v>1</v>
      </c>
      <c r="CK40" s="1446" t="e">
        <f t="shared" si="7"/>
        <v>#VALUE!</v>
      </c>
      <c r="CL40" s="1443"/>
      <c r="CM40" s="1443"/>
      <c r="CN40" s="1443"/>
      <c r="CO40" s="1443"/>
      <c r="CP40" s="1443"/>
    </row>
    <row r="41" spans="1:94" ht="16.350000000000001" customHeight="1" x14ac:dyDescent="0.3">
      <c r="A41" s="7258">
        <v>19185500</v>
      </c>
      <c r="B41" s="8555"/>
      <c r="C41" s="135" t="s">
        <v>1267</v>
      </c>
      <c r="D41" s="323" t="s">
        <v>5369</v>
      </c>
      <c r="E41" s="324" t="s">
        <v>5370</v>
      </c>
      <c r="F41" s="786" t="s">
        <v>5371</v>
      </c>
      <c r="G41" s="93" t="s">
        <v>5372</v>
      </c>
      <c r="H41" s="170" t="s">
        <v>5373</v>
      </c>
      <c r="I41" s="110" t="s">
        <v>5374</v>
      </c>
      <c r="J41" s="144" t="s">
        <v>5375</v>
      </c>
      <c r="K41" s="110" t="s">
        <v>5376</v>
      </c>
      <c r="L41" s="122" t="s">
        <v>5377</v>
      </c>
      <c r="M41" s="110" t="s">
        <v>5378</v>
      </c>
      <c r="N41" s="122" t="s">
        <v>5379</v>
      </c>
      <c r="O41" s="110" t="s">
        <v>5380</v>
      </c>
      <c r="P41" s="122" t="s">
        <v>5381</v>
      </c>
      <c r="Q41" s="110" t="s">
        <v>5382</v>
      </c>
      <c r="R41" s="122" t="s">
        <v>5383</v>
      </c>
      <c r="S41" s="110" t="s">
        <v>5384</v>
      </c>
      <c r="T41" s="122" t="s">
        <v>5385</v>
      </c>
      <c r="U41" s="110" t="s">
        <v>5386</v>
      </c>
      <c r="V41" s="122" t="s">
        <v>5387</v>
      </c>
      <c r="W41" s="110" t="s">
        <v>5388</v>
      </c>
      <c r="X41" s="122" t="s">
        <v>5389</v>
      </c>
      <c r="Y41" s="110" t="s">
        <v>5390</v>
      </c>
      <c r="Z41" s="122" t="s">
        <v>5391</v>
      </c>
      <c r="AA41" s="110" t="s">
        <v>5392</v>
      </c>
      <c r="AB41" s="122" t="s">
        <v>5393</v>
      </c>
      <c r="AC41" s="110" t="s">
        <v>5394</v>
      </c>
      <c r="AD41" s="122" t="s">
        <v>5395</v>
      </c>
      <c r="AE41" s="110" t="s">
        <v>5396</v>
      </c>
      <c r="AF41" s="122" t="s">
        <v>5397</v>
      </c>
      <c r="AG41" s="110" t="s">
        <v>5398</v>
      </c>
      <c r="AH41" s="122" t="s">
        <v>5399</v>
      </c>
      <c r="AI41" s="110" t="s">
        <v>5400</v>
      </c>
      <c r="AJ41" s="122" t="s">
        <v>5401</v>
      </c>
      <c r="AK41" s="110" t="s">
        <v>5402</v>
      </c>
      <c r="AL41" s="122" t="s">
        <v>5403</v>
      </c>
      <c r="AM41" s="157" t="s">
        <v>5404</v>
      </c>
      <c r="AN41" s="197" t="s">
        <v>5405</v>
      </c>
      <c r="AO41" s="2512" t="s">
        <v>5406</v>
      </c>
      <c r="AP41" s="2852" t="s">
        <v>5407</v>
      </c>
      <c r="AQ41" s="1843" t="s">
        <v>5408</v>
      </c>
      <c r="AR41" s="123" t="s">
        <v>5409</v>
      </c>
      <c r="AS41" s="123" t="s">
        <v>5410</v>
      </c>
      <c r="AT41" s="728" t="s">
        <v>5411</v>
      </c>
      <c r="AU41" s="123" t="s">
        <v>5412</v>
      </c>
      <c r="AV41" s="123" t="s">
        <v>5413</v>
      </c>
      <c r="AW41" s="806"/>
      <c r="AX41" s="806"/>
      <c r="AY41" s="806"/>
      <c r="AZ41" s="806"/>
      <c r="BA41" s="806"/>
      <c r="BB41" s="806"/>
      <c r="BC41" s="806"/>
      <c r="BD41" s="806"/>
      <c r="BE41" s="806"/>
      <c r="BF41" s="806"/>
      <c r="BG41" s="1191"/>
      <c r="BH41" s="1191"/>
      <c r="BY41" s="827"/>
      <c r="CB41" s="1445" t="str">
        <f t="shared" si="8"/>
        <v/>
      </c>
      <c r="CC41" s="1445" t="e">
        <f t="shared" si="9"/>
        <v>#VALUE!</v>
      </c>
      <c r="CD41" s="1445" t="str">
        <f t="shared" si="10"/>
        <v xml:space="preserve">* Las consejerías realizadas en Espacios amigables NO DEBEN ser mayor al Total. </v>
      </c>
      <c r="CE41" s="1445" t="e">
        <f t="shared" si="11"/>
        <v>#VALUE!</v>
      </c>
      <c r="CF41" s="1445"/>
      <c r="CG41" s="1445"/>
      <c r="CH41" s="1446">
        <f t="shared" si="4"/>
        <v>0</v>
      </c>
      <c r="CI41" s="1446" t="e">
        <f t="shared" si="5"/>
        <v>#VALUE!</v>
      </c>
      <c r="CJ41" s="1446">
        <f t="shared" si="6"/>
        <v>1</v>
      </c>
      <c r="CK41" s="1446" t="e">
        <f t="shared" si="7"/>
        <v>#VALUE!</v>
      </c>
      <c r="CL41" s="1443"/>
      <c r="CM41" s="1443"/>
      <c r="CN41" s="1443"/>
      <c r="CO41" s="1443"/>
      <c r="CP41" s="1443"/>
    </row>
    <row r="42" spans="1:94" ht="16.350000000000001" customHeight="1" x14ac:dyDescent="0.3">
      <c r="A42" s="7258">
        <v>19185600</v>
      </c>
      <c r="B42" s="8555"/>
      <c r="C42" s="135" t="s">
        <v>1016</v>
      </c>
      <c r="D42" s="323" t="s">
        <v>5369</v>
      </c>
      <c r="E42" s="324" t="s">
        <v>5370</v>
      </c>
      <c r="F42" s="786" t="s">
        <v>5371</v>
      </c>
      <c r="G42" s="93" t="s">
        <v>5372</v>
      </c>
      <c r="H42" s="170" t="s">
        <v>5373</v>
      </c>
      <c r="I42" s="110" t="s">
        <v>5374</v>
      </c>
      <c r="J42" s="144" t="s">
        <v>5375</v>
      </c>
      <c r="K42" s="110" t="s">
        <v>5376</v>
      </c>
      <c r="L42" s="122" t="s">
        <v>5377</v>
      </c>
      <c r="M42" s="110" t="s">
        <v>5378</v>
      </c>
      <c r="N42" s="122" t="s">
        <v>5379</v>
      </c>
      <c r="O42" s="110" t="s">
        <v>5380</v>
      </c>
      <c r="P42" s="122" t="s">
        <v>5381</v>
      </c>
      <c r="Q42" s="110" t="s">
        <v>5382</v>
      </c>
      <c r="R42" s="122" t="s">
        <v>5383</v>
      </c>
      <c r="S42" s="110" t="s">
        <v>5384</v>
      </c>
      <c r="T42" s="122" t="s">
        <v>5385</v>
      </c>
      <c r="U42" s="110" t="s">
        <v>5386</v>
      </c>
      <c r="V42" s="122" t="s">
        <v>5387</v>
      </c>
      <c r="W42" s="110" t="s">
        <v>5388</v>
      </c>
      <c r="X42" s="122" t="s">
        <v>5389</v>
      </c>
      <c r="Y42" s="110" t="s">
        <v>5390</v>
      </c>
      <c r="Z42" s="122" t="s">
        <v>5391</v>
      </c>
      <c r="AA42" s="110" t="s">
        <v>5392</v>
      </c>
      <c r="AB42" s="122" t="s">
        <v>5393</v>
      </c>
      <c r="AC42" s="110" t="s">
        <v>5394</v>
      </c>
      <c r="AD42" s="122" t="s">
        <v>5395</v>
      </c>
      <c r="AE42" s="110" t="s">
        <v>5396</v>
      </c>
      <c r="AF42" s="122" t="s">
        <v>5397</v>
      </c>
      <c r="AG42" s="110" t="s">
        <v>5398</v>
      </c>
      <c r="AH42" s="122" t="s">
        <v>5399</v>
      </c>
      <c r="AI42" s="110" t="s">
        <v>5400</v>
      </c>
      <c r="AJ42" s="122" t="s">
        <v>5401</v>
      </c>
      <c r="AK42" s="110" t="s">
        <v>5402</v>
      </c>
      <c r="AL42" s="122" t="s">
        <v>5403</v>
      </c>
      <c r="AM42" s="157" t="s">
        <v>5404</v>
      </c>
      <c r="AN42" s="197" t="s">
        <v>5405</v>
      </c>
      <c r="AO42" s="2512" t="s">
        <v>5406</v>
      </c>
      <c r="AP42" s="2852" t="s">
        <v>5407</v>
      </c>
      <c r="AQ42" s="1843" t="s">
        <v>5408</v>
      </c>
      <c r="AR42" s="123" t="s">
        <v>5409</v>
      </c>
      <c r="AS42" s="123" t="s">
        <v>5410</v>
      </c>
      <c r="AT42" s="728" t="s">
        <v>5411</v>
      </c>
      <c r="AU42" s="123" t="s">
        <v>5412</v>
      </c>
      <c r="AV42" s="123" t="s">
        <v>5413</v>
      </c>
      <c r="AW42" s="806"/>
      <c r="AX42" s="806"/>
      <c r="AY42" s="806"/>
      <c r="AZ42" s="806"/>
      <c r="BA42" s="806"/>
      <c r="BB42" s="806"/>
      <c r="BC42" s="806"/>
      <c r="BD42" s="806"/>
      <c r="BE42" s="806"/>
      <c r="BF42" s="806"/>
      <c r="BG42" s="1191"/>
      <c r="BH42" s="1191"/>
      <c r="BY42" s="827"/>
      <c r="CB42" s="1445" t="str">
        <f t="shared" si="8"/>
        <v/>
      </c>
      <c r="CC42" s="1445" t="e">
        <f t="shared" si="9"/>
        <v>#VALUE!</v>
      </c>
      <c r="CD42" s="1445" t="str">
        <f t="shared" si="10"/>
        <v xml:space="preserve">* Las consejerías realizadas en Espacios amigables NO DEBEN ser mayor al Total. </v>
      </c>
      <c r="CE42" s="1445" t="e">
        <f t="shared" si="11"/>
        <v>#VALUE!</v>
      </c>
      <c r="CF42" s="1445"/>
      <c r="CG42" s="1445"/>
      <c r="CH42" s="1446">
        <f t="shared" si="4"/>
        <v>0</v>
      </c>
      <c r="CI42" s="1446" t="e">
        <f t="shared" si="5"/>
        <v>#VALUE!</v>
      </c>
      <c r="CJ42" s="1446">
        <f t="shared" si="6"/>
        <v>1</v>
      </c>
      <c r="CK42" s="1446" t="e">
        <f t="shared" si="7"/>
        <v>#VALUE!</v>
      </c>
      <c r="CL42" s="1443"/>
      <c r="CM42" s="1443"/>
      <c r="CN42" s="1443"/>
      <c r="CO42" s="1443"/>
      <c r="CP42" s="1443"/>
    </row>
    <row r="43" spans="1:94" ht="16.350000000000001" customHeight="1" x14ac:dyDescent="0.3">
      <c r="A43" s="7258">
        <v>19185700</v>
      </c>
      <c r="B43" s="8555"/>
      <c r="C43" s="3277" t="s">
        <v>62</v>
      </c>
      <c r="D43" s="560" t="s">
        <v>5369</v>
      </c>
      <c r="E43" s="559" t="s">
        <v>5370</v>
      </c>
      <c r="F43" s="796" t="s">
        <v>5371</v>
      </c>
      <c r="G43" s="93" t="s">
        <v>5372</v>
      </c>
      <c r="H43" s="170" t="s">
        <v>5373</v>
      </c>
      <c r="I43" s="137" t="s">
        <v>5374</v>
      </c>
      <c r="J43" s="164" t="s">
        <v>5375</v>
      </c>
      <c r="K43" s="137" t="s">
        <v>5376</v>
      </c>
      <c r="L43" s="138" t="s">
        <v>5377</v>
      </c>
      <c r="M43" s="137" t="s">
        <v>5378</v>
      </c>
      <c r="N43" s="138" t="s">
        <v>5379</v>
      </c>
      <c r="O43" s="137" t="s">
        <v>5380</v>
      </c>
      <c r="P43" s="138" t="s">
        <v>5381</v>
      </c>
      <c r="Q43" s="137" t="s">
        <v>5382</v>
      </c>
      <c r="R43" s="138" t="s">
        <v>5383</v>
      </c>
      <c r="S43" s="137" t="s">
        <v>5384</v>
      </c>
      <c r="T43" s="138" t="s">
        <v>5385</v>
      </c>
      <c r="U43" s="137" t="s">
        <v>5386</v>
      </c>
      <c r="V43" s="138" t="s">
        <v>5387</v>
      </c>
      <c r="W43" s="137" t="s">
        <v>5388</v>
      </c>
      <c r="X43" s="138" t="s">
        <v>5389</v>
      </c>
      <c r="Y43" s="137" t="s">
        <v>5390</v>
      </c>
      <c r="Z43" s="138" t="s">
        <v>5391</v>
      </c>
      <c r="AA43" s="137" t="s">
        <v>5392</v>
      </c>
      <c r="AB43" s="138" t="s">
        <v>5393</v>
      </c>
      <c r="AC43" s="137" t="s">
        <v>5394</v>
      </c>
      <c r="AD43" s="138" t="s">
        <v>5395</v>
      </c>
      <c r="AE43" s="137" t="s">
        <v>5396</v>
      </c>
      <c r="AF43" s="138" t="s">
        <v>5397</v>
      </c>
      <c r="AG43" s="137" t="s">
        <v>5398</v>
      </c>
      <c r="AH43" s="138" t="s">
        <v>5399</v>
      </c>
      <c r="AI43" s="137" t="s">
        <v>5400</v>
      </c>
      <c r="AJ43" s="138" t="s">
        <v>5401</v>
      </c>
      <c r="AK43" s="137" t="s">
        <v>5402</v>
      </c>
      <c r="AL43" s="138" t="s">
        <v>5403</v>
      </c>
      <c r="AM43" s="161" t="s">
        <v>5404</v>
      </c>
      <c r="AN43" s="260" t="s">
        <v>5405</v>
      </c>
      <c r="AO43" s="2512" t="s">
        <v>5406</v>
      </c>
      <c r="AP43" s="2796" t="s">
        <v>5407</v>
      </c>
      <c r="AQ43" s="1843" t="s">
        <v>5408</v>
      </c>
      <c r="AR43" s="123" t="s">
        <v>5409</v>
      </c>
      <c r="AS43" s="123" t="s">
        <v>5410</v>
      </c>
      <c r="AT43" s="728" t="s">
        <v>5411</v>
      </c>
      <c r="AU43" s="123" t="s">
        <v>5412</v>
      </c>
      <c r="AV43" s="123" t="s">
        <v>5413</v>
      </c>
      <c r="AW43" s="806"/>
      <c r="AX43" s="806"/>
      <c r="AY43" s="806"/>
      <c r="AZ43" s="806"/>
      <c r="BA43" s="806"/>
      <c r="BB43" s="806"/>
      <c r="BC43" s="806"/>
      <c r="BD43" s="806"/>
      <c r="BE43" s="806"/>
      <c r="BF43" s="806"/>
      <c r="BG43" s="1191"/>
      <c r="BH43" s="1191"/>
      <c r="BY43" s="827"/>
      <c r="CB43" s="1445" t="str">
        <f t="shared" si="8"/>
        <v/>
      </c>
      <c r="CC43" s="1445" t="e">
        <f t="shared" si="9"/>
        <v>#VALUE!</v>
      </c>
      <c r="CD43" s="1445" t="str">
        <f t="shared" si="10"/>
        <v xml:space="preserve">* Las consejerías realizadas en Espacios amigables NO DEBEN ser mayor al Total. </v>
      </c>
      <c r="CE43" s="1445" t="e">
        <f t="shared" si="11"/>
        <v>#VALUE!</v>
      </c>
      <c r="CF43" s="1445"/>
      <c r="CG43" s="1445"/>
      <c r="CH43" s="1446">
        <f t="shared" si="4"/>
        <v>0</v>
      </c>
      <c r="CI43" s="1446" t="e">
        <f t="shared" si="5"/>
        <v>#VALUE!</v>
      </c>
      <c r="CJ43" s="1446">
        <f t="shared" si="6"/>
        <v>1</v>
      </c>
      <c r="CK43" s="1446" t="e">
        <f t="shared" si="7"/>
        <v>#VALUE!</v>
      </c>
      <c r="CL43" s="1443"/>
      <c r="CM43" s="1443"/>
      <c r="CN43" s="1443"/>
      <c r="CO43" s="1443"/>
      <c r="CP43" s="1443"/>
    </row>
    <row r="44" spans="1:94" ht="16.350000000000001" customHeight="1" x14ac:dyDescent="0.3">
      <c r="A44" s="7258">
        <v>19185800</v>
      </c>
      <c r="B44" s="8555"/>
      <c r="C44" s="135" t="s">
        <v>1265</v>
      </c>
      <c r="D44" s="323" t="s">
        <v>5369</v>
      </c>
      <c r="E44" s="324" t="s">
        <v>5370</v>
      </c>
      <c r="F44" s="786" t="s">
        <v>5371</v>
      </c>
      <c r="G44" s="93" t="s">
        <v>5372</v>
      </c>
      <c r="H44" s="1583" t="s">
        <v>5373</v>
      </c>
      <c r="I44" s="110" t="s">
        <v>5374</v>
      </c>
      <c r="J44" s="144" t="s">
        <v>5375</v>
      </c>
      <c r="K44" s="110" t="s">
        <v>5376</v>
      </c>
      <c r="L44" s="122" t="s">
        <v>5377</v>
      </c>
      <c r="M44" s="110" t="s">
        <v>5378</v>
      </c>
      <c r="N44" s="122" t="s">
        <v>5379</v>
      </c>
      <c r="O44" s="110" t="s">
        <v>5380</v>
      </c>
      <c r="P44" s="122" t="s">
        <v>5381</v>
      </c>
      <c r="Q44" s="110" t="s">
        <v>5382</v>
      </c>
      <c r="R44" s="122" t="s">
        <v>5383</v>
      </c>
      <c r="S44" s="110" t="s">
        <v>5384</v>
      </c>
      <c r="T44" s="122" t="s">
        <v>5385</v>
      </c>
      <c r="U44" s="110" t="s">
        <v>5386</v>
      </c>
      <c r="V44" s="122" t="s">
        <v>5387</v>
      </c>
      <c r="W44" s="110" t="s">
        <v>5388</v>
      </c>
      <c r="X44" s="122" t="s">
        <v>5389</v>
      </c>
      <c r="Y44" s="110" t="s">
        <v>5390</v>
      </c>
      <c r="Z44" s="122" t="s">
        <v>5391</v>
      </c>
      <c r="AA44" s="110" t="s">
        <v>5392</v>
      </c>
      <c r="AB44" s="122" t="s">
        <v>5393</v>
      </c>
      <c r="AC44" s="110" t="s">
        <v>5394</v>
      </c>
      <c r="AD44" s="122" t="s">
        <v>5395</v>
      </c>
      <c r="AE44" s="110" t="s">
        <v>5396</v>
      </c>
      <c r="AF44" s="122" t="s">
        <v>5397</v>
      </c>
      <c r="AG44" s="110" t="s">
        <v>5398</v>
      </c>
      <c r="AH44" s="122" t="s">
        <v>5399</v>
      </c>
      <c r="AI44" s="110" t="s">
        <v>5400</v>
      </c>
      <c r="AJ44" s="122" t="s">
        <v>5401</v>
      </c>
      <c r="AK44" s="110" t="s">
        <v>5402</v>
      </c>
      <c r="AL44" s="122" t="s">
        <v>5403</v>
      </c>
      <c r="AM44" s="157" t="s">
        <v>5404</v>
      </c>
      <c r="AN44" s="197" t="s">
        <v>5405</v>
      </c>
      <c r="AO44" s="2512" t="s">
        <v>5406</v>
      </c>
      <c r="AP44" s="2852" t="s">
        <v>5407</v>
      </c>
      <c r="AQ44" s="1843" t="s">
        <v>5408</v>
      </c>
      <c r="AR44" s="123" t="s">
        <v>5409</v>
      </c>
      <c r="AS44" s="123" t="s">
        <v>5410</v>
      </c>
      <c r="AT44" s="728" t="s">
        <v>5411</v>
      </c>
      <c r="AU44" s="123" t="s">
        <v>5412</v>
      </c>
      <c r="AV44" s="123" t="s">
        <v>5413</v>
      </c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1191"/>
      <c r="BH44" s="1191"/>
      <c r="BY44" s="827"/>
      <c r="CB44" s="1445" t="str">
        <f t="shared" si="8"/>
        <v/>
      </c>
      <c r="CC44" s="1445" t="e">
        <f t="shared" si="9"/>
        <v>#VALUE!</v>
      </c>
      <c r="CD44" s="1445" t="str">
        <f t="shared" si="10"/>
        <v xml:space="preserve">* Las consejerías realizadas en Espacios amigables NO DEBEN ser mayor al Total. </v>
      </c>
      <c r="CE44" s="1445" t="e">
        <f t="shared" si="11"/>
        <v>#VALUE!</v>
      </c>
      <c r="CF44" s="1445"/>
      <c r="CG44" s="1445"/>
      <c r="CH44" s="1446">
        <f t="shared" si="4"/>
        <v>0</v>
      </c>
      <c r="CI44" s="1446" t="e">
        <f t="shared" si="5"/>
        <v>#VALUE!</v>
      </c>
      <c r="CJ44" s="1446">
        <f t="shared" si="6"/>
        <v>1</v>
      </c>
      <c r="CK44" s="1446" t="e">
        <f t="shared" si="7"/>
        <v>#VALUE!</v>
      </c>
      <c r="CL44" s="1443"/>
      <c r="CM44" s="1443"/>
      <c r="CN44" s="1443"/>
      <c r="CO44" s="1443"/>
      <c r="CP44" s="1443"/>
    </row>
    <row r="45" spans="1:94" ht="16.350000000000001" customHeight="1" x14ac:dyDescent="0.3">
      <c r="A45" s="7258">
        <v>19185801</v>
      </c>
      <c r="B45" s="8555"/>
      <c r="C45" s="153" t="s">
        <v>1266</v>
      </c>
      <c r="D45" s="323" t="s">
        <v>5369</v>
      </c>
      <c r="E45" s="324" t="s">
        <v>5370</v>
      </c>
      <c r="F45" s="785" t="s">
        <v>5371</v>
      </c>
      <c r="G45" s="93" t="s">
        <v>5372</v>
      </c>
      <c r="H45" s="1584" t="s">
        <v>5373</v>
      </c>
      <c r="I45" s="110" t="s">
        <v>5374</v>
      </c>
      <c r="J45" s="144" t="s">
        <v>5375</v>
      </c>
      <c r="K45" s="110" t="s">
        <v>5376</v>
      </c>
      <c r="L45" s="122" t="s">
        <v>5377</v>
      </c>
      <c r="M45" s="110" t="s">
        <v>5378</v>
      </c>
      <c r="N45" s="122" t="s">
        <v>5379</v>
      </c>
      <c r="O45" s="110" t="s">
        <v>5380</v>
      </c>
      <c r="P45" s="122" t="s">
        <v>5381</v>
      </c>
      <c r="Q45" s="110" t="s">
        <v>5382</v>
      </c>
      <c r="R45" s="122" t="s">
        <v>5383</v>
      </c>
      <c r="S45" s="110" t="s">
        <v>5384</v>
      </c>
      <c r="T45" s="122" t="s">
        <v>5385</v>
      </c>
      <c r="U45" s="110" t="s">
        <v>5386</v>
      </c>
      <c r="V45" s="122" t="s">
        <v>5387</v>
      </c>
      <c r="W45" s="110" t="s">
        <v>5388</v>
      </c>
      <c r="X45" s="122" t="s">
        <v>5389</v>
      </c>
      <c r="Y45" s="110" t="s">
        <v>5390</v>
      </c>
      <c r="Z45" s="122" t="s">
        <v>5391</v>
      </c>
      <c r="AA45" s="110" t="s">
        <v>5392</v>
      </c>
      <c r="AB45" s="122" t="s">
        <v>5393</v>
      </c>
      <c r="AC45" s="110" t="s">
        <v>5394</v>
      </c>
      <c r="AD45" s="122" t="s">
        <v>5395</v>
      </c>
      <c r="AE45" s="110" t="s">
        <v>5396</v>
      </c>
      <c r="AF45" s="122" t="s">
        <v>5397</v>
      </c>
      <c r="AG45" s="110" t="s">
        <v>5398</v>
      </c>
      <c r="AH45" s="168" t="s">
        <v>5399</v>
      </c>
      <c r="AI45" s="110" t="s">
        <v>5400</v>
      </c>
      <c r="AJ45" s="122" t="s">
        <v>5401</v>
      </c>
      <c r="AK45" s="110" t="s">
        <v>5402</v>
      </c>
      <c r="AL45" s="122" t="s">
        <v>5403</v>
      </c>
      <c r="AM45" s="157" t="s">
        <v>5404</v>
      </c>
      <c r="AN45" s="197" t="s">
        <v>5405</v>
      </c>
      <c r="AO45" s="2512" t="s">
        <v>5406</v>
      </c>
      <c r="AP45" s="2852" t="s">
        <v>5407</v>
      </c>
      <c r="AQ45" s="1843" t="s">
        <v>5408</v>
      </c>
      <c r="AR45" s="123" t="s">
        <v>5409</v>
      </c>
      <c r="AS45" s="123" t="s">
        <v>5410</v>
      </c>
      <c r="AT45" s="728" t="s">
        <v>5411</v>
      </c>
      <c r="AU45" s="123" t="s">
        <v>5412</v>
      </c>
      <c r="AV45" s="123" t="s">
        <v>5413</v>
      </c>
      <c r="AW45" s="806"/>
      <c r="AX45" s="806"/>
      <c r="AY45" s="806"/>
      <c r="AZ45" s="806"/>
      <c r="BA45" s="806"/>
      <c r="BB45" s="806"/>
      <c r="BC45" s="806"/>
      <c r="BD45" s="806"/>
      <c r="BE45" s="806"/>
      <c r="BF45" s="806"/>
      <c r="BG45" s="1191"/>
      <c r="BH45" s="1191"/>
      <c r="BY45" s="827"/>
      <c r="CB45" s="1445" t="str">
        <f t="shared" si="8"/>
        <v/>
      </c>
      <c r="CC45" s="1445" t="e">
        <f t="shared" si="9"/>
        <v>#VALUE!</v>
      </c>
      <c r="CD45" s="1445" t="str">
        <f t="shared" si="10"/>
        <v xml:space="preserve">* Las consejerías realizadas en Espacios amigables NO DEBEN ser mayor al Total. </v>
      </c>
      <c r="CE45" s="1445" t="e">
        <f t="shared" si="11"/>
        <v>#VALUE!</v>
      </c>
      <c r="CF45" s="1445"/>
      <c r="CG45" s="1445"/>
      <c r="CH45" s="1446">
        <f t="shared" si="4"/>
        <v>0</v>
      </c>
      <c r="CI45" s="1446" t="e">
        <f t="shared" si="5"/>
        <v>#VALUE!</v>
      </c>
      <c r="CJ45" s="1446">
        <f t="shared" si="6"/>
        <v>1</v>
      </c>
      <c r="CK45" s="1446" t="e">
        <f t="shared" si="7"/>
        <v>#VALUE!</v>
      </c>
      <c r="CL45" s="1443"/>
      <c r="CM45" s="1443"/>
      <c r="CN45" s="1443"/>
      <c r="CO45" s="1443"/>
      <c r="CP45" s="1443"/>
    </row>
    <row r="46" spans="1:94" ht="16.350000000000001" customHeight="1" x14ac:dyDescent="0.3">
      <c r="A46" s="7258">
        <v>19185900</v>
      </c>
      <c r="B46" s="8859"/>
      <c r="C46" s="534" t="s">
        <v>27</v>
      </c>
      <c r="D46" s="1336" t="s">
        <v>5369</v>
      </c>
      <c r="E46" s="1337" t="s">
        <v>5370</v>
      </c>
      <c r="F46" s="784" t="s">
        <v>5371</v>
      </c>
      <c r="G46" s="82" t="s">
        <v>5372</v>
      </c>
      <c r="H46" s="795" t="s">
        <v>5373</v>
      </c>
      <c r="I46" s="707" t="s">
        <v>5374</v>
      </c>
      <c r="J46" s="793" t="s">
        <v>5375</v>
      </c>
      <c r="K46" s="707" t="s">
        <v>5376</v>
      </c>
      <c r="L46" s="706" t="s">
        <v>5377</v>
      </c>
      <c r="M46" s="707" t="s">
        <v>5378</v>
      </c>
      <c r="N46" s="706" t="s">
        <v>5379</v>
      </c>
      <c r="O46" s="707" t="s">
        <v>5380</v>
      </c>
      <c r="P46" s="706" t="s">
        <v>5381</v>
      </c>
      <c r="Q46" s="707" t="s">
        <v>5382</v>
      </c>
      <c r="R46" s="706" t="s">
        <v>5383</v>
      </c>
      <c r="S46" s="707" t="s">
        <v>5384</v>
      </c>
      <c r="T46" s="706" t="s">
        <v>5385</v>
      </c>
      <c r="U46" s="707" t="s">
        <v>5386</v>
      </c>
      <c r="V46" s="706" t="s">
        <v>5387</v>
      </c>
      <c r="W46" s="707" t="s">
        <v>5388</v>
      </c>
      <c r="X46" s="706" t="s">
        <v>5389</v>
      </c>
      <c r="Y46" s="707" t="s">
        <v>5390</v>
      </c>
      <c r="Z46" s="706" t="s">
        <v>5391</v>
      </c>
      <c r="AA46" s="707" t="s">
        <v>5392</v>
      </c>
      <c r="AB46" s="706" t="s">
        <v>5393</v>
      </c>
      <c r="AC46" s="707" t="s">
        <v>5394</v>
      </c>
      <c r="AD46" s="706" t="s">
        <v>5395</v>
      </c>
      <c r="AE46" s="707" t="s">
        <v>5396</v>
      </c>
      <c r="AF46" s="706" t="s">
        <v>5397</v>
      </c>
      <c r="AG46" s="707" t="s">
        <v>5398</v>
      </c>
      <c r="AH46" s="706" t="s">
        <v>5399</v>
      </c>
      <c r="AI46" s="707" t="s">
        <v>5400</v>
      </c>
      <c r="AJ46" s="706" t="s">
        <v>5401</v>
      </c>
      <c r="AK46" s="707" t="s">
        <v>5402</v>
      </c>
      <c r="AL46" s="706" t="s">
        <v>5403</v>
      </c>
      <c r="AM46" s="794" t="s">
        <v>5404</v>
      </c>
      <c r="AN46" s="712" t="s">
        <v>5405</v>
      </c>
      <c r="AO46" s="2490" t="s">
        <v>5406</v>
      </c>
      <c r="AP46" s="2873" t="s">
        <v>5407</v>
      </c>
      <c r="AQ46" s="1636" t="s">
        <v>5408</v>
      </c>
      <c r="AR46" s="86" t="s">
        <v>5409</v>
      </c>
      <c r="AS46" s="86" t="s">
        <v>5410</v>
      </c>
      <c r="AT46" s="728" t="s">
        <v>5411</v>
      </c>
      <c r="AU46" s="123" t="s">
        <v>5412</v>
      </c>
      <c r="AV46" s="123" t="s">
        <v>5413</v>
      </c>
      <c r="AW46" s="806"/>
      <c r="AX46" s="806"/>
      <c r="AY46" s="806"/>
      <c r="AZ46" s="806"/>
      <c r="BA46" s="806"/>
      <c r="BB46" s="806"/>
      <c r="BC46" s="806"/>
      <c r="BD46" s="806"/>
      <c r="BE46" s="806"/>
      <c r="BF46" s="806"/>
      <c r="BG46" s="1191"/>
      <c r="BH46" s="1191"/>
      <c r="BY46" s="827"/>
      <c r="CB46" s="1445" t="str">
        <f t="shared" si="8"/>
        <v/>
      </c>
      <c r="CC46" s="1445" t="e">
        <f t="shared" si="9"/>
        <v>#VALUE!</v>
      </c>
      <c r="CD46" s="1445" t="str">
        <f t="shared" si="10"/>
        <v xml:space="preserve">* Las consejerías realizadas en Espacios amigables NO DEBEN ser mayor al Total. </v>
      </c>
      <c r="CE46" s="1445" t="e">
        <f t="shared" si="11"/>
        <v>#VALUE!</v>
      </c>
      <c r="CF46" s="1445"/>
      <c r="CG46" s="1445"/>
      <c r="CH46" s="1446">
        <f t="shared" ref="CH46:CH69" si="12">IF(AND(D46&lt;&gt;0,OR(AP46="",AQ46="",AR46="",AS46="",AU46="")),1,0)</f>
        <v>0</v>
      </c>
      <c r="CI46" s="1446" t="e">
        <f t="shared" ref="CI46:CI69" si="13">IF(OR(D46&lt;(AP46+AQ46),D46&lt;AR46,D46&lt;AS46,D46&lt;AU46),1,0)</f>
        <v>#VALUE!</v>
      </c>
      <c r="CJ46" s="1446">
        <f t="shared" ref="CJ46:CJ69" si="14">IF(D46&lt;AO46,1,0)</f>
        <v>1</v>
      </c>
      <c r="CK46" s="1446" t="e">
        <f t="shared" ref="CK46:CK69" si="15">IF((K46+L46+M46+N46)&lt;AT46,1,0)</f>
        <v>#VALUE!</v>
      </c>
      <c r="CL46" s="1443"/>
      <c r="CM46" s="1443"/>
      <c r="CN46" s="1443"/>
      <c r="CO46" s="1443"/>
      <c r="CP46" s="1443"/>
    </row>
    <row r="47" spans="1:94" ht="16.350000000000001" customHeight="1" x14ac:dyDescent="0.3">
      <c r="A47" s="7258">
        <v>19120601</v>
      </c>
      <c r="B47" s="8583" t="s">
        <v>2588</v>
      </c>
      <c r="C47" s="778" t="s">
        <v>2590</v>
      </c>
      <c r="D47" s="1332" t="s">
        <v>5369</v>
      </c>
      <c r="E47" s="1333" t="s">
        <v>5370</v>
      </c>
      <c r="F47" s="787" t="s">
        <v>5371</v>
      </c>
      <c r="G47" s="791" t="s">
        <v>5372</v>
      </c>
      <c r="H47" s="571" t="s">
        <v>5373</v>
      </c>
      <c r="I47" s="791" t="s">
        <v>5374</v>
      </c>
      <c r="J47" s="571" t="s">
        <v>5375</v>
      </c>
      <c r="K47" s="527" t="s">
        <v>5376</v>
      </c>
      <c r="L47" s="761" t="s">
        <v>5377</v>
      </c>
      <c r="M47" s="527" t="s">
        <v>5378</v>
      </c>
      <c r="N47" s="761" t="s">
        <v>5379</v>
      </c>
      <c r="O47" s="527" t="s">
        <v>5380</v>
      </c>
      <c r="P47" s="761" t="s">
        <v>5381</v>
      </c>
      <c r="Q47" s="527" t="s">
        <v>5382</v>
      </c>
      <c r="R47" s="761" t="s">
        <v>5383</v>
      </c>
      <c r="S47" s="527" t="s">
        <v>5384</v>
      </c>
      <c r="T47" s="761" t="s">
        <v>5385</v>
      </c>
      <c r="U47" s="527" t="s">
        <v>5386</v>
      </c>
      <c r="V47" s="761" t="s">
        <v>5387</v>
      </c>
      <c r="W47" s="527" t="s">
        <v>5388</v>
      </c>
      <c r="X47" s="761" t="s">
        <v>5389</v>
      </c>
      <c r="Y47" s="527" t="s">
        <v>5390</v>
      </c>
      <c r="Z47" s="761" t="s">
        <v>5391</v>
      </c>
      <c r="AA47" s="527" t="s">
        <v>5392</v>
      </c>
      <c r="AB47" s="761" t="s">
        <v>5393</v>
      </c>
      <c r="AC47" s="527" t="s">
        <v>5394</v>
      </c>
      <c r="AD47" s="761" t="s">
        <v>5395</v>
      </c>
      <c r="AE47" s="527" t="s">
        <v>5396</v>
      </c>
      <c r="AF47" s="761" t="s">
        <v>5397</v>
      </c>
      <c r="AG47" s="527" t="s">
        <v>5398</v>
      </c>
      <c r="AH47" s="761" t="s">
        <v>5399</v>
      </c>
      <c r="AI47" s="527" t="s">
        <v>5400</v>
      </c>
      <c r="AJ47" s="761" t="s">
        <v>5401</v>
      </c>
      <c r="AK47" s="527" t="s">
        <v>5402</v>
      </c>
      <c r="AL47" s="761" t="s">
        <v>5403</v>
      </c>
      <c r="AM47" s="762" t="s">
        <v>5404</v>
      </c>
      <c r="AN47" s="759" t="s">
        <v>5405</v>
      </c>
      <c r="AO47" s="2449" t="s">
        <v>5406</v>
      </c>
      <c r="AP47" s="2949" t="s">
        <v>5407</v>
      </c>
      <c r="AQ47" s="1935" t="s">
        <v>5408</v>
      </c>
      <c r="AR47" s="528" t="s">
        <v>5409</v>
      </c>
      <c r="AS47" s="528" t="s">
        <v>5410</v>
      </c>
      <c r="AT47" s="528" t="s">
        <v>5411</v>
      </c>
      <c r="AU47" s="528" t="s">
        <v>5412</v>
      </c>
      <c r="AV47" s="528" t="s">
        <v>5413</v>
      </c>
      <c r="AW47" s="806"/>
      <c r="AX47" s="806"/>
      <c r="AY47" s="806"/>
      <c r="AZ47" s="806"/>
      <c r="BA47" s="806"/>
      <c r="BB47" s="806"/>
      <c r="BC47" s="806"/>
      <c r="BD47" s="806"/>
      <c r="BE47" s="806"/>
      <c r="BF47" s="806"/>
      <c r="BG47" s="1191"/>
      <c r="BH47" s="1191"/>
      <c r="BY47" s="827"/>
      <c r="CB47" s="1445" t="str">
        <f t="shared" si="8"/>
        <v/>
      </c>
      <c r="CC47" s="1445" t="e">
        <f t="shared" si="9"/>
        <v>#VALUE!</v>
      </c>
      <c r="CD47" s="1445" t="str">
        <f t="shared" si="10"/>
        <v xml:space="preserve">* Las consejerías realizadas en Espacios amigables NO DEBEN ser mayor al Total. </v>
      </c>
      <c r="CE47" s="1445" t="e">
        <f t="shared" si="11"/>
        <v>#VALUE!</v>
      </c>
      <c r="CF47" s="1445"/>
      <c r="CG47" s="1445"/>
      <c r="CH47" s="1446">
        <f t="shared" si="12"/>
        <v>0</v>
      </c>
      <c r="CI47" s="1446" t="e">
        <f t="shared" si="13"/>
        <v>#VALUE!</v>
      </c>
      <c r="CJ47" s="1446">
        <f t="shared" si="14"/>
        <v>1</v>
      </c>
      <c r="CK47" s="1446" t="e">
        <f t="shared" si="15"/>
        <v>#VALUE!</v>
      </c>
      <c r="CL47" s="1443"/>
      <c r="CM47" s="1443"/>
      <c r="CN47" s="1443"/>
      <c r="CO47" s="1443"/>
      <c r="CP47" s="1443"/>
    </row>
    <row r="48" spans="1:94" ht="16.350000000000001" customHeight="1" x14ac:dyDescent="0.3">
      <c r="A48" s="7258">
        <v>19120602</v>
      </c>
      <c r="B48" s="8555"/>
      <c r="C48" s="135" t="s">
        <v>23</v>
      </c>
      <c r="D48" s="323" t="s">
        <v>5369</v>
      </c>
      <c r="E48" s="324" t="s">
        <v>5370</v>
      </c>
      <c r="F48" s="786" t="s">
        <v>5371</v>
      </c>
      <c r="G48" s="93" t="s">
        <v>5372</v>
      </c>
      <c r="H48" s="170" t="s">
        <v>5373</v>
      </c>
      <c r="I48" s="93" t="s">
        <v>5374</v>
      </c>
      <c r="J48" s="170" t="s">
        <v>5375</v>
      </c>
      <c r="K48" s="110" t="s">
        <v>5376</v>
      </c>
      <c r="L48" s="122" t="s">
        <v>5377</v>
      </c>
      <c r="M48" s="110" t="s">
        <v>5378</v>
      </c>
      <c r="N48" s="122" t="s">
        <v>5379</v>
      </c>
      <c r="O48" s="110" t="s">
        <v>5380</v>
      </c>
      <c r="P48" s="122" t="s">
        <v>5381</v>
      </c>
      <c r="Q48" s="110" t="s">
        <v>5382</v>
      </c>
      <c r="R48" s="122" t="s">
        <v>5383</v>
      </c>
      <c r="S48" s="110" t="s">
        <v>5384</v>
      </c>
      <c r="T48" s="122" t="s">
        <v>5385</v>
      </c>
      <c r="U48" s="110" t="s">
        <v>5386</v>
      </c>
      <c r="V48" s="122" t="s">
        <v>5387</v>
      </c>
      <c r="W48" s="110" t="s">
        <v>5388</v>
      </c>
      <c r="X48" s="122" t="s">
        <v>5389</v>
      </c>
      <c r="Y48" s="110" t="s">
        <v>5390</v>
      </c>
      <c r="Z48" s="122" t="s">
        <v>5391</v>
      </c>
      <c r="AA48" s="110" t="s">
        <v>5392</v>
      </c>
      <c r="AB48" s="122" t="s">
        <v>5393</v>
      </c>
      <c r="AC48" s="110" t="s">
        <v>5394</v>
      </c>
      <c r="AD48" s="122" t="s">
        <v>5395</v>
      </c>
      <c r="AE48" s="110" t="s">
        <v>5396</v>
      </c>
      <c r="AF48" s="122" t="s">
        <v>5397</v>
      </c>
      <c r="AG48" s="110" t="s">
        <v>5398</v>
      </c>
      <c r="AH48" s="122" t="s">
        <v>5399</v>
      </c>
      <c r="AI48" s="110" t="s">
        <v>5400</v>
      </c>
      <c r="AJ48" s="122" t="s">
        <v>5401</v>
      </c>
      <c r="AK48" s="110" t="s">
        <v>5402</v>
      </c>
      <c r="AL48" s="122" t="s">
        <v>5403</v>
      </c>
      <c r="AM48" s="157" t="s">
        <v>5404</v>
      </c>
      <c r="AN48" s="197" t="s">
        <v>5405</v>
      </c>
      <c r="AO48" s="2512" t="s">
        <v>5406</v>
      </c>
      <c r="AP48" s="2852" t="s">
        <v>5407</v>
      </c>
      <c r="AQ48" s="1843" t="s">
        <v>5408</v>
      </c>
      <c r="AR48" s="123" t="s">
        <v>5409</v>
      </c>
      <c r="AS48" s="123" t="s">
        <v>5410</v>
      </c>
      <c r="AT48" s="123" t="s">
        <v>5411</v>
      </c>
      <c r="AU48" s="123" t="s">
        <v>5412</v>
      </c>
      <c r="AV48" s="123" t="s">
        <v>5413</v>
      </c>
      <c r="AW48" s="806"/>
      <c r="AX48" s="806"/>
      <c r="AY48" s="806"/>
      <c r="AZ48" s="806"/>
      <c r="BA48" s="806"/>
      <c r="BB48" s="806"/>
      <c r="BC48" s="806"/>
      <c r="BD48" s="806"/>
      <c r="BE48" s="806"/>
      <c r="BF48" s="806"/>
      <c r="BG48" s="1191"/>
      <c r="BH48" s="1191"/>
      <c r="BY48" s="827"/>
      <c r="CB48" s="1445" t="str">
        <f t="shared" si="8"/>
        <v/>
      </c>
      <c r="CC48" s="1445" t="e">
        <f t="shared" si="9"/>
        <v>#VALUE!</v>
      </c>
      <c r="CD48" s="1445" t="str">
        <f t="shared" si="10"/>
        <v xml:space="preserve">* Las consejerías realizadas en Espacios amigables NO DEBEN ser mayor al Total. </v>
      </c>
      <c r="CE48" s="1445" t="e">
        <f t="shared" si="11"/>
        <v>#VALUE!</v>
      </c>
      <c r="CF48" s="1445"/>
      <c r="CG48" s="1445"/>
      <c r="CH48" s="1446">
        <f t="shared" si="12"/>
        <v>0</v>
      </c>
      <c r="CI48" s="1446" t="e">
        <f t="shared" si="13"/>
        <v>#VALUE!</v>
      </c>
      <c r="CJ48" s="1446">
        <f t="shared" si="14"/>
        <v>1</v>
      </c>
      <c r="CK48" s="1446" t="e">
        <f t="shared" si="15"/>
        <v>#VALUE!</v>
      </c>
      <c r="CL48" s="1443"/>
      <c r="CM48" s="1443"/>
      <c r="CN48" s="1443"/>
      <c r="CO48" s="1443"/>
      <c r="CP48" s="1443"/>
    </row>
    <row r="49" spans="1:94" ht="16.350000000000001" customHeight="1" x14ac:dyDescent="0.3">
      <c r="A49" s="7258">
        <v>19120603</v>
      </c>
      <c r="B49" s="8555"/>
      <c r="C49" s="135" t="s">
        <v>20</v>
      </c>
      <c r="D49" s="323" t="s">
        <v>5369</v>
      </c>
      <c r="E49" s="324" t="s">
        <v>5370</v>
      </c>
      <c r="F49" s="786" t="s">
        <v>5371</v>
      </c>
      <c r="G49" s="93" t="s">
        <v>5372</v>
      </c>
      <c r="H49" s="170" t="s">
        <v>5373</v>
      </c>
      <c r="I49" s="93" t="s">
        <v>5374</v>
      </c>
      <c r="J49" s="170" t="s">
        <v>5375</v>
      </c>
      <c r="K49" s="110" t="s">
        <v>5376</v>
      </c>
      <c r="L49" s="122" t="s">
        <v>5377</v>
      </c>
      <c r="M49" s="110" t="s">
        <v>5378</v>
      </c>
      <c r="N49" s="122" t="s">
        <v>5379</v>
      </c>
      <c r="O49" s="110" t="s">
        <v>5380</v>
      </c>
      <c r="P49" s="122" t="s">
        <v>5381</v>
      </c>
      <c r="Q49" s="110" t="s">
        <v>5382</v>
      </c>
      <c r="R49" s="122" t="s">
        <v>5383</v>
      </c>
      <c r="S49" s="110" t="s">
        <v>5384</v>
      </c>
      <c r="T49" s="122" t="s">
        <v>5385</v>
      </c>
      <c r="U49" s="110" t="s">
        <v>5386</v>
      </c>
      <c r="V49" s="122" t="s">
        <v>5387</v>
      </c>
      <c r="W49" s="110" t="s">
        <v>5388</v>
      </c>
      <c r="X49" s="122" t="s">
        <v>5389</v>
      </c>
      <c r="Y49" s="110" t="s">
        <v>5390</v>
      </c>
      <c r="Z49" s="122" t="s">
        <v>5391</v>
      </c>
      <c r="AA49" s="110" t="s">
        <v>5392</v>
      </c>
      <c r="AB49" s="122" t="s">
        <v>5393</v>
      </c>
      <c r="AC49" s="110" t="s">
        <v>5394</v>
      </c>
      <c r="AD49" s="122" t="s">
        <v>5395</v>
      </c>
      <c r="AE49" s="110" t="s">
        <v>5396</v>
      </c>
      <c r="AF49" s="122" t="s">
        <v>5397</v>
      </c>
      <c r="AG49" s="110" t="s">
        <v>5398</v>
      </c>
      <c r="AH49" s="122" t="s">
        <v>5399</v>
      </c>
      <c r="AI49" s="110" t="s">
        <v>5400</v>
      </c>
      <c r="AJ49" s="122" t="s">
        <v>5401</v>
      </c>
      <c r="AK49" s="110" t="s">
        <v>5402</v>
      </c>
      <c r="AL49" s="122" t="s">
        <v>5403</v>
      </c>
      <c r="AM49" s="157" t="s">
        <v>5404</v>
      </c>
      <c r="AN49" s="197" t="s">
        <v>5405</v>
      </c>
      <c r="AO49" s="2512" t="s">
        <v>5406</v>
      </c>
      <c r="AP49" s="2852" t="s">
        <v>5407</v>
      </c>
      <c r="AQ49" s="1843" t="s">
        <v>5408</v>
      </c>
      <c r="AR49" s="123" t="s">
        <v>5409</v>
      </c>
      <c r="AS49" s="123" t="s">
        <v>5410</v>
      </c>
      <c r="AT49" s="123" t="s">
        <v>5411</v>
      </c>
      <c r="AU49" s="123" t="s">
        <v>5412</v>
      </c>
      <c r="AV49" s="123" t="s">
        <v>5413</v>
      </c>
      <c r="AW49" s="806"/>
      <c r="AX49" s="806"/>
      <c r="AY49" s="806"/>
      <c r="AZ49" s="806"/>
      <c r="BA49" s="806"/>
      <c r="BB49" s="806"/>
      <c r="BC49" s="806"/>
      <c r="BD49" s="806"/>
      <c r="BE49" s="806"/>
      <c r="BF49" s="806"/>
      <c r="BG49" s="1191"/>
      <c r="BH49" s="1191"/>
      <c r="BY49" s="827"/>
      <c r="CB49" s="1445" t="str">
        <f t="shared" si="8"/>
        <v/>
      </c>
      <c r="CC49" s="1445" t="e">
        <f t="shared" si="9"/>
        <v>#VALUE!</v>
      </c>
      <c r="CD49" s="1445" t="str">
        <f t="shared" si="10"/>
        <v xml:space="preserve">* Las consejerías realizadas en Espacios amigables NO DEBEN ser mayor al Total. </v>
      </c>
      <c r="CE49" s="1445" t="e">
        <f t="shared" si="11"/>
        <v>#VALUE!</v>
      </c>
      <c r="CF49" s="1445"/>
      <c r="CG49" s="1445"/>
      <c r="CH49" s="1446">
        <f t="shared" si="12"/>
        <v>0</v>
      </c>
      <c r="CI49" s="1446" t="e">
        <f t="shared" si="13"/>
        <v>#VALUE!</v>
      </c>
      <c r="CJ49" s="1446">
        <f t="shared" si="14"/>
        <v>1</v>
      </c>
      <c r="CK49" s="1446" t="e">
        <f t="shared" si="15"/>
        <v>#VALUE!</v>
      </c>
      <c r="CL49" s="1443"/>
      <c r="CM49" s="1443"/>
      <c r="CN49" s="1443"/>
      <c r="CO49" s="1443"/>
      <c r="CP49" s="1443"/>
    </row>
    <row r="50" spans="1:94" ht="16.350000000000001" customHeight="1" x14ac:dyDescent="0.3">
      <c r="A50" s="7258">
        <v>19120608</v>
      </c>
      <c r="B50" s="8555"/>
      <c r="C50" s="135" t="s">
        <v>1267</v>
      </c>
      <c r="D50" s="323" t="s">
        <v>5369</v>
      </c>
      <c r="E50" s="324" t="s">
        <v>5370</v>
      </c>
      <c r="F50" s="786" t="s">
        <v>5371</v>
      </c>
      <c r="G50" s="93" t="s">
        <v>5372</v>
      </c>
      <c r="H50" s="170" t="s">
        <v>5373</v>
      </c>
      <c r="I50" s="93" t="s">
        <v>5374</v>
      </c>
      <c r="J50" s="170" t="s">
        <v>5375</v>
      </c>
      <c r="K50" s="110" t="s">
        <v>5376</v>
      </c>
      <c r="L50" s="122" t="s">
        <v>5377</v>
      </c>
      <c r="M50" s="110" t="s">
        <v>5378</v>
      </c>
      <c r="N50" s="122" t="s">
        <v>5379</v>
      </c>
      <c r="O50" s="110" t="s">
        <v>5380</v>
      </c>
      <c r="P50" s="122" t="s">
        <v>5381</v>
      </c>
      <c r="Q50" s="110" t="s">
        <v>5382</v>
      </c>
      <c r="R50" s="122" t="s">
        <v>5383</v>
      </c>
      <c r="S50" s="110" t="s">
        <v>5384</v>
      </c>
      <c r="T50" s="122" t="s">
        <v>5385</v>
      </c>
      <c r="U50" s="110" t="s">
        <v>5386</v>
      </c>
      <c r="V50" s="122" t="s">
        <v>5387</v>
      </c>
      <c r="W50" s="110" t="s">
        <v>5388</v>
      </c>
      <c r="X50" s="122" t="s">
        <v>5389</v>
      </c>
      <c r="Y50" s="110" t="s">
        <v>5390</v>
      </c>
      <c r="Z50" s="122" t="s">
        <v>5391</v>
      </c>
      <c r="AA50" s="110" t="s">
        <v>5392</v>
      </c>
      <c r="AB50" s="122" t="s">
        <v>5393</v>
      </c>
      <c r="AC50" s="110" t="s">
        <v>5394</v>
      </c>
      <c r="AD50" s="122" t="s">
        <v>5395</v>
      </c>
      <c r="AE50" s="110" t="s">
        <v>5396</v>
      </c>
      <c r="AF50" s="122" t="s">
        <v>5397</v>
      </c>
      <c r="AG50" s="110" t="s">
        <v>5398</v>
      </c>
      <c r="AH50" s="122" t="s">
        <v>5399</v>
      </c>
      <c r="AI50" s="110" t="s">
        <v>5400</v>
      </c>
      <c r="AJ50" s="122" t="s">
        <v>5401</v>
      </c>
      <c r="AK50" s="110" t="s">
        <v>5402</v>
      </c>
      <c r="AL50" s="122" t="s">
        <v>5403</v>
      </c>
      <c r="AM50" s="157" t="s">
        <v>5404</v>
      </c>
      <c r="AN50" s="197" t="s">
        <v>5405</v>
      </c>
      <c r="AO50" s="2512" t="s">
        <v>5406</v>
      </c>
      <c r="AP50" s="2852" t="s">
        <v>5407</v>
      </c>
      <c r="AQ50" s="1843" t="s">
        <v>5408</v>
      </c>
      <c r="AR50" s="123" t="s">
        <v>5409</v>
      </c>
      <c r="AS50" s="123" t="s">
        <v>5410</v>
      </c>
      <c r="AT50" s="123" t="s">
        <v>5411</v>
      </c>
      <c r="AU50" s="123" t="s">
        <v>5412</v>
      </c>
      <c r="AV50" s="123" t="s">
        <v>5413</v>
      </c>
      <c r="AW50" s="806"/>
      <c r="AX50" s="806"/>
      <c r="AY50" s="806"/>
      <c r="AZ50" s="806"/>
      <c r="BA50" s="806"/>
      <c r="BB50" s="806"/>
      <c r="BC50" s="806"/>
      <c r="BD50" s="806"/>
      <c r="BE50" s="806"/>
      <c r="BF50" s="806"/>
      <c r="BG50" s="1191"/>
      <c r="BH50" s="1191"/>
      <c r="BY50" s="827"/>
      <c r="CB50" s="1445" t="str">
        <f t="shared" si="8"/>
        <v/>
      </c>
      <c r="CC50" s="1445" t="e">
        <f t="shared" si="9"/>
        <v>#VALUE!</v>
      </c>
      <c r="CD50" s="1445" t="str">
        <f t="shared" si="10"/>
        <v xml:space="preserve">* Las consejerías realizadas en Espacios amigables NO DEBEN ser mayor al Total. </v>
      </c>
      <c r="CE50" s="1445" t="e">
        <f t="shared" si="11"/>
        <v>#VALUE!</v>
      </c>
      <c r="CF50" s="1445"/>
      <c r="CG50" s="1445"/>
      <c r="CH50" s="1446">
        <f t="shared" si="12"/>
        <v>0</v>
      </c>
      <c r="CI50" s="1446" t="e">
        <f t="shared" si="13"/>
        <v>#VALUE!</v>
      </c>
      <c r="CJ50" s="1446">
        <f t="shared" si="14"/>
        <v>1</v>
      </c>
      <c r="CK50" s="1446" t="e">
        <f t="shared" si="15"/>
        <v>#VALUE!</v>
      </c>
      <c r="CL50" s="1443"/>
      <c r="CM50" s="1443"/>
      <c r="CN50" s="1443"/>
      <c r="CO50" s="1443"/>
      <c r="CP50" s="1443"/>
    </row>
    <row r="51" spans="1:94" ht="16.350000000000001" customHeight="1" x14ac:dyDescent="0.3">
      <c r="A51" s="7258">
        <v>19120609</v>
      </c>
      <c r="B51" s="8555"/>
      <c r="C51" s="109" t="s">
        <v>1266</v>
      </c>
      <c r="D51" s="278" t="s">
        <v>5369</v>
      </c>
      <c r="E51" s="324" t="s">
        <v>5370</v>
      </c>
      <c r="F51" s="785" t="s">
        <v>5371</v>
      </c>
      <c r="G51" s="93" t="s">
        <v>5372</v>
      </c>
      <c r="H51" s="170" t="s">
        <v>5373</v>
      </c>
      <c r="I51" s="93" t="s">
        <v>5374</v>
      </c>
      <c r="J51" s="170" t="s">
        <v>5375</v>
      </c>
      <c r="K51" s="137" t="s">
        <v>5376</v>
      </c>
      <c r="L51" s="138" t="s">
        <v>5377</v>
      </c>
      <c r="M51" s="137" t="s">
        <v>5378</v>
      </c>
      <c r="N51" s="138" t="s">
        <v>5379</v>
      </c>
      <c r="O51" s="137" t="s">
        <v>5380</v>
      </c>
      <c r="P51" s="138" t="s">
        <v>5381</v>
      </c>
      <c r="Q51" s="137" t="s">
        <v>5382</v>
      </c>
      <c r="R51" s="138" t="s">
        <v>5383</v>
      </c>
      <c r="S51" s="137" t="s">
        <v>5384</v>
      </c>
      <c r="T51" s="138" t="s">
        <v>5385</v>
      </c>
      <c r="U51" s="137" t="s">
        <v>5386</v>
      </c>
      <c r="V51" s="138" t="s">
        <v>5387</v>
      </c>
      <c r="W51" s="137" t="s">
        <v>5388</v>
      </c>
      <c r="X51" s="138" t="s">
        <v>5389</v>
      </c>
      <c r="Y51" s="137" t="s">
        <v>5390</v>
      </c>
      <c r="Z51" s="138" t="s">
        <v>5391</v>
      </c>
      <c r="AA51" s="137" t="s">
        <v>5392</v>
      </c>
      <c r="AB51" s="138" t="s">
        <v>5393</v>
      </c>
      <c r="AC51" s="137" t="s">
        <v>5394</v>
      </c>
      <c r="AD51" s="138" t="s">
        <v>5395</v>
      </c>
      <c r="AE51" s="137" t="s">
        <v>5396</v>
      </c>
      <c r="AF51" s="138" t="s">
        <v>5397</v>
      </c>
      <c r="AG51" s="137" t="s">
        <v>5398</v>
      </c>
      <c r="AH51" s="138" t="s">
        <v>5399</v>
      </c>
      <c r="AI51" s="137" t="s">
        <v>5400</v>
      </c>
      <c r="AJ51" s="138" t="s">
        <v>5401</v>
      </c>
      <c r="AK51" s="137" t="s">
        <v>5402</v>
      </c>
      <c r="AL51" s="138" t="s">
        <v>5403</v>
      </c>
      <c r="AM51" s="161" t="s">
        <v>5404</v>
      </c>
      <c r="AN51" s="260" t="s">
        <v>5405</v>
      </c>
      <c r="AO51" s="2512" t="s">
        <v>5406</v>
      </c>
      <c r="AP51" s="2796" t="s">
        <v>5407</v>
      </c>
      <c r="AQ51" s="1806" t="s">
        <v>5408</v>
      </c>
      <c r="AR51" s="97" t="s">
        <v>5409</v>
      </c>
      <c r="AS51" s="97" t="s">
        <v>5410</v>
      </c>
      <c r="AT51" s="97" t="s">
        <v>5411</v>
      </c>
      <c r="AU51" s="97" t="s">
        <v>5412</v>
      </c>
      <c r="AV51" s="97" t="s">
        <v>5413</v>
      </c>
      <c r="AW51" s="806"/>
      <c r="AX51" s="806"/>
      <c r="AY51" s="806"/>
      <c r="AZ51" s="806"/>
      <c r="BA51" s="806"/>
      <c r="BB51" s="806"/>
      <c r="BC51" s="806"/>
      <c r="BD51" s="806"/>
      <c r="BE51" s="806"/>
      <c r="BF51" s="806"/>
      <c r="BG51" s="1191"/>
      <c r="BH51" s="1191"/>
      <c r="BY51" s="827"/>
      <c r="CB51" s="1445" t="str">
        <f t="shared" si="8"/>
        <v/>
      </c>
      <c r="CC51" s="1445" t="e">
        <f t="shared" si="9"/>
        <v>#VALUE!</v>
      </c>
      <c r="CD51" s="1445" t="str">
        <f t="shared" si="10"/>
        <v xml:space="preserve">* Las consejerías realizadas en Espacios amigables NO DEBEN ser mayor al Total. </v>
      </c>
      <c r="CE51" s="1445" t="e">
        <f t="shared" si="11"/>
        <v>#VALUE!</v>
      </c>
      <c r="CF51" s="1445"/>
      <c r="CG51" s="1445"/>
      <c r="CH51" s="1446">
        <f t="shared" si="12"/>
        <v>0</v>
      </c>
      <c r="CI51" s="1446" t="e">
        <f t="shared" si="13"/>
        <v>#VALUE!</v>
      </c>
      <c r="CJ51" s="1446">
        <f t="shared" si="14"/>
        <v>1</v>
      </c>
      <c r="CK51" s="1446" t="e">
        <f t="shared" si="15"/>
        <v>#VALUE!</v>
      </c>
      <c r="CL51" s="1443"/>
      <c r="CM51" s="1443"/>
      <c r="CN51" s="1443"/>
      <c r="CO51" s="1443"/>
      <c r="CP51" s="1443"/>
    </row>
    <row r="52" spans="1:94" ht="16.350000000000001" customHeight="1" x14ac:dyDescent="0.3">
      <c r="A52" s="7258">
        <v>19120611</v>
      </c>
      <c r="B52" s="8555"/>
      <c r="C52" s="534" t="s">
        <v>1265</v>
      </c>
      <c r="D52" s="1336" t="s">
        <v>5369</v>
      </c>
      <c r="E52" s="1337" t="s">
        <v>5370</v>
      </c>
      <c r="F52" s="784" t="s">
        <v>5371</v>
      </c>
      <c r="G52" s="82" t="s">
        <v>5372</v>
      </c>
      <c r="H52" s="128" t="s">
        <v>5373</v>
      </c>
      <c r="I52" s="82" t="s">
        <v>5374</v>
      </c>
      <c r="J52" s="128" t="s">
        <v>5375</v>
      </c>
      <c r="K52" s="125" t="s">
        <v>5376</v>
      </c>
      <c r="L52" s="101" t="s">
        <v>5377</v>
      </c>
      <c r="M52" s="125" t="s">
        <v>5378</v>
      </c>
      <c r="N52" s="101" t="s">
        <v>5379</v>
      </c>
      <c r="O52" s="125" t="s">
        <v>5380</v>
      </c>
      <c r="P52" s="101" t="s">
        <v>5381</v>
      </c>
      <c r="Q52" s="125" t="s">
        <v>5382</v>
      </c>
      <c r="R52" s="101" t="s">
        <v>5383</v>
      </c>
      <c r="S52" s="125" t="s">
        <v>5384</v>
      </c>
      <c r="T52" s="101" t="s">
        <v>5385</v>
      </c>
      <c r="U52" s="125" t="s">
        <v>5386</v>
      </c>
      <c r="V52" s="101" t="s">
        <v>5387</v>
      </c>
      <c r="W52" s="125" t="s">
        <v>5388</v>
      </c>
      <c r="X52" s="101" t="s">
        <v>5389</v>
      </c>
      <c r="Y52" s="125" t="s">
        <v>5390</v>
      </c>
      <c r="Z52" s="101" t="s">
        <v>5391</v>
      </c>
      <c r="AA52" s="125" t="s">
        <v>5392</v>
      </c>
      <c r="AB52" s="101" t="s">
        <v>5393</v>
      </c>
      <c r="AC52" s="125" t="s">
        <v>5394</v>
      </c>
      <c r="AD52" s="101" t="s">
        <v>5395</v>
      </c>
      <c r="AE52" s="125" t="s">
        <v>5396</v>
      </c>
      <c r="AF52" s="101" t="s">
        <v>5397</v>
      </c>
      <c r="AG52" s="125" t="s">
        <v>5398</v>
      </c>
      <c r="AH52" s="101" t="s">
        <v>5399</v>
      </c>
      <c r="AI52" s="125" t="s">
        <v>5400</v>
      </c>
      <c r="AJ52" s="101" t="s">
        <v>5401</v>
      </c>
      <c r="AK52" s="125" t="s">
        <v>5402</v>
      </c>
      <c r="AL52" s="101" t="s">
        <v>5403</v>
      </c>
      <c r="AM52" s="159" t="s">
        <v>5404</v>
      </c>
      <c r="AN52" s="198" t="s">
        <v>5405</v>
      </c>
      <c r="AO52" s="2490" t="s">
        <v>5406</v>
      </c>
      <c r="AP52" s="2477" t="s">
        <v>5407</v>
      </c>
      <c r="AQ52" s="1636" t="s">
        <v>5408</v>
      </c>
      <c r="AR52" s="86" t="s">
        <v>5409</v>
      </c>
      <c r="AS52" s="86" t="s">
        <v>5410</v>
      </c>
      <c r="AT52" s="86" t="s">
        <v>5411</v>
      </c>
      <c r="AU52" s="86" t="s">
        <v>5412</v>
      </c>
      <c r="AV52" s="86" t="s">
        <v>5413</v>
      </c>
      <c r="AW52" s="806"/>
      <c r="AX52" s="806"/>
      <c r="AY52" s="806"/>
      <c r="AZ52" s="806"/>
      <c r="BA52" s="806"/>
      <c r="BB52" s="806"/>
      <c r="BC52" s="806"/>
      <c r="BD52" s="806"/>
      <c r="BE52" s="806"/>
      <c r="BF52" s="806"/>
      <c r="BG52" s="1191"/>
      <c r="BH52" s="1191"/>
      <c r="BY52" s="827"/>
      <c r="CB52" s="1445" t="str">
        <f t="shared" si="8"/>
        <v/>
      </c>
      <c r="CC52" s="1445" t="e">
        <f t="shared" si="9"/>
        <v>#VALUE!</v>
      </c>
      <c r="CD52" s="1445" t="str">
        <f t="shared" si="10"/>
        <v xml:space="preserve">* Las consejerías realizadas en Espacios amigables NO DEBEN ser mayor al Total. </v>
      </c>
      <c r="CE52" s="1445" t="e">
        <f t="shared" si="11"/>
        <v>#VALUE!</v>
      </c>
      <c r="CF52" s="1445"/>
      <c r="CG52" s="1445"/>
      <c r="CH52" s="1446">
        <f t="shared" si="12"/>
        <v>0</v>
      </c>
      <c r="CI52" s="1446" t="e">
        <f t="shared" si="13"/>
        <v>#VALUE!</v>
      </c>
      <c r="CJ52" s="1446">
        <f t="shared" si="14"/>
        <v>1</v>
      </c>
      <c r="CK52" s="1446" t="e">
        <f t="shared" si="15"/>
        <v>#VALUE!</v>
      </c>
      <c r="CL52" s="1443"/>
      <c r="CM52" s="1443"/>
      <c r="CN52" s="1443"/>
      <c r="CO52" s="1443"/>
      <c r="CP52" s="1443"/>
    </row>
    <row r="53" spans="1:94" ht="16.350000000000001" customHeight="1" x14ac:dyDescent="0.3">
      <c r="A53" s="7258">
        <v>19182010</v>
      </c>
      <c r="B53" s="8583" t="s">
        <v>2587</v>
      </c>
      <c r="C53" s="778" t="s">
        <v>2590</v>
      </c>
      <c r="D53" s="1332" t="s">
        <v>5369</v>
      </c>
      <c r="E53" s="1333" t="s">
        <v>5370</v>
      </c>
      <c r="F53" s="787" t="s">
        <v>5371</v>
      </c>
      <c r="G53" s="791" t="s">
        <v>5372</v>
      </c>
      <c r="H53" s="571" t="s">
        <v>5373</v>
      </c>
      <c r="I53" s="791" t="s">
        <v>5374</v>
      </c>
      <c r="J53" s="571" t="s">
        <v>5375</v>
      </c>
      <c r="K53" s="527" t="s">
        <v>5376</v>
      </c>
      <c r="L53" s="761" t="s">
        <v>5377</v>
      </c>
      <c r="M53" s="527" t="s">
        <v>5378</v>
      </c>
      <c r="N53" s="761" t="s">
        <v>5379</v>
      </c>
      <c r="O53" s="527" t="s">
        <v>5380</v>
      </c>
      <c r="P53" s="761" t="s">
        <v>5381</v>
      </c>
      <c r="Q53" s="527" t="s">
        <v>5382</v>
      </c>
      <c r="R53" s="761" t="s">
        <v>5383</v>
      </c>
      <c r="S53" s="527" t="s">
        <v>5384</v>
      </c>
      <c r="T53" s="761" t="s">
        <v>5385</v>
      </c>
      <c r="U53" s="527" t="s">
        <v>5386</v>
      </c>
      <c r="V53" s="761" t="s">
        <v>5387</v>
      </c>
      <c r="W53" s="527" t="s">
        <v>5388</v>
      </c>
      <c r="X53" s="761" t="s">
        <v>5389</v>
      </c>
      <c r="Y53" s="527" t="s">
        <v>5390</v>
      </c>
      <c r="Z53" s="761" t="s">
        <v>5391</v>
      </c>
      <c r="AA53" s="527" t="s">
        <v>5392</v>
      </c>
      <c r="AB53" s="761" t="s">
        <v>5393</v>
      </c>
      <c r="AC53" s="110" t="s">
        <v>5394</v>
      </c>
      <c r="AD53" s="122" t="s">
        <v>5395</v>
      </c>
      <c r="AE53" s="727" t="s">
        <v>5396</v>
      </c>
      <c r="AF53" s="792" t="s">
        <v>5397</v>
      </c>
      <c r="AG53" s="698" t="s">
        <v>5398</v>
      </c>
      <c r="AH53" s="715" t="s">
        <v>5399</v>
      </c>
      <c r="AI53" s="698" t="s">
        <v>5400</v>
      </c>
      <c r="AJ53" s="715" t="s">
        <v>5401</v>
      </c>
      <c r="AK53" s="698" t="s">
        <v>5402</v>
      </c>
      <c r="AL53" s="715" t="s">
        <v>5403</v>
      </c>
      <c r="AM53" s="790" t="s">
        <v>5404</v>
      </c>
      <c r="AN53" s="697" t="s">
        <v>5405</v>
      </c>
      <c r="AO53" s="2449" t="s">
        <v>5406</v>
      </c>
      <c r="AP53" s="2864" t="s">
        <v>5407</v>
      </c>
      <c r="AQ53" s="1848" t="s">
        <v>5408</v>
      </c>
      <c r="AR53" s="694" t="s">
        <v>5409</v>
      </c>
      <c r="AS53" s="694" t="s">
        <v>5410</v>
      </c>
      <c r="AT53" s="694" t="s">
        <v>5411</v>
      </c>
      <c r="AU53" s="694" t="s">
        <v>5412</v>
      </c>
      <c r="AV53" s="694" t="s">
        <v>5413</v>
      </c>
      <c r="AW53" s="806"/>
      <c r="AX53" s="806"/>
      <c r="AY53" s="806"/>
      <c r="AZ53" s="806"/>
      <c r="BA53" s="806"/>
      <c r="BB53" s="806"/>
      <c r="BC53" s="806"/>
      <c r="BD53" s="806"/>
      <c r="BE53" s="806"/>
      <c r="BF53" s="806"/>
      <c r="BG53" s="1191"/>
      <c r="BH53" s="1191"/>
      <c r="BY53" s="827"/>
      <c r="CB53" s="1445" t="str">
        <f t="shared" si="8"/>
        <v/>
      </c>
      <c r="CC53" s="1445" t="e">
        <f t="shared" si="9"/>
        <v>#VALUE!</v>
      </c>
      <c r="CD53" s="1445" t="str">
        <f t="shared" si="10"/>
        <v xml:space="preserve">* Las consejerías realizadas en Espacios amigables NO DEBEN ser mayor al Total. </v>
      </c>
      <c r="CE53" s="1445" t="e">
        <f t="shared" si="11"/>
        <v>#VALUE!</v>
      </c>
      <c r="CF53" s="1445"/>
      <c r="CG53" s="1445"/>
      <c r="CH53" s="1446">
        <f t="shared" si="12"/>
        <v>0</v>
      </c>
      <c r="CI53" s="1446" t="e">
        <f t="shared" si="13"/>
        <v>#VALUE!</v>
      </c>
      <c r="CJ53" s="1446">
        <f t="shared" si="14"/>
        <v>1</v>
      </c>
      <c r="CK53" s="1446" t="e">
        <f t="shared" si="15"/>
        <v>#VALUE!</v>
      </c>
      <c r="CL53" s="1443"/>
      <c r="CM53" s="1443"/>
      <c r="CN53" s="1443"/>
      <c r="CO53" s="1443"/>
      <c r="CP53" s="1443"/>
    </row>
    <row r="54" spans="1:94" ht="16.350000000000001" customHeight="1" x14ac:dyDescent="0.3">
      <c r="A54" s="7258">
        <v>19182020</v>
      </c>
      <c r="B54" s="8555"/>
      <c r="C54" s="135" t="s">
        <v>20</v>
      </c>
      <c r="D54" s="323" t="s">
        <v>5369</v>
      </c>
      <c r="E54" s="324" t="s">
        <v>5370</v>
      </c>
      <c r="F54" s="786" t="s">
        <v>5371</v>
      </c>
      <c r="G54" s="93" t="s">
        <v>5372</v>
      </c>
      <c r="H54" s="170" t="s">
        <v>5373</v>
      </c>
      <c r="I54" s="93" t="s">
        <v>5374</v>
      </c>
      <c r="J54" s="170" t="s">
        <v>5375</v>
      </c>
      <c r="K54" s="110" t="s">
        <v>5376</v>
      </c>
      <c r="L54" s="122" t="s">
        <v>5377</v>
      </c>
      <c r="M54" s="110" t="s">
        <v>5378</v>
      </c>
      <c r="N54" s="122" t="s">
        <v>5379</v>
      </c>
      <c r="O54" s="110" t="s">
        <v>5380</v>
      </c>
      <c r="P54" s="122" t="s">
        <v>5381</v>
      </c>
      <c r="Q54" s="110" t="s">
        <v>5382</v>
      </c>
      <c r="R54" s="122" t="s">
        <v>5383</v>
      </c>
      <c r="S54" s="110" t="s">
        <v>5384</v>
      </c>
      <c r="T54" s="122" t="s">
        <v>5385</v>
      </c>
      <c r="U54" s="110" t="s">
        <v>5386</v>
      </c>
      <c r="V54" s="122" t="s">
        <v>5387</v>
      </c>
      <c r="W54" s="110" t="s">
        <v>5388</v>
      </c>
      <c r="X54" s="122" t="s">
        <v>5389</v>
      </c>
      <c r="Y54" s="110" t="s">
        <v>5390</v>
      </c>
      <c r="Z54" s="122" t="s">
        <v>5391</v>
      </c>
      <c r="AA54" s="110" t="s">
        <v>5392</v>
      </c>
      <c r="AB54" s="122" t="s">
        <v>5393</v>
      </c>
      <c r="AC54" s="110" t="s">
        <v>5394</v>
      </c>
      <c r="AD54" s="122" t="s">
        <v>5395</v>
      </c>
      <c r="AE54" s="727" t="s">
        <v>5396</v>
      </c>
      <c r="AF54" s="792" t="s">
        <v>5397</v>
      </c>
      <c r="AG54" s="131" t="s">
        <v>5398</v>
      </c>
      <c r="AH54" s="121" t="s">
        <v>5399</v>
      </c>
      <c r="AI54" s="131" t="s">
        <v>5400</v>
      </c>
      <c r="AJ54" s="121" t="s">
        <v>5401</v>
      </c>
      <c r="AK54" s="131" t="s">
        <v>5402</v>
      </c>
      <c r="AL54" s="121" t="s">
        <v>5403</v>
      </c>
      <c r="AM54" s="505" t="s">
        <v>5404</v>
      </c>
      <c r="AN54" s="240" t="s">
        <v>5405</v>
      </c>
      <c r="AO54" s="2512" t="s">
        <v>5406</v>
      </c>
      <c r="AP54" s="2852" t="s">
        <v>5407</v>
      </c>
      <c r="AQ54" s="1843" t="s">
        <v>5408</v>
      </c>
      <c r="AR54" s="123" t="s">
        <v>5409</v>
      </c>
      <c r="AS54" s="123" t="s">
        <v>5410</v>
      </c>
      <c r="AT54" s="123" t="s">
        <v>5411</v>
      </c>
      <c r="AU54" s="123" t="s">
        <v>5412</v>
      </c>
      <c r="AV54" s="123" t="s">
        <v>5413</v>
      </c>
      <c r="AW54" s="806"/>
      <c r="AX54" s="806"/>
      <c r="AY54" s="806"/>
      <c r="AZ54" s="806"/>
      <c r="BA54" s="806"/>
      <c r="BB54" s="806"/>
      <c r="BC54" s="806"/>
      <c r="BD54" s="806"/>
      <c r="BE54" s="806"/>
      <c r="BF54" s="806"/>
      <c r="BG54" s="1191"/>
      <c r="BH54" s="1191"/>
      <c r="BY54" s="827"/>
      <c r="CB54" s="1445" t="str">
        <f t="shared" si="8"/>
        <v/>
      </c>
      <c r="CC54" s="1445" t="e">
        <f t="shared" si="9"/>
        <v>#VALUE!</v>
      </c>
      <c r="CD54" s="1445" t="str">
        <f t="shared" si="10"/>
        <v xml:space="preserve">* Las consejerías realizadas en Espacios amigables NO DEBEN ser mayor al Total. </v>
      </c>
      <c r="CE54" s="1445" t="e">
        <f t="shared" si="11"/>
        <v>#VALUE!</v>
      </c>
      <c r="CF54" s="1445"/>
      <c r="CG54" s="1445"/>
      <c r="CH54" s="1446">
        <f t="shared" si="12"/>
        <v>0</v>
      </c>
      <c r="CI54" s="1446" t="e">
        <f t="shared" si="13"/>
        <v>#VALUE!</v>
      </c>
      <c r="CJ54" s="1446">
        <f t="shared" si="14"/>
        <v>1</v>
      </c>
      <c r="CK54" s="1446" t="e">
        <f t="shared" si="15"/>
        <v>#VALUE!</v>
      </c>
      <c r="CL54" s="1443"/>
      <c r="CM54" s="1443"/>
      <c r="CN54" s="1443"/>
      <c r="CO54" s="1443"/>
      <c r="CP54" s="1443"/>
    </row>
    <row r="55" spans="1:94" ht="16.350000000000001" customHeight="1" x14ac:dyDescent="0.3">
      <c r="A55" s="7258">
        <v>19182021</v>
      </c>
      <c r="B55" s="8555"/>
      <c r="C55" s="153" t="s">
        <v>1266</v>
      </c>
      <c r="D55" s="323" t="s">
        <v>5369</v>
      </c>
      <c r="E55" s="324" t="s">
        <v>5370</v>
      </c>
      <c r="F55" s="785" t="s">
        <v>5371</v>
      </c>
      <c r="G55" s="93" t="s">
        <v>5372</v>
      </c>
      <c r="H55" s="170" t="s">
        <v>5373</v>
      </c>
      <c r="I55" s="93" t="s">
        <v>5374</v>
      </c>
      <c r="J55" s="170" t="s">
        <v>5375</v>
      </c>
      <c r="K55" s="137" t="s">
        <v>5376</v>
      </c>
      <c r="L55" s="138" t="s">
        <v>5377</v>
      </c>
      <c r="M55" s="137" t="s">
        <v>5378</v>
      </c>
      <c r="N55" s="138" t="s">
        <v>5379</v>
      </c>
      <c r="O55" s="137" t="s">
        <v>5380</v>
      </c>
      <c r="P55" s="138" t="s">
        <v>5381</v>
      </c>
      <c r="Q55" s="137" t="s">
        <v>5382</v>
      </c>
      <c r="R55" s="138" t="s">
        <v>5383</v>
      </c>
      <c r="S55" s="137" t="s">
        <v>5384</v>
      </c>
      <c r="T55" s="138" t="s">
        <v>5385</v>
      </c>
      <c r="U55" s="137" t="s">
        <v>5386</v>
      </c>
      <c r="V55" s="138" t="s">
        <v>5387</v>
      </c>
      <c r="W55" s="137" t="s">
        <v>5388</v>
      </c>
      <c r="X55" s="138" t="s">
        <v>5389</v>
      </c>
      <c r="Y55" s="137" t="s">
        <v>5390</v>
      </c>
      <c r="Z55" s="138" t="s">
        <v>5391</v>
      </c>
      <c r="AA55" s="137" t="s">
        <v>5392</v>
      </c>
      <c r="AB55" s="138" t="s">
        <v>5393</v>
      </c>
      <c r="AC55" s="110" t="s">
        <v>5394</v>
      </c>
      <c r="AD55" s="122" t="s">
        <v>5395</v>
      </c>
      <c r="AE55" s="727" t="s">
        <v>5396</v>
      </c>
      <c r="AF55" s="792" t="s">
        <v>5397</v>
      </c>
      <c r="AG55" s="93" t="s">
        <v>5398</v>
      </c>
      <c r="AH55" s="96" t="s">
        <v>5399</v>
      </c>
      <c r="AI55" s="93" t="s">
        <v>5400</v>
      </c>
      <c r="AJ55" s="96" t="s">
        <v>5401</v>
      </c>
      <c r="AK55" s="93" t="s">
        <v>5402</v>
      </c>
      <c r="AL55" s="96" t="s">
        <v>5403</v>
      </c>
      <c r="AM55" s="400" t="s">
        <v>5404</v>
      </c>
      <c r="AN55" s="342" t="s">
        <v>5405</v>
      </c>
      <c r="AO55" s="2512" t="s">
        <v>5406</v>
      </c>
      <c r="AP55" s="2796" t="s">
        <v>5407</v>
      </c>
      <c r="AQ55" s="1806" t="s">
        <v>5408</v>
      </c>
      <c r="AR55" s="97" t="s">
        <v>5409</v>
      </c>
      <c r="AS55" s="97" t="s">
        <v>5410</v>
      </c>
      <c r="AT55" s="97" t="s">
        <v>5411</v>
      </c>
      <c r="AU55" s="97" t="s">
        <v>5412</v>
      </c>
      <c r="AV55" s="97" t="s">
        <v>5413</v>
      </c>
      <c r="AW55" s="806"/>
      <c r="AX55" s="806"/>
      <c r="AY55" s="806"/>
      <c r="AZ55" s="806"/>
      <c r="BA55" s="806"/>
      <c r="BB55" s="806"/>
      <c r="BC55" s="806"/>
      <c r="BD55" s="806"/>
      <c r="BE55" s="806"/>
      <c r="BF55" s="806"/>
      <c r="BG55" s="1191"/>
      <c r="BH55" s="1191"/>
      <c r="BY55" s="827"/>
      <c r="CB55" s="1445" t="str">
        <f t="shared" si="8"/>
        <v/>
      </c>
      <c r="CC55" s="1445" t="e">
        <f t="shared" si="9"/>
        <v>#VALUE!</v>
      </c>
      <c r="CD55" s="1445" t="str">
        <f t="shared" si="10"/>
        <v xml:space="preserve">* Las consejerías realizadas en Espacios amigables NO DEBEN ser mayor al Total. </v>
      </c>
      <c r="CE55" s="1445" t="e">
        <f t="shared" si="11"/>
        <v>#VALUE!</v>
      </c>
      <c r="CF55" s="1445"/>
      <c r="CG55" s="1445"/>
      <c r="CH55" s="1446">
        <f t="shared" si="12"/>
        <v>0</v>
      </c>
      <c r="CI55" s="1446" t="e">
        <f t="shared" si="13"/>
        <v>#VALUE!</v>
      </c>
      <c r="CJ55" s="1446">
        <f t="shared" si="14"/>
        <v>1</v>
      </c>
      <c r="CK55" s="1446" t="e">
        <f t="shared" si="15"/>
        <v>#VALUE!</v>
      </c>
      <c r="CL55" s="1443"/>
      <c r="CM55" s="1443"/>
      <c r="CN55" s="1443"/>
      <c r="CO55" s="1443"/>
      <c r="CP55" s="1443"/>
    </row>
    <row r="56" spans="1:94" ht="16.350000000000001" customHeight="1" x14ac:dyDescent="0.3">
      <c r="A56" s="7258">
        <v>19182030</v>
      </c>
      <c r="B56" s="8859"/>
      <c r="C56" s="534" t="s">
        <v>1265</v>
      </c>
      <c r="D56" s="1336" t="s">
        <v>5369</v>
      </c>
      <c r="E56" s="1337" t="s">
        <v>5370</v>
      </c>
      <c r="F56" s="784" t="s">
        <v>5371</v>
      </c>
      <c r="G56" s="82" t="s">
        <v>5372</v>
      </c>
      <c r="H56" s="128" t="s">
        <v>5373</v>
      </c>
      <c r="I56" s="82" t="s">
        <v>5374</v>
      </c>
      <c r="J56" s="128" t="s">
        <v>5375</v>
      </c>
      <c r="K56" s="125" t="s">
        <v>5376</v>
      </c>
      <c r="L56" s="101" t="s">
        <v>5377</v>
      </c>
      <c r="M56" s="125" t="s">
        <v>5378</v>
      </c>
      <c r="N56" s="101" t="s">
        <v>5379</v>
      </c>
      <c r="O56" s="125" t="s">
        <v>5380</v>
      </c>
      <c r="P56" s="101" t="s">
        <v>5381</v>
      </c>
      <c r="Q56" s="125" t="s">
        <v>5382</v>
      </c>
      <c r="R56" s="101" t="s">
        <v>5383</v>
      </c>
      <c r="S56" s="125" t="s">
        <v>5384</v>
      </c>
      <c r="T56" s="101" t="s">
        <v>5385</v>
      </c>
      <c r="U56" s="125" t="s">
        <v>5386</v>
      </c>
      <c r="V56" s="101" t="s">
        <v>5387</v>
      </c>
      <c r="W56" s="125" t="s">
        <v>5388</v>
      </c>
      <c r="X56" s="101" t="s">
        <v>5389</v>
      </c>
      <c r="Y56" s="125" t="s">
        <v>5390</v>
      </c>
      <c r="Z56" s="101" t="s">
        <v>5391</v>
      </c>
      <c r="AA56" s="125" t="s">
        <v>5392</v>
      </c>
      <c r="AB56" s="101" t="s">
        <v>5393</v>
      </c>
      <c r="AC56" s="110" t="s">
        <v>5394</v>
      </c>
      <c r="AD56" s="122" t="s">
        <v>5395</v>
      </c>
      <c r="AE56" s="727" t="s">
        <v>5396</v>
      </c>
      <c r="AF56" s="792" t="s">
        <v>5397</v>
      </c>
      <c r="AG56" s="82" t="s">
        <v>5398</v>
      </c>
      <c r="AH56" s="85" t="s">
        <v>5399</v>
      </c>
      <c r="AI56" s="82" t="s">
        <v>5400</v>
      </c>
      <c r="AJ56" s="85" t="s">
        <v>5401</v>
      </c>
      <c r="AK56" s="82" t="s">
        <v>5402</v>
      </c>
      <c r="AL56" s="85" t="s">
        <v>5403</v>
      </c>
      <c r="AM56" s="501" t="s">
        <v>5404</v>
      </c>
      <c r="AN56" s="221" t="s">
        <v>5405</v>
      </c>
      <c r="AO56" s="2490" t="s">
        <v>5406</v>
      </c>
      <c r="AP56" s="2477" t="s">
        <v>5407</v>
      </c>
      <c r="AQ56" s="1636" t="s">
        <v>5408</v>
      </c>
      <c r="AR56" s="86" t="s">
        <v>5409</v>
      </c>
      <c r="AS56" s="86" t="s">
        <v>5410</v>
      </c>
      <c r="AT56" s="86" t="s">
        <v>5411</v>
      </c>
      <c r="AU56" s="86" t="s">
        <v>5412</v>
      </c>
      <c r="AV56" s="86" t="s">
        <v>5413</v>
      </c>
      <c r="AW56" s="806"/>
      <c r="AX56" s="806"/>
      <c r="AY56" s="806"/>
      <c r="AZ56" s="806"/>
      <c r="BA56" s="806"/>
      <c r="BB56" s="806"/>
      <c r="BC56" s="806"/>
      <c r="BD56" s="806"/>
      <c r="BE56" s="806"/>
      <c r="BF56" s="806"/>
      <c r="BG56" s="1191"/>
      <c r="BH56" s="1191"/>
      <c r="BY56" s="827"/>
      <c r="CB56" s="1445" t="str">
        <f t="shared" si="8"/>
        <v/>
      </c>
      <c r="CC56" s="1445" t="e">
        <f t="shared" si="9"/>
        <v>#VALUE!</v>
      </c>
      <c r="CD56" s="1445" t="str">
        <f t="shared" si="10"/>
        <v xml:space="preserve">* Las consejerías realizadas en Espacios amigables NO DEBEN ser mayor al Total. </v>
      </c>
      <c r="CE56" s="1445" t="e">
        <f t="shared" si="11"/>
        <v>#VALUE!</v>
      </c>
      <c r="CF56" s="1445"/>
      <c r="CG56" s="1445"/>
      <c r="CH56" s="1446">
        <f t="shared" si="12"/>
        <v>0</v>
      </c>
      <c r="CI56" s="1446" t="e">
        <f t="shared" si="13"/>
        <v>#VALUE!</v>
      </c>
      <c r="CJ56" s="1446">
        <f t="shared" si="14"/>
        <v>1</v>
      </c>
      <c r="CK56" s="1446" t="e">
        <f t="shared" si="15"/>
        <v>#VALUE!</v>
      </c>
      <c r="CL56" s="1443"/>
      <c r="CM56" s="1443"/>
      <c r="CN56" s="1443"/>
      <c r="CO56" s="1443"/>
      <c r="CP56" s="1443"/>
    </row>
    <row r="57" spans="1:94" ht="16.350000000000001" customHeight="1" x14ac:dyDescent="0.3">
      <c r="A57" s="7258">
        <v>19120701</v>
      </c>
      <c r="B57" s="8583" t="s">
        <v>2586</v>
      </c>
      <c r="C57" s="778" t="s">
        <v>2590</v>
      </c>
      <c r="D57" s="1332" t="s">
        <v>5369</v>
      </c>
      <c r="E57" s="1333" t="s">
        <v>5370</v>
      </c>
      <c r="F57" s="787" t="s">
        <v>5371</v>
      </c>
      <c r="G57" s="791" t="s">
        <v>5372</v>
      </c>
      <c r="H57" s="571" t="s">
        <v>5373</v>
      </c>
      <c r="I57" s="791" t="s">
        <v>5374</v>
      </c>
      <c r="J57" s="571" t="s">
        <v>5375</v>
      </c>
      <c r="K57" s="527" t="s">
        <v>5376</v>
      </c>
      <c r="L57" s="761" t="s">
        <v>5377</v>
      </c>
      <c r="M57" s="527" t="s">
        <v>5378</v>
      </c>
      <c r="N57" s="761" t="s">
        <v>5379</v>
      </c>
      <c r="O57" s="527" t="s">
        <v>5380</v>
      </c>
      <c r="P57" s="761" t="s">
        <v>5381</v>
      </c>
      <c r="Q57" s="527" t="s">
        <v>5382</v>
      </c>
      <c r="R57" s="761" t="s">
        <v>5383</v>
      </c>
      <c r="S57" s="527" t="s">
        <v>5384</v>
      </c>
      <c r="T57" s="761" t="s">
        <v>5385</v>
      </c>
      <c r="U57" s="527" t="s">
        <v>5386</v>
      </c>
      <c r="V57" s="761" t="s">
        <v>5387</v>
      </c>
      <c r="W57" s="527" t="s">
        <v>5388</v>
      </c>
      <c r="X57" s="761" t="s">
        <v>5389</v>
      </c>
      <c r="Y57" s="527" t="s">
        <v>5390</v>
      </c>
      <c r="Z57" s="761" t="s">
        <v>5391</v>
      </c>
      <c r="AA57" s="527" t="s">
        <v>5392</v>
      </c>
      <c r="AB57" s="761" t="s">
        <v>5393</v>
      </c>
      <c r="AC57" s="527" t="s">
        <v>5394</v>
      </c>
      <c r="AD57" s="761" t="s">
        <v>5395</v>
      </c>
      <c r="AE57" s="527" t="s">
        <v>5396</v>
      </c>
      <c r="AF57" s="761" t="s">
        <v>5397</v>
      </c>
      <c r="AG57" s="527" t="s">
        <v>5398</v>
      </c>
      <c r="AH57" s="761" t="s">
        <v>5399</v>
      </c>
      <c r="AI57" s="527" t="s">
        <v>5400</v>
      </c>
      <c r="AJ57" s="761" t="s">
        <v>5401</v>
      </c>
      <c r="AK57" s="527" t="s">
        <v>5402</v>
      </c>
      <c r="AL57" s="761" t="s">
        <v>5403</v>
      </c>
      <c r="AM57" s="762" t="s">
        <v>5404</v>
      </c>
      <c r="AN57" s="759" t="s">
        <v>5405</v>
      </c>
      <c r="AO57" s="2449" t="s">
        <v>5406</v>
      </c>
      <c r="AP57" s="2864" t="s">
        <v>5407</v>
      </c>
      <c r="AQ57" s="1848" t="s">
        <v>5408</v>
      </c>
      <c r="AR57" s="694" t="s">
        <v>5409</v>
      </c>
      <c r="AS57" s="694" t="s">
        <v>5410</v>
      </c>
      <c r="AT57" s="694" t="s">
        <v>5411</v>
      </c>
      <c r="AU57" s="694" t="s">
        <v>5412</v>
      </c>
      <c r="AV57" s="694" t="s">
        <v>5413</v>
      </c>
      <c r="AW57" s="806"/>
      <c r="AX57" s="806"/>
      <c r="AY57" s="806"/>
      <c r="AZ57" s="806"/>
      <c r="BA57" s="806"/>
      <c r="BB57" s="806"/>
      <c r="BC57" s="806"/>
      <c r="BD57" s="806"/>
      <c r="BE57" s="806"/>
      <c r="BF57" s="806"/>
      <c r="BG57" s="1191"/>
      <c r="BH57" s="1191"/>
      <c r="BY57" s="827"/>
      <c r="CB57" s="1445" t="str">
        <f t="shared" si="8"/>
        <v/>
      </c>
      <c r="CC57" s="1445" t="e">
        <f t="shared" si="9"/>
        <v>#VALUE!</v>
      </c>
      <c r="CD57" s="1445" t="str">
        <f t="shared" si="10"/>
        <v xml:space="preserve">* Las consejerías realizadas en Espacios amigables NO DEBEN ser mayor al Total. </v>
      </c>
      <c r="CE57" s="1445" t="e">
        <f t="shared" si="11"/>
        <v>#VALUE!</v>
      </c>
      <c r="CF57" s="1445"/>
      <c r="CG57" s="1445"/>
      <c r="CH57" s="1446">
        <f t="shared" si="12"/>
        <v>0</v>
      </c>
      <c r="CI57" s="1446" t="e">
        <f t="shared" si="13"/>
        <v>#VALUE!</v>
      </c>
      <c r="CJ57" s="1446">
        <f t="shared" si="14"/>
        <v>1</v>
      </c>
      <c r="CK57" s="1446" t="e">
        <f t="shared" si="15"/>
        <v>#VALUE!</v>
      </c>
      <c r="CL57" s="1443"/>
      <c r="CM57" s="1443"/>
      <c r="CN57" s="1443"/>
      <c r="CO57" s="1443"/>
      <c r="CP57" s="1443"/>
    </row>
    <row r="58" spans="1:94" ht="16.350000000000001" customHeight="1" x14ac:dyDescent="0.3">
      <c r="A58" s="7258">
        <v>19120702</v>
      </c>
      <c r="B58" s="8555"/>
      <c r="C58" s="135" t="s">
        <v>23</v>
      </c>
      <c r="D58" s="323" t="s">
        <v>5369</v>
      </c>
      <c r="E58" s="324" t="s">
        <v>5370</v>
      </c>
      <c r="F58" s="786" t="s">
        <v>5371</v>
      </c>
      <c r="G58" s="93" t="s">
        <v>5372</v>
      </c>
      <c r="H58" s="170" t="s">
        <v>5373</v>
      </c>
      <c r="I58" s="93" t="s">
        <v>5374</v>
      </c>
      <c r="J58" s="170" t="s">
        <v>5375</v>
      </c>
      <c r="K58" s="110" t="s">
        <v>5376</v>
      </c>
      <c r="L58" s="122" t="s">
        <v>5377</v>
      </c>
      <c r="M58" s="110" t="s">
        <v>5378</v>
      </c>
      <c r="N58" s="122" t="s">
        <v>5379</v>
      </c>
      <c r="O58" s="110" t="s">
        <v>5380</v>
      </c>
      <c r="P58" s="122" t="s">
        <v>5381</v>
      </c>
      <c r="Q58" s="110" t="s">
        <v>5382</v>
      </c>
      <c r="R58" s="122" t="s">
        <v>5383</v>
      </c>
      <c r="S58" s="110" t="s">
        <v>5384</v>
      </c>
      <c r="T58" s="122" t="s">
        <v>5385</v>
      </c>
      <c r="U58" s="110" t="s">
        <v>5386</v>
      </c>
      <c r="V58" s="122" t="s">
        <v>5387</v>
      </c>
      <c r="W58" s="110" t="s">
        <v>5388</v>
      </c>
      <c r="X58" s="122" t="s">
        <v>5389</v>
      </c>
      <c r="Y58" s="110" t="s">
        <v>5390</v>
      </c>
      <c r="Z58" s="122" t="s">
        <v>5391</v>
      </c>
      <c r="AA58" s="110" t="s">
        <v>5392</v>
      </c>
      <c r="AB58" s="122" t="s">
        <v>5393</v>
      </c>
      <c r="AC58" s="110" t="s">
        <v>5394</v>
      </c>
      <c r="AD58" s="122" t="s">
        <v>5395</v>
      </c>
      <c r="AE58" s="110" t="s">
        <v>5396</v>
      </c>
      <c r="AF58" s="122" t="s">
        <v>5397</v>
      </c>
      <c r="AG58" s="110" t="s">
        <v>5398</v>
      </c>
      <c r="AH58" s="122" t="s">
        <v>5399</v>
      </c>
      <c r="AI58" s="110" t="s">
        <v>5400</v>
      </c>
      <c r="AJ58" s="122" t="s">
        <v>5401</v>
      </c>
      <c r="AK58" s="110" t="s">
        <v>5402</v>
      </c>
      <c r="AL58" s="122" t="s">
        <v>5403</v>
      </c>
      <c r="AM58" s="157" t="s">
        <v>5404</v>
      </c>
      <c r="AN58" s="197" t="s">
        <v>5405</v>
      </c>
      <c r="AO58" s="2512" t="s">
        <v>5406</v>
      </c>
      <c r="AP58" s="1792" t="s">
        <v>5407</v>
      </c>
      <c r="AQ58" s="1150" t="s">
        <v>5408</v>
      </c>
      <c r="AR58" s="202" t="s">
        <v>5409</v>
      </c>
      <c r="AS58" s="202" t="s">
        <v>5410</v>
      </c>
      <c r="AT58" s="202" t="s">
        <v>5411</v>
      </c>
      <c r="AU58" s="202" t="s">
        <v>5412</v>
      </c>
      <c r="AV58" s="202" t="s">
        <v>5413</v>
      </c>
      <c r="AW58" s="806"/>
      <c r="AX58" s="806"/>
      <c r="AY58" s="806"/>
      <c r="AZ58" s="806"/>
      <c r="BA58" s="806"/>
      <c r="BB58" s="806"/>
      <c r="BC58" s="806"/>
      <c r="BD58" s="806"/>
      <c r="BE58" s="806"/>
      <c r="BF58" s="806"/>
      <c r="BG58" s="1191"/>
      <c r="BH58" s="1191"/>
      <c r="BY58" s="827"/>
      <c r="CB58" s="1445" t="str">
        <f t="shared" si="8"/>
        <v/>
      </c>
      <c r="CC58" s="1445" t="e">
        <f t="shared" si="9"/>
        <v>#VALUE!</v>
      </c>
      <c r="CD58" s="1445" t="str">
        <f t="shared" si="10"/>
        <v xml:space="preserve">* Las consejerías realizadas en Espacios amigables NO DEBEN ser mayor al Total. </v>
      </c>
      <c r="CE58" s="1445" t="e">
        <f t="shared" si="11"/>
        <v>#VALUE!</v>
      </c>
      <c r="CF58" s="1445"/>
      <c r="CG58" s="1445"/>
      <c r="CH58" s="1446">
        <f t="shared" si="12"/>
        <v>0</v>
      </c>
      <c r="CI58" s="1446" t="e">
        <f t="shared" si="13"/>
        <v>#VALUE!</v>
      </c>
      <c r="CJ58" s="1446">
        <f t="shared" si="14"/>
        <v>1</v>
      </c>
      <c r="CK58" s="1446" t="e">
        <f t="shared" si="15"/>
        <v>#VALUE!</v>
      </c>
      <c r="CL58" s="1443"/>
      <c r="CM58" s="1443"/>
      <c r="CN58" s="1443"/>
      <c r="CO58" s="1443"/>
      <c r="CP58" s="1443"/>
    </row>
    <row r="59" spans="1:94" ht="16.350000000000001" customHeight="1" x14ac:dyDescent="0.3">
      <c r="A59" s="7258">
        <v>19120703</v>
      </c>
      <c r="B59" s="8555"/>
      <c r="C59" s="135" t="s">
        <v>20</v>
      </c>
      <c r="D59" s="323" t="s">
        <v>5369</v>
      </c>
      <c r="E59" s="324" t="s">
        <v>5370</v>
      </c>
      <c r="F59" s="786" t="s">
        <v>5371</v>
      </c>
      <c r="G59" s="93" t="s">
        <v>5372</v>
      </c>
      <c r="H59" s="170" t="s">
        <v>5373</v>
      </c>
      <c r="I59" s="93" t="s">
        <v>5374</v>
      </c>
      <c r="J59" s="170" t="s">
        <v>5375</v>
      </c>
      <c r="K59" s="110" t="s">
        <v>5376</v>
      </c>
      <c r="L59" s="122" t="s">
        <v>5377</v>
      </c>
      <c r="M59" s="110" t="s">
        <v>5378</v>
      </c>
      <c r="N59" s="122" t="s">
        <v>5379</v>
      </c>
      <c r="O59" s="110" t="s">
        <v>5380</v>
      </c>
      <c r="P59" s="122" t="s">
        <v>5381</v>
      </c>
      <c r="Q59" s="110" t="s">
        <v>5382</v>
      </c>
      <c r="R59" s="122" t="s">
        <v>5383</v>
      </c>
      <c r="S59" s="110" t="s">
        <v>5384</v>
      </c>
      <c r="T59" s="122" t="s">
        <v>5385</v>
      </c>
      <c r="U59" s="110" t="s">
        <v>5386</v>
      </c>
      <c r="V59" s="122" t="s">
        <v>5387</v>
      </c>
      <c r="W59" s="110" t="s">
        <v>5388</v>
      </c>
      <c r="X59" s="122" t="s">
        <v>5389</v>
      </c>
      <c r="Y59" s="110" t="s">
        <v>5390</v>
      </c>
      <c r="Z59" s="122" t="s">
        <v>5391</v>
      </c>
      <c r="AA59" s="110" t="s">
        <v>5392</v>
      </c>
      <c r="AB59" s="122" t="s">
        <v>5393</v>
      </c>
      <c r="AC59" s="110" t="s">
        <v>5394</v>
      </c>
      <c r="AD59" s="122" t="s">
        <v>5395</v>
      </c>
      <c r="AE59" s="110" t="s">
        <v>5396</v>
      </c>
      <c r="AF59" s="122" t="s">
        <v>5397</v>
      </c>
      <c r="AG59" s="110" t="s">
        <v>5398</v>
      </c>
      <c r="AH59" s="122" t="s">
        <v>5399</v>
      </c>
      <c r="AI59" s="110" t="s">
        <v>5400</v>
      </c>
      <c r="AJ59" s="122" t="s">
        <v>5401</v>
      </c>
      <c r="AK59" s="110" t="s">
        <v>5402</v>
      </c>
      <c r="AL59" s="122" t="s">
        <v>5403</v>
      </c>
      <c r="AM59" s="157" t="s">
        <v>5404</v>
      </c>
      <c r="AN59" s="197" t="s">
        <v>5405</v>
      </c>
      <c r="AO59" s="2512" t="s">
        <v>5406</v>
      </c>
      <c r="AP59" s="2852" t="s">
        <v>5407</v>
      </c>
      <c r="AQ59" s="1843" t="s">
        <v>5408</v>
      </c>
      <c r="AR59" s="123" t="s">
        <v>5409</v>
      </c>
      <c r="AS59" s="123" t="s">
        <v>5410</v>
      </c>
      <c r="AT59" s="123" t="s">
        <v>5411</v>
      </c>
      <c r="AU59" s="123" t="s">
        <v>5412</v>
      </c>
      <c r="AV59" s="123" t="s">
        <v>5413</v>
      </c>
      <c r="AW59" s="806"/>
      <c r="AX59" s="806"/>
      <c r="AY59" s="806"/>
      <c r="AZ59" s="806"/>
      <c r="BA59" s="806"/>
      <c r="BB59" s="806"/>
      <c r="BC59" s="806"/>
      <c r="BD59" s="806"/>
      <c r="BE59" s="806"/>
      <c r="BF59" s="806"/>
      <c r="BG59" s="1191"/>
      <c r="BH59" s="1191"/>
      <c r="BY59" s="827"/>
      <c r="CB59" s="1445" t="str">
        <f t="shared" si="8"/>
        <v/>
      </c>
      <c r="CC59" s="1445" t="e">
        <f t="shared" si="9"/>
        <v>#VALUE!</v>
      </c>
      <c r="CD59" s="1445" t="str">
        <f t="shared" si="10"/>
        <v xml:space="preserve">* Las consejerías realizadas en Espacios amigables NO DEBEN ser mayor al Total. </v>
      </c>
      <c r="CE59" s="1445" t="e">
        <f t="shared" si="11"/>
        <v>#VALUE!</v>
      </c>
      <c r="CF59" s="1445"/>
      <c r="CG59" s="1445"/>
      <c r="CH59" s="1446">
        <f t="shared" si="12"/>
        <v>0</v>
      </c>
      <c r="CI59" s="1446" t="e">
        <f t="shared" si="13"/>
        <v>#VALUE!</v>
      </c>
      <c r="CJ59" s="1446">
        <f t="shared" si="14"/>
        <v>1</v>
      </c>
      <c r="CK59" s="1446" t="e">
        <f t="shared" si="15"/>
        <v>#VALUE!</v>
      </c>
      <c r="CL59" s="1443"/>
      <c r="CM59" s="1443"/>
      <c r="CN59" s="1443"/>
      <c r="CO59" s="1443"/>
      <c r="CP59" s="1443"/>
    </row>
    <row r="60" spans="1:94" ht="16.350000000000001" customHeight="1" x14ac:dyDescent="0.3">
      <c r="A60" s="7258">
        <v>19120706</v>
      </c>
      <c r="B60" s="8555"/>
      <c r="C60" s="135" t="s">
        <v>2597</v>
      </c>
      <c r="D60" s="323" t="s">
        <v>5369</v>
      </c>
      <c r="E60" s="324" t="s">
        <v>5370</v>
      </c>
      <c r="F60" s="786" t="s">
        <v>5371</v>
      </c>
      <c r="G60" s="93" t="s">
        <v>5372</v>
      </c>
      <c r="H60" s="170" t="s">
        <v>5373</v>
      </c>
      <c r="I60" s="93" t="s">
        <v>5374</v>
      </c>
      <c r="J60" s="170" t="s">
        <v>5375</v>
      </c>
      <c r="K60" s="110" t="s">
        <v>5376</v>
      </c>
      <c r="L60" s="122" t="s">
        <v>5377</v>
      </c>
      <c r="M60" s="110" t="s">
        <v>5378</v>
      </c>
      <c r="N60" s="122" t="s">
        <v>5379</v>
      </c>
      <c r="O60" s="110" t="s">
        <v>5380</v>
      </c>
      <c r="P60" s="122" t="s">
        <v>5381</v>
      </c>
      <c r="Q60" s="110" t="s">
        <v>5382</v>
      </c>
      <c r="R60" s="122" t="s">
        <v>5383</v>
      </c>
      <c r="S60" s="110" t="s">
        <v>5384</v>
      </c>
      <c r="T60" s="122" t="s">
        <v>5385</v>
      </c>
      <c r="U60" s="110" t="s">
        <v>5386</v>
      </c>
      <c r="V60" s="122" t="s">
        <v>5387</v>
      </c>
      <c r="W60" s="110" t="s">
        <v>5388</v>
      </c>
      <c r="X60" s="122" t="s">
        <v>5389</v>
      </c>
      <c r="Y60" s="110" t="s">
        <v>5390</v>
      </c>
      <c r="Z60" s="122" t="s">
        <v>5391</v>
      </c>
      <c r="AA60" s="110" t="s">
        <v>5392</v>
      </c>
      <c r="AB60" s="122" t="s">
        <v>5393</v>
      </c>
      <c r="AC60" s="110" t="s">
        <v>5394</v>
      </c>
      <c r="AD60" s="122" t="s">
        <v>5395</v>
      </c>
      <c r="AE60" s="110" t="s">
        <v>5396</v>
      </c>
      <c r="AF60" s="122" t="s">
        <v>5397</v>
      </c>
      <c r="AG60" s="110" t="s">
        <v>5398</v>
      </c>
      <c r="AH60" s="122" t="s">
        <v>5399</v>
      </c>
      <c r="AI60" s="110" t="s">
        <v>5400</v>
      </c>
      <c r="AJ60" s="122" t="s">
        <v>5401</v>
      </c>
      <c r="AK60" s="110" t="s">
        <v>5402</v>
      </c>
      <c r="AL60" s="122" t="s">
        <v>5403</v>
      </c>
      <c r="AM60" s="157" t="s">
        <v>5404</v>
      </c>
      <c r="AN60" s="197" t="s">
        <v>5405</v>
      </c>
      <c r="AO60" s="2512" t="s">
        <v>5406</v>
      </c>
      <c r="AP60" s="2852" t="s">
        <v>5407</v>
      </c>
      <c r="AQ60" s="1843" t="s">
        <v>5408</v>
      </c>
      <c r="AR60" s="123" t="s">
        <v>5409</v>
      </c>
      <c r="AS60" s="123" t="s">
        <v>5410</v>
      </c>
      <c r="AT60" s="123" t="s">
        <v>5411</v>
      </c>
      <c r="AU60" s="123" t="s">
        <v>5412</v>
      </c>
      <c r="AV60" s="123" t="s">
        <v>5413</v>
      </c>
      <c r="AW60" s="806"/>
      <c r="AX60" s="806"/>
      <c r="AY60" s="806"/>
      <c r="AZ60" s="806"/>
      <c r="BA60" s="806"/>
      <c r="BB60" s="806"/>
      <c r="BC60" s="806"/>
      <c r="BD60" s="806"/>
      <c r="BE60" s="806"/>
      <c r="BF60" s="806"/>
      <c r="BG60" s="1191"/>
      <c r="BH60" s="1191"/>
      <c r="BY60" s="827"/>
      <c r="CB60" s="1445" t="str">
        <f t="shared" si="8"/>
        <v/>
      </c>
      <c r="CC60" s="1445" t="e">
        <f t="shared" si="9"/>
        <v>#VALUE!</v>
      </c>
      <c r="CD60" s="1445" t="str">
        <f t="shared" si="10"/>
        <v xml:space="preserve">* Las consejerías realizadas en Espacios amigables NO DEBEN ser mayor al Total. </v>
      </c>
      <c r="CE60" s="1445" t="e">
        <f t="shared" si="11"/>
        <v>#VALUE!</v>
      </c>
      <c r="CF60" s="1445"/>
      <c r="CG60" s="1445"/>
      <c r="CH60" s="1446">
        <f t="shared" si="12"/>
        <v>0</v>
      </c>
      <c r="CI60" s="1446" t="e">
        <f t="shared" si="13"/>
        <v>#VALUE!</v>
      </c>
      <c r="CJ60" s="1446">
        <f t="shared" si="14"/>
        <v>1</v>
      </c>
      <c r="CK60" s="1446" t="e">
        <f t="shared" si="15"/>
        <v>#VALUE!</v>
      </c>
      <c r="CL60" s="1443"/>
      <c r="CM60" s="1443"/>
      <c r="CN60" s="1443"/>
      <c r="CO60" s="1443"/>
      <c r="CP60" s="1443"/>
    </row>
    <row r="61" spans="1:94" ht="16.350000000000001" customHeight="1" x14ac:dyDescent="0.3">
      <c r="A61" s="7258">
        <v>19120708</v>
      </c>
      <c r="B61" s="8555"/>
      <c r="C61" s="135" t="s">
        <v>1267</v>
      </c>
      <c r="D61" s="323" t="s">
        <v>5369</v>
      </c>
      <c r="E61" s="324" t="s">
        <v>5370</v>
      </c>
      <c r="F61" s="786" t="s">
        <v>5371</v>
      </c>
      <c r="G61" s="93" t="s">
        <v>5372</v>
      </c>
      <c r="H61" s="170" t="s">
        <v>5373</v>
      </c>
      <c r="I61" s="93" t="s">
        <v>5374</v>
      </c>
      <c r="J61" s="170" t="s">
        <v>5375</v>
      </c>
      <c r="K61" s="110" t="s">
        <v>5376</v>
      </c>
      <c r="L61" s="122" t="s">
        <v>5377</v>
      </c>
      <c r="M61" s="110" t="s">
        <v>5378</v>
      </c>
      <c r="N61" s="122" t="s">
        <v>5379</v>
      </c>
      <c r="O61" s="110" t="s">
        <v>5380</v>
      </c>
      <c r="P61" s="122" t="s">
        <v>5381</v>
      </c>
      <c r="Q61" s="110" t="s">
        <v>5382</v>
      </c>
      <c r="R61" s="122" t="s">
        <v>5383</v>
      </c>
      <c r="S61" s="110" t="s">
        <v>5384</v>
      </c>
      <c r="T61" s="122" t="s">
        <v>5385</v>
      </c>
      <c r="U61" s="110" t="s">
        <v>5386</v>
      </c>
      <c r="V61" s="122" t="s">
        <v>5387</v>
      </c>
      <c r="W61" s="110" t="s">
        <v>5388</v>
      </c>
      <c r="X61" s="122" t="s">
        <v>5389</v>
      </c>
      <c r="Y61" s="110" t="s">
        <v>5390</v>
      </c>
      <c r="Z61" s="122" t="s">
        <v>5391</v>
      </c>
      <c r="AA61" s="110" t="s">
        <v>5392</v>
      </c>
      <c r="AB61" s="122" t="s">
        <v>5393</v>
      </c>
      <c r="AC61" s="110" t="s">
        <v>5394</v>
      </c>
      <c r="AD61" s="122" t="s">
        <v>5395</v>
      </c>
      <c r="AE61" s="110" t="s">
        <v>5396</v>
      </c>
      <c r="AF61" s="122" t="s">
        <v>5397</v>
      </c>
      <c r="AG61" s="110" t="s">
        <v>5398</v>
      </c>
      <c r="AH61" s="122" t="s">
        <v>5399</v>
      </c>
      <c r="AI61" s="110" t="s">
        <v>5400</v>
      </c>
      <c r="AJ61" s="122" t="s">
        <v>5401</v>
      </c>
      <c r="AK61" s="110" t="s">
        <v>5402</v>
      </c>
      <c r="AL61" s="122" t="s">
        <v>5403</v>
      </c>
      <c r="AM61" s="157" t="s">
        <v>5404</v>
      </c>
      <c r="AN61" s="197" t="s">
        <v>5405</v>
      </c>
      <c r="AO61" s="2512" t="s">
        <v>5406</v>
      </c>
      <c r="AP61" s="2852" t="s">
        <v>5407</v>
      </c>
      <c r="AQ61" s="1843" t="s">
        <v>5408</v>
      </c>
      <c r="AR61" s="123" t="s">
        <v>5409</v>
      </c>
      <c r="AS61" s="123" t="s">
        <v>5410</v>
      </c>
      <c r="AT61" s="123" t="s">
        <v>5411</v>
      </c>
      <c r="AU61" s="123" t="s">
        <v>5412</v>
      </c>
      <c r="AV61" s="123" t="s">
        <v>5413</v>
      </c>
      <c r="AW61" s="806"/>
      <c r="AX61" s="806"/>
      <c r="AY61" s="806"/>
      <c r="AZ61" s="806"/>
      <c r="BA61" s="806"/>
      <c r="BB61" s="806"/>
      <c r="BC61" s="806"/>
      <c r="BD61" s="806"/>
      <c r="BE61" s="806"/>
      <c r="BF61" s="806"/>
      <c r="BG61" s="1191"/>
      <c r="BH61" s="1191"/>
      <c r="BY61" s="827"/>
      <c r="CB61" s="1445" t="str">
        <f t="shared" si="8"/>
        <v/>
      </c>
      <c r="CC61" s="1445" t="e">
        <f t="shared" si="9"/>
        <v>#VALUE!</v>
      </c>
      <c r="CD61" s="1445" t="str">
        <f t="shared" si="10"/>
        <v xml:space="preserve">* Las consejerías realizadas en Espacios amigables NO DEBEN ser mayor al Total. </v>
      </c>
      <c r="CE61" s="1445" t="e">
        <f t="shared" si="11"/>
        <v>#VALUE!</v>
      </c>
      <c r="CF61" s="1445"/>
      <c r="CG61" s="1445"/>
      <c r="CH61" s="1446">
        <f t="shared" si="12"/>
        <v>0</v>
      </c>
      <c r="CI61" s="1446" t="e">
        <f t="shared" si="13"/>
        <v>#VALUE!</v>
      </c>
      <c r="CJ61" s="1446">
        <f t="shared" si="14"/>
        <v>1</v>
      </c>
      <c r="CK61" s="1446" t="e">
        <f t="shared" si="15"/>
        <v>#VALUE!</v>
      </c>
      <c r="CL61" s="1443"/>
      <c r="CM61" s="1443"/>
      <c r="CN61" s="1443"/>
      <c r="CO61" s="1443"/>
      <c r="CP61" s="1443"/>
    </row>
    <row r="62" spans="1:94" ht="16.350000000000001" customHeight="1" x14ac:dyDescent="0.3">
      <c r="A62" s="7258">
        <v>19120709</v>
      </c>
      <c r="B62" s="8555"/>
      <c r="C62" s="109" t="s">
        <v>1266</v>
      </c>
      <c r="D62" s="278" t="s">
        <v>5369</v>
      </c>
      <c r="E62" s="324" t="s">
        <v>5370</v>
      </c>
      <c r="F62" s="785" t="s">
        <v>5371</v>
      </c>
      <c r="G62" s="93" t="s">
        <v>5372</v>
      </c>
      <c r="H62" s="170" t="s">
        <v>5373</v>
      </c>
      <c r="I62" s="93" t="s">
        <v>5374</v>
      </c>
      <c r="J62" s="170" t="s">
        <v>5375</v>
      </c>
      <c r="K62" s="137" t="s">
        <v>5376</v>
      </c>
      <c r="L62" s="138" t="s">
        <v>5377</v>
      </c>
      <c r="M62" s="137" t="s">
        <v>5378</v>
      </c>
      <c r="N62" s="138" t="s">
        <v>5379</v>
      </c>
      <c r="O62" s="137" t="s">
        <v>5380</v>
      </c>
      <c r="P62" s="138" t="s">
        <v>5381</v>
      </c>
      <c r="Q62" s="137" t="s">
        <v>5382</v>
      </c>
      <c r="R62" s="138" t="s">
        <v>5383</v>
      </c>
      <c r="S62" s="137" t="s">
        <v>5384</v>
      </c>
      <c r="T62" s="138" t="s">
        <v>5385</v>
      </c>
      <c r="U62" s="137" t="s">
        <v>5386</v>
      </c>
      <c r="V62" s="138" t="s">
        <v>5387</v>
      </c>
      <c r="W62" s="137" t="s">
        <v>5388</v>
      </c>
      <c r="X62" s="138" t="s">
        <v>5389</v>
      </c>
      <c r="Y62" s="137" t="s">
        <v>5390</v>
      </c>
      <c r="Z62" s="138" t="s">
        <v>5391</v>
      </c>
      <c r="AA62" s="137" t="s">
        <v>5392</v>
      </c>
      <c r="AB62" s="138" t="s">
        <v>5393</v>
      </c>
      <c r="AC62" s="137" t="s">
        <v>5394</v>
      </c>
      <c r="AD62" s="138" t="s">
        <v>5395</v>
      </c>
      <c r="AE62" s="137" t="s">
        <v>5396</v>
      </c>
      <c r="AF62" s="138" t="s">
        <v>5397</v>
      </c>
      <c r="AG62" s="137" t="s">
        <v>5398</v>
      </c>
      <c r="AH62" s="138" t="s">
        <v>5399</v>
      </c>
      <c r="AI62" s="137" t="s">
        <v>5400</v>
      </c>
      <c r="AJ62" s="138" t="s">
        <v>5401</v>
      </c>
      <c r="AK62" s="137" t="s">
        <v>5402</v>
      </c>
      <c r="AL62" s="138" t="s">
        <v>5403</v>
      </c>
      <c r="AM62" s="161" t="s">
        <v>5404</v>
      </c>
      <c r="AN62" s="260" t="s">
        <v>5405</v>
      </c>
      <c r="AO62" s="2512" t="s">
        <v>5406</v>
      </c>
      <c r="AP62" s="2796" t="s">
        <v>5407</v>
      </c>
      <c r="AQ62" s="1806" t="s">
        <v>5408</v>
      </c>
      <c r="AR62" s="97" t="s">
        <v>5409</v>
      </c>
      <c r="AS62" s="97" t="s">
        <v>5410</v>
      </c>
      <c r="AT62" s="97" t="s">
        <v>5411</v>
      </c>
      <c r="AU62" s="97" t="s">
        <v>5412</v>
      </c>
      <c r="AV62" s="97" t="s">
        <v>5413</v>
      </c>
      <c r="AW62" s="806"/>
      <c r="AX62" s="806"/>
      <c r="AY62" s="806"/>
      <c r="AZ62" s="806"/>
      <c r="BA62" s="806"/>
      <c r="BB62" s="806"/>
      <c r="BC62" s="806"/>
      <c r="BD62" s="806"/>
      <c r="BE62" s="806"/>
      <c r="BF62" s="806"/>
      <c r="BG62" s="1191"/>
      <c r="BH62" s="1191"/>
      <c r="BY62" s="827"/>
      <c r="CB62" s="1445" t="str">
        <f t="shared" si="8"/>
        <v/>
      </c>
      <c r="CC62" s="1445" t="e">
        <f t="shared" si="9"/>
        <v>#VALUE!</v>
      </c>
      <c r="CD62" s="1445" t="str">
        <f t="shared" si="10"/>
        <v xml:space="preserve">* Las consejerías realizadas en Espacios amigables NO DEBEN ser mayor al Total. </v>
      </c>
      <c r="CE62" s="1445" t="e">
        <f t="shared" si="11"/>
        <v>#VALUE!</v>
      </c>
      <c r="CF62" s="1445"/>
      <c r="CG62" s="1445"/>
      <c r="CH62" s="1446">
        <f t="shared" si="12"/>
        <v>0</v>
      </c>
      <c r="CI62" s="1446" t="e">
        <f t="shared" si="13"/>
        <v>#VALUE!</v>
      </c>
      <c r="CJ62" s="1446">
        <f t="shared" si="14"/>
        <v>1</v>
      </c>
      <c r="CK62" s="1446" t="e">
        <f t="shared" si="15"/>
        <v>#VALUE!</v>
      </c>
      <c r="CL62" s="1443"/>
      <c r="CM62" s="1443"/>
      <c r="CN62" s="1443"/>
      <c r="CO62" s="1443"/>
      <c r="CP62" s="1443"/>
    </row>
    <row r="63" spans="1:94" ht="16.350000000000001" customHeight="1" x14ac:dyDescent="0.3">
      <c r="A63" s="7258">
        <v>19120711</v>
      </c>
      <c r="B63" s="8859"/>
      <c r="C63" s="534" t="s">
        <v>1265</v>
      </c>
      <c r="D63" s="1336" t="s">
        <v>5369</v>
      </c>
      <c r="E63" s="1337" t="s">
        <v>5370</v>
      </c>
      <c r="F63" s="784" t="s">
        <v>5371</v>
      </c>
      <c r="G63" s="82" t="s">
        <v>5372</v>
      </c>
      <c r="H63" s="128" t="s">
        <v>5373</v>
      </c>
      <c r="I63" s="82" t="s">
        <v>5374</v>
      </c>
      <c r="J63" s="128" t="s">
        <v>5375</v>
      </c>
      <c r="K63" s="125" t="s">
        <v>5376</v>
      </c>
      <c r="L63" s="101" t="s">
        <v>5377</v>
      </c>
      <c r="M63" s="125" t="s">
        <v>5378</v>
      </c>
      <c r="N63" s="101" t="s">
        <v>5379</v>
      </c>
      <c r="O63" s="125" t="s">
        <v>5380</v>
      </c>
      <c r="P63" s="101" t="s">
        <v>5381</v>
      </c>
      <c r="Q63" s="125" t="s">
        <v>5382</v>
      </c>
      <c r="R63" s="101" t="s">
        <v>5383</v>
      </c>
      <c r="S63" s="125" t="s">
        <v>5384</v>
      </c>
      <c r="T63" s="101" t="s">
        <v>5385</v>
      </c>
      <c r="U63" s="125" t="s">
        <v>5386</v>
      </c>
      <c r="V63" s="101" t="s">
        <v>5387</v>
      </c>
      <c r="W63" s="125" t="s">
        <v>5388</v>
      </c>
      <c r="X63" s="101" t="s">
        <v>5389</v>
      </c>
      <c r="Y63" s="125" t="s">
        <v>5390</v>
      </c>
      <c r="Z63" s="101" t="s">
        <v>5391</v>
      </c>
      <c r="AA63" s="125" t="s">
        <v>5392</v>
      </c>
      <c r="AB63" s="101" t="s">
        <v>5393</v>
      </c>
      <c r="AC63" s="125" t="s">
        <v>5394</v>
      </c>
      <c r="AD63" s="101" t="s">
        <v>5395</v>
      </c>
      <c r="AE63" s="125" t="s">
        <v>5396</v>
      </c>
      <c r="AF63" s="101" t="s">
        <v>5397</v>
      </c>
      <c r="AG63" s="125" t="s">
        <v>5398</v>
      </c>
      <c r="AH63" s="101" t="s">
        <v>5399</v>
      </c>
      <c r="AI63" s="125" t="s">
        <v>5400</v>
      </c>
      <c r="AJ63" s="101" t="s">
        <v>5401</v>
      </c>
      <c r="AK63" s="125" t="s">
        <v>5402</v>
      </c>
      <c r="AL63" s="101" t="s">
        <v>5403</v>
      </c>
      <c r="AM63" s="159" t="s">
        <v>5404</v>
      </c>
      <c r="AN63" s="198" t="s">
        <v>5405</v>
      </c>
      <c r="AO63" s="2490" t="s">
        <v>5406</v>
      </c>
      <c r="AP63" s="2477" t="s">
        <v>5407</v>
      </c>
      <c r="AQ63" s="1636" t="s">
        <v>5408</v>
      </c>
      <c r="AR63" s="86" t="s">
        <v>5409</v>
      </c>
      <c r="AS63" s="86" t="s">
        <v>5410</v>
      </c>
      <c r="AT63" s="86" t="s">
        <v>5411</v>
      </c>
      <c r="AU63" s="86" t="s">
        <v>5412</v>
      </c>
      <c r="AV63" s="86" t="s">
        <v>5413</v>
      </c>
      <c r="AW63" s="806"/>
      <c r="AX63" s="806"/>
      <c r="AY63" s="806"/>
      <c r="AZ63" s="806"/>
      <c r="BA63" s="806"/>
      <c r="BB63" s="806"/>
      <c r="BC63" s="806"/>
      <c r="BD63" s="806"/>
      <c r="BE63" s="806"/>
      <c r="BF63" s="806"/>
      <c r="BG63" s="1191"/>
      <c r="BH63" s="1191"/>
      <c r="BY63" s="827"/>
      <c r="CB63" s="1445" t="str">
        <f t="shared" si="8"/>
        <v/>
      </c>
      <c r="CC63" s="1445" t="e">
        <f t="shared" si="9"/>
        <v>#VALUE!</v>
      </c>
      <c r="CD63" s="1445" t="str">
        <f t="shared" si="10"/>
        <v xml:space="preserve">* Las consejerías realizadas en Espacios amigables NO DEBEN ser mayor al Total. </v>
      </c>
      <c r="CE63" s="1445" t="e">
        <f t="shared" si="11"/>
        <v>#VALUE!</v>
      </c>
      <c r="CF63" s="1445"/>
      <c r="CG63" s="1445"/>
      <c r="CH63" s="1446">
        <f t="shared" si="12"/>
        <v>0</v>
      </c>
      <c r="CI63" s="1446" t="e">
        <f t="shared" si="13"/>
        <v>#VALUE!</v>
      </c>
      <c r="CJ63" s="1446">
        <f t="shared" si="14"/>
        <v>1</v>
      </c>
      <c r="CK63" s="1446" t="e">
        <f t="shared" si="15"/>
        <v>#VALUE!</v>
      </c>
      <c r="CL63" s="1443"/>
      <c r="CM63" s="1443"/>
      <c r="CN63" s="1443"/>
      <c r="CO63" s="1443"/>
      <c r="CP63" s="1443"/>
    </row>
    <row r="64" spans="1:94" ht="16.350000000000001" customHeight="1" x14ac:dyDescent="0.3">
      <c r="A64" s="7258">
        <v>19150900</v>
      </c>
      <c r="B64" s="8583" t="s">
        <v>2585</v>
      </c>
      <c r="C64" s="778" t="s">
        <v>3743</v>
      </c>
      <c r="D64" s="1846" t="s">
        <v>5369</v>
      </c>
      <c r="E64" s="1933" t="s">
        <v>5370</v>
      </c>
      <c r="F64" s="787" t="s">
        <v>5371</v>
      </c>
      <c r="G64" s="791" t="s">
        <v>5372</v>
      </c>
      <c r="H64" s="571" t="s">
        <v>5373</v>
      </c>
      <c r="I64" s="791" t="s">
        <v>5374</v>
      </c>
      <c r="J64" s="571" t="s">
        <v>5375</v>
      </c>
      <c r="K64" s="791" t="s">
        <v>5376</v>
      </c>
      <c r="L64" s="761" t="s">
        <v>5377</v>
      </c>
      <c r="M64" s="791" t="s">
        <v>5378</v>
      </c>
      <c r="N64" s="761" t="s">
        <v>5379</v>
      </c>
      <c r="O64" s="791" t="s">
        <v>5380</v>
      </c>
      <c r="P64" s="761" t="s">
        <v>5381</v>
      </c>
      <c r="Q64" s="791" t="s">
        <v>5382</v>
      </c>
      <c r="R64" s="761" t="s">
        <v>5383</v>
      </c>
      <c r="S64" s="791" t="s">
        <v>5384</v>
      </c>
      <c r="T64" s="761" t="s">
        <v>5385</v>
      </c>
      <c r="U64" s="791" t="s">
        <v>5386</v>
      </c>
      <c r="V64" s="761" t="s">
        <v>5387</v>
      </c>
      <c r="W64" s="791" t="s">
        <v>5388</v>
      </c>
      <c r="X64" s="761" t="s">
        <v>5389</v>
      </c>
      <c r="Y64" s="791" t="s">
        <v>5390</v>
      </c>
      <c r="Z64" s="761" t="s">
        <v>5391</v>
      </c>
      <c r="AA64" s="791" t="s">
        <v>5392</v>
      </c>
      <c r="AB64" s="761" t="s">
        <v>5393</v>
      </c>
      <c r="AC64" s="791" t="s">
        <v>5394</v>
      </c>
      <c r="AD64" s="138" t="s">
        <v>5395</v>
      </c>
      <c r="AE64" s="768" t="s">
        <v>5396</v>
      </c>
      <c r="AF64" s="769" t="s">
        <v>5397</v>
      </c>
      <c r="AG64" s="698" t="s">
        <v>5398</v>
      </c>
      <c r="AH64" s="715" t="s">
        <v>5399</v>
      </c>
      <c r="AI64" s="698" t="s">
        <v>5400</v>
      </c>
      <c r="AJ64" s="715" t="s">
        <v>5401</v>
      </c>
      <c r="AK64" s="698" t="s">
        <v>5402</v>
      </c>
      <c r="AL64" s="715" t="s">
        <v>5403</v>
      </c>
      <c r="AM64" s="790" t="s">
        <v>5404</v>
      </c>
      <c r="AN64" s="697" t="s">
        <v>5405</v>
      </c>
      <c r="AO64" s="2449" t="s">
        <v>5406</v>
      </c>
      <c r="AP64" s="2864" t="s">
        <v>5407</v>
      </c>
      <c r="AQ64" s="1848" t="s">
        <v>5408</v>
      </c>
      <c r="AR64" s="694" t="s">
        <v>5409</v>
      </c>
      <c r="AS64" s="694" t="s">
        <v>5410</v>
      </c>
      <c r="AT64" s="694" t="s">
        <v>5411</v>
      </c>
      <c r="AU64" s="694" t="s">
        <v>5412</v>
      </c>
      <c r="AV64" s="694" t="s">
        <v>5413</v>
      </c>
      <c r="AW64" s="806"/>
      <c r="AX64" s="806"/>
      <c r="AY64" s="806"/>
      <c r="AZ64" s="806"/>
      <c r="BA64" s="806"/>
      <c r="BB64" s="806"/>
      <c r="BC64" s="806"/>
      <c r="BD64" s="806"/>
      <c r="BE64" s="806"/>
      <c r="BF64" s="806"/>
      <c r="BG64" s="1191"/>
      <c r="BH64" s="1191"/>
      <c r="BY64" s="827"/>
      <c r="CB64" s="1445" t="str">
        <f t="shared" si="8"/>
        <v/>
      </c>
      <c r="CC64" s="1445" t="e">
        <f t="shared" si="9"/>
        <v>#VALUE!</v>
      </c>
      <c r="CD64" s="1445" t="str">
        <f t="shared" si="10"/>
        <v xml:space="preserve">* Las consejerías realizadas en Espacios amigables NO DEBEN ser mayor al Total. </v>
      </c>
      <c r="CE64" s="1445" t="e">
        <f t="shared" si="11"/>
        <v>#VALUE!</v>
      </c>
      <c r="CF64" s="1445"/>
      <c r="CG64" s="1445"/>
      <c r="CH64" s="1446">
        <f t="shared" si="12"/>
        <v>0</v>
      </c>
      <c r="CI64" s="1446" t="e">
        <f t="shared" si="13"/>
        <v>#VALUE!</v>
      </c>
      <c r="CJ64" s="1446">
        <f t="shared" si="14"/>
        <v>1</v>
      </c>
      <c r="CK64" s="1446" t="e">
        <f t="shared" si="15"/>
        <v>#VALUE!</v>
      </c>
      <c r="CL64" s="1443"/>
      <c r="CM64" s="1443"/>
      <c r="CN64" s="1443"/>
      <c r="CO64" s="1443"/>
      <c r="CP64" s="1443"/>
    </row>
    <row r="65" spans="1:106" ht="16.350000000000001" customHeight="1" x14ac:dyDescent="0.3">
      <c r="A65" s="7258">
        <v>19150920</v>
      </c>
      <c r="B65" s="8555"/>
      <c r="C65" s="500" t="s">
        <v>3744</v>
      </c>
      <c r="D65" s="1934" t="s">
        <v>5369</v>
      </c>
      <c r="E65" s="1734" t="s">
        <v>5370</v>
      </c>
      <c r="F65" s="785" t="s">
        <v>5371</v>
      </c>
      <c r="G65" s="93" t="s">
        <v>5372</v>
      </c>
      <c r="H65" s="170" t="s">
        <v>5373</v>
      </c>
      <c r="I65" s="93" t="s">
        <v>5374</v>
      </c>
      <c r="J65" s="170" t="s">
        <v>5375</v>
      </c>
      <c r="K65" s="93" t="s">
        <v>5376</v>
      </c>
      <c r="L65" s="122" t="s">
        <v>5377</v>
      </c>
      <c r="M65" s="93" t="s">
        <v>5378</v>
      </c>
      <c r="N65" s="122" t="s">
        <v>5379</v>
      </c>
      <c r="O65" s="93" t="s">
        <v>5380</v>
      </c>
      <c r="P65" s="122" t="s">
        <v>5381</v>
      </c>
      <c r="Q65" s="93" t="s">
        <v>5382</v>
      </c>
      <c r="R65" s="122" t="s">
        <v>5383</v>
      </c>
      <c r="S65" s="93" t="s">
        <v>5384</v>
      </c>
      <c r="T65" s="122" t="s">
        <v>5385</v>
      </c>
      <c r="U65" s="93" t="s">
        <v>5386</v>
      </c>
      <c r="V65" s="122" t="s">
        <v>5387</v>
      </c>
      <c r="W65" s="93" t="s">
        <v>5388</v>
      </c>
      <c r="X65" s="122" t="s">
        <v>5389</v>
      </c>
      <c r="Y65" s="93" t="s">
        <v>5390</v>
      </c>
      <c r="Z65" s="122" t="s">
        <v>5391</v>
      </c>
      <c r="AA65" s="93" t="s">
        <v>5392</v>
      </c>
      <c r="AB65" s="122" t="s">
        <v>5393</v>
      </c>
      <c r="AC65" s="93" t="s">
        <v>5394</v>
      </c>
      <c r="AD65" s="138" t="s">
        <v>5395</v>
      </c>
      <c r="AE65" s="768" t="s">
        <v>5396</v>
      </c>
      <c r="AF65" s="769" t="s">
        <v>5397</v>
      </c>
      <c r="AG65" s="131" t="s">
        <v>5398</v>
      </c>
      <c r="AH65" s="121" t="s">
        <v>5399</v>
      </c>
      <c r="AI65" s="131" t="s">
        <v>5400</v>
      </c>
      <c r="AJ65" s="121" t="s">
        <v>5401</v>
      </c>
      <c r="AK65" s="131" t="s">
        <v>5402</v>
      </c>
      <c r="AL65" s="121" t="s">
        <v>5403</v>
      </c>
      <c r="AM65" s="505" t="s">
        <v>5404</v>
      </c>
      <c r="AN65" s="240" t="s">
        <v>5405</v>
      </c>
      <c r="AO65" s="2512" t="s">
        <v>5406</v>
      </c>
      <c r="AP65" s="2852" t="s">
        <v>5407</v>
      </c>
      <c r="AQ65" s="1843" t="s">
        <v>5408</v>
      </c>
      <c r="AR65" s="123" t="s">
        <v>5409</v>
      </c>
      <c r="AS65" s="123" t="s">
        <v>5410</v>
      </c>
      <c r="AT65" s="123" t="s">
        <v>5411</v>
      </c>
      <c r="AU65" s="123" t="s">
        <v>5412</v>
      </c>
      <c r="AV65" s="123" t="s">
        <v>5413</v>
      </c>
      <c r="AW65" s="806"/>
      <c r="AX65" s="806"/>
      <c r="AY65" s="806"/>
      <c r="AZ65" s="806"/>
      <c r="BA65" s="806"/>
      <c r="BB65" s="806"/>
      <c r="BC65" s="806"/>
      <c r="BD65" s="806"/>
      <c r="BE65" s="806"/>
      <c r="BF65" s="806"/>
      <c r="BG65" s="1191"/>
      <c r="BH65" s="1191"/>
      <c r="BY65" s="827"/>
      <c r="CB65" s="1445" t="str">
        <f t="shared" si="8"/>
        <v/>
      </c>
      <c r="CC65" s="1445" t="e">
        <f t="shared" si="9"/>
        <v>#VALUE!</v>
      </c>
      <c r="CD65" s="1445" t="str">
        <f t="shared" si="10"/>
        <v xml:space="preserve">* Las consejerías realizadas en Espacios amigables NO DEBEN ser mayor al Total. </v>
      </c>
      <c r="CE65" s="1445" t="e">
        <f t="shared" si="11"/>
        <v>#VALUE!</v>
      </c>
      <c r="CF65" s="1445"/>
      <c r="CG65" s="1445"/>
      <c r="CH65" s="1446">
        <f t="shared" si="12"/>
        <v>0</v>
      </c>
      <c r="CI65" s="1446" t="e">
        <f t="shared" si="13"/>
        <v>#VALUE!</v>
      </c>
      <c r="CJ65" s="1446">
        <f t="shared" si="14"/>
        <v>1</v>
      </c>
      <c r="CK65" s="1446" t="e">
        <f t="shared" si="15"/>
        <v>#VALUE!</v>
      </c>
      <c r="CL65" s="1443"/>
      <c r="CM65" s="1443"/>
      <c r="CN65" s="1443"/>
      <c r="CO65" s="1443"/>
      <c r="CP65" s="1443"/>
    </row>
    <row r="66" spans="1:106" ht="16.350000000000001" customHeight="1" x14ac:dyDescent="0.3">
      <c r="A66" s="7258">
        <v>19170300</v>
      </c>
      <c r="B66" s="8555"/>
      <c r="C66" s="500" t="s">
        <v>2604</v>
      </c>
      <c r="D66" s="1934" t="s">
        <v>5369</v>
      </c>
      <c r="E66" s="1851" t="s">
        <v>5370</v>
      </c>
      <c r="F66" s="785" t="s">
        <v>5371</v>
      </c>
      <c r="G66" s="131" t="s">
        <v>5372</v>
      </c>
      <c r="H66" s="132" t="s">
        <v>5373</v>
      </c>
      <c r="I66" s="131" t="s">
        <v>5374</v>
      </c>
      <c r="J66" s="132" t="s">
        <v>5375</v>
      </c>
      <c r="K66" s="131" t="s">
        <v>5376</v>
      </c>
      <c r="L66" s="122" t="s">
        <v>5377</v>
      </c>
      <c r="M66" s="131" t="s">
        <v>5378</v>
      </c>
      <c r="N66" s="122" t="s">
        <v>5379</v>
      </c>
      <c r="O66" s="131" t="s">
        <v>5380</v>
      </c>
      <c r="P66" s="122" t="s">
        <v>5381</v>
      </c>
      <c r="Q66" s="131" t="s">
        <v>5382</v>
      </c>
      <c r="R66" s="122" t="s">
        <v>5383</v>
      </c>
      <c r="S66" s="131" t="s">
        <v>5384</v>
      </c>
      <c r="T66" s="122" t="s">
        <v>5385</v>
      </c>
      <c r="U66" s="131" t="s">
        <v>5386</v>
      </c>
      <c r="V66" s="122" t="s">
        <v>5387</v>
      </c>
      <c r="W66" s="131" t="s">
        <v>5388</v>
      </c>
      <c r="X66" s="122" t="s">
        <v>5389</v>
      </c>
      <c r="Y66" s="131" t="s">
        <v>5390</v>
      </c>
      <c r="Z66" s="122" t="s">
        <v>5391</v>
      </c>
      <c r="AA66" s="131" t="s">
        <v>5392</v>
      </c>
      <c r="AB66" s="122" t="s">
        <v>5393</v>
      </c>
      <c r="AC66" s="131" t="s">
        <v>5394</v>
      </c>
      <c r="AD66" s="138" t="s">
        <v>5395</v>
      </c>
      <c r="AE66" s="768" t="s">
        <v>5396</v>
      </c>
      <c r="AF66" s="769" t="s">
        <v>5397</v>
      </c>
      <c r="AG66" s="131" t="s">
        <v>5398</v>
      </c>
      <c r="AH66" s="121" t="s">
        <v>5399</v>
      </c>
      <c r="AI66" s="131" t="s">
        <v>5400</v>
      </c>
      <c r="AJ66" s="121" t="s">
        <v>5401</v>
      </c>
      <c r="AK66" s="131" t="s">
        <v>5402</v>
      </c>
      <c r="AL66" s="121" t="s">
        <v>5403</v>
      </c>
      <c r="AM66" s="505" t="s">
        <v>5404</v>
      </c>
      <c r="AN66" s="240" t="s">
        <v>5405</v>
      </c>
      <c r="AO66" s="2512" t="s">
        <v>5406</v>
      </c>
      <c r="AP66" s="2796" t="s">
        <v>5407</v>
      </c>
      <c r="AQ66" s="1806" t="s">
        <v>5408</v>
      </c>
      <c r="AR66" s="97" t="s">
        <v>5409</v>
      </c>
      <c r="AS66" s="97" t="s">
        <v>5410</v>
      </c>
      <c r="AT66" s="97" t="s">
        <v>5411</v>
      </c>
      <c r="AU66" s="97" t="s">
        <v>5412</v>
      </c>
      <c r="AV66" s="97" t="s">
        <v>5413</v>
      </c>
      <c r="AW66" s="806"/>
      <c r="AX66" s="806"/>
      <c r="AY66" s="806"/>
      <c r="AZ66" s="806"/>
      <c r="BA66" s="806"/>
      <c r="BB66" s="806"/>
      <c r="BC66" s="806"/>
      <c r="BD66" s="806"/>
      <c r="BE66" s="806"/>
      <c r="BF66" s="806"/>
      <c r="BG66" s="1191"/>
      <c r="BH66" s="1191"/>
      <c r="BY66" s="827"/>
      <c r="CB66" s="1445" t="str">
        <f>IF(CH66=1,"* No olvide digitar la columna Trans y/o Pueblos Originarios y/o Migrantes y/o Población SENAME (Digite Cero si no tiene). ","")</f>
        <v/>
      </c>
      <c r="CC66" s="1445" t="e">
        <f>IF(CI66=1,"* El número de Trans y/o Pueblos Originarios y/o Migrantes y/o Población SENAME NO DEBE ser mayor que el Total. ","")</f>
        <v>#VALUE!</v>
      </c>
      <c r="CD66" s="1445" t="str">
        <f>IF(CJ66=1,"* Las consejerías realizadas en Espacios amigables NO DEBEN ser mayor al Total. ","")</f>
        <v xml:space="preserve">* Las consejerías realizadas en Espacios amigables NO DEBEN ser mayor al Total. </v>
      </c>
      <c r="CE66" s="1445" t="e">
        <f>IF(CK66=1,"* La columna 14-18 AÑOS no puede ser mayor al total por grupo edad de 10 a 19 años. ","")</f>
        <v>#VALUE!</v>
      </c>
      <c r="CF66" s="1445"/>
      <c r="CG66" s="1445"/>
      <c r="CH66" s="1446">
        <f t="shared" si="12"/>
        <v>0</v>
      </c>
      <c r="CI66" s="1446" t="e">
        <f t="shared" si="13"/>
        <v>#VALUE!</v>
      </c>
      <c r="CJ66" s="1446">
        <f t="shared" si="14"/>
        <v>1</v>
      </c>
      <c r="CK66" s="1446" t="e">
        <f t="shared" si="15"/>
        <v>#VALUE!</v>
      </c>
      <c r="CL66" s="1443"/>
      <c r="CM66" s="1443"/>
      <c r="CN66" s="1443"/>
      <c r="CO66" s="1443"/>
      <c r="CP66" s="1443"/>
    </row>
    <row r="67" spans="1:106" ht="16.350000000000001" customHeight="1" x14ac:dyDescent="0.3">
      <c r="A67" s="7258">
        <v>19170400</v>
      </c>
      <c r="B67" s="8555"/>
      <c r="C67" s="500" t="s">
        <v>1269</v>
      </c>
      <c r="D67" s="1849" t="s">
        <v>5369</v>
      </c>
      <c r="E67" s="1734" t="s">
        <v>5370</v>
      </c>
      <c r="F67" s="785" t="s">
        <v>5371</v>
      </c>
      <c r="G67" s="93" t="s">
        <v>5372</v>
      </c>
      <c r="H67" s="170" t="s">
        <v>5373</v>
      </c>
      <c r="I67" s="93" t="s">
        <v>5374</v>
      </c>
      <c r="J67" s="170" t="s">
        <v>5375</v>
      </c>
      <c r="K67" s="93" t="s">
        <v>5376</v>
      </c>
      <c r="L67" s="138" t="s">
        <v>5377</v>
      </c>
      <c r="M67" s="93" t="s">
        <v>5378</v>
      </c>
      <c r="N67" s="138" t="s">
        <v>5379</v>
      </c>
      <c r="O67" s="93" t="s">
        <v>5380</v>
      </c>
      <c r="P67" s="138" t="s">
        <v>5381</v>
      </c>
      <c r="Q67" s="93" t="s">
        <v>5382</v>
      </c>
      <c r="R67" s="138" t="s">
        <v>5383</v>
      </c>
      <c r="S67" s="93" t="s">
        <v>5384</v>
      </c>
      <c r="T67" s="138" t="s">
        <v>5385</v>
      </c>
      <c r="U67" s="93" t="s">
        <v>5386</v>
      </c>
      <c r="V67" s="138" t="s">
        <v>5387</v>
      </c>
      <c r="W67" s="93" t="s">
        <v>5388</v>
      </c>
      <c r="X67" s="138" t="s">
        <v>5389</v>
      </c>
      <c r="Y67" s="93" t="s">
        <v>5390</v>
      </c>
      <c r="Z67" s="138" t="s">
        <v>5391</v>
      </c>
      <c r="AA67" s="93" t="s">
        <v>5392</v>
      </c>
      <c r="AB67" s="138" t="s">
        <v>5393</v>
      </c>
      <c r="AC67" s="93" t="s">
        <v>5394</v>
      </c>
      <c r="AD67" s="138" t="s">
        <v>5395</v>
      </c>
      <c r="AE67" s="768" t="s">
        <v>5396</v>
      </c>
      <c r="AF67" s="769" t="s">
        <v>5397</v>
      </c>
      <c r="AG67" s="131" t="s">
        <v>5398</v>
      </c>
      <c r="AH67" s="121" t="s">
        <v>5399</v>
      </c>
      <c r="AI67" s="131" t="s">
        <v>5400</v>
      </c>
      <c r="AJ67" s="121" t="s">
        <v>5401</v>
      </c>
      <c r="AK67" s="131" t="s">
        <v>5402</v>
      </c>
      <c r="AL67" s="121" t="s">
        <v>5403</v>
      </c>
      <c r="AM67" s="505" t="s">
        <v>5404</v>
      </c>
      <c r="AN67" s="240" t="s">
        <v>5405</v>
      </c>
      <c r="AO67" s="2512" t="s">
        <v>5406</v>
      </c>
      <c r="AP67" s="2796" t="s">
        <v>5407</v>
      </c>
      <c r="AQ67" s="1806" t="s">
        <v>5408</v>
      </c>
      <c r="AR67" s="97" t="s">
        <v>5409</v>
      </c>
      <c r="AS67" s="97" t="s">
        <v>5410</v>
      </c>
      <c r="AT67" s="97" t="s">
        <v>5411</v>
      </c>
      <c r="AU67" s="97" t="s">
        <v>5412</v>
      </c>
      <c r="AV67" s="97" t="s">
        <v>5413</v>
      </c>
      <c r="AW67" s="806"/>
      <c r="AX67" s="806"/>
      <c r="AY67" s="806"/>
      <c r="AZ67" s="806"/>
      <c r="BA67" s="806"/>
      <c r="BB67" s="806"/>
      <c r="BC67" s="806"/>
      <c r="BD67" s="806"/>
      <c r="BE67" s="806"/>
      <c r="BF67" s="806"/>
      <c r="BG67" s="1191"/>
      <c r="BH67" s="1191"/>
      <c r="BY67" s="827"/>
      <c r="CB67" s="1445" t="str">
        <f>IF(CH67=1,"* No olvide digitar la columna Trans y/o Pueblos Originarios y/o Migrantes y/o Población SENAME (Digite Cero si no tiene). ","")</f>
        <v/>
      </c>
      <c r="CC67" s="1445" t="e">
        <f>IF(CI67=1,"* El número de Trans y/o Pueblos Originarios y/o Migrantes y/o Población SENAME NO DEBE ser mayor que el Total. ","")</f>
        <v>#VALUE!</v>
      </c>
      <c r="CD67" s="1445" t="str">
        <f>IF(CJ67=1,"* Las consejerías realizadas en Espacios amigables NO DEBEN ser mayor al Total. ","")</f>
        <v xml:space="preserve">* Las consejerías realizadas en Espacios amigables NO DEBEN ser mayor al Total. </v>
      </c>
      <c r="CE67" s="1445" t="e">
        <f>IF(CK67=1,"* La columna 14-18 AÑOS no puede ser mayor al total por grupo edad de 10 a 19 años. ","")</f>
        <v>#VALUE!</v>
      </c>
      <c r="CF67" s="1445"/>
      <c r="CG67" s="1445"/>
      <c r="CH67" s="1446">
        <f t="shared" si="12"/>
        <v>0</v>
      </c>
      <c r="CI67" s="1446" t="e">
        <f t="shared" si="13"/>
        <v>#VALUE!</v>
      </c>
      <c r="CJ67" s="1446">
        <f t="shared" si="14"/>
        <v>1</v>
      </c>
      <c r="CK67" s="1446" t="e">
        <f t="shared" si="15"/>
        <v>#VALUE!</v>
      </c>
      <c r="CL67" s="1443"/>
      <c r="CM67" s="1443"/>
      <c r="CN67" s="1443"/>
      <c r="CO67" s="1443"/>
      <c r="CP67" s="1443"/>
    </row>
    <row r="68" spans="1:106" ht="16.350000000000001" customHeight="1" x14ac:dyDescent="0.3">
      <c r="A68" s="7258">
        <v>19170401</v>
      </c>
      <c r="B68" s="8555"/>
      <c r="C68" s="1489" t="s">
        <v>1266</v>
      </c>
      <c r="D68" s="1655" t="s">
        <v>5369</v>
      </c>
      <c r="E68" s="1732" t="s">
        <v>5370</v>
      </c>
      <c r="F68" s="784" t="s">
        <v>5371</v>
      </c>
      <c r="G68" s="82" t="s">
        <v>5372</v>
      </c>
      <c r="H68" s="128" t="s">
        <v>5373</v>
      </c>
      <c r="I68" s="82" t="s">
        <v>5374</v>
      </c>
      <c r="J68" s="128" t="s">
        <v>5375</v>
      </c>
      <c r="K68" s="82" t="s">
        <v>5376</v>
      </c>
      <c r="L68" s="101" t="s">
        <v>5377</v>
      </c>
      <c r="M68" s="82" t="s">
        <v>5378</v>
      </c>
      <c r="N68" s="1316" t="s">
        <v>5379</v>
      </c>
      <c r="O68" s="82" t="s">
        <v>5380</v>
      </c>
      <c r="P68" s="1316" t="s">
        <v>5381</v>
      </c>
      <c r="Q68" s="82" t="s">
        <v>5382</v>
      </c>
      <c r="R68" s="1316" t="s">
        <v>5383</v>
      </c>
      <c r="S68" s="82" t="s">
        <v>5384</v>
      </c>
      <c r="T68" s="1316" t="s">
        <v>5385</v>
      </c>
      <c r="U68" s="82" t="s">
        <v>5386</v>
      </c>
      <c r="V68" s="1316" t="s">
        <v>5387</v>
      </c>
      <c r="W68" s="82" t="s">
        <v>5388</v>
      </c>
      <c r="X68" s="1316" t="s">
        <v>5389</v>
      </c>
      <c r="Y68" s="82" t="s">
        <v>5390</v>
      </c>
      <c r="Z68" s="1316" t="s">
        <v>5391</v>
      </c>
      <c r="AA68" s="82" t="s">
        <v>5392</v>
      </c>
      <c r="AB68" s="1316" t="s">
        <v>5393</v>
      </c>
      <c r="AC68" s="82" t="s">
        <v>5394</v>
      </c>
      <c r="AD68" s="1316" t="s">
        <v>5395</v>
      </c>
      <c r="AE68" s="789" t="s">
        <v>5396</v>
      </c>
      <c r="AF68" s="788" t="s">
        <v>5397</v>
      </c>
      <c r="AG68" s="82" t="s">
        <v>5398</v>
      </c>
      <c r="AH68" s="85" t="s">
        <v>5399</v>
      </c>
      <c r="AI68" s="82" t="s">
        <v>5400</v>
      </c>
      <c r="AJ68" s="85" t="s">
        <v>5401</v>
      </c>
      <c r="AK68" s="82" t="s">
        <v>5402</v>
      </c>
      <c r="AL68" s="85" t="s">
        <v>5403</v>
      </c>
      <c r="AM68" s="501" t="s">
        <v>5404</v>
      </c>
      <c r="AN68" s="221" t="s">
        <v>5405</v>
      </c>
      <c r="AO68" s="2490" t="s">
        <v>5406</v>
      </c>
      <c r="AP68" s="2477" t="s">
        <v>5407</v>
      </c>
      <c r="AQ68" s="1636" t="s">
        <v>5408</v>
      </c>
      <c r="AR68" s="86" t="s">
        <v>5409</v>
      </c>
      <c r="AS68" s="86" t="s">
        <v>5410</v>
      </c>
      <c r="AT68" s="86" t="s">
        <v>5411</v>
      </c>
      <c r="AU68" s="86" t="s">
        <v>5412</v>
      </c>
      <c r="AV68" s="86" t="s">
        <v>5413</v>
      </c>
      <c r="AW68" s="806"/>
      <c r="AX68" s="806"/>
      <c r="AY68" s="806"/>
      <c r="AZ68" s="806"/>
      <c r="BA68" s="806"/>
      <c r="BB68" s="806"/>
      <c r="BC68" s="806"/>
      <c r="BD68" s="806"/>
      <c r="BE68" s="806"/>
      <c r="BF68" s="806"/>
      <c r="BG68" s="1191"/>
      <c r="BH68" s="1191"/>
      <c r="BY68" s="827"/>
      <c r="CB68" s="1445" t="str">
        <f>IF(CH68=1,"* No olvide digitar la columna Trans y/o Pueblos Originarios y/o Migrantes y/o Población SENAME (Digite Cero si no tiene). ","")</f>
        <v/>
      </c>
      <c r="CC68" s="1445" t="e">
        <f>IF(CI68=1,"* El número de Trans y/o Pueblos Originarios y/o Migrantes y/o Población SENAME NO DEBE ser mayor que el Total. ","")</f>
        <v>#VALUE!</v>
      </c>
      <c r="CD68" s="1445" t="str">
        <f>IF(CJ68=1,"* Las consejerías realizadas en Espacios amigables NO DEBEN ser mayor al Total. ","")</f>
        <v xml:space="preserve">* Las consejerías realizadas en Espacios amigables NO DEBEN ser mayor al Total. </v>
      </c>
      <c r="CE68" s="1445" t="e">
        <f>IF(CK68=1,"* La columna 14-18 AÑOS no puede ser mayor al total por grupo edad de 10 a 19 años. ","")</f>
        <v>#VALUE!</v>
      </c>
      <c r="CF68" s="1445"/>
      <c r="CG68" s="1445"/>
      <c r="CH68" s="1446">
        <f t="shared" si="12"/>
        <v>0</v>
      </c>
      <c r="CI68" s="1446" t="e">
        <f t="shared" si="13"/>
        <v>#VALUE!</v>
      </c>
      <c r="CJ68" s="1446">
        <f t="shared" si="14"/>
        <v>1</v>
      </c>
      <c r="CK68" s="1446" t="e">
        <f t="shared" si="15"/>
        <v>#VALUE!</v>
      </c>
      <c r="CL68" s="1443"/>
      <c r="CM68" s="1443"/>
      <c r="CN68" s="1443"/>
      <c r="CO68" s="1443"/>
      <c r="CP68" s="1443"/>
    </row>
    <row r="69" spans="1:106" ht="16.350000000000001" customHeight="1" x14ac:dyDescent="0.3">
      <c r="A69" s="7258">
        <v>19190107</v>
      </c>
      <c r="B69" s="2397" t="s">
        <v>1268</v>
      </c>
      <c r="C69" s="2398" t="s">
        <v>23</v>
      </c>
      <c r="D69" s="2399" t="s">
        <v>5369</v>
      </c>
      <c r="E69" s="2400" t="s">
        <v>5370</v>
      </c>
      <c r="F69" s="2401" t="s">
        <v>5371</v>
      </c>
      <c r="G69" s="2396" t="s">
        <v>5372</v>
      </c>
      <c r="H69" s="2395" t="s">
        <v>5373</v>
      </c>
      <c r="I69" s="2396" t="s">
        <v>5374</v>
      </c>
      <c r="J69" s="2395" t="s">
        <v>5375</v>
      </c>
      <c r="K69" s="2396" t="s">
        <v>5376</v>
      </c>
      <c r="L69" s="2394" t="s">
        <v>5377</v>
      </c>
      <c r="M69" s="2402" t="s">
        <v>5378</v>
      </c>
      <c r="N69" s="2403" t="s">
        <v>5379</v>
      </c>
      <c r="O69" s="2402" t="s">
        <v>5380</v>
      </c>
      <c r="P69" s="2403" t="s">
        <v>5381</v>
      </c>
      <c r="Q69" s="2402" t="s">
        <v>5382</v>
      </c>
      <c r="R69" s="2403" t="s">
        <v>5383</v>
      </c>
      <c r="S69" s="2402" t="s">
        <v>5384</v>
      </c>
      <c r="T69" s="2403" t="s">
        <v>5385</v>
      </c>
      <c r="U69" s="2402" t="s">
        <v>5386</v>
      </c>
      <c r="V69" s="2403" t="s">
        <v>5387</v>
      </c>
      <c r="W69" s="2402" t="s">
        <v>5388</v>
      </c>
      <c r="X69" s="2403" t="s">
        <v>5389</v>
      </c>
      <c r="Y69" s="2402" t="s">
        <v>5390</v>
      </c>
      <c r="Z69" s="2403" t="s">
        <v>5391</v>
      </c>
      <c r="AA69" s="2402" t="s">
        <v>5392</v>
      </c>
      <c r="AB69" s="2403" t="s">
        <v>5393</v>
      </c>
      <c r="AC69" s="2402" t="s">
        <v>5394</v>
      </c>
      <c r="AD69" s="2403" t="s">
        <v>5395</v>
      </c>
      <c r="AE69" s="2404" t="s">
        <v>5396</v>
      </c>
      <c r="AF69" s="2405" t="s">
        <v>5397</v>
      </c>
      <c r="AG69" s="2402" t="s">
        <v>5398</v>
      </c>
      <c r="AH69" s="2403" t="s">
        <v>5399</v>
      </c>
      <c r="AI69" s="2402" t="s">
        <v>5400</v>
      </c>
      <c r="AJ69" s="2403" t="s">
        <v>5401</v>
      </c>
      <c r="AK69" s="2402" t="s">
        <v>5402</v>
      </c>
      <c r="AL69" s="2403" t="s">
        <v>5403</v>
      </c>
      <c r="AM69" s="2406" t="s">
        <v>5404</v>
      </c>
      <c r="AN69" s="2407" t="s">
        <v>5405</v>
      </c>
      <c r="AO69" s="2952" t="s">
        <v>5406</v>
      </c>
      <c r="AP69" s="2950" t="s">
        <v>5407</v>
      </c>
      <c r="AQ69" s="2395" t="s">
        <v>5408</v>
      </c>
      <c r="AR69" s="2393" t="s">
        <v>5409</v>
      </c>
      <c r="AS69" s="2393" t="s">
        <v>5410</v>
      </c>
      <c r="AT69" s="2393" t="s">
        <v>5411</v>
      </c>
      <c r="AU69" s="2393" t="s">
        <v>5412</v>
      </c>
      <c r="AV69" s="2393" t="s">
        <v>5413</v>
      </c>
      <c r="AW69" s="806"/>
      <c r="AX69" s="806"/>
      <c r="AY69" s="806"/>
      <c r="AZ69" s="806"/>
      <c r="BA69" s="806"/>
      <c r="BB69" s="806"/>
      <c r="BC69" s="806"/>
      <c r="BD69" s="806"/>
      <c r="BE69" s="806"/>
      <c r="BF69" s="806"/>
      <c r="BG69" s="1191"/>
      <c r="BH69" s="1191"/>
      <c r="BY69" s="827"/>
      <c r="CB69" s="1445" t="str">
        <f>IF(CH69=1,"* No olvide digitar la columna Trans y/o Pueblos Originarios y/o Migrantes y/o Población SENAME (Digite Cero si no tiene). ","")</f>
        <v/>
      </c>
      <c r="CC69" s="1445" t="e">
        <f>IF(CI69=1,"* El número de Trans y/o Pueblos Originarios y/o Migrantes y/o Población SENAME NO DEBE ser mayor que el Total. ","")</f>
        <v>#VALUE!</v>
      </c>
      <c r="CD69" s="1445" t="str">
        <f>IF(CJ69=1,"* Las consejerías realizadas en Espacios amigables NO DEBEN ser mayor al Total. ","")</f>
        <v xml:space="preserve">* Las consejerías realizadas en Espacios amigables NO DEBEN ser mayor al Total. </v>
      </c>
      <c r="CE69" s="1445" t="e">
        <f>IF(CK69=1,"* La columna 14-18 AÑOS no puede ser mayor al total por grupo edad de 10 a 19 años. ","")</f>
        <v>#VALUE!</v>
      </c>
      <c r="CF69" s="1445"/>
      <c r="CG69" s="1445"/>
      <c r="CH69" s="1446">
        <f t="shared" si="12"/>
        <v>0</v>
      </c>
      <c r="CI69" s="1446" t="e">
        <f t="shared" si="13"/>
        <v>#VALUE!</v>
      </c>
      <c r="CJ69" s="1446">
        <f t="shared" si="14"/>
        <v>1</v>
      </c>
      <c r="CK69" s="1446" t="e">
        <f t="shared" si="15"/>
        <v>#VALUE!</v>
      </c>
      <c r="CL69" s="1443"/>
      <c r="CM69" s="1443"/>
      <c r="CN69" s="1443"/>
      <c r="CO69" s="1443"/>
      <c r="CP69" s="1443"/>
    </row>
    <row r="70" spans="1:106" ht="32.1" customHeight="1" x14ac:dyDescent="0.3">
      <c r="B70" s="3797" t="s">
        <v>1264</v>
      </c>
      <c r="C70" s="365"/>
      <c r="D70" s="596"/>
      <c r="E70" s="596"/>
      <c r="F70" s="596"/>
      <c r="G70" s="596"/>
      <c r="H70" s="596"/>
      <c r="I70" s="596"/>
      <c r="J70" s="596"/>
      <c r="K70" s="596"/>
      <c r="L70" s="764"/>
      <c r="M70" s="764"/>
      <c r="N70" s="288"/>
      <c r="O70" s="783"/>
      <c r="P70" s="288"/>
      <c r="Q70" s="288"/>
      <c r="R70" s="288"/>
      <c r="S70" s="288"/>
      <c r="T70" s="288"/>
      <c r="U70" s="288"/>
      <c r="V70" s="288"/>
      <c r="W70" s="288"/>
      <c r="X70" s="783"/>
      <c r="Y70" s="783"/>
      <c r="Z70" s="783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1191"/>
      <c r="AS70" s="1191"/>
      <c r="CH70" s="1443"/>
      <c r="CI70" s="1443"/>
      <c r="CJ70" s="1443"/>
      <c r="CK70" s="1443"/>
      <c r="CL70" s="1443"/>
      <c r="CM70" s="1443"/>
      <c r="CN70" s="1443"/>
      <c r="CO70" s="1443"/>
      <c r="CP70" s="1443"/>
    </row>
    <row r="71" spans="1:106" ht="21" customHeight="1" x14ac:dyDescent="0.3">
      <c r="B71" s="8583" t="s">
        <v>1263</v>
      </c>
      <c r="C71" s="8616" t="s">
        <v>1262</v>
      </c>
      <c r="D71" s="8612" t="s">
        <v>1261</v>
      </c>
      <c r="E71" s="8597"/>
      <c r="F71" s="8613"/>
      <c r="G71" s="10142" t="s">
        <v>84</v>
      </c>
      <c r="H71" s="10143"/>
      <c r="I71" s="10143"/>
      <c r="J71" s="10143"/>
      <c r="K71" s="10143"/>
      <c r="L71" s="10143"/>
      <c r="M71" s="10143"/>
      <c r="N71" s="10143"/>
      <c r="O71" s="10143"/>
      <c r="P71" s="10143"/>
      <c r="Q71" s="10143"/>
      <c r="R71" s="10143"/>
      <c r="S71" s="10143"/>
      <c r="T71" s="10143"/>
      <c r="U71" s="10143"/>
      <c r="V71" s="10143"/>
      <c r="W71" s="10143"/>
      <c r="X71" s="10143"/>
      <c r="Y71" s="10143"/>
      <c r="Z71" s="10143"/>
      <c r="AA71" s="10143"/>
      <c r="AB71" s="10143"/>
      <c r="AC71" s="10143"/>
      <c r="AD71" s="10143"/>
      <c r="AE71" s="10143"/>
      <c r="AF71" s="10143"/>
      <c r="AG71" s="10143"/>
      <c r="AH71" s="10143"/>
      <c r="AI71" s="10143"/>
      <c r="AJ71" s="10143"/>
      <c r="AK71" s="10143"/>
      <c r="AL71" s="10143"/>
      <c r="AM71" s="10143"/>
      <c r="AN71" s="10144"/>
      <c r="AO71" s="8597" t="s">
        <v>713</v>
      </c>
      <c r="AP71" s="8613"/>
      <c r="AQ71" s="8583" t="s">
        <v>362</v>
      </c>
      <c r="AR71" s="8583" t="s">
        <v>361</v>
      </c>
      <c r="AS71" s="9079" t="s">
        <v>2956</v>
      </c>
      <c r="AT71" s="9079" t="s">
        <v>2615</v>
      </c>
      <c r="BY71" s="827"/>
      <c r="BZ71" s="827"/>
      <c r="CB71" s="1123"/>
      <c r="CI71" s="1443"/>
      <c r="CJ71" s="1443"/>
      <c r="CK71" s="1443"/>
      <c r="CL71" s="1443"/>
      <c r="CM71" s="1443"/>
      <c r="CN71" s="1443"/>
      <c r="CO71" s="1443"/>
      <c r="CP71" s="1443"/>
      <c r="CQ71" s="1443"/>
      <c r="DB71" s="1442"/>
    </row>
    <row r="72" spans="1:106" ht="22.5" customHeight="1" x14ac:dyDescent="0.3">
      <c r="B72" s="8555"/>
      <c r="C72" s="8619"/>
      <c r="D72" s="8872"/>
      <c r="E72" s="8598"/>
      <c r="F72" s="8759"/>
      <c r="G72" s="10127" t="s">
        <v>399</v>
      </c>
      <c r="H72" s="10128"/>
      <c r="I72" s="10127" t="s">
        <v>54</v>
      </c>
      <c r="J72" s="10128"/>
      <c r="K72" s="10127" t="s">
        <v>79</v>
      </c>
      <c r="L72" s="10128"/>
      <c r="M72" s="10127" t="s">
        <v>3479</v>
      </c>
      <c r="N72" s="10128"/>
      <c r="O72" s="10127" t="s">
        <v>50</v>
      </c>
      <c r="P72" s="10128"/>
      <c r="Q72" s="10127" t="s">
        <v>3480</v>
      </c>
      <c r="R72" s="10128"/>
      <c r="S72" s="10127" t="s">
        <v>3481</v>
      </c>
      <c r="T72" s="10128"/>
      <c r="U72" s="10127" t="s">
        <v>3482</v>
      </c>
      <c r="V72" s="10128"/>
      <c r="W72" s="10127" t="s">
        <v>3483</v>
      </c>
      <c r="X72" s="10128"/>
      <c r="Y72" s="10127" t="s">
        <v>3484</v>
      </c>
      <c r="Z72" s="10128"/>
      <c r="AA72" s="10127" t="s">
        <v>3485</v>
      </c>
      <c r="AB72" s="10128"/>
      <c r="AC72" s="10127" t="s">
        <v>2272</v>
      </c>
      <c r="AD72" s="10128"/>
      <c r="AE72" s="10127" t="s">
        <v>2132</v>
      </c>
      <c r="AF72" s="10128"/>
      <c r="AG72" s="10127" t="s">
        <v>2198</v>
      </c>
      <c r="AH72" s="10128"/>
      <c r="AI72" s="10127" t="s">
        <v>3486</v>
      </c>
      <c r="AJ72" s="10128"/>
      <c r="AK72" s="10127" t="s">
        <v>3487</v>
      </c>
      <c r="AL72" s="10128"/>
      <c r="AM72" s="10151" t="s">
        <v>1919</v>
      </c>
      <c r="AN72" s="10152"/>
      <c r="AO72" s="8598"/>
      <c r="AP72" s="8759"/>
      <c r="AQ72" s="8555"/>
      <c r="AR72" s="8555"/>
      <c r="AS72" s="9133"/>
      <c r="AT72" s="9133"/>
      <c r="AU72" s="1191"/>
      <c r="AV72" s="1191"/>
      <c r="AW72" s="1191"/>
      <c r="AX72" s="1191"/>
      <c r="AY72" s="1191"/>
      <c r="AZ72" s="1191"/>
      <c r="BA72" s="1191"/>
      <c r="BB72" s="1191"/>
      <c r="BC72" s="1191"/>
      <c r="BD72" s="1191"/>
      <c r="BE72" s="1191"/>
      <c r="BF72" s="1191"/>
      <c r="BG72" s="1191"/>
      <c r="BY72" s="827"/>
      <c r="BZ72" s="827"/>
      <c r="CB72" s="1123"/>
      <c r="CI72" s="1443"/>
      <c r="CJ72" s="1443"/>
      <c r="CK72" s="1443"/>
      <c r="CL72" s="1443"/>
      <c r="CM72" s="1443"/>
      <c r="CN72" s="1443"/>
      <c r="CO72" s="1443"/>
      <c r="CP72" s="1443"/>
      <c r="CQ72" s="1443"/>
      <c r="DB72" s="1442"/>
    </row>
    <row r="73" spans="1:106" ht="24" customHeight="1" x14ac:dyDescent="0.3">
      <c r="B73" s="8859"/>
      <c r="C73" s="10141"/>
      <c r="D73" s="730" t="s">
        <v>1239</v>
      </c>
      <c r="E73" s="738" t="s">
        <v>701</v>
      </c>
      <c r="F73" s="2102" t="s">
        <v>700</v>
      </c>
      <c r="G73" s="2120" t="s">
        <v>701</v>
      </c>
      <c r="H73" s="2079" t="s">
        <v>700</v>
      </c>
      <c r="I73" s="2120" t="s">
        <v>701</v>
      </c>
      <c r="J73" s="2079" t="s">
        <v>700</v>
      </c>
      <c r="K73" s="2120" t="s">
        <v>701</v>
      </c>
      <c r="L73" s="2079" t="s">
        <v>700</v>
      </c>
      <c r="M73" s="2120" t="s">
        <v>701</v>
      </c>
      <c r="N73" s="2079" t="s">
        <v>700</v>
      </c>
      <c r="O73" s="2120" t="s">
        <v>701</v>
      </c>
      <c r="P73" s="2069" t="s">
        <v>700</v>
      </c>
      <c r="Q73" s="2120" t="s">
        <v>701</v>
      </c>
      <c r="R73" s="2079" t="s">
        <v>700</v>
      </c>
      <c r="S73" s="2122" t="s">
        <v>701</v>
      </c>
      <c r="T73" s="2069" t="s">
        <v>700</v>
      </c>
      <c r="U73" s="2120" t="s">
        <v>701</v>
      </c>
      <c r="V73" s="2079" t="s">
        <v>700</v>
      </c>
      <c r="W73" s="2122" t="s">
        <v>701</v>
      </c>
      <c r="X73" s="2069" t="s">
        <v>700</v>
      </c>
      <c r="Y73" s="2120" t="s">
        <v>701</v>
      </c>
      <c r="Z73" s="2079" t="s">
        <v>700</v>
      </c>
      <c r="AA73" s="2122" t="s">
        <v>701</v>
      </c>
      <c r="AB73" s="2069" t="s">
        <v>700</v>
      </c>
      <c r="AC73" s="2120" t="s">
        <v>701</v>
      </c>
      <c r="AD73" s="2079" t="s">
        <v>700</v>
      </c>
      <c r="AE73" s="2120" t="s">
        <v>701</v>
      </c>
      <c r="AF73" s="2069" t="s">
        <v>700</v>
      </c>
      <c r="AG73" s="2120" t="s">
        <v>701</v>
      </c>
      <c r="AH73" s="2079" t="s">
        <v>700</v>
      </c>
      <c r="AI73" s="2122" t="s">
        <v>701</v>
      </c>
      <c r="AJ73" s="2069" t="s">
        <v>700</v>
      </c>
      <c r="AK73" s="2120" t="s">
        <v>701</v>
      </c>
      <c r="AL73" s="2079" t="s">
        <v>700</v>
      </c>
      <c r="AM73" s="2122" t="s">
        <v>701</v>
      </c>
      <c r="AN73" s="2136" t="s">
        <v>700</v>
      </c>
      <c r="AO73" s="2070" t="s">
        <v>358</v>
      </c>
      <c r="AP73" s="2102" t="s">
        <v>359</v>
      </c>
      <c r="AQ73" s="8859"/>
      <c r="AR73" s="8859"/>
      <c r="AS73" s="10137"/>
      <c r="AT73" s="10137"/>
      <c r="AU73" s="1191"/>
      <c r="AV73" s="1191"/>
      <c r="AW73" s="1191"/>
      <c r="AX73" s="1191"/>
      <c r="AY73" s="1191"/>
      <c r="AZ73" s="1191"/>
      <c r="BA73" s="1191"/>
      <c r="BB73" s="1191"/>
      <c r="BC73" s="1191"/>
      <c r="BD73" s="1191"/>
      <c r="BE73" s="1191"/>
      <c r="BF73" s="1191"/>
      <c r="BG73" s="1191"/>
      <c r="BY73" s="827"/>
      <c r="BZ73" s="827"/>
      <c r="CB73" s="1123"/>
      <c r="CI73" s="1443"/>
      <c r="CJ73" s="1443"/>
      <c r="CK73" s="1443"/>
      <c r="CL73" s="1443"/>
      <c r="CM73" s="1443"/>
      <c r="CN73" s="1443"/>
      <c r="CO73" s="1443"/>
      <c r="CP73" s="1443"/>
      <c r="CQ73" s="1443"/>
      <c r="DB73" s="1442"/>
    </row>
    <row r="74" spans="1:106" ht="26.25" customHeight="1" x14ac:dyDescent="0.3">
      <c r="A74" s="7258">
        <v>19150960</v>
      </c>
      <c r="B74" s="9079" t="s">
        <v>3745</v>
      </c>
      <c r="C74" s="8355" t="s">
        <v>5486</v>
      </c>
      <c r="D74" s="1332" t="s">
        <v>5369</v>
      </c>
      <c r="E74" s="1333" t="s">
        <v>5370</v>
      </c>
      <c r="F74" s="742" t="s">
        <v>5371</v>
      </c>
      <c r="G74" s="768" t="s">
        <v>5372</v>
      </c>
      <c r="H74" s="766" t="s">
        <v>5373</v>
      </c>
      <c r="I74" s="768" t="s">
        <v>5374</v>
      </c>
      <c r="J74" s="767" t="s">
        <v>5375</v>
      </c>
      <c r="K74" s="768" t="s">
        <v>5376</v>
      </c>
      <c r="L74" s="766" t="s">
        <v>5377</v>
      </c>
      <c r="M74" s="695" t="s">
        <v>5378</v>
      </c>
      <c r="N74" s="702" t="s">
        <v>5379</v>
      </c>
      <c r="O74" s="729" t="s">
        <v>5380</v>
      </c>
      <c r="P74" s="754" t="s">
        <v>5381</v>
      </c>
      <c r="Q74" s="777" t="s">
        <v>5382</v>
      </c>
      <c r="R74" s="702" t="s">
        <v>5383</v>
      </c>
      <c r="S74" s="741" t="s">
        <v>5384</v>
      </c>
      <c r="T74" s="754" t="s">
        <v>5385</v>
      </c>
      <c r="U74" s="695" t="s">
        <v>5386</v>
      </c>
      <c r="V74" s="725" t="s">
        <v>5387</v>
      </c>
      <c r="W74" s="729" t="s">
        <v>5388</v>
      </c>
      <c r="X74" s="741" t="s">
        <v>5389</v>
      </c>
      <c r="Y74" s="695" t="s">
        <v>5390</v>
      </c>
      <c r="Z74" s="725" t="s">
        <v>5391</v>
      </c>
      <c r="AA74" s="729" t="s">
        <v>5392</v>
      </c>
      <c r="AB74" s="741" t="s">
        <v>5393</v>
      </c>
      <c r="AC74" s="695" t="s">
        <v>5394</v>
      </c>
      <c r="AD74" s="725" t="s">
        <v>5395</v>
      </c>
      <c r="AE74" s="695" t="s">
        <v>5396</v>
      </c>
      <c r="AF74" s="702" t="s">
        <v>5397</v>
      </c>
      <c r="AG74" s="695" t="s">
        <v>5398</v>
      </c>
      <c r="AH74" s="702" t="s">
        <v>5399</v>
      </c>
      <c r="AI74" s="695" t="s">
        <v>5400</v>
      </c>
      <c r="AJ74" s="702" t="s">
        <v>5401</v>
      </c>
      <c r="AK74" s="782" t="s">
        <v>5402</v>
      </c>
      <c r="AL74" s="781" t="s">
        <v>5403</v>
      </c>
      <c r="AM74" s="780" t="s">
        <v>5404</v>
      </c>
      <c r="AN74" s="779" t="s">
        <v>5405</v>
      </c>
      <c r="AO74" s="136" t="s">
        <v>5406</v>
      </c>
      <c r="AP74" s="702" t="s">
        <v>5407</v>
      </c>
      <c r="AQ74" s="694" t="s">
        <v>5408</v>
      </c>
      <c r="AR74" s="725" t="s">
        <v>5409</v>
      </c>
      <c r="AS74" s="702" t="s">
        <v>5410</v>
      </c>
      <c r="AT74" s="725" t="s">
        <v>5411</v>
      </c>
      <c r="AU74" s="1360" t="e">
        <f t="shared" ref="AU74:AU85" si="16">$CC74&amp;$CD74&amp;$CE74&amp;$CF74</f>
        <v>#VALUE!</v>
      </c>
      <c r="AV74" s="806"/>
      <c r="AW74" s="806"/>
      <c r="AX74" s="806"/>
      <c r="AY74" s="806"/>
      <c r="AZ74" s="806"/>
      <c r="BA74" s="806"/>
      <c r="BB74" s="806"/>
      <c r="BC74" s="806"/>
      <c r="BD74" s="806"/>
      <c r="BE74" s="806"/>
      <c r="BF74" s="1191"/>
      <c r="BG74" s="1191"/>
      <c r="BY74" s="827"/>
      <c r="BZ74" s="827"/>
      <c r="CB74" s="1123"/>
      <c r="CC74" s="1445" t="str">
        <f t="shared" ref="CC74:CC85" si="17">IF(CI74=1,"* No olvide digitar la columna Trans y/o Pueblos Originarios y/o Migrantes y/o Población SENAME (Digite Cero si no tiene). ","")</f>
        <v/>
      </c>
      <c r="CD74" s="1445" t="e">
        <f t="shared" ref="CD74:CD85" si="18">IF(CJ74=1,"* El número de Trans y/o Pueblos Originarios y/o Migrantes y/o Población SENAME NO DEBE ser mayor que el Total. ","")</f>
        <v>#VALUE!</v>
      </c>
      <c r="CE74" s="1445"/>
      <c r="CF74" s="1445"/>
      <c r="CG74" s="1445"/>
      <c r="CH74" s="1445"/>
      <c r="CI74" s="1446">
        <f t="shared" ref="CI74:CI85" si="19">IF(AND(D74&lt;&gt;0,OR(AP74="",AQ74="",AR74="",AS74="",AO74="")),1,0)</f>
        <v>0</v>
      </c>
      <c r="CJ74" s="1446" t="e">
        <f t="shared" ref="CJ74:CJ85" si="20">IF(OR(D74&lt;(AO74+AP74),D74&lt;AR74,D74&lt;AQ74,D74&lt;AS74),1,0)</f>
        <v>#VALUE!</v>
      </c>
      <c r="CK74" s="1446"/>
      <c r="CL74" s="1446"/>
      <c r="CM74" s="1443"/>
      <c r="CN74" s="1443"/>
      <c r="CO74" s="1443"/>
      <c r="CP74" s="1443"/>
      <c r="CQ74" s="1443"/>
      <c r="DB74" s="1442"/>
    </row>
    <row r="75" spans="1:106" ht="19.5" customHeight="1" x14ac:dyDescent="0.3">
      <c r="A75" s="7258">
        <v>19150970</v>
      </c>
      <c r="B75" s="9133"/>
      <c r="C75" s="135" t="s">
        <v>1259</v>
      </c>
      <c r="D75" s="323" t="s">
        <v>5369</v>
      </c>
      <c r="E75" s="324" t="s">
        <v>5370</v>
      </c>
      <c r="F75" s="145" t="s">
        <v>5371</v>
      </c>
      <c r="G75" s="110" t="s">
        <v>5372</v>
      </c>
      <c r="H75" s="112" t="s">
        <v>5373</v>
      </c>
      <c r="I75" s="110" t="s">
        <v>5374</v>
      </c>
      <c r="J75" s="144" t="s">
        <v>5375</v>
      </c>
      <c r="K75" s="136" t="s">
        <v>5376</v>
      </c>
      <c r="L75" s="168" t="s">
        <v>5377</v>
      </c>
      <c r="M75" s="110" t="s">
        <v>5378</v>
      </c>
      <c r="N75" s="122" t="s">
        <v>5379</v>
      </c>
      <c r="O75" s="136" t="s">
        <v>5380</v>
      </c>
      <c r="P75" s="168" t="s">
        <v>5381</v>
      </c>
      <c r="Q75" s="157" t="s">
        <v>5382</v>
      </c>
      <c r="R75" s="122" t="s">
        <v>5383</v>
      </c>
      <c r="S75" s="112" t="s">
        <v>5384</v>
      </c>
      <c r="T75" s="168" t="s">
        <v>5385</v>
      </c>
      <c r="U75" s="110" t="s">
        <v>5386</v>
      </c>
      <c r="V75" s="144" t="s">
        <v>5387</v>
      </c>
      <c r="W75" s="136" t="s">
        <v>5388</v>
      </c>
      <c r="X75" s="112" t="s">
        <v>5389</v>
      </c>
      <c r="Y75" s="110" t="s">
        <v>5390</v>
      </c>
      <c r="Z75" s="144" t="s">
        <v>5391</v>
      </c>
      <c r="AA75" s="136" t="s">
        <v>5392</v>
      </c>
      <c r="AB75" s="112" t="s">
        <v>5393</v>
      </c>
      <c r="AC75" s="110" t="s">
        <v>5394</v>
      </c>
      <c r="AD75" s="144" t="s">
        <v>5395</v>
      </c>
      <c r="AE75" s="110" t="s">
        <v>5396</v>
      </c>
      <c r="AF75" s="122" t="s">
        <v>5397</v>
      </c>
      <c r="AG75" s="110" t="s">
        <v>5398</v>
      </c>
      <c r="AH75" s="144" t="s">
        <v>5399</v>
      </c>
      <c r="AI75" s="110" t="s">
        <v>5400</v>
      </c>
      <c r="AJ75" s="144" t="s">
        <v>5401</v>
      </c>
      <c r="AK75" s="110" t="s">
        <v>5402</v>
      </c>
      <c r="AL75" s="144" t="s">
        <v>5403</v>
      </c>
      <c r="AM75" s="136" t="s">
        <v>5404</v>
      </c>
      <c r="AN75" s="236" t="s">
        <v>5405</v>
      </c>
      <c r="AO75" s="136" t="s">
        <v>5406</v>
      </c>
      <c r="AP75" s="122" t="s">
        <v>5407</v>
      </c>
      <c r="AQ75" s="123" t="s">
        <v>5408</v>
      </c>
      <c r="AR75" s="144" t="s">
        <v>5409</v>
      </c>
      <c r="AS75" s="122" t="s">
        <v>5410</v>
      </c>
      <c r="AT75" s="144" t="s">
        <v>5411</v>
      </c>
      <c r="AU75" s="1360" t="e">
        <f t="shared" si="16"/>
        <v>#VALUE!</v>
      </c>
      <c r="AV75" s="806"/>
      <c r="AW75" s="806"/>
      <c r="AX75" s="806"/>
      <c r="AY75" s="806"/>
      <c r="AZ75" s="806"/>
      <c r="BA75" s="806"/>
      <c r="BB75" s="806"/>
      <c r="BC75" s="806"/>
      <c r="BD75" s="806"/>
      <c r="BE75" s="806"/>
      <c r="BF75" s="1191"/>
      <c r="BG75" s="1191"/>
      <c r="BY75" s="827"/>
      <c r="BZ75" s="827"/>
      <c r="CB75" s="1123"/>
      <c r="CC75" s="1445" t="str">
        <f t="shared" si="17"/>
        <v/>
      </c>
      <c r="CD75" s="1445" t="e">
        <f t="shared" si="18"/>
        <v>#VALUE!</v>
      </c>
      <c r="CI75" s="1446">
        <f t="shared" si="19"/>
        <v>0</v>
      </c>
      <c r="CJ75" s="1446" t="e">
        <f t="shared" si="20"/>
        <v>#VALUE!</v>
      </c>
      <c r="CK75" s="1443"/>
      <c r="CL75" s="1443"/>
      <c r="CM75" s="1443"/>
      <c r="CN75" s="1443"/>
      <c r="CO75" s="1443"/>
      <c r="CP75" s="1443"/>
      <c r="CQ75" s="1443"/>
      <c r="DB75" s="1442"/>
    </row>
    <row r="76" spans="1:106" ht="19.5" customHeight="1" x14ac:dyDescent="0.3">
      <c r="A76" s="7258">
        <v>19150980</v>
      </c>
      <c r="B76" s="9133"/>
      <c r="C76" s="135" t="s">
        <v>1258</v>
      </c>
      <c r="D76" s="323" t="s">
        <v>5369</v>
      </c>
      <c r="E76" s="324" t="s">
        <v>5370</v>
      </c>
      <c r="F76" s="145" t="s">
        <v>5371</v>
      </c>
      <c r="G76" s="110" t="s">
        <v>5372</v>
      </c>
      <c r="H76" s="112" t="s">
        <v>5373</v>
      </c>
      <c r="I76" s="110" t="s">
        <v>5374</v>
      </c>
      <c r="J76" s="144" t="s">
        <v>5375</v>
      </c>
      <c r="K76" s="136" t="s">
        <v>5376</v>
      </c>
      <c r="L76" s="168" t="s">
        <v>5377</v>
      </c>
      <c r="M76" s="110" t="s">
        <v>5378</v>
      </c>
      <c r="N76" s="122" t="s">
        <v>5379</v>
      </c>
      <c r="O76" s="136" t="s">
        <v>5380</v>
      </c>
      <c r="P76" s="168" t="s">
        <v>5381</v>
      </c>
      <c r="Q76" s="157" t="s">
        <v>5382</v>
      </c>
      <c r="R76" s="122" t="s">
        <v>5383</v>
      </c>
      <c r="S76" s="112" t="s">
        <v>5384</v>
      </c>
      <c r="T76" s="168" t="s">
        <v>5385</v>
      </c>
      <c r="U76" s="110" t="s">
        <v>5386</v>
      </c>
      <c r="V76" s="144" t="s">
        <v>5387</v>
      </c>
      <c r="W76" s="136" t="s">
        <v>5388</v>
      </c>
      <c r="X76" s="112" t="s">
        <v>5389</v>
      </c>
      <c r="Y76" s="110" t="s">
        <v>5390</v>
      </c>
      <c r="Z76" s="144" t="s">
        <v>5391</v>
      </c>
      <c r="AA76" s="136" t="s">
        <v>5392</v>
      </c>
      <c r="AB76" s="112" t="s">
        <v>5393</v>
      </c>
      <c r="AC76" s="110" t="s">
        <v>5394</v>
      </c>
      <c r="AD76" s="144" t="s">
        <v>5395</v>
      </c>
      <c r="AE76" s="110" t="s">
        <v>5396</v>
      </c>
      <c r="AF76" s="122" t="s">
        <v>5397</v>
      </c>
      <c r="AG76" s="110" t="s">
        <v>5398</v>
      </c>
      <c r="AH76" s="144" t="s">
        <v>5399</v>
      </c>
      <c r="AI76" s="110" t="s">
        <v>5400</v>
      </c>
      <c r="AJ76" s="144" t="s">
        <v>5401</v>
      </c>
      <c r="AK76" s="110" t="s">
        <v>5402</v>
      </c>
      <c r="AL76" s="144" t="s">
        <v>5403</v>
      </c>
      <c r="AM76" s="136" t="s">
        <v>5404</v>
      </c>
      <c r="AN76" s="236" t="s">
        <v>5405</v>
      </c>
      <c r="AO76" s="136" t="s">
        <v>5406</v>
      </c>
      <c r="AP76" s="122" t="s">
        <v>5407</v>
      </c>
      <c r="AQ76" s="123" t="s">
        <v>5408</v>
      </c>
      <c r="AR76" s="144" t="s">
        <v>5409</v>
      </c>
      <c r="AS76" s="122" t="s">
        <v>5410</v>
      </c>
      <c r="AT76" s="144" t="s">
        <v>5411</v>
      </c>
      <c r="AU76" s="1360" t="e">
        <f t="shared" si="16"/>
        <v>#VALUE!</v>
      </c>
      <c r="AV76" s="806"/>
      <c r="AW76" s="806"/>
      <c r="AX76" s="806"/>
      <c r="AY76" s="806"/>
      <c r="AZ76" s="806"/>
      <c r="BA76" s="806"/>
      <c r="BB76" s="806"/>
      <c r="BC76" s="806"/>
      <c r="BD76" s="806"/>
      <c r="BE76" s="806"/>
      <c r="BF76" s="1191"/>
      <c r="BG76" s="1191"/>
      <c r="BY76" s="827"/>
      <c r="BZ76" s="827"/>
      <c r="CB76" s="1123"/>
      <c r="CC76" s="1445" t="str">
        <f t="shared" si="17"/>
        <v/>
      </c>
      <c r="CD76" s="1445" t="e">
        <f t="shared" si="18"/>
        <v>#VALUE!</v>
      </c>
      <c r="CI76" s="1446">
        <f t="shared" si="19"/>
        <v>0</v>
      </c>
      <c r="CJ76" s="1446" t="e">
        <f t="shared" si="20"/>
        <v>#VALUE!</v>
      </c>
      <c r="CK76" s="1443"/>
      <c r="CL76" s="1443"/>
      <c r="CM76" s="1443"/>
      <c r="CN76" s="1443"/>
      <c r="CO76" s="1443"/>
      <c r="CP76" s="1443"/>
      <c r="CQ76" s="1443"/>
      <c r="DB76" s="1442"/>
    </row>
    <row r="77" spans="1:106" ht="19.5" customHeight="1" x14ac:dyDescent="0.3">
      <c r="A77" s="7258">
        <v>19150990</v>
      </c>
      <c r="B77" s="9133"/>
      <c r="C77" s="135" t="s">
        <v>1257</v>
      </c>
      <c r="D77" s="323" t="s">
        <v>5369</v>
      </c>
      <c r="E77" s="324" t="s">
        <v>5370</v>
      </c>
      <c r="F77" s="145" t="s">
        <v>5371</v>
      </c>
      <c r="G77" s="110" t="s">
        <v>5372</v>
      </c>
      <c r="H77" s="112" t="s">
        <v>5373</v>
      </c>
      <c r="I77" s="110" t="s">
        <v>5374</v>
      </c>
      <c r="J77" s="144" t="s">
        <v>5375</v>
      </c>
      <c r="K77" s="136" t="s">
        <v>5376</v>
      </c>
      <c r="L77" s="168" t="s">
        <v>5377</v>
      </c>
      <c r="M77" s="110" t="s">
        <v>5378</v>
      </c>
      <c r="N77" s="122" t="s">
        <v>5379</v>
      </c>
      <c r="O77" s="136" t="s">
        <v>5380</v>
      </c>
      <c r="P77" s="168" t="s">
        <v>5381</v>
      </c>
      <c r="Q77" s="157" t="s">
        <v>5382</v>
      </c>
      <c r="R77" s="122" t="s">
        <v>5383</v>
      </c>
      <c r="S77" s="112" t="s">
        <v>5384</v>
      </c>
      <c r="T77" s="168" t="s">
        <v>5385</v>
      </c>
      <c r="U77" s="110" t="s">
        <v>5386</v>
      </c>
      <c r="V77" s="144" t="s">
        <v>5387</v>
      </c>
      <c r="W77" s="136" t="s">
        <v>5388</v>
      </c>
      <c r="X77" s="112" t="s">
        <v>5389</v>
      </c>
      <c r="Y77" s="110" t="s">
        <v>5390</v>
      </c>
      <c r="Z77" s="144" t="s">
        <v>5391</v>
      </c>
      <c r="AA77" s="136" t="s">
        <v>5392</v>
      </c>
      <c r="AB77" s="112" t="s">
        <v>5393</v>
      </c>
      <c r="AC77" s="110" t="s">
        <v>5394</v>
      </c>
      <c r="AD77" s="144" t="s">
        <v>5395</v>
      </c>
      <c r="AE77" s="110" t="s">
        <v>5396</v>
      </c>
      <c r="AF77" s="122" t="s">
        <v>5397</v>
      </c>
      <c r="AG77" s="110" t="s">
        <v>5398</v>
      </c>
      <c r="AH77" s="144" t="s">
        <v>5399</v>
      </c>
      <c r="AI77" s="110" t="s">
        <v>5400</v>
      </c>
      <c r="AJ77" s="144" t="s">
        <v>5401</v>
      </c>
      <c r="AK77" s="110" t="s">
        <v>5402</v>
      </c>
      <c r="AL77" s="144" t="s">
        <v>5403</v>
      </c>
      <c r="AM77" s="136" t="s">
        <v>5404</v>
      </c>
      <c r="AN77" s="236" t="s">
        <v>5405</v>
      </c>
      <c r="AO77" s="136" t="s">
        <v>5406</v>
      </c>
      <c r="AP77" s="122" t="s">
        <v>5407</v>
      </c>
      <c r="AQ77" s="123" t="s">
        <v>5408</v>
      </c>
      <c r="AR77" s="144" t="s">
        <v>5409</v>
      </c>
      <c r="AS77" s="122" t="s">
        <v>5410</v>
      </c>
      <c r="AT77" s="144" t="s">
        <v>5411</v>
      </c>
      <c r="AU77" s="1360" t="e">
        <f t="shared" si="16"/>
        <v>#VALUE!</v>
      </c>
      <c r="AV77" s="806"/>
      <c r="AW77" s="806"/>
      <c r="AX77" s="806"/>
      <c r="AY77" s="806"/>
      <c r="AZ77" s="806"/>
      <c r="BA77" s="806"/>
      <c r="BB77" s="806"/>
      <c r="BC77" s="806"/>
      <c r="BD77" s="806"/>
      <c r="BE77" s="806"/>
      <c r="BF77" s="1191"/>
      <c r="BG77" s="1191"/>
      <c r="BY77" s="827"/>
      <c r="BZ77" s="827"/>
      <c r="CB77" s="1123"/>
      <c r="CC77" s="1445" t="str">
        <f t="shared" si="17"/>
        <v/>
      </c>
      <c r="CD77" s="1445" t="e">
        <f t="shared" si="18"/>
        <v>#VALUE!</v>
      </c>
      <c r="CI77" s="1446">
        <f t="shared" si="19"/>
        <v>0</v>
      </c>
      <c r="CJ77" s="1446" t="e">
        <f t="shared" si="20"/>
        <v>#VALUE!</v>
      </c>
      <c r="CK77" s="1443"/>
      <c r="CL77" s="1443"/>
      <c r="CM77" s="1443"/>
      <c r="CN77" s="1443"/>
      <c r="CO77" s="1443"/>
      <c r="CP77" s="1443"/>
      <c r="CQ77" s="1443"/>
      <c r="DB77" s="1442"/>
    </row>
    <row r="78" spans="1:106" ht="19.5" customHeight="1" x14ac:dyDescent="0.3">
      <c r="A78" s="7258">
        <v>19182040</v>
      </c>
      <c r="B78" s="9133"/>
      <c r="C78" s="500" t="s">
        <v>1256</v>
      </c>
      <c r="D78" s="584" t="s">
        <v>5369</v>
      </c>
      <c r="E78" s="583" t="s">
        <v>5370</v>
      </c>
      <c r="F78" s="172" t="s">
        <v>5371</v>
      </c>
      <c r="G78" s="93" t="s">
        <v>5372</v>
      </c>
      <c r="H78" s="773" t="s">
        <v>5373</v>
      </c>
      <c r="I78" s="93" t="s">
        <v>5374</v>
      </c>
      <c r="J78" s="170" t="s">
        <v>5375</v>
      </c>
      <c r="K78" s="136" t="s">
        <v>5376</v>
      </c>
      <c r="L78" s="168" t="s">
        <v>5377</v>
      </c>
      <c r="M78" s="137" t="s">
        <v>5378</v>
      </c>
      <c r="N78" s="138" t="s">
        <v>5379</v>
      </c>
      <c r="O78" s="113" t="s">
        <v>5380</v>
      </c>
      <c r="P78" s="116" t="s">
        <v>5381</v>
      </c>
      <c r="Q78" s="400" t="s">
        <v>5382</v>
      </c>
      <c r="R78" s="96" t="s">
        <v>5383</v>
      </c>
      <c r="S78" s="773" t="s">
        <v>5384</v>
      </c>
      <c r="T78" s="341" t="s">
        <v>5385</v>
      </c>
      <c r="U78" s="93" t="s">
        <v>5386</v>
      </c>
      <c r="V78" s="170" t="s">
        <v>5387</v>
      </c>
      <c r="W78" s="740" t="s">
        <v>5388</v>
      </c>
      <c r="X78" s="773" t="s">
        <v>5389</v>
      </c>
      <c r="Y78" s="93" t="s">
        <v>5390</v>
      </c>
      <c r="Z78" s="170" t="s">
        <v>5391</v>
      </c>
      <c r="AA78" s="740" t="s">
        <v>5392</v>
      </c>
      <c r="AB78" s="773" t="s">
        <v>5393</v>
      </c>
      <c r="AC78" s="93" t="s">
        <v>5394</v>
      </c>
      <c r="AD78" s="170" t="s">
        <v>5395</v>
      </c>
      <c r="AE78" s="93" t="s">
        <v>5396</v>
      </c>
      <c r="AF78" s="96" t="s">
        <v>5397</v>
      </c>
      <c r="AG78" s="93" t="s">
        <v>5398</v>
      </c>
      <c r="AH78" s="170" t="s">
        <v>5399</v>
      </c>
      <c r="AI78" s="93" t="s">
        <v>5400</v>
      </c>
      <c r="AJ78" s="170" t="s">
        <v>5401</v>
      </c>
      <c r="AK78" s="93" t="s">
        <v>5402</v>
      </c>
      <c r="AL78" s="170" t="s">
        <v>5403</v>
      </c>
      <c r="AM78" s="773" t="s">
        <v>5404</v>
      </c>
      <c r="AN78" s="342" t="s">
        <v>5405</v>
      </c>
      <c r="AO78" s="136" t="s">
        <v>5406</v>
      </c>
      <c r="AP78" s="122" t="s">
        <v>5407</v>
      </c>
      <c r="AQ78" s="123" t="s">
        <v>5408</v>
      </c>
      <c r="AR78" s="164" t="s">
        <v>5409</v>
      </c>
      <c r="AS78" s="138" t="s">
        <v>5410</v>
      </c>
      <c r="AT78" s="164" t="s">
        <v>5411</v>
      </c>
      <c r="AU78" s="1360" t="e">
        <f t="shared" si="16"/>
        <v>#VALUE!</v>
      </c>
      <c r="AV78" s="806"/>
      <c r="AW78" s="806"/>
      <c r="AX78" s="806"/>
      <c r="AY78" s="806"/>
      <c r="AZ78" s="806"/>
      <c r="BA78" s="806"/>
      <c r="BB78" s="806"/>
      <c r="BC78" s="806"/>
      <c r="BD78" s="806"/>
      <c r="BE78" s="806"/>
      <c r="BF78" s="1191"/>
      <c r="BG78" s="1191"/>
      <c r="BY78" s="827"/>
      <c r="BZ78" s="827"/>
      <c r="CB78" s="1123"/>
      <c r="CC78" s="1445" t="str">
        <f t="shared" si="17"/>
        <v/>
      </c>
      <c r="CD78" s="1445" t="e">
        <f t="shared" si="18"/>
        <v>#VALUE!</v>
      </c>
      <c r="CI78" s="1446">
        <f t="shared" si="19"/>
        <v>0</v>
      </c>
      <c r="CJ78" s="1446" t="e">
        <f t="shared" si="20"/>
        <v>#VALUE!</v>
      </c>
      <c r="CK78" s="1443"/>
      <c r="CL78" s="1443"/>
      <c r="CM78" s="1443"/>
      <c r="CN78" s="1443"/>
      <c r="CO78" s="1443"/>
      <c r="CP78" s="1443"/>
      <c r="CQ78" s="1443"/>
      <c r="DB78" s="1442"/>
    </row>
    <row r="79" spans="1:106" ht="19.5" customHeight="1" x14ac:dyDescent="0.3">
      <c r="A79" s="7258">
        <v>19160100</v>
      </c>
      <c r="B79" s="10137"/>
      <c r="C79" s="534" t="s">
        <v>1255</v>
      </c>
      <c r="D79" s="1336" t="s">
        <v>5369</v>
      </c>
      <c r="E79" s="1337" t="s">
        <v>5370</v>
      </c>
      <c r="F79" s="147" t="s">
        <v>5371</v>
      </c>
      <c r="G79" s="125" t="s">
        <v>5372</v>
      </c>
      <c r="H79" s="173" t="s">
        <v>5373</v>
      </c>
      <c r="I79" s="125" t="s">
        <v>5374</v>
      </c>
      <c r="J79" s="127" t="s">
        <v>5375</v>
      </c>
      <c r="K79" s="102" t="s">
        <v>5376</v>
      </c>
      <c r="L79" s="175" t="s">
        <v>5377</v>
      </c>
      <c r="M79" s="125" t="s">
        <v>5378</v>
      </c>
      <c r="N79" s="101" t="s">
        <v>5379</v>
      </c>
      <c r="O79" s="102" t="s">
        <v>5380</v>
      </c>
      <c r="P79" s="175" t="s">
        <v>5381</v>
      </c>
      <c r="Q79" s="159" t="s">
        <v>5382</v>
      </c>
      <c r="R79" s="101" t="s">
        <v>5383</v>
      </c>
      <c r="S79" s="173" t="s">
        <v>5384</v>
      </c>
      <c r="T79" s="175" t="s">
        <v>5385</v>
      </c>
      <c r="U79" s="125" t="s">
        <v>5386</v>
      </c>
      <c r="V79" s="127" t="s">
        <v>5387</v>
      </c>
      <c r="W79" s="102" t="s">
        <v>5388</v>
      </c>
      <c r="X79" s="173" t="s">
        <v>5389</v>
      </c>
      <c r="Y79" s="125" t="s">
        <v>5390</v>
      </c>
      <c r="Z79" s="127" t="s">
        <v>5391</v>
      </c>
      <c r="AA79" s="102" t="s">
        <v>5392</v>
      </c>
      <c r="AB79" s="173" t="s">
        <v>5393</v>
      </c>
      <c r="AC79" s="125" t="s">
        <v>5394</v>
      </c>
      <c r="AD79" s="127" t="s">
        <v>5395</v>
      </c>
      <c r="AE79" s="125" t="s">
        <v>5396</v>
      </c>
      <c r="AF79" s="101" t="s">
        <v>5397</v>
      </c>
      <c r="AG79" s="125" t="s">
        <v>5398</v>
      </c>
      <c r="AH79" s="127" t="s">
        <v>5399</v>
      </c>
      <c r="AI79" s="125" t="s">
        <v>5400</v>
      </c>
      <c r="AJ79" s="127" t="s">
        <v>5401</v>
      </c>
      <c r="AK79" s="125" t="s">
        <v>5402</v>
      </c>
      <c r="AL79" s="127" t="s">
        <v>5403</v>
      </c>
      <c r="AM79" s="125" t="s">
        <v>5404</v>
      </c>
      <c r="AN79" s="127" t="s">
        <v>5405</v>
      </c>
      <c r="AO79" s="136" t="s">
        <v>5406</v>
      </c>
      <c r="AP79" s="122" t="s">
        <v>5407</v>
      </c>
      <c r="AQ79" s="123" t="s">
        <v>5408</v>
      </c>
      <c r="AR79" s="144" t="s">
        <v>5409</v>
      </c>
      <c r="AS79" s="122" t="s">
        <v>5410</v>
      </c>
      <c r="AT79" s="144" t="s">
        <v>5411</v>
      </c>
      <c r="AU79" s="1360" t="e">
        <f t="shared" si="16"/>
        <v>#VALUE!</v>
      </c>
      <c r="AV79" s="806"/>
      <c r="AW79" s="806"/>
      <c r="AX79" s="806"/>
      <c r="AY79" s="806"/>
      <c r="AZ79" s="806"/>
      <c r="BA79" s="806"/>
      <c r="BB79" s="806"/>
      <c r="BC79" s="806"/>
      <c r="BD79" s="806"/>
      <c r="BE79" s="806"/>
      <c r="BF79" s="1191"/>
      <c r="BG79" s="1191"/>
      <c r="BY79" s="827"/>
      <c r="BZ79" s="827"/>
      <c r="CB79" s="1123"/>
      <c r="CC79" s="1445" t="str">
        <f t="shared" si="17"/>
        <v/>
      </c>
      <c r="CD79" s="1445" t="e">
        <f t="shared" si="18"/>
        <v>#VALUE!</v>
      </c>
      <c r="CI79" s="1446">
        <f t="shared" si="19"/>
        <v>0</v>
      </c>
      <c r="CJ79" s="1446" t="e">
        <f t="shared" si="20"/>
        <v>#VALUE!</v>
      </c>
      <c r="CK79" s="1443"/>
      <c r="CL79" s="1443"/>
      <c r="CM79" s="1443"/>
      <c r="CN79" s="1443"/>
      <c r="CO79" s="1443"/>
      <c r="CP79" s="1443"/>
      <c r="CQ79" s="1443"/>
      <c r="DB79" s="1442"/>
    </row>
    <row r="80" spans="1:106" ht="24.75" customHeight="1" x14ac:dyDescent="0.3">
      <c r="A80" s="7258">
        <v>19160200</v>
      </c>
      <c r="B80" s="8583" t="s">
        <v>1260</v>
      </c>
      <c r="C80" s="8355" t="s">
        <v>5486</v>
      </c>
      <c r="D80" s="1332" t="s">
        <v>5369</v>
      </c>
      <c r="E80" s="1333" t="s">
        <v>5370</v>
      </c>
      <c r="F80" s="742" t="s">
        <v>5371</v>
      </c>
      <c r="G80" s="768" t="s">
        <v>5372</v>
      </c>
      <c r="H80" s="766" t="s">
        <v>5373</v>
      </c>
      <c r="I80" s="768" t="s">
        <v>5374</v>
      </c>
      <c r="J80" s="767" t="s">
        <v>5375</v>
      </c>
      <c r="K80" s="768" t="s">
        <v>5376</v>
      </c>
      <c r="L80" s="766" t="s">
        <v>5377</v>
      </c>
      <c r="M80" s="695" t="s">
        <v>5378</v>
      </c>
      <c r="N80" s="702" t="s">
        <v>5379</v>
      </c>
      <c r="O80" s="729" t="s">
        <v>5380</v>
      </c>
      <c r="P80" s="754" t="s">
        <v>5381</v>
      </c>
      <c r="Q80" s="777" t="s">
        <v>5382</v>
      </c>
      <c r="R80" s="702" t="s">
        <v>5383</v>
      </c>
      <c r="S80" s="741" t="s">
        <v>5384</v>
      </c>
      <c r="T80" s="754" t="s">
        <v>5385</v>
      </c>
      <c r="U80" s="695" t="s">
        <v>5386</v>
      </c>
      <c r="V80" s="725" t="s">
        <v>5387</v>
      </c>
      <c r="W80" s="729" t="s">
        <v>5388</v>
      </c>
      <c r="X80" s="741" t="s">
        <v>5389</v>
      </c>
      <c r="Y80" s="695" t="s">
        <v>5390</v>
      </c>
      <c r="Z80" s="725" t="s">
        <v>5391</v>
      </c>
      <c r="AA80" s="729" t="s">
        <v>5392</v>
      </c>
      <c r="AB80" s="741" t="s">
        <v>5393</v>
      </c>
      <c r="AC80" s="695" t="s">
        <v>5394</v>
      </c>
      <c r="AD80" s="725" t="s">
        <v>5395</v>
      </c>
      <c r="AE80" s="695" t="s">
        <v>5396</v>
      </c>
      <c r="AF80" s="702" t="s">
        <v>5397</v>
      </c>
      <c r="AG80" s="695" t="s">
        <v>5398</v>
      </c>
      <c r="AH80" s="702" t="s">
        <v>5399</v>
      </c>
      <c r="AI80" s="695" t="s">
        <v>5400</v>
      </c>
      <c r="AJ80" s="702" t="s">
        <v>5401</v>
      </c>
      <c r="AK80" s="727" t="s">
        <v>5402</v>
      </c>
      <c r="AL80" s="776" t="s">
        <v>5403</v>
      </c>
      <c r="AM80" s="775" t="s">
        <v>5404</v>
      </c>
      <c r="AN80" s="774" t="s">
        <v>5405</v>
      </c>
      <c r="AO80" s="136" t="s">
        <v>5406</v>
      </c>
      <c r="AP80" s="122" t="s">
        <v>5407</v>
      </c>
      <c r="AQ80" s="123" t="s">
        <v>5408</v>
      </c>
      <c r="AR80" s="143" t="s">
        <v>5409</v>
      </c>
      <c r="AS80" s="130" t="s">
        <v>5410</v>
      </c>
      <c r="AT80" s="143" t="s">
        <v>5411</v>
      </c>
      <c r="AU80" s="1360" t="e">
        <f t="shared" si="16"/>
        <v>#VALUE!</v>
      </c>
      <c r="AV80" s="806"/>
      <c r="AW80" s="806"/>
      <c r="AX80" s="806"/>
      <c r="AY80" s="806"/>
      <c r="AZ80" s="806"/>
      <c r="BA80" s="806"/>
      <c r="BB80" s="806"/>
      <c r="BC80" s="806"/>
      <c r="BD80" s="806"/>
      <c r="BE80" s="806"/>
      <c r="BF80" s="1191"/>
      <c r="BG80" s="1191"/>
      <c r="BY80" s="827"/>
      <c r="BZ80" s="827"/>
      <c r="CB80" s="1123"/>
      <c r="CC80" s="1445" t="str">
        <f t="shared" si="17"/>
        <v/>
      </c>
      <c r="CD80" s="1445" t="e">
        <f t="shared" si="18"/>
        <v>#VALUE!</v>
      </c>
      <c r="CI80" s="1446">
        <f t="shared" si="19"/>
        <v>0</v>
      </c>
      <c r="CJ80" s="1446" t="e">
        <f t="shared" si="20"/>
        <v>#VALUE!</v>
      </c>
      <c r="CK80" s="1443"/>
      <c r="CL80" s="1443"/>
      <c r="CM80" s="1443"/>
      <c r="CN80" s="1443"/>
      <c r="CO80" s="1443"/>
      <c r="CP80" s="1443"/>
      <c r="CQ80" s="1443"/>
      <c r="DB80" s="1442"/>
    </row>
    <row r="81" spans="1:106" ht="19.5" customHeight="1" x14ac:dyDescent="0.3">
      <c r="A81" s="7258">
        <v>19160300</v>
      </c>
      <c r="B81" s="8555"/>
      <c r="C81" s="135" t="s">
        <v>1259</v>
      </c>
      <c r="D81" s="323" t="s">
        <v>5369</v>
      </c>
      <c r="E81" s="324" t="s">
        <v>5370</v>
      </c>
      <c r="F81" s="145" t="s">
        <v>5371</v>
      </c>
      <c r="G81" s="110" t="s">
        <v>5372</v>
      </c>
      <c r="H81" s="234" t="s">
        <v>5373</v>
      </c>
      <c r="I81" s="110" t="s">
        <v>5374</v>
      </c>
      <c r="J81" s="143" t="s">
        <v>5375</v>
      </c>
      <c r="K81" s="110" t="s">
        <v>5376</v>
      </c>
      <c r="L81" s="234" t="s">
        <v>5377</v>
      </c>
      <c r="M81" s="110" t="s">
        <v>5378</v>
      </c>
      <c r="N81" s="143" t="s">
        <v>5379</v>
      </c>
      <c r="O81" s="136" t="s">
        <v>5380</v>
      </c>
      <c r="P81" s="234" t="s">
        <v>5381</v>
      </c>
      <c r="Q81" s="110" t="s">
        <v>5382</v>
      </c>
      <c r="R81" s="143" t="s">
        <v>5383</v>
      </c>
      <c r="S81" s="136" t="s">
        <v>5384</v>
      </c>
      <c r="T81" s="234" t="s">
        <v>5385</v>
      </c>
      <c r="U81" s="110" t="s">
        <v>5386</v>
      </c>
      <c r="V81" s="143" t="s">
        <v>5387</v>
      </c>
      <c r="W81" s="136" t="s">
        <v>5388</v>
      </c>
      <c r="X81" s="234" t="s">
        <v>5389</v>
      </c>
      <c r="Y81" s="110" t="s">
        <v>5390</v>
      </c>
      <c r="Z81" s="143" t="s">
        <v>5391</v>
      </c>
      <c r="AA81" s="136" t="s">
        <v>5392</v>
      </c>
      <c r="AB81" s="234" t="s">
        <v>5393</v>
      </c>
      <c r="AC81" s="110" t="s">
        <v>5394</v>
      </c>
      <c r="AD81" s="143" t="s">
        <v>5395</v>
      </c>
      <c r="AE81" s="110" t="s">
        <v>5396</v>
      </c>
      <c r="AF81" s="130" t="s">
        <v>5397</v>
      </c>
      <c r="AG81" s="110" t="s">
        <v>5398</v>
      </c>
      <c r="AH81" s="144" t="s">
        <v>5399</v>
      </c>
      <c r="AI81" s="110" t="s">
        <v>5400</v>
      </c>
      <c r="AJ81" s="144" t="s">
        <v>5401</v>
      </c>
      <c r="AK81" s="110" t="s">
        <v>5402</v>
      </c>
      <c r="AL81" s="144" t="s">
        <v>5403</v>
      </c>
      <c r="AM81" s="136" t="s">
        <v>5404</v>
      </c>
      <c r="AN81" s="236" t="s">
        <v>5405</v>
      </c>
      <c r="AO81" s="136" t="s">
        <v>5406</v>
      </c>
      <c r="AP81" s="122" t="s">
        <v>5407</v>
      </c>
      <c r="AQ81" s="123" t="s">
        <v>5408</v>
      </c>
      <c r="AR81" s="143" t="s">
        <v>5409</v>
      </c>
      <c r="AS81" s="130" t="s">
        <v>5410</v>
      </c>
      <c r="AT81" s="143" t="s">
        <v>5411</v>
      </c>
      <c r="AU81" s="1360" t="e">
        <f t="shared" si="16"/>
        <v>#VALUE!</v>
      </c>
      <c r="AV81" s="806"/>
      <c r="AW81" s="806"/>
      <c r="AX81" s="806"/>
      <c r="AY81" s="806"/>
      <c r="AZ81" s="806"/>
      <c r="BA81" s="806"/>
      <c r="BB81" s="806"/>
      <c r="BC81" s="806"/>
      <c r="BD81" s="806"/>
      <c r="BE81" s="806"/>
      <c r="BF81" s="1191"/>
      <c r="BG81" s="1191"/>
      <c r="BY81" s="827"/>
      <c r="BZ81" s="827"/>
      <c r="CB81" s="1123"/>
      <c r="CC81" s="1445" t="str">
        <f t="shared" si="17"/>
        <v/>
      </c>
      <c r="CD81" s="1445" t="e">
        <f t="shared" si="18"/>
        <v>#VALUE!</v>
      </c>
      <c r="CI81" s="1446">
        <f t="shared" si="19"/>
        <v>0</v>
      </c>
      <c r="CJ81" s="1446" t="e">
        <f t="shared" si="20"/>
        <v>#VALUE!</v>
      </c>
      <c r="CK81" s="1443"/>
      <c r="CL81" s="1443"/>
      <c r="CM81" s="1443"/>
      <c r="CN81" s="1443"/>
      <c r="CO81" s="1443"/>
      <c r="CP81" s="1443"/>
      <c r="CQ81" s="1443"/>
      <c r="DB81" s="1442"/>
    </row>
    <row r="82" spans="1:106" ht="19.5" customHeight="1" x14ac:dyDescent="0.3">
      <c r="A82" s="7258">
        <v>19160400</v>
      </c>
      <c r="B82" s="8555"/>
      <c r="C82" s="135" t="s">
        <v>1258</v>
      </c>
      <c r="D82" s="323" t="s">
        <v>5369</v>
      </c>
      <c r="E82" s="324" t="s">
        <v>5370</v>
      </c>
      <c r="F82" s="145" t="s">
        <v>5371</v>
      </c>
      <c r="G82" s="110" t="s">
        <v>5372</v>
      </c>
      <c r="H82" s="112" t="s">
        <v>5373</v>
      </c>
      <c r="I82" s="110" t="s">
        <v>5374</v>
      </c>
      <c r="J82" s="144" t="s">
        <v>5375</v>
      </c>
      <c r="K82" s="110" t="s">
        <v>5376</v>
      </c>
      <c r="L82" s="112" t="s">
        <v>5377</v>
      </c>
      <c r="M82" s="110" t="s">
        <v>5378</v>
      </c>
      <c r="N82" s="144" t="s">
        <v>5379</v>
      </c>
      <c r="O82" s="136" t="s">
        <v>5380</v>
      </c>
      <c r="P82" s="112" t="s">
        <v>5381</v>
      </c>
      <c r="Q82" s="110" t="s">
        <v>5382</v>
      </c>
      <c r="R82" s="144" t="s">
        <v>5383</v>
      </c>
      <c r="S82" s="136" t="s">
        <v>5384</v>
      </c>
      <c r="T82" s="112" t="s">
        <v>5385</v>
      </c>
      <c r="U82" s="110" t="s">
        <v>5386</v>
      </c>
      <c r="V82" s="144" t="s">
        <v>5387</v>
      </c>
      <c r="W82" s="136" t="s">
        <v>5388</v>
      </c>
      <c r="X82" s="112" t="s">
        <v>5389</v>
      </c>
      <c r="Y82" s="110" t="s">
        <v>5390</v>
      </c>
      <c r="Z82" s="144" t="s">
        <v>5391</v>
      </c>
      <c r="AA82" s="136" t="s">
        <v>5392</v>
      </c>
      <c r="AB82" s="112" t="s">
        <v>5393</v>
      </c>
      <c r="AC82" s="110" t="s">
        <v>5394</v>
      </c>
      <c r="AD82" s="144" t="s">
        <v>5395</v>
      </c>
      <c r="AE82" s="110" t="s">
        <v>5396</v>
      </c>
      <c r="AF82" s="122" t="s">
        <v>5397</v>
      </c>
      <c r="AG82" s="110" t="s">
        <v>5398</v>
      </c>
      <c r="AH82" s="144" t="s">
        <v>5399</v>
      </c>
      <c r="AI82" s="110" t="s">
        <v>5400</v>
      </c>
      <c r="AJ82" s="144" t="s">
        <v>5401</v>
      </c>
      <c r="AK82" s="110" t="s">
        <v>5402</v>
      </c>
      <c r="AL82" s="144" t="s">
        <v>5403</v>
      </c>
      <c r="AM82" s="136" t="s">
        <v>5404</v>
      </c>
      <c r="AN82" s="236" t="s">
        <v>5405</v>
      </c>
      <c r="AO82" s="136" t="s">
        <v>5406</v>
      </c>
      <c r="AP82" s="122" t="s">
        <v>5407</v>
      </c>
      <c r="AQ82" s="123" t="s">
        <v>5408</v>
      </c>
      <c r="AR82" s="144" t="s">
        <v>5409</v>
      </c>
      <c r="AS82" s="122" t="s">
        <v>5410</v>
      </c>
      <c r="AT82" s="144" t="s">
        <v>5411</v>
      </c>
      <c r="AU82" s="1360" t="e">
        <f t="shared" si="16"/>
        <v>#VALUE!</v>
      </c>
      <c r="AV82" s="806"/>
      <c r="AW82" s="806"/>
      <c r="AX82" s="806"/>
      <c r="AY82" s="806"/>
      <c r="AZ82" s="806"/>
      <c r="BA82" s="806"/>
      <c r="BB82" s="806"/>
      <c r="BC82" s="806"/>
      <c r="BD82" s="806"/>
      <c r="BE82" s="806"/>
      <c r="BF82" s="1191"/>
      <c r="BG82" s="1191"/>
      <c r="BY82" s="827"/>
      <c r="BZ82" s="827"/>
      <c r="CB82" s="1123"/>
      <c r="CC82" s="1445" t="str">
        <f t="shared" si="17"/>
        <v/>
      </c>
      <c r="CD82" s="1445" t="e">
        <f t="shared" si="18"/>
        <v>#VALUE!</v>
      </c>
      <c r="CI82" s="1446">
        <f t="shared" si="19"/>
        <v>0</v>
      </c>
      <c r="CJ82" s="1446" t="e">
        <f t="shared" si="20"/>
        <v>#VALUE!</v>
      </c>
      <c r="CK82" s="1443"/>
      <c r="CL82" s="1443"/>
      <c r="CM82" s="1443"/>
      <c r="CN82" s="1443"/>
      <c r="CO82" s="1443"/>
      <c r="CP82" s="1443"/>
      <c r="CQ82" s="1443"/>
      <c r="DB82" s="1442"/>
    </row>
    <row r="83" spans="1:106" ht="19.5" customHeight="1" x14ac:dyDescent="0.3">
      <c r="A83" s="7258">
        <v>19160500</v>
      </c>
      <c r="B83" s="8555"/>
      <c r="C83" s="135" t="s">
        <v>1257</v>
      </c>
      <c r="D83" s="323" t="s">
        <v>5369</v>
      </c>
      <c r="E83" s="324" t="s">
        <v>5370</v>
      </c>
      <c r="F83" s="145" t="s">
        <v>5371</v>
      </c>
      <c r="G83" s="110" t="s">
        <v>5372</v>
      </c>
      <c r="H83" s="112" t="s">
        <v>5373</v>
      </c>
      <c r="I83" s="110" t="s">
        <v>5374</v>
      </c>
      <c r="J83" s="144" t="s">
        <v>5375</v>
      </c>
      <c r="K83" s="110" t="s">
        <v>5376</v>
      </c>
      <c r="L83" s="112" t="s">
        <v>5377</v>
      </c>
      <c r="M83" s="110" t="s">
        <v>5378</v>
      </c>
      <c r="N83" s="144" t="s">
        <v>5379</v>
      </c>
      <c r="O83" s="136" t="s">
        <v>5380</v>
      </c>
      <c r="P83" s="112" t="s">
        <v>5381</v>
      </c>
      <c r="Q83" s="110" t="s">
        <v>5382</v>
      </c>
      <c r="R83" s="144" t="s">
        <v>5383</v>
      </c>
      <c r="S83" s="136" t="s">
        <v>5384</v>
      </c>
      <c r="T83" s="112" t="s">
        <v>5385</v>
      </c>
      <c r="U83" s="110" t="s">
        <v>5386</v>
      </c>
      <c r="V83" s="144" t="s">
        <v>5387</v>
      </c>
      <c r="W83" s="136" t="s">
        <v>5388</v>
      </c>
      <c r="X83" s="112" t="s">
        <v>5389</v>
      </c>
      <c r="Y83" s="110" t="s">
        <v>5390</v>
      </c>
      <c r="Z83" s="144" t="s">
        <v>5391</v>
      </c>
      <c r="AA83" s="136" t="s">
        <v>5392</v>
      </c>
      <c r="AB83" s="112" t="s">
        <v>5393</v>
      </c>
      <c r="AC83" s="110" t="s">
        <v>5394</v>
      </c>
      <c r="AD83" s="144" t="s">
        <v>5395</v>
      </c>
      <c r="AE83" s="110" t="s">
        <v>5396</v>
      </c>
      <c r="AF83" s="122" t="s">
        <v>5397</v>
      </c>
      <c r="AG83" s="110" t="s">
        <v>5398</v>
      </c>
      <c r="AH83" s="144" t="s">
        <v>5399</v>
      </c>
      <c r="AI83" s="110" t="s">
        <v>5400</v>
      </c>
      <c r="AJ83" s="144" t="s">
        <v>5401</v>
      </c>
      <c r="AK83" s="110" t="s">
        <v>5402</v>
      </c>
      <c r="AL83" s="144" t="s">
        <v>5403</v>
      </c>
      <c r="AM83" s="136" t="s">
        <v>5404</v>
      </c>
      <c r="AN83" s="236" t="s">
        <v>5405</v>
      </c>
      <c r="AO83" s="136" t="s">
        <v>5406</v>
      </c>
      <c r="AP83" s="122" t="s">
        <v>5407</v>
      </c>
      <c r="AQ83" s="123" t="s">
        <v>5408</v>
      </c>
      <c r="AR83" s="144" t="s">
        <v>5409</v>
      </c>
      <c r="AS83" s="122" t="s">
        <v>5410</v>
      </c>
      <c r="AT83" s="144" t="s">
        <v>5411</v>
      </c>
      <c r="AU83" s="1360" t="e">
        <f t="shared" si="16"/>
        <v>#VALUE!</v>
      </c>
      <c r="AV83" s="806"/>
      <c r="AW83" s="806"/>
      <c r="AX83" s="806"/>
      <c r="AY83" s="806"/>
      <c r="AZ83" s="806"/>
      <c r="BA83" s="806"/>
      <c r="BB83" s="806"/>
      <c r="BC83" s="806"/>
      <c r="BD83" s="806"/>
      <c r="BE83" s="806"/>
      <c r="BF83" s="1191"/>
      <c r="BG83" s="1191"/>
      <c r="BY83" s="827"/>
      <c r="BZ83" s="827"/>
      <c r="CB83" s="1123"/>
      <c r="CC83" s="1445" t="str">
        <f t="shared" si="17"/>
        <v/>
      </c>
      <c r="CD83" s="1445" t="e">
        <f t="shared" si="18"/>
        <v>#VALUE!</v>
      </c>
      <c r="CI83" s="1446">
        <f t="shared" si="19"/>
        <v>0</v>
      </c>
      <c r="CJ83" s="1446" t="e">
        <f t="shared" si="20"/>
        <v>#VALUE!</v>
      </c>
      <c r="CK83" s="1443"/>
      <c r="CL83" s="1443"/>
      <c r="CM83" s="1443"/>
      <c r="CN83" s="1443"/>
      <c r="CO83" s="1443"/>
      <c r="CP83" s="1443"/>
      <c r="CQ83" s="1443"/>
      <c r="DB83" s="1442"/>
    </row>
    <row r="84" spans="1:106" ht="19.5" customHeight="1" x14ac:dyDescent="0.3">
      <c r="A84" s="7258">
        <v>19182050</v>
      </c>
      <c r="B84" s="8555"/>
      <c r="C84" s="500" t="s">
        <v>1256</v>
      </c>
      <c r="D84" s="584" t="s">
        <v>5369</v>
      </c>
      <c r="E84" s="583" t="s">
        <v>5370</v>
      </c>
      <c r="F84" s="172" t="s">
        <v>5371</v>
      </c>
      <c r="G84" s="93" t="s">
        <v>5372</v>
      </c>
      <c r="H84" s="773" t="s">
        <v>5373</v>
      </c>
      <c r="I84" s="768" t="s">
        <v>5374</v>
      </c>
      <c r="J84" s="767" t="s">
        <v>5375</v>
      </c>
      <c r="K84" s="110" t="s">
        <v>5376</v>
      </c>
      <c r="L84" s="112" t="s">
        <v>5377</v>
      </c>
      <c r="M84" s="110" t="s">
        <v>5378</v>
      </c>
      <c r="N84" s="144" t="s">
        <v>5379</v>
      </c>
      <c r="O84" s="136" t="s">
        <v>5380</v>
      </c>
      <c r="P84" s="112" t="s">
        <v>5381</v>
      </c>
      <c r="Q84" s="772" t="s">
        <v>5382</v>
      </c>
      <c r="R84" s="769" t="s">
        <v>5383</v>
      </c>
      <c r="S84" s="766" t="s">
        <v>5384</v>
      </c>
      <c r="T84" s="771" t="s">
        <v>5385</v>
      </c>
      <c r="U84" s="768" t="s">
        <v>5386</v>
      </c>
      <c r="V84" s="767" t="s">
        <v>5387</v>
      </c>
      <c r="W84" s="770" t="s">
        <v>5388</v>
      </c>
      <c r="X84" s="766" t="s">
        <v>5389</v>
      </c>
      <c r="Y84" s="768" t="s">
        <v>5390</v>
      </c>
      <c r="Z84" s="767" t="s">
        <v>5391</v>
      </c>
      <c r="AA84" s="770" t="s">
        <v>5392</v>
      </c>
      <c r="AB84" s="766" t="s">
        <v>5393</v>
      </c>
      <c r="AC84" s="768" t="s">
        <v>5394</v>
      </c>
      <c r="AD84" s="767" t="s">
        <v>5395</v>
      </c>
      <c r="AE84" s="768" t="s">
        <v>5396</v>
      </c>
      <c r="AF84" s="769" t="s">
        <v>5397</v>
      </c>
      <c r="AG84" s="768" t="s">
        <v>5398</v>
      </c>
      <c r="AH84" s="767" t="s">
        <v>5399</v>
      </c>
      <c r="AI84" s="768" t="s">
        <v>5400</v>
      </c>
      <c r="AJ84" s="767" t="s">
        <v>5401</v>
      </c>
      <c r="AK84" s="768" t="s">
        <v>5402</v>
      </c>
      <c r="AL84" s="767" t="s">
        <v>5403</v>
      </c>
      <c r="AM84" s="766" t="s">
        <v>5404</v>
      </c>
      <c r="AN84" s="765" t="s">
        <v>5405</v>
      </c>
      <c r="AO84" s="136" t="s">
        <v>5406</v>
      </c>
      <c r="AP84" s="122" t="s">
        <v>5407</v>
      </c>
      <c r="AQ84" s="123" t="s">
        <v>5408</v>
      </c>
      <c r="AR84" s="144" t="s">
        <v>5409</v>
      </c>
      <c r="AS84" s="122" t="s">
        <v>5410</v>
      </c>
      <c r="AT84" s="144" t="s">
        <v>5411</v>
      </c>
      <c r="AU84" s="1360" t="e">
        <f t="shared" si="16"/>
        <v>#VALUE!</v>
      </c>
      <c r="AV84" s="806"/>
      <c r="AW84" s="806"/>
      <c r="AX84" s="806"/>
      <c r="AY84" s="806"/>
      <c r="AZ84" s="806"/>
      <c r="BA84" s="806"/>
      <c r="BB84" s="806"/>
      <c r="BC84" s="806"/>
      <c r="BD84" s="806"/>
      <c r="BE84" s="806"/>
      <c r="BF84" s="1191"/>
      <c r="BG84" s="1191"/>
      <c r="BY84" s="827"/>
      <c r="BZ84" s="827"/>
      <c r="CB84" s="1123"/>
      <c r="CC84" s="1445" t="str">
        <f t="shared" si="17"/>
        <v/>
      </c>
      <c r="CD84" s="1445" t="e">
        <f t="shared" si="18"/>
        <v>#VALUE!</v>
      </c>
      <c r="CI84" s="1446">
        <f t="shared" si="19"/>
        <v>0</v>
      </c>
      <c r="CJ84" s="1446" t="e">
        <f t="shared" si="20"/>
        <v>#VALUE!</v>
      </c>
      <c r="CK84" s="1443"/>
      <c r="CL84" s="1443"/>
      <c r="CM84" s="1443"/>
      <c r="CN84" s="1443"/>
      <c r="CO84" s="1443"/>
      <c r="CP84" s="1443"/>
      <c r="CQ84" s="1443"/>
      <c r="DB84" s="1442"/>
    </row>
    <row r="85" spans="1:106" ht="19.5" customHeight="1" x14ac:dyDescent="0.3">
      <c r="A85" s="7258">
        <v>19160600</v>
      </c>
      <c r="B85" s="8859"/>
      <c r="C85" s="534" t="s">
        <v>1255</v>
      </c>
      <c r="D85" s="1336" t="s">
        <v>5369</v>
      </c>
      <c r="E85" s="1337" t="s">
        <v>5370</v>
      </c>
      <c r="F85" s="147" t="s">
        <v>5371</v>
      </c>
      <c r="G85" s="125" t="s">
        <v>5372</v>
      </c>
      <c r="H85" s="173" t="s">
        <v>5373</v>
      </c>
      <c r="I85" s="125" t="s">
        <v>5374</v>
      </c>
      <c r="J85" s="127" t="s">
        <v>5375</v>
      </c>
      <c r="K85" s="102" t="s">
        <v>5376</v>
      </c>
      <c r="L85" s="175" t="s">
        <v>5377</v>
      </c>
      <c r="M85" s="125" t="s">
        <v>5378</v>
      </c>
      <c r="N85" s="101" t="s">
        <v>5379</v>
      </c>
      <c r="O85" s="102" t="s">
        <v>5380</v>
      </c>
      <c r="P85" s="175" t="s">
        <v>5381</v>
      </c>
      <c r="Q85" s="159" t="s">
        <v>5382</v>
      </c>
      <c r="R85" s="101" t="s">
        <v>5383</v>
      </c>
      <c r="S85" s="173" t="s">
        <v>5384</v>
      </c>
      <c r="T85" s="175" t="s">
        <v>5385</v>
      </c>
      <c r="U85" s="125" t="s">
        <v>5386</v>
      </c>
      <c r="V85" s="127" t="s">
        <v>5387</v>
      </c>
      <c r="W85" s="102" t="s">
        <v>5388</v>
      </c>
      <c r="X85" s="173" t="s">
        <v>5389</v>
      </c>
      <c r="Y85" s="125" t="s">
        <v>5390</v>
      </c>
      <c r="Z85" s="127" t="s">
        <v>5391</v>
      </c>
      <c r="AA85" s="102" t="s">
        <v>5392</v>
      </c>
      <c r="AB85" s="173" t="s">
        <v>5393</v>
      </c>
      <c r="AC85" s="125" t="s">
        <v>5394</v>
      </c>
      <c r="AD85" s="127" t="s">
        <v>5395</v>
      </c>
      <c r="AE85" s="125" t="s">
        <v>5396</v>
      </c>
      <c r="AF85" s="101" t="s">
        <v>5397</v>
      </c>
      <c r="AG85" s="125" t="s">
        <v>5398</v>
      </c>
      <c r="AH85" s="127" t="s">
        <v>5399</v>
      </c>
      <c r="AI85" s="125" t="s">
        <v>5400</v>
      </c>
      <c r="AJ85" s="127" t="s">
        <v>5401</v>
      </c>
      <c r="AK85" s="125" t="s">
        <v>5402</v>
      </c>
      <c r="AL85" s="127" t="s">
        <v>5403</v>
      </c>
      <c r="AM85" s="173" t="s">
        <v>5404</v>
      </c>
      <c r="AN85" s="198" t="s">
        <v>5405</v>
      </c>
      <c r="AO85" s="102" t="s">
        <v>5406</v>
      </c>
      <c r="AP85" s="101" t="s">
        <v>5407</v>
      </c>
      <c r="AQ85" s="86" t="s">
        <v>5408</v>
      </c>
      <c r="AR85" s="127" t="s">
        <v>5409</v>
      </c>
      <c r="AS85" s="127" t="s">
        <v>5410</v>
      </c>
      <c r="AT85" s="127" t="s">
        <v>5411</v>
      </c>
      <c r="AU85" s="1360" t="e">
        <f t="shared" si="16"/>
        <v>#VALUE!</v>
      </c>
      <c r="AV85" s="806"/>
      <c r="AW85" s="806"/>
      <c r="AX85" s="806"/>
      <c r="AY85" s="806"/>
      <c r="AZ85" s="806"/>
      <c r="BA85" s="806"/>
      <c r="BB85" s="806"/>
      <c r="BC85" s="806"/>
      <c r="BD85" s="806"/>
      <c r="BE85" s="806"/>
      <c r="BF85" s="1191"/>
      <c r="BG85" s="1191"/>
      <c r="BY85" s="827"/>
      <c r="BZ85" s="827"/>
      <c r="CB85" s="1123"/>
      <c r="CC85" s="1445" t="str">
        <f t="shared" si="17"/>
        <v/>
      </c>
      <c r="CD85" s="1445" t="e">
        <f t="shared" si="18"/>
        <v>#VALUE!</v>
      </c>
      <c r="CI85" s="1446">
        <f t="shared" si="19"/>
        <v>0</v>
      </c>
      <c r="CJ85" s="1446" t="e">
        <f t="shared" si="20"/>
        <v>#VALUE!</v>
      </c>
      <c r="CK85" s="1443"/>
      <c r="CL85" s="1443"/>
      <c r="CM85" s="1443"/>
      <c r="CN85" s="1443"/>
      <c r="CO85" s="1443"/>
      <c r="CP85" s="1443"/>
      <c r="CQ85" s="1443"/>
      <c r="DB85" s="1442"/>
    </row>
    <row r="86" spans="1:106" ht="32.1" customHeight="1" x14ac:dyDescent="0.3">
      <c r="B86" s="751" t="s">
        <v>1254</v>
      </c>
      <c r="C86" s="674"/>
      <c r="D86" s="674"/>
      <c r="E86" s="674"/>
      <c r="F86" s="764"/>
      <c r="G86" s="764"/>
      <c r="H86" s="764"/>
      <c r="I86" s="764"/>
      <c r="J86" s="764"/>
      <c r="K86" s="764"/>
      <c r="L86" s="764"/>
      <c r="M86" s="288"/>
      <c r="N86" s="1191"/>
      <c r="O86" s="1191"/>
      <c r="P86" s="1191"/>
      <c r="Q86" s="1191"/>
      <c r="R86" s="1191"/>
      <c r="S86" s="1191"/>
      <c r="T86" s="1191"/>
      <c r="AS86" s="1191"/>
      <c r="AT86" s="1191"/>
      <c r="AU86" s="1191"/>
      <c r="AV86" s="1191"/>
      <c r="AW86" s="1191"/>
      <c r="AX86" s="1191"/>
      <c r="AY86" s="1191"/>
      <c r="AZ86" s="1191"/>
      <c r="BA86" s="1191"/>
      <c r="BB86" s="1191"/>
      <c r="BC86" s="1191"/>
      <c r="BD86" s="1191"/>
      <c r="BE86" s="1191"/>
      <c r="BF86" s="1191"/>
      <c r="CH86" s="1443"/>
      <c r="CI86" s="1443"/>
      <c r="CJ86" s="1443"/>
      <c r="CK86" s="1443"/>
      <c r="CL86" s="1443"/>
      <c r="CM86" s="1443"/>
      <c r="CN86" s="1443"/>
      <c r="CO86" s="1443"/>
      <c r="CP86" s="1443"/>
    </row>
    <row r="87" spans="1:106" ht="25.35" customHeight="1" x14ac:dyDescent="0.3">
      <c r="A87" s="7263"/>
      <c r="B87" s="8597" t="s">
        <v>1253</v>
      </c>
      <c r="C87" s="732" t="s">
        <v>121</v>
      </c>
      <c r="D87" s="2155" t="s">
        <v>1214</v>
      </c>
      <c r="E87" s="2155" t="s">
        <v>1252</v>
      </c>
      <c r="F87" s="764"/>
      <c r="G87" s="764"/>
      <c r="H87" s="764"/>
      <c r="I87" s="764"/>
      <c r="J87" s="764"/>
      <c r="K87" s="764"/>
      <c r="L87" s="764"/>
      <c r="M87" s="288"/>
      <c r="N87" s="1191"/>
      <c r="O87" s="1191"/>
      <c r="P87" s="1191"/>
      <c r="Q87" s="1191"/>
      <c r="R87" s="1191"/>
      <c r="S87" s="1191"/>
      <c r="T87" s="1191"/>
      <c r="AS87" s="1191"/>
      <c r="AT87" s="1191"/>
      <c r="AU87" s="1191"/>
      <c r="AV87" s="1191"/>
      <c r="AW87" s="1191"/>
      <c r="AX87" s="1191"/>
      <c r="AY87" s="1191"/>
      <c r="AZ87" s="1191"/>
      <c r="BA87" s="1191"/>
      <c r="BB87" s="1191"/>
      <c r="BC87" s="1191"/>
      <c r="BD87" s="1191"/>
      <c r="BE87" s="1191"/>
      <c r="BF87" s="1191"/>
      <c r="CH87" s="1443"/>
      <c r="CI87" s="1443"/>
      <c r="CJ87" s="1443"/>
      <c r="CK87" s="1443"/>
      <c r="CL87" s="1443"/>
      <c r="CM87" s="1443"/>
      <c r="CN87" s="1443"/>
      <c r="CO87" s="1443"/>
      <c r="CP87" s="1443"/>
    </row>
    <row r="88" spans="1:106" ht="26.25" customHeight="1" x14ac:dyDescent="0.3">
      <c r="A88" s="7263">
        <v>19140700</v>
      </c>
      <c r="B88" s="8560"/>
      <c r="C88" s="763" t="s">
        <v>1251</v>
      </c>
      <c r="D88" s="694" t="s">
        <v>5369</v>
      </c>
      <c r="E88" s="694" t="s">
        <v>5370</v>
      </c>
      <c r="F88" s="1360" t="str">
        <f>$CB88&amp;$CC88&amp;$CD88&amp;$CE88</f>
        <v xml:space="preserve">* Las consejerías realizadas en Espacios Amigables NO DEBEN ser mayor al Total de Actividades. </v>
      </c>
      <c r="G88" s="806"/>
      <c r="H88" s="806"/>
      <c r="I88" s="806"/>
      <c r="J88" s="806"/>
      <c r="K88" s="806"/>
      <c r="L88" s="806"/>
      <c r="M88" s="806"/>
      <c r="N88" s="806"/>
      <c r="O88" s="806"/>
      <c r="P88" s="806"/>
      <c r="Q88" s="806"/>
      <c r="R88" s="1191"/>
      <c r="S88" s="1191"/>
      <c r="T88" s="1191"/>
      <c r="CB88" s="1442" t="str">
        <f>IF(E88&lt;=D88,"","* Las consejerías realizadas en Espacios Amigables NO DEBEN ser mayor al Total de Actividades. ")</f>
        <v xml:space="preserve">* Las consejerías realizadas en Espacios Amigables NO DEBEN ser mayor al Total de Actividades. </v>
      </c>
      <c r="CH88" s="1443">
        <f>IF(E88&lt;=D88,0,1)</f>
        <v>1</v>
      </c>
      <c r="CI88" s="1443"/>
      <c r="CJ88" s="1443"/>
      <c r="CK88" s="1443"/>
      <c r="CL88" s="1443"/>
      <c r="CM88" s="1443"/>
      <c r="CN88" s="1443"/>
      <c r="CO88" s="1443"/>
      <c r="CP88" s="1443"/>
    </row>
    <row r="89" spans="1:106" ht="26.25" customHeight="1" x14ac:dyDescent="0.3">
      <c r="A89" s="7263">
        <v>19140800</v>
      </c>
      <c r="B89" s="8560"/>
      <c r="C89" s="2105" t="s">
        <v>1250</v>
      </c>
      <c r="D89" s="123" t="s">
        <v>5369</v>
      </c>
      <c r="E89" s="123" t="s">
        <v>5370</v>
      </c>
      <c r="F89" s="1360" t="str">
        <f>$CB89&amp;$CC89&amp;$CD89&amp;$CE89</f>
        <v xml:space="preserve">* Las consejerías realizadas en Espacios Amigables NO DEBEN ser mayor al Total de Actividades. </v>
      </c>
      <c r="G89" s="806"/>
      <c r="H89" s="806"/>
      <c r="I89" s="806"/>
      <c r="J89" s="806"/>
      <c r="K89" s="806"/>
      <c r="L89" s="806"/>
      <c r="M89" s="806"/>
      <c r="N89" s="806"/>
      <c r="O89" s="806"/>
      <c r="P89" s="806"/>
      <c r="Q89" s="806"/>
      <c r="R89" s="1191"/>
      <c r="S89" s="1191"/>
      <c r="T89" s="1191"/>
      <c r="CB89" s="1442" t="str">
        <f>IF(E89&lt;=D89,"","* Las consejerías realizadas en Espacios Amigables NO DEBEN ser mayor al Total de Actividades. ")</f>
        <v xml:space="preserve">* Las consejerías realizadas en Espacios Amigables NO DEBEN ser mayor al Total de Actividades. </v>
      </c>
      <c r="CH89" s="1443">
        <f>IF(E89&lt;=D89,0,1)</f>
        <v>1</v>
      </c>
      <c r="CI89" s="1443"/>
      <c r="CJ89" s="1443"/>
      <c r="CK89" s="1443"/>
      <c r="CL89" s="1443"/>
      <c r="CM89" s="1443"/>
      <c r="CN89" s="1443"/>
      <c r="CO89" s="1443"/>
      <c r="CP89" s="1443"/>
    </row>
    <row r="90" spans="1:106" ht="26.25" customHeight="1" x14ac:dyDescent="0.3">
      <c r="A90" s="7263">
        <v>19140900</v>
      </c>
      <c r="B90" s="8560"/>
      <c r="C90" s="2105" t="s">
        <v>1249</v>
      </c>
      <c r="D90" s="123" t="s">
        <v>5369</v>
      </c>
      <c r="E90" s="123" t="s">
        <v>5370</v>
      </c>
      <c r="F90" s="1360" t="str">
        <f>$CB90&amp;$CC90&amp;$CD90&amp;$CE90</f>
        <v xml:space="preserve">* Las consejerías realizadas en Espacios Amigables NO DEBEN ser mayor al Total de Actividades. </v>
      </c>
      <c r="G90" s="806"/>
      <c r="H90" s="806"/>
      <c r="I90" s="806"/>
      <c r="J90" s="806"/>
      <c r="K90" s="806"/>
      <c r="L90" s="806"/>
      <c r="M90" s="806"/>
      <c r="N90" s="806"/>
      <c r="O90" s="806"/>
      <c r="P90" s="806"/>
      <c r="Q90" s="806"/>
      <c r="R90" s="1191"/>
      <c r="S90" s="1191"/>
      <c r="T90" s="1191"/>
      <c r="CB90" s="1442" t="str">
        <f>IF(E90&lt;=D90,"","* Las consejerías realizadas en Espacios Amigables NO DEBEN ser mayor al Total de Actividades. ")</f>
        <v xml:space="preserve">* Las consejerías realizadas en Espacios Amigables NO DEBEN ser mayor al Total de Actividades. </v>
      </c>
      <c r="CH90" s="1443">
        <f>IF(E90&lt;=D90,0,1)</f>
        <v>1</v>
      </c>
      <c r="CI90" s="1443"/>
      <c r="CJ90" s="1443"/>
      <c r="CK90" s="1443"/>
      <c r="CL90" s="1443"/>
      <c r="CM90" s="1443"/>
      <c r="CN90" s="1443"/>
      <c r="CO90" s="1443"/>
      <c r="CP90" s="1443"/>
    </row>
    <row r="91" spans="1:106" ht="26.25" customHeight="1" x14ac:dyDescent="0.3">
      <c r="A91" s="7263">
        <v>19150100</v>
      </c>
      <c r="B91" s="8560"/>
      <c r="C91" s="2105" t="s">
        <v>1248</v>
      </c>
      <c r="D91" s="123" t="s">
        <v>5369</v>
      </c>
      <c r="E91" s="498" t="s">
        <v>5370</v>
      </c>
      <c r="F91" s="1360"/>
      <c r="G91" s="806"/>
      <c r="H91" s="806"/>
      <c r="I91" s="806"/>
      <c r="J91" s="806"/>
      <c r="K91" s="806"/>
      <c r="L91" s="806"/>
      <c r="M91" s="806"/>
      <c r="N91" s="806"/>
      <c r="O91" s="806"/>
      <c r="P91" s="806"/>
      <c r="Q91" s="806"/>
      <c r="R91" s="1191"/>
      <c r="S91" s="1191"/>
      <c r="T91" s="1191"/>
      <c r="CH91" s="1443"/>
      <c r="CI91" s="1443"/>
      <c r="CJ91" s="1443"/>
      <c r="CK91" s="1443"/>
      <c r="CL91" s="1443"/>
      <c r="CM91" s="1443"/>
      <c r="CN91" s="1443"/>
      <c r="CO91" s="1443"/>
      <c r="CP91" s="1443"/>
    </row>
    <row r="92" spans="1:106" ht="26.25" customHeight="1" x14ac:dyDescent="0.3">
      <c r="A92" s="7263">
        <v>19150200</v>
      </c>
      <c r="B92" s="8560"/>
      <c r="C92" s="2071" t="s">
        <v>1247</v>
      </c>
      <c r="D92" s="144" t="s">
        <v>5369</v>
      </c>
      <c r="E92" s="498" t="s">
        <v>5370</v>
      </c>
      <c r="F92" s="1360"/>
      <c r="G92" s="806"/>
      <c r="H92" s="806"/>
      <c r="I92" s="806"/>
      <c r="J92" s="806"/>
      <c r="K92" s="806"/>
      <c r="L92" s="806"/>
      <c r="M92" s="806"/>
      <c r="N92" s="806"/>
      <c r="O92" s="806"/>
      <c r="P92" s="806"/>
      <c r="Q92" s="806"/>
      <c r="R92" s="1191"/>
      <c r="S92" s="1191"/>
      <c r="T92" s="1191"/>
      <c r="CH92" s="1443"/>
      <c r="CI92" s="1443"/>
      <c r="CJ92" s="1443"/>
      <c r="CK92" s="1443"/>
      <c r="CL92" s="1443"/>
      <c r="CM92" s="1443"/>
      <c r="CN92" s="1443"/>
      <c r="CO92" s="1443"/>
      <c r="CP92" s="1443"/>
    </row>
    <row r="93" spans="1:106" ht="26.25" customHeight="1" x14ac:dyDescent="0.3">
      <c r="A93" s="7263">
        <v>19150300</v>
      </c>
      <c r="B93" s="8560"/>
      <c r="C93" s="2071" t="s">
        <v>1246</v>
      </c>
      <c r="D93" s="144" t="s">
        <v>5369</v>
      </c>
      <c r="E93" s="123" t="s">
        <v>5370</v>
      </c>
      <c r="F93" s="1360" t="str">
        <f>$CB93&amp;$CC93&amp;$CD93&amp;$CE93</f>
        <v xml:space="preserve">* Las consejerías realizadas en Espacios Amigables NO DEBEN ser mayor al Total de Actividades. </v>
      </c>
      <c r="G93" s="806"/>
      <c r="H93" s="806"/>
      <c r="I93" s="806"/>
      <c r="J93" s="806"/>
      <c r="K93" s="806"/>
      <c r="L93" s="806"/>
      <c r="M93" s="806"/>
      <c r="N93" s="806"/>
      <c r="O93" s="806"/>
      <c r="P93" s="806"/>
      <c r="Q93" s="806"/>
      <c r="R93" s="1191"/>
      <c r="S93" s="1191"/>
      <c r="T93" s="1191"/>
      <c r="CB93" s="1442" t="str">
        <f>IF(E93&lt;=D93,"","* Las consejerías realizadas en Espacios Amigables NO DEBEN ser mayor al Total de Actividades. ")</f>
        <v xml:space="preserve">* Las consejerías realizadas en Espacios Amigables NO DEBEN ser mayor al Total de Actividades. </v>
      </c>
      <c r="CH93" s="1443">
        <f>IF(E93&lt;=D93,0,1)</f>
        <v>1</v>
      </c>
      <c r="CI93" s="1443"/>
      <c r="CJ93" s="1443"/>
      <c r="CK93" s="1443"/>
      <c r="CL93" s="1443"/>
      <c r="CM93" s="1443"/>
      <c r="CN93" s="1443"/>
      <c r="CO93" s="1443"/>
      <c r="CP93" s="1443"/>
    </row>
    <row r="94" spans="1:106" ht="26.25" customHeight="1" x14ac:dyDescent="0.3">
      <c r="A94" s="7263">
        <v>19150400</v>
      </c>
      <c r="B94" s="8560"/>
      <c r="C94" s="2071" t="s">
        <v>1245</v>
      </c>
      <c r="D94" s="144" t="s">
        <v>5369</v>
      </c>
      <c r="E94" s="123" t="s">
        <v>5370</v>
      </c>
      <c r="F94" s="1360" t="str">
        <f>$CB94&amp;$CC94&amp;$CD94&amp;$CE94</f>
        <v xml:space="preserve">* Las consejerías realizadas en Espacios Amigables NO DEBEN ser mayor al Total de Actividades. </v>
      </c>
      <c r="G94" s="806"/>
      <c r="H94" s="806"/>
      <c r="I94" s="806"/>
      <c r="J94" s="806"/>
      <c r="K94" s="806"/>
      <c r="L94" s="806"/>
      <c r="M94" s="806"/>
      <c r="N94" s="806"/>
      <c r="O94" s="806"/>
      <c r="P94" s="806"/>
      <c r="Q94" s="806"/>
      <c r="R94" s="1191"/>
      <c r="S94" s="1191"/>
      <c r="T94" s="1191"/>
      <c r="CB94" s="1442" t="str">
        <f>IF(E94&lt;=D94,"","* Las consejerías realizadas en Espacios Amigables NO DEBEN ser mayor al Total de Actividades. ")</f>
        <v xml:space="preserve">* Las consejerías realizadas en Espacios Amigables NO DEBEN ser mayor al Total de Actividades. </v>
      </c>
      <c r="CH94" s="1443">
        <f>IF(E94&lt;=D94,0,1)</f>
        <v>1</v>
      </c>
      <c r="CI94" s="1443"/>
      <c r="CJ94" s="1443"/>
      <c r="CK94" s="1443"/>
      <c r="CL94" s="1443"/>
      <c r="CM94" s="1443"/>
      <c r="CN94" s="1443"/>
      <c r="CO94" s="1443"/>
      <c r="CP94" s="1443"/>
    </row>
    <row r="95" spans="1:106" ht="26.25" customHeight="1" x14ac:dyDescent="0.3">
      <c r="A95" s="7314">
        <v>19150500</v>
      </c>
      <c r="B95" s="8560"/>
      <c r="C95" s="2071" t="s">
        <v>1244</v>
      </c>
      <c r="D95" s="123" t="s">
        <v>5369</v>
      </c>
      <c r="E95" s="123" t="s">
        <v>5370</v>
      </c>
      <c r="F95" s="1360" t="str">
        <f>$CB95&amp;$CC95&amp;$CD95&amp;$CE95</f>
        <v xml:space="preserve">* Las consejerías realizadas en Espacios Amigables NO DEBEN ser mayor al Total de Actividades. </v>
      </c>
      <c r="G95" s="806"/>
      <c r="H95" s="806"/>
      <c r="I95" s="806"/>
      <c r="J95" s="806"/>
      <c r="K95" s="806"/>
      <c r="L95" s="806"/>
      <c r="M95" s="806"/>
      <c r="N95" s="806"/>
      <c r="O95" s="806"/>
      <c r="P95" s="806"/>
      <c r="Q95" s="806"/>
      <c r="R95" s="1191"/>
      <c r="S95" s="1191"/>
      <c r="T95" s="1191"/>
      <c r="CB95" s="1442" t="str">
        <f>IF(E95&lt;=D95,"","* Las consejerías realizadas en Espacios Amigables NO DEBEN ser mayor al Total de Actividades. ")</f>
        <v xml:space="preserve">* Las consejerías realizadas en Espacios Amigables NO DEBEN ser mayor al Total de Actividades. </v>
      </c>
      <c r="CH95" s="1443">
        <f>IF(E95&lt;=D95,0,1)</f>
        <v>1</v>
      </c>
      <c r="CI95" s="1443"/>
      <c r="CJ95" s="1443"/>
      <c r="CK95" s="1443"/>
      <c r="CL95" s="1443"/>
      <c r="CM95" s="1443"/>
      <c r="CN95" s="1443"/>
      <c r="CO95" s="1443"/>
      <c r="CP95" s="1443"/>
    </row>
    <row r="96" spans="1:106" ht="26.25" customHeight="1" x14ac:dyDescent="0.3">
      <c r="A96" s="7314">
        <v>19190100</v>
      </c>
      <c r="B96" s="8598"/>
      <c r="C96" s="1325" t="s">
        <v>1243</v>
      </c>
      <c r="D96" s="755" t="s">
        <v>5369</v>
      </c>
      <c r="E96" s="755" t="s">
        <v>5370</v>
      </c>
      <c r="F96" s="1360" t="str">
        <f>$CB96&amp;$CC96&amp;$CD96&amp;$CE96</f>
        <v xml:space="preserve">* Las consejerías realizadas en Espacios Amigables NO DEBEN ser mayor al Total de Actividades. </v>
      </c>
      <c r="G96" s="806"/>
      <c r="H96" s="806"/>
      <c r="I96" s="806"/>
      <c r="J96" s="806"/>
      <c r="K96" s="806"/>
      <c r="L96" s="806"/>
      <c r="M96" s="806"/>
      <c r="N96" s="806"/>
      <c r="O96" s="806"/>
      <c r="P96" s="806"/>
      <c r="Q96" s="806"/>
      <c r="R96" s="1191"/>
      <c r="S96" s="1191"/>
      <c r="T96" s="1191"/>
      <c r="CB96" s="1442" t="str">
        <f>IF(E96&lt;=D96,"","* Las consejerías realizadas en Espacios Amigables NO DEBEN ser mayor al Total de Actividades. ")</f>
        <v xml:space="preserve">* Las consejerías realizadas en Espacios Amigables NO DEBEN ser mayor al Total de Actividades. </v>
      </c>
      <c r="CH96" s="1443">
        <f>IF(E96&lt;=D96,0,1)</f>
        <v>1</v>
      </c>
      <c r="CI96" s="1443"/>
      <c r="CJ96" s="1443"/>
      <c r="CK96" s="1443"/>
      <c r="CL96" s="1443"/>
      <c r="CM96" s="1443"/>
      <c r="CN96" s="1443"/>
      <c r="CO96" s="1443"/>
      <c r="CP96" s="1443"/>
    </row>
    <row r="97" spans="1:94" ht="26.25" customHeight="1" x14ac:dyDescent="0.3">
      <c r="B97" s="3439" t="s">
        <v>3599</v>
      </c>
      <c r="C97" s="3439"/>
      <c r="D97" s="751"/>
      <c r="E97" s="751"/>
      <c r="F97" s="1447"/>
      <c r="G97" s="806"/>
      <c r="H97" s="806"/>
      <c r="I97" s="806"/>
      <c r="J97" s="806"/>
      <c r="K97" s="806"/>
      <c r="L97" s="806"/>
      <c r="M97" s="806"/>
      <c r="N97" s="806"/>
      <c r="O97" s="806"/>
      <c r="P97" s="806"/>
      <c r="Q97" s="806"/>
      <c r="R97" s="1191"/>
      <c r="S97" s="1191"/>
      <c r="T97" s="1191"/>
      <c r="CH97" s="1443"/>
      <c r="CI97" s="1443"/>
      <c r="CJ97" s="1443"/>
      <c r="CK97" s="1443"/>
      <c r="CL97" s="1443"/>
      <c r="CM97" s="1443"/>
      <c r="CN97" s="1443"/>
      <c r="CO97" s="1443"/>
      <c r="CP97" s="1443"/>
    </row>
    <row r="98" spans="1:94" ht="26.25" customHeight="1" x14ac:dyDescent="0.3">
      <c r="B98" s="8627" t="s">
        <v>41</v>
      </c>
      <c r="C98" s="751"/>
      <c r="D98" s="9783" t="s">
        <v>24</v>
      </c>
      <c r="E98" s="8559"/>
      <c r="F98" s="9575"/>
      <c r="G98" s="10168" t="s">
        <v>84</v>
      </c>
      <c r="H98" s="10169"/>
      <c r="I98" s="10169"/>
      <c r="J98" s="10169"/>
      <c r="K98" s="10169"/>
      <c r="L98" s="10169"/>
      <c r="M98" s="10169"/>
      <c r="N98" s="10169"/>
      <c r="O98" s="10169"/>
      <c r="P98" s="10169"/>
      <c r="Q98" s="10169"/>
      <c r="R98" s="10169"/>
      <c r="S98" s="10169"/>
      <c r="T98" s="10169"/>
      <c r="U98" s="10169"/>
      <c r="V98" s="10169"/>
      <c r="W98" s="10169"/>
      <c r="X98" s="10169"/>
      <c r="Y98" s="10169"/>
      <c r="Z98" s="10169"/>
      <c r="AA98" s="10169"/>
      <c r="AB98" s="10169"/>
      <c r="AC98" s="10169"/>
      <c r="AD98" s="10169"/>
      <c r="AE98" s="10169"/>
      <c r="AF98" s="10169"/>
      <c r="AG98" s="10169"/>
      <c r="AH98" s="10169"/>
      <c r="AI98" s="10169"/>
      <c r="AJ98" s="10169"/>
      <c r="AK98" s="10169"/>
      <c r="AL98" s="10170"/>
      <c r="AM98" s="10166" t="s">
        <v>3697</v>
      </c>
      <c r="CH98" s="1443"/>
      <c r="CI98" s="1443"/>
      <c r="CJ98" s="1443"/>
      <c r="CK98" s="1443"/>
      <c r="CL98" s="1443"/>
      <c r="CM98" s="1443"/>
      <c r="CN98" s="1443"/>
      <c r="CO98" s="1443"/>
      <c r="CP98" s="1443"/>
    </row>
    <row r="99" spans="1:94" ht="26.25" customHeight="1" x14ac:dyDescent="0.3">
      <c r="B99" s="8626"/>
      <c r="C99" s="751"/>
      <c r="D99" s="10150"/>
      <c r="E99" s="9670"/>
      <c r="F99" s="8953"/>
      <c r="G99" s="10145" t="s">
        <v>77</v>
      </c>
      <c r="H99" s="10146"/>
      <c r="I99" s="10145" t="s">
        <v>3600</v>
      </c>
      <c r="J99" s="10146"/>
      <c r="K99" s="10145" t="s">
        <v>3601</v>
      </c>
      <c r="L99" s="10146"/>
      <c r="M99" s="10145" t="s">
        <v>3602</v>
      </c>
      <c r="N99" s="10146"/>
      <c r="O99" s="10145" t="s">
        <v>3603</v>
      </c>
      <c r="P99" s="10146"/>
      <c r="Q99" s="10145" t="s">
        <v>1242</v>
      </c>
      <c r="R99" s="10146"/>
      <c r="S99" s="10145" t="s">
        <v>3604</v>
      </c>
      <c r="T99" s="10146"/>
      <c r="U99" s="10145" t="s">
        <v>1241</v>
      </c>
      <c r="V99" s="10146"/>
      <c r="W99" s="10145" t="s">
        <v>3605</v>
      </c>
      <c r="X99" s="10146"/>
      <c r="Y99" s="10145" t="s">
        <v>1240</v>
      </c>
      <c r="Z99" s="10146"/>
      <c r="AA99" s="10145" t="s">
        <v>3606</v>
      </c>
      <c r="AB99" s="10146"/>
      <c r="AC99" s="10145" t="s">
        <v>3607</v>
      </c>
      <c r="AD99" s="10146"/>
      <c r="AE99" s="10145" t="s">
        <v>3608</v>
      </c>
      <c r="AF99" s="10146"/>
      <c r="AG99" s="10145" t="s">
        <v>3609</v>
      </c>
      <c r="AH99" s="10146"/>
      <c r="AI99" s="10147" t="s">
        <v>16</v>
      </c>
      <c r="AJ99" s="10148"/>
      <c r="AK99" s="10149" t="s">
        <v>3610</v>
      </c>
      <c r="AL99" s="8942"/>
      <c r="AM99" s="10167"/>
      <c r="CH99" s="1443"/>
      <c r="CI99" s="1443"/>
      <c r="CJ99" s="1443"/>
      <c r="CK99" s="1443"/>
      <c r="CL99" s="1443"/>
      <c r="CM99" s="1443"/>
      <c r="CN99" s="1443"/>
      <c r="CO99" s="1443"/>
      <c r="CP99" s="1443"/>
    </row>
    <row r="100" spans="1:94" ht="26.25" customHeight="1" x14ac:dyDescent="0.3">
      <c r="B100" s="8628"/>
      <c r="C100" s="751"/>
      <c r="D100" s="3291" t="s">
        <v>1239</v>
      </c>
      <c r="E100" s="2948" t="s">
        <v>701</v>
      </c>
      <c r="F100" s="3259" t="s">
        <v>700</v>
      </c>
      <c r="G100" s="3327" t="s">
        <v>701</v>
      </c>
      <c r="H100" s="3292" t="s">
        <v>700</v>
      </c>
      <c r="I100" s="3327" t="s">
        <v>701</v>
      </c>
      <c r="J100" s="3292" t="s">
        <v>700</v>
      </c>
      <c r="K100" s="3327" t="s">
        <v>701</v>
      </c>
      <c r="L100" s="3292" t="s">
        <v>700</v>
      </c>
      <c r="M100" s="3327" t="s">
        <v>701</v>
      </c>
      <c r="N100" s="3292" t="s">
        <v>700</v>
      </c>
      <c r="O100" s="3327" t="s">
        <v>701</v>
      </c>
      <c r="P100" s="3292" t="s">
        <v>700</v>
      </c>
      <c r="Q100" s="3327" t="s">
        <v>701</v>
      </c>
      <c r="R100" s="3292" t="s">
        <v>700</v>
      </c>
      <c r="S100" s="3327" t="s">
        <v>701</v>
      </c>
      <c r="T100" s="3292" t="s">
        <v>700</v>
      </c>
      <c r="U100" s="3327" t="s">
        <v>701</v>
      </c>
      <c r="V100" s="3292" t="s">
        <v>700</v>
      </c>
      <c r="W100" s="3327" t="s">
        <v>701</v>
      </c>
      <c r="X100" s="3292" t="s">
        <v>700</v>
      </c>
      <c r="Y100" s="3327" t="s">
        <v>701</v>
      </c>
      <c r="Z100" s="3292" t="s">
        <v>700</v>
      </c>
      <c r="AA100" s="3327" t="s">
        <v>701</v>
      </c>
      <c r="AB100" s="3292" t="s">
        <v>700</v>
      </c>
      <c r="AC100" s="3327" t="s">
        <v>701</v>
      </c>
      <c r="AD100" s="3292" t="s">
        <v>700</v>
      </c>
      <c r="AE100" s="3327" t="s">
        <v>701</v>
      </c>
      <c r="AF100" s="3292" t="s">
        <v>700</v>
      </c>
      <c r="AG100" s="3327" t="s">
        <v>701</v>
      </c>
      <c r="AH100" s="3292" t="s">
        <v>700</v>
      </c>
      <c r="AI100" s="3327" t="s">
        <v>701</v>
      </c>
      <c r="AJ100" s="3440" t="s">
        <v>700</v>
      </c>
      <c r="AK100" s="2948" t="s">
        <v>701</v>
      </c>
      <c r="AL100" s="3748" t="s">
        <v>700</v>
      </c>
      <c r="AM100" s="10167"/>
      <c r="CH100" s="1443"/>
      <c r="CI100" s="1443"/>
      <c r="CJ100" s="1443"/>
      <c r="CK100" s="1443"/>
      <c r="CL100" s="1443"/>
      <c r="CM100" s="1443"/>
      <c r="CN100" s="1443"/>
      <c r="CO100" s="1443"/>
      <c r="CP100" s="1443"/>
    </row>
    <row r="101" spans="1:94" ht="15.9" customHeight="1" x14ac:dyDescent="0.3">
      <c r="A101" s="7314">
        <v>19190101</v>
      </c>
      <c r="B101" s="9575" t="s">
        <v>3611</v>
      </c>
      <c r="C101" s="3441" t="s">
        <v>3612</v>
      </c>
      <c r="D101" s="3302" t="s">
        <v>5369</v>
      </c>
      <c r="E101" s="3442" t="s">
        <v>5370</v>
      </c>
      <c r="F101" s="3443" t="s">
        <v>5371</v>
      </c>
      <c r="G101" s="3055" t="s">
        <v>5372</v>
      </c>
      <c r="H101" s="3444" t="s">
        <v>5373</v>
      </c>
      <c r="I101" s="3055" t="s">
        <v>5374</v>
      </c>
      <c r="J101" s="3444" t="s">
        <v>5375</v>
      </c>
      <c r="K101" s="3055" t="s">
        <v>5376</v>
      </c>
      <c r="L101" s="3444" t="s">
        <v>5377</v>
      </c>
      <c r="M101" s="3055" t="s">
        <v>5378</v>
      </c>
      <c r="N101" s="3444" t="s">
        <v>5379</v>
      </c>
      <c r="O101" s="3055" t="s">
        <v>5380</v>
      </c>
      <c r="P101" s="3444" t="s">
        <v>5381</v>
      </c>
      <c r="Q101" s="3055" t="s">
        <v>5382</v>
      </c>
      <c r="R101" s="3444" t="s">
        <v>5383</v>
      </c>
      <c r="S101" s="3055" t="s">
        <v>5384</v>
      </c>
      <c r="T101" s="3444" t="s">
        <v>5385</v>
      </c>
      <c r="U101" s="3055" t="s">
        <v>5386</v>
      </c>
      <c r="V101" s="3444" t="s">
        <v>5387</v>
      </c>
      <c r="W101" s="3055" t="s">
        <v>5388</v>
      </c>
      <c r="X101" s="3444" t="s">
        <v>5389</v>
      </c>
      <c r="Y101" s="3055" t="s">
        <v>5390</v>
      </c>
      <c r="Z101" s="3444" t="s">
        <v>5391</v>
      </c>
      <c r="AA101" s="3055" t="s">
        <v>5392</v>
      </c>
      <c r="AB101" s="3444" t="s">
        <v>5393</v>
      </c>
      <c r="AC101" s="3055" t="s">
        <v>5394</v>
      </c>
      <c r="AD101" s="3444" t="s">
        <v>5395</v>
      </c>
      <c r="AE101" s="3055" t="s">
        <v>5396</v>
      </c>
      <c r="AF101" s="3444" t="s">
        <v>5397</v>
      </c>
      <c r="AG101" s="3055" t="s">
        <v>5398</v>
      </c>
      <c r="AH101" s="3444" t="s">
        <v>5399</v>
      </c>
      <c r="AI101" s="3445" t="s">
        <v>5400</v>
      </c>
      <c r="AJ101" s="3446" t="s">
        <v>5401</v>
      </c>
      <c r="AK101" s="1794" t="s">
        <v>5402</v>
      </c>
      <c r="AL101" s="3749" t="s">
        <v>5403</v>
      </c>
      <c r="AM101" s="4699" t="s">
        <v>5404</v>
      </c>
      <c r="CH101" s="1443"/>
      <c r="CI101" s="1443"/>
      <c r="CJ101" s="1443"/>
      <c r="CK101" s="1443"/>
      <c r="CL101" s="1443"/>
      <c r="CM101" s="1443"/>
      <c r="CN101" s="1443"/>
      <c r="CO101" s="1443"/>
      <c r="CP101" s="1443"/>
    </row>
    <row r="102" spans="1:94" ht="15.9" customHeight="1" x14ac:dyDescent="0.3">
      <c r="A102" s="7314">
        <v>19190102</v>
      </c>
      <c r="B102" s="8581"/>
      <c r="C102" s="2855" t="s">
        <v>3613</v>
      </c>
      <c r="D102" s="2922" t="s">
        <v>5369</v>
      </c>
      <c r="E102" s="2923" t="s">
        <v>5370</v>
      </c>
      <c r="F102" s="3447" t="s">
        <v>5371</v>
      </c>
      <c r="G102" s="2822" t="s">
        <v>5372</v>
      </c>
      <c r="H102" s="2824" t="s">
        <v>5373</v>
      </c>
      <c r="I102" s="2822" t="s">
        <v>5374</v>
      </c>
      <c r="J102" s="2824" t="s">
        <v>5375</v>
      </c>
      <c r="K102" s="2822" t="s">
        <v>5376</v>
      </c>
      <c r="L102" s="2824" t="s">
        <v>5377</v>
      </c>
      <c r="M102" s="2822" t="s">
        <v>5378</v>
      </c>
      <c r="N102" s="2824" t="s">
        <v>5379</v>
      </c>
      <c r="O102" s="2822" t="s">
        <v>5380</v>
      </c>
      <c r="P102" s="2824" t="s">
        <v>5381</v>
      </c>
      <c r="Q102" s="2822" t="s">
        <v>5382</v>
      </c>
      <c r="R102" s="2824" t="s">
        <v>5383</v>
      </c>
      <c r="S102" s="2822" t="s">
        <v>5384</v>
      </c>
      <c r="T102" s="2824" t="s">
        <v>5385</v>
      </c>
      <c r="U102" s="2822" t="s">
        <v>5386</v>
      </c>
      <c r="V102" s="2824" t="s">
        <v>5387</v>
      </c>
      <c r="W102" s="2822" t="s">
        <v>5388</v>
      </c>
      <c r="X102" s="2824" t="s">
        <v>5389</v>
      </c>
      <c r="Y102" s="2822" t="s">
        <v>5390</v>
      </c>
      <c r="Z102" s="2824" t="s">
        <v>5391</v>
      </c>
      <c r="AA102" s="2822" t="s">
        <v>5392</v>
      </c>
      <c r="AB102" s="2824" t="s">
        <v>5393</v>
      </c>
      <c r="AC102" s="2822" t="s">
        <v>5394</v>
      </c>
      <c r="AD102" s="2824" t="s">
        <v>5395</v>
      </c>
      <c r="AE102" s="2822" t="s">
        <v>5396</v>
      </c>
      <c r="AF102" s="2824" t="s">
        <v>5397</v>
      </c>
      <c r="AG102" s="2822" t="s">
        <v>5398</v>
      </c>
      <c r="AH102" s="2824" t="s">
        <v>5399</v>
      </c>
      <c r="AI102" s="3448" t="s">
        <v>5400</v>
      </c>
      <c r="AJ102" s="2889" t="s">
        <v>5401</v>
      </c>
      <c r="AK102" s="2823" t="s">
        <v>5402</v>
      </c>
      <c r="AL102" s="1859" t="s">
        <v>5403</v>
      </c>
      <c r="AM102" s="1835" t="s">
        <v>5404</v>
      </c>
      <c r="CH102" s="1443"/>
      <c r="CI102" s="1443"/>
      <c r="CJ102" s="1443"/>
      <c r="CK102" s="1443"/>
      <c r="CL102" s="1443"/>
      <c r="CM102" s="1443"/>
      <c r="CN102" s="1443"/>
      <c r="CO102" s="1443"/>
      <c r="CP102" s="1443"/>
    </row>
    <row r="103" spans="1:94" ht="15.9" customHeight="1" x14ac:dyDescent="0.3">
      <c r="A103" s="7314">
        <v>19190103</v>
      </c>
      <c r="B103" s="8953"/>
      <c r="C103" s="3449" t="s">
        <v>3614</v>
      </c>
      <c r="D103" s="2928" t="s">
        <v>5369</v>
      </c>
      <c r="E103" s="2745" t="s">
        <v>5370</v>
      </c>
      <c r="F103" s="3450" t="s">
        <v>5371</v>
      </c>
      <c r="G103" s="2825" t="s">
        <v>5372</v>
      </c>
      <c r="H103" s="2821" t="s">
        <v>5373</v>
      </c>
      <c r="I103" s="2825" t="s">
        <v>5374</v>
      </c>
      <c r="J103" s="2821" t="s">
        <v>5375</v>
      </c>
      <c r="K103" s="2825" t="s">
        <v>5376</v>
      </c>
      <c r="L103" s="2821" t="s">
        <v>5377</v>
      </c>
      <c r="M103" s="2825" t="s">
        <v>5378</v>
      </c>
      <c r="N103" s="2821" t="s">
        <v>5379</v>
      </c>
      <c r="O103" s="2825" t="s">
        <v>5380</v>
      </c>
      <c r="P103" s="2821" t="s">
        <v>5381</v>
      </c>
      <c r="Q103" s="2825" t="s">
        <v>5382</v>
      </c>
      <c r="R103" s="2821" t="s">
        <v>5383</v>
      </c>
      <c r="S103" s="2825" t="s">
        <v>5384</v>
      </c>
      <c r="T103" s="2821" t="s">
        <v>5385</v>
      </c>
      <c r="U103" s="2825" t="s">
        <v>5386</v>
      </c>
      <c r="V103" s="2821" t="s">
        <v>5387</v>
      </c>
      <c r="W103" s="2825" t="s">
        <v>5388</v>
      </c>
      <c r="X103" s="2821" t="s">
        <v>5389</v>
      </c>
      <c r="Y103" s="2825" t="s">
        <v>5390</v>
      </c>
      <c r="Z103" s="2821" t="s">
        <v>5391</v>
      </c>
      <c r="AA103" s="2825" t="s">
        <v>5392</v>
      </c>
      <c r="AB103" s="2821" t="s">
        <v>5393</v>
      </c>
      <c r="AC103" s="2825" t="s">
        <v>5394</v>
      </c>
      <c r="AD103" s="2821" t="s">
        <v>5395</v>
      </c>
      <c r="AE103" s="2825" t="s">
        <v>5396</v>
      </c>
      <c r="AF103" s="2821" t="s">
        <v>5397</v>
      </c>
      <c r="AG103" s="2825" t="s">
        <v>5398</v>
      </c>
      <c r="AH103" s="2821" t="s">
        <v>5399</v>
      </c>
      <c r="AI103" s="2468" t="s">
        <v>5400</v>
      </c>
      <c r="AJ103" s="2830" t="s">
        <v>5401</v>
      </c>
      <c r="AK103" s="2480" t="s">
        <v>5402</v>
      </c>
      <c r="AL103" s="2665" t="s">
        <v>5403</v>
      </c>
      <c r="AM103" s="2490" t="s">
        <v>5404</v>
      </c>
      <c r="CH103" s="1443"/>
      <c r="CI103" s="1443"/>
      <c r="CJ103" s="1443"/>
      <c r="CK103" s="1443"/>
      <c r="CL103" s="1443"/>
      <c r="CM103" s="1443"/>
      <c r="CN103" s="1443"/>
      <c r="CO103" s="1443"/>
      <c r="CP103" s="1443"/>
    </row>
    <row r="104" spans="1:94" ht="21" customHeight="1" x14ac:dyDescent="0.3">
      <c r="B104" s="751" t="s">
        <v>1238</v>
      </c>
      <c r="C104" s="674"/>
      <c r="D104" s="13"/>
      <c r="E104" s="140"/>
      <c r="F104" s="288"/>
      <c r="G104" s="288"/>
      <c r="H104" s="288"/>
      <c r="I104" s="288"/>
      <c r="J104" s="288"/>
      <c r="K104" s="288"/>
      <c r="L104" s="288"/>
      <c r="M104" s="288"/>
      <c r="N104" s="1191"/>
      <c r="O104" s="1191"/>
      <c r="P104" s="1191"/>
      <c r="CH104" s="1443"/>
      <c r="CI104" s="1443"/>
      <c r="CJ104" s="1443"/>
      <c r="CK104" s="1443"/>
      <c r="CL104" s="1443"/>
      <c r="CM104" s="1443"/>
      <c r="CN104" s="1443"/>
      <c r="CO104" s="1443"/>
      <c r="CP104" s="1443"/>
    </row>
    <row r="105" spans="1:94" ht="21.75" customHeight="1" x14ac:dyDescent="0.3">
      <c r="B105" s="751" t="s">
        <v>1237</v>
      </c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CH105" s="1443"/>
      <c r="CI105" s="1443"/>
      <c r="CJ105" s="1443"/>
      <c r="CK105" s="1443"/>
      <c r="CL105" s="1443"/>
      <c r="CM105" s="1443"/>
      <c r="CN105" s="1443"/>
      <c r="CO105" s="1443"/>
      <c r="CP105" s="1443"/>
    </row>
    <row r="106" spans="1:94" ht="27" customHeight="1" x14ac:dyDescent="0.3">
      <c r="B106" s="10136" t="s">
        <v>1236</v>
      </c>
      <c r="C106" s="10136" t="s">
        <v>3704</v>
      </c>
      <c r="D106" s="10136" t="s">
        <v>1214</v>
      </c>
      <c r="E106" s="10138" t="s">
        <v>1234</v>
      </c>
      <c r="F106" s="10139"/>
      <c r="G106" s="10139"/>
      <c r="H106" s="10139"/>
      <c r="I106" s="10139"/>
      <c r="J106" s="10139"/>
      <c r="K106" s="10140"/>
      <c r="L106" s="8613" t="s">
        <v>1233</v>
      </c>
      <c r="M106" s="8613" t="s">
        <v>1232</v>
      </c>
      <c r="CH106" s="1443"/>
      <c r="CI106" s="1443"/>
      <c r="CJ106" s="1443"/>
      <c r="CK106" s="1443"/>
      <c r="CL106" s="1443"/>
      <c r="CM106" s="1443"/>
      <c r="CN106" s="1443"/>
      <c r="CO106" s="1443"/>
      <c r="CP106" s="1443"/>
    </row>
    <row r="107" spans="1:94" ht="55.5" customHeight="1" x14ac:dyDescent="0.3">
      <c r="B107" s="10136"/>
      <c r="C107" s="10136"/>
      <c r="D107" s="10136"/>
      <c r="E107" s="2120" t="s">
        <v>1231</v>
      </c>
      <c r="F107" s="2138" t="s">
        <v>1230</v>
      </c>
      <c r="G107" s="2138" t="s">
        <v>1229</v>
      </c>
      <c r="H107" s="2138" t="s">
        <v>1228</v>
      </c>
      <c r="I107" s="2138" t="s">
        <v>1227</v>
      </c>
      <c r="J107" s="760" t="s">
        <v>1226</v>
      </c>
      <c r="K107" s="328" t="s">
        <v>1225</v>
      </c>
      <c r="L107" s="8759"/>
      <c r="M107" s="8759"/>
      <c r="CH107" s="1443"/>
      <c r="CI107" s="1443"/>
      <c r="CJ107" s="1443"/>
      <c r="CK107" s="1443"/>
      <c r="CL107" s="1443"/>
      <c r="CM107" s="1443"/>
      <c r="CN107" s="1443"/>
      <c r="CO107" s="1443"/>
      <c r="CP107" s="1443"/>
    </row>
    <row r="108" spans="1:94" ht="19.5" customHeight="1" x14ac:dyDescent="0.3">
      <c r="A108" s="7258">
        <v>19140101</v>
      </c>
      <c r="B108" s="10136" t="s">
        <v>1224</v>
      </c>
      <c r="C108" s="1102" t="s">
        <v>122</v>
      </c>
      <c r="D108" s="577" t="s">
        <v>5369</v>
      </c>
      <c r="E108" s="527" t="s">
        <v>5370</v>
      </c>
      <c r="F108" s="526" t="s">
        <v>5371</v>
      </c>
      <c r="G108" s="526" t="s">
        <v>5372</v>
      </c>
      <c r="H108" s="526" t="s">
        <v>5373</v>
      </c>
      <c r="I108" s="526" t="s">
        <v>5374</v>
      </c>
      <c r="J108" s="357" t="s">
        <v>5375</v>
      </c>
      <c r="K108" s="759" t="s">
        <v>5376</v>
      </c>
      <c r="L108" s="533" t="s">
        <v>5377</v>
      </c>
      <c r="M108" s="528" t="s">
        <v>5378</v>
      </c>
      <c r="N108" s="1123"/>
      <c r="CH108" s="1443"/>
      <c r="CI108" s="1443"/>
      <c r="CJ108" s="1443"/>
      <c r="CK108" s="1443"/>
      <c r="CL108" s="1443"/>
      <c r="CM108" s="1443"/>
      <c r="CN108" s="1443"/>
      <c r="CO108" s="1443"/>
      <c r="CP108" s="1443"/>
    </row>
    <row r="109" spans="1:94" ht="19.5" customHeight="1" x14ac:dyDescent="0.3">
      <c r="A109" s="7258">
        <v>19170700</v>
      </c>
      <c r="B109" s="10136"/>
      <c r="C109" s="2071" t="s">
        <v>1207</v>
      </c>
      <c r="D109" s="109" t="s">
        <v>5369</v>
      </c>
      <c r="E109" s="110" t="s">
        <v>5370</v>
      </c>
      <c r="F109" s="111" t="s">
        <v>5371</v>
      </c>
      <c r="G109" s="111" t="s">
        <v>5372</v>
      </c>
      <c r="H109" s="111" t="s">
        <v>5373</v>
      </c>
      <c r="I109" s="111" t="s">
        <v>5374</v>
      </c>
      <c r="J109" s="168" t="s">
        <v>5375</v>
      </c>
      <c r="K109" s="197" t="s">
        <v>5376</v>
      </c>
      <c r="L109" s="136" t="s">
        <v>5377</v>
      </c>
      <c r="M109" s="123" t="s">
        <v>5378</v>
      </c>
      <c r="N109" s="1123"/>
      <c r="CH109" s="1443"/>
      <c r="CI109" s="1443"/>
      <c r="CJ109" s="1443"/>
      <c r="CK109" s="1443"/>
      <c r="CL109" s="1443"/>
      <c r="CM109" s="1443"/>
      <c r="CN109" s="1443"/>
      <c r="CO109" s="1443"/>
      <c r="CP109" s="1443"/>
    </row>
    <row r="110" spans="1:94" ht="19.5" customHeight="1" x14ac:dyDescent="0.3">
      <c r="A110" s="7258">
        <v>19140102</v>
      </c>
      <c r="B110" s="10136"/>
      <c r="C110" s="2071" t="s">
        <v>1206</v>
      </c>
      <c r="D110" s="109" t="s">
        <v>5369</v>
      </c>
      <c r="E110" s="110" t="s">
        <v>5370</v>
      </c>
      <c r="F110" s="111" t="s">
        <v>5371</v>
      </c>
      <c r="G110" s="111" t="s">
        <v>5372</v>
      </c>
      <c r="H110" s="111" t="s">
        <v>5373</v>
      </c>
      <c r="I110" s="111" t="s">
        <v>5374</v>
      </c>
      <c r="J110" s="168" t="s">
        <v>5375</v>
      </c>
      <c r="K110" s="197" t="s">
        <v>5376</v>
      </c>
      <c r="L110" s="136" t="s">
        <v>5377</v>
      </c>
      <c r="M110" s="123" t="s">
        <v>5378</v>
      </c>
      <c r="N110" s="1123"/>
      <c r="CH110" s="1443"/>
      <c r="CI110" s="1443"/>
      <c r="CJ110" s="1443"/>
      <c r="CK110" s="1443"/>
      <c r="CL110" s="1443"/>
      <c r="CM110" s="1443"/>
      <c r="CN110" s="1443"/>
      <c r="CO110" s="1443"/>
      <c r="CP110" s="1443"/>
    </row>
    <row r="111" spans="1:94" ht="19.5" customHeight="1" x14ac:dyDescent="0.3">
      <c r="A111" s="7258">
        <v>19140103</v>
      </c>
      <c r="B111" s="10136"/>
      <c r="C111" s="1328" t="s">
        <v>1220</v>
      </c>
      <c r="D111" s="81" t="s">
        <v>5369</v>
      </c>
      <c r="E111" s="707" t="s">
        <v>5370</v>
      </c>
      <c r="F111" s="758" t="s">
        <v>5371</v>
      </c>
      <c r="G111" s="758" t="s">
        <v>5372</v>
      </c>
      <c r="H111" s="758" t="s">
        <v>5373</v>
      </c>
      <c r="I111" s="758" t="s">
        <v>5374</v>
      </c>
      <c r="J111" s="757" t="s">
        <v>5375</v>
      </c>
      <c r="K111" s="712" t="s">
        <v>5376</v>
      </c>
      <c r="L111" s="756" t="s">
        <v>5377</v>
      </c>
      <c r="M111" s="755" t="s">
        <v>5378</v>
      </c>
      <c r="N111" s="1123"/>
      <c r="CH111" s="1443"/>
      <c r="CI111" s="1443"/>
      <c r="CJ111" s="1443"/>
      <c r="CK111" s="1443"/>
      <c r="CL111" s="1443"/>
      <c r="CM111" s="1443"/>
      <c r="CN111" s="1443"/>
      <c r="CO111" s="1443"/>
      <c r="CP111" s="1443"/>
    </row>
    <row r="112" spans="1:94" ht="19.5" customHeight="1" x14ac:dyDescent="0.3">
      <c r="A112" s="7258">
        <v>19140201</v>
      </c>
      <c r="B112" s="10136" t="s">
        <v>1223</v>
      </c>
      <c r="C112" s="1102" t="s">
        <v>122</v>
      </c>
      <c r="D112" s="748" t="s">
        <v>5369</v>
      </c>
      <c r="E112" s="695" t="s">
        <v>5370</v>
      </c>
      <c r="F112" s="714" t="s">
        <v>5371</v>
      </c>
      <c r="G112" s="714" t="s">
        <v>5372</v>
      </c>
      <c r="H112" s="714" t="s">
        <v>5373</v>
      </c>
      <c r="I112" s="714" t="s">
        <v>5374</v>
      </c>
      <c r="J112" s="754" t="s">
        <v>5375</v>
      </c>
      <c r="K112" s="700" t="s">
        <v>5376</v>
      </c>
      <c r="L112" s="729" t="s">
        <v>5377</v>
      </c>
      <c r="M112" s="694" t="s">
        <v>5378</v>
      </c>
      <c r="N112" s="1123"/>
      <c r="CH112" s="1443"/>
      <c r="CI112" s="1443"/>
      <c r="CJ112" s="1443"/>
      <c r="CK112" s="1443"/>
      <c r="CL112" s="1443"/>
      <c r="CM112" s="1443"/>
      <c r="CN112" s="1443"/>
      <c r="CO112" s="1443"/>
      <c r="CP112" s="1443"/>
    </row>
    <row r="113" spans="1:94" ht="19.5" customHeight="1" x14ac:dyDescent="0.3">
      <c r="A113" s="7258">
        <v>19170800</v>
      </c>
      <c r="B113" s="10136"/>
      <c r="C113" s="2071" t="s">
        <v>1207</v>
      </c>
      <c r="D113" s="87" t="s">
        <v>5369</v>
      </c>
      <c r="E113" s="177" t="s">
        <v>5370</v>
      </c>
      <c r="F113" s="752" t="s">
        <v>5371</v>
      </c>
      <c r="G113" s="752" t="s">
        <v>5372</v>
      </c>
      <c r="H113" s="752" t="s">
        <v>5373</v>
      </c>
      <c r="I113" s="752" t="s">
        <v>5374</v>
      </c>
      <c r="J113" s="753" t="s">
        <v>5375</v>
      </c>
      <c r="K113" s="713" t="s">
        <v>5376</v>
      </c>
      <c r="L113" s="178" t="s">
        <v>5377</v>
      </c>
      <c r="M113" s="202" t="s">
        <v>5378</v>
      </c>
      <c r="N113" s="1123"/>
      <c r="CH113" s="1443"/>
      <c r="CI113" s="1443"/>
      <c r="CJ113" s="1443"/>
      <c r="CK113" s="1443"/>
      <c r="CL113" s="1443"/>
      <c r="CM113" s="1443"/>
      <c r="CN113" s="1443"/>
      <c r="CO113" s="1443"/>
      <c r="CP113" s="1443"/>
    </row>
    <row r="114" spans="1:94" ht="19.5" customHeight="1" x14ac:dyDescent="0.3">
      <c r="A114" s="7258">
        <v>19140202</v>
      </c>
      <c r="B114" s="10136"/>
      <c r="C114" s="2071" t="s">
        <v>1206</v>
      </c>
      <c r="D114" s="109" t="s">
        <v>5369</v>
      </c>
      <c r="E114" s="110" t="s">
        <v>5370</v>
      </c>
      <c r="F114" s="111" t="s">
        <v>5371</v>
      </c>
      <c r="G114" s="111" t="s">
        <v>5372</v>
      </c>
      <c r="H114" s="111" t="s">
        <v>5373</v>
      </c>
      <c r="I114" s="111" t="s">
        <v>5374</v>
      </c>
      <c r="J114" s="168" t="s">
        <v>5375</v>
      </c>
      <c r="K114" s="197" t="s">
        <v>5376</v>
      </c>
      <c r="L114" s="136" t="s">
        <v>5377</v>
      </c>
      <c r="M114" s="123" t="s">
        <v>5378</v>
      </c>
      <c r="N114" s="1123"/>
      <c r="CH114" s="1443"/>
      <c r="CI114" s="1443"/>
      <c r="CJ114" s="1443"/>
      <c r="CK114" s="1443"/>
      <c r="CL114" s="1443"/>
      <c r="CM114" s="1443"/>
      <c r="CN114" s="1443"/>
      <c r="CO114" s="1443"/>
      <c r="CP114" s="1443"/>
    </row>
    <row r="115" spans="1:94" ht="19.5" customHeight="1" x14ac:dyDescent="0.3">
      <c r="A115" s="7258">
        <v>19140203</v>
      </c>
      <c r="B115" s="10136"/>
      <c r="C115" s="1328" t="s">
        <v>1220</v>
      </c>
      <c r="D115" s="81" t="s">
        <v>5369</v>
      </c>
      <c r="E115" s="125" t="s">
        <v>5370</v>
      </c>
      <c r="F115" s="83" t="s">
        <v>5371</v>
      </c>
      <c r="G115" s="83" t="s">
        <v>5372</v>
      </c>
      <c r="H115" s="83" t="s">
        <v>5373</v>
      </c>
      <c r="I115" s="83" t="s">
        <v>5374</v>
      </c>
      <c r="J115" s="175" t="s">
        <v>5375</v>
      </c>
      <c r="K115" s="198" t="s">
        <v>5376</v>
      </c>
      <c r="L115" s="102" t="s">
        <v>5377</v>
      </c>
      <c r="M115" s="86" t="s">
        <v>5378</v>
      </c>
      <c r="N115" s="1123"/>
      <c r="CH115" s="1443"/>
      <c r="CI115" s="1443"/>
      <c r="CJ115" s="1443"/>
      <c r="CK115" s="1443"/>
      <c r="CL115" s="1443"/>
      <c r="CM115" s="1443"/>
      <c r="CN115" s="1443"/>
      <c r="CO115" s="1443"/>
      <c r="CP115" s="1443"/>
    </row>
    <row r="116" spans="1:94" ht="19.5" customHeight="1" x14ac:dyDescent="0.3">
      <c r="A116" s="7258">
        <v>19140301</v>
      </c>
      <c r="B116" s="10136" t="s">
        <v>1222</v>
      </c>
      <c r="C116" s="1102" t="s">
        <v>122</v>
      </c>
      <c r="D116" s="748" t="s">
        <v>5369</v>
      </c>
      <c r="E116" s="695" t="s">
        <v>5370</v>
      </c>
      <c r="F116" s="714" t="s">
        <v>5371</v>
      </c>
      <c r="G116" s="714" t="s">
        <v>5372</v>
      </c>
      <c r="H116" s="714" t="s">
        <v>5373</v>
      </c>
      <c r="I116" s="714" t="s">
        <v>5374</v>
      </c>
      <c r="J116" s="754" t="s">
        <v>5375</v>
      </c>
      <c r="K116" s="700" t="s">
        <v>5376</v>
      </c>
      <c r="L116" s="729" t="s">
        <v>5377</v>
      </c>
      <c r="M116" s="694" t="s">
        <v>5378</v>
      </c>
      <c r="N116" s="1123"/>
      <c r="CH116" s="1443"/>
      <c r="CI116" s="1443"/>
      <c r="CJ116" s="1443"/>
      <c r="CK116" s="1443"/>
      <c r="CL116" s="1443"/>
      <c r="CM116" s="1443"/>
      <c r="CN116" s="1443"/>
      <c r="CO116" s="1443"/>
      <c r="CP116" s="1443"/>
    </row>
    <row r="117" spans="1:94" ht="19.5" customHeight="1" x14ac:dyDescent="0.3">
      <c r="A117" s="7258">
        <v>19170900</v>
      </c>
      <c r="B117" s="10136"/>
      <c r="C117" s="2071" t="s">
        <v>1207</v>
      </c>
      <c r="D117" s="87" t="s">
        <v>5369</v>
      </c>
      <c r="E117" s="177" t="s">
        <v>5370</v>
      </c>
      <c r="F117" s="752" t="s">
        <v>5371</v>
      </c>
      <c r="G117" s="752" t="s">
        <v>5372</v>
      </c>
      <c r="H117" s="752" t="s">
        <v>5373</v>
      </c>
      <c r="I117" s="752" t="s">
        <v>5374</v>
      </c>
      <c r="J117" s="753" t="s">
        <v>5375</v>
      </c>
      <c r="K117" s="713" t="s">
        <v>5376</v>
      </c>
      <c r="L117" s="178" t="s">
        <v>5377</v>
      </c>
      <c r="M117" s="202" t="s">
        <v>5378</v>
      </c>
      <c r="N117" s="1123"/>
      <c r="CH117" s="1443"/>
      <c r="CI117" s="1443"/>
      <c r="CJ117" s="1443"/>
      <c r="CK117" s="1443"/>
      <c r="CL117" s="1443"/>
      <c r="CM117" s="1443"/>
      <c r="CN117" s="1443"/>
      <c r="CO117" s="1443"/>
      <c r="CP117" s="1443"/>
    </row>
    <row r="118" spans="1:94" ht="19.5" customHeight="1" x14ac:dyDescent="0.3">
      <c r="A118" s="7258">
        <v>19140302</v>
      </c>
      <c r="B118" s="10136"/>
      <c r="C118" s="2071" t="s">
        <v>1206</v>
      </c>
      <c r="D118" s="109" t="s">
        <v>5369</v>
      </c>
      <c r="E118" s="110" t="s">
        <v>5370</v>
      </c>
      <c r="F118" s="111" t="s">
        <v>5371</v>
      </c>
      <c r="G118" s="111" t="s">
        <v>5372</v>
      </c>
      <c r="H118" s="111" t="s">
        <v>5373</v>
      </c>
      <c r="I118" s="111" t="s">
        <v>5374</v>
      </c>
      <c r="J118" s="168" t="s">
        <v>5375</v>
      </c>
      <c r="K118" s="197" t="s">
        <v>5376</v>
      </c>
      <c r="L118" s="136" t="s">
        <v>5377</v>
      </c>
      <c r="M118" s="123" t="s">
        <v>5378</v>
      </c>
      <c r="N118" s="1123"/>
      <c r="CH118" s="1443"/>
      <c r="CI118" s="1443"/>
      <c r="CJ118" s="1443"/>
      <c r="CK118" s="1443"/>
      <c r="CL118" s="1443"/>
      <c r="CM118" s="1443"/>
      <c r="CN118" s="1443"/>
      <c r="CO118" s="1443"/>
      <c r="CP118" s="1443"/>
    </row>
    <row r="119" spans="1:94" ht="19.5" customHeight="1" x14ac:dyDescent="0.3">
      <c r="A119" s="7258">
        <v>19140303</v>
      </c>
      <c r="B119" s="10136"/>
      <c r="C119" s="1328" t="s">
        <v>1220</v>
      </c>
      <c r="D119" s="81" t="s">
        <v>5369</v>
      </c>
      <c r="E119" s="125" t="s">
        <v>5370</v>
      </c>
      <c r="F119" s="83" t="s">
        <v>5371</v>
      </c>
      <c r="G119" s="83" t="s">
        <v>5372</v>
      </c>
      <c r="H119" s="83" t="s">
        <v>5373</v>
      </c>
      <c r="I119" s="83" t="s">
        <v>5374</v>
      </c>
      <c r="J119" s="175" t="s">
        <v>5375</v>
      </c>
      <c r="K119" s="198" t="s">
        <v>5376</v>
      </c>
      <c r="L119" s="102" t="s">
        <v>5377</v>
      </c>
      <c r="M119" s="86" t="s">
        <v>5378</v>
      </c>
      <c r="N119" s="1123"/>
      <c r="CH119" s="1443"/>
      <c r="CI119" s="1443"/>
      <c r="CJ119" s="1443"/>
      <c r="CK119" s="1443"/>
      <c r="CL119" s="1443"/>
      <c r="CM119" s="1443"/>
      <c r="CN119" s="1443"/>
      <c r="CO119" s="1443"/>
      <c r="CP119" s="1443"/>
    </row>
    <row r="120" spans="1:94" ht="19.5" customHeight="1" x14ac:dyDescent="0.3">
      <c r="A120" s="7258">
        <v>19140401</v>
      </c>
      <c r="B120" s="10136" t="s">
        <v>1221</v>
      </c>
      <c r="C120" s="1102" t="s">
        <v>122</v>
      </c>
      <c r="D120" s="748" t="s">
        <v>5369</v>
      </c>
      <c r="E120" s="695" t="s">
        <v>5370</v>
      </c>
      <c r="F120" s="714" t="s">
        <v>5371</v>
      </c>
      <c r="G120" s="714" t="s">
        <v>5372</v>
      </c>
      <c r="H120" s="714" t="s">
        <v>5373</v>
      </c>
      <c r="I120" s="714" t="s">
        <v>5374</v>
      </c>
      <c r="J120" s="754" t="s">
        <v>5375</v>
      </c>
      <c r="K120" s="700" t="s">
        <v>5376</v>
      </c>
      <c r="L120" s="729" t="s">
        <v>5377</v>
      </c>
      <c r="M120" s="694" t="s">
        <v>5378</v>
      </c>
      <c r="N120" s="1123"/>
      <c r="CH120" s="1443"/>
      <c r="CI120" s="1443"/>
      <c r="CJ120" s="1443"/>
      <c r="CK120" s="1443"/>
      <c r="CL120" s="1443"/>
      <c r="CM120" s="1443"/>
      <c r="CN120" s="1443"/>
      <c r="CO120" s="1443"/>
      <c r="CP120" s="1443"/>
    </row>
    <row r="121" spans="1:94" ht="19.5" customHeight="1" x14ac:dyDescent="0.3">
      <c r="A121" s="7258">
        <v>19180000</v>
      </c>
      <c r="B121" s="10136"/>
      <c r="C121" s="2071" t="s">
        <v>1207</v>
      </c>
      <c r="D121" s="87" t="s">
        <v>5369</v>
      </c>
      <c r="E121" s="177" t="s">
        <v>5370</v>
      </c>
      <c r="F121" s="752" t="s">
        <v>5371</v>
      </c>
      <c r="G121" s="752" t="s">
        <v>5372</v>
      </c>
      <c r="H121" s="752" t="s">
        <v>5373</v>
      </c>
      <c r="I121" s="752" t="s">
        <v>5374</v>
      </c>
      <c r="J121" s="753" t="s">
        <v>5375</v>
      </c>
      <c r="K121" s="713" t="s">
        <v>5376</v>
      </c>
      <c r="L121" s="178" t="s">
        <v>5377</v>
      </c>
      <c r="M121" s="202" t="s">
        <v>5378</v>
      </c>
      <c r="N121" s="1123"/>
      <c r="CH121" s="1443"/>
      <c r="CI121" s="1443"/>
      <c r="CJ121" s="1443"/>
      <c r="CK121" s="1443"/>
      <c r="CL121" s="1443"/>
      <c r="CM121" s="1443"/>
      <c r="CN121" s="1443"/>
      <c r="CO121" s="1443"/>
      <c r="CP121" s="1443"/>
    </row>
    <row r="122" spans="1:94" ht="19.5" customHeight="1" x14ac:dyDescent="0.3">
      <c r="A122" s="7258">
        <v>19140402</v>
      </c>
      <c r="B122" s="10136"/>
      <c r="C122" s="2071" t="s">
        <v>1206</v>
      </c>
      <c r="D122" s="109" t="s">
        <v>5369</v>
      </c>
      <c r="E122" s="110" t="s">
        <v>5370</v>
      </c>
      <c r="F122" s="111" t="s">
        <v>5371</v>
      </c>
      <c r="G122" s="111" t="s">
        <v>5372</v>
      </c>
      <c r="H122" s="111" t="s">
        <v>5373</v>
      </c>
      <c r="I122" s="111" t="s">
        <v>5374</v>
      </c>
      <c r="J122" s="168" t="s">
        <v>5375</v>
      </c>
      <c r="K122" s="197" t="s">
        <v>5376</v>
      </c>
      <c r="L122" s="136" t="s">
        <v>5377</v>
      </c>
      <c r="M122" s="123" t="s">
        <v>5378</v>
      </c>
      <c r="N122" s="1123"/>
      <c r="CH122" s="1443"/>
      <c r="CI122" s="1443"/>
      <c r="CJ122" s="1443"/>
      <c r="CK122" s="1443"/>
      <c r="CL122" s="1443"/>
      <c r="CM122" s="1443"/>
      <c r="CN122" s="1443"/>
      <c r="CO122" s="1443"/>
      <c r="CP122" s="1443"/>
    </row>
    <row r="123" spans="1:94" ht="19.5" customHeight="1" x14ac:dyDescent="0.3">
      <c r="A123" s="7258">
        <v>19140403</v>
      </c>
      <c r="B123" s="10136"/>
      <c r="C123" s="1328" t="s">
        <v>1220</v>
      </c>
      <c r="D123" s="81" t="s">
        <v>5369</v>
      </c>
      <c r="E123" s="125" t="s">
        <v>5370</v>
      </c>
      <c r="F123" s="83" t="s">
        <v>5371</v>
      </c>
      <c r="G123" s="83" t="s">
        <v>5372</v>
      </c>
      <c r="H123" s="83" t="s">
        <v>5373</v>
      </c>
      <c r="I123" s="83" t="s">
        <v>5374</v>
      </c>
      <c r="J123" s="175" t="s">
        <v>5375</v>
      </c>
      <c r="K123" s="198" t="s">
        <v>5376</v>
      </c>
      <c r="L123" s="102" t="s">
        <v>5377</v>
      </c>
      <c r="M123" s="86" t="s">
        <v>5378</v>
      </c>
      <c r="N123" s="1123"/>
      <c r="CH123" s="1443"/>
      <c r="CI123" s="1443"/>
      <c r="CJ123" s="1443"/>
      <c r="CK123" s="1443"/>
      <c r="CL123" s="1443"/>
      <c r="CM123" s="1443"/>
      <c r="CN123" s="1443"/>
      <c r="CO123" s="1443"/>
      <c r="CP123" s="1443"/>
    </row>
    <row r="124" spans="1:94" ht="28.95" customHeight="1" x14ac:dyDescent="0.3">
      <c r="B124" s="751" t="s">
        <v>1219</v>
      </c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CH124" s="1443"/>
      <c r="CI124" s="1443"/>
      <c r="CJ124" s="1443"/>
      <c r="CK124" s="1443"/>
      <c r="CL124" s="1443"/>
      <c r="CM124" s="1443"/>
      <c r="CN124" s="1443"/>
      <c r="CO124" s="1443"/>
      <c r="CP124" s="1443"/>
    </row>
    <row r="125" spans="1:94" ht="42.75" customHeight="1" x14ac:dyDescent="0.3">
      <c r="B125" s="732" t="s">
        <v>1202</v>
      </c>
      <c r="C125" s="2154" t="s">
        <v>1218</v>
      </c>
      <c r="D125" s="730" t="s">
        <v>3805</v>
      </c>
      <c r="E125" s="738" t="s">
        <v>3806</v>
      </c>
      <c r="F125" s="738" t="s">
        <v>3807</v>
      </c>
      <c r="G125" s="738" t="s">
        <v>3808</v>
      </c>
      <c r="H125" s="738" t="s">
        <v>1217</v>
      </c>
      <c r="I125" s="735" t="s">
        <v>1216</v>
      </c>
      <c r="J125" s="750"/>
      <c r="K125" s="749"/>
      <c r="L125" s="749"/>
      <c r="M125" s="749"/>
      <c r="CH125" s="1443"/>
      <c r="CI125" s="1443"/>
      <c r="CJ125" s="1443"/>
      <c r="CK125" s="1443"/>
      <c r="CL125" s="1443"/>
      <c r="CM125" s="1443"/>
      <c r="CN125" s="1443"/>
      <c r="CO125" s="1443"/>
      <c r="CP125" s="1443"/>
    </row>
    <row r="126" spans="1:94" ht="21.75" customHeight="1" x14ac:dyDescent="0.3">
      <c r="A126" s="7258">
        <v>19140501</v>
      </c>
      <c r="B126" s="1102" t="s">
        <v>123</v>
      </c>
      <c r="C126" s="747" t="s">
        <v>5369</v>
      </c>
      <c r="D126" s="695" t="s">
        <v>5370</v>
      </c>
      <c r="E126" s="747" t="s">
        <v>5371</v>
      </c>
      <c r="F126" s="747" t="s">
        <v>5372</v>
      </c>
      <c r="G126" s="747" t="s">
        <v>5373</v>
      </c>
      <c r="H126" s="747" t="s">
        <v>5374</v>
      </c>
      <c r="I126" s="746" t="s">
        <v>5375</v>
      </c>
      <c r="J126" s="105"/>
      <c r="K126" s="140"/>
      <c r="L126" s="140"/>
      <c r="M126" s="140"/>
      <c r="CH126" s="1443"/>
      <c r="CI126" s="1443"/>
      <c r="CJ126" s="1443"/>
      <c r="CK126" s="1443"/>
      <c r="CL126" s="1443"/>
      <c r="CM126" s="1443"/>
      <c r="CN126" s="1443"/>
      <c r="CO126" s="1443"/>
      <c r="CP126" s="1443"/>
    </row>
    <row r="127" spans="1:94" ht="21.75" customHeight="1" x14ac:dyDescent="0.3">
      <c r="A127" s="7258">
        <v>19180100</v>
      </c>
      <c r="B127" s="2071" t="s">
        <v>1207</v>
      </c>
      <c r="C127" s="752" t="s">
        <v>5369</v>
      </c>
      <c r="D127" s="177" t="s">
        <v>5370</v>
      </c>
      <c r="E127" s="752" t="s">
        <v>5371</v>
      </c>
      <c r="F127" s="752" t="s">
        <v>5372</v>
      </c>
      <c r="G127" s="752" t="s">
        <v>5373</v>
      </c>
      <c r="H127" s="752" t="s">
        <v>5374</v>
      </c>
      <c r="I127" s="705" t="s">
        <v>5375</v>
      </c>
      <c r="J127" s="105"/>
      <c r="K127" s="140"/>
      <c r="L127" s="140"/>
      <c r="M127" s="140"/>
      <c r="CH127" s="1443"/>
      <c r="CI127" s="1443"/>
      <c r="CJ127" s="1443"/>
      <c r="CK127" s="1443"/>
      <c r="CL127" s="1443"/>
      <c r="CM127" s="1443"/>
      <c r="CN127" s="1443"/>
      <c r="CO127" s="1443"/>
      <c r="CP127" s="1443"/>
    </row>
    <row r="128" spans="1:94" ht="21.75" customHeight="1" x14ac:dyDescent="0.3">
      <c r="A128" s="7258">
        <v>19140502</v>
      </c>
      <c r="B128" s="2071" t="s">
        <v>1206</v>
      </c>
      <c r="C128" s="111" t="s">
        <v>5369</v>
      </c>
      <c r="D128" s="110" t="s">
        <v>5370</v>
      </c>
      <c r="E128" s="111" t="s">
        <v>5371</v>
      </c>
      <c r="F128" s="111" t="s">
        <v>5372</v>
      </c>
      <c r="G128" s="111" t="s">
        <v>5373</v>
      </c>
      <c r="H128" s="111" t="s">
        <v>5374</v>
      </c>
      <c r="I128" s="122" t="s">
        <v>5375</v>
      </c>
      <c r="J128" s="105"/>
      <c r="K128" s="140"/>
      <c r="L128" s="140"/>
      <c r="M128" s="140"/>
      <c r="CH128" s="1443"/>
      <c r="CI128" s="1443"/>
      <c r="CJ128" s="1443"/>
      <c r="CK128" s="1443"/>
      <c r="CL128" s="1443"/>
      <c r="CM128" s="1443"/>
      <c r="CN128" s="1443"/>
      <c r="CO128" s="1443"/>
      <c r="CP128" s="1443"/>
    </row>
    <row r="129" spans="1:94" ht="21.75" customHeight="1" x14ac:dyDescent="0.3">
      <c r="A129" s="7258">
        <v>19140503</v>
      </c>
      <c r="B129" s="1328" t="s">
        <v>1199</v>
      </c>
      <c r="C129" s="83" t="s">
        <v>5369</v>
      </c>
      <c r="D129" s="125" t="s">
        <v>5370</v>
      </c>
      <c r="E129" s="83" t="s">
        <v>5371</v>
      </c>
      <c r="F129" s="83" t="s">
        <v>5372</v>
      </c>
      <c r="G129" s="83" t="s">
        <v>5373</v>
      </c>
      <c r="H129" s="83" t="s">
        <v>5374</v>
      </c>
      <c r="I129" s="101" t="s">
        <v>5375</v>
      </c>
      <c r="J129" s="105"/>
      <c r="K129" s="140"/>
      <c r="L129" s="140"/>
      <c r="M129" s="140"/>
      <c r="CH129" s="1443"/>
      <c r="CI129" s="1443"/>
      <c r="CJ129" s="1443"/>
      <c r="CK129" s="1443"/>
      <c r="CL129" s="1443"/>
      <c r="CM129" s="1443"/>
      <c r="CN129" s="1443"/>
      <c r="CO129" s="1443"/>
      <c r="CP129" s="1443"/>
    </row>
    <row r="130" spans="1:94" ht="22.2" customHeight="1" x14ac:dyDescent="0.3">
      <c r="B130" s="751" t="s">
        <v>1215</v>
      </c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CH130" s="1443"/>
      <c r="CI130" s="1443"/>
      <c r="CJ130" s="1443"/>
      <c r="CK130" s="1443"/>
      <c r="CL130" s="1443"/>
      <c r="CM130" s="1443"/>
      <c r="CN130" s="1443"/>
      <c r="CO130" s="1443"/>
      <c r="CP130" s="1443"/>
    </row>
    <row r="131" spans="1:94" ht="50.25" customHeight="1" x14ac:dyDescent="0.3">
      <c r="B131" s="732" t="s">
        <v>1202</v>
      </c>
      <c r="C131" s="2154" t="s">
        <v>1214</v>
      </c>
      <c r="D131" s="730" t="s">
        <v>1213</v>
      </c>
      <c r="E131" s="738" t="s">
        <v>1212</v>
      </c>
      <c r="F131" s="738" t="s">
        <v>1211</v>
      </c>
      <c r="G131" s="738" t="s">
        <v>1210</v>
      </c>
      <c r="H131" s="738" t="s">
        <v>1209</v>
      </c>
      <c r="I131" s="735" t="s">
        <v>1208</v>
      </c>
      <c r="J131" s="750"/>
      <c r="K131" s="749"/>
      <c r="L131" s="749"/>
      <c r="M131" s="749"/>
      <c r="CH131" s="1443"/>
      <c r="CI131" s="1443"/>
      <c r="CJ131" s="1443"/>
      <c r="CK131" s="1443"/>
      <c r="CL131" s="1443"/>
      <c r="CM131" s="1443"/>
      <c r="CN131" s="1443"/>
      <c r="CO131" s="1443"/>
      <c r="CP131" s="1443"/>
    </row>
    <row r="132" spans="1:94" ht="19.5" customHeight="1" x14ac:dyDescent="0.3">
      <c r="A132" s="7258">
        <v>19140601</v>
      </c>
      <c r="B132" s="1102" t="s">
        <v>123</v>
      </c>
      <c r="C132" s="748" t="s">
        <v>5369</v>
      </c>
      <c r="D132" s="695" t="s">
        <v>5370</v>
      </c>
      <c r="E132" s="747" t="s">
        <v>5371</v>
      </c>
      <c r="F132" s="747" t="s">
        <v>5372</v>
      </c>
      <c r="G132" s="747" t="s">
        <v>5373</v>
      </c>
      <c r="H132" s="747" t="s">
        <v>5374</v>
      </c>
      <c r="I132" s="746" t="s">
        <v>5375</v>
      </c>
      <c r="J132" s="105"/>
      <c r="K132" s="140"/>
      <c r="L132" s="140"/>
      <c r="M132" s="140"/>
      <c r="BY132" s="827"/>
      <c r="CB132" s="1123"/>
    </row>
    <row r="133" spans="1:94" ht="19.5" customHeight="1" x14ac:dyDescent="0.3">
      <c r="A133" s="7258">
        <v>19180200</v>
      </c>
      <c r="B133" s="2071" t="s">
        <v>1207</v>
      </c>
      <c r="C133" s="109" t="s">
        <v>5369</v>
      </c>
      <c r="D133" s="110" t="s">
        <v>5370</v>
      </c>
      <c r="E133" s="111" t="s">
        <v>5371</v>
      </c>
      <c r="F133" s="111" t="s">
        <v>5372</v>
      </c>
      <c r="G133" s="111" t="s">
        <v>5373</v>
      </c>
      <c r="H133" s="111" t="s">
        <v>5374</v>
      </c>
      <c r="I133" s="122" t="s">
        <v>5375</v>
      </c>
      <c r="J133" s="105"/>
      <c r="K133" s="140"/>
      <c r="L133" s="140"/>
      <c r="M133" s="140"/>
      <c r="BY133" s="827"/>
      <c r="CB133" s="1123"/>
    </row>
    <row r="134" spans="1:94" ht="19.5" customHeight="1" x14ac:dyDescent="0.3">
      <c r="A134" s="7258">
        <v>19140602</v>
      </c>
      <c r="B134" s="2071" t="s">
        <v>1206</v>
      </c>
      <c r="C134" s="109" t="s">
        <v>5369</v>
      </c>
      <c r="D134" s="110" t="s">
        <v>5370</v>
      </c>
      <c r="E134" s="111" t="s">
        <v>5371</v>
      </c>
      <c r="F134" s="111" t="s">
        <v>5372</v>
      </c>
      <c r="G134" s="111" t="s">
        <v>5373</v>
      </c>
      <c r="H134" s="111" t="s">
        <v>5374</v>
      </c>
      <c r="I134" s="122" t="s">
        <v>5375</v>
      </c>
      <c r="J134" s="105"/>
      <c r="K134" s="140"/>
      <c r="L134" s="140"/>
      <c r="M134" s="140"/>
      <c r="BY134" s="827"/>
      <c r="CB134" s="1123"/>
    </row>
    <row r="135" spans="1:94" ht="19.5" customHeight="1" x14ac:dyDescent="0.3">
      <c r="A135" s="7258">
        <v>19140603</v>
      </c>
      <c r="B135" s="2091" t="s">
        <v>1205</v>
      </c>
      <c r="C135" s="109" t="s">
        <v>5369</v>
      </c>
      <c r="D135" s="110" t="s">
        <v>5370</v>
      </c>
      <c r="E135" s="111" t="s">
        <v>5371</v>
      </c>
      <c r="F135" s="111" t="s">
        <v>5372</v>
      </c>
      <c r="G135" s="111" t="s">
        <v>5373</v>
      </c>
      <c r="H135" s="111" t="s">
        <v>5374</v>
      </c>
      <c r="I135" s="122" t="s">
        <v>5375</v>
      </c>
      <c r="J135" s="105"/>
      <c r="K135" s="140"/>
      <c r="L135" s="140"/>
      <c r="M135" s="140"/>
      <c r="BY135" s="827"/>
      <c r="CB135" s="1123"/>
    </row>
    <row r="136" spans="1:94" ht="19.5" customHeight="1" x14ac:dyDescent="0.3">
      <c r="A136" s="7258">
        <v>19182060</v>
      </c>
      <c r="B136" s="2078" t="s">
        <v>1204</v>
      </c>
      <c r="C136" s="92" t="s">
        <v>5369</v>
      </c>
      <c r="D136" s="137" t="s">
        <v>5370</v>
      </c>
      <c r="E136" s="115" t="s">
        <v>5371</v>
      </c>
      <c r="F136" s="115" t="s">
        <v>5372</v>
      </c>
      <c r="G136" s="115" t="s">
        <v>5373</v>
      </c>
      <c r="H136" s="115" t="s">
        <v>5374</v>
      </c>
      <c r="I136" s="138" t="s">
        <v>5375</v>
      </c>
      <c r="J136" s="105"/>
      <c r="K136" s="140"/>
      <c r="L136" s="140"/>
      <c r="M136" s="140"/>
    </row>
    <row r="137" spans="1:94" ht="19.5" customHeight="1" x14ac:dyDescent="0.3">
      <c r="A137" s="7258">
        <v>19140610</v>
      </c>
      <c r="B137" s="81" t="s">
        <v>70</v>
      </c>
      <c r="C137" s="81" t="s">
        <v>5369</v>
      </c>
      <c r="D137" s="125" t="s">
        <v>5370</v>
      </c>
      <c r="E137" s="83" t="s">
        <v>5371</v>
      </c>
      <c r="F137" s="83" t="s">
        <v>5372</v>
      </c>
      <c r="G137" s="83" t="s">
        <v>5373</v>
      </c>
      <c r="H137" s="83" t="s">
        <v>5374</v>
      </c>
      <c r="I137" s="101" t="s">
        <v>5375</v>
      </c>
      <c r="J137" s="105"/>
      <c r="K137" s="140"/>
      <c r="L137" s="140"/>
      <c r="M137" s="140"/>
    </row>
    <row r="138" spans="1:94" ht="21.75" customHeight="1" x14ac:dyDescent="0.3">
      <c r="B138" s="751" t="s">
        <v>1203</v>
      </c>
      <c r="C138" s="140"/>
      <c r="D138" s="140"/>
      <c r="E138" s="140"/>
      <c r="F138" s="140"/>
      <c r="G138" s="140"/>
      <c r="H138" s="140"/>
      <c r="I138" s="140"/>
    </row>
    <row r="139" spans="1:94" ht="76.5" customHeight="1" x14ac:dyDescent="0.3">
      <c r="B139" s="732" t="s">
        <v>1202</v>
      </c>
      <c r="C139" s="1994" t="s">
        <v>1201</v>
      </c>
      <c r="D139" s="1491" t="s">
        <v>2636</v>
      </c>
      <c r="E139" s="1491" t="s">
        <v>3797</v>
      </c>
      <c r="F139" s="738" t="s">
        <v>3796</v>
      </c>
      <c r="G139" s="738" t="s">
        <v>3798</v>
      </c>
      <c r="H139" s="738" t="s">
        <v>3799</v>
      </c>
      <c r="I139" s="738" t="s">
        <v>3800</v>
      </c>
      <c r="J139" s="738" t="s">
        <v>3801</v>
      </c>
      <c r="K139" s="2155" t="s">
        <v>3802</v>
      </c>
    </row>
    <row r="140" spans="1:94" ht="18" customHeight="1" x14ac:dyDescent="0.3">
      <c r="A140" s="7258">
        <v>19190104</v>
      </c>
      <c r="B140" s="1102" t="s">
        <v>1200</v>
      </c>
      <c r="C140" s="2001" t="s">
        <v>5369</v>
      </c>
      <c r="D140" s="729" t="s">
        <v>5370</v>
      </c>
      <c r="E140" s="729" t="s">
        <v>5371</v>
      </c>
      <c r="F140" s="747" t="s">
        <v>5372</v>
      </c>
      <c r="G140" s="747" t="s">
        <v>5373</v>
      </c>
      <c r="H140" s="747" t="s">
        <v>5374</v>
      </c>
      <c r="I140" s="747" t="s">
        <v>5375</v>
      </c>
      <c r="J140" s="747" t="s">
        <v>5376</v>
      </c>
      <c r="K140" s="1492" t="s">
        <v>5377</v>
      </c>
    </row>
    <row r="141" spans="1:94" ht="18" customHeight="1" x14ac:dyDescent="0.3">
      <c r="A141" s="7258">
        <v>19190105</v>
      </c>
      <c r="B141" s="2071" t="s">
        <v>1199</v>
      </c>
      <c r="C141" s="2002" t="s">
        <v>5369</v>
      </c>
      <c r="D141" s="136" t="s">
        <v>5370</v>
      </c>
      <c r="E141" s="136" t="s">
        <v>5371</v>
      </c>
      <c r="F141" s="111" t="s">
        <v>5372</v>
      </c>
      <c r="G141" s="111" t="s">
        <v>5373</v>
      </c>
      <c r="H141" s="111" t="s">
        <v>5374</v>
      </c>
      <c r="I141" s="111" t="s">
        <v>5375</v>
      </c>
      <c r="J141" s="111" t="s">
        <v>5376</v>
      </c>
      <c r="K141" s="144" t="s">
        <v>5377</v>
      </c>
    </row>
    <row r="142" spans="1:94" ht="18" customHeight="1" x14ac:dyDescent="0.3">
      <c r="A142" s="7258">
        <v>19190106</v>
      </c>
      <c r="B142" s="146" t="s">
        <v>1198</v>
      </c>
      <c r="C142" s="1952" t="s">
        <v>5369</v>
      </c>
      <c r="D142" s="102" t="s">
        <v>5370</v>
      </c>
      <c r="E142" s="102" t="s">
        <v>5371</v>
      </c>
      <c r="F142" s="83" t="s">
        <v>5372</v>
      </c>
      <c r="G142" s="83" t="s">
        <v>5373</v>
      </c>
      <c r="H142" s="83" t="s">
        <v>5374</v>
      </c>
      <c r="I142" s="83" t="s">
        <v>5375</v>
      </c>
      <c r="J142" s="83" t="s">
        <v>5376</v>
      </c>
      <c r="K142" s="127" t="s">
        <v>5377</v>
      </c>
    </row>
    <row r="143" spans="1:94" ht="24.6" customHeight="1" x14ac:dyDescent="0.3">
      <c r="B143" s="7270" t="s">
        <v>5491</v>
      </c>
      <c r="C143" s="2384"/>
      <c r="D143" s="2391"/>
      <c r="E143" s="2391"/>
      <c r="F143" s="2391"/>
      <c r="G143" s="2385"/>
      <c r="H143" s="2385"/>
      <c r="I143" s="2385"/>
      <c r="J143" s="2385"/>
      <c r="K143" s="2385"/>
      <c r="L143" s="2385"/>
      <c r="M143" s="2385"/>
    </row>
    <row r="144" spans="1:94" x14ac:dyDescent="0.3">
      <c r="B144" s="9292" t="s">
        <v>1236</v>
      </c>
      <c r="C144" s="9292" t="s">
        <v>1235</v>
      </c>
      <c r="D144" s="9292" t="s">
        <v>1214</v>
      </c>
      <c r="E144" s="9307" t="s">
        <v>1234</v>
      </c>
      <c r="F144" s="9308"/>
      <c r="G144" s="9308"/>
      <c r="H144" s="9308"/>
      <c r="I144" s="9308"/>
      <c r="J144" s="9308"/>
      <c r="K144" s="9309"/>
      <c r="L144" s="9303" t="s">
        <v>1233</v>
      </c>
      <c r="M144" s="9303" t="s">
        <v>1232</v>
      </c>
    </row>
    <row r="145" spans="1:13" ht="53.25" customHeight="1" x14ac:dyDescent="0.3">
      <c r="B145" s="9292"/>
      <c r="C145" s="9292"/>
      <c r="D145" s="9292"/>
      <c r="E145" s="8017" t="s">
        <v>1231</v>
      </c>
      <c r="F145" s="8158" t="s">
        <v>1230</v>
      </c>
      <c r="G145" s="8158" t="s">
        <v>1229</v>
      </c>
      <c r="H145" s="8158" t="s">
        <v>1228</v>
      </c>
      <c r="I145" s="8158" t="s">
        <v>1227</v>
      </c>
      <c r="J145" s="8159" t="s">
        <v>1226</v>
      </c>
      <c r="K145" s="8160" t="s">
        <v>1225</v>
      </c>
      <c r="L145" s="9306"/>
      <c r="M145" s="9306"/>
    </row>
    <row r="146" spans="1:13" x14ac:dyDescent="0.3">
      <c r="A146" s="7294" t="s">
        <v>5011</v>
      </c>
      <c r="B146" s="9292" t="s">
        <v>1224</v>
      </c>
      <c r="C146" s="8161" t="s">
        <v>122</v>
      </c>
      <c r="D146" s="8162" t="s">
        <v>5369</v>
      </c>
      <c r="E146" s="8163" t="s">
        <v>5370</v>
      </c>
      <c r="F146" s="8164" t="s">
        <v>5371</v>
      </c>
      <c r="G146" s="8164" t="s">
        <v>5372</v>
      </c>
      <c r="H146" s="8164" t="s">
        <v>5373</v>
      </c>
      <c r="I146" s="8164" t="s">
        <v>5374</v>
      </c>
      <c r="J146" s="8165" t="s">
        <v>5375</v>
      </c>
      <c r="K146" s="8166" t="s">
        <v>5376</v>
      </c>
      <c r="L146" s="8167" t="s">
        <v>5377</v>
      </c>
      <c r="M146" s="8168" t="s">
        <v>5378</v>
      </c>
    </row>
    <row r="147" spans="1:13" x14ac:dyDescent="0.3">
      <c r="A147" s="7294" t="s">
        <v>5012</v>
      </c>
      <c r="B147" s="9292"/>
      <c r="C147" s="7637" t="s">
        <v>1207</v>
      </c>
      <c r="D147" s="8169" t="s">
        <v>5369</v>
      </c>
      <c r="E147" s="8170" t="s">
        <v>5370</v>
      </c>
      <c r="F147" s="8171" t="s">
        <v>5371</v>
      </c>
      <c r="G147" s="8171" t="s">
        <v>5372</v>
      </c>
      <c r="H147" s="8171" t="s">
        <v>5373</v>
      </c>
      <c r="I147" s="8171" t="s">
        <v>5374</v>
      </c>
      <c r="J147" s="8172" t="s">
        <v>5375</v>
      </c>
      <c r="K147" s="8173" t="s">
        <v>5376</v>
      </c>
      <c r="L147" s="8174" t="s">
        <v>5377</v>
      </c>
      <c r="M147" s="7463" t="s">
        <v>5378</v>
      </c>
    </row>
    <row r="148" spans="1:13" x14ac:dyDescent="0.3">
      <c r="A148" s="7294" t="s">
        <v>5013</v>
      </c>
      <c r="B148" s="9292"/>
      <c r="C148" s="7637" t="s">
        <v>1206</v>
      </c>
      <c r="D148" s="8169" t="s">
        <v>5369</v>
      </c>
      <c r="E148" s="8170" t="s">
        <v>5370</v>
      </c>
      <c r="F148" s="8171" t="s">
        <v>5371</v>
      </c>
      <c r="G148" s="8171" t="s">
        <v>5372</v>
      </c>
      <c r="H148" s="8171" t="s">
        <v>5373</v>
      </c>
      <c r="I148" s="8171" t="s">
        <v>5374</v>
      </c>
      <c r="J148" s="8172" t="s">
        <v>5375</v>
      </c>
      <c r="K148" s="8173" t="s">
        <v>5376</v>
      </c>
      <c r="L148" s="8174" t="s">
        <v>5377</v>
      </c>
      <c r="M148" s="7463" t="s">
        <v>5378</v>
      </c>
    </row>
    <row r="149" spans="1:13" x14ac:dyDescent="0.3">
      <c r="A149" s="7294" t="s">
        <v>5014</v>
      </c>
      <c r="B149" s="9292"/>
      <c r="C149" s="7489" t="s">
        <v>1220</v>
      </c>
      <c r="D149" s="8175" t="s">
        <v>5369</v>
      </c>
      <c r="E149" s="7395" t="s">
        <v>5370</v>
      </c>
      <c r="F149" s="8176" t="s">
        <v>5371</v>
      </c>
      <c r="G149" s="8176" t="s">
        <v>5372</v>
      </c>
      <c r="H149" s="8176" t="s">
        <v>5373</v>
      </c>
      <c r="I149" s="8176" t="s">
        <v>5374</v>
      </c>
      <c r="J149" s="8177" t="s">
        <v>5375</v>
      </c>
      <c r="K149" s="8178" t="s">
        <v>5376</v>
      </c>
      <c r="L149" s="8179" t="s">
        <v>5377</v>
      </c>
      <c r="M149" s="7397" t="s">
        <v>5378</v>
      </c>
    </row>
    <row r="150" spans="1:13" x14ac:dyDescent="0.3">
      <c r="A150" s="7294" t="s">
        <v>5015</v>
      </c>
      <c r="B150" s="9292" t="s">
        <v>1223</v>
      </c>
      <c r="C150" s="8161" t="s">
        <v>122</v>
      </c>
      <c r="D150" s="8180" t="s">
        <v>5369</v>
      </c>
      <c r="E150" s="8181" t="s">
        <v>5370</v>
      </c>
      <c r="F150" s="8182" t="s">
        <v>5371</v>
      </c>
      <c r="G150" s="8182" t="s">
        <v>5372</v>
      </c>
      <c r="H150" s="8182" t="s">
        <v>5373</v>
      </c>
      <c r="I150" s="8182" t="s">
        <v>5374</v>
      </c>
      <c r="J150" s="8183" t="s">
        <v>5375</v>
      </c>
      <c r="K150" s="8184" t="s">
        <v>5376</v>
      </c>
      <c r="L150" s="8185" t="s">
        <v>5377</v>
      </c>
      <c r="M150" s="8186" t="s">
        <v>5378</v>
      </c>
    </row>
    <row r="151" spans="1:13" x14ac:dyDescent="0.3">
      <c r="A151" s="7294" t="s">
        <v>5016</v>
      </c>
      <c r="B151" s="9292"/>
      <c r="C151" s="7637" t="s">
        <v>1207</v>
      </c>
      <c r="D151" s="7363" t="s">
        <v>5369</v>
      </c>
      <c r="E151" s="7558" t="s">
        <v>5370</v>
      </c>
      <c r="F151" s="8187" t="s">
        <v>5371</v>
      </c>
      <c r="G151" s="8187" t="s">
        <v>5372</v>
      </c>
      <c r="H151" s="8187" t="s">
        <v>5373</v>
      </c>
      <c r="I151" s="8187" t="s">
        <v>5374</v>
      </c>
      <c r="J151" s="8188" t="s">
        <v>5375</v>
      </c>
      <c r="K151" s="8189" t="s">
        <v>5376</v>
      </c>
      <c r="L151" s="8190" t="s">
        <v>5377</v>
      </c>
      <c r="M151" s="8191" t="s">
        <v>5378</v>
      </c>
    </row>
    <row r="152" spans="1:13" x14ac:dyDescent="0.3">
      <c r="A152" s="7294" t="s">
        <v>5017</v>
      </c>
      <c r="B152" s="9292"/>
      <c r="C152" s="7637" t="s">
        <v>1206</v>
      </c>
      <c r="D152" s="8169" t="s">
        <v>5369</v>
      </c>
      <c r="E152" s="8170" t="s">
        <v>5370</v>
      </c>
      <c r="F152" s="8171" t="s">
        <v>5371</v>
      </c>
      <c r="G152" s="8171" t="s">
        <v>5372</v>
      </c>
      <c r="H152" s="8171" t="s">
        <v>5373</v>
      </c>
      <c r="I152" s="8171" t="s">
        <v>5374</v>
      </c>
      <c r="J152" s="8172" t="s">
        <v>5375</v>
      </c>
      <c r="K152" s="8173" t="s">
        <v>5376</v>
      </c>
      <c r="L152" s="8174" t="s">
        <v>5377</v>
      </c>
      <c r="M152" s="7463" t="s">
        <v>5378</v>
      </c>
    </row>
    <row r="153" spans="1:13" x14ac:dyDescent="0.3">
      <c r="A153" s="7294" t="s">
        <v>5018</v>
      </c>
      <c r="B153" s="9292"/>
      <c r="C153" s="7489" t="s">
        <v>1220</v>
      </c>
      <c r="D153" s="8175" t="s">
        <v>5369</v>
      </c>
      <c r="E153" s="8192" t="s">
        <v>5370</v>
      </c>
      <c r="F153" s="8193" t="s">
        <v>5371</v>
      </c>
      <c r="G153" s="8193" t="s">
        <v>5372</v>
      </c>
      <c r="H153" s="8193" t="s">
        <v>5373</v>
      </c>
      <c r="I153" s="8193" t="s">
        <v>5374</v>
      </c>
      <c r="J153" s="8194" t="s">
        <v>5375</v>
      </c>
      <c r="K153" s="8195" t="s">
        <v>5376</v>
      </c>
      <c r="L153" s="8196" t="s">
        <v>5377</v>
      </c>
      <c r="M153" s="7378" t="s">
        <v>5378</v>
      </c>
    </row>
    <row r="154" spans="1:13" x14ac:dyDescent="0.3">
      <c r="A154" s="7294" t="s">
        <v>5019</v>
      </c>
      <c r="B154" s="9292" t="s">
        <v>1222</v>
      </c>
      <c r="C154" s="8161" t="s">
        <v>122</v>
      </c>
      <c r="D154" s="8180" t="s">
        <v>5369</v>
      </c>
      <c r="E154" s="8181" t="s">
        <v>5370</v>
      </c>
      <c r="F154" s="8182" t="s">
        <v>5371</v>
      </c>
      <c r="G154" s="8182" t="s">
        <v>5372</v>
      </c>
      <c r="H154" s="8182" t="s">
        <v>5373</v>
      </c>
      <c r="I154" s="8182" t="s">
        <v>5374</v>
      </c>
      <c r="J154" s="8183" t="s">
        <v>5375</v>
      </c>
      <c r="K154" s="8184" t="s">
        <v>5376</v>
      </c>
      <c r="L154" s="8185" t="s">
        <v>5377</v>
      </c>
      <c r="M154" s="8186" t="s">
        <v>5378</v>
      </c>
    </row>
    <row r="155" spans="1:13" x14ac:dyDescent="0.3">
      <c r="A155" s="7294" t="s">
        <v>5020</v>
      </c>
      <c r="B155" s="9292"/>
      <c r="C155" s="7637" t="s">
        <v>1207</v>
      </c>
      <c r="D155" s="7363" t="s">
        <v>5369</v>
      </c>
      <c r="E155" s="7558" t="s">
        <v>5370</v>
      </c>
      <c r="F155" s="8187" t="s">
        <v>5371</v>
      </c>
      <c r="G155" s="8187" t="s">
        <v>5372</v>
      </c>
      <c r="H155" s="8187" t="s">
        <v>5373</v>
      </c>
      <c r="I155" s="8187" t="s">
        <v>5374</v>
      </c>
      <c r="J155" s="8188" t="s">
        <v>5375</v>
      </c>
      <c r="K155" s="8189" t="s">
        <v>5376</v>
      </c>
      <c r="L155" s="8190" t="s">
        <v>5377</v>
      </c>
      <c r="M155" s="8191" t="s">
        <v>5378</v>
      </c>
    </row>
    <row r="156" spans="1:13" x14ac:dyDescent="0.3">
      <c r="A156" s="7294" t="s">
        <v>5021</v>
      </c>
      <c r="B156" s="9292"/>
      <c r="C156" s="7637" t="s">
        <v>1206</v>
      </c>
      <c r="D156" s="8169" t="s">
        <v>5369</v>
      </c>
      <c r="E156" s="8170" t="s">
        <v>5370</v>
      </c>
      <c r="F156" s="8171" t="s">
        <v>5371</v>
      </c>
      <c r="G156" s="8171" t="s">
        <v>5372</v>
      </c>
      <c r="H156" s="8171" t="s">
        <v>5373</v>
      </c>
      <c r="I156" s="8171" t="s">
        <v>5374</v>
      </c>
      <c r="J156" s="8172" t="s">
        <v>5375</v>
      </c>
      <c r="K156" s="8173" t="s">
        <v>5376</v>
      </c>
      <c r="L156" s="8174" t="s">
        <v>5377</v>
      </c>
      <c r="M156" s="7463" t="s">
        <v>5378</v>
      </c>
    </row>
    <row r="157" spans="1:13" x14ac:dyDescent="0.3">
      <c r="A157" s="7294" t="s">
        <v>5022</v>
      </c>
      <c r="B157" s="9292"/>
      <c r="C157" s="7489" t="s">
        <v>1220</v>
      </c>
      <c r="D157" s="8175" t="s">
        <v>5369</v>
      </c>
      <c r="E157" s="8192" t="s">
        <v>5370</v>
      </c>
      <c r="F157" s="8193" t="s">
        <v>5371</v>
      </c>
      <c r="G157" s="8193" t="s">
        <v>5372</v>
      </c>
      <c r="H157" s="8193" t="s">
        <v>5373</v>
      </c>
      <c r="I157" s="8193" t="s">
        <v>5374</v>
      </c>
      <c r="J157" s="8194" t="s">
        <v>5375</v>
      </c>
      <c r="K157" s="8195" t="s">
        <v>5376</v>
      </c>
      <c r="L157" s="8196" t="s">
        <v>5377</v>
      </c>
      <c r="M157" s="7378" t="s">
        <v>5378</v>
      </c>
    </row>
    <row r="158" spans="1:13" x14ac:dyDescent="0.3">
      <c r="A158" s="7294" t="s">
        <v>5023</v>
      </c>
      <c r="B158" s="9292" t="s">
        <v>1221</v>
      </c>
      <c r="C158" s="8161" t="s">
        <v>122</v>
      </c>
      <c r="D158" s="8180" t="s">
        <v>5369</v>
      </c>
      <c r="E158" s="8181" t="s">
        <v>5370</v>
      </c>
      <c r="F158" s="8182" t="s">
        <v>5371</v>
      </c>
      <c r="G158" s="8182" t="s">
        <v>5372</v>
      </c>
      <c r="H158" s="8182" t="s">
        <v>5373</v>
      </c>
      <c r="I158" s="8182" t="s">
        <v>5374</v>
      </c>
      <c r="J158" s="8183" t="s">
        <v>5375</v>
      </c>
      <c r="K158" s="8184" t="s">
        <v>5376</v>
      </c>
      <c r="L158" s="8185" t="s">
        <v>5377</v>
      </c>
      <c r="M158" s="8186" t="s">
        <v>5378</v>
      </c>
    </row>
    <row r="159" spans="1:13" x14ac:dyDescent="0.3">
      <c r="A159" s="7294" t="s">
        <v>5024</v>
      </c>
      <c r="B159" s="9292"/>
      <c r="C159" s="7637" t="s">
        <v>1207</v>
      </c>
      <c r="D159" s="7363" t="s">
        <v>5369</v>
      </c>
      <c r="E159" s="7558" t="s">
        <v>5370</v>
      </c>
      <c r="F159" s="8187" t="s">
        <v>5371</v>
      </c>
      <c r="G159" s="8187" t="s">
        <v>5372</v>
      </c>
      <c r="H159" s="8187" t="s">
        <v>5373</v>
      </c>
      <c r="I159" s="8187" t="s">
        <v>5374</v>
      </c>
      <c r="J159" s="8188" t="s">
        <v>5375</v>
      </c>
      <c r="K159" s="8189" t="s">
        <v>5376</v>
      </c>
      <c r="L159" s="8190" t="s">
        <v>5377</v>
      </c>
      <c r="M159" s="8191" t="s">
        <v>5378</v>
      </c>
    </row>
    <row r="160" spans="1:13" x14ac:dyDescent="0.3">
      <c r="A160" s="7294" t="s">
        <v>5025</v>
      </c>
      <c r="B160" s="9292"/>
      <c r="C160" s="7637" t="s">
        <v>1206</v>
      </c>
      <c r="D160" s="8169" t="s">
        <v>5369</v>
      </c>
      <c r="E160" s="8170" t="s">
        <v>5370</v>
      </c>
      <c r="F160" s="8171" t="s">
        <v>5371</v>
      </c>
      <c r="G160" s="8171" t="s">
        <v>5372</v>
      </c>
      <c r="H160" s="8171" t="s">
        <v>5373</v>
      </c>
      <c r="I160" s="8171" t="s">
        <v>5374</v>
      </c>
      <c r="J160" s="8172" t="s">
        <v>5375</v>
      </c>
      <c r="K160" s="8173" t="s">
        <v>5376</v>
      </c>
      <c r="L160" s="8174" t="s">
        <v>5377</v>
      </c>
      <c r="M160" s="7463" t="s">
        <v>5378</v>
      </c>
    </row>
    <row r="161" spans="1:13" x14ac:dyDescent="0.3">
      <c r="A161" s="7294" t="s">
        <v>5026</v>
      </c>
      <c r="B161" s="9292"/>
      <c r="C161" s="7489" t="s">
        <v>1220</v>
      </c>
      <c r="D161" s="8175" t="s">
        <v>5369</v>
      </c>
      <c r="E161" s="8192" t="s">
        <v>5370</v>
      </c>
      <c r="F161" s="8193" t="s">
        <v>5371</v>
      </c>
      <c r="G161" s="8193" t="s">
        <v>5372</v>
      </c>
      <c r="H161" s="8193" t="s">
        <v>5373</v>
      </c>
      <c r="I161" s="8193" t="s">
        <v>5374</v>
      </c>
      <c r="J161" s="8194" t="s">
        <v>5375</v>
      </c>
      <c r="K161" s="8195" t="s">
        <v>5376</v>
      </c>
      <c r="L161" s="8196" t="s">
        <v>5377</v>
      </c>
      <c r="M161" s="7378" t="s">
        <v>5378</v>
      </c>
    </row>
    <row r="162" spans="1:13" ht="21" customHeight="1" x14ac:dyDescent="0.3">
      <c r="B162" s="7270" t="s">
        <v>5492</v>
      </c>
      <c r="C162" s="8143"/>
      <c r="D162" s="8143"/>
      <c r="E162" s="2384"/>
      <c r="F162" s="190"/>
      <c r="G162" s="947"/>
      <c r="H162" s="946"/>
      <c r="I162" s="190"/>
      <c r="J162" s="947"/>
      <c r="K162" s="946"/>
      <c r="L162" s="190"/>
      <c r="M162"/>
    </row>
    <row r="163" spans="1:13" ht="16.2" x14ac:dyDescent="0.3">
      <c r="B163" s="10162" t="s">
        <v>1236</v>
      </c>
      <c r="C163" s="10162" t="s">
        <v>1554</v>
      </c>
      <c r="D163" s="10164" t="s">
        <v>1553</v>
      </c>
      <c r="E163" s="10160" t="s">
        <v>1552</v>
      </c>
      <c r="F163" s="3107"/>
      <c r="G163" s="3108"/>
      <c r="H163" s="3109"/>
      <c r="I163" s="3109"/>
      <c r="J163" s="190"/>
      <c r="K163" s="190"/>
      <c r="L163" s="190"/>
      <c r="M163" s="190"/>
    </row>
    <row r="164" spans="1:13" ht="16.2" x14ac:dyDescent="0.3">
      <c r="B164" s="10163"/>
      <c r="C164" s="10163"/>
      <c r="D164" s="10165"/>
      <c r="E164" s="10161"/>
      <c r="F164" s="140"/>
      <c r="G164" s="190"/>
      <c r="H164" s="190"/>
      <c r="I164" s="947"/>
      <c r="J164" s="946"/>
      <c r="K164" s="946"/>
      <c r="L164" s="190"/>
      <c r="M164" s="190"/>
    </row>
    <row r="165" spans="1:13" ht="16.2" x14ac:dyDescent="0.3">
      <c r="A165" s="7294" t="s">
        <v>5027</v>
      </c>
      <c r="B165" s="8144" t="s">
        <v>1551</v>
      </c>
      <c r="C165" s="8145" t="s">
        <v>5369</v>
      </c>
      <c r="D165" s="8146" t="s">
        <v>5370</v>
      </c>
      <c r="E165" s="8147" t="s">
        <v>5371</v>
      </c>
      <c r="F165" s="140"/>
      <c r="G165" s="190"/>
      <c r="H165" s="190"/>
      <c r="I165" s="947"/>
      <c r="J165" s="946"/>
      <c r="K165" s="946"/>
      <c r="L165" s="190"/>
      <c r="M165" s="190"/>
    </row>
    <row r="166" spans="1:13" ht="20.399999999999999" x14ac:dyDescent="0.3">
      <c r="A166" s="7294" t="s">
        <v>5028</v>
      </c>
      <c r="B166" s="8148" t="s">
        <v>1550</v>
      </c>
      <c r="C166" s="8149" t="s">
        <v>5369</v>
      </c>
      <c r="D166" s="8150" t="s">
        <v>5370</v>
      </c>
      <c r="E166" s="8151" t="s">
        <v>5371</v>
      </c>
      <c r="F166" s="140"/>
      <c r="G166" s="190"/>
      <c r="H166" s="190"/>
      <c r="I166" s="947"/>
      <c r="J166" s="946"/>
      <c r="K166" s="946"/>
      <c r="L166" s="190"/>
      <c r="M166" s="190"/>
    </row>
    <row r="167" spans="1:13" ht="25.2" customHeight="1" x14ac:dyDescent="0.3">
      <c r="A167" s="7294" t="s">
        <v>5029</v>
      </c>
      <c r="B167" s="8148" t="s">
        <v>1549</v>
      </c>
      <c r="C167" s="8149" t="s">
        <v>5369</v>
      </c>
      <c r="D167" s="8150" t="s">
        <v>5370</v>
      </c>
      <c r="E167" s="8151" t="s">
        <v>5371</v>
      </c>
      <c r="F167" s="140"/>
      <c r="G167" s="190"/>
      <c r="H167" s="190"/>
      <c r="I167" s="947"/>
      <c r="J167" s="946"/>
      <c r="K167" s="946"/>
      <c r="L167" s="190"/>
      <c r="M167" s="190"/>
    </row>
    <row r="168" spans="1:13" ht="16.2" x14ac:dyDescent="0.3">
      <c r="A168" s="7294" t="s">
        <v>5030</v>
      </c>
      <c r="B168" s="8152" t="s">
        <v>1548</v>
      </c>
      <c r="C168" s="8149" t="s">
        <v>5369</v>
      </c>
      <c r="D168" s="8150" t="s">
        <v>5370</v>
      </c>
      <c r="E168" s="8151" t="s">
        <v>5371</v>
      </c>
      <c r="F168" s="140"/>
      <c r="G168" s="190"/>
      <c r="H168" s="190"/>
      <c r="I168" s="947"/>
      <c r="J168" s="946"/>
      <c r="K168" s="946"/>
      <c r="L168" s="190"/>
      <c r="M168" s="190"/>
    </row>
    <row r="169" spans="1:13" ht="24.6" customHeight="1" x14ac:dyDescent="0.3">
      <c r="A169" s="7294" t="s">
        <v>5031</v>
      </c>
      <c r="B169" s="7607" t="s">
        <v>1547</v>
      </c>
      <c r="C169" s="8149" t="s">
        <v>5369</v>
      </c>
      <c r="D169" s="8150" t="s">
        <v>5370</v>
      </c>
      <c r="E169" s="8151" t="s">
        <v>5371</v>
      </c>
      <c r="F169" s="140"/>
      <c r="G169" s="190"/>
      <c r="H169" s="190"/>
      <c r="I169" s="947"/>
      <c r="J169" s="946"/>
      <c r="K169" s="946"/>
      <c r="L169" s="190"/>
      <c r="M169" s="190"/>
    </row>
    <row r="170" spans="1:13" ht="24.6" customHeight="1" x14ac:dyDescent="0.3">
      <c r="A170" s="7294" t="s">
        <v>5032</v>
      </c>
      <c r="B170" s="7607" t="s">
        <v>1546</v>
      </c>
      <c r="C170" s="8153" t="s">
        <v>5369</v>
      </c>
      <c r="D170" s="8150" t="s">
        <v>5370</v>
      </c>
      <c r="E170" s="8151" t="s">
        <v>5371</v>
      </c>
      <c r="F170" s="140"/>
      <c r="G170" s="190"/>
      <c r="H170" s="190"/>
      <c r="I170" s="947"/>
      <c r="J170" s="946"/>
      <c r="K170" s="946"/>
      <c r="L170" s="190"/>
      <c r="M170" s="190"/>
    </row>
    <row r="171" spans="1:13" ht="25.95" customHeight="1" x14ac:dyDescent="0.3">
      <c r="A171" s="7294" t="s">
        <v>5033</v>
      </c>
      <c r="B171" s="8154" t="s">
        <v>1545</v>
      </c>
      <c r="C171" s="8155" t="s">
        <v>5369</v>
      </c>
      <c r="D171" s="8156" t="s">
        <v>5370</v>
      </c>
      <c r="E171" s="8157" t="s">
        <v>5371</v>
      </c>
      <c r="F171" s="140"/>
      <c r="G171" s="190"/>
      <c r="H171" s="190"/>
      <c r="I171" s="947"/>
      <c r="J171" s="946"/>
      <c r="K171" s="946"/>
      <c r="L171" s="190"/>
      <c r="M171" s="190"/>
    </row>
    <row r="175" spans="1:13" x14ac:dyDescent="0.3">
      <c r="A175" s="827" t="s">
        <v>4068</v>
      </c>
    </row>
    <row r="176" spans="1:13" x14ac:dyDescent="0.3">
      <c r="A176" s="7486" t="s">
        <v>5000</v>
      </c>
    </row>
    <row r="177" spans="1:1" x14ac:dyDescent="0.3">
      <c r="A177" s="7486" t="s">
        <v>5001</v>
      </c>
    </row>
    <row r="178" spans="1:1" x14ac:dyDescent="0.3">
      <c r="A178" s="7486" t="s">
        <v>5002</v>
      </c>
    </row>
    <row r="179" spans="1:1" x14ac:dyDescent="0.3">
      <c r="A179" s="7486" t="s">
        <v>5003</v>
      </c>
    </row>
    <row r="180" spans="1:1" x14ac:dyDescent="0.3">
      <c r="A180" s="7486" t="s">
        <v>5004</v>
      </c>
    </row>
    <row r="181" spans="1:1" x14ac:dyDescent="0.3">
      <c r="A181" s="7486" t="s">
        <v>5005</v>
      </c>
    </row>
    <row r="182" spans="1:1" x14ac:dyDescent="0.3">
      <c r="A182" s="7486" t="s">
        <v>5006</v>
      </c>
    </row>
    <row r="183" spans="1:1" x14ac:dyDescent="0.3">
      <c r="A183" s="7486" t="s">
        <v>5007</v>
      </c>
    </row>
    <row r="184" spans="1:1" x14ac:dyDescent="0.3">
      <c r="A184" s="7486" t="s">
        <v>5008</v>
      </c>
    </row>
    <row r="185" spans="1:1" x14ac:dyDescent="0.3">
      <c r="A185" s="7486" t="s">
        <v>5009</v>
      </c>
    </row>
    <row r="186" spans="1:1" x14ac:dyDescent="0.3">
      <c r="A186" s="7486" t="s">
        <v>5010</v>
      </c>
    </row>
    <row r="187" spans="1:1" x14ac:dyDescent="0.3">
      <c r="A187" s="7486" t="s">
        <v>5011</v>
      </c>
    </row>
    <row r="188" spans="1:1" x14ac:dyDescent="0.3">
      <c r="A188" s="7486" t="s">
        <v>5012</v>
      </c>
    </row>
    <row r="189" spans="1:1" x14ac:dyDescent="0.3">
      <c r="A189" s="7486" t="s">
        <v>5013</v>
      </c>
    </row>
    <row r="190" spans="1:1" x14ac:dyDescent="0.3">
      <c r="A190" s="7486" t="s">
        <v>5014</v>
      </c>
    </row>
    <row r="191" spans="1:1" x14ac:dyDescent="0.3">
      <c r="A191" s="7486" t="s">
        <v>5015</v>
      </c>
    </row>
    <row r="192" spans="1:1" x14ac:dyDescent="0.3">
      <c r="A192" s="7486" t="s">
        <v>5016</v>
      </c>
    </row>
    <row r="193" spans="1:105" x14ac:dyDescent="0.3">
      <c r="A193" s="7486" t="s">
        <v>5017</v>
      </c>
    </row>
    <row r="194" spans="1:105" x14ac:dyDescent="0.3">
      <c r="A194" s="7486" t="s">
        <v>5018</v>
      </c>
    </row>
    <row r="195" spans="1:105" x14ac:dyDescent="0.3">
      <c r="A195" s="7486" t="s">
        <v>5019</v>
      </c>
    </row>
    <row r="196" spans="1:105" x14ac:dyDescent="0.3">
      <c r="A196" s="7486" t="s">
        <v>5020</v>
      </c>
    </row>
    <row r="197" spans="1:105" x14ac:dyDescent="0.3">
      <c r="A197" s="7486" t="s">
        <v>5021</v>
      </c>
    </row>
    <row r="198" spans="1:105" x14ac:dyDescent="0.3">
      <c r="A198" s="7486" t="s">
        <v>5022</v>
      </c>
    </row>
    <row r="199" spans="1:105" x14ac:dyDescent="0.3">
      <c r="A199" s="7486" t="s">
        <v>5023</v>
      </c>
    </row>
    <row r="200" spans="1:105" x14ac:dyDescent="0.3">
      <c r="A200" s="7486" t="s">
        <v>5024</v>
      </c>
    </row>
    <row r="201" spans="1:105" x14ac:dyDescent="0.3">
      <c r="A201" s="7486" t="s">
        <v>5025</v>
      </c>
    </row>
    <row r="202" spans="1:105" x14ac:dyDescent="0.3">
      <c r="A202" s="7486" t="s">
        <v>5026</v>
      </c>
    </row>
    <row r="203" spans="1:105" x14ac:dyDescent="0.3">
      <c r="A203" s="7486" t="s">
        <v>5027</v>
      </c>
    </row>
    <row r="204" spans="1:105" x14ac:dyDescent="0.3">
      <c r="A204" s="7486" t="s">
        <v>5028</v>
      </c>
    </row>
    <row r="205" spans="1:105" x14ac:dyDescent="0.3">
      <c r="A205" s="7486" t="s">
        <v>5029</v>
      </c>
    </row>
    <row r="206" spans="1:105" x14ac:dyDescent="0.3">
      <c r="A206" s="7486" t="s">
        <v>5030</v>
      </c>
    </row>
    <row r="207" spans="1:105" s="3257" customFormat="1" x14ac:dyDescent="0.3">
      <c r="A207" s="7486" t="s">
        <v>5031</v>
      </c>
      <c r="B207" s="3257">
        <f>SUM(D14:D69,D74:D85,D88:D96,D108:D123,C126:C129,C132:C137,C140:C142,D146:D161,C165:C171)</f>
        <v>0</v>
      </c>
      <c r="C207" s="3257">
        <f>SUM(DB14:EA171)</f>
        <v>0</v>
      </c>
      <c r="BY207" s="3256"/>
      <c r="BZ207" s="3256"/>
      <c r="CA207" s="3256"/>
      <c r="CB207" s="3256"/>
      <c r="CC207" s="3256"/>
      <c r="CD207" s="3256"/>
      <c r="CE207" s="3256"/>
      <c r="CF207" s="3256"/>
      <c r="CG207" s="3256"/>
      <c r="CH207" s="3256"/>
      <c r="CI207" s="3256"/>
      <c r="CJ207" s="3256"/>
      <c r="CK207" s="3256"/>
      <c r="CL207" s="3256"/>
      <c r="CM207" s="3256"/>
      <c r="CN207" s="3256"/>
      <c r="CO207" s="3256"/>
      <c r="CP207" s="3256"/>
      <c r="CQ207" s="3256"/>
      <c r="CR207" s="3256"/>
      <c r="CS207" s="3256"/>
      <c r="CT207" s="3256"/>
      <c r="CU207" s="3256"/>
      <c r="CV207" s="3256"/>
      <c r="CW207" s="3256"/>
      <c r="CX207" s="3256"/>
      <c r="CY207" s="3256"/>
      <c r="CZ207" s="3256"/>
      <c r="DA207" s="3256"/>
    </row>
    <row r="208" spans="1:105" x14ac:dyDescent="0.3">
      <c r="A208" s="7486" t="s">
        <v>5032</v>
      </c>
    </row>
    <row r="209" spans="1:1" x14ac:dyDescent="0.3">
      <c r="A209" s="7486" t="s">
        <v>5033</v>
      </c>
    </row>
    <row r="211" spans="1:1" x14ac:dyDescent="0.3">
      <c r="A211" s="827" t="s">
        <v>4069</v>
      </c>
    </row>
    <row r="212" spans="1:1" x14ac:dyDescent="0.3">
      <c r="A212" s="7487">
        <v>19120201</v>
      </c>
    </row>
    <row r="213" spans="1:1" x14ac:dyDescent="0.3">
      <c r="A213" s="7487">
        <v>19120202</v>
      </c>
    </row>
    <row r="214" spans="1:1" x14ac:dyDescent="0.3">
      <c r="A214" s="7487">
        <v>19120203</v>
      </c>
    </row>
    <row r="215" spans="1:1" x14ac:dyDescent="0.3">
      <c r="A215" s="7487">
        <v>19120204</v>
      </c>
    </row>
    <row r="216" spans="1:1" x14ac:dyDescent="0.3">
      <c r="A216" s="7487">
        <v>19120206</v>
      </c>
    </row>
    <row r="217" spans="1:1" x14ac:dyDescent="0.3">
      <c r="A217" s="7487">
        <v>19120208</v>
      </c>
    </row>
    <row r="218" spans="1:1" x14ac:dyDescent="0.3">
      <c r="A218" s="7487">
        <v>19120210</v>
      </c>
    </row>
    <row r="219" spans="1:1" x14ac:dyDescent="0.3">
      <c r="A219" s="7487">
        <v>19170100</v>
      </c>
    </row>
    <row r="220" spans="1:1" x14ac:dyDescent="0.3">
      <c r="A220" s="7487">
        <v>19120211</v>
      </c>
    </row>
    <row r="221" spans="1:1" x14ac:dyDescent="0.3">
      <c r="A221" s="7487">
        <v>19120212</v>
      </c>
    </row>
    <row r="222" spans="1:1" x14ac:dyDescent="0.3">
      <c r="A222" s="7487">
        <v>19120205</v>
      </c>
    </row>
    <row r="223" spans="1:1" x14ac:dyDescent="0.3">
      <c r="A223" s="7487">
        <v>19184000</v>
      </c>
    </row>
    <row r="224" spans="1:1" x14ac:dyDescent="0.3">
      <c r="A224" s="7487">
        <v>19184100</v>
      </c>
    </row>
    <row r="225" spans="1:1" x14ac:dyDescent="0.3">
      <c r="A225" s="7487">
        <v>19184200</v>
      </c>
    </row>
    <row r="226" spans="1:1" x14ac:dyDescent="0.3">
      <c r="A226" s="7487">
        <v>19184300</v>
      </c>
    </row>
    <row r="227" spans="1:1" x14ac:dyDescent="0.3">
      <c r="A227" s="7487">
        <v>19184400</v>
      </c>
    </row>
    <row r="228" spans="1:1" x14ac:dyDescent="0.3">
      <c r="A228" s="7487">
        <v>19184500</v>
      </c>
    </row>
    <row r="229" spans="1:1" x14ac:dyDescent="0.3">
      <c r="A229" s="7487">
        <v>19184600</v>
      </c>
    </row>
    <row r="230" spans="1:1" x14ac:dyDescent="0.3">
      <c r="A230" s="7487">
        <v>19184700</v>
      </c>
    </row>
    <row r="231" spans="1:1" x14ac:dyDescent="0.3">
      <c r="A231" s="7487">
        <v>19184800</v>
      </c>
    </row>
    <row r="232" spans="1:1" x14ac:dyDescent="0.3">
      <c r="A232" s="7487">
        <v>19184801</v>
      </c>
    </row>
    <row r="233" spans="1:1" x14ac:dyDescent="0.3">
      <c r="A233" s="7487">
        <v>19184900</v>
      </c>
    </row>
    <row r="234" spans="1:1" x14ac:dyDescent="0.3">
      <c r="A234" s="7487">
        <v>19120606</v>
      </c>
    </row>
    <row r="235" spans="1:1" x14ac:dyDescent="0.3">
      <c r="A235" s="7487">
        <v>19140604</v>
      </c>
    </row>
    <row r="236" spans="1:1" x14ac:dyDescent="0.3">
      <c r="A236" s="7487">
        <v>19140605</v>
      </c>
    </row>
    <row r="237" spans="1:1" x14ac:dyDescent="0.3">
      <c r="A237" s="7487">
        <v>19140606</v>
      </c>
    </row>
    <row r="238" spans="1:1" x14ac:dyDescent="0.3">
      <c r="A238" s="7487">
        <v>19140607</v>
      </c>
    </row>
    <row r="239" spans="1:1" x14ac:dyDescent="0.3">
      <c r="A239" s="7487">
        <v>19140608</v>
      </c>
    </row>
    <row r="240" spans="1:1" x14ac:dyDescent="0.3">
      <c r="A240" s="7487">
        <v>19170500</v>
      </c>
    </row>
    <row r="241" spans="1:1" x14ac:dyDescent="0.3">
      <c r="A241" s="7487">
        <v>19170501</v>
      </c>
    </row>
    <row r="242" spans="1:1" x14ac:dyDescent="0.3">
      <c r="A242" s="7487">
        <v>19140609</v>
      </c>
    </row>
  </sheetData>
  <mergeCells count="111">
    <mergeCell ref="AM98:AM100"/>
    <mergeCell ref="G98:AL98"/>
    <mergeCell ref="G99:H99"/>
    <mergeCell ref="I99:J99"/>
    <mergeCell ref="K99:L99"/>
    <mergeCell ref="M99:N99"/>
    <mergeCell ref="O99:P99"/>
    <mergeCell ref="Q99:R99"/>
    <mergeCell ref="S99:T99"/>
    <mergeCell ref="U99:V99"/>
    <mergeCell ref="W99:X99"/>
    <mergeCell ref="Y99:Z99"/>
    <mergeCell ref="AA99:AB99"/>
    <mergeCell ref="AC99:AD99"/>
    <mergeCell ref="AE99:AF99"/>
    <mergeCell ref="E163:E164"/>
    <mergeCell ref="B163:B164"/>
    <mergeCell ref="C163:C164"/>
    <mergeCell ref="D163:D164"/>
    <mergeCell ref="M144:M145"/>
    <mergeCell ref="B146:B149"/>
    <mergeCell ref="B150:B153"/>
    <mergeCell ref="B154:B157"/>
    <mergeCell ref="B158:B161"/>
    <mergeCell ref="B144:B145"/>
    <mergeCell ref="C144:C145"/>
    <mergeCell ref="D144:D145"/>
    <mergeCell ref="E144:K144"/>
    <mergeCell ref="L144:L145"/>
    <mergeCell ref="B6:U6"/>
    <mergeCell ref="B8:C8"/>
    <mergeCell ref="B10:B13"/>
    <mergeCell ref="C10:C13"/>
    <mergeCell ref="D10:F12"/>
    <mergeCell ref="G10:AN11"/>
    <mergeCell ref="AR10:AR13"/>
    <mergeCell ref="AS10:AS13"/>
    <mergeCell ref="AT10:AT13"/>
    <mergeCell ref="W12:X12"/>
    <mergeCell ref="AM12:AN12"/>
    <mergeCell ref="AA12:AB12"/>
    <mergeCell ref="AC12:AD12"/>
    <mergeCell ref="AE12:AF12"/>
    <mergeCell ref="AG12:AH12"/>
    <mergeCell ref="AI12:AJ12"/>
    <mergeCell ref="AK12:AL12"/>
    <mergeCell ref="Y12:Z12"/>
    <mergeCell ref="G12:H12"/>
    <mergeCell ref="I12:J12"/>
    <mergeCell ref="S12:T12"/>
    <mergeCell ref="B116:B119"/>
    <mergeCell ref="B120:B123"/>
    <mergeCell ref="B106:B107"/>
    <mergeCell ref="C106:C107"/>
    <mergeCell ref="D106:D107"/>
    <mergeCell ref="B108:B111"/>
    <mergeCell ref="AT71:AT73"/>
    <mergeCell ref="L106:L107"/>
    <mergeCell ref="M106:M107"/>
    <mergeCell ref="B112:B115"/>
    <mergeCell ref="E106:K106"/>
    <mergeCell ref="B74:B79"/>
    <mergeCell ref="B80:B85"/>
    <mergeCell ref="B87:B96"/>
    <mergeCell ref="C71:C73"/>
    <mergeCell ref="AS71:AS73"/>
    <mergeCell ref="G71:AN71"/>
    <mergeCell ref="AG99:AH99"/>
    <mergeCell ref="AI99:AJ99"/>
    <mergeCell ref="AK99:AL99"/>
    <mergeCell ref="B101:B103"/>
    <mergeCell ref="B98:B100"/>
    <mergeCell ref="D98:F99"/>
    <mergeCell ref="AM72:AN72"/>
    <mergeCell ref="B57:B63"/>
    <mergeCell ref="B64:B68"/>
    <mergeCell ref="B71:B73"/>
    <mergeCell ref="K72:L72"/>
    <mergeCell ref="M72:N72"/>
    <mergeCell ref="AU10:AU13"/>
    <mergeCell ref="AO10:AO13"/>
    <mergeCell ref="AP10:AQ12"/>
    <mergeCell ref="AV10:AV13"/>
    <mergeCell ref="U12:V12"/>
    <mergeCell ref="B53:B56"/>
    <mergeCell ref="B14:B24"/>
    <mergeCell ref="B25:B35"/>
    <mergeCell ref="B36:B46"/>
    <mergeCell ref="B47:B52"/>
    <mergeCell ref="K12:L12"/>
    <mergeCell ref="M12:N12"/>
    <mergeCell ref="O12:P12"/>
    <mergeCell ref="Q12:R12"/>
    <mergeCell ref="AR71:AR73"/>
    <mergeCell ref="D71:F72"/>
    <mergeCell ref="AQ71:AQ73"/>
    <mergeCell ref="AG72:AH72"/>
    <mergeCell ref="AI72:AJ72"/>
    <mergeCell ref="AC72:AD72"/>
    <mergeCell ref="AE72:AF72"/>
    <mergeCell ref="AA72:AB72"/>
    <mergeCell ref="W72:X72"/>
    <mergeCell ref="S72:T72"/>
    <mergeCell ref="U72:V72"/>
    <mergeCell ref="AO71:AP72"/>
    <mergeCell ref="G72:H72"/>
    <mergeCell ref="I72:J72"/>
    <mergeCell ref="AK72:AL72"/>
    <mergeCell ref="Y72:Z72"/>
    <mergeCell ref="O72:P72"/>
    <mergeCell ref="Q72:R72"/>
  </mergeCells>
  <phoneticPr fontId="44" type="noConversion"/>
  <dataValidations count="2">
    <dataValidation type="whole" allowBlank="1" showInputMessage="1" showErrorMessage="1" error="Valor no Permitido" sqref="B144:M161 B97:AL103" xr:uid="{2631AC37-5F57-4D01-9198-9F98C8E48E36}">
      <formula1>0</formula1>
      <formula2>1E+30</formula2>
    </dataValidation>
    <dataValidation type="whole" allowBlank="1" showInputMessage="1" showErrorMessage="1" sqref="B163:M171" xr:uid="{171CEBFA-3E43-424A-817E-9F301F1FBF7A}">
      <formula1>0</formula1>
      <formula2>1E+30</formula2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DA196"/>
  <sheetViews>
    <sheetView showGridLines="0" zoomScaleNormal="100" workbookViewId="0"/>
  </sheetViews>
  <sheetFormatPr baseColWidth="10" defaultColWidth="11.44140625" defaultRowHeight="14.4" x14ac:dyDescent="0.3"/>
  <cols>
    <col min="1" max="1" width="16.109375" customWidth="1"/>
    <col min="2" max="2" width="55.5546875" customWidth="1"/>
    <col min="3" max="3" width="14.5546875" customWidth="1"/>
    <col min="4" max="5" width="15.6640625" customWidth="1"/>
    <col min="6" max="7" width="14.5546875" customWidth="1"/>
    <col min="8" max="8" width="16.109375" customWidth="1"/>
    <col min="9" max="9" width="16.6640625" customWidth="1"/>
    <col min="10" max="10" width="15.44140625" customWidth="1"/>
    <col min="11" max="11" width="18.33203125" customWidth="1"/>
    <col min="12" max="13" width="14.33203125" customWidth="1"/>
    <col min="14" max="15" width="10.6640625" customWidth="1"/>
    <col min="78" max="78" width="12.33203125" customWidth="1"/>
    <col min="79" max="79" width="11.109375" customWidth="1"/>
    <col min="80" max="105" width="11.109375" hidden="1" customWidth="1"/>
    <col min="106" max="106" width="11.109375" customWidth="1"/>
  </cols>
  <sheetData>
    <row r="1" spans="1:94" ht="16.2" customHeight="1" x14ac:dyDescent="0.3">
      <c r="B1" s="68" t="s">
        <v>207</v>
      </c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69"/>
      <c r="CA1" s="69"/>
      <c r="CB1" s="289"/>
      <c r="CC1" s="289"/>
      <c r="CD1" s="289"/>
      <c r="CE1" s="289"/>
      <c r="CF1" s="289"/>
      <c r="CG1" s="289"/>
      <c r="CH1" s="289"/>
      <c r="CI1" s="289"/>
      <c r="CJ1" s="289"/>
      <c r="CK1" s="289"/>
      <c r="CL1" s="289"/>
      <c r="CM1" s="289"/>
      <c r="CN1" s="289"/>
    </row>
    <row r="2" spans="1:94" ht="16.2" customHeight="1" x14ac:dyDescent="0.3">
      <c r="B2" s="68" t="str">
        <f>CONCATENATE("COMUNA: ",NOMBRE!B2," - ","( ",NOMBRE!C2,NOMBRE!D2,NOMBRE!E2,NOMBRE!F2,NOMBRE!G2," )")</f>
        <v>COMUNA:  - (  )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69"/>
      <c r="CA2" s="69"/>
      <c r="CB2" s="289"/>
      <c r="CC2" s="289"/>
      <c r="CD2" s="289"/>
      <c r="CE2" s="289"/>
      <c r="CF2" s="289"/>
      <c r="CG2" s="289"/>
      <c r="CH2" s="289"/>
      <c r="CI2" s="289"/>
      <c r="CJ2" s="289"/>
      <c r="CK2" s="289"/>
      <c r="CL2" s="289"/>
      <c r="CM2" s="289"/>
      <c r="CN2" s="289"/>
    </row>
    <row r="3" spans="1:94" ht="16.2" customHeight="1" x14ac:dyDescent="0.3">
      <c r="B3" s="68" t="str">
        <f>CONCATENATE("ESTABLECIMIENTO/ESTRATEGIA: ",NOMBRE!B3," - ","( ",NOMBRE!C3,NOMBRE!D3,NOMBRE!E3,NOMBRE!F3,NOMBRE!G3,NOMBRE!H3," )")</f>
        <v>ESTABLECIMIENTO/ESTRATEGIA:  - (  )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  <c r="BN3" s="70"/>
      <c r="BO3" s="70"/>
      <c r="BP3" s="70"/>
      <c r="BQ3" s="70"/>
      <c r="BR3" s="70"/>
      <c r="BS3" s="70"/>
      <c r="BT3" s="70"/>
      <c r="BU3" s="70"/>
      <c r="BV3" s="70"/>
      <c r="BW3" s="70"/>
      <c r="BX3" s="70"/>
      <c r="BY3" s="70"/>
      <c r="BZ3" s="69"/>
      <c r="CA3" s="69"/>
      <c r="CB3" s="289"/>
      <c r="CC3" s="289"/>
      <c r="CD3" s="289"/>
      <c r="CE3" s="289"/>
      <c r="CF3" s="289"/>
      <c r="CG3" s="289"/>
      <c r="CH3" s="289"/>
      <c r="CI3" s="289"/>
      <c r="CJ3" s="289"/>
      <c r="CK3" s="289"/>
      <c r="CL3" s="289"/>
      <c r="CM3" s="289"/>
      <c r="CN3" s="289"/>
    </row>
    <row r="4" spans="1:94" ht="16.2" customHeight="1" x14ac:dyDescent="0.3">
      <c r="B4" s="68" t="str">
        <f>CONCATENATE("MES: ",NOMBRE!B6," - ","( ",NOMBRE!C6,NOMBRE!D6," )")</f>
        <v>MES:  - (  )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69"/>
      <c r="CA4" s="69"/>
      <c r="CB4" s="289"/>
      <c r="CC4" s="289"/>
      <c r="CD4" s="289"/>
      <c r="CE4" s="289"/>
      <c r="CF4" s="289"/>
      <c r="CG4" s="289"/>
      <c r="CH4" s="289"/>
      <c r="CI4" s="289"/>
      <c r="CJ4" s="289"/>
      <c r="CK4" s="289"/>
      <c r="CL4" s="289"/>
      <c r="CM4" s="289"/>
      <c r="CN4" s="289"/>
    </row>
    <row r="5" spans="1:94" ht="16.2" customHeight="1" x14ac:dyDescent="0.3">
      <c r="B5" s="68" t="str">
        <f>CONCATENATE("AÑO: ",NOMBRE!B7)</f>
        <v>AÑO: 2023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69"/>
      <c r="CA5" s="69"/>
      <c r="CB5" s="289"/>
      <c r="CC5" s="289"/>
      <c r="CD5" s="289"/>
      <c r="CE5" s="289"/>
      <c r="CF5" s="289"/>
      <c r="CG5" s="289"/>
      <c r="CH5" s="289"/>
      <c r="CI5" s="289"/>
      <c r="CJ5" s="289"/>
      <c r="CK5" s="289"/>
      <c r="CL5" s="289"/>
      <c r="CM5" s="289"/>
      <c r="CN5" s="289"/>
    </row>
    <row r="6" spans="1:94" ht="16.2" x14ac:dyDescent="0.3">
      <c r="B6" s="8629" t="s">
        <v>1855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629"/>
      <c r="O6" s="8629"/>
      <c r="P6" s="8629"/>
      <c r="Q6" s="8629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69"/>
      <c r="CA6" s="69"/>
      <c r="CB6" s="289"/>
      <c r="CC6" s="289"/>
      <c r="CD6" s="289"/>
      <c r="CE6" s="289"/>
      <c r="CF6" s="289"/>
      <c r="CG6" s="289"/>
      <c r="CH6" s="294"/>
      <c r="CI6" s="294"/>
      <c r="CJ6" s="294"/>
      <c r="CK6" s="294"/>
      <c r="CL6" s="294"/>
      <c r="CM6" s="294"/>
      <c r="CN6" s="294"/>
    </row>
    <row r="7" spans="1:94" ht="16.2" x14ac:dyDescent="0.3">
      <c r="B7" s="1096"/>
      <c r="C7" s="1096"/>
      <c r="D7" s="1096"/>
      <c r="E7" s="1096"/>
      <c r="F7" s="1096"/>
      <c r="G7" s="1096"/>
      <c r="H7" s="1096"/>
      <c r="I7" s="1096"/>
      <c r="J7" s="1096"/>
      <c r="K7" s="1096"/>
      <c r="L7" s="1096"/>
      <c r="M7" s="1096"/>
      <c r="N7" s="1096"/>
      <c r="O7" s="1096"/>
      <c r="P7" s="1096"/>
      <c r="Q7" s="1096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69"/>
      <c r="CA7" s="69"/>
      <c r="CB7" s="289"/>
      <c r="CC7" s="289"/>
      <c r="CD7" s="289"/>
      <c r="CE7" s="289"/>
      <c r="CF7" s="289"/>
      <c r="CG7" s="289"/>
      <c r="CH7" s="294"/>
      <c r="CI7" s="294"/>
      <c r="CJ7" s="294"/>
      <c r="CK7" s="294"/>
      <c r="CL7" s="294"/>
      <c r="CM7" s="294"/>
      <c r="CN7" s="294"/>
    </row>
    <row r="8" spans="1:94" ht="31.95" customHeight="1" x14ac:dyDescent="0.3">
      <c r="B8" s="751" t="s">
        <v>1856</v>
      </c>
      <c r="C8" s="674"/>
      <c r="D8" s="674"/>
      <c r="E8" s="674"/>
      <c r="F8" s="674"/>
      <c r="G8" s="674"/>
      <c r="H8" s="674"/>
      <c r="I8" s="674"/>
      <c r="J8" s="674"/>
      <c r="K8" s="140"/>
      <c r="L8" s="140"/>
      <c r="M8" s="140"/>
      <c r="N8" s="140"/>
      <c r="O8" s="140"/>
      <c r="P8" s="140"/>
      <c r="Q8" s="14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69"/>
      <c r="CA8" s="69"/>
      <c r="CB8" s="289"/>
      <c r="CC8" s="289"/>
      <c r="CD8" s="289"/>
      <c r="CE8" s="289"/>
      <c r="CF8" s="289"/>
      <c r="CG8" s="289"/>
      <c r="CH8" s="294"/>
      <c r="CI8" s="294"/>
      <c r="CJ8" s="294"/>
      <c r="CK8" s="294"/>
      <c r="CL8" s="294"/>
      <c r="CM8" s="294"/>
      <c r="CN8" s="294"/>
    </row>
    <row r="9" spans="1:94" ht="25.2" customHeight="1" x14ac:dyDescent="0.3">
      <c r="B9" s="10171" t="s">
        <v>1857</v>
      </c>
      <c r="C9" s="9624" t="s">
        <v>1858</v>
      </c>
      <c r="D9" s="9659"/>
      <c r="E9" s="9659"/>
      <c r="F9" s="9659"/>
      <c r="G9" s="9625"/>
      <c r="H9" s="8648" t="s">
        <v>1859</v>
      </c>
      <c r="I9" s="8650"/>
      <c r="J9" s="9978" t="s">
        <v>1860</v>
      </c>
      <c r="K9" s="8645" t="s">
        <v>1861</v>
      </c>
      <c r="L9" s="8647"/>
      <c r="M9" s="70"/>
      <c r="N9" s="70"/>
      <c r="O9" s="70"/>
      <c r="P9" s="140"/>
      <c r="Q9" s="140"/>
      <c r="R9" s="140"/>
      <c r="S9" s="14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70"/>
      <c r="BV9" s="70"/>
      <c r="BW9" s="70"/>
      <c r="BX9" s="70"/>
      <c r="BY9" s="70"/>
      <c r="BZ9" s="70"/>
      <c r="CA9" s="70"/>
      <c r="CB9" s="69"/>
      <c r="CC9" s="69"/>
      <c r="CD9" s="289"/>
      <c r="CE9" s="289"/>
      <c r="CF9" s="289"/>
      <c r="CG9" s="289"/>
      <c r="CH9" s="289"/>
      <c r="CI9" s="289"/>
      <c r="CJ9" s="294"/>
      <c r="CK9" s="294"/>
      <c r="CL9" s="294"/>
      <c r="CM9" s="294"/>
      <c r="CN9" s="294"/>
      <c r="CO9" s="294"/>
      <c r="CP9" s="294"/>
    </row>
    <row r="10" spans="1:94" ht="42.75" customHeight="1" x14ac:dyDescent="0.3">
      <c r="B10" s="8591"/>
      <c r="C10" s="1200" t="s">
        <v>44</v>
      </c>
      <c r="D10" s="1201" t="s">
        <v>17</v>
      </c>
      <c r="E10" s="2626" t="s">
        <v>18</v>
      </c>
      <c r="F10" s="3752" t="s">
        <v>3595</v>
      </c>
      <c r="G10" s="3266" t="s">
        <v>3594</v>
      </c>
      <c r="H10" s="1124" t="s">
        <v>1862</v>
      </c>
      <c r="I10" s="1125" t="s">
        <v>1863</v>
      </c>
      <c r="J10" s="8581"/>
      <c r="K10" s="1124" t="s">
        <v>1864</v>
      </c>
      <c r="L10" s="1125" t="s">
        <v>1865</v>
      </c>
      <c r="M10" s="70"/>
      <c r="N10" s="70"/>
      <c r="O10" s="70"/>
      <c r="P10" s="140"/>
      <c r="Q10" s="140"/>
      <c r="R10" s="140"/>
      <c r="S10" s="14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69"/>
      <c r="CC10" s="69"/>
      <c r="CD10" s="289"/>
      <c r="CE10" s="289"/>
      <c r="CF10" s="289"/>
      <c r="CG10" s="289"/>
      <c r="CH10" s="289"/>
      <c r="CI10" s="289"/>
      <c r="CJ10" s="294"/>
      <c r="CK10" s="294"/>
      <c r="CL10" s="294"/>
      <c r="CM10" s="294"/>
      <c r="CN10" s="294"/>
      <c r="CO10" s="294"/>
      <c r="CP10" s="294"/>
    </row>
    <row r="11" spans="1:94" ht="16.2" customHeight="1" x14ac:dyDescent="0.3">
      <c r="A11" s="7298"/>
      <c r="B11" s="1202" t="s">
        <v>1866</v>
      </c>
      <c r="C11" s="1203">
        <f t="shared" ref="C11" si="0">SUM(D11:G11)</f>
        <v>0</v>
      </c>
      <c r="D11" s="1204">
        <f t="shared" ref="D11:L11" si="1">SUM(D12:D24)</f>
        <v>0</v>
      </c>
      <c r="E11" s="2627">
        <f t="shared" si="1"/>
        <v>0</v>
      </c>
      <c r="F11" s="2627">
        <f t="shared" si="1"/>
        <v>0</v>
      </c>
      <c r="G11" s="1205">
        <f t="shared" si="1"/>
        <v>0</v>
      </c>
      <c r="H11" s="1204">
        <f t="shared" si="1"/>
        <v>0</v>
      </c>
      <c r="I11" s="1206">
        <f t="shared" si="1"/>
        <v>0</v>
      </c>
      <c r="J11" s="1205">
        <f t="shared" si="1"/>
        <v>0</v>
      </c>
      <c r="K11" s="1207">
        <f t="shared" si="1"/>
        <v>0</v>
      </c>
      <c r="L11" s="1206">
        <f t="shared" si="1"/>
        <v>0</v>
      </c>
      <c r="M11" s="70"/>
      <c r="N11" s="70"/>
      <c r="O11" s="70"/>
      <c r="P11" s="140"/>
      <c r="Q11" s="140"/>
      <c r="R11" s="140"/>
      <c r="S11" s="14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69"/>
      <c r="CC11" s="69"/>
      <c r="CD11" s="289"/>
      <c r="CE11" s="289"/>
      <c r="CF11" s="289"/>
      <c r="CG11" s="289"/>
      <c r="CH11" s="289"/>
      <c r="CI11" s="289"/>
      <c r="CJ11" s="294"/>
      <c r="CK11" s="294"/>
      <c r="CL11" s="294"/>
      <c r="CM11" s="294"/>
      <c r="CN11" s="294"/>
      <c r="CO11" s="294"/>
      <c r="CP11" s="294"/>
    </row>
    <row r="12" spans="1:94" ht="16.2" customHeight="1" x14ac:dyDescent="0.3">
      <c r="A12" s="7316">
        <v>19180400</v>
      </c>
      <c r="B12" s="1208" t="s">
        <v>1867</v>
      </c>
      <c r="C12" s="1129" t="s">
        <v>5369</v>
      </c>
      <c r="D12" s="910" t="s">
        <v>5370</v>
      </c>
      <c r="E12" s="2450" t="s">
        <v>5371</v>
      </c>
      <c r="F12" s="2814" t="s">
        <v>5372</v>
      </c>
      <c r="G12" s="143" t="s">
        <v>5373</v>
      </c>
      <c r="H12" s="910" t="s">
        <v>5374</v>
      </c>
      <c r="I12" s="130" t="s">
        <v>5375</v>
      </c>
      <c r="J12" s="143" t="s">
        <v>5376</v>
      </c>
      <c r="K12" s="78" t="s">
        <v>5377</v>
      </c>
      <c r="L12" s="130" t="s">
        <v>5378</v>
      </c>
      <c r="M12" s="70"/>
      <c r="N12" s="70"/>
      <c r="O12" s="70"/>
      <c r="P12" s="140"/>
      <c r="Q12" s="140"/>
      <c r="R12" s="140"/>
      <c r="S12" s="14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69"/>
      <c r="CC12" s="69"/>
      <c r="CD12" s="289"/>
      <c r="CE12" s="289"/>
      <c r="CF12" s="289"/>
      <c r="CG12" s="289"/>
      <c r="CH12" s="289"/>
      <c r="CI12" s="289"/>
      <c r="CJ12" s="294"/>
      <c r="CK12" s="294"/>
      <c r="CL12" s="294"/>
      <c r="CM12" s="294"/>
      <c r="CN12" s="294"/>
      <c r="CO12" s="294"/>
      <c r="CP12" s="294"/>
    </row>
    <row r="13" spans="1:94" ht="16.2" customHeight="1" x14ac:dyDescent="0.3">
      <c r="A13" s="7316">
        <v>19180500</v>
      </c>
      <c r="B13" s="1209" t="s">
        <v>1868</v>
      </c>
      <c r="C13" s="1139" t="s">
        <v>5369</v>
      </c>
      <c r="D13" s="1114" t="s">
        <v>5370</v>
      </c>
      <c r="E13" s="2495" t="s">
        <v>5371</v>
      </c>
      <c r="F13" s="1843" t="s">
        <v>5372</v>
      </c>
      <c r="G13" s="1115" t="s">
        <v>5373</v>
      </c>
      <c r="H13" s="1114" t="s">
        <v>5374</v>
      </c>
      <c r="I13" s="1118" t="s">
        <v>5375</v>
      </c>
      <c r="J13" s="1115" t="s">
        <v>5376</v>
      </c>
      <c r="K13" s="1135" t="s">
        <v>5377</v>
      </c>
      <c r="L13" s="1118" t="s">
        <v>5378</v>
      </c>
      <c r="M13" s="70"/>
      <c r="N13" s="70"/>
      <c r="O13" s="70"/>
      <c r="P13" s="140"/>
      <c r="Q13" s="140"/>
      <c r="R13" s="140"/>
      <c r="S13" s="14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69"/>
      <c r="CC13" s="69"/>
      <c r="CD13" s="289"/>
      <c r="CE13" s="289"/>
      <c r="CF13" s="289"/>
      <c r="CG13" s="289"/>
      <c r="CH13" s="289"/>
      <c r="CI13" s="289"/>
      <c r="CJ13" s="294"/>
      <c r="CK13" s="294"/>
      <c r="CL13" s="294"/>
      <c r="CM13" s="294"/>
      <c r="CN13" s="294"/>
      <c r="CO13" s="294"/>
      <c r="CP13" s="294"/>
    </row>
    <row r="14" spans="1:94" ht="16.2" customHeight="1" x14ac:dyDescent="0.3">
      <c r="A14" s="7316">
        <v>19180600</v>
      </c>
      <c r="B14" s="1209" t="s">
        <v>1597</v>
      </c>
      <c r="C14" s="1139" t="s">
        <v>5369</v>
      </c>
      <c r="D14" s="1114" t="s">
        <v>5370</v>
      </c>
      <c r="E14" s="2495" t="s">
        <v>5371</v>
      </c>
      <c r="F14" s="1843" t="s">
        <v>5372</v>
      </c>
      <c r="G14" s="1115" t="s">
        <v>5373</v>
      </c>
      <c r="H14" s="1114" t="s">
        <v>5374</v>
      </c>
      <c r="I14" s="1115" t="s">
        <v>5375</v>
      </c>
      <c r="J14" s="1115" t="s">
        <v>5376</v>
      </c>
      <c r="K14" s="1134" t="s">
        <v>5377</v>
      </c>
      <c r="L14" s="1115" t="s">
        <v>5378</v>
      </c>
      <c r="M14" s="70"/>
      <c r="N14" s="70"/>
      <c r="O14" s="70"/>
      <c r="P14" s="140"/>
      <c r="Q14" s="140"/>
      <c r="R14" s="140"/>
      <c r="S14" s="14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69"/>
      <c r="CC14" s="69"/>
      <c r="CD14" s="289"/>
      <c r="CE14" s="289"/>
      <c r="CF14" s="289"/>
      <c r="CG14" s="289"/>
      <c r="CH14" s="289"/>
      <c r="CI14" s="289"/>
      <c r="CJ14" s="294"/>
      <c r="CK14" s="294"/>
      <c r="CL14" s="294"/>
      <c r="CM14" s="294"/>
      <c r="CN14" s="294"/>
      <c r="CO14" s="294"/>
      <c r="CP14" s="294"/>
    </row>
    <row r="15" spans="1:94" ht="16.2" customHeight="1" x14ac:dyDescent="0.3">
      <c r="A15" s="7316">
        <v>19180700</v>
      </c>
      <c r="B15" s="1209" t="s">
        <v>1869</v>
      </c>
      <c r="C15" s="1139" t="s">
        <v>5369</v>
      </c>
      <c r="D15" s="1114" t="s">
        <v>5370</v>
      </c>
      <c r="E15" s="2495" t="s">
        <v>5371</v>
      </c>
      <c r="F15" s="1843" t="s">
        <v>5372</v>
      </c>
      <c r="G15" s="1115" t="s">
        <v>5373</v>
      </c>
      <c r="H15" s="1114" t="s">
        <v>5374</v>
      </c>
      <c r="I15" s="1115" t="s">
        <v>5375</v>
      </c>
      <c r="J15" s="1115" t="s">
        <v>5376</v>
      </c>
      <c r="K15" s="1134" t="s">
        <v>5377</v>
      </c>
      <c r="L15" s="1115" t="s">
        <v>5378</v>
      </c>
      <c r="M15" s="70"/>
      <c r="N15" s="70"/>
      <c r="O15" s="70"/>
      <c r="P15" s="140"/>
      <c r="Q15" s="140"/>
      <c r="R15" s="140"/>
      <c r="S15" s="14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69"/>
      <c r="CC15" s="69"/>
      <c r="CD15" s="289"/>
      <c r="CE15" s="289"/>
      <c r="CF15" s="289"/>
      <c r="CG15" s="289"/>
      <c r="CH15" s="289"/>
      <c r="CI15" s="289"/>
      <c r="CJ15" s="294"/>
      <c r="CK15" s="294"/>
      <c r="CL15" s="294"/>
      <c r="CM15" s="294"/>
      <c r="CN15" s="294"/>
      <c r="CO15" s="294"/>
      <c r="CP15" s="294"/>
    </row>
    <row r="16" spans="1:94" ht="25.2" customHeight="1" x14ac:dyDescent="0.3">
      <c r="A16" s="7316">
        <v>19182070</v>
      </c>
      <c r="B16" s="1209" t="s">
        <v>1870</v>
      </c>
      <c r="C16" s="1139" t="s">
        <v>5369</v>
      </c>
      <c r="D16" s="1114" t="s">
        <v>5370</v>
      </c>
      <c r="E16" s="2495" t="s">
        <v>5371</v>
      </c>
      <c r="F16" s="1843" t="s">
        <v>5372</v>
      </c>
      <c r="G16" s="1115" t="s">
        <v>5373</v>
      </c>
      <c r="H16" s="1114" t="s">
        <v>5374</v>
      </c>
      <c r="I16" s="1115" t="s">
        <v>5375</v>
      </c>
      <c r="J16" s="1196" t="s">
        <v>5376</v>
      </c>
      <c r="K16" s="1134" t="s">
        <v>5377</v>
      </c>
      <c r="L16" s="1115" t="s">
        <v>5378</v>
      </c>
      <c r="M16" s="70"/>
      <c r="N16" s="70"/>
      <c r="O16" s="70"/>
      <c r="P16" s="140"/>
      <c r="Q16" s="140"/>
      <c r="R16" s="140"/>
      <c r="S16" s="14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69"/>
      <c r="CC16" s="69"/>
      <c r="CD16" s="289"/>
      <c r="CE16" s="289"/>
      <c r="CF16" s="289"/>
      <c r="CG16" s="289"/>
      <c r="CH16" s="289"/>
      <c r="CI16" s="289"/>
      <c r="CJ16" s="294"/>
      <c r="CK16" s="294"/>
      <c r="CL16" s="294"/>
      <c r="CM16" s="294"/>
      <c r="CN16" s="294"/>
      <c r="CO16" s="294"/>
      <c r="CP16" s="294"/>
    </row>
    <row r="17" spans="1:96" ht="16.2" customHeight="1" x14ac:dyDescent="0.3">
      <c r="A17" s="7316">
        <v>19191010</v>
      </c>
      <c r="B17" s="1209" t="s">
        <v>1871</v>
      </c>
      <c r="C17" s="1139" t="s">
        <v>5369</v>
      </c>
      <c r="D17" s="1114" t="s">
        <v>5370</v>
      </c>
      <c r="E17" s="2495" t="s">
        <v>5371</v>
      </c>
      <c r="F17" s="1843" t="s">
        <v>5372</v>
      </c>
      <c r="G17" s="1115" t="s">
        <v>5373</v>
      </c>
      <c r="H17" s="1114" t="s">
        <v>5374</v>
      </c>
      <c r="I17" s="1115" t="s">
        <v>5375</v>
      </c>
      <c r="J17" s="1196" t="s">
        <v>5376</v>
      </c>
      <c r="K17" s="1134" t="s">
        <v>5377</v>
      </c>
      <c r="L17" s="1115" t="s">
        <v>5378</v>
      </c>
      <c r="M17" s="70"/>
      <c r="N17" s="70"/>
      <c r="O17" s="70"/>
      <c r="P17" s="140"/>
      <c r="Q17" s="140"/>
      <c r="R17" s="140"/>
      <c r="S17" s="14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69"/>
      <c r="CC17" s="69"/>
      <c r="CD17" s="289"/>
      <c r="CE17" s="289"/>
      <c r="CF17" s="289"/>
      <c r="CG17" s="289"/>
      <c r="CH17" s="289"/>
      <c r="CI17" s="289"/>
      <c r="CJ17" s="294"/>
      <c r="CK17" s="294"/>
      <c r="CL17" s="294"/>
      <c r="CM17" s="294"/>
      <c r="CN17" s="294"/>
      <c r="CO17" s="294"/>
      <c r="CP17" s="294"/>
      <c r="CQ17" s="289"/>
      <c r="CR17" s="295"/>
    </row>
    <row r="18" spans="1:96" ht="16.2" customHeight="1" x14ac:dyDescent="0.3">
      <c r="A18" s="7316">
        <v>19191020</v>
      </c>
      <c r="B18" s="1209" t="s">
        <v>1872</v>
      </c>
      <c r="C18" s="1139" t="s">
        <v>5369</v>
      </c>
      <c r="D18" s="1114" t="s">
        <v>5370</v>
      </c>
      <c r="E18" s="2495" t="s">
        <v>5371</v>
      </c>
      <c r="F18" s="1843" t="s">
        <v>5372</v>
      </c>
      <c r="G18" s="1115" t="s">
        <v>5373</v>
      </c>
      <c r="H18" s="1114" t="s">
        <v>5374</v>
      </c>
      <c r="I18" s="1115" t="s">
        <v>5375</v>
      </c>
      <c r="J18" s="1196" t="s">
        <v>5376</v>
      </c>
      <c r="K18" s="1134" t="s">
        <v>5377</v>
      </c>
      <c r="L18" s="1115" t="s">
        <v>5378</v>
      </c>
      <c r="M18" s="70"/>
      <c r="N18" s="70"/>
      <c r="O18" s="70"/>
      <c r="P18" s="140"/>
      <c r="Q18" s="140"/>
      <c r="R18" s="140"/>
      <c r="S18" s="14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69"/>
      <c r="CC18" s="69"/>
      <c r="CD18" s="289"/>
      <c r="CE18" s="289"/>
      <c r="CF18" s="289"/>
      <c r="CG18" s="289"/>
      <c r="CH18" s="289"/>
      <c r="CI18" s="289"/>
      <c r="CJ18" s="294"/>
      <c r="CK18" s="294"/>
      <c r="CL18" s="294"/>
      <c r="CM18" s="294"/>
      <c r="CN18" s="294"/>
      <c r="CO18" s="294"/>
      <c r="CP18" s="294"/>
      <c r="CQ18" s="289"/>
      <c r="CR18" s="295"/>
    </row>
    <row r="19" spans="1:96" ht="16.2" customHeight="1" x14ac:dyDescent="0.3">
      <c r="A19" s="7316">
        <v>19180800</v>
      </c>
      <c r="B19" s="1209" t="s">
        <v>1873</v>
      </c>
      <c r="C19" s="1139" t="s">
        <v>5369</v>
      </c>
      <c r="D19" s="1114" t="s">
        <v>5370</v>
      </c>
      <c r="E19" s="2495" t="s">
        <v>5371</v>
      </c>
      <c r="F19" s="1843" t="s">
        <v>5372</v>
      </c>
      <c r="G19" s="1115" t="s">
        <v>5373</v>
      </c>
      <c r="H19" s="1114" t="s">
        <v>5374</v>
      </c>
      <c r="I19" s="1115" t="s">
        <v>5375</v>
      </c>
      <c r="J19" s="1115" t="s">
        <v>5376</v>
      </c>
      <c r="K19" s="1134" t="s">
        <v>5377</v>
      </c>
      <c r="L19" s="1115" t="s">
        <v>5378</v>
      </c>
      <c r="M19" s="70"/>
      <c r="N19" s="70"/>
      <c r="O19" s="70"/>
      <c r="P19" s="140"/>
      <c r="Q19" s="140"/>
      <c r="R19" s="140"/>
      <c r="S19" s="14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69"/>
      <c r="CC19" s="69"/>
      <c r="CD19" s="289"/>
      <c r="CE19" s="289"/>
      <c r="CF19" s="289"/>
      <c r="CG19" s="289"/>
      <c r="CH19" s="289"/>
      <c r="CI19" s="289"/>
      <c r="CJ19" s="294"/>
      <c r="CK19" s="294"/>
      <c r="CL19" s="294"/>
      <c r="CM19" s="294"/>
      <c r="CN19" s="294"/>
      <c r="CO19" s="294"/>
      <c r="CP19" s="294"/>
      <c r="CQ19" s="289"/>
      <c r="CR19" s="295"/>
    </row>
    <row r="20" spans="1:96" ht="16.2" customHeight="1" x14ac:dyDescent="0.3">
      <c r="A20" s="7316">
        <v>19180900</v>
      </c>
      <c r="B20" s="1209" t="s">
        <v>1874</v>
      </c>
      <c r="C20" s="1139" t="s">
        <v>5369</v>
      </c>
      <c r="D20" s="1114" t="s">
        <v>5370</v>
      </c>
      <c r="E20" s="2495" t="s">
        <v>5371</v>
      </c>
      <c r="F20" s="1843" t="s">
        <v>5372</v>
      </c>
      <c r="G20" s="1115" t="s">
        <v>5373</v>
      </c>
      <c r="H20" s="1114" t="s">
        <v>5374</v>
      </c>
      <c r="I20" s="1115" t="s">
        <v>5375</v>
      </c>
      <c r="J20" s="1115" t="s">
        <v>5376</v>
      </c>
      <c r="K20" s="1134" t="s">
        <v>5377</v>
      </c>
      <c r="L20" s="1115" t="s">
        <v>5378</v>
      </c>
      <c r="M20" s="70"/>
      <c r="N20" s="70"/>
      <c r="O20" s="70"/>
      <c r="P20" s="140"/>
      <c r="Q20" s="140"/>
      <c r="R20" s="140"/>
      <c r="S20" s="14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69"/>
      <c r="CC20" s="69"/>
      <c r="CD20" s="289"/>
      <c r="CE20" s="289"/>
      <c r="CF20" s="289"/>
      <c r="CG20" s="289"/>
      <c r="CH20" s="289"/>
      <c r="CI20" s="289"/>
      <c r="CJ20" s="294"/>
      <c r="CK20" s="294"/>
      <c r="CL20" s="294"/>
      <c r="CM20" s="294"/>
      <c r="CN20" s="294"/>
      <c r="CO20" s="294"/>
      <c r="CP20" s="294"/>
      <c r="CQ20" s="289"/>
      <c r="CR20" s="295"/>
    </row>
    <row r="21" spans="1:96" ht="16.2" customHeight="1" x14ac:dyDescent="0.3">
      <c r="A21" s="7316">
        <v>19181000</v>
      </c>
      <c r="B21" s="1209" t="s">
        <v>1875</v>
      </c>
      <c r="C21" s="1139" t="s">
        <v>5369</v>
      </c>
      <c r="D21" s="1114" t="s">
        <v>5370</v>
      </c>
      <c r="E21" s="2495" t="s">
        <v>5371</v>
      </c>
      <c r="F21" s="1843" t="s">
        <v>5372</v>
      </c>
      <c r="G21" s="1115" t="s">
        <v>5373</v>
      </c>
      <c r="H21" s="1114" t="s">
        <v>5374</v>
      </c>
      <c r="I21" s="1115" t="s">
        <v>5375</v>
      </c>
      <c r="J21" s="1115" t="s">
        <v>5376</v>
      </c>
      <c r="K21" s="1134" t="s">
        <v>5377</v>
      </c>
      <c r="L21" s="1115" t="s">
        <v>5378</v>
      </c>
      <c r="M21" s="70"/>
      <c r="N21" s="70"/>
      <c r="O21" s="70"/>
      <c r="P21" s="140"/>
      <c r="Q21" s="140"/>
      <c r="R21" s="140"/>
      <c r="S21" s="14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69"/>
      <c r="CC21" s="69"/>
      <c r="CD21" s="289"/>
      <c r="CE21" s="289"/>
      <c r="CF21" s="289"/>
      <c r="CG21" s="289"/>
      <c r="CH21" s="289"/>
      <c r="CI21" s="289"/>
      <c r="CJ21" s="294"/>
      <c r="CK21" s="294"/>
      <c r="CL21" s="294"/>
      <c r="CM21" s="294"/>
      <c r="CN21" s="294"/>
      <c r="CO21" s="294"/>
      <c r="CP21" s="294"/>
      <c r="CQ21" s="289"/>
      <c r="CR21" s="295"/>
    </row>
    <row r="22" spans="1:96" ht="16.2" customHeight="1" x14ac:dyDescent="0.3">
      <c r="A22" s="7317">
        <v>19181001</v>
      </c>
      <c r="B22" s="1210" t="s">
        <v>1876</v>
      </c>
      <c r="C22" s="1103" t="s">
        <v>5369</v>
      </c>
      <c r="D22" s="1114" t="s">
        <v>5370</v>
      </c>
      <c r="E22" s="2495" t="s">
        <v>5371</v>
      </c>
      <c r="F22" s="1843" t="s">
        <v>5372</v>
      </c>
      <c r="G22" s="1115" t="s">
        <v>5373</v>
      </c>
      <c r="H22" s="1114" t="s">
        <v>5374</v>
      </c>
      <c r="I22" s="1115" t="s">
        <v>5375</v>
      </c>
      <c r="J22" s="1115" t="s">
        <v>5376</v>
      </c>
      <c r="K22" s="1134" t="s">
        <v>5377</v>
      </c>
      <c r="L22" s="1118" t="s">
        <v>5378</v>
      </c>
      <c r="M22" s="70"/>
      <c r="N22" s="70"/>
      <c r="O22" s="70"/>
      <c r="P22" s="140"/>
      <c r="Q22" s="140"/>
      <c r="R22" s="140"/>
      <c r="S22" s="14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69"/>
      <c r="CC22" s="69"/>
      <c r="CD22" s="289"/>
      <c r="CE22" s="289"/>
      <c r="CF22" s="289"/>
      <c r="CG22" s="289"/>
      <c r="CH22" s="289"/>
      <c r="CI22" s="289"/>
      <c r="CJ22" s="294"/>
      <c r="CK22" s="294"/>
      <c r="CL22" s="294"/>
      <c r="CM22" s="294"/>
      <c r="CN22" s="294"/>
      <c r="CO22" s="294"/>
      <c r="CP22" s="294"/>
      <c r="CQ22" s="289"/>
      <c r="CR22" s="295"/>
    </row>
    <row r="23" spans="1:96" ht="16.2" customHeight="1" x14ac:dyDescent="0.3">
      <c r="A23" s="7317">
        <v>19181002</v>
      </c>
      <c r="B23" s="1211" t="s">
        <v>1877</v>
      </c>
      <c r="C23" s="1103" t="s">
        <v>5369</v>
      </c>
      <c r="D23" s="1114" t="s">
        <v>5370</v>
      </c>
      <c r="E23" s="2495" t="s">
        <v>5371</v>
      </c>
      <c r="F23" s="1843" t="s">
        <v>5372</v>
      </c>
      <c r="G23" s="1115" t="s">
        <v>5373</v>
      </c>
      <c r="H23" s="1114" t="s">
        <v>5374</v>
      </c>
      <c r="I23" s="1115" t="s">
        <v>5375</v>
      </c>
      <c r="J23" s="1115" t="s">
        <v>5376</v>
      </c>
      <c r="K23" s="1134" t="s">
        <v>5377</v>
      </c>
      <c r="L23" s="1118" t="s">
        <v>5378</v>
      </c>
      <c r="M23" s="70"/>
      <c r="N23" s="70"/>
      <c r="O23" s="70"/>
      <c r="P23" s="70"/>
      <c r="Q23" s="140"/>
      <c r="R23" s="140"/>
      <c r="S23" s="14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69"/>
      <c r="CC23" s="69"/>
      <c r="CD23" s="289"/>
      <c r="CE23" s="289"/>
      <c r="CF23" s="289"/>
      <c r="CG23" s="289"/>
      <c r="CH23" s="289"/>
      <c r="CI23" s="289"/>
      <c r="CJ23" s="294"/>
      <c r="CK23" s="294"/>
      <c r="CL23" s="294"/>
      <c r="CM23" s="294"/>
      <c r="CN23" s="294"/>
      <c r="CO23" s="294"/>
      <c r="CP23" s="294"/>
      <c r="CQ23" s="289"/>
      <c r="CR23" s="295"/>
    </row>
    <row r="24" spans="1:96" ht="16.2" customHeight="1" thickBot="1" x14ac:dyDescent="0.35">
      <c r="A24" s="7317">
        <v>19181003</v>
      </c>
      <c r="B24" s="1212" t="s">
        <v>1878</v>
      </c>
      <c r="C24" s="1213" t="s">
        <v>5369</v>
      </c>
      <c r="D24" s="814" t="s">
        <v>5370</v>
      </c>
      <c r="E24" s="2628" t="s">
        <v>5371</v>
      </c>
      <c r="F24" s="3751" t="s">
        <v>5372</v>
      </c>
      <c r="G24" s="1214" t="s">
        <v>5373</v>
      </c>
      <c r="H24" s="814" t="s">
        <v>5374</v>
      </c>
      <c r="I24" s="1214" t="s">
        <v>5375</v>
      </c>
      <c r="J24" s="1214" t="s">
        <v>5376</v>
      </c>
      <c r="K24" s="813" t="s">
        <v>5377</v>
      </c>
      <c r="L24" s="1215" t="s">
        <v>5378</v>
      </c>
      <c r="M24" s="70"/>
      <c r="N24" s="70"/>
      <c r="O24" s="70"/>
      <c r="P24" s="70"/>
      <c r="Q24" s="140"/>
      <c r="R24" s="140"/>
      <c r="S24" s="14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69"/>
      <c r="CC24" s="69"/>
      <c r="CD24" s="289"/>
      <c r="CE24" s="289"/>
      <c r="CF24" s="289"/>
      <c r="CG24" s="289"/>
      <c r="CH24" s="289"/>
      <c r="CI24" s="289"/>
      <c r="CJ24" s="294"/>
      <c r="CK24" s="294"/>
      <c r="CL24" s="294"/>
      <c r="CM24" s="294"/>
      <c r="CN24" s="294"/>
      <c r="CO24" s="294"/>
      <c r="CP24" s="294"/>
      <c r="CQ24" s="289"/>
      <c r="CR24" s="295"/>
    </row>
    <row r="25" spans="1:96" ht="16.2" customHeight="1" thickTop="1" x14ac:dyDescent="0.3">
      <c r="A25" s="7316">
        <v>19140612</v>
      </c>
      <c r="B25" s="890" t="s">
        <v>1040</v>
      </c>
      <c r="C25" s="1129" t="s">
        <v>5369</v>
      </c>
      <c r="D25" s="910" t="s">
        <v>5370</v>
      </c>
      <c r="E25" s="2450" t="s">
        <v>5371</v>
      </c>
      <c r="F25" s="2814" t="s">
        <v>5372</v>
      </c>
      <c r="G25" s="143" t="s">
        <v>5373</v>
      </c>
      <c r="H25" s="909" t="s">
        <v>5374</v>
      </c>
      <c r="I25" s="90" t="s">
        <v>5375</v>
      </c>
      <c r="J25" s="509" t="s">
        <v>5376</v>
      </c>
      <c r="K25" s="124" t="s">
        <v>5377</v>
      </c>
      <c r="L25" s="90" t="s">
        <v>5378</v>
      </c>
      <c r="M25" s="70"/>
      <c r="N25" s="70"/>
      <c r="O25" s="70"/>
      <c r="P25" s="140"/>
      <c r="Q25" s="140"/>
      <c r="R25" s="140"/>
      <c r="S25" s="14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69"/>
      <c r="CC25" s="69"/>
      <c r="CD25" s="289"/>
      <c r="CE25" s="289"/>
      <c r="CF25" s="289"/>
      <c r="CG25" s="289"/>
      <c r="CH25" s="289"/>
      <c r="CI25" s="289"/>
      <c r="CJ25" s="294"/>
      <c r="CK25" s="294"/>
      <c r="CL25" s="294"/>
      <c r="CM25" s="294"/>
      <c r="CN25" s="294"/>
      <c r="CO25" s="294"/>
      <c r="CP25" s="294"/>
      <c r="CQ25" s="289"/>
      <c r="CR25" s="295"/>
    </row>
    <row r="26" spans="1:96" ht="16.2" customHeight="1" x14ac:dyDescent="0.3">
      <c r="A26" s="7316">
        <v>19140613</v>
      </c>
      <c r="B26" s="1216" t="s">
        <v>1879</v>
      </c>
      <c r="C26" s="1139" t="s">
        <v>5369</v>
      </c>
      <c r="D26" s="1114" t="s">
        <v>5370</v>
      </c>
      <c r="E26" s="2495" t="s">
        <v>5371</v>
      </c>
      <c r="F26" s="1843" t="s">
        <v>5372</v>
      </c>
      <c r="G26" s="1115" t="s">
        <v>5373</v>
      </c>
      <c r="H26" s="1132" t="s">
        <v>5374</v>
      </c>
      <c r="I26" s="1133" t="s">
        <v>5375</v>
      </c>
      <c r="J26" s="1217" t="s">
        <v>5376</v>
      </c>
      <c r="K26" s="1131" t="s">
        <v>5377</v>
      </c>
      <c r="L26" s="1133" t="s">
        <v>5378</v>
      </c>
      <c r="M26" s="70"/>
      <c r="N26" s="70"/>
      <c r="O26" s="70"/>
      <c r="P26" s="140"/>
      <c r="Q26" s="140"/>
      <c r="R26" s="140"/>
      <c r="S26" s="14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69"/>
      <c r="CC26" s="69"/>
      <c r="CD26" s="289"/>
      <c r="CE26" s="289"/>
      <c r="CF26" s="289"/>
      <c r="CG26" s="289"/>
      <c r="CH26" s="289"/>
      <c r="CI26" s="289"/>
      <c r="CJ26" s="294"/>
      <c r="CK26" s="294"/>
      <c r="CL26" s="294"/>
      <c r="CM26" s="294"/>
      <c r="CN26" s="294"/>
      <c r="CO26" s="294"/>
      <c r="CP26" s="294"/>
      <c r="CQ26" s="289"/>
      <c r="CR26" s="295"/>
    </row>
    <row r="27" spans="1:96" ht="16.2" customHeight="1" x14ac:dyDescent="0.3">
      <c r="A27" s="7316">
        <v>19140615</v>
      </c>
      <c r="B27" s="1216" t="s">
        <v>1880</v>
      </c>
      <c r="C27" s="1139" t="s">
        <v>5369</v>
      </c>
      <c r="D27" s="1114" t="s">
        <v>5370</v>
      </c>
      <c r="E27" s="2495" t="s">
        <v>5371</v>
      </c>
      <c r="F27" s="1843" t="s">
        <v>5372</v>
      </c>
      <c r="G27" s="1115" t="s">
        <v>5373</v>
      </c>
      <c r="H27" s="1132" t="s">
        <v>5374</v>
      </c>
      <c r="I27" s="1133" t="s">
        <v>5375</v>
      </c>
      <c r="J27" s="1217" t="s">
        <v>5376</v>
      </c>
      <c r="K27" s="1131" t="s">
        <v>5377</v>
      </c>
      <c r="L27" s="1133" t="s">
        <v>5378</v>
      </c>
      <c r="M27" s="70"/>
      <c r="N27" s="70"/>
      <c r="O27" s="70"/>
      <c r="P27" s="140"/>
      <c r="Q27" s="140"/>
      <c r="R27" s="140"/>
      <c r="S27" s="14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69"/>
      <c r="CC27" s="69"/>
      <c r="CD27" s="289"/>
      <c r="CE27" s="289"/>
      <c r="CF27" s="289"/>
      <c r="CG27" s="289"/>
      <c r="CH27" s="289"/>
      <c r="CI27" s="289"/>
      <c r="CJ27" s="294"/>
      <c r="CK27" s="294"/>
      <c r="CL27" s="294"/>
      <c r="CM27" s="294"/>
      <c r="CN27" s="294"/>
      <c r="CO27" s="294"/>
      <c r="CP27" s="294"/>
      <c r="CQ27" s="289"/>
      <c r="CR27" s="295"/>
    </row>
    <row r="28" spans="1:96" ht="16.2" customHeight="1" x14ac:dyDescent="0.3">
      <c r="A28" s="7316">
        <v>19182100</v>
      </c>
      <c r="B28" s="1216" t="s">
        <v>1881</v>
      </c>
      <c r="C28" s="1139" t="s">
        <v>5369</v>
      </c>
      <c r="D28" s="1114" t="s">
        <v>5370</v>
      </c>
      <c r="E28" s="2495" t="s">
        <v>5371</v>
      </c>
      <c r="F28" s="1843" t="s">
        <v>5372</v>
      </c>
      <c r="G28" s="1115" t="s">
        <v>5373</v>
      </c>
      <c r="H28" s="909" t="s">
        <v>5374</v>
      </c>
      <c r="I28" s="90" t="s">
        <v>5375</v>
      </c>
      <c r="J28" s="509" t="s">
        <v>5376</v>
      </c>
      <c r="K28" s="124" t="s">
        <v>5377</v>
      </c>
      <c r="L28" s="90" t="s">
        <v>5378</v>
      </c>
      <c r="M28" s="70"/>
      <c r="N28" s="70"/>
      <c r="O28" s="70"/>
      <c r="P28" s="140"/>
      <c r="Q28" s="140"/>
      <c r="R28" s="140"/>
      <c r="S28" s="14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69"/>
      <c r="CC28" s="69"/>
      <c r="CD28" s="289"/>
      <c r="CE28" s="289"/>
      <c r="CF28" s="289"/>
      <c r="CG28" s="289"/>
      <c r="CH28" s="289"/>
      <c r="CI28" s="289"/>
      <c r="CJ28" s="294"/>
      <c r="CK28" s="294"/>
      <c r="CL28" s="294"/>
      <c r="CM28" s="294"/>
      <c r="CN28" s="294"/>
      <c r="CO28" s="294"/>
      <c r="CP28" s="294"/>
      <c r="CQ28" s="289"/>
      <c r="CR28" s="295"/>
    </row>
    <row r="29" spans="1:96" ht="16.2" customHeight="1" x14ac:dyDescent="0.3">
      <c r="A29" s="7316">
        <v>19182110</v>
      </c>
      <c r="B29" s="1098" t="s">
        <v>1882</v>
      </c>
      <c r="C29" s="534" t="s">
        <v>5369</v>
      </c>
      <c r="D29" s="125" t="s">
        <v>5370</v>
      </c>
      <c r="E29" s="2496" t="s">
        <v>5371</v>
      </c>
      <c r="F29" s="2479" t="s">
        <v>5372</v>
      </c>
      <c r="G29" s="127" t="s">
        <v>5373</v>
      </c>
      <c r="H29" s="82" t="s">
        <v>5374</v>
      </c>
      <c r="I29" s="85" t="s">
        <v>5375</v>
      </c>
      <c r="J29" s="128" t="s">
        <v>5376</v>
      </c>
      <c r="K29" s="84" t="s">
        <v>5377</v>
      </c>
      <c r="L29" s="85" t="s">
        <v>5378</v>
      </c>
      <c r="M29" s="70"/>
      <c r="N29" s="70"/>
      <c r="O29" s="70"/>
      <c r="P29" s="140"/>
      <c r="Q29" s="140"/>
      <c r="R29" s="140"/>
      <c r="S29" s="14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69"/>
      <c r="CC29" s="69"/>
      <c r="CD29" s="289"/>
      <c r="CE29" s="289"/>
      <c r="CF29" s="289"/>
      <c r="CG29" s="289"/>
      <c r="CH29" s="289"/>
      <c r="CI29" s="289"/>
      <c r="CJ29" s="294"/>
      <c r="CK29" s="294"/>
      <c r="CL29" s="294"/>
      <c r="CM29" s="294"/>
      <c r="CN29" s="294"/>
      <c r="CO29" s="294"/>
      <c r="CP29" s="294"/>
      <c r="CQ29" s="289"/>
      <c r="CR29" s="295"/>
    </row>
    <row r="30" spans="1:96" ht="31.95" customHeight="1" x14ac:dyDescent="0.3">
      <c r="B30" s="72" t="s">
        <v>1883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69"/>
      <c r="CA30" s="69"/>
      <c r="CB30" s="289"/>
      <c r="CC30" s="289"/>
      <c r="CD30" s="289"/>
      <c r="CE30" s="289"/>
      <c r="CF30" s="289"/>
      <c r="CG30" s="289"/>
      <c r="CH30" s="294"/>
      <c r="CI30" s="294"/>
      <c r="CJ30" s="294"/>
      <c r="CK30" s="294"/>
      <c r="CL30" s="294"/>
      <c r="CM30" s="294"/>
      <c r="CN30" s="294"/>
      <c r="CO30" s="289"/>
      <c r="CP30" s="295"/>
    </row>
    <row r="31" spans="1:96" ht="16.2" customHeight="1" x14ac:dyDescent="0.3">
      <c r="B31" s="9976" t="s">
        <v>1884</v>
      </c>
      <c r="C31" s="9978"/>
      <c r="D31" s="8860" t="s">
        <v>1885</v>
      </c>
      <c r="E31" s="8861"/>
      <c r="F31" s="8861"/>
      <c r="G31" s="8861"/>
      <c r="H31" s="8711"/>
      <c r="I31" s="9970" t="s">
        <v>1886</v>
      </c>
      <c r="J31" s="9970"/>
      <c r="K31" s="9970"/>
      <c r="L31" s="9970"/>
      <c r="M31" s="9970" t="s">
        <v>1585</v>
      </c>
      <c r="N31" s="9970"/>
      <c r="O31" s="9970"/>
      <c r="P31" s="1218"/>
      <c r="Q31" s="140"/>
      <c r="R31" s="140"/>
      <c r="S31" s="14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69"/>
      <c r="CC31" s="69"/>
      <c r="CD31" s="289"/>
      <c r="CE31" s="289"/>
      <c r="CF31" s="289"/>
      <c r="CG31" s="289"/>
      <c r="CH31" s="289"/>
      <c r="CI31" s="289"/>
      <c r="CJ31" s="294"/>
      <c r="CK31" s="294"/>
      <c r="CL31" s="294"/>
      <c r="CM31" s="294"/>
      <c r="CN31" s="294"/>
      <c r="CO31" s="294"/>
      <c r="CP31" s="294"/>
      <c r="CQ31" s="289"/>
    </row>
    <row r="32" spans="1:96" ht="77.25" customHeight="1" x14ac:dyDescent="0.3">
      <c r="B32" s="10001"/>
      <c r="C32" s="8582"/>
      <c r="D32" s="1124" t="s">
        <v>1887</v>
      </c>
      <c r="E32" s="1158" t="s">
        <v>1888</v>
      </c>
      <c r="F32" s="1158" t="s">
        <v>1889</v>
      </c>
      <c r="G32" s="3759" t="s">
        <v>2672</v>
      </c>
      <c r="H32" s="954" t="s">
        <v>1890</v>
      </c>
      <c r="I32" s="1127" t="s">
        <v>1891</v>
      </c>
      <c r="J32" s="1219" t="s">
        <v>1892</v>
      </c>
      <c r="K32" s="954" t="s">
        <v>1893</v>
      </c>
      <c r="L32" s="1101" t="s">
        <v>1894</v>
      </c>
      <c r="M32" s="1220" t="s">
        <v>1895</v>
      </c>
      <c r="N32" s="1124" t="s">
        <v>1896</v>
      </c>
      <c r="O32" s="1148" t="s">
        <v>1897</v>
      </c>
      <c r="P32" s="107"/>
      <c r="Q32" s="140"/>
      <c r="R32" s="14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69"/>
      <c r="CC32" s="69"/>
      <c r="CD32" s="289"/>
      <c r="CE32" s="289"/>
      <c r="CF32" s="289"/>
      <c r="CG32" s="289"/>
      <c r="CH32" s="289"/>
      <c r="CI32" s="289"/>
      <c r="CJ32" s="294"/>
      <c r="CK32" s="294"/>
      <c r="CL32" s="294"/>
      <c r="CM32" s="294"/>
      <c r="CN32" s="294"/>
      <c r="CO32" s="294"/>
      <c r="CP32" s="294"/>
      <c r="CQ32" s="289"/>
    </row>
    <row r="33" spans="1:95" ht="16.2" customHeight="1" x14ac:dyDescent="0.3">
      <c r="A33" s="7258">
        <v>19150600</v>
      </c>
      <c r="B33" s="10172" t="s">
        <v>1898</v>
      </c>
      <c r="C33" s="10173"/>
      <c r="D33" s="695" t="s">
        <v>5369</v>
      </c>
      <c r="E33" s="714" t="s">
        <v>5370</v>
      </c>
      <c r="F33" s="714" t="s">
        <v>5371</v>
      </c>
      <c r="G33" s="2722" t="s">
        <v>5372</v>
      </c>
      <c r="H33" s="714" t="s">
        <v>5373</v>
      </c>
      <c r="I33" s="1187" t="s">
        <v>5374</v>
      </c>
      <c r="J33" s="714" t="s">
        <v>5375</v>
      </c>
      <c r="K33" s="714" t="s">
        <v>5376</v>
      </c>
      <c r="L33" s="702" t="s">
        <v>5377</v>
      </c>
      <c r="M33" s="748" t="s">
        <v>5378</v>
      </c>
      <c r="N33" s="695" t="s">
        <v>5379</v>
      </c>
      <c r="O33" s="1151" t="s">
        <v>5380</v>
      </c>
      <c r="P33" s="898"/>
      <c r="Q33" s="140"/>
      <c r="R33" s="14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69"/>
      <c r="CC33" s="69"/>
      <c r="CD33" s="289"/>
      <c r="CE33" s="289"/>
      <c r="CF33" s="289"/>
      <c r="CG33" s="289"/>
      <c r="CH33" s="289"/>
      <c r="CI33" s="289"/>
      <c r="CJ33" s="294"/>
      <c r="CK33" s="294"/>
      <c r="CL33" s="294"/>
      <c r="CM33" s="294"/>
      <c r="CN33" s="294"/>
      <c r="CO33" s="294"/>
      <c r="CP33" s="294"/>
      <c r="CQ33" s="289"/>
    </row>
    <row r="34" spans="1:95" ht="16.2" customHeight="1" x14ac:dyDescent="0.3">
      <c r="A34" s="7258">
        <v>19140616</v>
      </c>
      <c r="B34" s="10013" t="s">
        <v>1209</v>
      </c>
      <c r="C34" s="10014"/>
      <c r="D34" s="1114" t="s">
        <v>5369</v>
      </c>
      <c r="E34" s="1135" t="s">
        <v>5370</v>
      </c>
      <c r="F34" s="1135" t="s">
        <v>5371</v>
      </c>
      <c r="G34" s="2493" t="s">
        <v>5372</v>
      </c>
      <c r="H34" s="1135" t="s">
        <v>5373</v>
      </c>
      <c r="I34" s="1134" t="s">
        <v>5374</v>
      </c>
      <c r="J34" s="1135" t="s">
        <v>5375</v>
      </c>
      <c r="K34" s="1135" t="s">
        <v>5376</v>
      </c>
      <c r="L34" s="1118" t="s">
        <v>5377</v>
      </c>
      <c r="M34" s="1112" t="s">
        <v>5378</v>
      </c>
      <c r="N34" s="1114" t="s">
        <v>5379</v>
      </c>
      <c r="O34" s="1115" t="s">
        <v>5380</v>
      </c>
      <c r="P34" s="898"/>
      <c r="Q34" s="140"/>
      <c r="R34" s="14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69"/>
      <c r="CC34" s="69"/>
      <c r="CD34" s="289"/>
      <c r="CE34" s="289"/>
      <c r="CF34" s="289"/>
      <c r="CG34" s="289"/>
      <c r="CH34" s="289"/>
      <c r="CI34" s="289"/>
      <c r="CJ34" s="294"/>
      <c r="CK34" s="294"/>
      <c r="CL34" s="294"/>
      <c r="CM34" s="294"/>
      <c r="CN34" s="294"/>
      <c r="CO34" s="294"/>
      <c r="CP34" s="294"/>
      <c r="CQ34" s="289"/>
    </row>
    <row r="35" spans="1:95" ht="16.2" customHeight="1" x14ac:dyDescent="0.3">
      <c r="A35" s="7258">
        <v>19140617</v>
      </c>
      <c r="B35" s="10013" t="s">
        <v>1899</v>
      </c>
      <c r="C35" s="10014"/>
      <c r="D35" s="1114" t="s">
        <v>5369</v>
      </c>
      <c r="E35" s="1135" t="s">
        <v>5370</v>
      </c>
      <c r="F35" s="1135" t="s">
        <v>5371</v>
      </c>
      <c r="G35" s="2493" t="s">
        <v>5372</v>
      </c>
      <c r="H35" s="1135" t="s">
        <v>5373</v>
      </c>
      <c r="I35" s="1134" t="s">
        <v>5374</v>
      </c>
      <c r="J35" s="1135" t="s">
        <v>5375</v>
      </c>
      <c r="K35" s="1135" t="s">
        <v>5376</v>
      </c>
      <c r="L35" s="1118" t="s">
        <v>5377</v>
      </c>
      <c r="M35" s="1112" t="s">
        <v>5378</v>
      </c>
      <c r="N35" s="1114" t="s">
        <v>5379</v>
      </c>
      <c r="O35" s="1115" t="s">
        <v>5380</v>
      </c>
      <c r="P35" s="898"/>
      <c r="Q35" s="140"/>
      <c r="R35" s="14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69"/>
      <c r="CC35" s="69"/>
      <c r="CD35" s="289"/>
      <c r="CE35" s="289"/>
      <c r="CF35" s="289"/>
      <c r="CG35" s="289"/>
      <c r="CH35" s="289"/>
      <c r="CI35" s="289"/>
      <c r="CJ35" s="294"/>
      <c r="CK35" s="294"/>
      <c r="CL35" s="294"/>
      <c r="CM35" s="294"/>
      <c r="CN35" s="294"/>
      <c r="CO35" s="294"/>
      <c r="CP35" s="294"/>
      <c r="CQ35" s="289"/>
    </row>
    <row r="36" spans="1:95" ht="16.2" customHeight="1" x14ac:dyDescent="0.3">
      <c r="A36" s="7258">
        <v>19140618</v>
      </c>
      <c r="B36" s="10013" t="s">
        <v>1900</v>
      </c>
      <c r="C36" s="10014"/>
      <c r="D36" s="1114" t="s">
        <v>5369</v>
      </c>
      <c r="E36" s="1135" t="s">
        <v>5370</v>
      </c>
      <c r="F36" s="1135" t="s">
        <v>5371</v>
      </c>
      <c r="G36" s="2493" t="s">
        <v>5372</v>
      </c>
      <c r="H36" s="1135" t="s">
        <v>5373</v>
      </c>
      <c r="I36" s="1134" t="s">
        <v>5374</v>
      </c>
      <c r="J36" s="1135" t="s">
        <v>5375</v>
      </c>
      <c r="K36" s="1135" t="s">
        <v>5376</v>
      </c>
      <c r="L36" s="1118" t="s">
        <v>5377</v>
      </c>
      <c r="M36" s="1112" t="s">
        <v>5378</v>
      </c>
      <c r="N36" s="1114" t="s">
        <v>5379</v>
      </c>
      <c r="O36" s="1115" t="s">
        <v>5380</v>
      </c>
      <c r="P36" s="898"/>
      <c r="Q36" s="140"/>
      <c r="R36" s="14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69"/>
      <c r="CC36" s="69"/>
      <c r="CD36" s="289"/>
      <c r="CE36" s="289"/>
      <c r="CF36" s="289"/>
      <c r="CG36" s="289"/>
      <c r="CH36" s="289"/>
      <c r="CI36" s="289"/>
      <c r="CJ36" s="294"/>
      <c r="CK36" s="294"/>
      <c r="CL36" s="294"/>
      <c r="CM36" s="294"/>
      <c r="CN36" s="294"/>
      <c r="CO36" s="294"/>
      <c r="CP36" s="294"/>
      <c r="CQ36" s="289"/>
    </row>
    <row r="37" spans="1:95" ht="16.2" customHeight="1" x14ac:dyDescent="0.3">
      <c r="A37" s="7258">
        <v>19150700</v>
      </c>
      <c r="B37" s="10013" t="s">
        <v>1901</v>
      </c>
      <c r="C37" s="10014"/>
      <c r="D37" s="1114" t="s">
        <v>5369</v>
      </c>
      <c r="E37" s="1135" t="s">
        <v>5370</v>
      </c>
      <c r="F37" s="1135" t="s">
        <v>5371</v>
      </c>
      <c r="G37" s="2493" t="s">
        <v>5372</v>
      </c>
      <c r="H37" s="1135" t="s">
        <v>5373</v>
      </c>
      <c r="I37" s="1134" t="s">
        <v>5374</v>
      </c>
      <c r="J37" s="1135" t="s">
        <v>5375</v>
      </c>
      <c r="K37" s="1135" t="s">
        <v>5376</v>
      </c>
      <c r="L37" s="1118" t="s">
        <v>5377</v>
      </c>
      <c r="M37" s="1221" t="s">
        <v>5378</v>
      </c>
      <c r="N37" s="1132" t="s">
        <v>5379</v>
      </c>
      <c r="O37" s="1217" t="s">
        <v>5380</v>
      </c>
      <c r="P37" s="898"/>
      <c r="Q37" s="140"/>
      <c r="R37" s="14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69"/>
      <c r="CC37" s="69"/>
      <c r="CD37" s="289"/>
      <c r="CE37" s="289"/>
      <c r="CF37" s="289"/>
      <c r="CG37" s="289"/>
      <c r="CH37" s="289"/>
      <c r="CI37" s="289"/>
      <c r="CJ37" s="294"/>
      <c r="CK37" s="294"/>
      <c r="CL37" s="294"/>
      <c r="CM37" s="294"/>
      <c r="CN37" s="294"/>
      <c r="CO37" s="294"/>
      <c r="CP37" s="294"/>
      <c r="CQ37" s="289"/>
    </row>
    <row r="38" spans="1:95" ht="16.2" customHeight="1" x14ac:dyDescent="0.3">
      <c r="A38" s="7258">
        <v>19140620</v>
      </c>
      <c r="B38" s="10013" t="s">
        <v>1902</v>
      </c>
      <c r="C38" s="10014"/>
      <c r="D38" s="1114" t="s">
        <v>5369</v>
      </c>
      <c r="E38" s="1135" t="s">
        <v>5370</v>
      </c>
      <c r="F38" s="1135" t="s">
        <v>5371</v>
      </c>
      <c r="G38" s="2493" t="s">
        <v>5372</v>
      </c>
      <c r="H38" s="1135" t="s">
        <v>5373</v>
      </c>
      <c r="I38" s="1134" t="s">
        <v>5374</v>
      </c>
      <c r="J38" s="1135" t="s">
        <v>5375</v>
      </c>
      <c r="K38" s="1135" t="s">
        <v>5376</v>
      </c>
      <c r="L38" s="1118" t="s">
        <v>5377</v>
      </c>
      <c r="M38" s="1221" t="s">
        <v>5378</v>
      </c>
      <c r="N38" s="1132" t="s">
        <v>5379</v>
      </c>
      <c r="O38" s="1217" t="s">
        <v>5380</v>
      </c>
      <c r="P38" s="898"/>
      <c r="Q38" s="140"/>
      <c r="R38" s="14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69"/>
      <c r="CC38" s="69"/>
      <c r="CD38" s="289"/>
      <c r="CE38" s="289"/>
      <c r="CF38" s="289"/>
      <c r="CG38" s="289"/>
      <c r="CH38" s="289"/>
      <c r="CI38" s="289"/>
      <c r="CJ38" s="294"/>
      <c r="CK38" s="294"/>
      <c r="CL38" s="294"/>
      <c r="CM38" s="294"/>
      <c r="CN38" s="294"/>
      <c r="CO38" s="294"/>
      <c r="CP38" s="294"/>
      <c r="CQ38" s="289"/>
    </row>
    <row r="39" spans="1:95" ht="16.2" customHeight="1" x14ac:dyDescent="0.3">
      <c r="A39" s="7258">
        <v>19150860</v>
      </c>
      <c r="B39" s="10013" t="s">
        <v>1903</v>
      </c>
      <c r="C39" s="10014"/>
      <c r="D39" s="1114" t="s">
        <v>5369</v>
      </c>
      <c r="E39" s="1135" t="s">
        <v>5370</v>
      </c>
      <c r="F39" s="1135" t="s">
        <v>5371</v>
      </c>
      <c r="G39" s="2493" t="s">
        <v>5372</v>
      </c>
      <c r="H39" s="1135" t="s">
        <v>5373</v>
      </c>
      <c r="I39" s="1134" t="s">
        <v>5374</v>
      </c>
      <c r="J39" s="1135" t="s">
        <v>5375</v>
      </c>
      <c r="K39" s="1135" t="s">
        <v>5376</v>
      </c>
      <c r="L39" s="1118" t="s">
        <v>5377</v>
      </c>
      <c r="M39" s="1196" t="s">
        <v>5378</v>
      </c>
      <c r="N39" s="1132" t="s">
        <v>5379</v>
      </c>
      <c r="O39" s="1217" t="s">
        <v>5380</v>
      </c>
      <c r="P39" s="898"/>
      <c r="Q39" s="140"/>
      <c r="R39" s="14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69"/>
      <c r="CC39" s="69"/>
      <c r="CD39" s="289"/>
      <c r="CE39" s="289"/>
      <c r="CF39" s="289"/>
      <c r="CG39" s="289"/>
      <c r="CH39" s="289"/>
      <c r="CI39" s="289"/>
      <c r="CJ39" s="294"/>
      <c r="CK39" s="294"/>
      <c r="CL39" s="294"/>
      <c r="CM39" s="294"/>
      <c r="CN39" s="294"/>
      <c r="CO39" s="294"/>
      <c r="CP39" s="294"/>
      <c r="CQ39" s="289"/>
    </row>
    <row r="40" spans="1:95" ht="16.2" customHeight="1" x14ac:dyDescent="0.3">
      <c r="A40" s="7258">
        <v>19140621</v>
      </c>
      <c r="B40" s="10013" t="s">
        <v>1904</v>
      </c>
      <c r="C40" s="10014"/>
      <c r="D40" s="1114" t="s">
        <v>5369</v>
      </c>
      <c r="E40" s="1135" t="s">
        <v>5370</v>
      </c>
      <c r="F40" s="1135" t="s">
        <v>5371</v>
      </c>
      <c r="G40" s="2493" t="s">
        <v>5372</v>
      </c>
      <c r="H40" s="1135" t="s">
        <v>5373</v>
      </c>
      <c r="I40" s="1134" t="s">
        <v>5374</v>
      </c>
      <c r="J40" s="1135" t="s">
        <v>5375</v>
      </c>
      <c r="K40" s="1135" t="s">
        <v>5376</v>
      </c>
      <c r="L40" s="1118" t="s">
        <v>5377</v>
      </c>
      <c r="M40" s="1196" t="s">
        <v>5378</v>
      </c>
      <c r="N40" s="1132" t="s">
        <v>5379</v>
      </c>
      <c r="O40" s="1217" t="s">
        <v>5380</v>
      </c>
      <c r="P40" s="898"/>
      <c r="Q40" s="140"/>
      <c r="R40" s="14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69"/>
      <c r="CC40" s="69"/>
      <c r="CD40" s="289"/>
      <c r="CE40" s="289"/>
      <c r="CF40" s="289"/>
      <c r="CG40" s="289"/>
      <c r="CH40" s="289"/>
      <c r="CI40" s="289"/>
      <c r="CJ40" s="294"/>
      <c r="CK40" s="294"/>
      <c r="CL40" s="294"/>
      <c r="CM40" s="294"/>
      <c r="CN40" s="294"/>
      <c r="CO40" s="294"/>
      <c r="CP40" s="294"/>
      <c r="CQ40" s="289"/>
    </row>
    <row r="41" spans="1:95" ht="16.2" customHeight="1" x14ac:dyDescent="0.3">
      <c r="A41" s="7258">
        <v>19140622</v>
      </c>
      <c r="B41" s="10013" t="s">
        <v>1905</v>
      </c>
      <c r="C41" s="10014"/>
      <c r="D41" s="1114" t="s">
        <v>5369</v>
      </c>
      <c r="E41" s="1135" t="s">
        <v>5370</v>
      </c>
      <c r="F41" s="1135" t="s">
        <v>5371</v>
      </c>
      <c r="G41" s="2493" t="s">
        <v>5372</v>
      </c>
      <c r="H41" s="1135" t="s">
        <v>5373</v>
      </c>
      <c r="I41" s="1134" t="s">
        <v>5374</v>
      </c>
      <c r="J41" s="1135" t="s">
        <v>5375</v>
      </c>
      <c r="K41" s="1135" t="s">
        <v>5376</v>
      </c>
      <c r="L41" s="1118" t="s">
        <v>5377</v>
      </c>
      <c r="M41" s="1112" t="s">
        <v>5378</v>
      </c>
      <c r="N41" s="1114" t="s">
        <v>5379</v>
      </c>
      <c r="O41" s="1115" t="s">
        <v>5380</v>
      </c>
      <c r="P41" s="898"/>
      <c r="Q41" s="140"/>
      <c r="R41" s="14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69"/>
      <c r="CC41" s="69"/>
      <c r="CD41" s="289"/>
      <c r="CE41" s="289"/>
      <c r="CF41" s="289"/>
      <c r="CG41" s="289"/>
      <c r="CH41" s="289"/>
      <c r="CI41" s="289"/>
      <c r="CJ41" s="294"/>
      <c r="CK41" s="294"/>
      <c r="CL41" s="294"/>
      <c r="CM41" s="294"/>
      <c r="CN41" s="294"/>
      <c r="CO41" s="294"/>
      <c r="CP41" s="294"/>
      <c r="CQ41" s="289"/>
    </row>
    <row r="42" spans="1:95" ht="16.2" customHeight="1" x14ac:dyDescent="0.3">
      <c r="A42" s="7258">
        <v>19140623</v>
      </c>
      <c r="B42" s="10174" t="s">
        <v>1906</v>
      </c>
      <c r="C42" s="10175"/>
      <c r="D42" s="1167" t="s">
        <v>5369</v>
      </c>
      <c r="E42" s="115" t="s">
        <v>5370</v>
      </c>
      <c r="F42" s="115" t="s">
        <v>5371</v>
      </c>
      <c r="G42" s="2568" t="s">
        <v>5372</v>
      </c>
      <c r="H42" s="115" t="s">
        <v>5373</v>
      </c>
      <c r="I42" s="113" t="s">
        <v>5374</v>
      </c>
      <c r="J42" s="115" t="s">
        <v>5375</v>
      </c>
      <c r="K42" s="115" t="s">
        <v>5376</v>
      </c>
      <c r="L42" s="138" t="s">
        <v>5377</v>
      </c>
      <c r="M42" s="1222" t="s">
        <v>5378</v>
      </c>
      <c r="N42" s="1223" t="s">
        <v>5379</v>
      </c>
      <c r="O42" s="170" t="s">
        <v>5380</v>
      </c>
      <c r="P42" s="898"/>
      <c r="Q42" s="140"/>
      <c r="R42" s="14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69"/>
      <c r="CC42" s="69"/>
      <c r="CD42" s="289"/>
      <c r="CE42" s="289"/>
      <c r="CF42" s="289"/>
      <c r="CG42" s="289"/>
      <c r="CH42" s="289"/>
      <c r="CI42" s="289"/>
      <c r="CJ42" s="294"/>
      <c r="CK42" s="294"/>
      <c r="CL42" s="294"/>
      <c r="CM42" s="294"/>
      <c r="CN42" s="294"/>
      <c r="CO42" s="294"/>
      <c r="CP42" s="294"/>
      <c r="CQ42" s="289"/>
    </row>
    <row r="43" spans="1:95" ht="16.2" customHeight="1" x14ac:dyDescent="0.3">
      <c r="A43" s="7258">
        <v>19181100</v>
      </c>
      <c r="B43" s="10176" t="s">
        <v>1907</v>
      </c>
      <c r="C43" s="10177"/>
      <c r="D43" s="1167" t="s">
        <v>5369</v>
      </c>
      <c r="E43" s="115" t="s">
        <v>5370</v>
      </c>
      <c r="F43" s="115" t="s">
        <v>5371</v>
      </c>
      <c r="G43" s="2568" t="s">
        <v>5372</v>
      </c>
      <c r="H43" s="115" t="s">
        <v>5373</v>
      </c>
      <c r="I43" s="263" t="s">
        <v>5374</v>
      </c>
      <c r="J43" s="113" t="s">
        <v>5375</v>
      </c>
      <c r="K43" s="115" t="s">
        <v>5376</v>
      </c>
      <c r="L43" s="138" t="s">
        <v>5377</v>
      </c>
      <c r="M43" s="1112" t="s">
        <v>5378</v>
      </c>
      <c r="N43" s="1167" t="s">
        <v>5379</v>
      </c>
      <c r="O43" s="164" t="s">
        <v>5380</v>
      </c>
      <c r="P43" s="898"/>
      <c r="Q43" s="140"/>
      <c r="R43" s="14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69"/>
      <c r="CC43" s="69"/>
      <c r="CD43" s="289"/>
      <c r="CE43" s="289"/>
      <c r="CF43" s="289"/>
      <c r="CG43" s="289"/>
      <c r="CH43" s="289"/>
      <c r="CI43" s="289"/>
      <c r="CJ43" s="294"/>
      <c r="CK43" s="294"/>
      <c r="CL43" s="294"/>
      <c r="CM43" s="294"/>
      <c r="CN43" s="294"/>
      <c r="CO43" s="294"/>
      <c r="CP43" s="294"/>
      <c r="CQ43" s="289"/>
    </row>
    <row r="44" spans="1:95" ht="16.2" customHeight="1" x14ac:dyDescent="0.3">
      <c r="A44" s="7318"/>
      <c r="B44" s="10178" t="s">
        <v>1908</v>
      </c>
      <c r="C44" s="10179"/>
      <c r="D44" s="1109">
        <f>SUM(D33:D43)</f>
        <v>0</v>
      </c>
      <c r="E44" s="1224">
        <f>SUM(E33:E43)</f>
        <v>0</v>
      </c>
      <c r="F44" s="1224">
        <f>SUM(F33:F43)</f>
        <v>0</v>
      </c>
      <c r="G44" s="2723">
        <f>SUM(G33:G43)</f>
        <v>0</v>
      </c>
      <c r="H44" s="1224">
        <f>SUM(H33:H43)</f>
        <v>0</v>
      </c>
      <c r="I44" s="1225">
        <f>SUM(I33:I42)</f>
        <v>0</v>
      </c>
      <c r="J44" s="1224">
        <f>SUM(J33:J43)</f>
        <v>0</v>
      </c>
      <c r="K44" s="1224">
        <f>SUM(K33:K43)</f>
        <v>0</v>
      </c>
      <c r="L44" s="717">
        <f>SUM(L33:L43)</f>
        <v>0</v>
      </c>
      <c r="M44" s="1108" t="e">
        <f>SUM(M33+M34+M35+M36+M39+M40+M41+M43)</f>
        <v>#VALUE!</v>
      </c>
      <c r="N44" s="1109" t="e">
        <f>SUM(N33+N34+N35+N36+N41+N43)</f>
        <v>#VALUE!</v>
      </c>
      <c r="O44" s="1110" t="e">
        <f>SUM(O33+O34+O35+O36+O41+O43)</f>
        <v>#VALUE!</v>
      </c>
      <c r="P44" s="898"/>
      <c r="Q44" s="140"/>
      <c r="R44" s="14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69"/>
      <c r="CC44" s="69"/>
      <c r="CD44" s="289"/>
      <c r="CE44" s="289"/>
      <c r="CF44" s="289"/>
      <c r="CG44" s="289"/>
      <c r="CH44" s="289"/>
      <c r="CI44" s="289"/>
      <c r="CJ44" s="294"/>
      <c r="CK44" s="294"/>
      <c r="CL44" s="294"/>
      <c r="CM44" s="294"/>
      <c r="CN44" s="294"/>
      <c r="CO44" s="294"/>
      <c r="CP44" s="294"/>
      <c r="CQ44" s="289"/>
    </row>
    <row r="45" spans="1:95" ht="16.2" customHeight="1" x14ac:dyDescent="0.3">
      <c r="A45" s="7258">
        <v>19180300</v>
      </c>
      <c r="B45" s="10180" t="s">
        <v>1909</v>
      </c>
      <c r="C45" s="10181"/>
      <c r="D45" s="1226" t="s">
        <v>5369</v>
      </c>
      <c r="E45" s="1227" t="s">
        <v>5370</v>
      </c>
      <c r="F45" s="1227" t="s">
        <v>5371</v>
      </c>
      <c r="G45" s="2724" t="s">
        <v>5372</v>
      </c>
      <c r="H45" s="1227" t="s">
        <v>5373</v>
      </c>
      <c r="I45" s="1228" t="s">
        <v>5374</v>
      </c>
      <c r="J45" s="1227" t="s">
        <v>5375</v>
      </c>
      <c r="K45" s="1227" t="s">
        <v>5376</v>
      </c>
      <c r="L45" s="709" t="s">
        <v>5377</v>
      </c>
      <c r="M45" s="1108" t="s">
        <v>5378</v>
      </c>
      <c r="N45" s="1226" t="s">
        <v>5379</v>
      </c>
      <c r="O45" s="1229" t="s">
        <v>5380</v>
      </c>
      <c r="P45" s="898"/>
      <c r="Q45" s="140"/>
      <c r="R45" s="14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69"/>
      <c r="CC45" s="69"/>
      <c r="CD45" s="289"/>
      <c r="CE45" s="289"/>
      <c r="CF45" s="289"/>
      <c r="CG45" s="289"/>
      <c r="CH45" s="289"/>
      <c r="CI45" s="289"/>
      <c r="CJ45" s="294"/>
      <c r="CK45" s="294"/>
      <c r="CL45" s="294"/>
      <c r="CM45" s="294"/>
      <c r="CN45" s="294"/>
      <c r="CO45" s="294"/>
      <c r="CP45" s="294"/>
      <c r="CQ45" s="289"/>
    </row>
    <row r="46" spans="1:95" ht="31.95" customHeight="1" x14ac:dyDescent="0.3"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69"/>
      <c r="BW46" s="69"/>
      <c r="BX46" s="289"/>
      <c r="BY46" s="289"/>
      <c r="BZ46" s="289"/>
      <c r="CA46" s="289"/>
      <c r="CB46" s="289"/>
      <c r="CC46" s="289"/>
      <c r="CD46" s="294"/>
      <c r="CE46" s="294"/>
      <c r="CF46" s="294"/>
      <c r="CG46" s="294"/>
      <c r="CH46" s="294"/>
      <c r="CI46" s="294"/>
      <c r="CJ46" s="294"/>
      <c r="CK46" s="289"/>
      <c r="CL46" s="295"/>
    </row>
    <row r="47" spans="1:95" ht="25.2" customHeight="1" x14ac:dyDescent="0.3"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69"/>
      <c r="BW47" s="69"/>
      <c r="BX47" s="289"/>
      <c r="BY47" s="289"/>
      <c r="BZ47" s="289"/>
      <c r="CA47" s="289"/>
      <c r="CB47" s="289"/>
      <c r="CC47" s="289"/>
      <c r="CD47" s="294"/>
      <c r="CE47" s="294"/>
      <c r="CF47" s="294"/>
      <c r="CG47" s="294"/>
      <c r="CH47" s="294"/>
      <c r="CI47" s="294"/>
      <c r="CJ47" s="294"/>
      <c r="CK47" s="289"/>
      <c r="CL47" s="295"/>
    </row>
    <row r="48" spans="1:95" ht="16.2" customHeight="1" x14ac:dyDescent="0.3">
      <c r="B48" s="107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69"/>
      <c r="BW48" s="69"/>
      <c r="BX48" s="289" t="e">
        <f>IF(#REF!&gt;#REF!,"Casos/Instituciones deben ser menor o iguales al total Reuniones A. Mayor","")</f>
        <v>#REF!</v>
      </c>
      <c r="BY48" s="289"/>
      <c r="BZ48" s="289"/>
      <c r="CA48" s="289"/>
      <c r="CB48" s="289"/>
      <c r="CC48" s="289"/>
      <c r="CD48" s="294"/>
      <c r="CE48" s="294"/>
      <c r="CF48" s="294"/>
      <c r="CG48" s="294"/>
      <c r="CH48" s="294"/>
      <c r="CI48" s="294"/>
      <c r="CJ48" s="294"/>
      <c r="CK48" s="289"/>
      <c r="CL48" s="295"/>
    </row>
    <row r="49" spans="2:92" ht="16.2" customHeight="1" x14ac:dyDescent="0.3"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69"/>
      <c r="BW49" s="69"/>
      <c r="BX49" s="289"/>
      <c r="BY49" s="289"/>
      <c r="BZ49" s="289"/>
      <c r="CA49" s="289"/>
      <c r="CB49" s="289"/>
      <c r="CC49" s="289"/>
      <c r="CD49" s="294"/>
      <c r="CE49" s="294"/>
      <c r="CF49" s="294"/>
      <c r="CG49" s="294"/>
      <c r="CH49" s="294"/>
      <c r="CI49" s="294"/>
      <c r="CJ49" s="294"/>
    </row>
    <row r="50" spans="2:92" x14ac:dyDescent="0.3"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69"/>
      <c r="CA50" s="69"/>
      <c r="CB50" s="289"/>
      <c r="CC50" s="289"/>
      <c r="CD50" s="289"/>
      <c r="CE50" s="289"/>
      <c r="CF50" s="289"/>
      <c r="CG50" s="289"/>
      <c r="CH50" s="294"/>
      <c r="CI50" s="294"/>
      <c r="CJ50" s="294"/>
      <c r="CK50" s="294"/>
      <c r="CL50" s="294"/>
      <c r="CM50" s="294"/>
      <c r="CN50" s="294"/>
    </row>
    <row r="194" spans="2:105" ht="11.25" customHeight="1" x14ac:dyDescent="0.3"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E194" s="70"/>
      <c r="BF194" s="70"/>
      <c r="BG194" s="70"/>
      <c r="BH194" s="70"/>
      <c r="BI194" s="70"/>
      <c r="BJ194" s="70"/>
      <c r="BK194" s="70"/>
      <c r="BL194" s="70"/>
      <c r="BM194" s="70"/>
      <c r="BN194" s="70"/>
      <c r="BO194" s="70"/>
      <c r="BP194" s="70"/>
      <c r="BQ194" s="70"/>
      <c r="BR194" s="70"/>
      <c r="BS194" s="70"/>
      <c r="BT194" s="70"/>
      <c r="BU194" s="70"/>
      <c r="BV194" s="70"/>
      <c r="BW194" s="70"/>
      <c r="BX194" s="70"/>
      <c r="BY194" s="70"/>
      <c r="BZ194" s="69"/>
      <c r="CA194" s="69"/>
      <c r="CB194" s="289"/>
      <c r="CC194" s="289"/>
      <c r="CD194" s="289"/>
      <c r="CE194" s="289"/>
      <c r="CF194" s="289"/>
      <c r="CG194" s="289"/>
      <c r="CH194" s="289"/>
      <c r="CI194" s="289"/>
      <c r="CJ194" s="289"/>
      <c r="CK194" s="289"/>
      <c r="CL194" s="289"/>
      <c r="CM194" s="289"/>
      <c r="CN194" s="289"/>
      <c r="CO194" s="289"/>
      <c r="CP194" s="295"/>
      <c r="CQ194" s="295"/>
      <c r="CR194" s="295"/>
      <c r="CS194" s="295"/>
      <c r="CT194" s="295"/>
      <c r="CU194" s="295"/>
      <c r="CV194" s="295"/>
      <c r="CW194" s="295"/>
      <c r="CX194" s="295"/>
      <c r="CY194" s="295"/>
      <c r="CZ194" s="295"/>
      <c r="DA194" s="295"/>
    </row>
    <row r="195" spans="2:105" s="496" customFormat="1" ht="13.8" hidden="1" x14ac:dyDescent="0.25">
      <c r="B195" s="496" t="e">
        <f>SUM(C11,C25:C29,D44:O44)</f>
        <v>#VALUE!</v>
      </c>
      <c r="C195" s="496">
        <f>SUM(CH6:CN50)</f>
        <v>0</v>
      </c>
      <c r="BZ195" s="818"/>
      <c r="CA195" s="818"/>
      <c r="CB195" s="289"/>
      <c r="CC195" s="289"/>
      <c r="CD195" s="289"/>
      <c r="CE195" s="289"/>
      <c r="CF195" s="289"/>
      <c r="CG195" s="289"/>
      <c r="CH195" s="289"/>
      <c r="CI195" s="289"/>
      <c r="CJ195" s="289"/>
      <c r="CK195" s="289"/>
      <c r="CL195" s="289"/>
      <c r="CM195" s="289"/>
      <c r="CN195" s="289"/>
      <c r="CO195" s="289"/>
      <c r="CP195" s="295"/>
      <c r="CQ195" s="295"/>
      <c r="CR195" s="295"/>
      <c r="CS195" s="295"/>
      <c r="CT195" s="295"/>
      <c r="CU195" s="295"/>
      <c r="CV195" s="295"/>
      <c r="CW195" s="295"/>
      <c r="CX195" s="295"/>
      <c r="CY195" s="295"/>
      <c r="CZ195" s="295"/>
      <c r="DA195" s="295"/>
    </row>
    <row r="196" spans="2:105" x14ac:dyDescent="0.3"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E196" s="70"/>
      <c r="BF196" s="70"/>
      <c r="BG196" s="70"/>
      <c r="BH196" s="70"/>
      <c r="BI196" s="70"/>
      <c r="BJ196" s="70"/>
      <c r="BK196" s="70"/>
      <c r="BL196" s="70"/>
      <c r="BM196" s="70"/>
      <c r="BN196" s="70"/>
      <c r="BO196" s="70"/>
      <c r="BP196" s="70"/>
      <c r="BQ196" s="70"/>
      <c r="BR196" s="70"/>
      <c r="BS196" s="70"/>
      <c r="BT196" s="70"/>
      <c r="BU196" s="70"/>
      <c r="BV196" s="70"/>
      <c r="BW196" s="70"/>
      <c r="BX196" s="70"/>
      <c r="BY196" s="70"/>
      <c r="BZ196" s="69"/>
      <c r="CA196" s="69"/>
      <c r="CB196" s="289"/>
      <c r="CC196" s="289"/>
      <c r="CD196" s="289"/>
      <c r="CE196" s="289"/>
      <c r="CF196" s="289"/>
      <c r="CG196" s="289"/>
      <c r="CH196" s="289"/>
      <c r="CI196" s="289"/>
      <c r="CJ196" s="289"/>
      <c r="CK196" s="289"/>
      <c r="CL196" s="289"/>
      <c r="CM196" s="289"/>
      <c r="CN196" s="289"/>
      <c r="CO196" s="289"/>
      <c r="CP196" s="295"/>
      <c r="CQ196" s="295"/>
      <c r="CR196" s="295"/>
      <c r="CS196" s="295"/>
      <c r="CT196" s="295"/>
      <c r="CU196" s="295"/>
      <c r="CV196" s="295"/>
      <c r="CW196" s="295"/>
      <c r="CX196" s="295"/>
      <c r="CY196" s="295"/>
      <c r="CZ196" s="295"/>
      <c r="DA196" s="295"/>
    </row>
  </sheetData>
  <mergeCells count="23">
    <mergeCell ref="B41:C41"/>
    <mergeCell ref="B42:C42"/>
    <mergeCell ref="B43:C43"/>
    <mergeCell ref="B44:C44"/>
    <mergeCell ref="B45:C45"/>
    <mergeCell ref="B40:C40"/>
    <mergeCell ref="B31:C32"/>
    <mergeCell ref="I31:L31"/>
    <mergeCell ref="M31:O31"/>
    <mergeCell ref="B33:C33"/>
    <mergeCell ref="B34:C34"/>
    <mergeCell ref="B35:C35"/>
    <mergeCell ref="B36:C36"/>
    <mergeCell ref="B37:C37"/>
    <mergeCell ref="B38:C38"/>
    <mergeCell ref="B39:C39"/>
    <mergeCell ref="D31:H31"/>
    <mergeCell ref="B6:Q6"/>
    <mergeCell ref="B9:B10"/>
    <mergeCell ref="H9:I9"/>
    <mergeCell ref="J9:J10"/>
    <mergeCell ref="K9:L9"/>
    <mergeCell ref="C9:G9"/>
  </mergeCells>
  <dataValidations count="1">
    <dataValidation allowBlank="1" showInputMessage="1" showErrorMessage="1" errorTitle="Error" error="Por favor ingrese números enteros" sqref="A12:A29 A33:A43 A45" xr:uid="{A4561199-1E55-4FFD-B84D-258B75A3F94B}"/>
  </dataValidations>
  <pageMargins left="0.7" right="0.7" top="0.75" bottom="0.75" header="0.3" footer="0.3"/>
  <pageSetup orientation="portrait" r:id="rId1"/>
  <ignoredErrors>
    <ignoredError sqref="I44 M44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/>
  <dimension ref="A1:DA162"/>
  <sheetViews>
    <sheetView showGridLines="0" zoomScaleNormal="100" workbookViewId="0"/>
  </sheetViews>
  <sheetFormatPr baseColWidth="10" defaultColWidth="11.44140625" defaultRowHeight="13.8" x14ac:dyDescent="0.25"/>
  <cols>
    <col min="1" max="1" width="13.44140625" style="165" customWidth="1"/>
    <col min="2" max="2" width="75.44140625" style="165" customWidth="1"/>
    <col min="3" max="3" width="16.5546875" style="165" customWidth="1"/>
    <col min="4" max="5" width="16.6640625" style="165" customWidth="1"/>
    <col min="6" max="6" width="16.5546875" style="165" customWidth="1"/>
    <col min="7" max="7" width="15.109375" style="165" customWidth="1"/>
    <col min="8" max="8" width="15.88671875" style="165" customWidth="1"/>
    <col min="9" max="9" width="18.44140625" style="165" customWidth="1"/>
    <col min="10" max="10" width="14.88671875" style="165" customWidth="1"/>
    <col min="11" max="11" width="13.44140625" style="165" customWidth="1"/>
    <col min="12" max="12" width="14.33203125" style="165" customWidth="1"/>
    <col min="13" max="13" width="11.44140625" style="165"/>
    <col min="14" max="14" width="13" style="165" customWidth="1"/>
    <col min="15" max="15" width="10" style="165" customWidth="1"/>
    <col min="16" max="27" width="11.44140625" style="165"/>
    <col min="28" max="28" width="14.109375" style="165" customWidth="1"/>
    <col min="29" max="29" width="15.6640625" style="165" customWidth="1"/>
    <col min="30" max="30" width="11.44140625" style="165"/>
    <col min="31" max="31" width="12.33203125" style="165" customWidth="1"/>
    <col min="32" max="32" width="13.5546875" style="165" customWidth="1"/>
    <col min="33" max="76" width="11.44140625" style="165"/>
    <col min="77" max="77" width="11.44140625" style="1430" customWidth="1"/>
    <col min="78" max="78" width="11.6640625" style="1438" customWidth="1"/>
    <col min="79" max="79" width="12.33203125" style="1438" customWidth="1"/>
    <col min="80" max="105" width="12.33203125" style="1429" hidden="1" customWidth="1"/>
    <col min="106" max="131" width="11.44140625" style="165" customWidth="1"/>
    <col min="132" max="16384" width="11.44140625" style="165"/>
  </cols>
  <sheetData>
    <row r="1" spans="1:93" ht="16.350000000000001" customHeight="1" x14ac:dyDescent="0.25">
      <c r="B1" s="150" t="s">
        <v>207</v>
      </c>
    </row>
    <row r="2" spans="1:93" ht="16.350000000000001" customHeight="1" x14ac:dyDescent="0.25">
      <c r="B2" s="150" t="str">
        <f>CONCATENATE("COMUNA: ",NOMBRE!B2," - ","( ",NOMBRE!C2,NOMBRE!D2,NOMBRE!E2,NOMBRE!F2,NOMBRE!G2," )")</f>
        <v>COMUNA:  - (  )</v>
      </c>
    </row>
    <row r="3" spans="1:93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  <c r="CH3" s="1432"/>
      <c r="CI3" s="1432"/>
      <c r="CJ3" s="1432"/>
      <c r="CK3" s="1432"/>
      <c r="CL3" s="1432"/>
      <c r="CM3" s="1432"/>
      <c r="CN3" s="1432"/>
      <c r="CO3" s="1432"/>
    </row>
    <row r="4" spans="1:93" ht="16.350000000000001" customHeight="1" x14ac:dyDescent="0.25">
      <c r="B4" s="150" t="str">
        <f>CONCATENATE("MES: ",NOMBRE!B6," - ","( ",NOMBRE!C6,NOMBRE!D6," )")</f>
        <v>MES:  - (  )</v>
      </c>
      <c r="CH4" s="1432"/>
      <c r="CI4" s="1432"/>
      <c r="CJ4" s="1432"/>
      <c r="CK4" s="1432"/>
      <c r="CL4" s="1432"/>
      <c r="CM4" s="1432"/>
      <c r="CN4" s="1432"/>
      <c r="CO4" s="1432"/>
    </row>
    <row r="5" spans="1:93" ht="16.350000000000001" customHeight="1" x14ac:dyDescent="0.25">
      <c r="B5" s="150" t="str">
        <f>CONCATENATE("AÑO: ",NOMBRE!B7)</f>
        <v>AÑO: 2023</v>
      </c>
      <c r="CH5" s="1432"/>
      <c r="CI5" s="1432"/>
      <c r="CJ5" s="1432"/>
      <c r="CK5" s="1432"/>
      <c r="CL5" s="1432"/>
      <c r="CM5" s="1432"/>
      <c r="CN5" s="1432"/>
      <c r="CO5" s="1432"/>
    </row>
    <row r="6" spans="1:93" ht="16.2" x14ac:dyDescent="0.3">
      <c r="B6" s="10225" t="s">
        <v>1662</v>
      </c>
      <c r="C6" s="10225"/>
      <c r="D6" s="10225"/>
      <c r="E6" s="10225"/>
      <c r="F6" s="10225"/>
      <c r="G6" s="10225"/>
      <c r="H6" s="10225"/>
      <c r="I6" s="10225"/>
      <c r="J6" s="10225"/>
      <c r="K6" s="10225"/>
      <c r="L6" s="531"/>
      <c r="M6" s="531"/>
      <c r="N6" s="531"/>
      <c r="O6" s="531"/>
      <c r="P6" s="531"/>
      <c r="Q6" s="531"/>
      <c r="R6" s="531"/>
      <c r="S6" s="531"/>
      <c r="T6" s="531"/>
      <c r="U6" s="531"/>
      <c r="V6" s="531"/>
      <c r="W6" s="531"/>
      <c r="X6" s="531"/>
      <c r="Y6" s="531"/>
      <c r="Z6" s="531"/>
      <c r="AA6" s="531"/>
      <c r="AB6" s="531"/>
      <c r="AC6" s="531"/>
      <c r="AD6" s="531"/>
      <c r="AE6" s="531"/>
      <c r="AF6" s="531"/>
      <c r="CH6" s="1432"/>
      <c r="CI6" s="1432"/>
      <c r="CJ6" s="1432"/>
      <c r="CK6" s="1432"/>
      <c r="CL6" s="1432"/>
      <c r="CM6" s="1432"/>
      <c r="CN6" s="1432"/>
      <c r="CO6" s="1432"/>
    </row>
    <row r="7" spans="1:93" ht="15" customHeight="1" x14ac:dyDescent="0.25">
      <c r="B7" s="1060"/>
      <c r="C7" s="1060"/>
      <c r="D7" s="1060"/>
      <c r="E7" s="1060"/>
      <c r="F7" s="1060"/>
      <c r="G7" s="1060"/>
      <c r="H7" s="1060"/>
      <c r="I7" s="1060"/>
      <c r="J7" s="1060"/>
      <c r="K7" s="1060"/>
      <c r="L7" s="1059"/>
      <c r="M7" s="1059"/>
      <c r="CH7" s="1432"/>
      <c r="CI7" s="1432"/>
      <c r="CJ7" s="1432"/>
      <c r="CK7" s="1432"/>
      <c r="CL7" s="1432"/>
      <c r="CM7" s="1432"/>
      <c r="CN7" s="1432"/>
      <c r="CO7" s="1432"/>
    </row>
    <row r="8" spans="1:93" ht="32.1" customHeight="1" x14ac:dyDescent="0.25">
      <c r="B8" s="3747" t="s">
        <v>1661</v>
      </c>
      <c r="CH8" s="1432"/>
      <c r="CI8" s="1432"/>
      <c r="CJ8" s="1432"/>
      <c r="CK8" s="1432"/>
      <c r="CL8" s="1432"/>
      <c r="CM8" s="1432"/>
      <c r="CN8" s="1432"/>
      <c r="CO8" s="1432"/>
    </row>
    <row r="9" spans="1:93" ht="32.1" customHeight="1" x14ac:dyDescent="0.25">
      <c r="A9" s="7279"/>
      <c r="B9" s="10245" t="s">
        <v>1660</v>
      </c>
      <c r="C9" s="10242" t="s">
        <v>1659</v>
      </c>
      <c r="D9" s="10241" t="s">
        <v>1658</v>
      </c>
      <c r="E9" s="10241" t="s">
        <v>1657</v>
      </c>
      <c r="F9" s="10241" t="s">
        <v>1656</v>
      </c>
      <c r="G9" s="10212" t="s">
        <v>1655</v>
      </c>
      <c r="H9" s="10219" t="s">
        <v>3725</v>
      </c>
      <c r="I9" s="10220"/>
      <c r="J9" s="10220"/>
      <c r="K9" s="10220"/>
      <c r="L9" s="10220"/>
      <c r="M9" s="10220"/>
      <c r="N9" s="10220"/>
      <c r="O9" s="10220"/>
      <c r="P9" s="10220"/>
      <c r="Q9" s="10220"/>
      <c r="R9" s="10220"/>
      <c r="S9" s="10220"/>
      <c r="T9" s="10220"/>
      <c r="U9" s="10220"/>
      <c r="V9" s="10220"/>
      <c r="W9" s="10220"/>
      <c r="X9" s="10220"/>
      <c r="Y9" s="10220"/>
      <c r="Z9" s="10221"/>
      <c r="AA9" s="10210" t="s">
        <v>3701</v>
      </c>
      <c r="AB9" s="10210"/>
      <c r="AC9" s="10210"/>
      <c r="AD9" s="10210"/>
      <c r="AE9" s="10210"/>
      <c r="AF9" s="10211"/>
      <c r="CH9" s="1432"/>
      <c r="CI9" s="1432"/>
      <c r="CJ9" s="1432"/>
      <c r="CK9" s="1432"/>
      <c r="CL9" s="1432"/>
      <c r="CM9" s="1432"/>
      <c r="CN9" s="1432"/>
      <c r="CO9" s="1432"/>
    </row>
    <row r="10" spans="1:93" ht="14.25" customHeight="1" x14ac:dyDescent="0.25">
      <c r="A10" s="7279"/>
      <c r="B10" s="10245"/>
      <c r="C10" s="10243"/>
      <c r="D10" s="9955"/>
      <c r="E10" s="9955"/>
      <c r="F10" s="9955"/>
      <c r="G10" s="9793"/>
      <c r="H10" s="9792" t="s">
        <v>2107</v>
      </c>
      <c r="I10" s="9892"/>
      <c r="J10" s="9892"/>
      <c r="K10" s="9793"/>
      <c r="L10" s="9792" t="s">
        <v>2088</v>
      </c>
      <c r="M10" s="9892"/>
      <c r="N10" s="9892"/>
      <c r="O10" s="9892"/>
      <c r="P10" s="9793"/>
      <c r="Q10" s="9792" t="s">
        <v>2089</v>
      </c>
      <c r="R10" s="9892"/>
      <c r="S10" s="9892"/>
      <c r="T10" s="9892"/>
      <c r="U10" s="9793"/>
      <c r="V10" s="9792" t="s">
        <v>2090</v>
      </c>
      <c r="W10" s="9892"/>
      <c r="X10" s="9892"/>
      <c r="Y10" s="9892"/>
      <c r="Z10" s="10217"/>
      <c r="AA10" s="10214" t="s">
        <v>2108</v>
      </c>
      <c r="AB10" s="9618"/>
      <c r="AC10" s="9619"/>
      <c r="AD10" s="10208" t="s">
        <v>3700</v>
      </c>
      <c r="AE10" s="9618"/>
      <c r="AF10" s="9619"/>
      <c r="BY10" s="165"/>
      <c r="BZ10" s="290"/>
      <c r="CH10" s="1432"/>
      <c r="CI10" s="1432"/>
      <c r="CJ10" s="1432"/>
      <c r="CK10" s="1432"/>
      <c r="CL10" s="1432"/>
      <c r="CM10" s="1432"/>
      <c r="CN10" s="1432"/>
      <c r="CO10" s="1432"/>
    </row>
    <row r="11" spans="1:93" ht="21.75" customHeight="1" x14ac:dyDescent="0.25">
      <c r="A11" s="7279"/>
      <c r="B11" s="10245"/>
      <c r="C11" s="10243"/>
      <c r="D11" s="9955"/>
      <c r="E11" s="9955"/>
      <c r="F11" s="9955"/>
      <c r="G11" s="9793"/>
      <c r="H11" s="10222"/>
      <c r="I11" s="10223"/>
      <c r="J11" s="10223"/>
      <c r="K11" s="10224"/>
      <c r="L11" s="10216"/>
      <c r="M11" s="10215"/>
      <c r="N11" s="10215"/>
      <c r="O11" s="10215"/>
      <c r="P11" s="10213"/>
      <c r="Q11" s="10216"/>
      <c r="R11" s="10215"/>
      <c r="S11" s="10215"/>
      <c r="T11" s="10215"/>
      <c r="U11" s="10213"/>
      <c r="V11" s="10216"/>
      <c r="W11" s="10215"/>
      <c r="X11" s="10215"/>
      <c r="Y11" s="10215"/>
      <c r="Z11" s="10218"/>
      <c r="AA11" s="10215"/>
      <c r="AB11" s="9620"/>
      <c r="AC11" s="9621"/>
      <c r="AD11" s="10209"/>
      <c r="AE11" s="9620"/>
      <c r="AF11" s="9621"/>
      <c r="BY11" s="165"/>
      <c r="BZ11" s="290"/>
      <c r="CH11" s="1432"/>
      <c r="CI11" s="1432"/>
      <c r="CJ11" s="1432"/>
      <c r="CK11" s="1432"/>
      <c r="CL11" s="1432"/>
      <c r="CM11" s="1432"/>
      <c r="CN11" s="1432"/>
      <c r="CO11" s="1432"/>
    </row>
    <row r="12" spans="1:93" ht="31.5" customHeight="1" x14ac:dyDescent="0.25">
      <c r="A12" s="7279"/>
      <c r="B12" s="10246"/>
      <c r="C12" s="10244"/>
      <c r="D12" s="9964"/>
      <c r="E12" s="9964"/>
      <c r="F12" s="9964"/>
      <c r="G12" s="10213"/>
      <c r="H12" s="3068" t="s">
        <v>1653</v>
      </c>
      <c r="I12" s="3056" t="s">
        <v>1603</v>
      </c>
      <c r="J12" s="3056" t="s">
        <v>1602</v>
      </c>
      <c r="K12" s="3069" t="s">
        <v>135</v>
      </c>
      <c r="L12" s="3068" t="s">
        <v>1653</v>
      </c>
      <c r="M12" s="3056" t="s">
        <v>1603</v>
      </c>
      <c r="N12" s="3056" t="s">
        <v>1602</v>
      </c>
      <c r="O12" s="3056" t="s">
        <v>135</v>
      </c>
      <c r="P12" s="3069" t="s">
        <v>1654</v>
      </c>
      <c r="Q12" s="3068" t="s">
        <v>1653</v>
      </c>
      <c r="R12" s="3056" t="s">
        <v>1603</v>
      </c>
      <c r="S12" s="3056" t="s">
        <v>1602</v>
      </c>
      <c r="T12" s="3056" t="s">
        <v>135</v>
      </c>
      <c r="U12" s="3069" t="s">
        <v>1654</v>
      </c>
      <c r="V12" s="3068" t="s">
        <v>1653</v>
      </c>
      <c r="W12" s="3056" t="s">
        <v>1603</v>
      </c>
      <c r="X12" s="3056" t="s">
        <v>1602</v>
      </c>
      <c r="Y12" s="3056" t="s">
        <v>135</v>
      </c>
      <c r="Z12" s="3070" t="s">
        <v>1654</v>
      </c>
      <c r="AA12" s="3034" t="s">
        <v>1653</v>
      </c>
      <c r="AB12" s="1474" t="s">
        <v>1652</v>
      </c>
      <c r="AC12" s="1586" t="s">
        <v>1651</v>
      </c>
      <c r="AD12" s="3057" t="s">
        <v>1653</v>
      </c>
      <c r="AE12" s="1474" t="s">
        <v>1652</v>
      </c>
      <c r="AF12" s="1586" t="s">
        <v>1651</v>
      </c>
      <c r="BY12" s="165"/>
      <c r="BZ12" s="290"/>
      <c r="CH12" s="1432"/>
      <c r="CI12" s="1432"/>
      <c r="CJ12" s="1432"/>
      <c r="CK12" s="1432"/>
      <c r="CL12" s="1432"/>
      <c r="CM12" s="1432"/>
      <c r="CN12" s="1432"/>
      <c r="CO12" s="1432"/>
    </row>
    <row r="13" spans="1:93" ht="20.25" customHeight="1" x14ac:dyDescent="0.25">
      <c r="A13" s="7267"/>
      <c r="B13" s="2161" t="s">
        <v>1650</v>
      </c>
      <c r="C13" s="1058">
        <f t="shared" ref="C13:AF13" si="0">SUM(C14:C17)</f>
        <v>0</v>
      </c>
      <c r="D13" s="1057">
        <f t="shared" si="0"/>
        <v>0</v>
      </c>
      <c r="E13" s="1056">
        <f t="shared" si="0"/>
        <v>0</v>
      </c>
      <c r="F13" s="1056">
        <f t="shared" si="0"/>
        <v>0</v>
      </c>
      <c r="G13" s="1055">
        <f t="shared" si="0"/>
        <v>0</v>
      </c>
      <c r="H13" s="3071">
        <f t="shared" si="0"/>
        <v>0</v>
      </c>
      <c r="I13" s="3072">
        <f t="shared" si="0"/>
        <v>0</v>
      </c>
      <c r="J13" s="3072">
        <f t="shared" si="0"/>
        <v>0</v>
      </c>
      <c r="K13" s="3073">
        <f t="shared" si="0"/>
        <v>0</v>
      </c>
      <c r="L13" s="3071">
        <f t="shared" si="0"/>
        <v>0</v>
      </c>
      <c r="M13" s="3072">
        <f t="shared" si="0"/>
        <v>0</v>
      </c>
      <c r="N13" s="3072">
        <f t="shared" si="0"/>
        <v>0</v>
      </c>
      <c r="O13" s="3072">
        <f t="shared" si="0"/>
        <v>0</v>
      </c>
      <c r="P13" s="3073">
        <f t="shared" si="0"/>
        <v>0</v>
      </c>
      <c r="Q13" s="3071">
        <f t="shared" si="0"/>
        <v>0</v>
      </c>
      <c r="R13" s="3072">
        <f t="shared" si="0"/>
        <v>0</v>
      </c>
      <c r="S13" s="3072">
        <f t="shared" si="0"/>
        <v>0</v>
      </c>
      <c r="T13" s="3072">
        <f t="shared" si="0"/>
        <v>0</v>
      </c>
      <c r="U13" s="3073">
        <f t="shared" si="0"/>
        <v>0</v>
      </c>
      <c r="V13" s="3071">
        <f t="shared" si="0"/>
        <v>0</v>
      </c>
      <c r="W13" s="3072">
        <f t="shared" si="0"/>
        <v>0</v>
      </c>
      <c r="X13" s="3072">
        <f t="shared" si="0"/>
        <v>0</v>
      </c>
      <c r="Y13" s="3072">
        <f t="shared" si="0"/>
        <v>0</v>
      </c>
      <c r="Z13" s="3074">
        <f t="shared" si="0"/>
        <v>0</v>
      </c>
      <c r="AA13" s="3064">
        <f t="shared" si="0"/>
        <v>0</v>
      </c>
      <c r="AB13" s="1588">
        <f>SUM(AB14:AB17)</f>
        <v>0</v>
      </c>
      <c r="AC13" s="1589">
        <f t="shared" si="0"/>
        <v>0</v>
      </c>
      <c r="AD13" s="1587">
        <f t="shared" si="0"/>
        <v>0</v>
      </c>
      <c r="AE13" s="1588">
        <f t="shared" si="0"/>
        <v>0</v>
      </c>
      <c r="AF13" s="1589">
        <f t="shared" si="0"/>
        <v>0</v>
      </c>
      <c r="BY13" s="165"/>
      <c r="BZ13" s="290"/>
      <c r="CH13" s="1432"/>
      <c r="CI13" s="1432"/>
      <c r="CJ13" s="1432"/>
      <c r="CK13" s="1432"/>
      <c r="CL13" s="1432"/>
      <c r="CM13" s="1432"/>
      <c r="CN13" s="1432"/>
      <c r="CO13" s="1432"/>
    </row>
    <row r="14" spans="1:93" ht="20.25" customHeight="1" x14ac:dyDescent="0.25">
      <c r="A14" s="7299">
        <v>21220100</v>
      </c>
      <c r="B14" s="1054" t="s">
        <v>1649</v>
      </c>
      <c r="C14" s="1053" t="s">
        <v>5369</v>
      </c>
      <c r="D14" s="1052" t="s">
        <v>5370</v>
      </c>
      <c r="E14" s="1052" t="s">
        <v>5371</v>
      </c>
      <c r="F14" s="1052" t="s">
        <v>5372</v>
      </c>
      <c r="G14" s="1052" t="s">
        <v>5373</v>
      </c>
      <c r="H14" s="3075" t="s">
        <v>5374</v>
      </c>
      <c r="I14" s="3076" t="s">
        <v>5375</v>
      </c>
      <c r="J14" s="3077" t="s">
        <v>5376</v>
      </c>
      <c r="K14" s="3077" t="s">
        <v>5377</v>
      </c>
      <c r="L14" s="3078" t="s">
        <v>5378</v>
      </c>
      <c r="M14" s="3076" t="s">
        <v>5379</v>
      </c>
      <c r="N14" s="3077" t="s">
        <v>5380</v>
      </c>
      <c r="O14" s="3079" t="s">
        <v>5381</v>
      </c>
      <c r="P14" s="3080" t="s">
        <v>5382</v>
      </c>
      <c r="Q14" s="3078" t="s">
        <v>5383</v>
      </c>
      <c r="R14" s="3076" t="s">
        <v>5384</v>
      </c>
      <c r="S14" s="3077" t="s">
        <v>5385</v>
      </c>
      <c r="T14" s="3079" t="s">
        <v>5386</v>
      </c>
      <c r="U14" s="3080" t="s">
        <v>5387</v>
      </c>
      <c r="V14" s="3078" t="s">
        <v>5388</v>
      </c>
      <c r="W14" s="3076" t="s">
        <v>5389</v>
      </c>
      <c r="X14" s="3077" t="s">
        <v>5390</v>
      </c>
      <c r="Y14" s="3079" t="s">
        <v>5391</v>
      </c>
      <c r="Z14" s="3081" t="s">
        <v>5392</v>
      </c>
      <c r="AA14" s="3065" t="s">
        <v>5393</v>
      </c>
      <c r="AB14" s="1052" t="s">
        <v>5394</v>
      </c>
      <c r="AC14" s="6992" t="s">
        <v>5395</v>
      </c>
      <c r="AD14" s="1475" t="s">
        <v>5396</v>
      </c>
      <c r="AE14" s="1052" t="s">
        <v>5397</v>
      </c>
      <c r="AF14" s="6992" t="s">
        <v>5398</v>
      </c>
      <c r="BY14" s="165"/>
      <c r="BZ14" s="290"/>
      <c r="CH14" s="1432"/>
      <c r="CI14" s="1432"/>
      <c r="CJ14" s="1432"/>
      <c r="CK14" s="1432"/>
      <c r="CL14" s="1432"/>
      <c r="CM14" s="1432"/>
      <c r="CN14" s="1432"/>
      <c r="CO14" s="1432"/>
    </row>
    <row r="15" spans="1:93" ht="20.25" customHeight="1" x14ac:dyDescent="0.25">
      <c r="A15" s="7299">
        <v>21220200</v>
      </c>
      <c r="B15" s="1051" t="s">
        <v>1648</v>
      </c>
      <c r="C15" s="1050" t="s">
        <v>5369</v>
      </c>
      <c r="D15" s="1048" t="s">
        <v>5370</v>
      </c>
      <c r="E15" s="1048" t="s">
        <v>5371</v>
      </c>
      <c r="F15" s="1048" t="s">
        <v>5372</v>
      </c>
      <c r="G15" s="1048" t="s">
        <v>5373</v>
      </c>
      <c r="H15" s="3082" t="s">
        <v>5374</v>
      </c>
      <c r="I15" s="1049" t="s">
        <v>5375</v>
      </c>
      <c r="J15" s="1048" t="s">
        <v>5376</v>
      </c>
      <c r="K15" s="1049" t="s">
        <v>5377</v>
      </c>
      <c r="L15" s="3082" t="s">
        <v>5378</v>
      </c>
      <c r="M15" s="1049" t="s">
        <v>5379</v>
      </c>
      <c r="N15" s="1049" t="s">
        <v>5380</v>
      </c>
      <c r="O15" s="3083" t="s">
        <v>5381</v>
      </c>
      <c r="P15" s="3084" t="s">
        <v>5382</v>
      </c>
      <c r="Q15" s="3082" t="s">
        <v>5383</v>
      </c>
      <c r="R15" s="1049" t="s">
        <v>5384</v>
      </c>
      <c r="S15" s="1048" t="s">
        <v>5385</v>
      </c>
      <c r="T15" s="3083" t="s">
        <v>5386</v>
      </c>
      <c r="U15" s="3084" t="s">
        <v>5387</v>
      </c>
      <c r="V15" s="3082" t="s">
        <v>5388</v>
      </c>
      <c r="W15" s="1049" t="s">
        <v>5389</v>
      </c>
      <c r="X15" s="1048" t="s">
        <v>5390</v>
      </c>
      <c r="Y15" s="3083" t="s">
        <v>5391</v>
      </c>
      <c r="Z15" s="3085" t="s">
        <v>5392</v>
      </c>
      <c r="AA15" s="3066" t="s">
        <v>5393</v>
      </c>
      <c r="AB15" s="1048" t="s">
        <v>5394</v>
      </c>
      <c r="AC15" s="6993" t="s">
        <v>5395</v>
      </c>
      <c r="AD15" s="1476" t="s">
        <v>5396</v>
      </c>
      <c r="AE15" s="1048" t="s">
        <v>5397</v>
      </c>
      <c r="AF15" s="6993" t="s">
        <v>5398</v>
      </c>
      <c r="BY15" s="165"/>
      <c r="BZ15" s="290"/>
      <c r="CH15" s="1432"/>
      <c r="CI15" s="1432"/>
      <c r="CJ15" s="1432"/>
      <c r="CK15" s="1432"/>
      <c r="CL15" s="1432"/>
      <c r="CM15" s="1432"/>
      <c r="CN15" s="1432"/>
      <c r="CO15" s="1432"/>
    </row>
    <row r="16" spans="1:93" ht="20.25" customHeight="1" x14ac:dyDescent="0.25">
      <c r="A16" s="7299">
        <v>21220700</v>
      </c>
      <c r="B16" s="3093" t="s">
        <v>1647</v>
      </c>
      <c r="C16" s="1050" t="s">
        <v>5369</v>
      </c>
      <c r="D16" s="1048" t="s">
        <v>5370</v>
      </c>
      <c r="E16" s="1048" t="s">
        <v>5371</v>
      </c>
      <c r="F16" s="1048" t="s">
        <v>5372</v>
      </c>
      <c r="G16" s="1048" t="s">
        <v>5373</v>
      </c>
      <c r="H16" s="3082" t="s">
        <v>5374</v>
      </c>
      <c r="I16" s="1049" t="s">
        <v>5375</v>
      </c>
      <c r="J16" s="1048" t="s">
        <v>5376</v>
      </c>
      <c r="K16" s="2629" t="s">
        <v>5377</v>
      </c>
      <c r="L16" s="3082" t="s">
        <v>5378</v>
      </c>
      <c r="M16" s="1049" t="s">
        <v>5379</v>
      </c>
      <c r="N16" s="2629" t="s">
        <v>5380</v>
      </c>
      <c r="O16" s="3094" t="s">
        <v>5381</v>
      </c>
      <c r="P16" s="3095" t="s">
        <v>5382</v>
      </c>
      <c r="Q16" s="3082" t="s">
        <v>5383</v>
      </c>
      <c r="R16" s="1049" t="s">
        <v>5384</v>
      </c>
      <c r="S16" s="2629" t="s">
        <v>5385</v>
      </c>
      <c r="T16" s="3094" t="s">
        <v>5386</v>
      </c>
      <c r="U16" s="3095" t="s">
        <v>5387</v>
      </c>
      <c r="V16" s="3082" t="s">
        <v>5388</v>
      </c>
      <c r="W16" s="1049" t="s">
        <v>5389</v>
      </c>
      <c r="X16" s="2629" t="s">
        <v>5390</v>
      </c>
      <c r="Y16" s="3094" t="s">
        <v>5391</v>
      </c>
      <c r="Z16" s="3096" t="s">
        <v>5392</v>
      </c>
      <c r="AA16" s="3066" t="s">
        <v>5393</v>
      </c>
      <c r="AB16" s="1048" t="s">
        <v>5394</v>
      </c>
      <c r="AC16" s="6993" t="s">
        <v>5395</v>
      </c>
      <c r="AD16" s="1476" t="s">
        <v>5396</v>
      </c>
      <c r="AE16" s="1048" t="s">
        <v>5397</v>
      </c>
      <c r="AF16" s="6993" t="s">
        <v>5398</v>
      </c>
      <c r="BY16" s="165"/>
      <c r="BZ16" s="290"/>
      <c r="CH16" s="1432"/>
      <c r="CI16" s="1432"/>
      <c r="CJ16" s="1432"/>
      <c r="CK16" s="1432"/>
      <c r="CL16" s="1432"/>
      <c r="CM16" s="1432"/>
      <c r="CN16" s="1432"/>
      <c r="CO16" s="1432"/>
    </row>
    <row r="17" spans="1:93" ht="20.25" customHeight="1" x14ac:dyDescent="0.25">
      <c r="A17" s="7299">
        <v>21220600</v>
      </c>
      <c r="B17" s="1047" t="s">
        <v>1646</v>
      </c>
      <c r="C17" s="1046" t="s">
        <v>5369</v>
      </c>
      <c r="D17" s="1043" t="s">
        <v>5370</v>
      </c>
      <c r="E17" s="1045" t="s">
        <v>5371</v>
      </c>
      <c r="F17" s="1045" t="s">
        <v>5372</v>
      </c>
      <c r="G17" s="1044" t="s">
        <v>5373</v>
      </c>
      <c r="H17" s="3086" t="s">
        <v>5374</v>
      </c>
      <c r="I17" s="3097" t="s">
        <v>5375</v>
      </c>
      <c r="J17" s="3741" t="s">
        <v>5376</v>
      </c>
      <c r="K17" s="3742" t="s">
        <v>5377</v>
      </c>
      <c r="L17" s="3089" t="s">
        <v>5378</v>
      </c>
      <c r="M17" s="3097" t="s">
        <v>5379</v>
      </c>
      <c r="N17" s="3087" t="s">
        <v>5380</v>
      </c>
      <c r="O17" s="3090" t="s">
        <v>5381</v>
      </c>
      <c r="P17" s="3091" t="s">
        <v>5382</v>
      </c>
      <c r="Q17" s="3089" t="s">
        <v>5383</v>
      </c>
      <c r="R17" s="3087" t="s">
        <v>5384</v>
      </c>
      <c r="S17" s="3088" t="s">
        <v>5385</v>
      </c>
      <c r="T17" s="3090" t="s">
        <v>5386</v>
      </c>
      <c r="U17" s="3091" t="s">
        <v>5387</v>
      </c>
      <c r="V17" s="3089" t="s">
        <v>5388</v>
      </c>
      <c r="W17" s="3087" t="s">
        <v>5389</v>
      </c>
      <c r="X17" s="3088" t="s">
        <v>5390</v>
      </c>
      <c r="Y17" s="3090" t="s">
        <v>5391</v>
      </c>
      <c r="Z17" s="3092" t="s">
        <v>5392</v>
      </c>
      <c r="AA17" s="3067" t="s">
        <v>5393</v>
      </c>
      <c r="AB17" s="1043" t="s">
        <v>5394</v>
      </c>
      <c r="AC17" s="6994" t="s">
        <v>5395</v>
      </c>
      <c r="AD17" s="1477" t="s">
        <v>5396</v>
      </c>
      <c r="AE17" s="1043" t="s">
        <v>5397</v>
      </c>
      <c r="AF17" s="6994" t="s">
        <v>5398</v>
      </c>
      <c r="BY17" s="165"/>
      <c r="BZ17" s="290"/>
      <c r="CH17" s="1432"/>
      <c r="CI17" s="1432"/>
      <c r="CJ17" s="1432"/>
      <c r="CK17" s="1432"/>
      <c r="CL17" s="1432"/>
      <c r="CM17" s="1432"/>
      <c r="CN17" s="1432"/>
      <c r="CO17" s="1432"/>
    </row>
    <row r="18" spans="1:93" ht="20.25" customHeight="1" x14ac:dyDescent="0.25">
      <c r="B18" s="3746" t="s">
        <v>3726</v>
      </c>
      <c r="C18" s="3737"/>
      <c r="D18" s="3738"/>
      <c r="E18" s="3738"/>
      <c r="F18" s="3738"/>
      <c r="G18" s="3738"/>
      <c r="H18" s="3736"/>
      <c r="I18" s="3738"/>
      <c r="J18" s="3738"/>
      <c r="K18" s="3738"/>
      <c r="L18" s="3743"/>
      <c r="M18" s="3738"/>
      <c r="N18" s="3738"/>
      <c r="O18" s="3738"/>
      <c r="P18" s="3738"/>
      <c r="Q18" s="3736"/>
      <c r="R18" s="3738"/>
      <c r="S18" s="3738"/>
      <c r="T18" s="3738"/>
      <c r="U18" s="3738"/>
      <c r="V18" s="3736"/>
      <c r="W18" s="3738"/>
      <c r="X18" s="3738"/>
      <c r="Y18" s="3738"/>
      <c r="Z18" s="3738"/>
      <c r="AA18" s="3736"/>
      <c r="AB18" s="3745"/>
      <c r="AC18" s="3745"/>
      <c r="AD18" s="3736"/>
      <c r="AE18" s="3745"/>
      <c r="AF18" s="3745"/>
      <c r="BY18" s="165"/>
      <c r="BZ18" s="290"/>
      <c r="CH18" s="1432"/>
      <c r="CI18" s="1432"/>
      <c r="CJ18" s="1432"/>
      <c r="CK18" s="1432"/>
      <c r="CL18" s="1432"/>
      <c r="CM18" s="1432"/>
      <c r="CN18" s="1432"/>
      <c r="CO18" s="1432"/>
    </row>
    <row r="19" spans="1:93" ht="27" customHeight="1" x14ac:dyDescent="0.25">
      <c r="B19" s="1042" t="s">
        <v>1645</v>
      </c>
      <c r="C19" s="1041"/>
      <c r="D19" s="1018"/>
      <c r="E19" s="1018"/>
      <c r="F19" s="1018"/>
      <c r="G19" s="1018"/>
      <c r="H19" s="1041"/>
      <c r="I19" s="3739"/>
      <c r="J19" s="3740"/>
      <c r="K19" s="1017"/>
      <c r="L19" s="3744"/>
      <c r="M19" s="3744"/>
      <c r="CH19" s="1432"/>
      <c r="CI19" s="1432"/>
      <c r="CJ19" s="1432"/>
      <c r="CK19" s="1432"/>
      <c r="CL19" s="1432"/>
      <c r="CM19" s="1432"/>
      <c r="CN19" s="1432"/>
      <c r="CO19" s="1432"/>
    </row>
    <row r="20" spans="1:93" ht="39" customHeight="1" x14ac:dyDescent="0.25">
      <c r="B20" s="2158" t="s">
        <v>1629</v>
      </c>
      <c r="C20" s="2164" t="s">
        <v>24</v>
      </c>
      <c r="D20" s="1040" t="s">
        <v>3052</v>
      </c>
      <c r="E20" s="1039" t="s">
        <v>3053</v>
      </c>
      <c r="F20" s="1039" t="s">
        <v>3055</v>
      </c>
      <c r="G20" s="1039" t="s">
        <v>3054</v>
      </c>
      <c r="H20" s="1038" t="s">
        <v>373</v>
      </c>
      <c r="I20" s="1037"/>
      <c r="J20" s="1018"/>
      <c r="K20" s="1018"/>
      <c r="L20" s="977"/>
      <c r="M20" s="977"/>
      <c r="CH20" s="1432"/>
      <c r="CI20" s="1432"/>
      <c r="CJ20" s="1432"/>
      <c r="CK20" s="1432"/>
      <c r="CL20" s="1432"/>
      <c r="CM20" s="1432"/>
      <c r="CN20" s="1432"/>
      <c r="CO20" s="1432"/>
    </row>
    <row r="21" spans="1:93" ht="21" customHeight="1" x14ac:dyDescent="0.25">
      <c r="A21" s="7319">
        <v>21220800</v>
      </c>
      <c r="B21" s="1036" t="s">
        <v>1644</v>
      </c>
      <c r="C21" s="985" t="s">
        <v>5369</v>
      </c>
      <c r="D21" s="1035" t="s">
        <v>5370</v>
      </c>
      <c r="E21" s="1034" t="s">
        <v>5371</v>
      </c>
      <c r="F21" s="1034" t="s">
        <v>5372</v>
      </c>
      <c r="G21" s="1034" t="s">
        <v>5373</v>
      </c>
      <c r="H21" s="1033" t="s">
        <v>5374</v>
      </c>
      <c r="I21" s="1024"/>
      <c r="J21" s="1018"/>
      <c r="K21" s="1018"/>
      <c r="L21" s="977"/>
      <c r="M21" s="977"/>
      <c r="CH21" s="1432"/>
      <c r="CI21" s="1432"/>
      <c r="CJ21" s="1432"/>
      <c r="CK21" s="1432"/>
      <c r="CL21" s="1432"/>
      <c r="CM21" s="1432"/>
      <c r="CN21" s="1432"/>
      <c r="CO21" s="1432"/>
    </row>
    <row r="22" spans="1:93" ht="21" customHeight="1" x14ac:dyDescent="0.25">
      <c r="A22" s="7319">
        <v>21400300</v>
      </c>
      <c r="B22" s="1032" t="s">
        <v>29</v>
      </c>
      <c r="C22" s="975" t="s">
        <v>5369</v>
      </c>
      <c r="D22" s="1031" t="s">
        <v>5370</v>
      </c>
      <c r="E22" s="1030" t="s">
        <v>5371</v>
      </c>
      <c r="F22" s="1030" t="s">
        <v>5372</v>
      </c>
      <c r="G22" s="1030" t="s">
        <v>5373</v>
      </c>
      <c r="H22" s="974" t="s">
        <v>5374</v>
      </c>
      <c r="I22" s="1024"/>
      <c r="J22" s="1018"/>
      <c r="K22" s="1018"/>
      <c r="L22" s="977"/>
      <c r="M22" s="977"/>
      <c r="CH22" s="1432"/>
      <c r="CI22" s="1432"/>
      <c r="CJ22" s="1432"/>
      <c r="CK22" s="1432"/>
      <c r="CL22" s="1432"/>
      <c r="CM22" s="1432"/>
      <c r="CN22" s="1432"/>
      <c r="CO22" s="1432"/>
    </row>
    <row r="23" spans="1:93" ht="21" customHeight="1" x14ac:dyDescent="0.25">
      <c r="A23" s="7319">
        <v>21220900</v>
      </c>
      <c r="B23" s="1032" t="s">
        <v>1637</v>
      </c>
      <c r="C23" s="975" t="s">
        <v>5369</v>
      </c>
      <c r="D23" s="1031" t="s">
        <v>5370</v>
      </c>
      <c r="E23" s="1030" t="s">
        <v>5371</v>
      </c>
      <c r="F23" s="1030" t="s">
        <v>5372</v>
      </c>
      <c r="G23" s="1030" t="s">
        <v>5373</v>
      </c>
      <c r="H23" s="974" t="s">
        <v>5374</v>
      </c>
      <c r="I23" s="1024"/>
      <c r="J23" s="1018"/>
      <c r="K23" s="1018"/>
      <c r="L23" s="977"/>
      <c r="M23" s="977"/>
      <c r="CH23" s="1432"/>
      <c r="CI23" s="1432"/>
      <c r="CJ23" s="1432"/>
      <c r="CK23" s="1432"/>
      <c r="CL23" s="1432"/>
      <c r="CM23" s="1432"/>
      <c r="CN23" s="1432"/>
      <c r="CO23" s="1432"/>
    </row>
    <row r="24" spans="1:93" ht="21" customHeight="1" x14ac:dyDescent="0.25">
      <c r="A24" s="7319">
        <v>21300100</v>
      </c>
      <c r="B24" s="1032" t="s">
        <v>1636</v>
      </c>
      <c r="C24" s="975" t="s">
        <v>5369</v>
      </c>
      <c r="D24" s="1031" t="s">
        <v>5370</v>
      </c>
      <c r="E24" s="1030" t="s">
        <v>5371</v>
      </c>
      <c r="F24" s="1030" t="s">
        <v>5372</v>
      </c>
      <c r="G24" s="1030" t="s">
        <v>5373</v>
      </c>
      <c r="H24" s="974" t="s">
        <v>5374</v>
      </c>
      <c r="I24" s="1024"/>
      <c r="J24" s="1018"/>
      <c r="K24" s="978"/>
      <c r="L24" s="977"/>
      <c r="M24" s="977"/>
      <c r="CH24" s="1432"/>
      <c r="CI24" s="1432"/>
      <c r="CJ24" s="1432"/>
      <c r="CK24" s="1432"/>
      <c r="CL24" s="1432"/>
      <c r="CM24" s="1432"/>
      <c r="CN24" s="1432"/>
      <c r="CO24" s="1432"/>
    </row>
    <row r="25" spans="1:93" ht="21" customHeight="1" x14ac:dyDescent="0.25">
      <c r="A25" s="7319">
        <v>21400400</v>
      </c>
      <c r="B25" s="1029" t="s">
        <v>1635</v>
      </c>
      <c r="C25" s="1028" t="s">
        <v>5369</v>
      </c>
      <c r="D25" s="1027" t="s">
        <v>5370</v>
      </c>
      <c r="E25" s="1026" t="s">
        <v>5371</v>
      </c>
      <c r="F25" s="1026" t="s">
        <v>5372</v>
      </c>
      <c r="G25" s="1026" t="s">
        <v>5373</v>
      </c>
      <c r="H25" s="1025" t="s">
        <v>5374</v>
      </c>
      <c r="I25" s="1024"/>
      <c r="J25" s="1018"/>
      <c r="K25" s="1018"/>
      <c r="L25" s="977"/>
      <c r="M25" s="977"/>
      <c r="CH25" s="1432"/>
      <c r="CI25" s="1432"/>
      <c r="CJ25" s="1432"/>
      <c r="CK25" s="1432"/>
      <c r="CL25" s="1432"/>
      <c r="CM25" s="1432"/>
      <c r="CN25" s="1432"/>
      <c r="CO25" s="1432"/>
    </row>
    <row r="26" spans="1:93" ht="24.75" customHeight="1" x14ac:dyDescent="0.25">
      <c r="B26" s="1042" t="s">
        <v>3786</v>
      </c>
      <c r="C26" s="979"/>
      <c r="D26" s="978"/>
      <c r="E26" s="979"/>
      <c r="F26" s="979"/>
      <c r="CH26" s="1432"/>
      <c r="CI26" s="1432"/>
      <c r="CJ26" s="1432"/>
      <c r="CK26" s="1432"/>
      <c r="CL26" s="1432"/>
      <c r="CM26" s="1432"/>
      <c r="CN26" s="1432"/>
      <c r="CO26" s="1432"/>
    </row>
    <row r="27" spans="1:93" ht="19.5" customHeight="1" x14ac:dyDescent="0.25">
      <c r="B27" s="1042" t="s">
        <v>3787</v>
      </c>
      <c r="C27" s="1017"/>
      <c r="D27" s="1011"/>
      <c r="E27" s="1011"/>
      <c r="F27" s="1011"/>
      <c r="G27" s="1011"/>
      <c r="H27" s="1011"/>
      <c r="I27" s="1011"/>
      <c r="J27" s="1023"/>
      <c r="K27" s="1023"/>
      <c r="L27" s="979"/>
      <c r="M27" s="979"/>
      <c r="CH27" s="1432"/>
      <c r="CI27" s="1432"/>
      <c r="CJ27" s="1432"/>
      <c r="CK27" s="1432"/>
      <c r="CL27" s="1432"/>
      <c r="CM27" s="1432"/>
      <c r="CN27" s="1432"/>
      <c r="CO27" s="1432"/>
    </row>
    <row r="28" spans="1:93" ht="23.25" customHeight="1" x14ac:dyDescent="0.25">
      <c r="B28" s="10228" t="s">
        <v>1629</v>
      </c>
      <c r="C28" s="10190"/>
      <c r="D28" s="10232" t="s">
        <v>24</v>
      </c>
      <c r="E28" s="10238" t="s">
        <v>858</v>
      </c>
      <c r="F28" s="10239"/>
      <c r="G28" s="10240"/>
      <c r="H28" s="10236" t="s">
        <v>1643</v>
      </c>
      <c r="I28" s="10236"/>
      <c r="J28" s="10236"/>
      <c r="K28" s="10236"/>
      <c r="L28" s="10236"/>
      <c r="M28" s="10237"/>
      <c r="O28" s="1017"/>
      <c r="BY28" s="165"/>
      <c r="BZ28" s="165"/>
      <c r="CA28" s="1430"/>
      <c r="CH28" s="1432"/>
      <c r="CI28" s="1432"/>
      <c r="CJ28" s="1432"/>
      <c r="CK28" s="1432"/>
      <c r="CL28" s="1432"/>
      <c r="CM28" s="1432"/>
      <c r="CN28" s="1432"/>
      <c r="CO28" s="1432"/>
    </row>
    <row r="29" spans="1:93" ht="24.75" customHeight="1" x14ac:dyDescent="0.25">
      <c r="B29" s="10229"/>
      <c r="C29" s="10192"/>
      <c r="D29" s="10233"/>
      <c r="E29" s="3451" t="s">
        <v>1605</v>
      </c>
      <c r="F29" s="3452" t="s">
        <v>33</v>
      </c>
      <c r="G29" s="3453" t="s">
        <v>1560</v>
      </c>
      <c r="H29" s="2160" t="s">
        <v>95</v>
      </c>
      <c r="I29" s="1010" t="s">
        <v>1642</v>
      </c>
      <c r="J29" s="1010" t="s">
        <v>1641</v>
      </c>
      <c r="K29" s="1010" t="s">
        <v>1640</v>
      </c>
      <c r="L29" s="1010" t="s">
        <v>1639</v>
      </c>
      <c r="M29" s="1010" t="s">
        <v>1638</v>
      </c>
      <c r="BX29" s="1430"/>
      <c r="BY29" s="1438"/>
      <c r="CH29" s="1432"/>
      <c r="CI29" s="1432"/>
      <c r="CJ29" s="1432"/>
      <c r="CK29" s="1432"/>
      <c r="CL29" s="1432"/>
      <c r="CM29" s="1432"/>
      <c r="CN29" s="1432"/>
      <c r="CO29" s="1432"/>
    </row>
    <row r="30" spans="1:93" ht="17.25" customHeight="1" x14ac:dyDescent="0.25">
      <c r="A30" s="7299">
        <v>21400500</v>
      </c>
      <c r="B30" s="10234" t="s">
        <v>29</v>
      </c>
      <c r="C30" s="10235"/>
      <c r="D30" s="8023" t="s">
        <v>5369</v>
      </c>
      <c r="E30" s="8024" t="s">
        <v>5370</v>
      </c>
      <c r="F30" s="8025" t="s">
        <v>5371</v>
      </c>
      <c r="G30" s="8026" t="s">
        <v>5372</v>
      </c>
      <c r="H30" s="8027" t="s">
        <v>5373</v>
      </c>
      <c r="I30" s="8028" t="s">
        <v>5374</v>
      </c>
      <c r="J30" s="8028" t="s">
        <v>5375</v>
      </c>
      <c r="K30" s="8028" t="s">
        <v>5376</v>
      </c>
      <c r="L30" s="8028" t="s">
        <v>5377</v>
      </c>
      <c r="M30" s="8028" t="s">
        <v>5378</v>
      </c>
      <c r="N30" s="8029"/>
      <c r="O30" s="8030"/>
      <c r="BX30" s="1430"/>
      <c r="BY30" s="1438"/>
      <c r="CB30" s="1435" t="str">
        <f>IF(CH30=1," * La Suma de Personas por Origen de Derivación no puede ser Mayor a la suma de Personas por Edad. ","")</f>
        <v/>
      </c>
      <c r="CH30" s="1436">
        <f t="shared" ref="CH30:CH36" si="1">IF(SUM(H30:M30)&gt;D30,1,0)</f>
        <v>0</v>
      </c>
      <c r="CI30" s="1432"/>
      <c r="CJ30" s="1432"/>
      <c r="CK30" s="1432"/>
      <c r="CL30" s="1432"/>
      <c r="CM30" s="1432"/>
      <c r="CN30" s="1432"/>
      <c r="CO30" s="1432"/>
    </row>
    <row r="31" spans="1:93" ht="17.25" customHeight="1" x14ac:dyDescent="0.25">
      <c r="A31" s="7299">
        <v>21400600</v>
      </c>
      <c r="B31" s="2799" t="s">
        <v>1637</v>
      </c>
      <c r="C31" s="2800"/>
      <c r="D31" s="8023" t="s">
        <v>5369</v>
      </c>
      <c r="E31" s="8028" t="s">
        <v>5370</v>
      </c>
      <c r="F31" s="8025" t="s">
        <v>5371</v>
      </c>
      <c r="G31" s="8026" t="s">
        <v>5372</v>
      </c>
      <c r="H31" s="8027" t="s">
        <v>5373</v>
      </c>
      <c r="I31" s="8028" t="s">
        <v>5374</v>
      </c>
      <c r="J31" s="8028" t="s">
        <v>5375</v>
      </c>
      <c r="K31" s="8028" t="s">
        <v>5376</v>
      </c>
      <c r="L31" s="8028" t="s">
        <v>5377</v>
      </c>
      <c r="M31" s="8028" t="s">
        <v>5378</v>
      </c>
      <c r="N31" s="8029"/>
      <c r="O31" s="8030"/>
      <c r="BX31" s="1430"/>
      <c r="BY31" s="1438"/>
      <c r="CB31" s="1435" t="str">
        <f t="shared" ref="CB31:CB36" si="2">IF(CH31=1," * La Suma de Personas por Origen de Derivación no puede ser Mayor a la suma de Personas por Edad. ","")</f>
        <v/>
      </c>
      <c r="CH31" s="1436">
        <f t="shared" si="1"/>
        <v>0</v>
      </c>
      <c r="CI31" s="1432"/>
      <c r="CJ31" s="1432"/>
      <c r="CK31" s="1432"/>
      <c r="CL31" s="1432"/>
      <c r="CM31" s="1432"/>
      <c r="CN31" s="1432"/>
      <c r="CO31" s="1432"/>
    </row>
    <row r="32" spans="1:93" ht="17.25" customHeight="1" x14ac:dyDescent="0.25">
      <c r="A32" s="7299">
        <v>21400700</v>
      </c>
      <c r="B32" s="2799" t="s">
        <v>1636</v>
      </c>
      <c r="C32" s="2800"/>
      <c r="D32" s="8023" t="s">
        <v>5369</v>
      </c>
      <c r="E32" s="8028" t="s">
        <v>5370</v>
      </c>
      <c r="F32" s="8025" t="s">
        <v>5371</v>
      </c>
      <c r="G32" s="8026" t="s">
        <v>5372</v>
      </c>
      <c r="H32" s="8027" t="s">
        <v>5373</v>
      </c>
      <c r="I32" s="8028" t="s">
        <v>5374</v>
      </c>
      <c r="J32" s="8028" t="s">
        <v>5375</v>
      </c>
      <c r="K32" s="8028" t="s">
        <v>5376</v>
      </c>
      <c r="L32" s="8028" t="s">
        <v>5377</v>
      </c>
      <c r="M32" s="8028" t="s">
        <v>5378</v>
      </c>
      <c r="N32" s="8029"/>
      <c r="O32" s="8030"/>
      <c r="BX32" s="1430"/>
      <c r="BY32" s="1438"/>
      <c r="CB32" s="1435" t="str">
        <f t="shared" si="2"/>
        <v/>
      </c>
      <c r="CH32" s="1436">
        <f t="shared" si="1"/>
        <v>0</v>
      </c>
      <c r="CI32" s="1432"/>
      <c r="CJ32" s="1432"/>
      <c r="CK32" s="1432"/>
      <c r="CL32" s="1432"/>
      <c r="CM32" s="1432"/>
      <c r="CN32" s="1432"/>
      <c r="CO32" s="1432"/>
    </row>
    <row r="33" spans="1:93" ht="17.25" customHeight="1" x14ac:dyDescent="0.25">
      <c r="A33" s="7299">
        <v>21300600</v>
      </c>
      <c r="B33" s="2165" t="s">
        <v>1635</v>
      </c>
      <c r="C33" s="2801"/>
      <c r="D33" s="2165" t="s">
        <v>5369</v>
      </c>
      <c r="E33" s="8031" t="s">
        <v>5370</v>
      </c>
      <c r="F33" s="8032" t="s">
        <v>5371</v>
      </c>
      <c r="G33" s="8033" t="s">
        <v>5372</v>
      </c>
      <c r="H33" s="8034" t="s">
        <v>5373</v>
      </c>
      <c r="I33" s="8031" t="s">
        <v>5374</v>
      </c>
      <c r="J33" s="8031" t="s">
        <v>5375</v>
      </c>
      <c r="K33" s="8031" t="s">
        <v>5376</v>
      </c>
      <c r="L33" s="8031" t="s">
        <v>5377</v>
      </c>
      <c r="M33" s="8031" t="s">
        <v>5378</v>
      </c>
      <c r="N33" s="8029"/>
      <c r="O33" s="8030"/>
      <c r="BX33" s="1430"/>
      <c r="BY33" s="1438"/>
      <c r="CB33" s="1435" t="str">
        <f t="shared" si="2"/>
        <v/>
      </c>
      <c r="CH33" s="1436">
        <f t="shared" si="1"/>
        <v>0</v>
      </c>
      <c r="CI33" s="1432"/>
      <c r="CJ33" s="1432"/>
      <c r="CK33" s="1432"/>
      <c r="CL33" s="1432"/>
      <c r="CM33" s="1432"/>
      <c r="CN33" s="1432"/>
      <c r="CO33" s="1432"/>
    </row>
    <row r="34" spans="1:93" ht="17.25" customHeight="1" x14ac:dyDescent="0.25">
      <c r="A34" s="7299">
        <v>21300700</v>
      </c>
      <c r="B34" s="10230" t="s">
        <v>1634</v>
      </c>
      <c r="C34" s="1480" t="s">
        <v>1633</v>
      </c>
      <c r="D34" s="8035" t="s">
        <v>5369</v>
      </c>
      <c r="E34" s="8036" t="s">
        <v>5370</v>
      </c>
      <c r="F34" s="8025" t="s">
        <v>5371</v>
      </c>
      <c r="G34" s="8026" t="s">
        <v>5372</v>
      </c>
      <c r="H34" s="8037" t="s">
        <v>5373</v>
      </c>
      <c r="I34" s="8036" t="s">
        <v>5374</v>
      </c>
      <c r="J34" s="8036" t="s">
        <v>5375</v>
      </c>
      <c r="K34" s="8036" t="s">
        <v>5376</v>
      </c>
      <c r="L34" s="8036" t="s">
        <v>5377</v>
      </c>
      <c r="M34" s="8036" t="s">
        <v>5378</v>
      </c>
      <c r="N34" s="8029"/>
      <c r="O34" s="8030"/>
      <c r="BX34" s="1430"/>
      <c r="BY34" s="1438"/>
      <c r="CB34" s="1435" t="str">
        <f t="shared" si="2"/>
        <v/>
      </c>
      <c r="CH34" s="1436">
        <f t="shared" si="1"/>
        <v>0</v>
      </c>
      <c r="CI34" s="1432"/>
      <c r="CJ34" s="1432"/>
      <c r="CK34" s="1432"/>
      <c r="CL34" s="1432"/>
      <c r="CM34" s="1432"/>
      <c r="CN34" s="1432"/>
      <c r="CO34" s="1432"/>
    </row>
    <row r="35" spans="1:93" ht="17.25" customHeight="1" x14ac:dyDescent="0.25">
      <c r="A35" s="7299">
        <v>21900100</v>
      </c>
      <c r="B35" s="10231"/>
      <c r="C35" s="2165" t="s">
        <v>1632</v>
      </c>
      <c r="D35" s="8015" t="s">
        <v>5369</v>
      </c>
      <c r="E35" s="8038" t="s">
        <v>5370</v>
      </c>
      <c r="F35" s="8039" t="s">
        <v>5371</v>
      </c>
      <c r="G35" s="8040" t="s">
        <v>5372</v>
      </c>
      <c r="H35" s="8041" t="s">
        <v>5373</v>
      </c>
      <c r="I35" s="8038" t="s">
        <v>5374</v>
      </c>
      <c r="J35" s="8038" t="s">
        <v>5375</v>
      </c>
      <c r="K35" s="8038" t="s">
        <v>5376</v>
      </c>
      <c r="L35" s="8038" t="s">
        <v>5377</v>
      </c>
      <c r="M35" s="8038" t="s">
        <v>5378</v>
      </c>
      <c r="N35" s="8029"/>
      <c r="O35" s="8030"/>
      <c r="BX35" s="1430"/>
      <c r="BY35" s="1438"/>
      <c r="CB35" s="1435" t="str">
        <f t="shared" si="2"/>
        <v/>
      </c>
      <c r="CH35" s="1436">
        <f t="shared" si="1"/>
        <v>0</v>
      </c>
      <c r="CI35" s="1432"/>
      <c r="CJ35" s="1432"/>
      <c r="CK35" s="1432"/>
      <c r="CL35" s="1432"/>
      <c r="CM35" s="1432"/>
      <c r="CN35" s="1432"/>
      <c r="CO35" s="1432"/>
    </row>
    <row r="36" spans="1:93" ht="17.25" customHeight="1" x14ac:dyDescent="0.25">
      <c r="A36" s="7299">
        <v>21800810</v>
      </c>
      <c r="B36" s="10226" t="s">
        <v>1631</v>
      </c>
      <c r="C36" s="10227"/>
      <c r="D36" s="8015" t="s">
        <v>5369</v>
      </c>
      <c r="E36" s="8038" t="s">
        <v>5370</v>
      </c>
      <c r="F36" s="8039" t="s">
        <v>5371</v>
      </c>
      <c r="G36" s="8040" t="s">
        <v>5372</v>
      </c>
      <c r="H36" s="8041" t="s">
        <v>5373</v>
      </c>
      <c r="I36" s="8038" t="s">
        <v>5374</v>
      </c>
      <c r="J36" s="8038" t="s">
        <v>5375</v>
      </c>
      <c r="K36" s="8038" t="s">
        <v>5376</v>
      </c>
      <c r="L36" s="8038" t="s">
        <v>5377</v>
      </c>
      <c r="M36" s="8038" t="s">
        <v>5378</v>
      </c>
      <c r="N36" s="8029"/>
      <c r="O36" s="8030"/>
      <c r="BX36" s="1430"/>
      <c r="BY36" s="1438"/>
      <c r="CB36" s="1435" t="str">
        <f t="shared" si="2"/>
        <v/>
      </c>
      <c r="CH36" s="1436">
        <f t="shared" si="1"/>
        <v>0</v>
      </c>
      <c r="CI36" s="1432"/>
      <c r="CJ36" s="1432"/>
      <c r="CK36" s="1432"/>
      <c r="CL36" s="1432"/>
      <c r="CM36" s="1432"/>
      <c r="CN36" s="1432"/>
      <c r="CO36" s="1432"/>
    </row>
    <row r="37" spans="1:93" ht="23.25" customHeight="1" x14ac:dyDescent="0.25">
      <c r="B37" s="1481" t="s">
        <v>3788</v>
      </c>
      <c r="C37" s="977"/>
      <c r="D37" s="1022"/>
      <c r="E37" s="1016"/>
      <c r="F37" s="1016"/>
      <c r="G37" s="1016"/>
      <c r="H37" s="1016"/>
      <c r="I37" s="1016"/>
      <c r="J37" s="1016"/>
      <c r="K37" s="1016"/>
      <c r="L37" s="1016"/>
      <c r="M37" s="1016"/>
      <c r="N37" s="1482"/>
      <c r="CH37" s="1432"/>
      <c r="CI37" s="1432"/>
      <c r="CJ37" s="1432"/>
      <c r="CK37" s="1432"/>
      <c r="CL37" s="1432"/>
      <c r="CM37" s="1432"/>
      <c r="CN37" s="1432"/>
      <c r="CO37" s="1432"/>
    </row>
    <row r="38" spans="1:93" ht="28.5" customHeight="1" x14ac:dyDescent="0.25">
      <c r="B38" s="1010" t="s">
        <v>30</v>
      </c>
      <c r="C38" s="1010" t="s">
        <v>44</v>
      </c>
      <c r="D38" s="1018"/>
      <c r="E38" s="977"/>
      <c r="F38" s="977"/>
      <c r="G38" s="977"/>
      <c r="H38" s="1482"/>
      <c r="BS38" s="1430"/>
      <c r="BT38" s="1438"/>
      <c r="BU38" s="1438"/>
      <c r="CH38" s="1432"/>
      <c r="CI38" s="1432"/>
      <c r="CJ38" s="1432"/>
      <c r="CK38" s="1432"/>
      <c r="CL38" s="1432"/>
      <c r="CM38" s="1432"/>
      <c r="CN38" s="1432"/>
      <c r="CO38" s="1432"/>
    </row>
    <row r="39" spans="1:93" ht="16.5" customHeight="1" x14ac:dyDescent="0.25">
      <c r="A39" s="7299">
        <v>21900110</v>
      </c>
      <c r="B39" s="1478" t="s">
        <v>19</v>
      </c>
      <c r="C39" s="1021" t="s">
        <v>5369</v>
      </c>
      <c r="D39" s="1018"/>
      <c r="E39" s="977"/>
      <c r="F39" s="977"/>
      <c r="G39" s="977"/>
      <c r="H39" s="1482"/>
      <c r="BS39" s="1430"/>
      <c r="BT39" s="1438"/>
      <c r="BU39" s="1438"/>
      <c r="CH39" s="1432"/>
      <c r="CI39" s="1432"/>
      <c r="CJ39" s="1432"/>
      <c r="CK39" s="1432"/>
      <c r="CL39" s="1432"/>
      <c r="CM39" s="1432"/>
      <c r="CN39" s="1432"/>
      <c r="CO39" s="1432"/>
    </row>
    <row r="40" spans="1:93" ht="16.5" customHeight="1" x14ac:dyDescent="0.25">
      <c r="A40" s="7299">
        <v>21900120</v>
      </c>
      <c r="B40" s="1478" t="s">
        <v>99</v>
      </c>
      <c r="C40" s="1021" t="s">
        <v>5369</v>
      </c>
      <c r="D40" s="1018"/>
      <c r="E40" s="977"/>
      <c r="F40" s="977"/>
      <c r="G40" s="977"/>
      <c r="H40" s="1482"/>
      <c r="BS40" s="1430"/>
      <c r="BT40" s="1438"/>
      <c r="BU40" s="1438"/>
      <c r="CH40" s="1432"/>
      <c r="CI40" s="1432"/>
      <c r="CJ40" s="1432"/>
      <c r="CK40" s="1432"/>
      <c r="CL40" s="1432"/>
      <c r="CM40" s="1432"/>
      <c r="CN40" s="1432"/>
      <c r="CO40" s="1432"/>
    </row>
    <row r="41" spans="1:93" ht="16.5" customHeight="1" x14ac:dyDescent="0.25">
      <c r="A41" s="7299">
        <v>21900130</v>
      </c>
      <c r="B41" s="1478" t="s">
        <v>27</v>
      </c>
      <c r="C41" s="1021" t="s">
        <v>5369</v>
      </c>
      <c r="D41" s="1018"/>
      <c r="E41" s="977"/>
      <c r="F41" s="977"/>
      <c r="G41" s="977"/>
      <c r="H41" s="1482"/>
      <c r="BS41" s="1430"/>
      <c r="BT41" s="1438"/>
      <c r="BU41" s="1438"/>
      <c r="CH41" s="1432"/>
      <c r="CI41" s="1432"/>
      <c r="CJ41" s="1432"/>
      <c r="CK41" s="1432"/>
      <c r="CL41" s="1432"/>
      <c r="CM41" s="1432"/>
      <c r="CN41" s="1432"/>
      <c r="CO41" s="1432"/>
    </row>
    <row r="42" spans="1:93" ht="16.5" customHeight="1" x14ac:dyDescent="0.25">
      <c r="A42" s="7299">
        <v>21900140</v>
      </c>
      <c r="B42" s="1478" t="s">
        <v>65</v>
      </c>
      <c r="C42" s="1021" t="s">
        <v>5369</v>
      </c>
      <c r="D42" s="1018"/>
      <c r="E42" s="977"/>
      <c r="F42" s="977"/>
      <c r="G42" s="977"/>
      <c r="H42" s="1482"/>
      <c r="BS42" s="1430"/>
      <c r="BT42" s="1438"/>
      <c r="BU42" s="1438"/>
      <c r="CH42" s="1432"/>
      <c r="CI42" s="1432"/>
      <c r="CJ42" s="1432"/>
      <c r="CK42" s="1432"/>
      <c r="CL42" s="1432"/>
      <c r="CM42" s="1432"/>
      <c r="CN42" s="1432"/>
      <c r="CO42" s="1432"/>
    </row>
    <row r="43" spans="1:93" ht="16.5" customHeight="1" x14ac:dyDescent="0.25">
      <c r="A43" s="7299">
        <v>21900150</v>
      </c>
      <c r="B43" s="1478" t="s">
        <v>103</v>
      </c>
      <c r="C43" s="1021" t="s">
        <v>5369</v>
      </c>
      <c r="D43" s="1018"/>
      <c r="E43" s="977"/>
      <c r="F43" s="977"/>
      <c r="G43" s="977"/>
      <c r="H43" s="1482"/>
      <c r="BS43" s="1430"/>
      <c r="BT43" s="1438"/>
      <c r="BU43" s="1438"/>
      <c r="CH43" s="1432"/>
      <c r="CI43" s="1432"/>
      <c r="CJ43" s="1432"/>
      <c r="CK43" s="1432"/>
      <c r="CL43" s="1432"/>
      <c r="CM43" s="1432"/>
      <c r="CN43" s="1432"/>
      <c r="CO43" s="1432"/>
    </row>
    <row r="44" spans="1:93" ht="16.5" customHeight="1" x14ac:dyDescent="0.25">
      <c r="A44" s="7299">
        <v>21900160</v>
      </c>
      <c r="B44" s="1478" t="s">
        <v>87</v>
      </c>
      <c r="C44" s="1021" t="s">
        <v>5369</v>
      </c>
      <c r="D44" s="1018"/>
      <c r="E44" s="977"/>
      <c r="F44" s="977"/>
      <c r="G44" s="977"/>
      <c r="H44" s="1482"/>
      <c r="BS44" s="1430"/>
      <c r="BT44" s="1438"/>
      <c r="BU44" s="1438"/>
      <c r="CH44" s="1432"/>
      <c r="CI44" s="1432"/>
      <c r="CJ44" s="1432"/>
      <c r="CK44" s="1432"/>
      <c r="CL44" s="1432"/>
      <c r="CM44" s="1432"/>
      <c r="CN44" s="1432"/>
      <c r="CO44" s="1432"/>
    </row>
    <row r="45" spans="1:93" ht="16.5" customHeight="1" x14ac:dyDescent="0.25">
      <c r="A45" s="7299">
        <v>21900170</v>
      </c>
      <c r="B45" s="1478" t="s">
        <v>61</v>
      </c>
      <c r="C45" s="1021" t="s">
        <v>5369</v>
      </c>
      <c r="D45" s="1018"/>
      <c r="E45" s="977"/>
      <c r="F45" s="977"/>
      <c r="G45" s="977"/>
      <c r="H45" s="1482"/>
      <c r="BS45" s="1430"/>
      <c r="BT45" s="1438"/>
      <c r="BU45" s="1438"/>
      <c r="CH45" s="1432"/>
      <c r="CI45" s="1432"/>
      <c r="CJ45" s="1432"/>
      <c r="CK45" s="1432"/>
      <c r="CL45" s="1432"/>
      <c r="CM45" s="1432"/>
      <c r="CN45" s="1432"/>
      <c r="CO45" s="1432"/>
    </row>
    <row r="46" spans="1:93" ht="16.5" customHeight="1" x14ac:dyDescent="0.25">
      <c r="A46" s="7299">
        <v>21900180</v>
      </c>
      <c r="B46" s="1483" t="s">
        <v>1630</v>
      </c>
      <c r="C46" s="1020" t="s">
        <v>5369</v>
      </c>
      <c r="D46" s="1018"/>
      <c r="E46" s="977"/>
      <c r="F46" s="977"/>
      <c r="G46" s="977"/>
      <c r="H46" s="1482"/>
      <c r="BS46" s="1430"/>
      <c r="BT46" s="1438"/>
      <c r="BU46" s="1438"/>
      <c r="CH46" s="1432"/>
      <c r="CI46" s="1432"/>
      <c r="CJ46" s="1432"/>
      <c r="CK46" s="1432"/>
      <c r="CL46" s="1432"/>
      <c r="CM46" s="1432"/>
      <c r="CN46" s="1432"/>
      <c r="CO46" s="1432"/>
    </row>
    <row r="47" spans="1:93" ht="16.5" customHeight="1" x14ac:dyDescent="0.25">
      <c r="A47" s="7299">
        <v>21900190</v>
      </c>
      <c r="B47" s="1479" t="s">
        <v>62</v>
      </c>
      <c r="C47" s="1019" t="s">
        <v>5369</v>
      </c>
      <c r="D47" s="1018"/>
      <c r="E47" s="977"/>
      <c r="F47" s="977"/>
      <c r="G47" s="977"/>
      <c r="H47" s="1482"/>
      <c r="BS47" s="1430"/>
      <c r="BT47" s="1438"/>
      <c r="BU47" s="1438"/>
      <c r="CH47" s="1432"/>
      <c r="CI47" s="1432"/>
      <c r="CJ47" s="1432"/>
      <c r="CK47" s="1432"/>
      <c r="CL47" s="1432"/>
      <c r="CM47" s="1432"/>
      <c r="CN47" s="1432"/>
      <c r="CO47" s="1432"/>
    </row>
    <row r="48" spans="1:93" ht="29.25" customHeight="1" x14ac:dyDescent="0.25">
      <c r="B48" s="3454" t="s">
        <v>3789</v>
      </c>
      <c r="C48" s="1017"/>
      <c r="E48" s="1016"/>
      <c r="F48" s="1016"/>
      <c r="G48" s="977"/>
      <c r="H48" s="977"/>
      <c r="I48" s="977"/>
      <c r="J48" s="977"/>
      <c r="K48" s="977"/>
      <c r="L48" s="977"/>
      <c r="M48" s="977"/>
      <c r="BV48" s="1430"/>
      <c r="BW48" s="1438"/>
      <c r="BX48" s="1438"/>
      <c r="CH48" s="1432"/>
      <c r="CI48" s="1432"/>
      <c r="CJ48" s="1432"/>
      <c r="CK48" s="1432"/>
      <c r="CL48" s="1432"/>
      <c r="CM48" s="1432"/>
      <c r="CN48" s="1432"/>
      <c r="CO48" s="1432"/>
    </row>
    <row r="49" spans="1:93" ht="32.25" customHeight="1" x14ac:dyDescent="0.25">
      <c r="B49" s="1010" t="s">
        <v>1629</v>
      </c>
      <c r="C49" s="1010" t="s">
        <v>24</v>
      </c>
      <c r="D49" s="1010" t="s">
        <v>1628</v>
      </c>
      <c r="E49" s="1010" t="s">
        <v>1627</v>
      </c>
      <c r="F49" s="1010" t="s">
        <v>2962</v>
      </c>
      <c r="G49" s="977"/>
      <c r="H49" s="977"/>
      <c r="I49" s="977"/>
      <c r="J49" s="977"/>
      <c r="K49" s="977"/>
      <c r="L49" s="977"/>
      <c r="M49" s="977"/>
      <c r="BV49" s="1430"/>
      <c r="BW49" s="1438"/>
      <c r="BX49" s="1438"/>
      <c r="CH49" s="1432"/>
      <c r="CI49" s="1432"/>
      <c r="CJ49" s="1432"/>
      <c r="CK49" s="1432"/>
      <c r="CL49" s="1432"/>
      <c r="CM49" s="1432"/>
      <c r="CN49" s="1432"/>
      <c r="CO49" s="1432"/>
    </row>
    <row r="50" spans="1:93" ht="21.75" customHeight="1" x14ac:dyDescent="0.25">
      <c r="A50" s="7299">
        <v>21900200</v>
      </c>
      <c r="B50" s="1485" t="s">
        <v>1626</v>
      </c>
      <c r="C50" s="1015" t="s">
        <v>5369</v>
      </c>
      <c r="D50" s="1014" t="s">
        <v>5370</v>
      </c>
      <c r="E50" s="1014" t="s">
        <v>5371</v>
      </c>
      <c r="F50" s="1014" t="s">
        <v>5372</v>
      </c>
      <c r="G50" s="977"/>
      <c r="H50" s="977"/>
      <c r="I50" s="977"/>
      <c r="J50" s="977"/>
      <c r="K50" s="977"/>
      <c r="L50" s="977"/>
      <c r="M50" s="977"/>
      <c r="BV50" s="1430"/>
      <c r="BW50" s="1438"/>
      <c r="BX50" s="1438"/>
      <c r="CH50" s="1432"/>
      <c r="CI50" s="1432"/>
      <c r="CJ50" s="1432"/>
      <c r="CK50" s="1432"/>
      <c r="CL50" s="1432"/>
      <c r="CM50" s="1432"/>
      <c r="CN50" s="1432"/>
      <c r="CO50" s="1432"/>
    </row>
    <row r="51" spans="1:93" ht="21.75" customHeight="1" x14ac:dyDescent="0.25">
      <c r="A51" s="7299">
        <v>21900210</v>
      </c>
      <c r="B51" s="1485" t="s">
        <v>1625</v>
      </c>
      <c r="C51" s="1015" t="s">
        <v>5369</v>
      </c>
      <c r="D51" s="1014" t="s">
        <v>5370</v>
      </c>
      <c r="E51" s="1014" t="s">
        <v>5371</v>
      </c>
      <c r="F51" s="1014" t="s">
        <v>5372</v>
      </c>
      <c r="G51" s="977"/>
      <c r="H51" s="977"/>
      <c r="I51" s="977"/>
      <c r="J51" s="977"/>
      <c r="K51" s="977"/>
      <c r="L51" s="977"/>
      <c r="M51" s="977"/>
      <c r="BV51" s="1430"/>
      <c r="BW51" s="1438"/>
      <c r="BX51" s="1438"/>
      <c r="CH51" s="1432"/>
      <c r="CI51" s="1432"/>
      <c r="CJ51" s="1432"/>
      <c r="CK51" s="1432"/>
      <c r="CL51" s="1432"/>
      <c r="CM51" s="1432"/>
      <c r="CN51" s="1432"/>
      <c r="CO51" s="1432"/>
    </row>
    <row r="52" spans="1:93" ht="21.75" customHeight="1" x14ac:dyDescent="0.25">
      <c r="A52" s="7299">
        <v>21900220</v>
      </c>
      <c r="B52" s="1479" t="s">
        <v>1624</v>
      </c>
      <c r="C52" s="1013" t="s">
        <v>5369</v>
      </c>
      <c r="D52" s="1012" t="s">
        <v>5370</v>
      </c>
      <c r="E52" s="1012" t="s">
        <v>5371</v>
      </c>
      <c r="F52" s="1012" t="s">
        <v>5372</v>
      </c>
      <c r="G52" s="977"/>
      <c r="H52" s="977"/>
      <c r="I52" s="977"/>
      <c r="J52" s="977"/>
      <c r="K52" s="977"/>
      <c r="L52" s="977"/>
      <c r="M52" s="977"/>
      <c r="BV52" s="1430"/>
      <c r="BW52" s="1438"/>
      <c r="BX52" s="1438"/>
      <c r="CH52" s="1432"/>
      <c r="CI52" s="1432"/>
      <c r="CJ52" s="1432"/>
      <c r="CK52" s="1432"/>
      <c r="CL52" s="1432"/>
      <c r="CM52" s="1432"/>
      <c r="CN52" s="1432"/>
      <c r="CO52" s="1432"/>
    </row>
    <row r="53" spans="1:93" ht="29.25" customHeight="1" x14ac:dyDescent="0.25">
      <c r="B53" s="1484" t="s">
        <v>3790</v>
      </c>
      <c r="C53" s="2331"/>
      <c r="D53" s="2332"/>
      <c r="E53" s="2332"/>
      <c r="F53" s="1612"/>
      <c r="G53" s="1612"/>
      <c r="H53" s="1612"/>
      <c r="I53" s="1612"/>
      <c r="J53" s="1612"/>
      <c r="K53" s="1613"/>
      <c r="L53" s="1613"/>
      <c r="M53" s="1613"/>
      <c r="BV53" s="1430"/>
      <c r="BW53" s="1438"/>
      <c r="BX53" s="1438"/>
      <c r="CH53" s="1432"/>
      <c r="CI53" s="1432"/>
      <c r="CJ53" s="1432"/>
      <c r="CK53" s="1432"/>
      <c r="CL53" s="1432"/>
      <c r="CM53" s="1432"/>
      <c r="CN53" s="1432"/>
      <c r="CO53" s="1432"/>
    </row>
    <row r="54" spans="1:93" ht="33.6" customHeight="1" x14ac:dyDescent="0.25">
      <c r="B54" s="2333" t="s">
        <v>2371</v>
      </c>
      <c r="C54" s="2333" t="s">
        <v>24</v>
      </c>
      <c r="D54" s="3455" t="s">
        <v>3702</v>
      </c>
      <c r="E54" s="3456" t="s">
        <v>3703</v>
      </c>
      <c r="F54" s="3457" t="s">
        <v>1560</v>
      </c>
      <c r="G54" s="3458" t="s">
        <v>2962</v>
      </c>
      <c r="H54" s="1612"/>
      <c r="I54" s="1612"/>
      <c r="J54" s="1612"/>
      <c r="K54" s="1613"/>
      <c r="L54" s="1613"/>
      <c r="M54" s="1613"/>
      <c r="BV54" s="1430"/>
      <c r="BW54" s="1438"/>
      <c r="BX54" s="1438"/>
      <c r="CH54" s="1432"/>
      <c r="CI54" s="1432"/>
      <c r="CJ54" s="1432"/>
      <c r="CK54" s="1432"/>
      <c r="CL54" s="1432"/>
      <c r="CM54" s="1432"/>
      <c r="CN54" s="1432"/>
      <c r="CO54" s="1432"/>
    </row>
    <row r="55" spans="1:93" ht="21.75" customHeight="1" x14ac:dyDescent="0.25">
      <c r="A55" s="7299">
        <v>21100010</v>
      </c>
      <c r="B55" s="2334" t="s">
        <v>2368</v>
      </c>
      <c r="C55" s="6830" t="s">
        <v>5369</v>
      </c>
      <c r="D55" s="2797" t="s">
        <v>5370</v>
      </c>
      <c r="E55" s="2811" t="s">
        <v>5371</v>
      </c>
      <c r="F55" s="2905" t="s">
        <v>5372</v>
      </c>
      <c r="G55" s="3180" t="s">
        <v>5373</v>
      </c>
      <c r="H55" s="1612"/>
      <c r="I55" s="1612"/>
      <c r="J55" s="1612"/>
      <c r="K55" s="1613"/>
      <c r="L55" s="1613"/>
      <c r="M55" s="1613"/>
      <c r="BV55" s="1430"/>
      <c r="BW55" s="1438"/>
      <c r="BX55" s="1438"/>
      <c r="CH55" s="1432"/>
      <c r="CI55" s="1432"/>
      <c r="CJ55" s="1432"/>
      <c r="CK55" s="1432"/>
      <c r="CL55" s="1432"/>
      <c r="CM55" s="1432"/>
      <c r="CN55" s="1432"/>
      <c r="CO55" s="1432"/>
    </row>
    <row r="56" spans="1:93" ht="21.75" customHeight="1" x14ac:dyDescent="0.25">
      <c r="A56" s="7299">
        <v>21100020</v>
      </c>
      <c r="B56" s="2335" t="s">
        <v>2369</v>
      </c>
      <c r="C56" s="2336" t="s">
        <v>5369</v>
      </c>
      <c r="D56" s="2492" t="s">
        <v>5370</v>
      </c>
      <c r="E56" s="2491" t="s">
        <v>5371</v>
      </c>
      <c r="F56" s="1638" t="s">
        <v>5372</v>
      </c>
      <c r="G56" s="3180" t="s">
        <v>5373</v>
      </c>
      <c r="H56" s="1612"/>
      <c r="I56" s="1612"/>
      <c r="J56" s="1612"/>
      <c r="K56" s="1613"/>
      <c r="L56" s="1613"/>
      <c r="M56" s="1613"/>
      <c r="BV56" s="1430"/>
      <c r="BW56" s="1438"/>
      <c r="BX56" s="1438"/>
      <c r="CH56" s="1432"/>
      <c r="CI56" s="1432"/>
      <c r="CJ56" s="1432"/>
      <c r="CK56" s="1432"/>
      <c r="CL56" s="1432"/>
      <c r="CM56" s="1432"/>
      <c r="CN56" s="1432"/>
      <c r="CO56" s="1432"/>
    </row>
    <row r="57" spans="1:93" ht="21.75" customHeight="1" x14ac:dyDescent="0.25">
      <c r="A57" s="7299">
        <v>21100030</v>
      </c>
      <c r="B57" s="2337" t="s">
        <v>2370</v>
      </c>
      <c r="C57" s="2338" t="s">
        <v>5369</v>
      </c>
      <c r="D57" s="2743" t="s">
        <v>5370</v>
      </c>
      <c r="E57" s="2477" t="s">
        <v>5371</v>
      </c>
      <c r="F57" s="2830" t="s">
        <v>5372</v>
      </c>
      <c r="G57" s="3181" t="s">
        <v>5373</v>
      </c>
      <c r="H57" s="1615"/>
      <c r="I57" s="1615"/>
      <c r="J57" s="1615"/>
      <c r="K57" s="1616"/>
      <c r="L57" s="1616"/>
      <c r="M57" s="1616"/>
      <c r="BV57" s="1430"/>
      <c r="BW57" s="1438"/>
      <c r="BX57" s="1438"/>
      <c r="CH57" s="1432"/>
      <c r="CI57" s="1432"/>
      <c r="CJ57" s="1432"/>
      <c r="CK57" s="1432"/>
      <c r="CL57" s="1432"/>
      <c r="CM57" s="1432"/>
      <c r="CN57" s="1432"/>
      <c r="CO57" s="1432"/>
    </row>
    <row r="58" spans="1:93" ht="21.75" customHeight="1" x14ac:dyDescent="0.3">
      <c r="B58" s="1484" t="s">
        <v>3791</v>
      </c>
      <c r="C58" s="1192"/>
      <c r="D58" s="1192"/>
      <c r="E58" s="1192"/>
      <c r="F58" s="1192"/>
      <c r="G58" s="1615"/>
      <c r="H58" s="1615"/>
      <c r="I58" s="1615"/>
      <c r="J58" s="1615"/>
      <c r="K58" s="1616"/>
      <c r="L58" s="1616"/>
      <c r="M58" s="1616"/>
      <c r="BV58" s="1430"/>
      <c r="BW58" s="1438"/>
      <c r="BX58" s="1438"/>
      <c r="CH58" s="1432"/>
      <c r="CI58" s="1432"/>
      <c r="CJ58" s="1432"/>
      <c r="CK58" s="1432"/>
      <c r="CL58" s="1432"/>
      <c r="CM58" s="1432"/>
      <c r="CN58" s="1432"/>
      <c r="CO58" s="1432"/>
    </row>
    <row r="59" spans="1:93" ht="31.5" customHeight="1" x14ac:dyDescent="0.25">
      <c r="B59" s="2339" t="s">
        <v>41</v>
      </c>
      <c r="C59" s="1125" t="s">
        <v>2174</v>
      </c>
      <c r="D59" s="2125" t="s">
        <v>2175</v>
      </c>
      <c r="E59" s="2126" t="s">
        <v>2176</v>
      </c>
      <c r="F59" s="2124" t="s">
        <v>2177</v>
      </c>
      <c r="G59" s="1615"/>
      <c r="H59" s="1615"/>
      <c r="I59" s="1615"/>
      <c r="J59" s="1615"/>
      <c r="K59" s="1616"/>
      <c r="L59" s="1616"/>
      <c r="M59" s="1616"/>
      <c r="BV59" s="1430"/>
      <c r="BW59" s="1438"/>
      <c r="BX59" s="1438"/>
      <c r="CH59" s="1432"/>
      <c r="CI59" s="1432"/>
      <c r="CJ59" s="1432"/>
      <c r="CK59" s="1432"/>
      <c r="CL59" s="1432"/>
      <c r="CM59" s="1432"/>
      <c r="CN59" s="1432"/>
      <c r="CO59" s="1432"/>
    </row>
    <row r="60" spans="1:93" ht="21.75" customHeight="1" x14ac:dyDescent="0.25">
      <c r="A60" s="7299">
        <v>21100040</v>
      </c>
      <c r="B60" s="2340" t="s">
        <v>2178</v>
      </c>
      <c r="C60" s="1839" t="s">
        <v>5369</v>
      </c>
      <c r="D60" s="1948" t="s">
        <v>5370</v>
      </c>
      <c r="E60" s="1799" t="s">
        <v>5371</v>
      </c>
      <c r="F60" s="1946" t="s">
        <v>5372</v>
      </c>
      <c r="G60" s="1615"/>
      <c r="H60" s="1615"/>
      <c r="I60" s="1615"/>
      <c r="J60" s="1615"/>
      <c r="K60" s="1616"/>
      <c r="L60" s="1616"/>
      <c r="M60" s="1616"/>
      <c r="BV60" s="1430"/>
      <c r="BW60" s="1438"/>
      <c r="BX60" s="1438"/>
      <c r="CH60" s="1432"/>
      <c r="CI60" s="1432"/>
      <c r="CJ60" s="1432"/>
      <c r="CK60" s="1432"/>
      <c r="CL60" s="1432"/>
      <c r="CM60" s="1432"/>
      <c r="CN60" s="1432"/>
      <c r="CO60" s="1432"/>
    </row>
    <row r="61" spans="1:93" ht="21.75" customHeight="1" x14ac:dyDescent="0.25">
      <c r="A61" s="7299">
        <v>21100050</v>
      </c>
      <c r="B61" s="2341" t="s">
        <v>2179</v>
      </c>
      <c r="C61" s="1836" t="s">
        <v>5369</v>
      </c>
      <c r="D61" s="1990" t="s">
        <v>5370</v>
      </c>
      <c r="E61" s="1662" t="s">
        <v>5371</v>
      </c>
      <c r="F61" s="1949" t="s">
        <v>5372</v>
      </c>
      <c r="G61" s="1615"/>
      <c r="H61" s="1615"/>
      <c r="I61" s="1615"/>
      <c r="J61" s="1615"/>
      <c r="K61" s="1616"/>
      <c r="L61" s="1616"/>
      <c r="M61" s="1616"/>
      <c r="BV61" s="1430"/>
      <c r="BW61" s="1438"/>
      <c r="BX61" s="1438"/>
      <c r="CH61" s="1432"/>
      <c r="CI61" s="1432"/>
      <c r="CJ61" s="1432"/>
      <c r="CK61" s="1432"/>
      <c r="CL61" s="1432"/>
      <c r="CM61" s="1432"/>
      <c r="CN61" s="1432"/>
      <c r="CO61" s="1432"/>
    </row>
    <row r="62" spans="1:93" ht="21.75" customHeight="1" x14ac:dyDescent="0.25">
      <c r="A62" s="7299">
        <v>21100060</v>
      </c>
      <c r="B62" s="2341" t="s">
        <v>2180</v>
      </c>
      <c r="C62" s="1836" t="s">
        <v>5369</v>
      </c>
      <c r="D62" s="1990" t="s">
        <v>5370</v>
      </c>
      <c r="E62" s="1662" t="s">
        <v>5371</v>
      </c>
      <c r="F62" s="1949" t="s">
        <v>5372</v>
      </c>
      <c r="G62" s="1615"/>
      <c r="H62" s="1615"/>
      <c r="I62" s="1615"/>
      <c r="J62" s="1615"/>
      <c r="K62" s="1616"/>
      <c r="L62" s="1616"/>
      <c r="M62" s="1616"/>
      <c r="BV62" s="1430"/>
      <c r="BW62" s="1438"/>
      <c r="BX62" s="1438"/>
      <c r="CH62" s="1432"/>
      <c r="CI62" s="1432"/>
      <c r="CJ62" s="1432"/>
      <c r="CK62" s="1432"/>
      <c r="CL62" s="1432"/>
      <c r="CM62" s="1432"/>
      <c r="CN62" s="1432"/>
      <c r="CO62" s="1432"/>
    </row>
    <row r="63" spans="1:93" ht="21.75" customHeight="1" x14ac:dyDescent="0.25">
      <c r="A63" s="7299">
        <v>21100070</v>
      </c>
      <c r="B63" s="2341" t="s">
        <v>2181</v>
      </c>
      <c r="C63" s="1836" t="s">
        <v>5369</v>
      </c>
      <c r="D63" s="1990" t="s">
        <v>5370</v>
      </c>
      <c r="E63" s="1662" t="s">
        <v>5371</v>
      </c>
      <c r="F63" s="1949" t="s">
        <v>5372</v>
      </c>
      <c r="G63" s="1612"/>
      <c r="H63" s="1612"/>
      <c r="I63" s="1612"/>
      <c r="J63" s="1612"/>
      <c r="K63" s="1613"/>
      <c r="L63" s="1613"/>
      <c r="M63" s="1613"/>
      <c r="BV63" s="1430"/>
      <c r="BW63" s="1438"/>
      <c r="BX63" s="1438"/>
      <c r="CH63" s="1432"/>
      <c r="CI63" s="1432"/>
      <c r="CJ63" s="1432"/>
      <c r="CK63" s="1432"/>
      <c r="CL63" s="1432"/>
      <c r="CM63" s="1432"/>
      <c r="CN63" s="1432"/>
      <c r="CO63" s="1432"/>
    </row>
    <row r="64" spans="1:93" ht="21.75" customHeight="1" x14ac:dyDescent="0.25">
      <c r="A64" s="7299">
        <v>21100080</v>
      </c>
      <c r="B64" s="2341" t="s">
        <v>2182</v>
      </c>
      <c r="C64" s="1836" t="s">
        <v>5369</v>
      </c>
      <c r="D64" s="1990" t="s">
        <v>5370</v>
      </c>
      <c r="E64" s="1662" t="s">
        <v>5371</v>
      </c>
      <c r="F64" s="1949" t="s">
        <v>5372</v>
      </c>
      <c r="G64" s="1612"/>
      <c r="H64" s="1612"/>
      <c r="I64" s="1612"/>
      <c r="J64" s="1612"/>
      <c r="K64" s="1613"/>
      <c r="L64" s="1613"/>
      <c r="M64" s="1613"/>
      <c r="BV64" s="1430"/>
      <c r="BW64" s="1438"/>
      <c r="BX64" s="1438"/>
      <c r="CH64" s="1432"/>
      <c r="CI64" s="1432"/>
      <c r="CJ64" s="1432"/>
      <c r="CK64" s="1432"/>
      <c r="CL64" s="1432"/>
      <c r="CM64" s="1432"/>
      <c r="CN64" s="1432"/>
      <c r="CO64" s="1432"/>
    </row>
    <row r="65" spans="1:93" ht="21.75" customHeight="1" x14ac:dyDescent="0.25">
      <c r="A65" s="7299">
        <v>21100090</v>
      </c>
      <c r="B65" s="2342" t="s">
        <v>2183</v>
      </c>
      <c r="C65" s="1654" t="s">
        <v>5369</v>
      </c>
      <c r="D65" s="1951" t="s">
        <v>5370</v>
      </c>
      <c r="E65" s="1950" t="s">
        <v>5371</v>
      </c>
      <c r="F65" s="1636" t="s">
        <v>5372</v>
      </c>
      <c r="G65" s="1612"/>
      <c r="H65" s="1612"/>
      <c r="I65" s="1612"/>
      <c r="J65" s="1612"/>
      <c r="K65" s="1613"/>
      <c r="L65" s="1613"/>
      <c r="M65" s="1613"/>
      <c r="BV65" s="1430"/>
      <c r="BW65" s="1438"/>
      <c r="BX65" s="1438"/>
      <c r="CH65" s="1432"/>
      <c r="CI65" s="1432"/>
      <c r="CJ65" s="1432"/>
      <c r="CK65" s="1432"/>
      <c r="CL65" s="1432"/>
      <c r="CM65" s="1432"/>
      <c r="CN65" s="1432"/>
      <c r="CO65" s="1432"/>
    </row>
    <row r="66" spans="1:93" ht="21.75" customHeight="1" x14ac:dyDescent="0.25">
      <c r="A66" s="7267"/>
      <c r="B66" s="2343" t="s">
        <v>24</v>
      </c>
      <c r="C66" s="1198">
        <f>SUM(C60:C65)</f>
        <v>0</v>
      </c>
      <c r="D66" s="1960">
        <f>SUM(D60:D65)</f>
        <v>0</v>
      </c>
      <c r="E66" s="2037">
        <f>SUM(E60:E65)</f>
        <v>0</v>
      </c>
      <c r="F66" s="2016">
        <f>SUM(F60:F65)</f>
        <v>0</v>
      </c>
      <c r="G66" s="1618"/>
      <c r="H66" s="1612"/>
      <c r="I66" s="1612"/>
      <c r="J66" s="1612"/>
      <c r="K66" s="1613"/>
      <c r="L66" s="1613"/>
      <c r="M66" s="1613"/>
      <c r="BV66" s="1430"/>
      <c r="BW66" s="1438"/>
      <c r="BX66" s="1438"/>
      <c r="CH66" s="1432"/>
      <c r="CI66" s="1432"/>
      <c r="CJ66" s="1432"/>
      <c r="CK66" s="1432"/>
      <c r="CL66" s="1432"/>
      <c r="CM66" s="1432"/>
      <c r="CN66" s="1432"/>
      <c r="CO66" s="1432"/>
    </row>
    <row r="67" spans="1:93" ht="32.1" customHeight="1" x14ac:dyDescent="0.25">
      <c r="B67" s="10182" t="s">
        <v>3792</v>
      </c>
      <c r="C67" s="10183"/>
      <c r="D67" s="10183"/>
      <c r="E67" s="10183"/>
      <c r="F67" s="10184"/>
      <c r="G67" s="1011"/>
      <c r="H67" s="1011"/>
      <c r="I67" s="1011"/>
      <c r="J67" s="1011"/>
      <c r="K67" s="979"/>
      <c r="L67" s="977"/>
      <c r="M67" s="977"/>
    </row>
    <row r="68" spans="1:93" ht="31.5" customHeight="1" x14ac:dyDescent="0.25">
      <c r="B68" s="1010" t="s">
        <v>31</v>
      </c>
      <c r="C68" s="1010" t="s">
        <v>1623</v>
      </c>
      <c r="D68" s="1010" t="s">
        <v>24</v>
      </c>
      <c r="E68" s="2003" t="s">
        <v>1622</v>
      </c>
      <c r="F68" s="2004" t="s">
        <v>1621</v>
      </c>
      <c r="G68" s="2005" t="s">
        <v>1620</v>
      </c>
      <c r="H68" s="2005" t="s">
        <v>1415</v>
      </c>
      <c r="I68" s="2005" t="s">
        <v>32</v>
      </c>
      <c r="J68" s="1009" t="s">
        <v>33</v>
      </c>
      <c r="K68" s="1008"/>
      <c r="L68" s="965"/>
      <c r="M68" s="967"/>
      <c r="N68" s="290"/>
      <c r="O68" s="290"/>
      <c r="P68" s="290"/>
      <c r="Q68" s="290"/>
      <c r="R68" s="290"/>
      <c r="S68" s="290"/>
      <c r="T68" s="290"/>
      <c r="U68" s="290"/>
      <c r="V68" s="290"/>
      <c r="W68" s="290"/>
    </row>
    <row r="69" spans="1:93" ht="20.25" customHeight="1" x14ac:dyDescent="0.25">
      <c r="A69" s="7258">
        <v>21500300</v>
      </c>
      <c r="B69" s="10185" t="s">
        <v>1619</v>
      </c>
      <c r="C69" s="10186"/>
      <c r="D69" s="1003" t="s">
        <v>5369</v>
      </c>
      <c r="E69" s="2006" t="s">
        <v>5370</v>
      </c>
      <c r="F69" s="2007" t="s">
        <v>5371</v>
      </c>
      <c r="G69" s="2007" t="s">
        <v>5372</v>
      </c>
      <c r="H69" s="2007" t="s">
        <v>5373</v>
      </c>
      <c r="I69" s="2007" t="s">
        <v>5374</v>
      </c>
      <c r="J69" s="1007" t="s">
        <v>5375</v>
      </c>
      <c r="K69" s="1360" t="e">
        <f>CB69&amp;CC69&amp;CD69&amp;CE69&amp;CF69&amp;CG69</f>
        <v>#VALUE!</v>
      </c>
      <c r="L69" s="801"/>
      <c r="M69" s="801"/>
      <c r="N69" s="801"/>
      <c r="O69" s="801"/>
      <c r="P69" s="801"/>
      <c r="Q69" s="801"/>
      <c r="R69" s="801"/>
      <c r="S69" s="801"/>
      <c r="T69" s="801"/>
      <c r="U69" s="801"/>
      <c r="V69" s="801"/>
      <c r="W69" s="290"/>
      <c r="CB69" s="1435" t="e">
        <f>IF(E70+E71&gt;E69,"* La suma del Total egresados con apoyo psicosocial Hasta 28 días deben ser menor o igual al Total de Egresos de Hasta 28 días. ","")</f>
        <v>#VALUE!</v>
      </c>
      <c r="CC69" s="1435" t="e">
        <f>IF(F70+F71&gt;F69,"* La suma del Total egresados con apoyo psicosocial de 29 dias hasta menor de 1 año deben ser menor al Total de Egresos de de 29 dias hasta menor de 1 año. ","")</f>
        <v>#VALUE!</v>
      </c>
      <c r="CD69" s="1435" t="e">
        <f>IF(G70+G71&gt;G69,"* La suma del Total egresados con apoyo psicosocial de 1 a 4 años deben ser menor al Total de Egresos de 1 a 4 años. ","")</f>
        <v>#VALUE!</v>
      </c>
      <c r="CE69" s="1435" t="e">
        <f>IF(H70+H71&gt;H69,"* La suma del Total egresados con apoyo psicosocial de 9 años deben ser menor o igual al Total de Egresos de de 5 a 9 años. ","")</f>
        <v>#VALUE!</v>
      </c>
      <c r="CF69" s="1435" t="e">
        <f>IF(I70+I71&gt;I69,"* La suma del Total egresados con apoyo psicosocial de 10 a 14 años deben ser menor al Total de Egresos de 10 a 14 años. ","")</f>
        <v>#VALUE!</v>
      </c>
      <c r="CG69" s="1435" t="e">
        <f>IF(J70+J71&gt;J69,"* La suma del Total egresados con apoyo psicosocial de 15 a 19 años deben ser menor al Total de Egresos de 15 a 19 años. ","")</f>
        <v>#VALUE!</v>
      </c>
      <c r="CH69" s="1436" t="e">
        <f t="shared" ref="CH69:CM69" si="3">IF(E70+E71&gt;E69,1,0)</f>
        <v>#VALUE!</v>
      </c>
      <c r="CI69" s="1436" t="e">
        <f t="shared" si="3"/>
        <v>#VALUE!</v>
      </c>
      <c r="CJ69" s="1436" t="e">
        <f t="shared" si="3"/>
        <v>#VALUE!</v>
      </c>
      <c r="CK69" s="1436" t="e">
        <f t="shared" si="3"/>
        <v>#VALUE!</v>
      </c>
      <c r="CL69" s="1436" t="e">
        <f t="shared" si="3"/>
        <v>#VALUE!</v>
      </c>
      <c r="CM69" s="1436" t="e">
        <f t="shared" si="3"/>
        <v>#VALUE!</v>
      </c>
      <c r="CN69" s="1432"/>
      <c r="CO69" s="1432"/>
    </row>
    <row r="70" spans="1:93" ht="25.5" customHeight="1" x14ac:dyDescent="0.25">
      <c r="A70" s="7299">
        <v>21800850</v>
      </c>
      <c r="B70" s="10187" t="s">
        <v>1618</v>
      </c>
      <c r="C70" s="1298" t="s">
        <v>2060</v>
      </c>
      <c r="D70" s="1299" t="s">
        <v>5369</v>
      </c>
      <c r="E70" s="2008" t="s">
        <v>5370</v>
      </c>
      <c r="F70" s="2009" t="s">
        <v>5371</v>
      </c>
      <c r="G70" s="2009" t="s">
        <v>5372</v>
      </c>
      <c r="H70" s="2009" t="s">
        <v>5373</v>
      </c>
      <c r="I70" s="2009" t="s">
        <v>5374</v>
      </c>
      <c r="J70" s="997" t="s">
        <v>5375</v>
      </c>
      <c r="K70" s="1360" t="str">
        <f>CB70&amp;CC70&amp;CD70&amp;CE70&amp;CF70&amp;CG70</f>
        <v/>
      </c>
      <c r="L70" s="801"/>
      <c r="M70" s="801"/>
      <c r="N70" s="801"/>
      <c r="O70" s="801"/>
      <c r="P70" s="801"/>
      <c r="Q70" s="801"/>
      <c r="R70" s="801"/>
      <c r="S70" s="801"/>
      <c r="T70" s="801"/>
      <c r="U70" s="801"/>
      <c r="V70" s="801"/>
      <c r="W70" s="290"/>
      <c r="CH70" s="1432"/>
      <c r="CI70" s="1432"/>
      <c r="CJ70" s="1432"/>
      <c r="CK70" s="1432"/>
      <c r="CL70" s="1432"/>
      <c r="CM70" s="1432"/>
      <c r="CN70" s="1432"/>
      <c r="CO70" s="1432"/>
    </row>
    <row r="71" spans="1:93" ht="27.75" customHeight="1" x14ac:dyDescent="0.25">
      <c r="A71" s="7299">
        <v>21800860</v>
      </c>
      <c r="B71" s="10188"/>
      <c r="C71" s="1006" t="s">
        <v>2061</v>
      </c>
      <c r="D71" s="1005" t="s">
        <v>5369</v>
      </c>
      <c r="E71" s="2010" t="s">
        <v>5370</v>
      </c>
      <c r="F71" s="2011" t="s">
        <v>5371</v>
      </c>
      <c r="G71" s="2011" t="s">
        <v>5372</v>
      </c>
      <c r="H71" s="2011" t="s">
        <v>5373</v>
      </c>
      <c r="I71" s="2011" t="s">
        <v>5374</v>
      </c>
      <c r="J71" s="1004" t="s">
        <v>5375</v>
      </c>
      <c r="K71" s="1360" t="str">
        <f>CB71&amp;CC71&amp;CD71&amp;CE71&amp;CF71&amp;CG71</f>
        <v/>
      </c>
      <c r="L71" s="801"/>
      <c r="M71" s="801"/>
      <c r="N71" s="801"/>
      <c r="O71" s="801"/>
      <c r="P71" s="801"/>
      <c r="Q71" s="801"/>
      <c r="R71" s="801"/>
      <c r="S71" s="801"/>
      <c r="T71" s="801"/>
      <c r="U71" s="801"/>
      <c r="V71" s="801"/>
      <c r="W71" s="290"/>
      <c r="CH71" s="1432"/>
      <c r="CI71" s="1432"/>
      <c r="CJ71" s="1432"/>
      <c r="CK71" s="1432"/>
      <c r="CL71" s="1432"/>
      <c r="CM71" s="1432"/>
      <c r="CN71" s="1432"/>
      <c r="CO71" s="1432"/>
    </row>
    <row r="72" spans="1:93" ht="29.25" customHeight="1" x14ac:dyDescent="0.25">
      <c r="A72" s="7299">
        <v>21800870</v>
      </c>
      <c r="B72" s="10187" t="s">
        <v>1617</v>
      </c>
      <c r="C72" s="1298" t="s">
        <v>2060</v>
      </c>
      <c r="D72" s="1299" t="s">
        <v>5369</v>
      </c>
      <c r="E72" s="2012" t="s">
        <v>5370</v>
      </c>
      <c r="F72" s="2013" t="s">
        <v>5371</v>
      </c>
      <c r="G72" s="2013" t="s">
        <v>5372</v>
      </c>
      <c r="H72" s="2013" t="s">
        <v>5373</v>
      </c>
      <c r="I72" s="2013" t="s">
        <v>5374</v>
      </c>
      <c r="J72" s="1002" t="s">
        <v>5375</v>
      </c>
      <c r="K72" s="1360" t="str">
        <f>CB72&amp;CC72&amp;CD72&amp;CE72&amp;CF72&amp;CG72</f>
        <v/>
      </c>
      <c r="L72" s="801"/>
      <c r="M72" s="801"/>
      <c r="N72" s="801"/>
      <c r="O72" s="801"/>
      <c r="P72" s="801"/>
      <c r="Q72" s="801"/>
      <c r="R72" s="801"/>
      <c r="S72" s="801"/>
      <c r="T72" s="801"/>
      <c r="U72" s="801"/>
      <c r="V72" s="801"/>
      <c r="W72" s="290"/>
      <c r="CH72" s="1432"/>
      <c r="CI72" s="1432"/>
      <c r="CJ72" s="1432"/>
      <c r="CK72" s="1432"/>
      <c r="CL72" s="1432"/>
      <c r="CM72" s="1432"/>
      <c r="CN72" s="1432"/>
      <c r="CO72" s="1432"/>
    </row>
    <row r="73" spans="1:93" ht="24.75" customHeight="1" x14ac:dyDescent="0.25">
      <c r="A73" s="7299">
        <v>21800880</v>
      </c>
      <c r="B73" s="10188"/>
      <c r="C73" s="1300" t="s">
        <v>2061</v>
      </c>
      <c r="D73" s="1301" t="s">
        <v>5369</v>
      </c>
      <c r="E73" s="2014" t="s">
        <v>5370</v>
      </c>
      <c r="F73" s="2015" t="s">
        <v>5371</v>
      </c>
      <c r="G73" s="2015" t="s">
        <v>5372</v>
      </c>
      <c r="H73" s="2015" t="s">
        <v>5373</v>
      </c>
      <c r="I73" s="2015" t="s">
        <v>5374</v>
      </c>
      <c r="J73" s="1001" t="s">
        <v>5375</v>
      </c>
      <c r="K73" s="1360" t="str">
        <f>CB73&amp;CC73&amp;CD73&amp;CE73&amp;CF73&amp;CG73</f>
        <v/>
      </c>
      <c r="L73" s="979"/>
      <c r="M73" s="979"/>
      <c r="N73" s="979"/>
      <c r="O73" s="979"/>
      <c r="P73" s="979"/>
      <c r="Q73" s="979"/>
      <c r="R73" s="979"/>
      <c r="S73" s="979"/>
      <c r="T73" s="979"/>
      <c r="U73" s="979"/>
      <c r="V73" s="979"/>
      <c r="W73" s="979"/>
      <c r="X73" s="979"/>
      <c r="CH73" s="1432"/>
      <c r="CI73" s="1432"/>
      <c r="CJ73" s="1432"/>
      <c r="CK73" s="1432"/>
      <c r="CL73" s="1432"/>
      <c r="CM73" s="1432"/>
      <c r="CN73" s="1432"/>
      <c r="CO73" s="1432"/>
    </row>
    <row r="74" spans="1:93" ht="32.1" customHeight="1" x14ac:dyDescent="0.25">
      <c r="B74" s="7322" t="s">
        <v>3793</v>
      </c>
      <c r="C74" s="1486"/>
      <c r="D74" s="1486"/>
      <c r="E74" s="977"/>
      <c r="F74" s="977"/>
      <c r="G74" s="977"/>
      <c r="H74" s="977"/>
      <c r="I74" s="1000"/>
      <c r="J74" s="1000"/>
      <c r="K74" s="979"/>
      <c r="L74" s="977"/>
      <c r="M74" s="977"/>
      <c r="N74" s="1482"/>
      <c r="CH74" s="1432"/>
      <c r="CI74" s="1432"/>
      <c r="CJ74" s="1432"/>
      <c r="CK74" s="1432"/>
      <c r="CL74" s="1432"/>
      <c r="CM74" s="1432"/>
      <c r="CN74" s="1432"/>
      <c r="CO74" s="1432"/>
    </row>
    <row r="75" spans="1:93" ht="15.75" customHeight="1" x14ac:dyDescent="0.25">
      <c r="A75" s="7279"/>
      <c r="B75" s="10190" t="s">
        <v>1167</v>
      </c>
      <c r="C75" s="10193" t="s">
        <v>1616</v>
      </c>
      <c r="D75" s="10190"/>
      <c r="E75" s="10193" t="s">
        <v>1615</v>
      </c>
      <c r="F75" s="10190"/>
      <c r="G75" s="10195" t="s">
        <v>1614</v>
      </c>
      <c r="H75" s="10196"/>
      <c r="I75" s="10196"/>
      <c r="J75" s="10197"/>
      <c r="K75" s="978"/>
      <c r="L75" s="977"/>
      <c r="M75" s="977"/>
      <c r="N75" s="1482"/>
      <c r="CH75" s="1432"/>
      <c r="CI75" s="1432"/>
      <c r="CJ75" s="1432"/>
      <c r="CK75" s="1432"/>
      <c r="CL75" s="1432"/>
      <c r="CM75" s="1432"/>
      <c r="CN75" s="1432"/>
      <c r="CO75" s="1432"/>
    </row>
    <row r="76" spans="1:93" ht="18.75" customHeight="1" x14ac:dyDescent="0.25">
      <c r="A76" s="7279"/>
      <c r="B76" s="10191"/>
      <c r="C76" s="10194"/>
      <c r="D76" s="10192"/>
      <c r="E76" s="10194"/>
      <c r="F76" s="10192"/>
      <c r="G76" s="10195" t="s">
        <v>1613</v>
      </c>
      <c r="H76" s="10197"/>
      <c r="I76" s="10195" t="s">
        <v>1612</v>
      </c>
      <c r="J76" s="10197"/>
      <c r="K76" s="1487"/>
      <c r="L76" s="977"/>
      <c r="M76" s="977"/>
      <c r="N76" s="1482"/>
      <c r="CH76" s="1432"/>
      <c r="CI76" s="1432"/>
      <c r="CJ76" s="1432"/>
      <c r="CK76" s="1432"/>
      <c r="CL76" s="1432"/>
      <c r="CM76" s="1432"/>
      <c r="CN76" s="1432"/>
      <c r="CO76" s="1432"/>
    </row>
    <row r="77" spans="1:93" ht="30" customHeight="1" x14ac:dyDescent="0.25">
      <c r="A77" s="7279"/>
      <c r="B77" s="10192"/>
      <c r="C77" s="988" t="s">
        <v>1605</v>
      </c>
      <c r="D77" s="2159" t="s">
        <v>1604</v>
      </c>
      <c r="E77" s="988" t="s">
        <v>1605</v>
      </c>
      <c r="F77" s="2160" t="s">
        <v>1604</v>
      </c>
      <c r="G77" s="988" t="s">
        <v>1605</v>
      </c>
      <c r="H77" s="2159" t="s">
        <v>1604</v>
      </c>
      <c r="I77" s="988" t="s">
        <v>1605</v>
      </c>
      <c r="J77" s="2160" t="s">
        <v>1604</v>
      </c>
      <c r="K77" s="1487"/>
      <c r="L77" s="977"/>
      <c r="M77" s="977"/>
      <c r="N77" s="1482"/>
      <c r="CH77" s="1432"/>
      <c r="CI77" s="1432"/>
      <c r="CJ77" s="1432"/>
      <c r="CK77" s="1432"/>
      <c r="CL77" s="1432"/>
      <c r="CM77" s="1432"/>
      <c r="CN77" s="1432"/>
      <c r="CO77" s="1432"/>
    </row>
    <row r="78" spans="1:93" ht="15.75" customHeight="1" x14ac:dyDescent="0.25">
      <c r="A78" s="7258">
        <v>21500600</v>
      </c>
      <c r="B78" s="999" t="s">
        <v>995</v>
      </c>
      <c r="C78" s="998" t="s">
        <v>5369</v>
      </c>
      <c r="D78" s="997" t="s">
        <v>5370</v>
      </c>
      <c r="E78" s="998" t="s">
        <v>5371</v>
      </c>
      <c r="F78" s="997" t="s">
        <v>5372</v>
      </c>
      <c r="G78" s="984" t="s">
        <v>5373</v>
      </c>
      <c r="H78" s="996" t="s">
        <v>5374</v>
      </c>
      <c r="I78" s="984" t="s">
        <v>5375</v>
      </c>
      <c r="J78" s="996" t="s">
        <v>5376</v>
      </c>
      <c r="K78" s="1360" t="e">
        <f>CB78</f>
        <v>#VALUE!</v>
      </c>
      <c r="L78" s="977"/>
      <c r="M78" s="977"/>
      <c r="N78" s="1482"/>
      <c r="CB78" s="1435" t="e">
        <f>IF(CH78=1," * La suma de los Pacientes Intervenidos debe ser mayor o igual a la Suma de Pacientes Programados menos la Suma de Pacientes Suspendidos. ","")</f>
        <v>#VALUE!</v>
      </c>
      <c r="CH78" s="1436" t="e">
        <f>IF(((G78+H78)-(I78+J78))&gt;(E78+F78),1,0)</f>
        <v>#VALUE!</v>
      </c>
      <c r="CI78" s="1432"/>
      <c r="CJ78" s="1432"/>
      <c r="CK78" s="1432"/>
      <c r="CL78" s="1432"/>
      <c r="CM78" s="1432"/>
      <c r="CN78" s="1432"/>
      <c r="CO78" s="1432"/>
    </row>
    <row r="79" spans="1:93" ht="15.75" customHeight="1" x14ac:dyDescent="0.25">
      <c r="A79" s="7258">
        <v>21600800</v>
      </c>
      <c r="B79" s="976" t="s">
        <v>34</v>
      </c>
      <c r="C79" s="994" t="s">
        <v>5369</v>
      </c>
      <c r="D79" s="993" t="s">
        <v>5370</v>
      </c>
      <c r="E79" s="994" t="s">
        <v>5371</v>
      </c>
      <c r="F79" s="993" t="s">
        <v>5372</v>
      </c>
      <c r="G79" s="971" t="s">
        <v>5373</v>
      </c>
      <c r="H79" s="992" t="s">
        <v>5374</v>
      </c>
      <c r="I79" s="971" t="s">
        <v>5375</v>
      </c>
      <c r="J79" s="992" t="s">
        <v>5376</v>
      </c>
      <c r="K79" s="1360" t="e">
        <f t="shared" ref="K79:K89" si="4">CB79</f>
        <v>#VALUE!</v>
      </c>
      <c r="L79" s="977"/>
      <c r="M79" s="977"/>
      <c r="N79" s="1482"/>
      <c r="CB79" s="1435" t="e">
        <f t="shared" ref="CB79:CB88" si="5">IF(CH79=1," * La suma de los Pacientes Intervenidos debe ser mayor o igual a la Suma de Pacientes Programados menos la Suma de Pacientes Suspendidos. ","")</f>
        <v>#VALUE!</v>
      </c>
      <c r="CH79" s="1436" t="e">
        <f t="shared" ref="CH79:CH89" si="6">IF(((G79+H79)-(I79+J79))&gt;(E79+F79),1,0)</f>
        <v>#VALUE!</v>
      </c>
      <c r="CI79" s="1432"/>
      <c r="CJ79" s="1432"/>
      <c r="CK79" s="1432"/>
      <c r="CL79" s="1432"/>
      <c r="CM79" s="1432"/>
      <c r="CN79" s="1432"/>
      <c r="CO79" s="1432"/>
    </row>
    <row r="80" spans="1:93" ht="15.75" customHeight="1" x14ac:dyDescent="0.25">
      <c r="A80" s="7258">
        <v>21600900</v>
      </c>
      <c r="B80" s="976" t="s">
        <v>1611</v>
      </c>
      <c r="C80" s="994" t="s">
        <v>5369</v>
      </c>
      <c r="D80" s="993" t="s">
        <v>5370</v>
      </c>
      <c r="E80" s="994" t="s">
        <v>5371</v>
      </c>
      <c r="F80" s="993" t="s">
        <v>5372</v>
      </c>
      <c r="G80" s="971" t="s">
        <v>5373</v>
      </c>
      <c r="H80" s="992" t="s">
        <v>5374</v>
      </c>
      <c r="I80" s="971" t="s">
        <v>5375</v>
      </c>
      <c r="J80" s="992" t="s">
        <v>5376</v>
      </c>
      <c r="K80" s="1360" t="e">
        <f t="shared" si="4"/>
        <v>#VALUE!</v>
      </c>
      <c r="L80" s="977"/>
      <c r="M80" s="977"/>
      <c r="N80" s="1482"/>
      <c r="CB80" s="1435" t="e">
        <f t="shared" si="5"/>
        <v>#VALUE!</v>
      </c>
      <c r="CH80" s="1436" t="e">
        <f t="shared" si="6"/>
        <v>#VALUE!</v>
      </c>
      <c r="CI80" s="1432"/>
      <c r="CJ80" s="1432"/>
      <c r="CK80" s="1432"/>
      <c r="CL80" s="1432"/>
      <c r="CM80" s="1432"/>
      <c r="CN80" s="1432"/>
      <c r="CO80" s="1432"/>
    </row>
    <row r="81" spans="1:93" ht="15.75" customHeight="1" x14ac:dyDescent="0.25">
      <c r="A81" s="7258">
        <v>21700100</v>
      </c>
      <c r="B81" s="976" t="s">
        <v>35</v>
      </c>
      <c r="C81" s="994" t="s">
        <v>5369</v>
      </c>
      <c r="D81" s="993" t="s">
        <v>5370</v>
      </c>
      <c r="E81" s="994" t="s">
        <v>5371</v>
      </c>
      <c r="F81" s="993" t="s">
        <v>5372</v>
      </c>
      <c r="G81" s="971" t="s">
        <v>5373</v>
      </c>
      <c r="H81" s="992" t="s">
        <v>5374</v>
      </c>
      <c r="I81" s="971" t="s">
        <v>5375</v>
      </c>
      <c r="J81" s="992" t="s">
        <v>5376</v>
      </c>
      <c r="K81" s="1360" t="e">
        <f t="shared" si="4"/>
        <v>#VALUE!</v>
      </c>
      <c r="L81" s="977"/>
      <c r="M81" s="977"/>
      <c r="N81" s="1482"/>
      <c r="CB81" s="1435" t="e">
        <f t="shared" si="5"/>
        <v>#VALUE!</v>
      </c>
      <c r="CH81" s="1436" t="e">
        <f t="shared" si="6"/>
        <v>#VALUE!</v>
      </c>
      <c r="CI81" s="1432"/>
      <c r="CJ81" s="1432"/>
      <c r="CK81" s="1432"/>
      <c r="CL81" s="1432"/>
      <c r="CM81" s="1432"/>
      <c r="CN81" s="1432"/>
      <c r="CO81" s="1432"/>
    </row>
    <row r="82" spans="1:93" ht="15.75" customHeight="1" x14ac:dyDescent="0.25">
      <c r="A82" s="7258">
        <v>21500700</v>
      </c>
      <c r="B82" s="976" t="s">
        <v>1610</v>
      </c>
      <c r="C82" s="994" t="s">
        <v>5369</v>
      </c>
      <c r="D82" s="993" t="s">
        <v>5370</v>
      </c>
      <c r="E82" s="994" t="s">
        <v>5371</v>
      </c>
      <c r="F82" s="993" t="s">
        <v>5372</v>
      </c>
      <c r="G82" s="971" t="s">
        <v>5373</v>
      </c>
      <c r="H82" s="992" t="s">
        <v>5374</v>
      </c>
      <c r="I82" s="971" t="s">
        <v>5375</v>
      </c>
      <c r="J82" s="992" t="s">
        <v>5376</v>
      </c>
      <c r="K82" s="1360" t="e">
        <f t="shared" si="4"/>
        <v>#VALUE!</v>
      </c>
      <c r="L82" s="977"/>
      <c r="M82" s="977"/>
      <c r="N82" s="1482"/>
      <c r="CB82" s="1435" t="e">
        <f t="shared" si="5"/>
        <v>#VALUE!</v>
      </c>
      <c r="CH82" s="1436" t="e">
        <f t="shared" si="6"/>
        <v>#VALUE!</v>
      </c>
      <c r="CI82" s="1432"/>
      <c r="CJ82" s="1432"/>
      <c r="CK82" s="1432"/>
      <c r="CL82" s="1432"/>
      <c r="CM82" s="1432"/>
      <c r="CN82" s="1432"/>
      <c r="CO82" s="1432"/>
    </row>
    <row r="83" spans="1:93" ht="15.75" customHeight="1" x14ac:dyDescent="0.25">
      <c r="A83" s="7258">
        <v>21500800</v>
      </c>
      <c r="B83" s="976" t="s">
        <v>36</v>
      </c>
      <c r="C83" s="994" t="s">
        <v>5369</v>
      </c>
      <c r="D83" s="993" t="s">
        <v>5370</v>
      </c>
      <c r="E83" s="994" t="s">
        <v>5371</v>
      </c>
      <c r="F83" s="993" t="s">
        <v>5372</v>
      </c>
      <c r="G83" s="971" t="s">
        <v>5373</v>
      </c>
      <c r="H83" s="992" t="s">
        <v>5374</v>
      </c>
      <c r="I83" s="971" t="s">
        <v>5375</v>
      </c>
      <c r="J83" s="992" t="s">
        <v>5376</v>
      </c>
      <c r="K83" s="1360" t="e">
        <f t="shared" si="4"/>
        <v>#VALUE!</v>
      </c>
      <c r="L83" s="977"/>
      <c r="M83" s="977"/>
      <c r="N83" s="1482"/>
      <c r="CB83" s="1435" t="e">
        <f t="shared" si="5"/>
        <v>#VALUE!</v>
      </c>
      <c r="CH83" s="1436" t="e">
        <f t="shared" si="6"/>
        <v>#VALUE!</v>
      </c>
      <c r="CI83" s="1432"/>
      <c r="CJ83" s="1432"/>
      <c r="CK83" s="1432"/>
      <c r="CL83" s="1432"/>
      <c r="CM83" s="1432"/>
      <c r="CN83" s="1432"/>
      <c r="CO83" s="1432"/>
    </row>
    <row r="84" spans="1:93" ht="15.75" customHeight="1" x14ac:dyDescent="0.25">
      <c r="A84" s="7258">
        <v>21700300</v>
      </c>
      <c r="B84" s="976" t="s">
        <v>37</v>
      </c>
      <c r="C84" s="994" t="s">
        <v>5369</v>
      </c>
      <c r="D84" s="993" t="s">
        <v>5370</v>
      </c>
      <c r="E84" s="994" t="s">
        <v>5371</v>
      </c>
      <c r="F84" s="993" t="s">
        <v>5372</v>
      </c>
      <c r="G84" s="971" t="s">
        <v>5373</v>
      </c>
      <c r="H84" s="992" t="s">
        <v>5374</v>
      </c>
      <c r="I84" s="971" t="s">
        <v>5375</v>
      </c>
      <c r="J84" s="992" t="s">
        <v>5376</v>
      </c>
      <c r="K84" s="1360" t="e">
        <f t="shared" si="4"/>
        <v>#VALUE!</v>
      </c>
      <c r="L84" s="977"/>
      <c r="M84" s="977"/>
      <c r="N84" s="1482"/>
      <c r="CB84" s="1435" t="e">
        <f t="shared" si="5"/>
        <v>#VALUE!</v>
      </c>
      <c r="CH84" s="1436" t="e">
        <f t="shared" si="6"/>
        <v>#VALUE!</v>
      </c>
      <c r="CI84" s="1432"/>
      <c r="CJ84" s="1432"/>
      <c r="CK84" s="1432"/>
      <c r="CL84" s="1432"/>
      <c r="CM84" s="1432"/>
      <c r="CN84" s="1432"/>
      <c r="CO84" s="1432"/>
    </row>
    <row r="85" spans="1:93" ht="15.75" customHeight="1" x14ac:dyDescent="0.25">
      <c r="A85" s="7258">
        <v>21700400</v>
      </c>
      <c r="B85" s="976" t="s">
        <v>38</v>
      </c>
      <c r="C85" s="994" t="s">
        <v>5369</v>
      </c>
      <c r="D85" s="993" t="s">
        <v>5370</v>
      </c>
      <c r="E85" s="994" t="s">
        <v>5371</v>
      </c>
      <c r="F85" s="993" t="s">
        <v>5372</v>
      </c>
      <c r="G85" s="971" t="s">
        <v>5373</v>
      </c>
      <c r="H85" s="992" t="s">
        <v>5374</v>
      </c>
      <c r="I85" s="971" t="s">
        <v>5375</v>
      </c>
      <c r="J85" s="992" t="s">
        <v>5376</v>
      </c>
      <c r="K85" s="1360" t="e">
        <f t="shared" si="4"/>
        <v>#VALUE!</v>
      </c>
      <c r="L85" s="977"/>
      <c r="M85" s="977"/>
      <c r="N85" s="1482"/>
      <c r="CB85" s="1435" t="e">
        <f t="shared" si="5"/>
        <v>#VALUE!</v>
      </c>
      <c r="CH85" s="1436" t="e">
        <f t="shared" si="6"/>
        <v>#VALUE!</v>
      </c>
      <c r="CI85" s="1432"/>
      <c r="CJ85" s="1432"/>
      <c r="CK85" s="1432"/>
      <c r="CL85" s="1432"/>
      <c r="CM85" s="1432"/>
      <c r="CN85" s="1432"/>
      <c r="CO85" s="1432"/>
    </row>
    <row r="86" spans="1:93" ht="15.75" customHeight="1" x14ac:dyDescent="0.25">
      <c r="A86" s="7258">
        <v>21700500</v>
      </c>
      <c r="B86" s="976" t="s">
        <v>1001</v>
      </c>
      <c r="C86" s="994" t="s">
        <v>5369</v>
      </c>
      <c r="D86" s="993" t="s">
        <v>5370</v>
      </c>
      <c r="E86" s="994" t="s">
        <v>5371</v>
      </c>
      <c r="F86" s="993" t="s">
        <v>5372</v>
      </c>
      <c r="G86" s="971" t="s">
        <v>5373</v>
      </c>
      <c r="H86" s="992" t="s">
        <v>5374</v>
      </c>
      <c r="I86" s="971" t="s">
        <v>5375</v>
      </c>
      <c r="J86" s="992" t="s">
        <v>5376</v>
      </c>
      <c r="K86" s="1360" t="e">
        <f t="shared" si="4"/>
        <v>#VALUE!</v>
      </c>
      <c r="L86" s="977"/>
      <c r="M86" s="977"/>
      <c r="N86" s="1482"/>
      <c r="CB86" s="1435" t="e">
        <f t="shared" si="5"/>
        <v>#VALUE!</v>
      </c>
      <c r="CH86" s="1436" t="e">
        <f t="shared" si="6"/>
        <v>#VALUE!</v>
      </c>
      <c r="CI86" s="1432"/>
      <c r="CJ86" s="1432"/>
      <c r="CK86" s="1432"/>
      <c r="CL86" s="1432"/>
      <c r="CM86" s="1432"/>
      <c r="CN86" s="1432"/>
      <c r="CO86" s="1432"/>
    </row>
    <row r="87" spans="1:93" ht="15.75" customHeight="1" x14ac:dyDescent="0.25">
      <c r="A87" s="7258">
        <v>21700600</v>
      </c>
      <c r="B87" s="976" t="s">
        <v>1609</v>
      </c>
      <c r="C87" s="994" t="s">
        <v>5369</v>
      </c>
      <c r="D87" s="993" t="s">
        <v>5370</v>
      </c>
      <c r="E87" s="994" t="s">
        <v>5371</v>
      </c>
      <c r="F87" s="993" t="s">
        <v>5372</v>
      </c>
      <c r="G87" s="971" t="s">
        <v>5373</v>
      </c>
      <c r="H87" s="992" t="s">
        <v>5374</v>
      </c>
      <c r="I87" s="995" t="s">
        <v>5375</v>
      </c>
      <c r="J87" s="992" t="s">
        <v>5376</v>
      </c>
      <c r="K87" s="1360" t="e">
        <f t="shared" si="4"/>
        <v>#VALUE!</v>
      </c>
      <c r="L87" s="977"/>
      <c r="M87" s="977"/>
      <c r="N87" s="1482"/>
      <c r="CB87" s="1435" t="e">
        <f t="shared" si="5"/>
        <v>#VALUE!</v>
      </c>
      <c r="CH87" s="1436" t="e">
        <f t="shared" si="6"/>
        <v>#VALUE!</v>
      </c>
      <c r="CI87" s="1432"/>
      <c r="CJ87" s="1432"/>
      <c r="CK87" s="1432"/>
      <c r="CL87" s="1432"/>
      <c r="CM87" s="1432"/>
      <c r="CN87" s="1432"/>
      <c r="CO87" s="1432"/>
    </row>
    <row r="88" spans="1:93" ht="15.75" customHeight="1" x14ac:dyDescent="0.25">
      <c r="A88" s="7258">
        <v>21500900</v>
      </c>
      <c r="B88" s="976" t="s">
        <v>997</v>
      </c>
      <c r="C88" s="994" t="s">
        <v>5369</v>
      </c>
      <c r="D88" s="993" t="s">
        <v>5370</v>
      </c>
      <c r="E88" s="994" t="s">
        <v>5371</v>
      </c>
      <c r="F88" s="993" t="s">
        <v>5372</v>
      </c>
      <c r="G88" s="971" t="s">
        <v>5373</v>
      </c>
      <c r="H88" s="992" t="s">
        <v>5374</v>
      </c>
      <c r="I88" s="971" t="s">
        <v>5375</v>
      </c>
      <c r="J88" s="992" t="s">
        <v>5376</v>
      </c>
      <c r="K88" s="1360" t="e">
        <f t="shared" si="4"/>
        <v>#VALUE!</v>
      </c>
      <c r="L88" s="977"/>
      <c r="M88" s="977"/>
      <c r="N88" s="978"/>
      <c r="O88" s="977"/>
      <c r="P88" s="977"/>
      <c r="Q88" s="1482"/>
      <c r="BY88" s="165"/>
      <c r="BZ88" s="165"/>
      <c r="CA88" s="165"/>
      <c r="CB88" s="1435" t="e">
        <f t="shared" si="5"/>
        <v>#VALUE!</v>
      </c>
      <c r="CH88" s="1436" t="e">
        <f t="shared" si="6"/>
        <v>#VALUE!</v>
      </c>
      <c r="CI88" s="1432"/>
      <c r="CJ88" s="1432"/>
      <c r="CK88" s="1432"/>
      <c r="CL88" s="1432"/>
      <c r="CM88" s="1432"/>
      <c r="CN88" s="1432"/>
      <c r="CO88" s="1432"/>
    </row>
    <row r="89" spans="1:93" ht="15.75" customHeight="1" x14ac:dyDescent="0.25">
      <c r="A89" s="7258">
        <v>21700700</v>
      </c>
      <c r="B89" s="976" t="s">
        <v>1608</v>
      </c>
      <c r="C89" s="994" t="s">
        <v>5369</v>
      </c>
      <c r="D89" s="993" t="s">
        <v>5370</v>
      </c>
      <c r="E89" s="994" t="s">
        <v>5371</v>
      </c>
      <c r="F89" s="993" t="s">
        <v>5372</v>
      </c>
      <c r="G89" s="971" t="s">
        <v>5373</v>
      </c>
      <c r="H89" s="992" t="s">
        <v>5374</v>
      </c>
      <c r="I89" s="971" t="s">
        <v>5375</v>
      </c>
      <c r="J89" s="992" t="s">
        <v>5376</v>
      </c>
      <c r="K89" s="1360" t="e">
        <f t="shared" si="4"/>
        <v>#VALUE!</v>
      </c>
      <c r="L89" s="977"/>
      <c r="M89" s="977"/>
      <c r="N89" s="978"/>
      <c r="O89" s="977"/>
      <c r="P89" s="977"/>
      <c r="Q89" s="1482"/>
      <c r="BY89" s="165"/>
      <c r="BZ89" s="165"/>
      <c r="CA89" s="165"/>
      <c r="CB89" s="1435" t="e">
        <f>IF(CH89=1," * La suma de los Pacientes Intervenidos debe ser mayor o igual a la Suma de Pacientes Programados menos la Suma de Pacientes Suspendidos. ","")</f>
        <v>#VALUE!</v>
      </c>
      <c r="CH89" s="1436" t="e">
        <f t="shared" si="6"/>
        <v>#VALUE!</v>
      </c>
      <c r="CI89" s="1432"/>
      <c r="CJ89" s="1432"/>
      <c r="CK89" s="1432"/>
      <c r="CL89" s="1432"/>
      <c r="CM89" s="1432"/>
      <c r="CN89" s="1432"/>
      <c r="CO89" s="1432"/>
    </row>
    <row r="90" spans="1:93" ht="15.75" customHeight="1" x14ac:dyDescent="0.25">
      <c r="A90" s="7320">
        <v>29101381</v>
      </c>
      <c r="B90" s="7321" t="s">
        <v>2580</v>
      </c>
      <c r="C90" s="994" t="s">
        <v>5369</v>
      </c>
      <c r="D90" s="993" t="s">
        <v>5370</v>
      </c>
      <c r="E90" s="994" t="s">
        <v>5371</v>
      </c>
      <c r="F90" s="993" t="s">
        <v>5372</v>
      </c>
      <c r="G90" s="971" t="s">
        <v>5373</v>
      </c>
      <c r="H90" s="992" t="s">
        <v>5374</v>
      </c>
      <c r="I90" s="971" t="s">
        <v>5375</v>
      </c>
      <c r="J90" s="992" t="s">
        <v>5376</v>
      </c>
      <c r="K90" s="1360"/>
      <c r="L90" s="1616"/>
      <c r="M90" s="1616"/>
      <c r="N90" s="3459"/>
      <c r="O90" s="1022"/>
      <c r="P90" s="1022"/>
      <c r="BY90" s="165"/>
      <c r="BZ90" s="165"/>
      <c r="CA90" s="165"/>
      <c r="CB90" s="1435"/>
      <c r="CH90" s="1436"/>
      <c r="CI90" s="1432"/>
      <c r="CJ90" s="1432"/>
      <c r="CK90" s="1432"/>
      <c r="CL90" s="1432"/>
      <c r="CM90" s="1432"/>
      <c r="CN90" s="1432"/>
      <c r="CO90" s="1432"/>
    </row>
    <row r="91" spans="1:93" ht="15.75" customHeight="1" x14ac:dyDescent="0.25">
      <c r="A91" s="7267"/>
      <c r="B91" s="991" t="s">
        <v>24</v>
      </c>
      <c r="C91" s="990">
        <f t="shared" ref="C91:J91" si="7">SUM(C78:C90)</f>
        <v>0</v>
      </c>
      <c r="D91" s="990">
        <f t="shared" si="7"/>
        <v>0</v>
      </c>
      <c r="E91" s="990">
        <f t="shared" si="7"/>
        <v>0</v>
      </c>
      <c r="F91" s="990">
        <f t="shared" si="7"/>
        <v>0</v>
      </c>
      <c r="G91" s="990">
        <f t="shared" si="7"/>
        <v>0</v>
      </c>
      <c r="H91" s="990">
        <f t="shared" si="7"/>
        <v>0</v>
      </c>
      <c r="I91" s="990">
        <f t="shared" si="7"/>
        <v>0</v>
      </c>
      <c r="J91" s="6996">
        <f t="shared" si="7"/>
        <v>0</v>
      </c>
      <c r="K91" s="6995"/>
      <c r="L91" s="977"/>
      <c r="M91" s="977"/>
      <c r="N91" s="1482"/>
      <c r="CH91" s="1432"/>
      <c r="CI91" s="1432"/>
      <c r="CJ91" s="1432"/>
      <c r="CK91" s="1432"/>
      <c r="CL91" s="1432"/>
      <c r="CM91" s="1432"/>
      <c r="CN91" s="1432"/>
      <c r="CO91" s="1432"/>
    </row>
    <row r="92" spans="1:93" ht="32.1" customHeight="1" x14ac:dyDescent="0.25">
      <c r="B92" s="10189" t="s">
        <v>3794</v>
      </c>
      <c r="C92" s="10189"/>
      <c r="D92" s="10189"/>
      <c r="E92" s="10189"/>
      <c r="F92" s="10189"/>
      <c r="G92" s="10189"/>
      <c r="H92" s="10189"/>
      <c r="I92" s="989"/>
      <c r="J92" s="989"/>
      <c r="K92" s="978"/>
      <c r="L92" s="977"/>
      <c r="M92" s="977"/>
      <c r="N92" s="1482"/>
      <c r="CH92" s="1432"/>
      <c r="CI92" s="1432"/>
      <c r="CJ92" s="1432"/>
      <c r="CK92" s="1432"/>
      <c r="CL92" s="1432"/>
      <c r="CM92" s="1432"/>
      <c r="CN92" s="1432"/>
      <c r="CO92" s="1432"/>
    </row>
    <row r="93" spans="1:93" ht="24" customHeight="1" x14ac:dyDescent="0.25">
      <c r="B93" s="10198" t="s">
        <v>1607</v>
      </c>
      <c r="C93" s="10195" t="s">
        <v>1606</v>
      </c>
      <c r="D93" s="10196"/>
      <c r="E93" s="10196"/>
      <c r="F93" s="10196"/>
      <c r="G93" s="10196"/>
      <c r="H93" s="10197"/>
      <c r="I93" s="979"/>
      <c r="J93" s="978"/>
      <c r="K93" s="977"/>
      <c r="L93" s="977"/>
      <c r="M93" s="1482"/>
      <c r="CH93" s="1432"/>
      <c r="CI93" s="1432"/>
      <c r="CJ93" s="1432"/>
      <c r="CK93" s="1432"/>
      <c r="CL93" s="1432"/>
      <c r="CM93" s="1432"/>
      <c r="CN93" s="1432"/>
      <c r="CO93" s="1432"/>
    </row>
    <row r="94" spans="1:93" ht="31.5" customHeight="1" x14ac:dyDescent="0.25">
      <c r="B94" s="10199"/>
      <c r="C94" s="2169" t="s">
        <v>929</v>
      </c>
      <c r="D94" s="988" t="s">
        <v>1605</v>
      </c>
      <c r="E94" s="2163" t="s">
        <v>1604</v>
      </c>
      <c r="F94" s="987" t="s">
        <v>1603</v>
      </c>
      <c r="G94" s="986" t="s">
        <v>1602</v>
      </c>
      <c r="H94" s="986" t="s">
        <v>135</v>
      </c>
      <c r="I94" s="979"/>
      <c r="J94" s="979"/>
      <c r="K94" s="978"/>
      <c r="L94" s="977"/>
      <c r="M94" s="977"/>
      <c r="N94" s="1482"/>
      <c r="CH94" s="1432"/>
      <c r="CI94" s="1432"/>
      <c r="CJ94" s="1432"/>
      <c r="CK94" s="1432"/>
      <c r="CL94" s="1432"/>
      <c r="CM94" s="1432"/>
      <c r="CN94" s="1432"/>
      <c r="CO94" s="1432"/>
    </row>
    <row r="95" spans="1:93" ht="16.5" customHeight="1" x14ac:dyDescent="0.25">
      <c r="A95" s="7258">
        <v>21700701</v>
      </c>
      <c r="B95" s="999" t="s">
        <v>1601</v>
      </c>
      <c r="C95" s="985" t="s">
        <v>5369</v>
      </c>
      <c r="D95" s="984" t="s">
        <v>5370</v>
      </c>
      <c r="E95" s="983" t="s">
        <v>5371</v>
      </c>
      <c r="F95" s="982" t="s">
        <v>5372</v>
      </c>
      <c r="G95" s="981" t="s">
        <v>5373</v>
      </c>
      <c r="H95" s="981" t="s">
        <v>5374</v>
      </c>
      <c r="I95" s="1360" t="e">
        <f>CB95</f>
        <v>#VALUE!</v>
      </c>
      <c r="J95" s="979"/>
      <c r="K95" s="978"/>
      <c r="L95" s="977"/>
      <c r="M95" s="977"/>
      <c r="N95" s="1482"/>
      <c r="CB95" s="1435" t="e">
        <f>IF(CI95=1," * La suma de los Beneficiarios MAI, MLE y Otros debe seri igual al Total. ","")</f>
        <v>#VALUE!</v>
      </c>
      <c r="CC95" s="1435"/>
      <c r="CH95" s="1436"/>
      <c r="CI95" s="1436" t="e">
        <f t="shared" ref="CI95:CI101" si="8">IF(C95&lt;&gt;(F95+G95+H95),1,0)</f>
        <v>#VALUE!</v>
      </c>
      <c r="CJ95" s="1432"/>
      <c r="CK95" s="1432"/>
      <c r="CL95" s="1432"/>
      <c r="CM95" s="1432"/>
      <c r="CN95" s="1432"/>
      <c r="CO95" s="1432"/>
    </row>
    <row r="96" spans="1:93" ht="16.5" customHeight="1" x14ac:dyDescent="0.25">
      <c r="A96" s="7258">
        <v>21700702</v>
      </c>
      <c r="B96" s="980" t="s">
        <v>1600</v>
      </c>
      <c r="C96" s="975" t="s">
        <v>5369</v>
      </c>
      <c r="D96" s="971" t="s">
        <v>5370</v>
      </c>
      <c r="E96" s="970" t="s">
        <v>5371</v>
      </c>
      <c r="F96" s="969" t="s">
        <v>5372</v>
      </c>
      <c r="G96" s="974" t="s">
        <v>5373</v>
      </c>
      <c r="H96" s="974" t="s">
        <v>5374</v>
      </c>
      <c r="I96" s="1360" t="e">
        <f t="shared" ref="I96:I102" si="9">CB96</f>
        <v>#VALUE!</v>
      </c>
      <c r="J96" s="979"/>
      <c r="K96" s="978"/>
      <c r="L96" s="977"/>
      <c r="M96" s="977"/>
      <c r="N96" s="1482"/>
      <c r="CB96" s="1435" t="e">
        <f t="shared" ref="CB96:CB101" si="10">IF(CI96=1," * La suma de los Beneficiarios MAI, MLE y Otros debe seri igual al Total. ","")</f>
        <v>#VALUE!</v>
      </c>
      <c r="CC96" s="1435"/>
      <c r="CH96" s="1432"/>
      <c r="CI96" s="1436" t="e">
        <f t="shared" si="8"/>
        <v>#VALUE!</v>
      </c>
      <c r="CJ96" s="1432"/>
      <c r="CK96" s="1432"/>
      <c r="CL96" s="1432"/>
      <c r="CM96" s="1432"/>
      <c r="CN96" s="1432"/>
      <c r="CO96" s="1432"/>
    </row>
    <row r="97" spans="1:93" ht="16.5" customHeight="1" x14ac:dyDescent="0.25">
      <c r="A97" s="7258">
        <v>21700703</v>
      </c>
      <c r="B97" s="976" t="s">
        <v>1599</v>
      </c>
      <c r="C97" s="975" t="s">
        <v>5369</v>
      </c>
      <c r="D97" s="971" t="s">
        <v>5370</v>
      </c>
      <c r="E97" s="970" t="s">
        <v>5371</v>
      </c>
      <c r="F97" s="969" t="s">
        <v>5372</v>
      </c>
      <c r="G97" s="974" t="s">
        <v>5373</v>
      </c>
      <c r="H97" s="974" t="s">
        <v>5374</v>
      </c>
      <c r="I97" s="1360" t="e">
        <f t="shared" si="9"/>
        <v>#VALUE!</v>
      </c>
      <c r="J97" s="979"/>
      <c r="K97" s="978"/>
      <c r="L97" s="977"/>
      <c r="M97" s="977"/>
      <c r="N97" s="1482"/>
      <c r="CB97" s="1435" t="e">
        <f t="shared" si="10"/>
        <v>#VALUE!</v>
      </c>
      <c r="CC97" s="1435"/>
      <c r="CH97" s="1432"/>
      <c r="CI97" s="1436" t="e">
        <f t="shared" si="8"/>
        <v>#VALUE!</v>
      </c>
      <c r="CJ97" s="1432"/>
      <c r="CK97" s="1432"/>
      <c r="CL97" s="1432"/>
      <c r="CM97" s="1432"/>
      <c r="CN97" s="1432"/>
      <c r="CO97" s="1432"/>
    </row>
    <row r="98" spans="1:93" ht="16.5" customHeight="1" x14ac:dyDescent="0.25">
      <c r="A98" s="7258">
        <v>21700704</v>
      </c>
      <c r="B98" s="976" t="s">
        <v>1598</v>
      </c>
      <c r="C98" s="975" t="s">
        <v>5369</v>
      </c>
      <c r="D98" s="971" t="s">
        <v>5370</v>
      </c>
      <c r="E98" s="970" t="s">
        <v>5371</v>
      </c>
      <c r="F98" s="969" t="s">
        <v>5372</v>
      </c>
      <c r="G98" s="974" t="s">
        <v>5373</v>
      </c>
      <c r="H98" s="974" t="s">
        <v>5374</v>
      </c>
      <c r="I98" s="1360" t="e">
        <f t="shared" si="9"/>
        <v>#VALUE!</v>
      </c>
      <c r="J98" s="979"/>
      <c r="K98" s="978"/>
      <c r="L98" s="977"/>
      <c r="M98" s="977"/>
      <c r="N98" s="1482"/>
      <c r="CB98" s="1435" t="e">
        <f t="shared" si="10"/>
        <v>#VALUE!</v>
      </c>
      <c r="CC98" s="1435"/>
      <c r="CH98" s="1432"/>
      <c r="CI98" s="1436" t="e">
        <f t="shared" si="8"/>
        <v>#VALUE!</v>
      </c>
      <c r="CJ98" s="1432"/>
      <c r="CK98" s="1432"/>
      <c r="CL98" s="1432"/>
      <c r="CM98" s="1432"/>
      <c r="CN98" s="1432"/>
      <c r="CO98" s="1432"/>
    </row>
    <row r="99" spans="1:93" ht="16.5" customHeight="1" x14ac:dyDescent="0.25">
      <c r="A99" s="7258">
        <v>21700705</v>
      </c>
      <c r="B99" s="976" t="s">
        <v>1597</v>
      </c>
      <c r="C99" s="975" t="s">
        <v>5369</v>
      </c>
      <c r="D99" s="971" t="s">
        <v>5370</v>
      </c>
      <c r="E99" s="970" t="s">
        <v>5371</v>
      </c>
      <c r="F99" s="969" t="s">
        <v>5372</v>
      </c>
      <c r="G99" s="974" t="s">
        <v>5373</v>
      </c>
      <c r="H99" s="974" t="s">
        <v>5374</v>
      </c>
      <c r="I99" s="1360" t="e">
        <f t="shared" si="9"/>
        <v>#VALUE!</v>
      </c>
      <c r="J99" s="967"/>
      <c r="K99" s="966"/>
      <c r="L99" s="965"/>
      <c r="M99" s="965"/>
      <c r="N99" s="1488"/>
      <c r="O99" s="290"/>
      <c r="P99" s="290"/>
      <c r="Q99" s="290"/>
      <c r="R99" s="290"/>
      <c r="S99" s="290"/>
      <c r="T99" s="290"/>
      <c r="CB99" s="1435" t="e">
        <f t="shared" si="10"/>
        <v>#VALUE!</v>
      </c>
      <c r="CC99" s="1435"/>
      <c r="CH99" s="1432"/>
      <c r="CI99" s="1436" t="e">
        <f t="shared" si="8"/>
        <v>#VALUE!</v>
      </c>
      <c r="CJ99" s="1432"/>
      <c r="CK99" s="1432"/>
      <c r="CL99" s="1432"/>
      <c r="CM99" s="1432"/>
      <c r="CN99" s="1432"/>
      <c r="CO99" s="1432"/>
    </row>
    <row r="100" spans="1:93" ht="16.5" customHeight="1" x14ac:dyDescent="0.25">
      <c r="A100" s="7258">
        <v>21700706</v>
      </c>
      <c r="B100" s="1660" t="s">
        <v>1596</v>
      </c>
      <c r="C100" s="975" t="s">
        <v>5369</v>
      </c>
      <c r="D100" s="971" t="s">
        <v>5370</v>
      </c>
      <c r="E100" s="970" t="s">
        <v>5371</v>
      </c>
      <c r="F100" s="969" t="s">
        <v>5372</v>
      </c>
      <c r="G100" s="974" t="s">
        <v>5373</v>
      </c>
      <c r="H100" s="974" t="s">
        <v>5374</v>
      </c>
      <c r="I100" s="1360" t="e">
        <f t="shared" si="9"/>
        <v>#VALUE!</v>
      </c>
      <c r="J100" s="967"/>
      <c r="K100" s="966"/>
      <c r="L100" s="965"/>
      <c r="M100" s="965"/>
      <c r="N100" s="1488"/>
      <c r="O100" s="290"/>
      <c r="P100" s="290"/>
      <c r="Q100" s="290"/>
      <c r="R100" s="290"/>
      <c r="S100" s="290"/>
      <c r="T100" s="290"/>
      <c r="CB100" s="1435" t="e">
        <f t="shared" si="10"/>
        <v>#VALUE!</v>
      </c>
      <c r="CC100" s="1435"/>
      <c r="CH100" s="1432"/>
      <c r="CI100" s="1436" t="e">
        <f t="shared" si="8"/>
        <v>#VALUE!</v>
      </c>
      <c r="CJ100" s="1432"/>
      <c r="CK100" s="1432"/>
      <c r="CL100" s="1432"/>
      <c r="CM100" s="1432"/>
      <c r="CN100" s="1432"/>
      <c r="CO100" s="1432"/>
    </row>
    <row r="101" spans="1:93" ht="16.5" customHeight="1" x14ac:dyDescent="0.25">
      <c r="A101" s="7258">
        <v>21800890</v>
      </c>
      <c r="B101" s="973" t="s">
        <v>1595</v>
      </c>
      <c r="C101" s="972" t="s">
        <v>5369</v>
      </c>
      <c r="D101" s="971" t="s">
        <v>5370</v>
      </c>
      <c r="E101" s="970" t="s">
        <v>5371</v>
      </c>
      <c r="F101" s="969" t="s">
        <v>5372</v>
      </c>
      <c r="G101" s="968" t="s">
        <v>5373</v>
      </c>
      <c r="H101" s="968" t="s">
        <v>5374</v>
      </c>
      <c r="I101" s="1360" t="e">
        <f t="shared" si="9"/>
        <v>#VALUE!</v>
      </c>
      <c r="J101" s="967"/>
      <c r="K101" s="966"/>
      <c r="L101" s="965"/>
      <c r="M101" s="965"/>
      <c r="N101" s="1488"/>
      <c r="O101" s="290"/>
      <c r="P101" s="290"/>
      <c r="Q101" s="290"/>
      <c r="R101" s="290"/>
      <c r="S101" s="290"/>
      <c r="T101" s="290"/>
      <c r="CB101" s="1435" t="e">
        <f t="shared" si="10"/>
        <v>#VALUE!</v>
      </c>
      <c r="CC101" s="1435"/>
      <c r="CH101" s="1432"/>
      <c r="CI101" s="1436" t="e">
        <f t="shared" si="8"/>
        <v>#VALUE!</v>
      </c>
      <c r="CJ101" s="1432"/>
      <c r="CK101" s="1432"/>
      <c r="CL101" s="1432"/>
      <c r="CM101" s="1432"/>
      <c r="CN101" s="1432"/>
      <c r="CO101" s="1432"/>
    </row>
    <row r="102" spans="1:93" ht="16.5" customHeight="1" x14ac:dyDescent="0.25">
      <c r="A102" s="7267"/>
      <c r="B102" s="964" t="s">
        <v>24</v>
      </c>
      <c r="C102" s="963">
        <f t="shared" ref="C102:H102" si="11">SUM(C95:C101)</f>
        <v>0</v>
      </c>
      <c r="D102" s="962">
        <f t="shared" si="11"/>
        <v>0</v>
      </c>
      <c r="E102" s="961">
        <f t="shared" si="11"/>
        <v>0</v>
      </c>
      <c r="F102" s="960">
        <f t="shared" si="11"/>
        <v>0</v>
      </c>
      <c r="G102" s="959">
        <f t="shared" si="11"/>
        <v>0</v>
      </c>
      <c r="H102" s="959">
        <f t="shared" si="11"/>
        <v>0</v>
      </c>
      <c r="I102" s="1360" t="str">
        <f t="shared" si="9"/>
        <v/>
      </c>
      <c r="J102" s="801"/>
      <c r="K102" s="801"/>
      <c r="L102" s="801"/>
      <c r="M102" s="801"/>
      <c r="N102" s="801"/>
      <c r="O102" s="801"/>
      <c r="P102" s="801"/>
      <c r="Q102" s="801"/>
      <c r="R102" s="801"/>
      <c r="S102" s="801"/>
      <c r="T102" s="801"/>
      <c r="CB102" s="1435" t="str">
        <f>IF(CH102=1," * El total de causas de suspensión debe coincidir con la suma de Suspendidos de la sección D. ","")</f>
        <v/>
      </c>
      <c r="CH102" s="1436">
        <f>IF(C102&lt;&gt;(I91+J91),1,0)</f>
        <v>0</v>
      </c>
      <c r="CI102" s="1436"/>
      <c r="CJ102" s="1432"/>
      <c r="CK102" s="1432"/>
      <c r="CL102" s="1432"/>
      <c r="CM102" s="1432"/>
      <c r="CN102" s="1432"/>
      <c r="CO102" s="1432"/>
    </row>
    <row r="103" spans="1:93" ht="19.95" customHeight="1" x14ac:dyDescent="0.3">
      <c r="B103" s="7323" t="s">
        <v>3795</v>
      </c>
      <c r="C103"/>
      <c r="D103"/>
      <c r="E103"/>
      <c r="F103" s="1437"/>
    </row>
    <row r="104" spans="1:93" x14ac:dyDescent="0.25">
      <c r="B104" s="10200" t="s">
        <v>22</v>
      </c>
      <c r="C104" s="10201" t="s">
        <v>1</v>
      </c>
      <c r="D104" s="10203" t="s">
        <v>1282</v>
      </c>
      <c r="E104" s="10204"/>
      <c r="F104" s="10205"/>
      <c r="G104" s="10206" t="s">
        <v>363</v>
      </c>
      <c r="H104" s="10207"/>
    </row>
    <row r="105" spans="1:93" ht="20.399999999999999" x14ac:dyDescent="0.25">
      <c r="B105" s="9627"/>
      <c r="C105" s="10202"/>
      <c r="D105" s="7325" t="s">
        <v>3513</v>
      </c>
      <c r="E105" s="7326" t="s">
        <v>3514</v>
      </c>
      <c r="F105" s="7327" t="s">
        <v>3515</v>
      </c>
      <c r="G105" s="7328" t="s">
        <v>358</v>
      </c>
      <c r="H105" s="7329" t="s">
        <v>359</v>
      </c>
    </row>
    <row r="106" spans="1:93" ht="21.75" customHeight="1" x14ac:dyDescent="0.25">
      <c r="A106" s="7320">
        <v>29101382</v>
      </c>
      <c r="B106" s="7330" t="s">
        <v>1281</v>
      </c>
      <c r="C106" s="7331" t="s">
        <v>5369</v>
      </c>
      <c r="D106" s="7332" t="s">
        <v>5370</v>
      </c>
      <c r="E106" s="7333" t="s">
        <v>5371</v>
      </c>
      <c r="F106" s="7334" t="s">
        <v>5372</v>
      </c>
      <c r="G106" s="7335" t="s">
        <v>5373</v>
      </c>
      <c r="H106" s="7336" t="s">
        <v>5374</v>
      </c>
      <c r="I106" s="1360" t="str">
        <f>CB106&amp;CC106&amp;CD106&amp;CE106</f>
        <v xml:space="preserve">* La cantidad de Trans Masculinos no puede superar el Total. * La cantidad de Trans Femeninos no puede superar el Total. </v>
      </c>
      <c r="CB106" s="1435" t="str">
        <f>IF(CH106=1,"* No olvide digitar Trans Masculino (Digite 0 si no tiene). ","")</f>
        <v/>
      </c>
      <c r="CC106" s="1435" t="str">
        <f>IF(CI106=1,"* No olvide digitar Trans Femenino (Digite 0 si no tiene). ","")</f>
        <v/>
      </c>
      <c r="CD106" s="1435" t="str">
        <f>IF(CJ106=1,"* La cantidad de Trans Masculinos no puede superar el Total. ","")</f>
        <v xml:space="preserve">* La cantidad de Trans Masculinos no puede superar el Total. </v>
      </c>
      <c r="CE106" s="1435" t="str">
        <f>IF(CK106=1,"* La cantidad de Trans Femeninos no puede superar el Total. ","")</f>
        <v xml:space="preserve">* La cantidad de Trans Femeninos no puede superar el Total. </v>
      </c>
      <c r="CH106" s="1436">
        <f>IF(AND(C106&lt;&gt;0,G106=""),1,0)</f>
        <v>0</v>
      </c>
      <c r="CI106" s="1436">
        <f>IF(AND(C106&lt;&gt;0,H106=""),1,0)</f>
        <v>0</v>
      </c>
      <c r="CJ106" s="1436">
        <f>IF(G106&gt;C106,1,0)</f>
        <v>1</v>
      </c>
      <c r="CK106" s="1436">
        <f>IF(H106&gt;C106,1,0)</f>
        <v>1</v>
      </c>
      <c r="CL106" s="1436"/>
      <c r="CM106" s="1436"/>
      <c r="CN106" s="1436"/>
      <c r="CO106" s="1436"/>
    </row>
    <row r="107" spans="1:93" ht="21.75" customHeight="1" x14ac:dyDescent="0.25">
      <c r="A107" s="7320">
        <v>29101383</v>
      </c>
      <c r="B107" s="7337" t="s">
        <v>2637</v>
      </c>
      <c r="C107" s="7338" t="s">
        <v>5369</v>
      </c>
      <c r="D107" s="7339" t="s">
        <v>5370</v>
      </c>
      <c r="E107" s="7340" t="s">
        <v>5371</v>
      </c>
      <c r="F107" s="7341" t="s">
        <v>5372</v>
      </c>
      <c r="G107" s="7342" t="s">
        <v>5373</v>
      </c>
      <c r="H107" s="7343" t="s">
        <v>5374</v>
      </c>
      <c r="I107" s="1360" t="str">
        <f>CB107&amp;CC107&amp;CD107&amp;CE107</f>
        <v xml:space="preserve">* La cantidad de Trans Masculinos no puede superar el Total. * La cantidad de Trans Femeninos no puede superar el Total. </v>
      </c>
      <c r="CB107" s="1435" t="str">
        <f>IF(CH107=1,"* No olvide digitar Trans Masculino (Digite 0 si no tiene). ","")</f>
        <v/>
      </c>
      <c r="CC107" s="1435" t="str">
        <f>IF(CI107=1,"* No olvide digitar Trans Femenino (Digite 0 si no tiene). ","")</f>
        <v/>
      </c>
      <c r="CD107" s="1435" t="str">
        <f>IF(CJ107=1,"* La cantidad de Trans Masculinos no puede superar el Total. ","")</f>
        <v xml:space="preserve">* La cantidad de Trans Masculinos no puede superar el Total. </v>
      </c>
      <c r="CE107" s="1435" t="str">
        <f>IF(CK107=1,"* La cantidad de Trans Femeninos no puede superar el Total. ","")</f>
        <v xml:space="preserve">* La cantidad de Trans Femeninos no puede superar el Total. </v>
      </c>
      <c r="CH107" s="1436">
        <f>IF(AND(C107&lt;&gt;0,G107=""),1,0)</f>
        <v>0</v>
      </c>
      <c r="CI107" s="1436">
        <f>IF(AND(C107&lt;&gt;0,H107=""),1,0)</f>
        <v>0</v>
      </c>
      <c r="CJ107" s="1436">
        <f>IF(G107&gt;C107,1,0)</f>
        <v>1</v>
      </c>
      <c r="CK107" s="1436">
        <f>IF(H107&gt;C107,1,0)</f>
        <v>1</v>
      </c>
      <c r="CL107" s="1436"/>
      <c r="CM107" s="1436"/>
      <c r="CN107" s="1436"/>
      <c r="CO107" s="1436"/>
    </row>
    <row r="110" spans="1:93" x14ac:dyDescent="0.25">
      <c r="A110" s="165" t="s">
        <v>4068</v>
      </c>
    </row>
    <row r="111" spans="1:93" x14ac:dyDescent="0.25">
      <c r="A111" s="7320">
        <v>29101381</v>
      </c>
    </row>
    <row r="112" spans="1:93" x14ac:dyDescent="0.25">
      <c r="A112" s="7320">
        <v>29101382</v>
      </c>
    </row>
    <row r="113" spans="1:1" x14ac:dyDescent="0.25">
      <c r="A113" s="7320">
        <v>29101383</v>
      </c>
    </row>
    <row r="162" spans="2:105" s="1418" customFormat="1" ht="18.600000000000001" hidden="1" customHeight="1" x14ac:dyDescent="0.25">
      <c r="B162" s="1418">
        <f>SUM(C13:P13,C21:C25,C39:C47,C50:C52,D30:D36,C55:C57,C66,D69:D73,C91:J91,C102,C106:C107)</f>
        <v>0</v>
      </c>
      <c r="C162" s="1418">
        <f>SUM(CH3:CO66)</f>
        <v>0</v>
      </c>
      <c r="BY162" s="1419"/>
      <c r="BZ162" s="1419"/>
      <c r="CA162" s="1419"/>
      <c r="CB162" s="1419"/>
      <c r="CC162" s="1419"/>
      <c r="CD162" s="1419"/>
      <c r="CE162" s="1419"/>
      <c r="CF162" s="1419"/>
      <c r="CG162" s="1419"/>
      <c r="CH162" s="1419"/>
      <c r="CI162" s="1419"/>
      <c r="CJ162" s="1419"/>
      <c r="CK162" s="1419"/>
      <c r="CL162" s="1419"/>
      <c r="CM162" s="1419"/>
      <c r="CN162" s="1419"/>
      <c r="CO162" s="1419"/>
      <c r="CP162" s="1419"/>
      <c r="CQ162" s="1419"/>
      <c r="CR162" s="1419"/>
      <c r="CS162" s="1419"/>
      <c r="CT162" s="1419"/>
      <c r="CU162" s="1419"/>
      <c r="CV162" s="1419"/>
      <c r="CW162" s="1419"/>
      <c r="CX162" s="1419"/>
      <c r="CY162" s="1419"/>
      <c r="CZ162" s="1419"/>
      <c r="DA162" s="1419"/>
    </row>
  </sheetData>
  <mergeCells count="39">
    <mergeCell ref="B6:K6"/>
    <mergeCell ref="B36:C36"/>
    <mergeCell ref="B28:C29"/>
    <mergeCell ref="B34:B35"/>
    <mergeCell ref="D28:D29"/>
    <mergeCell ref="B30:C30"/>
    <mergeCell ref="H28:M28"/>
    <mergeCell ref="E28:G28"/>
    <mergeCell ref="F9:F12"/>
    <mergeCell ref="E9:E12"/>
    <mergeCell ref="D9:D12"/>
    <mergeCell ref="C9:C12"/>
    <mergeCell ref="B9:B12"/>
    <mergeCell ref="AD10:AF11"/>
    <mergeCell ref="AA9:AF9"/>
    <mergeCell ref="G9:G12"/>
    <mergeCell ref="AA10:AC11"/>
    <mergeCell ref="Q10:U11"/>
    <mergeCell ref="V10:Z11"/>
    <mergeCell ref="L10:P11"/>
    <mergeCell ref="H9:Z9"/>
    <mergeCell ref="H10:K11"/>
    <mergeCell ref="B93:B94"/>
    <mergeCell ref="C93:H93"/>
    <mergeCell ref="B104:B105"/>
    <mergeCell ref="C104:C105"/>
    <mergeCell ref="D104:F104"/>
    <mergeCell ref="G104:H104"/>
    <mergeCell ref="B67:F67"/>
    <mergeCell ref="B69:C69"/>
    <mergeCell ref="B70:B71"/>
    <mergeCell ref="B72:B73"/>
    <mergeCell ref="B92:H92"/>
    <mergeCell ref="B75:B77"/>
    <mergeCell ref="C75:D76"/>
    <mergeCell ref="E75:F76"/>
    <mergeCell ref="G75:J75"/>
    <mergeCell ref="G76:H76"/>
    <mergeCell ref="I76:J76"/>
  </mergeCells>
  <dataValidations count="1">
    <dataValidation type="whole" allowBlank="1" showInputMessage="1" showErrorMessage="1" sqref="F60:F66" xr:uid="{00000000-0002-0000-0E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EA206"/>
  <sheetViews>
    <sheetView showGridLines="0" zoomScaleNormal="100" workbookViewId="0"/>
  </sheetViews>
  <sheetFormatPr baseColWidth="10" defaultColWidth="11.44140625" defaultRowHeight="13.8" x14ac:dyDescent="0.25"/>
  <cols>
    <col min="1" max="1" width="16" style="4258" customWidth="1"/>
    <col min="2" max="2" width="62.6640625" style="4258" customWidth="1"/>
    <col min="3" max="3" width="32.6640625" style="4258" customWidth="1"/>
    <col min="4" max="4" width="19.88671875" style="4258" customWidth="1"/>
    <col min="5" max="5" width="15.6640625" style="4258" customWidth="1"/>
    <col min="6" max="6" width="13.44140625" style="4258" customWidth="1"/>
    <col min="7" max="38" width="11.44140625" style="4258"/>
    <col min="39" max="39" width="11.88671875" style="4258" customWidth="1"/>
    <col min="40" max="72" width="11.44140625" style="4258"/>
    <col min="73" max="74" width="11.44140625" style="4264"/>
    <col min="75" max="77" width="11.88671875" style="4264" customWidth="1"/>
    <col min="78" max="78" width="11.88671875" style="4260" customWidth="1"/>
    <col min="79" max="79" width="12.6640625" style="4264" customWidth="1"/>
    <col min="80" max="105" width="12.6640625" style="4295" hidden="1" customWidth="1"/>
    <col min="106" max="131" width="11.44140625" style="4294" hidden="1" customWidth="1"/>
    <col min="132" max="16384" width="11.44140625" style="4258"/>
  </cols>
  <sheetData>
    <row r="1" spans="1:109" ht="16.2" customHeight="1" x14ac:dyDescent="0.25">
      <c r="B1" s="3807" t="s">
        <v>207</v>
      </c>
    </row>
    <row r="2" spans="1:109" ht="16.2" customHeight="1" x14ac:dyDescent="0.25">
      <c r="B2" s="3807" t="str">
        <f>CONCATENATE("COMUNA: ",NOMBRE!B2," - ","( ",NOMBRE!C2,NOMBRE!D2,NOMBRE!E2,NOMBRE!F2,NOMBRE!G2," )")</f>
        <v>COMUNA:  - (  )</v>
      </c>
    </row>
    <row r="3" spans="1:109" ht="16.2" customHeight="1" x14ac:dyDescent="0.25">
      <c r="B3" s="3807" t="str">
        <f>CONCATENATE("ESTABLECIMIENTO/ESTRATEGIA: ",NOMBRE!B3," - ","( ",NOMBRE!C3,NOMBRE!D3,NOMBRE!E3,NOMBRE!F3,NOMBRE!G3,NOMBRE!H3," )")</f>
        <v>ESTABLECIMIENTO/ESTRATEGIA:  - (  )</v>
      </c>
    </row>
    <row r="4" spans="1:109" ht="16.2" customHeight="1" x14ac:dyDescent="0.25">
      <c r="B4" s="3807" t="str">
        <f>CONCATENATE("MES: ",NOMBRE!B6," - ","( ",NOMBRE!C6,NOMBRE!D6," )")</f>
        <v>MES:  - (  )</v>
      </c>
    </row>
    <row r="5" spans="1:109" ht="16.2" customHeight="1" x14ac:dyDescent="0.25">
      <c r="B5" s="3807" t="str">
        <f>CONCATENATE("AÑO: ",NOMBRE!B7)</f>
        <v>AÑO: 2023</v>
      </c>
    </row>
    <row r="6" spans="1:109" ht="15" customHeight="1" x14ac:dyDescent="0.25">
      <c r="B6" s="9268" t="s">
        <v>1910</v>
      </c>
      <c r="C6" s="9268"/>
      <c r="D6" s="9268"/>
      <c r="E6" s="9268"/>
      <c r="F6" s="9268"/>
      <c r="G6" s="9268"/>
      <c r="H6" s="9268"/>
      <c r="I6" s="9268"/>
      <c r="J6" s="9268"/>
      <c r="K6" s="9268"/>
      <c r="L6" s="9268"/>
      <c r="M6" s="9268"/>
      <c r="N6" s="9268"/>
      <c r="O6" s="9268"/>
      <c r="P6" s="9268"/>
      <c r="Q6" s="9268"/>
      <c r="R6" s="9268"/>
      <c r="S6" s="9268"/>
      <c r="T6" s="9268"/>
      <c r="U6" s="9268"/>
      <c r="V6" s="9268"/>
      <c r="W6" s="9268"/>
    </row>
    <row r="7" spans="1:109" ht="16.2" x14ac:dyDescent="0.25">
      <c r="B7" s="3804"/>
      <c r="C7" s="3804"/>
      <c r="D7" s="3804"/>
      <c r="E7" s="3804"/>
      <c r="F7" s="3804"/>
      <c r="G7" s="3804"/>
      <c r="H7" s="3804"/>
      <c r="I7" s="3804"/>
      <c r="J7" s="3804"/>
      <c r="K7" s="3804"/>
      <c r="L7" s="3804"/>
      <c r="M7" s="3804"/>
      <c r="N7" s="3804"/>
      <c r="O7" s="3804"/>
      <c r="P7" s="3804"/>
      <c r="Q7" s="3804"/>
      <c r="R7" s="3804"/>
      <c r="S7" s="3804"/>
      <c r="T7" s="3804"/>
      <c r="U7" s="3804"/>
      <c r="V7" s="3804"/>
      <c r="W7" s="3804"/>
    </row>
    <row r="8" spans="1:109" ht="31.95" customHeight="1" x14ac:dyDescent="0.25">
      <c r="B8" s="5532" t="s">
        <v>2581</v>
      </c>
      <c r="C8" s="5533"/>
      <c r="D8" s="5533"/>
      <c r="E8" s="5533"/>
      <c r="F8" s="5533"/>
      <c r="G8" s="5533"/>
      <c r="H8" s="5533"/>
      <c r="I8" s="5533"/>
      <c r="J8" s="5533"/>
      <c r="K8" s="5533"/>
      <c r="L8" s="5533"/>
      <c r="M8" s="5533"/>
      <c r="N8" s="5533"/>
      <c r="O8" s="5533"/>
      <c r="P8" s="5533"/>
      <c r="Q8" s="5533"/>
      <c r="R8" s="5533"/>
      <c r="S8" s="5533"/>
      <c r="T8" s="5533"/>
      <c r="U8" s="5533"/>
      <c r="V8" s="5533"/>
      <c r="W8" s="5533"/>
      <c r="X8" s="5534"/>
      <c r="Y8" s="5534"/>
      <c r="Z8" s="5534"/>
      <c r="AA8" s="5534"/>
      <c r="AB8" s="5534"/>
      <c r="AC8" s="5534"/>
      <c r="AD8" s="5534"/>
      <c r="AE8" s="5534"/>
      <c r="AF8" s="5534"/>
      <c r="AG8" s="5534"/>
      <c r="AH8" s="5534"/>
      <c r="AI8" s="5534"/>
      <c r="AJ8" s="5534"/>
      <c r="AK8" s="5534"/>
      <c r="AL8" s="5534"/>
    </row>
    <row r="9" spans="1:109" ht="16.2" customHeight="1" x14ac:dyDescent="0.25">
      <c r="A9" s="7344"/>
      <c r="B9" s="10247" t="s">
        <v>1911</v>
      </c>
      <c r="C9" s="10248" t="s">
        <v>24</v>
      </c>
      <c r="D9" s="10249"/>
      <c r="E9" s="10250"/>
      <c r="F9" s="10332" t="s">
        <v>2</v>
      </c>
      <c r="G9" s="10332"/>
      <c r="H9" s="10332"/>
      <c r="I9" s="10332"/>
      <c r="J9" s="10332"/>
      <c r="K9" s="10332"/>
      <c r="L9" s="10332"/>
      <c r="M9" s="10332"/>
      <c r="N9" s="10332"/>
      <c r="O9" s="10332"/>
      <c r="P9" s="10332"/>
      <c r="Q9" s="10332"/>
      <c r="R9" s="10332"/>
      <c r="S9" s="10332"/>
      <c r="T9" s="10332"/>
      <c r="U9" s="10332"/>
      <c r="V9" s="10332"/>
      <c r="W9" s="10332"/>
      <c r="X9" s="10332"/>
      <c r="Y9" s="10332"/>
      <c r="Z9" s="10332"/>
      <c r="AA9" s="10332"/>
      <c r="AB9" s="10332"/>
      <c r="AC9" s="10332"/>
      <c r="AD9" s="10332"/>
      <c r="AE9" s="10332"/>
      <c r="AF9" s="10332"/>
      <c r="AG9" s="10332"/>
      <c r="AH9" s="10332"/>
      <c r="AI9" s="10332"/>
      <c r="AJ9" s="10332"/>
      <c r="AK9" s="10333"/>
      <c r="AL9" s="10313" t="s">
        <v>362</v>
      </c>
      <c r="AM9" s="10349" t="s">
        <v>361</v>
      </c>
      <c r="AN9" s="10349" t="s">
        <v>2902</v>
      </c>
      <c r="BY9" s="4260"/>
    </row>
    <row r="10" spans="1:109" ht="16.2" customHeight="1" x14ac:dyDescent="0.25">
      <c r="A10" s="7344"/>
      <c r="B10" s="9055"/>
      <c r="C10" s="10329"/>
      <c r="D10" s="10330"/>
      <c r="E10" s="10331"/>
      <c r="F10" s="10267" t="s">
        <v>1912</v>
      </c>
      <c r="G10" s="10247"/>
      <c r="H10" s="10267" t="s">
        <v>1913</v>
      </c>
      <c r="I10" s="10247"/>
      <c r="J10" s="10267" t="s">
        <v>1914</v>
      </c>
      <c r="K10" s="10247"/>
      <c r="L10" s="10266" t="s">
        <v>1915</v>
      </c>
      <c r="M10" s="10266"/>
      <c r="N10" s="10267" t="s">
        <v>1916</v>
      </c>
      <c r="O10" s="10247"/>
      <c r="P10" s="10266" t="s">
        <v>1917</v>
      </c>
      <c r="Q10" s="10266"/>
      <c r="R10" s="10267" t="s">
        <v>1918</v>
      </c>
      <c r="S10" s="10247"/>
      <c r="T10" s="10266" t="s">
        <v>124</v>
      </c>
      <c r="U10" s="10266"/>
      <c r="V10" s="10267" t="s">
        <v>125</v>
      </c>
      <c r="W10" s="10247"/>
      <c r="X10" s="10266" t="s">
        <v>126</v>
      </c>
      <c r="Y10" s="10266"/>
      <c r="Z10" s="10267" t="s">
        <v>127</v>
      </c>
      <c r="AA10" s="10247"/>
      <c r="AB10" s="10266" t="s">
        <v>128</v>
      </c>
      <c r="AC10" s="10266"/>
      <c r="AD10" s="10267" t="s">
        <v>129</v>
      </c>
      <c r="AE10" s="10247"/>
      <c r="AF10" s="10266" t="s">
        <v>130</v>
      </c>
      <c r="AG10" s="10266"/>
      <c r="AH10" s="10267" t="s">
        <v>131</v>
      </c>
      <c r="AI10" s="10247"/>
      <c r="AJ10" s="10266" t="s">
        <v>1919</v>
      </c>
      <c r="AK10" s="10347"/>
      <c r="AL10" s="9116"/>
      <c r="AM10" s="10350"/>
      <c r="AN10" s="10350"/>
      <c r="BY10" s="4260"/>
    </row>
    <row r="11" spans="1:109" ht="16.2" customHeight="1" x14ac:dyDescent="0.25">
      <c r="A11" s="7344"/>
      <c r="B11" s="9055"/>
      <c r="C11" s="10251"/>
      <c r="D11" s="10252"/>
      <c r="E11" s="10253"/>
      <c r="F11" s="10275"/>
      <c r="G11" s="9056"/>
      <c r="H11" s="10275"/>
      <c r="I11" s="9056"/>
      <c r="J11" s="10275"/>
      <c r="K11" s="9056"/>
      <c r="L11" s="10276"/>
      <c r="M11" s="10276"/>
      <c r="N11" s="10275"/>
      <c r="O11" s="9056"/>
      <c r="P11" s="10276"/>
      <c r="Q11" s="10276"/>
      <c r="R11" s="10275"/>
      <c r="S11" s="9056"/>
      <c r="T11" s="10276"/>
      <c r="U11" s="10276"/>
      <c r="V11" s="10275"/>
      <c r="W11" s="9056"/>
      <c r="X11" s="10276"/>
      <c r="Y11" s="10276"/>
      <c r="Z11" s="10275"/>
      <c r="AA11" s="9056"/>
      <c r="AB11" s="10276"/>
      <c r="AC11" s="10276"/>
      <c r="AD11" s="10275"/>
      <c r="AE11" s="9056"/>
      <c r="AF11" s="10276"/>
      <c r="AG11" s="10276"/>
      <c r="AH11" s="10275"/>
      <c r="AI11" s="9056"/>
      <c r="AJ11" s="10276"/>
      <c r="AK11" s="10348"/>
      <c r="AL11" s="9116"/>
      <c r="AM11" s="10350"/>
      <c r="AN11" s="10350"/>
      <c r="BY11" s="4260"/>
    </row>
    <row r="12" spans="1:109" ht="16.2" customHeight="1" x14ac:dyDescent="0.25">
      <c r="A12" s="7344"/>
      <c r="B12" s="9056"/>
      <c r="C12" s="4350" t="s">
        <v>42</v>
      </c>
      <c r="D12" s="5535" t="s">
        <v>17</v>
      </c>
      <c r="E12" s="4537" t="s">
        <v>18</v>
      </c>
      <c r="F12" s="4351" t="s">
        <v>17</v>
      </c>
      <c r="G12" s="4352" t="s">
        <v>18</v>
      </c>
      <c r="H12" s="4351" t="s">
        <v>17</v>
      </c>
      <c r="I12" s="4352" t="s">
        <v>18</v>
      </c>
      <c r="J12" s="4351" t="s">
        <v>17</v>
      </c>
      <c r="K12" s="4352" t="s">
        <v>18</v>
      </c>
      <c r="L12" s="5535" t="s">
        <v>17</v>
      </c>
      <c r="M12" s="4353" t="s">
        <v>18</v>
      </c>
      <c r="N12" s="4351" t="s">
        <v>17</v>
      </c>
      <c r="O12" s="4352" t="s">
        <v>18</v>
      </c>
      <c r="P12" s="5535" t="s">
        <v>17</v>
      </c>
      <c r="Q12" s="4353" t="s">
        <v>18</v>
      </c>
      <c r="R12" s="4351" t="s">
        <v>17</v>
      </c>
      <c r="S12" s="4352" t="s">
        <v>18</v>
      </c>
      <c r="T12" s="5535" t="s">
        <v>17</v>
      </c>
      <c r="U12" s="4353" t="s">
        <v>18</v>
      </c>
      <c r="V12" s="4351" t="s">
        <v>17</v>
      </c>
      <c r="W12" s="4352" t="s">
        <v>18</v>
      </c>
      <c r="X12" s="5535" t="s">
        <v>17</v>
      </c>
      <c r="Y12" s="4353" t="s">
        <v>18</v>
      </c>
      <c r="Z12" s="4351" t="s">
        <v>17</v>
      </c>
      <c r="AA12" s="4352" t="s">
        <v>18</v>
      </c>
      <c r="AB12" s="5535" t="s">
        <v>17</v>
      </c>
      <c r="AC12" s="4353" t="s">
        <v>18</v>
      </c>
      <c r="AD12" s="4351" t="s">
        <v>17</v>
      </c>
      <c r="AE12" s="4352" t="s">
        <v>18</v>
      </c>
      <c r="AF12" s="5535" t="s">
        <v>17</v>
      </c>
      <c r="AG12" s="4353" t="s">
        <v>18</v>
      </c>
      <c r="AH12" s="4351" t="s">
        <v>17</v>
      </c>
      <c r="AI12" s="4352" t="s">
        <v>18</v>
      </c>
      <c r="AJ12" s="5535" t="s">
        <v>17</v>
      </c>
      <c r="AK12" s="5536" t="s">
        <v>18</v>
      </c>
      <c r="AL12" s="9156"/>
      <c r="AM12" s="10351"/>
      <c r="AN12" s="10351"/>
      <c r="BY12" s="4260"/>
    </row>
    <row r="13" spans="1:109" ht="16.2" customHeight="1" x14ac:dyDescent="0.25">
      <c r="A13" s="7263">
        <v>23030100</v>
      </c>
      <c r="B13" s="5537" t="s">
        <v>1920</v>
      </c>
      <c r="C13" s="5059" t="s">
        <v>5369</v>
      </c>
      <c r="D13" s="5538" t="s">
        <v>5370</v>
      </c>
      <c r="E13" s="5539" t="s">
        <v>5371</v>
      </c>
      <c r="F13" s="5540" t="s">
        <v>5372</v>
      </c>
      <c r="G13" s="5541" t="s">
        <v>5373</v>
      </c>
      <c r="H13" s="5540" t="s">
        <v>5374</v>
      </c>
      <c r="I13" s="5542" t="s">
        <v>5375</v>
      </c>
      <c r="J13" s="5540" t="s">
        <v>5376</v>
      </c>
      <c r="K13" s="5542" t="s">
        <v>5377</v>
      </c>
      <c r="L13" s="5543" t="s">
        <v>5378</v>
      </c>
      <c r="M13" s="5544" t="s">
        <v>5379</v>
      </c>
      <c r="N13" s="5540" t="s">
        <v>5380</v>
      </c>
      <c r="O13" s="5542" t="s">
        <v>5381</v>
      </c>
      <c r="P13" s="5543" t="s">
        <v>5382</v>
      </c>
      <c r="Q13" s="5544" t="s">
        <v>5383</v>
      </c>
      <c r="R13" s="5540" t="s">
        <v>5384</v>
      </c>
      <c r="S13" s="5542" t="s">
        <v>5385</v>
      </c>
      <c r="T13" s="5543" t="s">
        <v>5386</v>
      </c>
      <c r="U13" s="5544" t="s">
        <v>5387</v>
      </c>
      <c r="V13" s="5540" t="s">
        <v>5388</v>
      </c>
      <c r="W13" s="5542" t="s">
        <v>5389</v>
      </c>
      <c r="X13" s="5543" t="s">
        <v>5390</v>
      </c>
      <c r="Y13" s="5544" t="s">
        <v>5391</v>
      </c>
      <c r="Z13" s="5540" t="s">
        <v>5392</v>
      </c>
      <c r="AA13" s="5542" t="s">
        <v>5393</v>
      </c>
      <c r="AB13" s="5543" t="s">
        <v>5394</v>
      </c>
      <c r="AC13" s="5544" t="s">
        <v>5395</v>
      </c>
      <c r="AD13" s="5540" t="s">
        <v>5396</v>
      </c>
      <c r="AE13" s="5542" t="s">
        <v>5397</v>
      </c>
      <c r="AF13" s="5543" t="s">
        <v>5398</v>
      </c>
      <c r="AG13" s="5544" t="s">
        <v>5399</v>
      </c>
      <c r="AH13" s="5540" t="s">
        <v>5400</v>
      </c>
      <c r="AI13" s="5542" t="s">
        <v>5401</v>
      </c>
      <c r="AJ13" s="5545" t="s">
        <v>5402</v>
      </c>
      <c r="AK13" s="5546" t="s">
        <v>5403</v>
      </c>
      <c r="AL13" s="5541" t="s">
        <v>5404</v>
      </c>
      <c r="AM13" s="5541" t="s">
        <v>5405</v>
      </c>
      <c r="AN13" s="5541" t="s">
        <v>5406</v>
      </c>
      <c r="AO13" s="4259"/>
      <c r="BY13" s="4260"/>
      <c r="DB13" s="4294">
        <v>0</v>
      </c>
      <c r="DC13" s="4294">
        <v>0</v>
      </c>
      <c r="DD13" s="4294">
        <v>0</v>
      </c>
      <c r="DE13" s="4294">
        <v>0</v>
      </c>
    </row>
    <row r="14" spans="1:109" ht="16.2" customHeight="1" x14ac:dyDescent="0.25">
      <c r="A14" s="7258">
        <v>23030300</v>
      </c>
      <c r="B14" s="5547" t="s">
        <v>1921</v>
      </c>
      <c r="C14" s="5064" t="s">
        <v>5369</v>
      </c>
      <c r="D14" s="5548" t="s">
        <v>5370</v>
      </c>
      <c r="E14" s="5549" t="s">
        <v>5371</v>
      </c>
      <c r="F14" s="5065" t="s">
        <v>5372</v>
      </c>
      <c r="G14" s="5067" t="s">
        <v>5373</v>
      </c>
      <c r="H14" s="5065" t="s">
        <v>5374</v>
      </c>
      <c r="I14" s="5066" t="s">
        <v>5375</v>
      </c>
      <c r="J14" s="5065" t="s">
        <v>5376</v>
      </c>
      <c r="K14" s="5066" t="s">
        <v>5377</v>
      </c>
      <c r="L14" s="5068" t="s">
        <v>5378</v>
      </c>
      <c r="M14" s="5077" t="s">
        <v>5379</v>
      </c>
      <c r="N14" s="5065" t="s">
        <v>5380</v>
      </c>
      <c r="O14" s="5066" t="s">
        <v>5381</v>
      </c>
      <c r="P14" s="5068" t="s">
        <v>5382</v>
      </c>
      <c r="Q14" s="5077" t="s">
        <v>5383</v>
      </c>
      <c r="R14" s="5065" t="s">
        <v>5384</v>
      </c>
      <c r="S14" s="5066" t="s">
        <v>5385</v>
      </c>
      <c r="T14" s="5068" t="s">
        <v>5386</v>
      </c>
      <c r="U14" s="5077" t="s">
        <v>5387</v>
      </c>
      <c r="V14" s="5065" t="s">
        <v>5388</v>
      </c>
      <c r="W14" s="5066" t="s">
        <v>5389</v>
      </c>
      <c r="X14" s="5068" t="s">
        <v>5390</v>
      </c>
      <c r="Y14" s="5077" t="s">
        <v>5391</v>
      </c>
      <c r="Z14" s="5065" t="s">
        <v>5392</v>
      </c>
      <c r="AA14" s="5066" t="s">
        <v>5393</v>
      </c>
      <c r="AB14" s="5068" t="s">
        <v>5394</v>
      </c>
      <c r="AC14" s="5077" t="s">
        <v>5395</v>
      </c>
      <c r="AD14" s="5065" t="s">
        <v>5396</v>
      </c>
      <c r="AE14" s="5066" t="s">
        <v>5397</v>
      </c>
      <c r="AF14" s="5068" t="s">
        <v>5398</v>
      </c>
      <c r="AG14" s="5077" t="s">
        <v>5399</v>
      </c>
      <c r="AH14" s="5065" t="s">
        <v>5400</v>
      </c>
      <c r="AI14" s="5066" t="s">
        <v>5401</v>
      </c>
      <c r="AJ14" s="5069" t="s">
        <v>5402</v>
      </c>
      <c r="AK14" s="5550" t="s">
        <v>5403</v>
      </c>
      <c r="AL14" s="5067" t="s">
        <v>5404</v>
      </c>
      <c r="AM14" s="5067" t="s">
        <v>5405</v>
      </c>
      <c r="AN14" s="5067" t="s">
        <v>5406</v>
      </c>
      <c r="AO14" s="4259"/>
      <c r="BY14" s="4260"/>
      <c r="DC14" s="4294">
        <v>0</v>
      </c>
      <c r="DE14" s="4294">
        <v>0</v>
      </c>
    </row>
    <row r="15" spans="1:109" ht="16.2" customHeight="1" x14ac:dyDescent="0.25">
      <c r="A15" s="7258">
        <v>23030400</v>
      </c>
      <c r="B15" s="5547" t="s">
        <v>1922</v>
      </c>
      <c r="C15" s="5064" t="s">
        <v>5369</v>
      </c>
      <c r="D15" s="5548" t="s">
        <v>5370</v>
      </c>
      <c r="E15" s="5549" t="s">
        <v>5371</v>
      </c>
      <c r="F15" s="5065" t="s">
        <v>5372</v>
      </c>
      <c r="G15" s="5067" t="s">
        <v>5373</v>
      </c>
      <c r="H15" s="5065" t="s">
        <v>5374</v>
      </c>
      <c r="I15" s="5066" t="s">
        <v>5375</v>
      </c>
      <c r="J15" s="5065" t="s">
        <v>5376</v>
      </c>
      <c r="K15" s="5066" t="s">
        <v>5377</v>
      </c>
      <c r="L15" s="5068" t="s">
        <v>5378</v>
      </c>
      <c r="M15" s="5077" t="s">
        <v>5379</v>
      </c>
      <c r="N15" s="5065" t="s">
        <v>5380</v>
      </c>
      <c r="O15" s="5066" t="s">
        <v>5381</v>
      </c>
      <c r="P15" s="5068" t="s">
        <v>5382</v>
      </c>
      <c r="Q15" s="5077" t="s">
        <v>5383</v>
      </c>
      <c r="R15" s="5065" t="s">
        <v>5384</v>
      </c>
      <c r="S15" s="5066" t="s">
        <v>5385</v>
      </c>
      <c r="T15" s="5068" t="s">
        <v>5386</v>
      </c>
      <c r="U15" s="5077" t="s">
        <v>5387</v>
      </c>
      <c r="V15" s="5065" t="s">
        <v>5388</v>
      </c>
      <c r="W15" s="5066" t="s">
        <v>5389</v>
      </c>
      <c r="X15" s="5068" t="s">
        <v>5390</v>
      </c>
      <c r="Y15" s="5077" t="s">
        <v>5391</v>
      </c>
      <c r="Z15" s="5065" t="s">
        <v>5392</v>
      </c>
      <c r="AA15" s="5066" t="s">
        <v>5393</v>
      </c>
      <c r="AB15" s="5068" t="s">
        <v>5394</v>
      </c>
      <c r="AC15" s="5077" t="s">
        <v>5395</v>
      </c>
      <c r="AD15" s="5065" t="s">
        <v>5396</v>
      </c>
      <c r="AE15" s="5066" t="s">
        <v>5397</v>
      </c>
      <c r="AF15" s="5068" t="s">
        <v>5398</v>
      </c>
      <c r="AG15" s="5077" t="s">
        <v>5399</v>
      </c>
      <c r="AH15" s="5065" t="s">
        <v>5400</v>
      </c>
      <c r="AI15" s="5066" t="s">
        <v>5401</v>
      </c>
      <c r="AJ15" s="5069" t="s">
        <v>5402</v>
      </c>
      <c r="AK15" s="5550" t="s">
        <v>5403</v>
      </c>
      <c r="AL15" s="5067" t="s">
        <v>5404</v>
      </c>
      <c r="AM15" s="5067" t="s">
        <v>5405</v>
      </c>
      <c r="AN15" s="5067" t="s">
        <v>5406</v>
      </c>
      <c r="AO15" s="4259"/>
      <c r="BY15" s="4260"/>
    </row>
    <row r="16" spans="1:109" ht="16.2" customHeight="1" x14ac:dyDescent="0.25">
      <c r="A16" s="7258">
        <v>23030500</v>
      </c>
      <c r="B16" s="5547" t="s">
        <v>1923</v>
      </c>
      <c r="C16" s="5064" t="s">
        <v>5369</v>
      </c>
      <c r="D16" s="5548" t="s">
        <v>5370</v>
      </c>
      <c r="E16" s="5549" t="s">
        <v>5371</v>
      </c>
      <c r="F16" s="5065" t="s">
        <v>5372</v>
      </c>
      <c r="G16" s="5067" t="s">
        <v>5373</v>
      </c>
      <c r="H16" s="5065" t="s">
        <v>5374</v>
      </c>
      <c r="I16" s="5066" t="s">
        <v>5375</v>
      </c>
      <c r="J16" s="5065" t="s">
        <v>5376</v>
      </c>
      <c r="K16" s="5066" t="s">
        <v>5377</v>
      </c>
      <c r="L16" s="5068" t="s">
        <v>5378</v>
      </c>
      <c r="M16" s="5077" t="s">
        <v>5379</v>
      </c>
      <c r="N16" s="5065" t="s">
        <v>5380</v>
      </c>
      <c r="O16" s="5066" t="s">
        <v>5381</v>
      </c>
      <c r="P16" s="5068" t="s">
        <v>5382</v>
      </c>
      <c r="Q16" s="5077" t="s">
        <v>5383</v>
      </c>
      <c r="R16" s="5065" t="s">
        <v>5384</v>
      </c>
      <c r="S16" s="5066" t="s">
        <v>5385</v>
      </c>
      <c r="T16" s="5068" t="s">
        <v>5386</v>
      </c>
      <c r="U16" s="5077" t="s">
        <v>5387</v>
      </c>
      <c r="V16" s="5065" t="s">
        <v>5388</v>
      </c>
      <c r="W16" s="5066" t="s">
        <v>5389</v>
      </c>
      <c r="X16" s="5068" t="s">
        <v>5390</v>
      </c>
      <c r="Y16" s="5077" t="s">
        <v>5391</v>
      </c>
      <c r="Z16" s="5065" t="s">
        <v>5392</v>
      </c>
      <c r="AA16" s="5066" t="s">
        <v>5393</v>
      </c>
      <c r="AB16" s="5068" t="s">
        <v>5394</v>
      </c>
      <c r="AC16" s="5077" t="s">
        <v>5395</v>
      </c>
      <c r="AD16" s="5065" t="s">
        <v>5396</v>
      </c>
      <c r="AE16" s="5066" t="s">
        <v>5397</v>
      </c>
      <c r="AF16" s="5068" t="s">
        <v>5398</v>
      </c>
      <c r="AG16" s="5077" t="s">
        <v>5399</v>
      </c>
      <c r="AH16" s="5065" t="s">
        <v>5400</v>
      </c>
      <c r="AI16" s="5066" t="s">
        <v>5401</v>
      </c>
      <c r="AJ16" s="5069" t="s">
        <v>5402</v>
      </c>
      <c r="AK16" s="5550" t="s">
        <v>5403</v>
      </c>
      <c r="AL16" s="5067" t="s">
        <v>5404</v>
      </c>
      <c r="AM16" s="5067" t="s">
        <v>5405</v>
      </c>
      <c r="AN16" s="5067" t="s">
        <v>5406</v>
      </c>
      <c r="AO16" s="4259"/>
      <c r="BY16" s="4260"/>
    </row>
    <row r="17" spans="1:109" ht="16.2" customHeight="1" x14ac:dyDescent="0.25">
      <c r="A17" s="7258">
        <v>23042000</v>
      </c>
      <c r="B17" s="5551" t="s">
        <v>1924</v>
      </c>
      <c r="C17" s="5265" t="s">
        <v>5369</v>
      </c>
      <c r="D17" s="5552" t="s">
        <v>5370</v>
      </c>
      <c r="E17" s="5549" t="s">
        <v>5371</v>
      </c>
      <c r="F17" s="5065" t="s">
        <v>5372</v>
      </c>
      <c r="G17" s="5067" t="s">
        <v>5373</v>
      </c>
      <c r="H17" s="5065" t="s">
        <v>5374</v>
      </c>
      <c r="I17" s="5066" t="s">
        <v>5375</v>
      </c>
      <c r="J17" s="5065" t="s">
        <v>5376</v>
      </c>
      <c r="K17" s="5066" t="s">
        <v>5377</v>
      </c>
      <c r="L17" s="5068" t="s">
        <v>5378</v>
      </c>
      <c r="M17" s="5077" t="s">
        <v>5379</v>
      </c>
      <c r="N17" s="5065" t="s">
        <v>5380</v>
      </c>
      <c r="O17" s="5066" t="s">
        <v>5381</v>
      </c>
      <c r="P17" s="5068" t="s">
        <v>5382</v>
      </c>
      <c r="Q17" s="5077" t="s">
        <v>5383</v>
      </c>
      <c r="R17" s="5065" t="s">
        <v>5384</v>
      </c>
      <c r="S17" s="5066" t="s">
        <v>5385</v>
      </c>
      <c r="T17" s="5068" t="s">
        <v>5386</v>
      </c>
      <c r="U17" s="5077" t="s">
        <v>5387</v>
      </c>
      <c r="V17" s="5065" t="s">
        <v>5388</v>
      </c>
      <c r="W17" s="5066" t="s">
        <v>5389</v>
      </c>
      <c r="X17" s="5068" t="s">
        <v>5390</v>
      </c>
      <c r="Y17" s="5077" t="s">
        <v>5391</v>
      </c>
      <c r="Z17" s="5065" t="s">
        <v>5392</v>
      </c>
      <c r="AA17" s="5066" t="s">
        <v>5393</v>
      </c>
      <c r="AB17" s="5068" t="s">
        <v>5394</v>
      </c>
      <c r="AC17" s="5077" t="s">
        <v>5395</v>
      </c>
      <c r="AD17" s="5065" t="s">
        <v>5396</v>
      </c>
      <c r="AE17" s="5066" t="s">
        <v>5397</v>
      </c>
      <c r="AF17" s="5068" t="s">
        <v>5398</v>
      </c>
      <c r="AG17" s="5077" t="s">
        <v>5399</v>
      </c>
      <c r="AH17" s="5065" t="s">
        <v>5400</v>
      </c>
      <c r="AI17" s="5066" t="s">
        <v>5401</v>
      </c>
      <c r="AJ17" s="5069" t="s">
        <v>5402</v>
      </c>
      <c r="AK17" s="5550" t="s">
        <v>5403</v>
      </c>
      <c r="AL17" s="5067" t="s">
        <v>5404</v>
      </c>
      <c r="AM17" s="5067" t="s">
        <v>5405</v>
      </c>
      <c r="AN17" s="5067" t="s">
        <v>5406</v>
      </c>
      <c r="AO17" s="4259"/>
      <c r="BY17" s="4260"/>
    </row>
    <row r="18" spans="1:109" ht="16.2" customHeight="1" x14ac:dyDescent="0.25">
      <c r="A18" s="7258">
        <v>23090410</v>
      </c>
      <c r="B18" s="5553" t="s">
        <v>1925</v>
      </c>
      <c r="C18" s="5064" t="s">
        <v>5369</v>
      </c>
      <c r="D18" s="5548" t="s">
        <v>5370</v>
      </c>
      <c r="E18" s="5549" t="s">
        <v>5371</v>
      </c>
      <c r="F18" s="5065" t="s">
        <v>5372</v>
      </c>
      <c r="G18" s="5067" t="s">
        <v>5373</v>
      </c>
      <c r="H18" s="5065" t="s">
        <v>5374</v>
      </c>
      <c r="I18" s="5066" t="s">
        <v>5375</v>
      </c>
      <c r="J18" s="5065" t="s">
        <v>5376</v>
      </c>
      <c r="K18" s="5066" t="s">
        <v>5377</v>
      </c>
      <c r="L18" s="5068" t="s">
        <v>5378</v>
      </c>
      <c r="M18" s="5077" t="s">
        <v>5379</v>
      </c>
      <c r="N18" s="5065" t="s">
        <v>5380</v>
      </c>
      <c r="O18" s="5066" t="s">
        <v>5381</v>
      </c>
      <c r="P18" s="5068" t="s">
        <v>5382</v>
      </c>
      <c r="Q18" s="5077" t="s">
        <v>5383</v>
      </c>
      <c r="R18" s="5065" t="s">
        <v>5384</v>
      </c>
      <c r="S18" s="5066" t="s">
        <v>5385</v>
      </c>
      <c r="T18" s="5068" t="s">
        <v>5386</v>
      </c>
      <c r="U18" s="5077" t="s">
        <v>5387</v>
      </c>
      <c r="V18" s="5065" t="s">
        <v>5388</v>
      </c>
      <c r="W18" s="5066" t="s">
        <v>5389</v>
      </c>
      <c r="X18" s="5068" t="s">
        <v>5390</v>
      </c>
      <c r="Y18" s="5077" t="s">
        <v>5391</v>
      </c>
      <c r="Z18" s="5065" t="s">
        <v>5392</v>
      </c>
      <c r="AA18" s="5066" t="s">
        <v>5393</v>
      </c>
      <c r="AB18" s="5068" t="s">
        <v>5394</v>
      </c>
      <c r="AC18" s="5077" t="s">
        <v>5395</v>
      </c>
      <c r="AD18" s="5065" t="s">
        <v>5396</v>
      </c>
      <c r="AE18" s="5066" t="s">
        <v>5397</v>
      </c>
      <c r="AF18" s="5068" t="s">
        <v>5398</v>
      </c>
      <c r="AG18" s="5077" t="s">
        <v>5399</v>
      </c>
      <c r="AH18" s="5065" t="s">
        <v>5400</v>
      </c>
      <c r="AI18" s="5066" t="s">
        <v>5401</v>
      </c>
      <c r="AJ18" s="5069" t="s">
        <v>5402</v>
      </c>
      <c r="AK18" s="5550" t="s">
        <v>5403</v>
      </c>
      <c r="AL18" s="5067" t="s">
        <v>5404</v>
      </c>
      <c r="AM18" s="5067" t="s">
        <v>5405</v>
      </c>
      <c r="AN18" s="5067" t="s">
        <v>5406</v>
      </c>
      <c r="AO18" s="4259"/>
      <c r="BY18" s="4260"/>
    </row>
    <row r="19" spans="1:109" ht="26.25" customHeight="1" x14ac:dyDescent="0.25">
      <c r="A19" s="7258" t="s">
        <v>5049</v>
      </c>
      <c r="B19" s="5001" t="s">
        <v>1926</v>
      </c>
      <c r="C19" s="5265" t="s">
        <v>5369</v>
      </c>
      <c r="D19" s="5552" t="s">
        <v>5370</v>
      </c>
      <c r="E19" s="5549" t="s">
        <v>5371</v>
      </c>
      <c r="F19" s="5065" t="s">
        <v>5372</v>
      </c>
      <c r="G19" s="5067" t="s">
        <v>5373</v>
      </c>
      <c r="H19" s="5065" t="s">
        <v>5374</v>
      </c>
      <c r="I19" s="5066" t="s">
        <v>5375</v>
      </c>
      <c r="J19" s="5554" t="s">
        <v>5376</v>
      </c>
      <c r="K19" s="5555" t="s">
        <v>5377</v>
      </c>
      <c r="L19" s="5556" t="s">
        <v>5378</v>
      </c>
      <c r="M19" s="5557" t="s">
        <v>5379</v>
      </c>
      <c r="N19" s="5554" t="s">
        <v>5380</v>
      </c>
      <c r="O19" s="5555" t="s">
        <v>5381</v>
      </c>
      <c r="P19" s="5556" t="s">
        <v>5382</v>
      </c>
      <c r="Q19" s="5557" t="s">
        <v>5383</v>
      </c>
      <c r="R19" s="5554" t="s">
        <v>5384</v>
      </c>
      <c r="S19" s="5555" t="s">
        <v>5385</v>
      </c>
      <c r="T19" s="5556" t="s">
        <v>5386</v>
      </c>
      <c r="U19" s="5557" t="s">
        <v>5387</v>
      </c>
      <c r="V19" s="5554" t="s">
        <v>5388</v>
      </c>
      <c r="W19" s="5555" t="s">
        <v>5389</v>
      </c>
      <c r="X19" s="5556" t="s">
        <v>5390</v>
      </c>
      <c r="Y19" s="5557" t="s">
        <v>5391</v>
      </c>
      <c r="Z19" s="5554" t="s">
        <v>5392</v>
      </c>
      <c r="AA19" s="5555" t="s">
        <v>5393</v>
      </c>
      <c r="AB19" s="5556" t="s">
        <v>5394</v>
      </c>
      <c r="AC19" s="5557" t="s">
        <v>5395</v>
      </c>
      <c r="AD19" s="5554" t="s">
        <v>5396</v>
      </c>
      <c r="AE19" s="5555" t="s">
        <v>5397</v>
      </c>
      <c r="AF19" s="5556" t="s">
        <v>5398</v>
      </c>
      <c r="AG19" s="5557" t="s">
        <v>5399</v>
      </c>
      <c r="AH19" s="5554" t="s">
        <v>5400</v>
      </c>
      <c r="AI19" s="5555" t="s">
        <v>5401</v>
      </c>
      <c r="AJ19" s="5558" t="s">
        <v>5402</v>
      </c>
      <c r="AK19" s="5559" t="s">
        <v>5403</v>
      </c>
      <c r="AL19" s="5067" t="s">
        <v>5404</v>
      </c>
      <c r="AM19" s="5067" t="s">
        <v>5405</v>
      </c>
      <c r="AN19" s="5067" t="s">
        <v>5406</v>
      </c>
      <c r="AO19" s="4259"/>
      <c r="BY19" s="4260"/>
      <c r="DC19" s="4294">
        <v>0</v>
      </c>
      <c r="DE19" s="4294">
        <v>0</v>
      </c>
    </row>
    <row r="20" spans="1:109" ht="19.2" customHeight="1" x14ac:dyDescent="0.25">
      <c r="A20" s="7258">
        <v>23042100</v>
      </c>
      <c r="B20" s="5553" t="s">
        <v>1927</v>
      </c>
      <c r="C20" s="5064" t="s">
        <v>5369</v>
      </c>
      <c r="D20" s="5548" t="s">
        <v>5370</v>
      </c>
      <c r="E20" s="5549" t="s">
        <v>5371</v>
      </c>
      <c r="F20" s="5554" t="s">
        <v>5372</v>
      </c>
      <c r="G20" s="5560" t="s">
        <v>5373</v>
      </c>
      <c r="H20" s="5065" t="s">
        <v>5374</v>
      </c>
      <c r="I20" s="5066" t="s">
        <v>5375</v>
      </c>
      <c r="J20" s="5065" t="s">
        <v>5376</v>
      </c>
      <c r="K20" s="5066" t="s">
        <v>5377</v>
      </c>
      <c r="L20" s="5068" t="s">
        <v>5378</v>
      </c>
      <c r="M20" s="5077" t="s">
        <v>5379</v>
      </c>
      <c r="N20" s="5065" t="s">
        <v>5380</v>
      </c>
      <c r="O20" s="5066" t="s">
        <v>5381</v>
      </c>
      <c r="P20" s="5068" t="s">
        <v>5382</v>
      </c>
      <c r="Q20" s="5077" t="s">
        <v>5383</v>
      </c>
      <c r="R20" s="5065" t="s">
        <v>5384</v>
      </c>
      <c r="S20" s="5066" t="s">
        <v>5385</v>
      </c>
      <c r="T20" s="5068" t="s">
        <v>5386</v>
      </c>
      <c r="U20" s="5077" t="s">
        <v>5387</v>
      </c>
      <c r="V20" s="5065" t="s">
        <v>5388</v>
      </c>
      <c r="W20" s="5066" t="s">
        <v>5389</v>
      </c>
      <c r="X20" s="5068" t="s">
        <v>5390</v>
      </c>
      <c r="Y20" s="5077" t="s">
        <v>5391</v>
      </c>
      <c r="Z20" s="5065" t="s">
        <v>5392</v>
      </c>
      <c r="AA20" s="5066" t="s">
        <v>5393</v>
      </c>
      <c r="AB20" s="5068" t="s">
        <v>5394</v>
      </c>
      <c r="AC20" s="5077" t="s">
        <v>5395</v>
      </c>
      <c r="AD20" s="5065" t="s">
        <v>5396</v>
      </c>
      <c r="AE20" s="5066" t="s">
        <v>5397</v>
      </c>
      <c r="AF20" s="5068" t="s">
        <v>5398</v>
      </c>
      <c r="AG20" s="5077" t="s">
        <v>5399</v>
      </c>
      <c r="AH20" s="5065" t="s">
        <v>5400</v>
      </c>
      <c r="AI20" s="5066" t="s">
        <v>5401</v>
      </c>
      <c r="AJ20" s="5069" t="s">
        <v>5402</v>
      </c>
      <c r="AK20" s="5550" t="s">
        <v>5403</v>
      </c>
      <c r="AL20" s="5067" t="s">
        <v>5404</v>
      </c>
      <c r="AM20" s="5067" t="s">
        <v>5405</v>
      </c>
      <c r="AN20" s="5067" t="s">
        <v>5406</v>
      </c>
      <c r="AO20" s="4259"/>
      <c r="BY20" s="4260"/>
      <c r="DC20" s="4294">
        <v>0</v>
      </c>
      <c r="DE20" s="4294">
        <v>0</v>
      </c>
    </row>
    <row r="21" spans="1:109" ht="25.5" customHeight="1" x14ac:dyDescent="0.25">
      <c r="A21" s="7258">
        <v>23042200</v>
      </c>
      <c r="B21" s="5001" t="s">
        <v>1928</v>
      </c>
      <c r="C21" s="5265" t="s">
        <v>5369</v>
      </c>
      <c r="D21" s="5552" t="s">
        <v>5370</v>
      </c>
      <c r="E21" s="5549" t="s">
        <v>5371</v>
      </c>
      <c r="F21" s="5554" t="s">
        <v>5372</v>
      </c>
      <c r="G21" s="5560" t="s">
        <v>5373</v>
      </c>
      <c r="H21" s="5554" t="s">
        <v>5374</v>
      </c>
      <c r="I21" s="5555" t="s">
        <v>5375</v>
      </c>
      <c r="J21" s="5554" t="s">
        <v>5376</v>
      </c>
      <c r="K21" s="5555" t="s">
        <v>5377</v>
      </c>
      <c r="L21" s="5556" t="s">
        <v>5378</v>
      </c>
      <c r="M21" s="5557" t="s">
        <v>5379</v>
      </c>
      <c r="N21" s="5554" t="s">
        <v>5380</v>
      </c>
      <c r="O21" s="5555" t="s">
        <v>5381</v>
      </c>
      <c r="P21" s="5556" t="s">
        <v>5382</v>
      </c>
      <c r="Q21" s="5557" t="s">
        <v>5383</v>
      </c>
      <c r="R21" s="5554" t="s">
        <v>5384</v>
      </c>
      <c r="S21" s="5555" t="s">
        <v>5385</v>
      </c>
      <c r="T21" s="5068" t="s">
        <v>5386</v>
      </c>
      <c r="U21" s="5077" t="s">
        <v>5387</v>
      </c>
      <c r="V21" s="5065" t="s">
        <v>5388</v>
      </c>
      <c r="W21" s="5066" t="s">
        <v>5389</v>
      </c>
      <c r="X21" s="5068" t="s">
        <v>5390</v>
      </c>
      <c r="Y21" s="5077" t="s">
        <v>5391</v>
      </c>
      <c r="Z21" s="5065" t="s">
        <v>5392</v>
      </c>
      <c r="AA21" s="5066" t="s">
        <v>5393</v>
      </c>
      <c r="AB21" s="5068" t="s">
        <v>5394</v>
      </c>
      <c r="AC21" s="5077" t="s">
        <v>5395</v>
      </c>
      <c r="AD21" s="5065" t="s">
        <v>5396</v>
      </c>
      <c r="AE21" s="5066" t="s">
        <v>5397</v>
      </c>
      <c r="AF21" s="5068" t="s">
        <v>5398</v>
      </c>
      <c r="AG21" s="5077" t="s">
        <v>5399</v>
      </c>
      <c r="AH21" s="5065" t="s">
        <v>5400</v>
      </c>
      <c r="AI21" s="5066" t="s">
        <v>5401</v>
      </c>
      <c r="AJ21" s="5069" t="s">
        <v>5402</v>
      </c>
      <c r="AK21" s="5550" t="s">
        <v>5403</v>
      </c>
      <c r="AL21" s="5067" t="s">
        <v>5404</v>
      </c>
      <c r="AM21" s="5067" t="s">
        <v>5405</v>
      </c>
      <c r="AN21" s="5067" t="s">
        <v>5406</v>
      </c>
      <c r="AO21" s="4259"/>
      <c r="BY21" s="4260"/>
      <c r="DC21" s="4294">
        <v>0</v>
      </c>
      <c r="DE21" s="4294">
        <v>0</v>
      </c>
    </row>
    <row r="22" spans="1:109" ht="16.2" customHeight="1" x14ac:dyDescent="0.25">
      <c r="A22" s="7258">
        <v>23042300</v>
      </c>
      <c r="B22" s="5553" t="s">
        <v>1929</v>
      </c>
      <c r="C22" s="5064" t="s">
        <v>5369</v>
      </c>
      <c r="D22" s="5548" t="s">
        <v>5370</v>
      </c>
      <c r="E22" s="5549" t="s">
        <v>5371</v>
      </c>
      <c r="F22" s="5065" t="s">
        <v>5372</v>
      </c>
      <c r="G22" s="5067" t="s">
        <v>5373</v>
      </c>
      <c r="H22" s="5065" t="s">
        <v>5374</v>
      </c>
      <c r="I22" s="5066" t="s">
        <v>5375</v>
      </c>
      <c r="J22" s="5065" t="s">
        <v>5376</v>
      </c>
      <c r="K22" s="5066" t="s">
        <v>5377</v>
      </c>
      <c r="L22" s="5068" t="s">
        <v>5378</v>
      </c>
      <c r="M22" s="5077" t="s">
        <v>5379</v>
      </c>
      <c r="N22" s="5065" t="s">
        <v>5380</v>
      </c>
      <c r="O22" s="5066" t="s">
        <v>5381</v>
      </c>
      <c r="P22" s="5068" t="s">
        <v>5382</v>
      </c>
      <c r="Q22" s="5077" t="s">
        <v>5383</v>
      </c>
      <c r="R22" s="5065" t="s">
        <v>5384</v>
      </c>
      <c r="S22" s="5066" t="s">
        <v>5385</v>
      </c>
      <c r="T22" s="5068" t="s">
        <v>5386</v>
      </c>
      <c r="U22" s="5077" t="s">
        <v>5387</v>
      </c>
      <c r="V22" s="5065" t="s">
        <v>5388</v>
      </c>
      <c r="W22" s="5066" t="s">
        <v>5389</v>
      </c>
      <c r="X22" s="5068" t="s">
        <v>5390</v>
      </c>
      <c r="Y22" s="5077" t="s">
        <v>5391</v>
      </c>
      <c r="Z22" s="5065" t="s">
        <v>5392</v>
      </c>
      <c r="AA22" s="5066" t="s">
        <v>5393</v>
      </c>
      <c r="AB22" s="5068" t="s">
        <v>5394</v>
      </c>
      <c r="AC22" s="5077" t="s">
        <v>5395</v>
      </c>
      <c r="AD22" s="5065" t="s">
        <v>5396</v>
      </c>
      <c r="AE22" s="5066" t="s">
        <v>5397</v>
      </c>
      <c r="AF22" s="5068" t="s">
        <v>5398</v>
      </c>
      <c r="AG22" s="5077" t="s">
        <v>5399</v>
      </c>
      <c r="AH22" s="5065" t="s">
        <v>5400</v>
      </c>
      <c r="AI22" s="5066" t="s">
        <v>5401</v>
      </c>
      <c r="AJ22" s="5069" t="s">
        <v>5402</v>
      </c>
      <c r="AK22" s="5550" t="s">
        <v>5403</v>
      </c>
      <c r="AL22" s="5067" t="s">
        <v>5404</v>
      </c>
      <c r="AM22" s="5067" t="s">
        <v>5405</v>
      </c>
      <c r="AN22" s="5067" t="s">
        <v>5406</v>
      </c>
      <c r="AO22" s="4259"/>
      <c r="BY22" s="4260"/>
      <c r="DC22" s="4294">
        <v>0</v>
      </c>
      <c r="DE22" s="4294">
        <v>0</v>
      </c>
    </row>
    <row r="23" spans="1:109" ht="26.25" customHeight="1" x14ac:dyDescent="0.25">
      <c r="A23" s="7258">
        <v>23042400</v>
      </c>
      <c r="B23" s="5561" t="s">
        <v>1930</v>
      </c>
      <c r="C23" s="5276" t="s">
        <v>5369</v>
      </c>
      <c r="D23" s="5562" t="s">
        <v>5370</v>
      </c>
      <c r="E23" s="5087" t="s">
        <v>5371</v>
      </c>
      <c r="F23" s="5088" t="s">
        <v>5372</v>
      </c>
      <c r="G23" s="5090" t="s">
        <v>5373</v>
      </c>
      <c r="H23" s="5088" t="s">
        <v>5374</v>
      </c>
      <c r="I23" s="5089" t="s">
        <v>5375</v>
      </c>
      <c r="J23" s="5088" t="s">
        <v>5376</v>
      </c>
      <c r="K23" s="5089" t="s">
        <v>5377</v>
      </c>
      <c r="L23" s="5091" t="s">
        <v>5378</v>
      </c>
      <c r="M23" s="5092" t="s">
        <v>5379</v>
      </c>
      <c r="N23" s="5088" t="s">
        <v>5380</v>
      </c>
      <c r="O23" s="5089" t="s">
        <v>5381</v>
      </c>
      <c r="P23" s="5091" t="s">
        <v>5382</v>
      </c>
      <c r="Q23" s="5092" t="s">
        <v>5383</v>
      </c>
      <c r="R23" s="5088" t="s">
        <v>5384</v>
      </c>
      <c r="S23" s="5089" t="s">
        <v>5385</v>
      </c>
      <c r="T23" s="5091" t="s">
        <v>5386</v>
      </c>
      <c r="U23" s="5092" t="s">
        <v>5387</v>
      </c>
      <c r="V23" s="5088" t="s">
        <v>5388</v>
      </c>
      <c r="W23" s="5089" t="s">
        <v>5389</v>
      </c>
      <c r="X23" s="5091" t="s">
        <v>5390</v>
      </c>
      <c r="Y23" s="5092" t="s">
        <v>5391</v>
      </c>
      <c r="Z23" s="5088" t="s">
        <v>5392</v>
      </c>
      <c r="AA23" s="5089" t="s">
        <v>5393</v>
      </c>
      <c r="AB23" s="5091" t="s">
        <v>5394</v>
      </c>
      <c r="AC23" s="5092" t="s">
        <v>5395</v>
      </c>
      <c r="AD23" s="5088" t="s">
        <v>5396</v>
      </c>
      <c r="AE23" s="5089" t="s">
        <v>5397</v>
      </c>
      <c r="AF23" s="5091" t="s">
        <v>5398</v>
      </c>
      <c r="AG23" s="5092" t="s">
        <v>5399</v>
      </c>
      <c r="AH23" s="5088" t="s">
        <v>5400</v>
      </c>
      <c r="AI23" s="5089" t="s">
        <v>5401</v>
      </c>
      <c r="AJ23" s="5098" t="s">
        <v>5402</v>
      </c>
      <c r="AK23" s="5563" t="s">
        <v>5403</v>
      </c>
      <c r="AL23" s="5067" t="s">
        <v>5404</v>
      </c>
      <c r="AM23" s="5067" t="s">
        <v>5405</v>
      </c>
      <c r="AN23" s="5067" t="s">
        <v>5406</v>
      </c>
      <c r="AO23" s="4259"/>
      <c r="BY23" s="4260"/>
    </row>
    <row r="24" spans="1:109" ht="16.2" customHeight="1" x14ac:dyDescent="0.25">
      <c r="A24" s="7308"/>
      <c r="B24" s="5564" t="s">
        <v>24</v>
      </c>
      <c r="C24" s="5565">
        <f t="shared" ref="C24:AN24" si="0">SUM(C13:C23)</f>
        <v>0</v>
      </c>
      <c r="D24" s="5566">
        <f t="shared" si="0"/>
        <v>0</v>
      </c>
      <c r="E24" s="5567">
        <f t="shared" si="0"/>
        <v>0</v>
      </c>
      <c r="F24" s="5568">
        <f t="shared" si="0"/>
        <v>0</v>
      </c>
      <c r="G24" s="5569">
        <f t="shared" si="0"/>
        <v>0</v>
      </c>
      <c r="H24" s="5568">
        <f t="shared" si="0"/>
        <v>0</v>
      </c>
      <c r="I24" s="5570">
        <f t="shared" si="0"/>
        <v>0</v>
      </c>
      <c r="J24" s="5568">
        <f t="shared" si="0"/>
        <v>0</v>
      </c>
      <c r="K24" s="5570">
        <f t="shared" si="0"/>
        <v>0</v>
      </c>
      <c r="L24" s="5571">
        <f t="shared" si="0"/>
        <v>0</v>
      </c>
      <c r="M24" s="5572">
        <f t="shared" si="0"/>
        <v>0</v>
      </c>
      <c r="N24" s="5568">
        <f t="shared" si="0"/>
        <v>0</v>
      </c>
      <c r="O24" s="5570">
        <f t="shared" si="0"/>
        <v>0</v>
      </c>
      <c r="P24" s="5571">
        <f t="shared" si="0"/>
        <v>0</v>
      </c>
      <c r="Q24" s="5572">
        <f t="shared" si="0"/>
        <v>0</v>
      </c>
      <c r="R24" s="5568">
        <f t="shared" si="0"/>
        <v>0</v>
      </c>
      <c r="S24" s="5570">
        <f t="shared" si="0"/>
        <v>0</v>
      </c>
      <c r="T24" s="5571">
        <f t="shared" si="0"/>
        <v>0</v>
      </c>
      <c r="U24" s="5572">
        <f t="shared" si="0"/>
        <v>0</v>
      </c>
      <c r="V24" s="5568">
        <f t="shared" si="0"/>
        <v>0</v>
      </c>
      <c r="W24" s="5570">
        <f t="shared" si="0"/>
        <v>0</v>
      </c>
      <c r="X24" s="5571">
        <f t="shared" si="0"/>
        <v>0</v>
      </c>
      <c r="Y24" s="5572">
        <f t="shared" si="0"/>
        <v>0</v>
      </c>
      <c r="Z24" s="5568">
        <f t="shared" si="0"/>
        <v>0</v>
      </c>
      <c r="AA24" s="5570">
        <f t="shared" si="0"/>
        <v>0</v>
      </c>
      <c r="AB24" s="5571">
        <f t="shared" si="0"/>
        <v>0</v>
      </c>
      <c r="AC24" s="5572">
        <f t="shared" si="0"/>
        <v>0</v>
      </c>
      <c r="AD24" s="5568">
        <f t="shared" si="0"/>
        <v>0</v>
      </c>
      <c r="AE24" s="5570">
        <f t="shared" si="0"/>
        <v>0</v>
      </c>
      <c r="AF24" s="5571">
        <f t="shared" si="0"/>
        <v>0</v>
      </c>
      <c r="AG24" s="5572">
        <f t="shared" si="0"/>
        <v>0</v>
      </c>
      <c r="AH24" s="5568">
        <f t="shared" si="0"/>
        <v>0</v>
      </c>
      <c r="AI24" s="5570">
        <f t="shared" si="0"/>
        <v>0</v>
      </c>
      <c r="AJ24" s="5571">
        <f t="shared" si="0"/>
        <v>0</v>
      </c>
      <c r="AK24" s="5573">
        <f t="shared" si="0"/>
        <v>0</v>
      </c>
      <c r="AL24" s="5569">
        <f t="shared" si="0"/>
        <v>0</v>
      </c>
      <c r="AM24" s="5569">
        <f t="shared" si="0"/>
        <v>0</v>
      </c>
      <c r="AN24" s="5569">
        <f t="shared" si="0"/>
        <v>0</v>
      </c>
      <c r="AO24" s="4259"/>
      <c r="BY24" s="4260"/>
    </row>
    <row r="25" spans="1:109" ht="31.95" customHeight="1" x14ac:dyDescent="0.25">
      <c r="B25" s="4268" t="s">
        <v>1931</v>
      </c>
      <c r="C25" s="3940"/>
      <c r="D25" s="5574"/>
      <c r="E25" s="5574"/>
      <c r="F25" s="3940"/>
      <c r="G25" s="5575"/>
      <c r="H25" s="5575"/>
      <c r="I25" s="5575"/>
      <c r="J25" s="5575"/>
      <c r="K25" s="5575"/>
      <c r="L25" s="5575"/>
      <c r="M25" s="5575"/>
      <c r="N25" s="5575"/>
      <c r="O25" s="5575"/>
      <c r="P25" s="5575"/>
      <c r="Q25" s="5575"/>
      <c r="R25" s="5575"/>
      <c r="S25" s="5575"/>
      <c r="T25" s="5575"/>
      <c r="U25" s="5575"/>
      <c r="V25" s="5575"/>
      <c r="W25" s="5575"/>
      <c r="X25" s="5576"/>
      <c r="Y25" s="5576"/>
      <c r="Z25" s="5576"/>
      <c r="AA25" s="5576"/>
      <c r="AB25" s="5576"/>
      <c r="AC25" s="5576"/>
      <c r="AD25" s="5576"/>
      <c r="AE25" s="5576"/>
      <c r="AF25" s="5576"/>
      <c r="AG25" s="5576"/>
      <c r="AH25" s="5576"/>
      <c r="AI25" s="5576"/>
      <c r="AJ25" s="5576"/>
      <c r="AK25" s="5576"/>
      <c r="AL25" s="5576"/>
      <c r="AM25" s="5576"/>
    </row>
    <row r="26" spans="1:109" ht="16.2" customHeight="1" x14ac:dyDescent="0.25">
      <c r="B26" s="10266" t="s">
        <v>1911</v>
      </c>
      <c r="C26" s="10247"/>
      <c r="D26" s="10248" t="s">
        <v>24</v>
      </c>
      <c r="E26" s="10249"/>
      <c r="F26" s="10250"/>
      <c r="G26" s="10291" t="s">
        <v>2</v>
      </c>
      <c r="H26" s="10292"/>
      <c r="I26" s="10292"/>
      <c r="J26" s="10292"/>
      <c r="K26" s="10292"/>
      <c r="L26" s="10292"/>
      <c r="M26" s="10292"/>
      <c r="N26" s="10292"/>
      <c r="O26" s="10292"/>
      <c r="P26" s="10292"/>
      <c r="Q26" s="10292"/>
      <c r="R26" s="10292"/>
      <c r="S26" s="10292"/>
      <c r="T26" s="10292"/>
      <c r="U26" s="10292"/>
      <c r="V26" s="10292"/>
      <c r="W26" s="10292"/>
      <c r="X26" s="10292"/>
      <c r="Y26" s="10292"/>
      <c r="Z26" s="10292"/>
      <c r="AA26" s="10292"/>
      <c r="AB26" s="10292"/>
      <c r="AC26" s="10292"/>
      <c r="AD26" s="10292"/>
      <c r="AE26" s="10292"/>
      <c r="AF26" s="10292"/>
      <c r="AG26" s="10292"/>
      <c r="AH26" s="10292"/>
      <c r="AI26" s="10292"/>
      <c r="AJ26" s="10292"/>
      <c r="AK26" s="10292"/>
      <c r="AL26" s="10346"/>
      <c r="AM26" s="10313" t="s">
        <v>2483</v>
      </c>
      <c r="AN26" s="10313" t="s">
        <v>362</v>
      </c>
      <c r="AO26" s="10313" t="s">
        <v>361</v>
      </c>
    </row>
    <row r="27" spans="1:109" ht="16.2" customHeight="1" x14ac:dyDescent="0.25">
      <c r="B27" s="10287"/>
      <c r="C27" s="9055"/>
      <c r="D27" s="10329"/>
      <c r="E27" s="10330"/>
      <c r="F27" s="10331"/>
      <c r="G27" s="10267" t="s">
        <v>1912</v>
      </c>
      <c r="H27" s="10247"/>
      <c r="I27" s="10267" t="s">
        <v>1913</v>
      </c>
      <c r="J27" s="10247"/>
      <c r="K27" s="10267" t="s">
        <v>1914</v>
      </c>
      <c r="L27" s="10247"/>
      <c r="M27" s="10267" t="s">
        <v>1915</v>
      </c>
      <c r="N27" s="10247"/>
      <c r="O27" s="10267" t="s">
        <v>1916</v>
      </c>
      <c r="P27" s="10247"/>
      <c r="Q27" s="10267" t="s">
        <v>1917</v>
      </c>
      <c r="R27" s="10247"/>
      <c r="S27" s="10267" t="s">
        <v>1918</v>
      </c>
      <c r="T27" s="10247"/>
      <c r="U27" s="10267" t="s">
        <v>124</v>
      </c>
      <c r="V27" s="10247"/>
      <c r="W27" s="10267" t="s">
        <v>125</v>
      </c>
      <c r="X27" s="10247"/>
      <c r="Y27" s="10267" t="s">
        <v>126</v>
      </c>
      <c r="Z27" s="10247"/>
      <c r="AA27" s="10267" t="s">
        <v>127</v>
      </c>
      <c r="AB27" s="10247"/>
      <c r="AC27" s="10267" t="s">
        <v>128</v>
      </c>
      <c r="AD27" s="10247"/>
      <c r="AE27" s="10267" t="s">
        <v>129</v>
      </c>
      <c r="AF27" s="10247"/>
      <c r="AG27" s="10267" t="s">
        <v>130</v>
      </c>
      <c r="AH27" s="10247"/>
      <c r="AI27" s="10267" t="s">
        <v>131</v>
      </c>
      <c r="AJ27" s="10247"/>
      <c r="AK27" s="10267" t="s">
        <v>1919</v>
      </c>
      <c r="AL27" s="10347"/>
      <c r="AM27" s="9116"/>
      <c r="AN27" s="9116"/>
      <c r="AO27" s="9116"/>
    </row>
    <row r="28" spans="1:109" ht="16.2" customHeight="1" x14ac:dyDescent="0.25">
      <c r="B28" s="10287"/>
      <c r="C28" s="9055"/>
      <c r="D28" s="10251"/>
      <c r="E28" s="10252"/>
      <c r="F28" s="10253"/>
      <c r="G28" s="10275"/>
      <c r="H28" s="9056"/>
      <c r="I28" s="10275"/>
      <c r="J28" s="9056"/>
      <c r="K28" s="10275"/>
      <c r="L28" s="9056"/>
      <c r="M28" s="10275"/>
      <c r="N28" s="9056"/>
      <c r="O28" s="10275"/>
      <c r="P28" s="9056"/>
      <c r="Q28" s="10275"/>
      <c r="R28" s="9056"/>
      <c r="S28" s="10275"/>
      <c r="T28" s="9056"/>
      <c r="U28" s="10275"/>
      <c r="V28" s="9056"/>
      <c r="W28" s="10275"/>
      <c r="X28" s="9056"/>
      <c r="Y28" s="10275"/>
      <c r="Z28" s="9056"/>
      <c r="AA28" s="10275"/>
      <c r="AB28" s="9056"/>
      <c r="AC28" s="10275"/>
      <c r="AD28" s="9056"/>
      <c r="AE28" s="10275"/>
      <c r="AF28" s="9056"/>
      <c r="AG28" s="10275"/>
      <c r="AH28" s="9056"/>
      <c r="AI28" s="10275"/>
      <c r="AJ28" s="9056"/>
      <c r="AK28" s="10275"/>
      <c r="AL28" s="10348"/>
      <c r="AM28" s="9116"/>
      <c r="AN28" s="9116"/>
      <c r="AO28" s="9116"/>
    </row>
    <row r="29" spans="1:109" ht="16.2" customHeight="1" x14ac:dyDescent="0.25">
      <c r="B29" s="10276"/>
      <c r="C29" s="9056"/>
      <c r="D29" s="5577" t="s">
        <v>42</v>
      </c>
      <c r="E29" s="5578" t="s">
        <v>17</v>
      </c>
      <c r="F29" s="4531" t="s">
        <v>18</v>
      </c>
      <c r="G29" s="4530" t="s">
        <v>17</v>
      </c>
      <c r="H29" s="4531" t="s">
        <v>18</v>
      </c>
      <c r="I29" s="4530" t="s">
        <v>17</v>
      </c>
      <c r="J29" s="4531" t="s">
        <v>18</v>
      </c>
      <c r="K29" s="4530" t="s">
        <v>17</v>
      </c>
      <c r="L29" s="4531" t="s">
        <v>18</v>
      </c>
      <c r="M29" s="4530" t="s">
        <v>17</v>
      </c>
      <c r="N29" s="4531" t="s">
        <v>18</v>
      </c>
      <c r="O29" s="4530" t="s">
        <v>17</v>
      </c>
      <c r="P29" s="4531" t="s">
        <v>18</v>
      </c>
      <c r="Q29" s="4530" t="s">
        <v>17</v>
      </c>
      <c r="R29" s="4531" t="s">
        <v>18</v>
      </c>
      <c r="S29" s="4530" t="s">
        <v>17</v>
      </c>
      <c r="T29" s="4531" t="s">
        <v>18</v>
      </c>
      <c r="U29" s="4530" t="s">
        <v>17</v>
      </c>
      <c r="V29" s="4531" t="s">
        <v>18</v>
      </c>
      <c r="W29" s="4530" t="s">
        <v>17</v>
      </c>
      <c r="X29" s="4531" t="s">
        <v>18</v>
      </c>
      <c r="Y29" s="4530" t="s">
        <v>17</v>
      </c>
      <c r="Z29" s="4531" t="s">
        <v>18</v>
      </c>
      <c r="AA29" s="4530" t="s">
        <v>17</v>
      </c>
      <c r="AB29" s="4531" t="s">
        <v>18</v>
      </c>
      <c r="AC29" s="4530" t="s">
        <v>17</v>
      </c>
      <c r="AD29" s="4531" t="s">
        <v>18</v>
      </c>
      <c r="AE29" s="4530" t="s">
        <v>17</v>
      </c>
      <c r="AF29" s="4531" t="s">
        <v>18</v>
      </c>
      <c r="AG29" s="4530" t="s">
        <v>17</v>
      </c>
      <c r="AH29" s="4531" t="s">
        <v>18</v>
      </c>
      <c r="AI29" s="4530" t="s">
        <v>17</v>
      </c>
      <c r="AJ29" s="4531" t="s">
        <v>18</v>
      </c>
      <c r="AK29" s="4530" t="s">
        <v>17</v>
      </c>
      <c r="AL29" s="5579" t="s">
        <v>18</v>
      </c>
      <c r="AM29" s="9156"/>
      <c r="AN29" s="9156"/>
      <c r="AO29" s="9156"/>
    </row>
    <row r="30" spans="1:109" ht="16.2" customHeight="1" x14ac:dyDescent="0.25">
      <c r="A30" s="7258">
        <v>23030805</v>
      </c>
      <c r="B30" s="10341" t="s">
        <v>1932</v>
      </c>
      <c r="C30" s="4336" t="s">
        <v>1933</v>
      </c>
      <c r="D30" s="5580" t="s">
        <v>5369</v>
      </c>
      <c r="E30" s="5581" t="s">
        <v>5370</v>
      </c>
      <c r="F30" s="5079" t="s">
        <v>5371</v>
      </c>
      <c r="G30" s="5060" t="s">
        <v>5372</v>
      </c>
      <c r="H30" s="5062" t="s">
        <v>5373</v>
      </c>
      <c r="I30" s="5060" t="s">
        <v>5374</v>
      </c>
      <c r="J30" s="5061" t="s">
        <v>5375</v>
      </c>
      <c r="K30" s="5582" t="s">
        <v>5376</v>
      </c>
      <c r="L30" s="5583" t="s">
        <v>5377</v>
      </c>
      <c r="M30" s="5582" t="s">
        <v>5378</v>
      </c>
      <c r="N30" s="5583" t="s">
        <v>5379</v>
      </c>
      <c r="O30" s="5582" t="s">
        <v>5380</v>
      </c>
      <c r="P30" s="5583" t="s">
        <v>5381</v>
      </c>
      <c r="Q30" s="5582" t="s">
        <v>5382</v>
      </c>
      <c r="R30" s="5583" t="s">
        <v>5383</v>
      </c>
      <c r="S30" s="5582" t="s">
        <v>5384</v>
      </c>
      <c r="T30" s="5583" t="s">
        <v>5385</v>
      </c>
      <c r="U30" s="5582" t="s">
        <v>5386</v>
      </c>
      <c r="V30" s="5583" t="s">
        <v>5387</v>
      </c>
      <c r="W30" s="5582" t="s">
        <v>5388</v>
      </c>
      <c r="X30" s="5583" t="s">
        <v>5389</v>
      </c>
      <c r="Y30" s="5582" t="s">
        <v>5390</v>
      </c>
      <c r="Z30" s="5583" t="s">
        <v>5391</v>
      </c>
      <c r="AA30" s="5582" t="s">
        <v>5392</v>
      </c>
      <c r="AB30" s="5583" t="s">
        <v>5393</v>
      </c>
      <c r="AC30" s="5582" t="s">
        <v>5394</v>
      </c>
      <c r="AD30" s="5583" t="s">
        <v>5395</v>
      </c>
      <c r="AE30" s="5582" t="s">
        <v>5396</v>
      </c>
      <c r="AF30" s="5583" t="s">
        <v>5397</v>
      </c>
      <c r="AG30" s="5582" t="s">
        <v>5398</v>
      </c>
      <c r="AH30" s="5583" t="s">
        <v>5399</v>
      </c>
      <c r="AI30" s="5584" t="s">
        <v>5400</v>
      </c>
      <c r="AJ30" s="5583" t="s">
        <v>5401</v>
      </c>
      <c r="AK30" s="5585" t="s">
        <v>5402</v>
      </c>
      <c r="AL30" s="5586" t="s">
        <v>5403</v>
      </c>
      <c r="AM30" s="5541" t="s">
        <v>5404</v>
      </c>
      <c r="AN30" s="5541" t="s">
        <v>5405</v>
      </c>
      <c r="AO30" s="5541" t="s">
        <v>5406</v>
      </c>
      <c r="AP30" s="4259"/>
      <c r="DB30" s="4294">
        <v>0</v>
      </c>
      <c r="DC30" s="4294">
        <v>0</v>
      </c>
      <c r="DD30" s="4294">
        <v>0</v>
      </c>
      <c r="DE30" s="4294">
        <v>0</v>
      </c>
    </row>
    <row r="31" spans="1:109" ht="16.2" customHeight="1" x14ac:dyDescent="0.25">
      <c r="A31" s="7258">
        <v>23030815</v>
      </c>
      <c r="B31" s="10342"/>
      <c r="C31" s="4431" t="s">
        <v>1934</v>
      </c>
      <c r="D31" s="5580" t="s">
        <v>5369</v>
      </c>
      <c r="E31" s="5581" t="s">
        <v>5370</v>
      </c>
      <c r="F31" s="5079" t="s">
        <v>5371</v>
      </c>
      <c r="G31" s="5060" t="s">
        <v>5372</v>
      </c>
      <c r="H31" s="5062" t="s">
        <v>5373</v>
      </c>
      <c r="I31" s="5060" t="s">
        <v>5374</v>
      </c>
      <c r="J31" s="5061" t="s">
        <v>5375</v>
      </c>
      <c r="K31" s="5582" t="s">
        <v>5376</v>
      </c>
      <c r="L31" s="5583" t="s">
        <v>5377</v>
      </c>
      <c r="M31" s="5582" t="s">
        <v>5378</v>
      </c>
      <c r="N31" s="5583" t="s">
        <v>5379</v>
      </c>
      <c r="O31" s="5582" t="s">
        <v>5380</v>
      </c>
      <c r="P31" s="5583" t="s">
        <v>5381</v>
      </c>
      <c r="Q31" s="5582" t="s">
        <v>5382</v>
      </c>
      <c r="R31" s="5583" t="s">
        <v>5383</v>
      </c>
      <c r="S31" s="5582" t="s">
        <v>5384</v>
      </c>
      <c r="T31" s="5583" t="s">
        <v>5385</v>
      </c>
      <c r="U31" s="5582" t="s">
        <v>5386</v>
      </c>
      <c r="V31" s="5583" t="s">
        <v>5387</v>
      </c>
      <c r="W31" s="5582" t="s">
        <v>5388</v>
      </c>
      <c r="X31" s="5583" t="s">
        <v>5389</v>
      </c>
      <c r="Y31" s="5582" t="s">
        <v>5390</v>
      </c>
      <c r="Z31" s="5583" t="s">
        <v>5391</v>
      </c>
      <c r="AA31" s="5582" t="s">
        <v>5392</v>
      </c>
      <c r="AB31" s="5583" t="s">
        <v>5393</v>
      </c>
      <c r="AC31" s="5582" t="s">
        <v>5394</v>
      </c>
      <c r="AD31" s="5583" t="s">
        <v>5395</v>
      </c>
      <c r="AE31" s="5582" t="s">
        <v>5396</v>
      </c>
      <c r="AF31" s="5583" t="s">
        <v>5397</v>
      </c>
      <c r="AG31" s="5582" t="s">
        <v>5398</v>
      </c>
      <c r="AH31" s="5583" t="s">
        <v>5399</v>
      </c>
      <c r="AI31" s="5554" t="s">
        <v>5400</v>
      </c>
      <c r="AJ31" s="5583" t="s">
        <v>5401</v>
      </c>
      <c r="AK31" s="5585" t="s">
        <v>5402</v>
      </c>
      <c r="AL31" s="5587" t="s">
        <v>5403</v>
      </c>
      <c r="AM31" s="5067" t="s">
        <v>5404</v>
      </c>
      <c r="AN31" s="5067" t="s">
        <v>5405</v>
      </c>
      <c r="AO31" s="5067" t="s">
        <v>5406</v>
      </c>
      <c r="AP31" s="4259"/>
      <c r="DC31" s="4294">
        <v>0</v>
      </c>
      <c r="DE31" s="4294">
        <v>0</v>
      </c>
    </row>
    <row r="32" spans="1:109" ht="16.2" customHeight="1" x14ac:dyDescent="0.25">
      <c r="A32" s="7258">
        <v>23030825</v>
      </c>
      <c r="B32" s="10342"/>
      <c r="C32" s="5040" t="s">
        <v>1935</v>
      </c>
      <c r="D32" s="5588" t="s">
        <v>5369</v>
      </c>
      <c r="E32" s="5589" t="s">
        <v>5370</v>
      </c>
      <c r="F32" s="5080" t="s">
        <v>5371</v>
      </c>
      <c r="G32" s="5590" t="s">
        <v>5372</v>
      </c>
      <c r="H32" s="5591" t="s">
        <v>5373</v>
      </c>
      <c r="I32" s="5590" t="s">
        <v>5374</v>
      </c>
      <c r="J32" s="5592" t="s">
        <v>5375</v>
      </c>
      <c r="K32" s="5593" t="s">
        <v>5376</v>
      </c>
      <c r="L32" s="5594" t="s">
        <v>5377</v>
      </c>
      <c r="M32" s="5593" t="s">
        <v>5378</v>
      </c>
      <c r="N32" s="5594" t="s">
        <v>5379</v>
      </c>
      <c r="O32" s="5593" t="s">
        <v>5380</v>
      </c>
      <c r="P32" s="5594" t="s">
        <v>5381</v>
      </c>
      <c r="Q32" s="5593" t="s">
        <v>5382</v>
      </c>
      <c r="R32" s="5594" t="s">
        <v>5383</v>
      </c>
      <c r="S32" s="5593" t="s">
        <v>5384</v>
      </c>
      <c r="T32" s="5594" t="s">
        <v>5385</v>
      </c>
      <c r="U32" s="5593" t="s">
        <v>5386</v>
      </c>
      <c r="V32" s="5594" t="s">
        <v>5387</v>
      </c>
      <c r="W32" s="5593" t="s">
        <v>5388</v>
      </c>
      <c r="X32" s="5594" t="s">
        <v>5389</v>
      </c>
      <c r="Y32" s="5593" t="s">
        <v>5390</v>
      </c>
      <c r="Z32" s="5594" t="s">
        <v>5391</v>
      </c>
      <c r="AA32" s="5593" t="s">
        <v>5392</v>
      </c>
      <c r="AB32" s="5594" t="s">
        <v>5393</v>
      </c>
      <c r="AC32" s="5593" t="s">
        <v>5394</v>
      </c>
      <c r="AD32" s="5594" t="s">
        <v>5395</v>
      </c>
      <c r="AE32" s="5593" t="s">
        <v>5396</v>
      </c>
      <c r="AF32" s="5594" t="s">
        <v>5397</v>
      </c>
      <c r="AG32" s="5593" t="s">
        <v>5398</v>
      </c>
      <c r="AH32" s="5594" t="s">
        <v>5399</v>
      </c>
      <c r="AI32" s="5593" t="s">
        <v>5400</v>
      </c>
      <c r="AJ32" s="5594" t="s">
        <v>5401</v>
      </c>
      <c r="AK32" s="5595" t="s">
        <v>5402</v>
      </c>
      <c r="AL32" s="5596" t="s">
        <v>5403</v>
      </c>
      <c r="AM32" s="5083" t="s">
        <v>5404</v>
      </c>
      <c r="AN32" s="5083" t="s">
        <v>5405</v>
      </c>
      <c r="AO32" s="5083" t="s">
        <v>5406</v>
      </c>
      <c r="AP32" s="4259"/>
      <c r="DC32" s="4294">
        <v>0</v>
      </c>
      <c r="DE32" s="4294">
        <v>0</v>
      </c>
    </row>
    <row r="33" spans="1:109" ht="16.2" customHeight="1" x14ac:dyDescent="0.25">
      <c r="A33" s="7258">
        <v>23030605</v>
      </c>
      <c r="B33" s="10343" t="s">
        <v>1936</v>
      </c>
      <c r="C33" s="4336" t="s">
        <v>1933</v>
      </c>
      <c r="D33" s="5597" t="s">
        <v>5369</v>
      </c>
      <c r="E33" s="5598" t="s">
        <v>5370</v>
      </c>
      <c r="F33" s="5539" t="s">
        <v>5371</v>
      </c>
      <c r="G33" s="5599" t="s">
        <v>5372</v>
      </c>
      <c r="H33" s="5600" t="s">
        <v>5373</v>
      </c>
      <c r="I33" s="5540" t="s">
        <v>5374</v>
      </c>
      <c r="J33" s="5542" t="s">
        <v>5375</v>
      </c>
      <c r="K33" s="5540" t="s">
        <v>5376</v>
      </c>
      <c r="L33" s="5541" t="s">
        <v>5377</v>
      </c>
      <c r="M33" s="5540" t="s">
        <v>5378</v>
      </c>
      <c r="N33" s="5541" t="s">
        <v>5379</v>
      </c>
      <c r="O33" s="5540" t="s">
        <v>5380</v>
      </c>
      <c r="P33" s="5542" t="s">
        <v>5381</v>
      </c>
      <c r="Q33" s="5540" t="s">
        <v>5382</v>
      </c>
      <c r="R33" s="5541" t="s">
        <v>5383</v>
      </c>
      <c r="S33" s="5540" t="s">
        <v>5384</v>
      </c>
      <c r="T33" s="5541" t="s">
        <v>5385</v>
      </c>
      <c r="U33" s="5540" t="s">
        <v>5386</v>
      </c>
      <c r="V33" s="5541" t="s">
        <v>5387</v>
      </c>
      <c r="W33" s="5540" t="s">
        <v>5388</v>
      </c>
      <c r="X33" s="5542" t="s">
        <v>5389</v>
      </c>
      <c r="Y33" s="5540" t="s">
        <v>5390</v>
      </c>
      <c r="Z33" s="5541" t="s">
        <v>5391</v>
      </c>
      <c r="AA33" s="5540" t="s">
        <v>5392</v>
      </c>
      <c r="AB33" s="5541" t="s">
        <v>5393</v>
      </c>
      <c r="AC33" s="5540" t="s">
        <v>5394</v>
      </c>
      <c r="AD33" s="5542" t="s">
        <v>5395</v>
      </c>
      <c r="AE33" s="5540" t="s">
        <v>5396</v>
      </c>
      <c r="AF33" s="5541" t="s">
        <v>5397</v>
      </c>
      <c r="AG33" s="5540" t="s">
        <v>5398</v>
      </c>
      <c r="AH33" s="5541" t="s">
        <v>5399</v>
      </c>
      <c r="AI33" s="5540" t="s">
        <v>5400</v>
      </c>
      <c r="AJ33" s="5542" t="s">
        <v>5401</v>
      </c>
      <c r="AK33" s="5601" t="s">
        <v>5402</v>
      </c>
      <c r="AL33" s="5546" t="s">
        <v>5403</v>
      </c>
      <c r="AM33" s="5541" t="s">
        <v>5404</v>
      </c>
      <c r="AN33" s="5541" t="s">
        <v>5405</v>
      </c>
      <c r="AO33" s="5541" t="s">
        <v>5406</v>
      </c>
      <c r="AP33" s="4259"/>
      <c r="DC33" s="4294">
        <v>0</v>
      </c>
      <c r="DE33" s="4294">
        <v>0</v>
      </c>
    </row>
    <row r="34" spans="1:109" ht="16.2" customHeight="1" x14ac:dyDescent="0.25">
      <c r="A34" s="7258">
        <v>23030615</v>
      </c>
      <c r="B34" s="10344"/>
      <c r="C34" s="4431" t="s">
        <v>1934</v>
      </c>
      <c r="D34" s="5580" t="s">
        <v>5369</v>
      </c>
      <c r="E34" s="5581" t="s">
        <v>5370</v>
      </c>
      <c r="F34" s="5079" t="s">
        <v>5371</v>
      </c>
      <c r="G34" s="5602" t="s">
        <v>5372</v>
      </c>
      <c r="H34" s="5603" t="s">
        <v>5373</v>
      </c>
      <c r="I34" s="5065" t="s">
        <v>5374</v>
      </c>
      <c r="J34" s="5061" t="s">
        <v>5375</v>
      </c>
      <c r="K34" s="5060" t="s">
        <v>5376</v>
      </c>
      <c r="L34" s="5062" t="s">
        <v>5377</v>
      </c>
      <c r="M34" s="5060" t="s">
        <v>5378</v>
      </c>
      <c r="N34" s="5062" t="s">
        <v>5379</v>
      </c>
      <c r="O34" s="5060" t="s">
        <v>5380</v>
      </c>
      <c r="P34" s="5061" t="s">
        <v>5381</v>
      </c>
      <c r="Q34" s="5060" t="s">
        <v>5382</v>
      </c>
      <c r="R34" s="5062" t="s">
        <v>5383</v>
      </c>
      <c r="S34" s="5060" t="s">
        <v>5384</v>
      </c>
      <c r="T34" s="5062" t="s">
        <v>5385</v>
      </c>
      <c r="U34" s="5060" t="s">
        <v>5386</v>
      </c>
      <c r="V34" s="5062" t="s">
        <v>5387</v>
      </c>
      <c r="W34" s="5060" t="s">
        <v>5388</v>
      </c>
      <c r="X34" s="5061" t="s">
        <v>5389</v>
      </c>
      <c r="Y34" s="5060" t="s">
        <v>5390</v>
      </c>
      <c r="Z34" s="5062" t="s">
        <v>5391</v>
      </c>
      <c r="AA34" s="5060" t="s">
        <v>5392</v>
      </c>
      <c r="AB34" s="5062" t="s">
        <v>5393</v>
      </c>
      <c r="AC34" s="5060" t="s">
        <v>5394</v>
      </c>
      <c r="AD34" s="5061" t="s">
        <v>5395</v>
      </c>
      <c r="AE34" s="5060" t="s">
        <v>5396</v>
      </c>
      <c r="AF34" s="5062" t="s">
        <v>5397</v>
      </c>
      <c r="AG34" s="5060" t="s">
        <v>5398</v>
      </c>
      <c r="AH34" s="5062" t="s">
        <v>5399</v>
      </c>
      <c r="AI34" s="5060" t="s">
        <v>5400</v>
      </c>
      <c r="AJ34" s="5061" t="s">
        <v>5401</v>
      </c>
      <c r="AK34" s="5604" t="s">
        <v>5402</v>
      </c>
      <c r="AL34" s="4321" t="s">
        <v>5403</v>
      </c>
      <c r="AM34" s="5067" t="s">
        <v>5404</v>
      </c>
      <c r="AN34" s="5067" t="s">
        <v>5405</v>
      </c>
      <c r="AO34" s="5067" t="s">
        <v>5406</v>
      </c>
      <c r="AP34" s="4259"/>
    </row>
    <row r="35" spans="1:109" ht="16.2" customHeight="1" x14ac:dyDescent="0.25">
      <c r="A35" s="7258">
        <v>23030625</v>
      </c>
      <c r="B35" s="10345"/>
      <c r="C35" s="5051" t="s">
        <v>1935</v>
      </c>
      <c r="D35" s="5588" t="s">
        <v>5369</v>
      </c>
      <c r="E35" s="5589" t="s">
        <v>5370</v>
      </c>
      <c r="F35" s="5079" t="s">
        <v>5371</v>
      </c>
      <c r="G35" s="5602" t="s">
        <v>5372</v>
      </c>
      <c r="H35" s="5605" t="s">
        <v>5373</v>
      </c>
      <c r="I35" s="5088" t="s">
        <v>5374</v>
      </c>
      <c r="J35" s="5089" t="s">
        <v>5375</v>
      </c>
      <c r="K35" s="5088" t="s">
        <v>5376</v>
      </c>
      <c r="L35" s="5089" t="s">
        <v>5377</v>
      </c>
      <c r="M35" s="5088" t="s">
        <v>5378</v>
      </c>
      <c r="N35" s="5089" t="s">
        <v>5379</v>
      </c>
      <c r="O35" s="5088" t="s">
        <v>5380</v>
      </c>
      <c r="P35" s="5089" t="s">
        <v>5381</v>
      </c>
      <c r="Q35" s="5088" t="s">
        <v>5382</v>
      </c>
      <c r="R35" s="5089" t="s">
        <v>5383</v>
      </c>
      <c r="S35" s="5088" t="s">
        <v>5384</v>
      </c>
      <c r="T35" s="5089" t="s">
        <v>5385</v>
      </c>
      <c r="U35" s="5088" t="s">
        <v>5386</v>
      </c>
      <c r="V35" s="5089" t="s">
        <v>5387</v>
      </c>
      <c r="W35" s="5088" t="s">
        <v>5388</v>
      </c>
      <c r="X35" s="5089" t="s">
        <v>5389</v>
      </c>
      <c r="Y35" s="5088" t="s">
        <v>5390</v>
      </c>
      <c r="Z35" s="5089" t="s">
        <v>5391</v>
      </c>
      <c r="AA35" s="5088" t="s">
        <v>5392</v>
      </c>
      <c r="AB35" s="5089" t="s">
        <v>5393</v>
      </c>
      <c r="AC35" s="5088" t="s">
        <v>5394</v>
      </c>
      <c r="AD35" s="5089" t="s">
        <v>5395</v>
      </c>
      <c r="AE35" s="5088" t="s">
        <v>5396</v>
      </c>
      <c r="AF35" s="5089" t="s">
        <v>5397</v>
      </c>
      <c r="AG35" s="5088" t="s">
        <v>5398</v>
      </c>
      <c r="AH35" s="5089" t="s">
        <v>5399</v>
      </c>
      <c r="AI35" s="5088" t="s">
        <v>5400</v>
      </c>
      <c r="AJ35" s="5089" t="s">
        <v>5401</v>
      </c>
      <c r="AK35" s="5606" t="s">
        <v>5402</v>
      </c>
      <c r="AL35" s="5563" t="s">
        <v>5403</v>
      </c>
      <c r="AM35" s="5090" t="s">
        <v>5404</v>
      </c>
      <c r="AN35" s="5090" t="s">
        <v>5405</v>
      </c>
      <c r="AO35" s="5090" t="s">
        <v>5406</v>
      </c>
      <c r="AP35" s="4259"/>
    </row>
    <row r="36" spans="1:109" ht="16.2" customHeight="1" x14ac:dyDescent="0.25">
      <c r="A36" s="7258">
        <v>23060105</v>
      </c>
      <c r="B36" s="10334" t="s">
        <v>1937</v>
      </c>
      <c r="C36" s="4336" t="s">
        <v>1938</v>
      </c>
      <c r="D36" s="5597" t="s">
        <v>5369</v>
      </c>
      <c r="E36" s="5598" t="s">
        <v>5370</v>
      </c>
      <c r="F36" s="5539" t="s">
        <v>5371</v>
      </c>
      <c r="G36" s="5607" t="s">
        <v>5372</v>
      </c>
      <c r="H36" s="5608" t="s">
        <v>5373</v>
      </c>
      <c r="I36" s="5607" t="s">
        <v>5374</v>
      </c>
      <c r="J36" s="5608" t="s">
        <v>5375</v>
      </c>
      <c r="K36" s="5607" t="s">
        <v>5376</v>
      </c>
      <c r="L36" s="5608" t="s">
        <v>5377</v>
      </c>
      <c r="M36" s="5607" t="s">
        <v>5378</v>
      </c>
      <c r="N36" s="5608" t="s">
        <v>5379</v>
      </c>
      <c r="O36" s="5607" t="s">
        <v>5380</v>
      </c>
      <c r="P36" s="5608" t="s">
        <v>5381</v>
      </c>
      <c r="Q36" s="5607" t="s">
        <v>5382</v>
      </c>
      <c r="R36" s="5608" t="s">
        <v>5383</v>
      </c>
      <c r="S36" s="5607" t="s">
        <v>5384</v>
      </c>
      <c r="T36" s="5608" t="s">
        <v>5385</v>
      </c>
      <c r="U36" s="5540" t="s">
        <v>5386</v>
      </c>
      <c r="V36" s="5542" t="s">
        <v>5387</v>
      </c>
      <c r="W36" s="5540" t="s">
        <v>5388</v>
      </c>
      <c r="X36" s="5542" t="s">
        <v>5389</v>
      </c>
      <c r="Y36" s="5540" t="s">
        <v>5390</v>
      </c>
      <c r="Z36" s="5542" t="s">
        <v>5391</v>
      </c>
      <c r="AA36" s="5540" t="s">
        <v>5392</v>
      </c>
      <c r="AB36" s="5542" t="s">
        <v>5393</v>
      </c>
      <c r="AC36" s="5540" t="s">
        <v>5394</v>
      </c>
      <c r="AD36" s="5542" t="s">
        <v>5395</v>
      </c>
      <c r="AE36" s="5540" t="s">
        <v>5396</v>
      </c>
      <c r="AF36" s="5542" t="s">
        <v>5397</v>
      </c>
      <c r="AG36" s="5540" t="s">
        <v>5398</v>
      </c>
      <c r="AH36" s="5542" t="s">
        <v>5399</v>
      </c>
      <c r="AI36" s="5540" t="s">
        <v>5400</v>
      </c>
      <c r="AJ36" s="5542" t="s">
        <v>5401</v>
      </c>
      <c r="AK36" s="5601" t="s">
        <v>5402</v>
      </c>
      <c r="AL36" s="5546" t="s">
        <v>5403</v>
      </c>
      <c r="AM36" s="5541" t="s">
        <v>5404</v>
      </c>
      <c r="AN36" s="5541" t="s">
        <v>5405</v>
      </c>
      <c r="AO36" s="5541" t="s">
        <v>5406</v>
      </c>
      <c r="AP36" s="4259"/>
      <c r="DC36" s="4294">
        <v>0</v>
      </c>
      <c r="DE36" s="4294">
        <v>0</v>
      </c>
    </row>
    <row r="37" spans="1:109" ht="16.2" customHeight="1" x14ac:dyDescent="0.25">
      <c r="A37" s="7258">
        <v>23060115</v>
      </c>
      <c r="B37" s="10335"/>
      <c r="C37" s="5051" t="s">
        <v>1939</v>
      </c>
      <c r="D37" s="5609" t="s">
        <v>5369</v>
      </c>
      <c r="E37" s="5610" t="s">
        <v>5370</v>
      </c>
      <c r="F37" s="5087" t="s">
        <v>5371</v>
      </c>
      <c r="G37" s="5611" t="s">
        <v>5372</v>
      </c>
      <c r="H37" s="5612" t="s">
        <v>5373</v>
      </c>
      <c r="I37" s="5611" t="s">
        <v>5374</v>
      </c>
      <c r="J37" s="5612" t="s">
        <v>5375</v>
      </c>
      <c r="K37" s="5611" t="s">
        <v>5376</v>
      </c>
      <c r="L37" s="5612" t="s">
        <v>5377</v>
      </c>
      <c r="M37" s="5611" t="s">
        <v>5378</v>
      </c>
      <c r="N37" s="5612" t="s">
        <v>5379</v>
      </c>
      <c r="O37" s="5611" t="s">
        <v>5380</v>
      </c>
      <c r="P37" s="5612" t="s">
        <v>5381</v>
      </c>
      <c r="Q37" s="5611" t="s">
        <v>5382</v>
      </c>
      <c r="R37" s="5612" t="s">
        <v>5383</v>
      </c>
      <c r="S37" s="5611" t="s">
        <v>5384</v>
      </c>
      <c r="T37" s="5612" t="s">
        <v>5385</v>
      </c>
      <c r="U37" s="5088" t="s">
        <v>5386</v>
      </c>
      <c r="V37" s="5089" t="s">
        <v>5387</v>
      </c>
      <c r="W37" s="5088" t="s">
        <v>5388</v>
      </c>
      <c r="X37" s="5089" t="s">
        <v>5389</v>
      </c>
      <c r="Y37" s="5088" t="s">
        <v>5390</v>
      </c>
      <c r="Z37" s="5089" t="s">
        <v>5391</v>
      </c>
      <c r="AA37" s="5088" t="s">
        <v>5392</v>
      </c>
      <c r="AB37" s="5089" t="s">
        <v>5393</v>
      </c>
      <c r="AC37" s="5088" t="s">
        <v>5394</v>
      </c>
      <c r="AD37" s="5089" t="s">
        <v>5395</v>
      </c>
      <c r="AE37" s="5088" t="s">
        <v>5396</v>
      </c>
      <c r="AF37" s="5089" t="s">
        <v>5397</v>
      </c>
      <c r="AG37" s="5088" t="s">
        <v>5398</v>
      </c>
      <c r="AH37" s="5089" t="s">
        <v>5399</v>
      </c>
      <c r="AI37" s="5088" t="s">
        <v>5400</v>
      </c>
      <c r="AJ37" s="5089" t="s">
        <v>5401</v>
      </c>
      <c r="AK37" s="5606" t="s">
        <v>5402</v>
      </c>
      <c r="AL37" s="5563" t="s">
        <v>5403</v>
      </c>
      <c r="AM37" s="5090" t="s">
        <v>5404</v>
      </c>
      <c r="AN37" s="5090" t="s">
        <v>5405</v>
      </c>
      <c r="AO37" s="5090" t="s">
        <v>5406</v>
      </c>
      <c r="AP37" s="4259"/>
    </row>
    <row r="38" spans="1:109" ht="16.2" customHeight="1" x14ac:dyDescent="0.25">
      <c r="A38" s="7258">
        <v>23030900</v>
      </c>
      <c r="B38" s="10336" t="s">
        <v>1940</v>
      </c>
      <c r="C38" s="10337"/>
      <c r="D38" s="5613" t="s">
        <v>5369</v>
      </c>
      <c r="E38" s="5614" t="s">
        <v>5370</v>
      </c>
      <c r="F38" s="5079" t="s">
        <v>5371</v>
      </c>
      <c r="G38" s="5060" t="s">
        <v>5372</v>
      </c>
      <c r="H38" s="5062" t="s">
        <v>5373</v>
      </c>
      <c r="I38" s="5060" t="s">
        <v>5374</v>
      </c>
      <c r="J38" s="5061" t="s">
        <v>5375</v>
      </c>
      <c r="K38" s="5060" t="s">
        <v>5376</v>
      </c>
      <c r="L38" s="5061" t="s">
        <v>5377</v>
      </c>
      <c r="M38" s="5060" t="s">
        <v>5378</v>
      </c>
      <c r="N38" s="5061" t="s">
        <v>5379</v>
      </c>
      <c r="O38" s="5060" t="s">
        <v>5380</v>
      </c>
      <c r="P38" s="5061" t="s">
        <v>5381</v>
      </c>
      <c r="Q38" s="5060" t="s">
        <v>5382</v>
      </c>
      <c r="R38" s="5061" t="s">
        <v>5383</v>
      </c>
      <c r="S38" s="5060" t="s">
        <v>5384</v>
      </c>
      <c r="T38" s="5061" t="s">
        <v>5385</v>
      </c>
      <c r="U38" s="5060" t="s">
        <v>5386</v>
      </c>
      <c r="V38" s="5061" t="s">
        <v>5387</v>
      </c>
      <c r="W38" s="5060" t="s">
        <v>5388</v>
      </c>
      <c r="X38" s="5061" t="s">
        <v>5389</v>
      </c>
      <c r="Y38" s="5060" t="s">
        <v>5390</v>
      </c>
      <c r="Z38" s="5061" t="s">
        <v>5391</v>
      </c>
      <c r="AA38" s="5060" t="s">
        <v>5392</v>
      </c>
      <c r="AB38" s="5061" t="s">
        <v>5393</v>
      </c>
      <c r="AC38" s="5060" t="s">
        <v>5394</v>
      </c>
      <c r="AD38" s="5061" t="s">
        <v>5395</v>
      </c>
      <c r="AE38" s="5060" t="s">
        <v>5396</v>
      </c>
      <c r="AF38" s="5061" t="s">
        <v>5397</v>
      </c>
      <c r="AG38" s="5060" t="s">
        <v>5398</v>
      </c>
      <c r="AH38" s="5061" t="s">
        <v>5399</v>
      </c>
      <c r="AI38" s="5060" t="s">
        <v>5400</v>
      </c>
      <c r="AJ38" s="5061" t="s">
        <v>5401</v>
      </c>
      <c r="AK38" s="5604" t="s">
        <v>5402</v>
      </c>
      <c r="AL38" s="4321" t="s">
        <v>5403</v>
      </c>
      <c r="AM38" s="5062" t="s">
        <v>5404</v>
      </c>
      <c r="AN38" s="5062" t="s">
        <v>5405</v>
      </c>
      <c r="AO38" s="5062" t="s">
        <v>5406</v>
      </c>
      <c r="AP38" s="4259"/>
      <c r="DC38" s="4294">
        <v>0</v>
      </c>
      <c r="DE38" s="4294">
        <v>0</v>
      </c>
    </row>
    <row r="39" spans="1:109" ht="16.2" customHeight="1" x14ac:dyDescent="0.25">
      <c r="A39" s="7258">
        <v>23031000</v>
      </c>
      <c r="B39" s="10338" t="s">
        <v>1941</v>
      </c>
      <c r="C39" s="10271"/>
      <c r="D39" s="5615" t="s">
        <v>5369</v>
      </c>
      <c r="E39" s="5616" t="s">
        <v>5370</v>
      </c>
      <c r="F39" s="5549" t="s">
        <v>5371</v>
      </c>
      <c r="G39" s="5065" t="s">
        <v>5372</v>
      </c>
      <c r="H39" s="5067" t="s">
        <v>5373</v>
      </c>
      <c r="I39" s="5065" t="s">
        <v>5374</v>
      </c>
      <c r="J39" s="5066" t="s">
        <v>5375</v>
      </c>
      <c r="K39" s="5065" t="s">
        <v>5376</v>
      </c>
      <c r="L39" s="5066" t="s">
        <v>5377</v>
      </c>
      <c r="M39" s="5065" t="s">
        <v>5378</v>
      </c>
      <c r="N39" s="5066" t="s">
        <v>5379</v>
      </c>
      <c r="O39" s="5065" t="s">
        <v>5380</v>
      </c>
      <c r="P39" s="5066" t="s">
        <v>5381</v>
      </c>
      <c r="Q39" s="5065" t="s">
        <v>5382</v>
      </c>
      <c r="R39" s="5066" t="s">
        <v>5383</v>
      </c>
      <c r="S39" s="5065" t="s">
        <v>5384</v>
      </c>
      <c r="T39" s="5066" t="s">
        <v>5385</v>
      </c>
      <c r="U39" s="5065" t="s">
        <v>5386</v>
      </c>
      <c r="V39" s="5066" t="s">
        <v>5387</v>
      </c>
      <c r="W39" s="5065" t="s">
        <v>5388</v>
      </c>
      <c r="X39" s="5066" t="s">
        <v>5389</v>
      </c>
      <c r="Y39" s="5065" t="s">
        <v>5390</v>
      </c>
      <c r="Z39" s="5066" t="s">
        <v>5391</v>
      </c>
      <c r="AA39" s="5065" t="s">
        <v>5392</v>
      </c>
      <c r="AB39" s="5066" t="s">
        <v>5393</v>
      </c>
      <c r="AC39" s="5065" t="s">
        <v>5394</v>
      </c>
      <c r="AD39" s="5066" t="s">
        <v>5395</v>
      </c>
      <c r="AE39" s="5065" t="s">
        <v>5396</v>
      </c>
      <c r="AF39" s="5066" t="s">
        <v>5397</v>
      </c>
      <c r="AG39" s="5065" t="s">
        <v>5398</v>
      </c>
      <c r="AH39" s="5066" t="s">
        <v>5399</v>
      </c>
      <c r="AI39" s="5065" t="s">
        <v>5400</v>
      </c>
      <c r="AJ39" s="5066" t="s">
        <v>5401</v>
      </c>
      <c r="AK39" s="5617" t="s">
        <v>5402</v>
      </c>
      <c r="AL39" s="5550" t="s">
        <v>5403</v>
      </c>
      <c r="AM39" s="5067" t="s">
        <v>5404</v>
      </c>
      <c r="AN39" s="5067" t="s">
        <v>5405</v>
      </c>
      <c r="AO39" s="5067" t="s">
        <v>5406</v>
      </c>
      <c r="AP39" s="4259"/>
      <c r="DC39" s="4294">
        <v>0</v>
      </c>
      <c r="DE39" s="4294">
        <v>0</v>
      </c>
    </row>
    <row r="40" spans="1:109" ht="16.2" customHeight="1" x14ac:dyDescent="0.25">
      <c r="A40" s="7263">
        <v>23090780</v>
      </c>
      <c r="B40" s="10339" t="s">
        <v>1942</v>
      </c>
      <c r="C40" s="10340"/>
      <c r="D40" s="5618" t="s">
        <v>5369</v>
      </c>
      <c r="E40" s="5619" t="s">
        <v>5370</v>
      </c>
      <c r="F40" s="5549" t="s">
        <v>5371</v>
      </c>
      <c r="G40" s="5065" t="s">
        <v>5372</v>
      </c>
      <c r="H40" s="5067" t="s">
        <v>5373</v>
      </c>
      <c r="I40" s="5065" t="s">
        <v>5374</v>
      </c>
      <c r="J40" s="5066" t="s">
        <v>5375</v>
      </c>
      <c r="K40" s="5065" t="s">
        <v>5376</v>
      </c>
      <c r="L40" s="5066" t="s">
        <v>5377</v>
      </c>
      <c r="M40" s="5065" t="s">
        <v>5378</v>
      </c>
      <c r="N40" s="5066" t="s">
        <v>5379</v>
      </c>
      <c r="O40" s="5065" t="s">
        <v>5380</v>
      </c>
      <c r="P40" s="5066" t="s">
        <v>5381</v>
      </c>
      <c r="Q40" s="5065" t="s">
        <v>5382</v>
      </c>
      <c r="R40" s="5066" t="s">
        <v>5383</v>
      </c>
      <c r="S40" s="5065" t="s">
        <v>5384</v>
      </c>
      <c r="T40" s="5066" t="s">
        <v>5385</v>
      </c>
      <c r="U40" s="5065" t="s">
        <v>5386</v>
      </c>
      <c r="V40" s="5066" t="s">
        <v>5387</v>
      </c>
      <c r="W40" s="5065" t="s">
        <v>5388</v>
      </c>
      <c r="X40" s="5066" t="s">
        <v>5389</v>
      </c>
      <c r="Y40" s="5065" t="s">
        <v>5390</v>
      </c>
      <c r="Z40" s="5066" t="s">
        <v>5391</v>
      </c>
      <c r="AA40" s="5065" t="s">
        <v>5392</v>
      </c>
      <c r="AB40" s="5066" t="s">
        <v>5393</v>
      </c>
      <c r="AC40" s="5065" t="s">
        <v>5394</v>
      </c>
      <c r="AD40" s="5066" t="s">
        <v>5395</v>
      </c>
      <c r="AE40" s="5065" t="s">
        <v>5396</v>
      </c>
      <c r="AF40" s="5066" t="s">
        <v>5397</v>
      </c>
      <c r="AG40" s="5065" t="s">
        <v>5398</v>
      </c>
      <c r="AH40" s="5066" t="s">
        <v>5399</v>
      </c>
      <c r="AI40" s="5065" t="s">
        <v>5400</v>
      </c>
      <c r="AJ40" s="5066" t="s">
        <v>5401</v>
      </c>
      <c r="AK40" s="5617" t="s">
        <v>5402</v>
      </c>
      <c r="AL40" s="5550" t="s">
        <v>5403</v>
      </c>
      <c r="AM40" s="5067" t="s">
        <v>5404</v>
      </c>
      <c r="AN40" s="5067" t="s">
        <v>5405</v>
      </c>
      <c r="AO40" s="5067" t="s">
        <v>5406</v>
      </c>
      <c r="AP40" s="4259"/>
      <c r="DC40" s="4294">
        <v>0</v>
      </c>
      <c r="DE40" s="4294">
        <v>0</v>
      </c>
    </row>
    <row r="41" spans="1:109" ht="16.2" customHeight="1" x14ac:dyDescent="0.25">
      <c r="A41" s="7263">
        <v>23090790</v>
      </c>
      <c r="B41" s="10270" t="s">
        <v>1943</v>
      </c>
      <c r="C41" s="10271"/>
      <c r="D41" s="5615" t="s">
        <v>5369</v>
      </c>
      <c r="E41" s="5616" t="s">
        <v>5370</v>
      </c>
      <c r="F41" s="5549" t="s">
        <v>5371</v>
      </c>
      <c r="G41" s="5065" t="s">
        <v>5372</v>
      </c>
      <c r="H41" s="5067" t="s">
        <v>5373</v>
      </c>
      <c r="I41" s="5065" t="s">
        <v>5374</v>
      </c>
      <c r="J41" s="5066" t="s">
        <v>5375</v>
      </c>
      <c r="K41" s="5065" t="s">
        <v>5376</v>
      </c>
      <c r="L41" s="5066" t="s">
        <v>5377</v>
      </c>
      <c r="M41" s="5065" t="s">
        <v>5378</v>
      </c>
      <c r="N41" s="5066" t="s">
        <v>5379</v>
      </c>
      <c r="O41" s="5065" t="s">
        <v>5380</v>
      </c>
      <c r="P41" s="5066" t="s">
        <v>5381</v>
      </c>
      <c r="Q41" s="5065" t="s">
        <v>5382</v>
      </c>
      <c r="R41" s="5066" t="s">
        <v>5383</v>
      </c>
      <c r="S41" s="5065" t="s">
        <v>5384</v>
      </c>
      <c r="T41" s="5066" t="s">
        <v>5385</v>
      </c>
      <c r="U41" s="5065" t="s">
        <v>5386</v>
      </c>
      <c r="V41" s="5066" t="s">
        <v>5387</v>
      </c>
      <c r="W41" s="5065" t="s">
        <v>5388</v>
      </c>
      <c r="X41" s="5066" t="s">
        <v>5389</v>
      </c>
      <c r="Y41" s="5065" t="s">
        <v>5390</v>
      </c>
      <c r="Z41" s="5066" t="s">
        <v>5391</v>
      </c>
      <c r="AA41" s="5065" t="s">
        <v>5392</v>
      </c>
      <c r="AB41" s="5066" t="s">
        <v>5393</v>
      </c>
      <c r="AC41" s="5065" t="s">
        <v>5394</v>
      </c>
      <c r="AD41" s="5066" t="s">
        <v>5395</v>
      </c>
      <c r="AE41" s="5065" t="s">
        <v>5396</v>
      </c>
      <c r="AF41" s="5066" t="s">
        <v>5397</v>
      </c>
      <c r="AG41" s="5065" t="s">
        <v>5398</v>
      </c>
      <c r="AH41" s="5066" t="s">
        <v>5399</v>
      </c>
      <c r="AI41" s="5065" t="s">
        <v>5400</v>
      </c>
      <c r="AJ41" s="5066" t="s">
        <v>5401</v>
      </c>
      <c r="AK41" s="5617" t="s">
        <v>5402</v>
      </c>
      <c r="AL41" s="5550" t="s">
        <v>5403</v>
      </c>
      <c r="AM41" s="5067" t="s">
        <v>5404</v>
      </c>
      <c r="AN41" s="5067" t="s">
        <v>5405</v>
      </c>
      <c r="AO41" s="5067" t="s">
        <v>5406</v>
      </c>
      <c r="AP41" s="4259"/>
      <c r="DC41" s="4294">
        <v>0</v>
      </c>
      <c r="DE41" s="4294">
        <v>0</v>
      </c>
    </row>
    <row r="42" spans="1:109" ht="16.2" customHeight="1" x14ac:dyDescent="0.25">
      <c r="A42" s="7263">
        <v>23090770</v>
      </c>
      <c r="B42" s="10272" t="s">
        <v>1944</v>
      </c>
      <c r="C42" s="10273"/>
      <c r="D42" s="5620" t="s">
        <v>5369</v>
      </c>
      <c r="E42" s="5621" t="s">
        <v>5370</v>
      </c>
      <c r="F42" s="5549" t="s">
        <v>5371</v>
      </c>
      <c r="G42" s="5088" t="s">
        <v>5372</v>
      </c>
      <c r="H42" s="5090" t="s">
        <v>5373</v>
      </c>
      <c r="I42" s="5088" t="s">
        <v>5374</v>
      </c>
      <c r="J42" s="5089" t="s">
        <v>5375</v>
      </c>
      <c r="K42" s="5088" t="s">
        <v>5376</v>
      </c>
      <c r="L42" s="5089" t="s">
        <v>5377</v>
      </c>
      <c r="M42" s="5088" t="s">
        <v>5378</v>
      </c>
      <c r="N42" s="5089" t="s">
        <v>5379</v>
      </c>
      <c r="O42" s="5088" t="s">
        <v>5380</v>
      </c>
      <c r="P42" s="5089" t="s">
        <v>5381</v>
      </c>
      <c r="Q42" s="5088" t="s">
        <v>5382</v>
      </c>
      <c r="R42" s="5089" t="s">
        <v>5383</v>
      </c>
      <c r="S42" s="5088" t="s">
        <v>5384</v>
      </c>
      <c r="T42" s="5089" t="s">
        <v>5385</v>
      </c>
      <c r="U42" s="5088" t="s">
        <v>5386</v>
      </c>
      <c r="V42" s="5089" t="s">
        <v>5387</v>
      </c>
      <c r="W42" s="5088" t="s">
        <v>5388</v>
      </c>
      <c r="X42" s="5089" t="s">
        <v>5389</v>
      </c>
      <c r="Y42" s="5088" t="s">
        <v>5390</v>
      </c>
      <c r="Z42" s="5089" t="s">
        <v>5391</v>
      </c>
      <c r="AA42" s="5088" t="s">
        <v>5392</v>
      </c>
      <c r="AB42" s="5089" t="s">
        <v>5393</v>
      </c>
      <c r="AC42" s="5088" t="s">
        <v>5394</v>
      </c>
      <c r="AD42" s="5089" t="s">
        <v>5395</v>
      </c>
      <c r="AE42" s="5088" t="s">
        <v>5396</v>
      </c>
      <c r="AF42" s="5089" t="s">
        <v>5397</v>
      </c>
      <c r="AG42" s="5088" t="s">
        <v>5398</v>
      </c>
      <c r="AH42" s="5089" t="s">
        <v>5399</v>
      </c>
      <c r="AI42" s="5088" t="s">
        <v>5400</v>
      </c>
      <c r="AJ42" s="5089" t="s">
        <v>5401</v>
      </c>
      <c r="AK42" s="5606" t="s">
        <v>5402</v>
      </c>
      <c r="AL42" s="5563" t="s">
        <v>5403</v>
      </c>
      <c r="AM42" s="5090" t="s">
        <v>5404</v>
      </c>
      <c r="AN42" s="5090" t="s">
        <v>5405</v>
      </c>
      <c r="AO42" s="5090" t="s">
        <v>5406</v>
      </c>
      <c r="AP42" s="4259"/>
      <c r="DC42" s="4294">
        <v>0</v>
      </c>
      <c r="DE42" s="4294">
        <v>0</v>
      </c>
    </row>
    <row r="43" spans="1:109" ht="16.2" customHeight="1" x14ac:dyDescent="0.25">
      <c r="A43" s="7298"/>
      <c r="B43" s="10274" t="s">
        <v>24</v>
      </c>
      <c r="C43" s="10274"/>
      <c r="D43" s="5622">
        <f t="shared" ref="D43:AM43" si="1">SUM(D30:D42)</f>
        <v>0</v>
      </c>
      <c r="E43" s="5623">
        <f t="shared" si="1"/>
        <v>0</v>
      </c>
      <c r="F43" s="5624">
        <f t="shared" si="1"/>
        <v>0</v>
      </c>
      <c r="G43" s="5568">
        <f t="shared" si="1"/>
        <v>0</v>
      </c>
      <c r="H43" s="5569">
        <f t="shared" si="1"/>
        <v>0</v>
      </c>
      <c r="I43" s="5568">
        <f t="shared" si="1"/>
        <v>0</v>
      </c>
      <c r="J43" s="5569">
        <f t="shared" si="1"/>
        <v>0</v>
      </c>
      <c r="K43" s="5568">
        <f t="shared" si="1"/>
        <v>0</v>
      </c>
      <c r="L43" s="5569">
        <f t="shared" si="1"/>
        <v>0</v>
      </c>
      <c r="M43" s="5625">
        <f t="shared" si="1"/>
        <v>0</v>
      </c>
      <c r="N43" s="5570">
        <f t="shared" si="1"/>
        <v>0</v>
      </c>
      <c r="O43" s="5625">
        <f t="shared" si="1"/>
        <v>0</v>
      </c>
      <c r="P43" s="5570">
        <f t="shared" si="1"/>
        <v>0</v>
      </c>
      <c r="Q43" s="5626">
        <f t="shared" si="1"/>
        <v>0</v>
      </c>
      <c r="R43" s="5570">
        <f t="shared" si="1"/>
        <v>0</v>
      </c>
      <c r="S43" s="5625">
        <f t="shared" si="1"/>
        <v>0</v>
      </c>
      <c r="T43" s="5570">
        <f t="shared" si="1"/>
        <v>0</v>
      </c>
      <c r="U43" s="5568">
        <f t="shared" si="1"/>
        <v>0</v>
      </c>
      <c r="V43" s="5627">
        <f t="shared" si="1"/>
        <v>0</v>
      </c>
      <c r="W43" s="5568">
        <f t="shared" si="1"/>
        <v>0</v>
      </c>
      <c r="X43" s="5627">
        <f t="shared" si="1"/>
        <v>0</v>
      </c>
      <c r="Y43" s="5568">
        <f t="shared" si="1"/>
        <v>0</v>
      </c>
      <c r="Z43" s="5627">
        <f t="shared" si="1"/>
        <v>0</v>
      </c>
      <c r="AA43" s="5625">
        <f t="shared" si="1"/>
        <v>0</v>
      </c>
      <c r="AB43" s="5570">
        <f t="shared" si="1"/>
        <v>0</v>
      </c>
      <c r="AC43" s="5625">
        <f t="shared" si="1"/>
        <v>0</v>
      </c>
      <c r="AD43" s="5570">
        <f t="shared" si="1"/>
        <v>0</v>
      </c>
      <c r="AE43" s="5626">
        <f t="shared" si="1"/>
        <v>0</v>
      </c>
      <c r="AF43" s="5570">
        <f t="shared" si="1"/>
        <v>0</v>
      </c>
      <c r="AG43" s="5625">
        <f t="shared" si="1"/>
        <v>0</v>
      </c>
      <c r="AH43" s="5570">
        <f t="shared" si="1"/>
        <v>0</v>
      </c>
      <c r="AI43" s="5625">
        <f t="shared" si="1"/>
        <v>0</v>
      </c>
      <c r="AJ43" s="5570">
        <f t="shared" si="1"/>
        <v>0</v>
      </c>
      <c r="AK43" s="5625">
        <f t="shared" si="1"/>
        <v>0</v>
      </c>
      <c r="AL43" s="5573">
        <f t="shared" si="1"/>
        <v>0</v>
      </c>
      <c r="AM43" s="6985">
        <f t="shared" si="1"/>
        <v>0</v>
      </c>
      <c r="AN43" s="6986">
        <f>SUM(AN30:AN42)</f>
        <v>0</v>
      </c>
      <c r="AO43" s="6987">
        <f>SUM(AO30:AO42)</f>
        <v>0</v>
      </c>
      <c r="AP43" s="4260"/>
      <c r="AQ43" s="4264"/>
      <c r="AR43" s="4264"/>
      <c r="AS43" s="4264"/>
      <c r="AT43" s="4264"/>
      <c r="AU43" s="4264"/>
      <c r="AV43" s="4264"/>
      <c r="AW43" s="4264"/>
      <c r="AX43" s="4264"/>
      <c r="AY43" s="4264"/>
      <c r="AZ43" s="4264"/>
      <c r="BA43" s="4264"/>
      <c r="BB43" s="4264"/>
      <c r="BC43" s="4264"/>
    </row>
    <row r="44" spans="1:109" ht="31.95" customHeight="1" x14ac:dyDescent="0.25">
      <c r="B44" s="4268" t="s">
        <v>3809</v>
      </c>
      <c r="C44" s="5576"/>
      <c r="D44" s="5576"/>
      <c r="E44" s="5576"/>
      <c r="F44" s="5576"/>
      <c r="G44" s="5576"/>
      <c r="H44" s="5576"/>
      <c r="I44" s="5576"/>
      <c r="J44" s="5576"/>
      <c r="K44" s="5576"/>
      <c r="L44" s="5576"/>
      <c r="M44" s="5576"/>
      <c r="N44" s="5576"/>
      <c r="O44" s="5576"/>
      <c r="P44" s="5576"/>
      <c r="Q44" s="5576"/>
      <c r="R44" s="5576"/>
      <c r="S44" s="5576"/>
      <c r="T44" s="5576"/>
      <c r="U44" s="5576"/>
      <c r="V44" s="5576"/>
      <c r="W44" s="5576"/>
      <c r="X44" s="5576"/>
      <c r="Y44" s="5576"/>
      <c r="Z44" s="5576"/>
      <c r="AA44" s="5576"/>
      <c r="AB44" s="5576"/>
      <c r="AC44" s="5576"/>
      <c r="AD44" s="5576"/>
      <c r="AE44" s="5576"/>
      <c r="AF44" s="5576"/>
      <c r="AG44" s="5576"/>
      <c r="AH44" s="5576"/>
      <c r="AI44" s="5576"/>
      <c r="AJ44" s="5576"/>
      <c r="AK44" s="5576"/>
      <c r="AL44" s="5576"/>
      <c r="AM44" s="5534"/>
      <c r="AO44" s="4264"/>
      <c r="AP44" s="4264"/>
      <c r="AQ44" s="4264"/>
      <c r="AR44" s="4264"/>
      <c r="AS44" s="4264"/>
      <c r="AT44" s="4264"/>
      <c r="AU44" s="4264"/>
      <c r="AV44" s="4264"/>
      <c r="AW44" s="4264"/>
      <c r="AX44" s="4264"/>
      <c r="AY44" s="4264"/>
      <c r="AZ44" s="4264"/>
      <c r="BA44" s="4264"/>
      <c r="BB44" s="4264"/>
      <c r="BC44" s="4264"/>
      <c r="CH44" s="4295">
        <v>0</v>
      </c>
      <c r="DB44" s="4294">
        <v>0</v>
      </c>
    </row>
    <row r="45" spans="1:109" ht="12.75" customHeight="1" x14ac:dyDescent="0.25">
      <c r="B45" s="10277" t="s">
        <v>1945</v>
      </c>
      <c r="C45" s="10280" t="s">
        <v>24</v>
      </c>
      <c r="D45" s="10281"/>
      <c r="E45" s="10281"/>
      <c r="F45" s="10370" t="s">
        <v>2</v>
      </c>
      <c r="G45" s="10371"/>
      <c r="H45" s="10371"/>
      <c r="I45" s="10371"/>
      <c r="J45" s="10371"/>
      <c r="K45" s="10371"/>
      <c r="L45" s="10371"/>
      <c r="M45" s="10371"/>
      <c r="N45" s="10371"/>
      <c r="O45" s="10371"/>
      <c r="P45" s="10371"/>
      <c r="Q45" s="10371"/>
      <c r="R45" s="10371"/>
      <c r="S45" s="10371"/>
      <c r="T45" s="10371"/>
      <c r="U45" s="10371"/>
      <c r="V45" s="10371"/>
      <c r="W45" s="10371"/>
      <c r="X45" s="10371"/>
      <c r="Y45" s="10371"/>
      <c r="Z45" s="10371"/>
      <c r="AA45" s="10371"/>
      <c r="AB45" s="10371"/>
      <c r="AC45" s="10371"/>
      <c r="AD45" s="10371"/>
      <c r="AE45" s="10371"/>
      <c r="AF45" s="10371"/>
      <c r="AG45" s="10371"/>
      <c r="AH45" s="10371"/>
      <c r="AI45" s="10371"/>
      <c r="AJ45" s="10371"/>
      <c r="AK45" s="10372"/>
      <c r="AL45" s="10373" t="s">
        <v>74</v>
      </c>
      <c r="AM45" s="10374"/>
      <c r="AN45" s="4264"/>
      <c r="AO45" s="4264"/>
      <c r="AP45" s="4264"/>
      <c r="AQ45" s="4264"/>
      <c r="AR45" s="4264"/>
      <c r="AS45" s="4264"/>
      <c r="AT45" s="4264"/>
      <c r="AU45" s="4264"/>
      <c r="AV45" s="4264"/>
      <c r="AW45" s="4264"/>
      <c r="AX45" s="4264"/>
      <c r="AY45" s="4264"/>
      <c r="AZ45" s="4264"/>
      <c r="BA45" s="4264"/>
      <c r="BB45" s="4264"/>
      <c r="BY45" s="4260"/>
      <c r="CH45" s="4295">
        <v>0</v>
      </c>
    </row>
    <row r="46" spans="1:109" ht="11.25" customHeight="1" x14ac:dyDescent="0.25">
      <c r="B46" s="10278"/>
      <c r="C46" s="10282"/>
      <c r="D46" s="10283"/>
      <c r="E46" s="10283"/>
      <c r="F46" s="10267" t="s">
        <v>1912</v>
      </c>
      <c r="G46" s="10247"/>
      <c r="H46" s="10267" t="s">
        <v>1913</v>
      </c>
      <c r="I46" s="10247"/>
      <c r="J46" s="10267" t="s">
        <v>1914</v>
      </c>
      <c r="K46" s="10247"/>
      <c r="L46" s="10267" t="s">
        <v>1915</v>
      </c>
      <c r="M46" s="10247"/>
      <c r="N46" s="10267" t="s">
        <v>1916</v>
      </c>
      <c r="O46" s="10247"/>
      <c r="P46" s="10267" t="s">
        <v>1917</v>
      </c>
      <c r="Q46" s="10247"/>
      <c r="R46" s="10267" t="s">
        <v>1918</v>
      </c>
      <c r="S46" s="10247"/>
      <c r="T46" s="10267" t="s">
        <v>124</v>
      </c>
      <c r="U46" s="10247"/>
      <c r="V46" s="10267" t="s">
        <v>125</v>
      </c>
      <c r="W46" s="10247"/>
      <c r="X46" s="10267" t="s">
        <v>126</v>
      </c>
      <c r="Y46" s="10247"/>
      <c r="Z46" s="10267" t="s">
        <v>127</v>
      </c>
      <c r="AA46" s="10247"/>
      <c r="AB46" s="10267" t="s">
        <v>128</v>
      </c>
      <c r="AC46" s="10247"/>
      <c r="AD46" s="10267" t="s">
        <v>129</v>
      </c>
      <c r="AE46" s="10247"/>
      <c r="AF46" s="10267" t="s">
        <v>130</v>
      </c>
      <c r="AG46" s="10247"/>
      <c r="AH46" s="10267" t="s">
        <v>131</v>
      </c>
      <c r="AI46" s="10247"/>
      <c r="AJ46" s="10267" t="s">
        <v>1919</v>
      </c>
      <c r="AK46" s="10347"/>
      <c r="AL46" s="10375"/>
      <c r="AM46" s="10376"/>
      <c r="AN46" s="4264"/>
      <c r="AO46" s="4264"/>
      <c r="AP46" s="4264"/>
      <c r="AQ46" s="4264"/>
      <c r="AR46" s="4264"/>
      <c r="AS46" s="4264"/>
      <c r="AT46" s="4264"/>
      <c r="AU46" s="4264"/>
      <c r="AV46" s="4264"/>
      <c r="AW46" s="4264"/>
      <c r="AX46" s="4264"/>
      <c r="AY46" s="4264"/>
      <c r="AZ46" s="4264"/>
      <c r="BA46" s="4264"/>
      <c r="BB46" s="4264"/>
      <c r="BY46" s="4260"/>
      <c r="CH46" s="4295">
        <v>0</v>
      </c>
    </row>
    <row r="47" spans="1:109" ht="12" customHeight="1" x14ac:dyDescent="0.25">
      <c r="B47" s="10278"/>
      <c r="C47" s="10284"/>
      <c r="D47" s="10285"/>
      <c r="E47" s="10285"/>
      <c r="F47" s="10275"/>
      <c r="G47" s="9056"/>
      <c r="H47" s="10275"/>
      <c r="I47" s="9056"/>
      <c r="J47" s="10275"/>
      <c r="K47" s="9056"/>
      <c r="L47" s="10275"/>
      <c r="M47" s="9056"/>
      <c r="N47" s="10275"/>
      <c r="O47" s="9056"/>
      <c r="P47" s="10275"/>
      <c r="Q47" s="9056"/>
      <c r="R47" s="10275"/>
      <c r="S47" s="9056"/>
      <c r="T47" s="10275"/>
      <c r="U47" s="9056"/>
      <c r="V47" s="10275"/>
      <c r="W47" s="9056"/>
      <c r="X47" s="10275"/>
      <c r="Y47" s="9056"/>
      <c r="Z47" s="10275"/>
      <c r="AA47" s="9056"/>
      <c r="AB47" s="10275"/>
      <c r="AC47" s="9056"/>
      <c r="AD47" s="10275"/>
      <c r="AE47" s="9056"/>
      <c r="AF47" s="10275"/>
      <c r="AG47" s="9056"/>
      <c r="AH47" s="10275"/>
      <c r="AI47" s="9056"/>
      <c r="AJ47" s="10275"/>
      <c r="AK47" s="10348"/>
      <c r="AL47" s="10377" t="s">
        <v>786</v>
      </c>
      <c r="AM47" s="10379" t="s">
        <v>785</v>
      </c>
      <c r="AN47" s="4264"/>
      <c r="AO47" s="4264"/>
      <c r="AP47" s="4264"/>
      <c r="AQ47" s="4264"/>
      <c r="AR47" s="4264"/>
      <c r="AS47" s="4264"/>
      <c r="AT47" s="4264"/>
      <c r="AU47" s="4264"/>
      <c r="AV47" s="4264"/>
      <c r="AW47" s="4264"/>
      <c r="AX47" s="4264"/>
      <c r="AY47" s="4264"/>
      <c r="AZ47" s="4264"/>
      <c r="BA47" s="4264"/>
      <c r="BB47" s="4264"/>
      <c r="BY47" s="4260"/>
    </row>
    <row r="48" spans="1:109" x14ac:dyDescent="0.25">
      <c r="B48" s="10279"/>
      <c r="C48" s="5647" t="s">
        <v>42</v>
      </c>
      <c r="D48" s="5648" t="s">
        <v>17</v>
      </c>
      <c r="E48" s="5649" t="s">
        <v>18</v>
      </c>
      <c r="F48" s="4534" t="s">
        <v>17</v>
      </c>
      <c r="G48" s="4352" t="s">
        <v>18</v>
      </c>
      <c r="H48" s="4534" t="s">
        <v>17</v>
      </c>
      <c r="I48" s="4352" t="s">
        <v>18</v>
      </c>
      <c r="J48" s="4534" t="s">
        <v>17</v>
      </c>
      <c r="K48" s="4531" t="s">
        <v>18</v>
      </c>
      <c r="L48" s="4534" t="s">
        <v>17</v>
      </c>
      <c r="M48" s="4352" t="s">
        <v>18</v>
      </c>
      <c r="N48" s="4534" t="s">
        <v>17</v>
      </c>
      <c r="O48" s="4352" t="s">
        <v>18</v>
      </c>
      <c r="P48" s="4534" t="s">
        <v>17</v>
      </c>
      <c r="Q48" s="4352" t="s">
        <v>18</v>
      </c>
      <c r="R48" s="4534" t="s">
        <v>17</v>
      </c>
      <c r="S48" s="4352" t="s">
        <v>18</v>
      </c>
      <c r="T48" s="4534" t="s">
        <v>17</v>
      </c>
      <c r="U48" s="4352" t="s">
        <v>18</v>
      </c>
      <c r="V48" s="4534" t="s">
        <v>17</v>
      </c>
      <c r="W48" s="4352" t="s">
        <v>18</v>
      </c>
      <c r="X48" s="4534" t="s">
        <v>17</v>
      </c>
      <c r="Y48" s="4352" t="s">
        <v>18</v>
      </c>
      <c r="Z48" s="4534" t="s">
        <v>17</v>
      </c>
      <c r="AA48" s="4352" t="s">
        <v>18</v>
      </c>
      <c r="AB48" s="4534" t="s">
        <v>17</v>
      </c>
      <c r="AC48" s="4352" t="s">
        <v>18</v>
      </c>
      <c r="AD48" s="4534" t="s">
        <v>17</v>
      </c>
      <c r="AE48" s="4352" t="s">
        <v>18</v>
      </c>
      <c r="AF48" s="4534" t="s">
        <v>17</v>
      </c>
      <c r="AG48" s="4352" t="s">
        <v>18</v>
      </c>
      <c r="AH48" s="4534" t="s">
        <v>17</v>
      </c>
      <c r="AI48" s="4352" t="s">
        <v>18</v>
      </c>
      <c r="AJ48" s="4534" t="s">
        <v>17</v>
      </c>
      <c r="AK48" s="5579" t="s">
        <v>18</v>
      </c>
      <c r="AL48" s="10378"/>
      <c r="AM48" s="10380"/>
      <c r="AN48" s="4264"/>
      <c r="AO48" s="4264"/>
      <c r="AP48" s="4264"/>
      <c r="AQ48" s="4264"/>
      <c r="AR48" s="4264"/>
      <c r="AS48" s="4264"/>
      <c r="AT48" s="4264"/>
      <c r="AU48" s="4264"/>
      <c r="AV48" s="4264"/>
      <c r="AW48" s="4264"/>
      <c r="AX48" s="4264"/>
      <c r="AY48" s="4264"/>
      <c r="AZ48" s="4264"/>
      <c r="BA48" s="4264"/>
      <c r="BB48" s="4264"/>
      <c r="BY48" s="4260"/>
      <c r="CH48" s="4295">
        <v>0</v>
      </c>
    </row>
    <row r="49" spans="1:107" ht="27.6" customHeight="1" x14ac:dyDescent="0.25">
      <c r="A49" s="7263">
        <v>23042500</v>
      </c>
      <c r="B49" s="5650" t="s">
        <v>1946</v>
      </c>
      <c r="C49" s="5651" t="s">
        <v>5369</v>
      </c>
      <c r="D49" s="5652" t="s">
        <v>5370</v>
      </c>
      <c r="E49" s="5653" t="s">
        <v>5371</v>
      </c>
      <c r="F49" s="5654" t="s">
        <v>5372</v>
      </c>
      <c r="G49" s="5655" t="s">
        <v>5373</v>
      </c>
      <c r="H49" s="5654" t="s">
        <v>5374</v>
      </c>
      <c r="I49" s="5655" t="s">
        <v>5375</v>
      </c>
      <c r="J49" s="5599" t="s">
        <v>5376</v>
      </c>
      <c r="K49" s="5656" t="s">
        <v>5377</v>
      </c>
      <c r="L49" s="5599" t="s">
        <v>5378</v>
      </c>
      <c r="M49" s="5600" t="s">
        <v>5379</v>
      </c>
      <c r="N49" s="5599" t="s">
        <v>5380</v>
      </c>
      <c r="O49" s="5600" t="s">
        <v>5381</v>
      </c>
      <c r="P49" s="5599" t="s">
        <v>5382</v>
      </c>
      <c r="Q49" s="5600" t="s">
        <v>5383</v>
      </c>
      <c r="R49" s="5599" t="s">
        <v>5384</v>
      </c>
      <c r="S49" s="5600" t="s">
        <v>5385</v>
      </c>
      <c r="T49" s="5599" t="s">
        <v>5386</v>
      </c>
      <c r="U49" s="5600" t="s">
        <v>5387</v>
      </c>
      <c r="V49" s="5599" t="s">
        <v>5388</v>
      </c>
      <c r="W49" s="5600" t="s">
        <v>5389</v>
      </c>
      <c r="X49" s="5599" t="s">
        <v>5390</v>
      </c>
      <c r="Y49" s="5600" t="s">
        <v>5391</v>
      </c>
      <c r="Z49" s="5599" t="s">
        <v>5392</v>
      </c>
      <c r="AA49" s="5600" t="s">
        <v>5393</v>
      </c>
      <c r="AB49" s="5599" t="s">
        <v>5394</v>
      </c>
      <c r="AC49" s="5600" t="s">
        <v>5395</v>
      </c>
      <c r="AD49" s="5599" t="s">
        <v>5396</v>
      </c>
      <c r="AE49" s="5600" t="s">
        <v>5397</v>
      </c>
      <c r="AF49" s="5599" t="s">
        <v>5398</v>
      </c>
      <c r="AG49" s="5600" t="s">
        <v>5399</v>
      </c>
      <c r="AH49" s="5599" t="s">
        <v>5400</v>
      </c>
      <c r="AI49" s="5600" t="s">
        <v>5401</v>
      </c>
      <c r="AJ49" s="5599" t="s">
        <v>5402</v>
      </c>
      <c r="AK49" s="5657" t="s">
        <v>5403</v>
      </c>
      <c r="AL49" s="5658" t="s">
        <v>5404</v>
      </c>
      <c r="AM49" s="5659" t="s">
        <v>5405</v>
      </c>
      <c r="AN49" s="5660"/>
      <c r="AO49" s="4291"/>
      <c r="AP49" s="4291"/>
      <c r="AQ49" s="4291"/>
      <c r="AR49" s="4291"/>
      <c r="AS49" s="4291"/>
      <c r="AT49" s="4291"/>
      <c r="AU49" s="4291"/>
      <c r="AV49" s="4291"/>
      <c r="AW49" s="4291"/>
      <c r="AX49" s="4291"/>
      <c r="AY49" s="4291"/>
      <c r="AZ49" s="4264"/>
      <c r="BA49" s="4264"/>
      <c r="BB49" s="4264"/>
      <c r="BY49" s="4260"/>
      <c r="CG49" s="4295">
        <v>0</v>
      </c>
      <c r="CH49" s="4295">
        <v>0</v>
      </c>
      <c r="DA49" s="4295">
        <v>0</v>
      </c>
      <c r="DB49" s="4294">
        <v>0</v>
      </c>
      <c r="DC49" s="4294">
        <v>0</v>
      </c>
    </row>
    <row r="50" spans="1:107" ht="16.2" customHeight="1" x14ac:dyDescent="0.25">
      <c r="A50" s="7263">
        <v>23042600</v>
      </c>
      <c r="B50" s="5661" t="s">
        <v>1936</v>
      </c>
      <c r="C50" s="5662" t="s">
        <v>5369</v>
      </c>
      <c r="D50" s="5663" t="s">
        <v>5370</v>
      </c>
      <c r="E50" s="5664" t="s">
        <v>5371</v>
      </c>
      <c r="F50" s="5602" t="s">
        <v>5372</v>
      </c>
      <c r="G50" s="5665" t="s">
        <v>5373</v>
      </c>
      <c r="H50" s="5666" t="s">
        <v>5374</v>
      </c>
      <c r="I50" s="5667" t="s">
        <v>5375</v>
      </c>
      <c r="J50" s="5668" t="s">
        <v>5376</v>
      </c>
      <c r="K50" s="5669" t="s">
        <v>5377</v>
      </c>
      <c r="L50" s="5668" t="s">
        <v>5378</v>
      </c>
      <c r="M50" s="5669" t="s">
        <v>5379</v>
      </c>
      <c r="N50" s="5668" t="s">
        <v>5380</v>
      </c>
      <c r="O50" s="5669" t="s">
        <v>5381</v>
      </c>
      <c r="P50" s="5668" t="s">
        <v>5382</v>
      </c>
      <c r="Q50" s="5669" t="s">
        <v>5383</v>
      </c>
      <c r="R50" s="5668" t="s">
        <v>5384</v>
      </c>
      <c r="S50" s="5669" t="s">
        <v>5385</v>
      </c>
      <c r="T50" s="5670" t="s">
        <v>5386</v>
      </c>
      <c r="U50" s="5671" t="s">
        <v>5387</v>
      </c>
      <c r="V50" s="5670" t="s">
        <v>5388</v>
      </c>
      <c r="W50" s="5671" t="s">
        <v>5389</v>
      </c>
      <c r="X50" s="5670" t="s">
        <v>5390</v>
      </c>
      <c r="Y50" s="5671" t="s">
        <v>5391</v>
      </c>
      <c r="Z50" s="5670" t="s">
        <v>5392</v>
      </c>
      <c r="AA50" s="5671" t="s">
        <v>5393</v>
      </c>
      <c r="AB50" s="5670" t="s">
        <v>5394</v>
      </c>
      <c r="AC50" s="5671" t="s">
        <v>5395</v>
      </c>
      <c r="AD50" s="5670" t="s">
        <v>5396</v>
      </c>
      <c r="AE50" s="5671" t="s">
        <v>5397</v>
      </c>
      <c r="AF50" s="5670" t="s">
        <v>5398</v>
      </c>
      <c r="AG50" s="5671" t="s">
        <v>5399</v>
      </c>
      <c r="AH50" s="5670" t="s">
        <v>5400</v>
      </c>
      <c r="AI50" s="5671" t="s">
        <v>5401</v>
      </c>
      <c r="AJ50" s="5670" t="s">
        <v>5402</v>
      </c>
      <c r="AK50" s="5672" t="s">
        <v>5403</v>
      </c>
      <c r="AL50" s="5673" t="s">
        <v>5404</v>
      </c>
      <c r="AM50" s="5674" t="s">
        <v>5405</v>
      </c>
      <c r="AN50" s="5660"/>
      <c r="AO50" s="4291"/>
      <c r="AP50" s="4291"/>
      <c r="AQ50" s="4291"/>
      <c r="AR50" s="4291"/>
      <c r="AS50" s="4291"/>
      <c r="AT50" s="4291"/>
      <c r="AU50" s="4291"/>
      <c r="AV50" s="4291"/>
      <c r="AW50" s="4291"/>
      <c r="AX50" s="4291"/>
      <c r="AY50" s="4291"/>
      <c r="AZ50" s="4264"/>
      <c r="BA50" s="4264"/>
      <c r="BB50" s="4264"/>
      <c r="BY50" s="4260"/>
      <c r="CG50" s="4295">
        <v>0</v>
      </c>
      <c r="DB50" s="4294">
        <v>0</v>
      </c>
      <c r="DC50" s="4294">
        <v>0</v>
      </c>
    </row>
    <row r="51" spans="1:107" ht="23.4" customHeight="1" x14ac:dyDescent="0.25">
      <c r="A51" s="7263">
        <v>23042700</v>
      </c>
      <c r="B51" s="5661" t="s">
        <v>1937</v>
      </c>
      <c r="C51" s="5675" t="s">
        <v>5369</v>
      </c>
      <c r="D51" s="5676" t="s">
        <v>5370</v>
      </c>
      <c r="E51" s="5677" t="s">
        <v>5371</v>
      </c>
      <c r="F51" s="5602" t="s">
        <v>5372</v>
      </c>
      <c r="G51" s="5603" t="s">
        <v>5373</v>
      </c>
      <c r="H51" s="5602" t="s">
        <v>5374</v>
      </c>
      <c r="I51" s="5603" t="s">
        <v>5375</v>
      </c>
      <c r="J51" s="5602" t="s">
        <v>5376</v>
      </c>
      <c r="K51" s="5603" t="s">
        <v>5377</v>
      </c>
      <c r="L51" s="5602" t="s">
        <v>5378</v>
      </c>
      <c r="M51" s="5603" t="s">
        <v>5379</v>
      </c>
      <c r="N51" s="5602" t="s">
        <v>5380</v>
      </c>
      <c r="O51" s="5603" t="s">
        <v>5381</v>
      </c>
      <c r="P51" s="5602" t="s">
        <v>5382</v>
      </c>
      <c r="Q51" s="5656" t="s">
        <v>5383</v>
      </c>
      <c r="R51" s="5678" t="s">
        <v>5384</v>
      </c>
      <c r="S51" s="5656" t="s">
        <v>5385</v>
      </c>
      <c r="T51" s="5679" t="s">
        <v>5386</v>
      </c>
      <c r="U51" s="5680" t="s">
        <v>5387</v>
      </c>
      <c r="V51" s="5679" t="s">
        <v>5388</v>
      </c>
      <c r="W51" s="5680" t="s">
        <v>5389</v>
      </c>
      <c r="X51" s="5679" t="s">
        <v>5390</v>
      </c>
      <c r="Y51" s="5680" t="s">
        <v>5391</v>
      </c>
      <c r="Z51" s="5679" t="s">
        <v>5392</v>
      </c>
      <c r="AA51" s="5680" t="s">
        <v>5393</v>
      </c>
      <c r="AB51" s="5679" t="s">
        <v>5394</v>
      </c>
      <c r="AC51" s="5680" t="s">
        <v>5395</v>
      </c>
      <c r="AD51" s="5679" t="s">
        <v>5396</v>
      </c>
      <c r="AE51" s="5680" t="s">
        <v>5397</v>
      </c>
      <c r="AF51" s="5679" t="s">
        <v>5398</v>
      </c>
      <c r="AG51" s="5680" t="s">
        <v>5399</v>
      </c>
      <c r="AH51" s="5679" t="s">
        <v>5400</v>
      </c>
      <c r="AI51" s="5680" t="s">
        <v>5401</v>
      </c>
      <c r="AJ51" s="5679" t="s">
        <v>5402</v>
      </c>
      <c r="AK51" s="5681" t="s">
        <v>5403</v>
      </c>
      <c r="AL51" s="5673" t="s">
        <v>5404</v>
      </c>
      <c r="AM51" s="5674" t="s">
        <v>5405</v>
      </c>
      <c r="AN51" s="5660"/>
      <c r="AO51" s="4291"/>
      <c r="AP51" s="4291"/>
      <c r="AQ51" s="4291"/>
      <c r="AR51" s="4291"/>
      <c r="AS51" s="4291"/>
      <c r="AT51" s="4291"/>
      <c r="AU51" s="4291"/>
      <c r="AV51" s="4291"/>
      <c r="AW51" s="4291"/>
      <c r="AX51" s="4291"/>
      <c r="AY51" s="4291"/>
      <c r="AZ51" s="4264"/>
      <c r="BA51" s="4264"/>
      <c r="BB51" s="4264"/>
      <c r="BY51" s="4260"/>
      <c r="CG51" s="4295">
        <v>0</v>
      </c>
      <c r="DB51" s="4294">
        <v>0</v>
      </c>
    </row>
    <row r="52" spans="1:107" ht="16.2" customHeight="1" x14ac:dyDescent="0.25">
      <c r="A52" s="7263">
        <v>23042800</v>
      </c>
      <c r="B52" s="5682" t="s">
        <v>1940</v>
      </c>
      <c r="C52" s="5102" t="s">
        <v>5369</v>
      </c>
      <c r="D52" s="5632" t="s">
        <v>5370</v>
      </c>
      <c r="E52" s="5633" t="s">
        <v>5371</v>
      </c>
      <c r="F52" s="5060" t="s">
        <v>5372</v>
      </c>
      <c r="G52" s="5062" t="s">
        <v>5373</v>
      </c>
      <c r="H52" s="5060" t="s">
        <v>5374</v>
      </c>
      <c r="I52" s="5062" t="s">
        <v>5375</v>
      </c>
      <c r="J52" s="5060" t="s">
        <v>5376</v>
      </c>
      <c r="K52" s="5062" t="s">
        <v>5377</v>
      </c>
      <c r="L52" s="5060" t="s">
        <v>5378</v>
      </c>
      <c r="M52" s="5062" t="s">
        <v>5379</v>
      </c>
      <c r="N52" s="5060" t="s">
        <v>5380</v>
      </c>
      <c r="O52" s="5062" t="s">
        <v>5381</v>
      </c>
      <c r="P52" s="5060" t="s">
        <v>5382</v>
      </c>
      <c r="Q52" s="5062" t="s">
        <v>5383</v>
      </c>
      <c r="R52" s="5060" t="s">
        <v>5384</v>
      </c>
      <c r="S52" s="5062" t="s">
        <v>5385</v>
      </c>
      <c r="T52" s="5060" t="s">
        <v>5386</v>
      </c>
      <c r="U52" s="5062" t="s">
        <v>5387</v>
      </c>
      <c r="V52" s="5060" t="s">
        <v>5388</v>
      </c>
      <c r="W52" s="5062" t="s">
        <v>5389</v>
      </c>
      <c r="X52" s="5060" t="s">
        <v>5390</v>
      </c>
      <c r="Y52" s="5062" t="s">
        <v>5391</v>
      </c>
      <c r="Z52" s="5060" t="s">
        <v>5392</v>
      </c>
      <c r="AA52" s="5062" t="s">
        <v>5393</v>
      </c>
      <c r="AB52" s="5060" t="s">
        <v>5394</v>
      </c>
      <c r="AC52" s="5062" t="s">
        <v>5395</v>
      </c>
      <c r="AD52" s="5060" t="s">
        <v>5396</v>
      </c>
      <c r="AE52" s="5062" t="s">
        <v>5397</v>
      </c>
      <c r="AF52" s="5060" t="s">
        <v>5398</v>
      </c>
      <c r="AG52" s="5062" t="s">
        <v>5399</v>
      </c>
      <c r="AH52" s="5060" t="s">
        <v>5400</v>
      </c>
      <c r="AI52" s="5062" t="s">
        <v>5401</v>
      </c>
      <c r="AJ52" s="5060" t="s">
        <v>5402</v>
      </c>
      <c r="AK52" s="5683" t="s">
        <v>5403</v>
      </c>
      <c r="AL52" s="5673" t="s">
        <v>5404</v>
      </c>
      <c r="AM52" s="5674" t="s">
        <v>5405</v>
      </c>
      <c r="AN52" s="5660"/>
      <c r="AO52" s="4291"/>
      <c r="AP52" s="4291"/>
      <c r="AQ52" s="4291"/>
      <c r="AR52" s="4291"/>
      <c r="AS52" s="4291"/>
      <c r="AT52" s="4291"/>
      <c r="AU52" s="4291"/>
      <c r="AV52" s="4291"/>
      <c r="AW52" s="4291"/>
      <c r="AX52" s="4291"/>
      <c r="AY52" s="4291"/>
      <c r="AZ52" s="4264"/>
      <c r="BA52" s="4264"/>
      <c r="BB52" s="4264"/>
      <c r="BY52" s="4260"/>
      <c r="CG52" s="4295">
        <v>0</v>
      </c>
      <c r="DB52" s="4294">
        <v>0</v>
      </c>
    </row>
    <row r="53" spans="1:107" ht="16.2" customHeight="1" x14ac:dyDescent="0.25">
      <c r="A53" s="7263">
        <v>23042900</v>
      </c>
      <c r="B53" s="5684" t="s">
        <v>1941</v>
      </c>
      <c r="C53" s="5638" t="s">
        <v>5369</v>
      </c>
      <c r="D53" s="5639" t="s">
        <v>5370</v>
      </c>
      <c r="E53" s="5677" t="s">
        <v>5371</v>
      </c>
      <c r="F53" s="5670" t="s">
        <v>5372</v>
      </c>
      <c r="G53" s="5671" t="s">
        <v>5373</v>
      </c>
      <c r="H53" s="5670" t="s">
        <v>5374</v>
      </c>
      <c r="I53" s="5671" t="s">
        <v>5375</v>
      </c>
      <c r="J53" s="5670" t="s">
        <v>5376</v>
      </c>
      <c r="K53" s="5671" t="s">
        <v>5377</v>
      </c>
      <c r="L53" s="5670" t="s">
        <v>5378</v>
      </c>
      <c r="M53" s="5680" t="s">
        <v>5379</v>
      </c>
      <c r="N53" s="5679" t="s">
        <v>5380</v>
      </c>
      <c r="O53" s="5680" t="s">
        <v>5381</v>
      </c>
      <c r="P53" s="5679" t="s">
        <v>5382</v>
      </c>
      <c r="Q53" s="5680" t="s">
        <v>5383</v>
      </c>
      <c r="R53" s="5679" t="s">
        <v>5384</v>
      </c>
      <c r="S53" s="5680" t="s">
        <v>5385</v>
      </c>
      <c r="T53" s="5679" t="s">
        <v>5386</v>
      </c>
      <c r="U53" s="5680" t="s">
        <v>5387</v>
      </c>
      <c r="V53" s="5679" t="s">
        <v>5388</v>
      </c>
      <c r="W53" s="5680" t="s">
        <v>5389</v>
      </c>
      <c r="X53" s="5679" t="s">
        <v>5390</v>
      </c>
      <c r="Y53" s="5680" t="s">
        <v>5391</v>
      </c>
      <c r="Z53" s="5679" t="s">
        <v>5392</v>
      </c>
      <c r="AA53" s="5680" t="s">
        <v>5393</v>
      </c>
      <c r="AB53" s="5679" t="s">
        <v>5394</v>
      </c>
      <c r="AC53" s="5680" t="s">
        <v>5395</v>
      </c>
      <c r="AD53" s="5679" t="s">
        <v>5396</v>
      </c>
      <c r="AE53" s="5680" t="s">
        <v>5397</v>
      </c>
      <c r="AF53" s="5679" t="s">
        <v>5398</v>
      </c>
      <c r="AG53" s="5680" t="s">
        <v>5399</v>
      </c>
      <c r="AH53" s="5679" t="s">
        <v>5400</v>
      </c>
      <c r="AI53" s="5680" t="s">
        <v>5401</v>
      </c>
      <c r="AJ53" s="5679" t="s">
        <v>5402</v>
      </c>
      <c r="AK53" s="5681" t="s">
        <v>5403</v>
      </c>
      <c r="AL53" s="5673" t="s">
        <v>5404</v>
      </c>
      <c r="AM53" s="5674" t="s">
        <v>5405</v>
      </c>
      <c r="AN53" s="5660"/>
      <c r="AO53" s="4291"/>
      <c r="AP53" s="4291"/>
      <c r="AQ53" s="4291"/>
      <c r="AR53" s="4291"/>
      <c r="AS53" s="4291"/>
      <c r="AT53" s="4291"/>
      <c r="AU53" s="4291"/>
      <c r="AV53" s="4291"/>
      <c r="AW53" s="4291"/>
      <c r="AX53" s="4291"/>
      <c r="AY53" s="4291"/>
      <c r="AZ53" s="4264"/>
      <c r="BA53" s="4264"/>
      <c r="BB53" s="4264"/>
      <c r="BY53" s="4260"/>
      <c r="CG53" s="4295">
        <v>0</v>
      </c>
    </row>
    <row r="54" spans="1:107" ht="16.2" customHeight="1" x14ac:dyDescent="0.25">
      <c r="A54" s="7263">
        <v>23090800</v>
      </c>
      <c r="B54" s="5685" t="s">
        <v>1947</v>
      </c>
      <c r="C54" s="5638" t="s">
        <v>5369</v>
      </c>
      <c r="D54" s="5639" t="s">
        <v>5370</v>
      </c>
      <c r="E54" s="5664" t="s">
        <v>5371</v>
      </c>
      <c r="F54" s="5670" t="s">
        <v>5372</v>
      </c>
      <c r="G54" s="5671" t="s">
        <v>5373</v>
      </c>
      <c r="H54" s="5670" t="s">
        <v>5374</v>
      </c>
      <c r="I54" s="5671" t="s">
        <v>5375</v>
      </c>
      <c r="J54" s="5670" t="s">
        <v>5376</v>
      </c>
      <c r="K54" s="5671" t="s">
        <v>5377</v>
      </c>
      <c r="L54" s="5670" t="s">
        <v>5378</v>
      </c>
      <c r="M54" s="5671" t="s">
        <v>5379</v>
      </c>
      <c r="N54" s="5670" t="s">
        <v>5380</v>
      </c>
      <c r="O54" s="5671" t="s">
        <v>5381</v>
      </c>
      <c r="P54" s="5670" t="s">
        <v>5382</v>
      </c>
      <c r="Q54" s="5671" t="s">
        <v>5383</v>
      </c>
      <c r="R54" s="5670" t="s">
        <v>5384</v>
      </c>
      <c r="S54" s="5671" t="s">
        <v>5385</v>
      </c>
      <c r="T54" s="5670" t="s">
        <v>5386</v>
      </c>
      <c r="U54" s="5671" t="s">
        <v>5387</v>
      </c>
      <c r="V54" s="5670" t="s">
        <v>5388</v>
      </c>
      <c r="W54" s="5671" t="s">
        <v>5389</v>
      </c>
      <c r="X54" s="5670" t="s">
        <v>5390</v>
      </c>
      <c r="Y54" s="5671" t="s">
        <v>5391</v>
      </c>
      <c r="Z54" s="5670" t="s">
        <v>5392</v>
      </c>
      <c r="AA54" s="5671" t="s">
        <v>5393</v>
      </c>
      <c r="AB54" s="5670" t="s">
        <v>5394</v>
      </c>
      <c r="AC54" s="5671" t="s">
        <v>5395</v>
      </c>
      <c r="AD54" s="5670" t="s">
        <v>5396</v>
      </c>
      <c r="AE54" s="5671" t="s">
        <v>5397</v>
      </c>
      <c r="AF54" s="5670" t="s">
        <v>5398</v>
      </c>
      <c r="AG54" s="5671" t="s">
        <v>5399</v>
      </c>
      <c r="AH54" s="5670" t="s">
        <v>5400</v>
      </c>
      <c r="AI54" s="5671" t="s">
        <v>5401</v>
      </c>
      <c r="AJ54" s="5670" t="s">
        <v>5402</v>
      </c>
      <c r="AK54" s="5672" t="s">
        <v>5403</v>
      </c>
      <c r="AL54" s="5686" t="s">
        <v>5404</v>
      </c>
      <c r="AM54" s="5687" t="s">
        <v>5405</v>
      </c>
      <c r="AN54" s="5660"/>
      <c r="AO54" s="4291"/>
      <c r="AP54" s="4291"/>
      <c r="AQ54" s="4291"/>
      <c r="AR54" s="4291"/>
      <c r="AS54" s="4291"/>
      <c r="AT54" s="4291"/>
      <c r="AU54" s="4291"/>
      <c r="AV54" s="4291"/>
      <c r="AW54" s="4291"/>
      <c r="AX54" s="4291"/>
      <c r="AY54" s="4291"/>
      <c r="AZ54" s="4264"/>
      <c r="BA54" s="4264"/>
      <c r="BB54" s="4264"/>
      <c r="BY54" s="4260"/>
      <c r="CG54" s="4295">
        <v>0</v>
      </c>
    </row>
    <row r="55" spans="1:107" ht="21.6" customHeight="1" x14ac:dyDescent="0.25">
      <c r="A55" s="7263">
        <v>23090810</v>
      </c>
      <c r="B55" s="5688" t="s">
        <v>1943</v>
      </c>
      <c r="C55" s="5689" t="s">
        <v>5369</v>
      </c>
      <c r="D55" s="5690" t="s">
        <v>5370</v>
      </c>
      <c r="E55" s="5664" t="s">
        <v>5371</v>
      </c>
      <c r="F55" s="5670" t="s">
        <v>5372</v>
      </c>
      <c r="G55" s="5671" t="s">
        <v>5373</v>
      </c>
      <c r="H55" s="5670" t="s">
        <v>5374</v>
      </c>
      <c r="I55" s="5671" t="s">
        <v>5375</v>
      </c>
      <c r="J55" s="5670" t="s">
        <v>5376</v>
      </c>
      <c r="K55" s="5671" t="s">
        <v>5377</v>
      </c>
      <c r="L55" s="5670" t="s">
        <v>5378</v>
      </c>
      <c r="M55" s="5671" t="s">
        <v>5379</v>
      </c>
      <c r="N55" s="5670" t="s">
        <v>5380</v>
      </c>
      <c r="O55" s="5671" t="s">
        <v>5381</v>
      </c>
      <c r="P55" s="5670" t="s">
        <v>5382</v>
      </c>
      <c r="Q55" s="5671" t="s">
        <v>5383</v>
      </c>
      <c r="R55" s="5670" t="s">
        <v>5384</v>
      </c>
      <c r="S55" s="5671" t="s">
        <v>5385</v>
      </c>
      <c r="T55" s="5670" t="s">
        <v>5386</v>
      </c>
      <c r="U55" s="5671" t="s">
        <v>5387</v>
      </c>
      <c r="V55" s="5670" t="s">
        <v>5388</v>
      </c>
      <c r="W55" s="5671" t="s">
        <v>5389</v>
      </c>
      <c r="X55" s="5670" t="s">
        <v>5390</v>
      </c>
      <c r="Y55" s="5671" t="s">
        <v>5391</v>
      </c>
      <c r="Z55" s="5670" t="s">
        <v>5392</v>
      </c>
      <c r="AA55" s="5671" t="s">
        <v>5393</v>
      </c>
      <c r="AB55" s="5670" t="s">
        <v>5394</v>
      </c>
      <c r="AC55" s="5671" t="s">
        <v>5395</v>
      </c>
      <c r="AD55" s="5670" t="s">
        <v>5396</v>
      </c>
      <c r="AE55" s="5671" t="s">
        <v>5397</v>
      </c>
      <c r="AF55" s="5670" t="s">
        <v>5398</v>
      </c>
      <c r="AG55" s="5671" t="s">
        <v>5399</v>
      </c>
      <c r="AH55" s="5670" t="s">
        <v>5400</v>
      </c>
      <c r="AI55" s="5671" t="s">
        <v>5401</v>
      </c>
      <c r="AJ55" s="5670" t="s">
        <v>5402</v>
      </c>
      <c r="AK55" s="5672" t="s">
        <v>5403</v>
      </c>
      <c r="AL55" s="5686" t="s">
        <v>5404</v>
      </c>
      <c r="AM55" s="5687" t="s">
        <v>5405</v>
      </c>
      <c r="AN55" s="5660"/>
      <c r="AO55" s="4291"/>
      <c r="AP55" s="4291"/>
      <c r="AQ55" s="4291"/>
      <c r="AR55" s="4291"/>
      <c r="AS55" s="4291"/>
      <c r="AT55" s="4291"/>
      <c r="AU55" s="4291"/>
      <c r="AV55" s="4291"/>
      <c r="AW55" s="4291"/>
      <c r="AX55" s="4291"/>
      <c r="AY55" s="4291"/>
      <c r="AZ55" s="4264"/>
      <c r="BA55" s="4264"/>
      <c r="BB55" s="4264"/>
      <c r="BY55" s="4260"/>
      <c r="CG55" s="4295">
        <v>0</v>
      </c>
      <c r="CH55" s="4295">
        <v>0</v>
      </c>
      <c r="CI55" s="4295">
        <v>0</v>
      </c>
    </row>
    <row r="56" spans="1:107" ht="16.2" customHeight="1" x14ac:dyDescent="0.25">
      <c r="A56" s="7263">
        <v>23043000</v>
      </c>
      <c r="B56" s="5691" t="s">
        <v>1944</v>
      </c>
      <c r="C56" s="5692" t="s">
        <v>5369</v>
      </c>
      <c r="D56" s="5693" t="s">
        <v>5370</v>
      </c>
      <c r="E56" s="5694" t="s">
        <v>5371</v>
      </c>
      <c r="F56" s="5695" t="s">
        <v>5372</v>
      </c>
      <c r="G56" s="5696" t="s">
        <v>5373</v>
      </c>
      <c r="H56" s="5695" t="s">
        <v>5374</v>
      </c>
      <c r="I56" s="5696" t="s">
        <v>5375</v>
      </c>
      <c r="J56" s="5695" t="s">
        <v>5376</v>
      </c>
      <c r="K56" s="5696" t="s">
        <v>5377</v>
      </c>
      <c r="L56" s="5695" t="s">
        <v>5378</v>
      </c>
      <c r="M56" s="5696" t="s">
        <v>5379</v>
      </c>
      <c r="N56" s="5695" t="s">
        <v>5380</v>
      </c>
      <c r="O56" s="5696" t="s">
        <v>5381</v>
      </c>
      <c r="P56" s="5695" t="s">
        <v>5382</v>
      </c>
      <c r="Q56" s="5696" t="s">
        <v>5383</v>
      </c>
      <c r="R56" s="5695" t="s">
        <v>5384</v>
      </c>
      <c r="S56" s="5696" t="s">
        <v>5385</v>
      </c>
      <c r="T56" s="5695" t="s">
        <v>5386</v>
      </c>
      <c r="U56" s="5696" t="s">
        <v>5387</v>
      </c>
      <c r="V56" s="5695" t="s">
        <v>5388</v>
      </c>
      <c r="W56" s="5696" t="s">
        <v>5389</v>
      </c>
      <c r="X56" s="5695" t="s">
        <v>5390</v>
      </c>
      <c r="Y56" s="5696" t="s">
        <v>5391</v>
      </c>
      <c r="Z56" s="5695" t="s">
        <v>5392</v>
      </c>
      <c r="AA56" s="5696" t="s">
        <v>5393</v>
      </c>
      <c r="AB56" s="5695" t="s">
        <v>5394</v>
      </c>
      <c r="AC56" s="5696" t="s">
        <v>5395</v>
      </c>
      <c r="AD56" s="5695" t="s">
        <v>5396</v>
      </c>
      <c r="AE56" s="5696" t="s">
        <v>5397</v>
      </c>
      <c r="AF56" s="5695" t="s">
        <v>5398</v>
      </c>
      <c r="AG56" s="5696" t="s">
        <v>5399</v>
      </c>
      <c r="AH56" s="5695" t="s">
        <v>5400</v>
      </c>
      <c r="AI56" s="5696" t="s">
        <v>5401</v>
      </c>
      <c r="AJ56" s="5695" t="s">
        <v>5402</v>
      </c>
      <c r="AK56" s="5697" t="s">
        <v>5403</v>
      </c>
      <c r="AL56" s="5698" t="s">
        <v>5404</v>
      </c>
      <c r="AM56" s="5699" t="s">
        <v>5405</v>
      </c>
      <c r="AN56" s="5660"/>
      <c r="AO56" s="4291"/>
      <c r="AP56" s="4291"/>
      <c r="AQ56" s="4291"/>
      <c r="AR56" s="4291"/>
      <c r="AS56" s="4291"/>
      <c r="AT56" s="4291"/>
      <c r="AU56" s="4291"/>
      <c r="AV56" s="4291"/>
      <c r="AW56" s="4291"/>
      <c r="AX56" s="4291"/>
      <c r="AY56" s="4291"/>
      <c r="AZ56" s="4264"/>
      <c r="BA56" s="4264"/>
      <c r="BB56" s="4264"/>
      <c r="BY56" s="4260"/>
      <c r="CG56" s="4295">
        <v>0</v>
      </c>
    </row>
    <row r="57" spans="1:107" ht="31.95" customHeight="1" x14ac:dyDescent="0.25">
      <c r="B57" s="4268" t="s">
        <v>3810</v>
      </c>
      <c r="C57" s="5628"/>
      <c r="D57" s="5576"/>
      <c r="E57" s="5576"/>
      <c r="F57" s="5576"/>
      <c r="R57" s="3940"/>
      <c r="S57" s="3940"/>
      <c r="T57" s="3940"/>
      <c r="U57" s="3940"/>
      <c r="V57" s="3940"/>
      <c r="W57" s="3940"/>
      <c r="AN57" s="4264"/>
      <c r="AO57" s="4264"/>
      <c r="AP57" s="4264"/>
      <c r="AQ57" s="4264"/>
      <c r="AR57" s="4264"/>
      <c r="AS57" s="4264"/>
      <c r="AT57" s="4264"/>
      <c r="AU57" s="4264"/>
      <c r="AV57" s="4264"/>
      <c r="AW57" s="4264"/>
      <c r="AX57" s="4264"/>
      <c r="AY57" s="4264"/>
      <c r="AZ57" s="4264"/>
      <c r="BA57" s="4264"/>
      <c r="BB57" s="4264"/>
      <c r="BC57" s="4264"/>
      <c r="DB57" s="4294">
        <v>0</v>
      </c>
    </row>
    <row r="58" spans="1:107" ht="16.2" customHeight="1" x14ac:dyDescent="0.25">
      <c r="B58" s="10247" t="s">
        <v>0</v>
      </c>
      <c r="C58" s="10267" t="s">
        <v>24</v>
      </c>
      <c r="D58" s="10266"/>
      <c r="E58" s="10266"/>
      <c r="F58" s="10291" t="s">
        <v>2</v>
      </c>
      <c r="G58" s="10292"/>
      <c r="H58" s="10292"/>
      <c r="I58" s="10292"/>
      <c r="J58" s="10292"/>
      <c r="K58" s="10292"/>
      <c r="L58" s="10292"/>
      <c r="M58" s="10292"/>
      <c r="N58" s="10292"/>
      <c r="O58" s="10292"/>
      <c r="P58" s="10292"/>
      <c r="Q58" s="10292"/>
      <c r="R58" s="10292"/>
      <c r="S58" s="10292"/>
      <c r="T58" s="10292"/>
      <c r="U58" s="10292"/>
      <c r="V58" s="10292"/>
      <c r="W58" s="10292"/>
      <c r="X58" s="10292"/>
      <c r="Y58" s="10292"/>
      <c r="Z58" s="10292"/>
      <c r="AA58" s="10292"/>
      <c r="AB58" s="10292"/>
      <c r="AC58" s="10292"/>
      <c r="AD58" s="10292"/>
      <c r="AE58" s="10292"/>
      <c r="AF58" s="10292"/>
      <c r="AG58" s="10292"/>
      <c r="AH58" s="10292"/>
      <c r="AI58" s="10292"/>
      <c r="AJ58" s="10292"/>
      <c r="AK58" s="10346"/>
      <c r="AL58" s="10328" t="s">
        <v>360</v>
      </c>
      <c r="AM58" s="4234"/>
      <c r="AN58" s="4264"/>
      <c r="AO58" s="4264"/>
      <c r="AP58" s="4264"/>
      <c r="AQ58" s="4264"/>
      <c r="AR58" s="4264"/>
      <c r="AS58" s="4264"/>
      <c r="AT58" s="4264"/>
      <c r="AU58" s="4264"/>
      <c r="AV58" s="4264"/>
      <c r="AW58" s="4264"/>
      <c r="AX58" s="4264"/>
      <c r="AY58" s="4264"/>
      <c r="AZ58" s="4264"/>
      <c r="BA58" s="4264"/>
      <c r="BB58" s="4264"/>
      <c r="BY58" s="4260"/>
    </row>
    <row r="59" spans="1:107" ht="16.2" customHeight="1" x14ac:dyDescent="0.25">
      <c r="B59" s="9055"/>
      <c r="C59" s="10286"/>
      <c r="D59" s="10287"/>
      <c r="E59" s="9055"/>
      <c r="F59" s="10267" t="s">
        <v>1912</v>
      </c>
      <c r="G59" s="10247"/>
      <c r="H59" s="10266" t="s">
        <v>1913</v>
      </c>
      <c r="I59" s="10266"/>
      <c r="J59" s="10267" t="s">
        <v>1914</v>
      </c>
      <c r="K59" s="10247"/>
      <c r="L59" s="10266" t="s">
        <v>1915</v>
      </c>
      <c r="M59" s="10266"/>
      <c r="N59" s="10267" t="s">
        <v>1916</v>
      </c>
      <c r="O59" s="10247"/>
      <c r="P59" s="10267" t="s">
        <v>1917</v>
      </c>
      <c r="Q59" s="10247"/>
      <c r="R59" s="10266" t="s">
        <v>1918</v>
      </c>
      <c r="S59" s="10266"/>
      <c r="T59" s="10267" t="s">
        <v>124</v>
      </c>
      <c r="U59" s="10247"/>
      <c r="V59" s="10266" t="s">
        <v>125</v>
      </c>
      <c r="W59" s="10266"/>
      <c r="X59" s="10267" t="s">
        <v>126</v>
      </c>
      <c r="Y59" s="10247"/>
      <c r="Z59" s="10266" t="s">
        <v>127</v>
      </c>
      <c r="AA59" s="10266"/>
      <c r="AB59" s="10267" t="s">
        <v>128</v>
      </c>
      <c r="AC59" s="10247"/>
      <c r="AD59" s="10266" t="s">
        <v>129</v>
      </c>
      <c r="AE59" s="10266"/>
      <c r="AF59" s="10267" t="s">
        <v>130</v>
      </c>
      <c r="AG59" s="10247"/>
      <c r="AH59" s="10266" t="s">
        <v>131</v>
      </c>
      <c r="AI59" s="10266"/>
      <c r="AJ59" s="10267" t="s">
        <v>1919</v>
      </c>
      <c r="AK59" s="10347"/>
      <c r="AL59" s="10328"/>
      <c r="AM59" s="4234"/>
      <c r="AN59" s="4264"/>
      <c r="AO59" s="4264"/>
      <c r="AP59" s="4264"/>
      <c r="AQ59" s="4264"/>
      <c r="AR59" s="4264"/>
      <c r="AS59" s="4264"/>
      <c r="AT59" s="4264"/>
      <c r="AU59" s="4264"/>
      <c r="AV59" s="4264"/>
      <c r="AW59" s="4264"/>
      <c r="AX59" s="4264"/>
      <c r="AY59" s="4264"/>
      <c r="AZ59" s="4264"/>
      <c r="BA59" s="4264"/>
      <c r="BB59" s="4264"/>
      <c r="BY59" s="4260"/>
    </row>
    <row r="60" spans="1:107" ht="16.2" customHeight="1" x14ac:dyDescent="0.25">
      <c r="B60" s="9055"/>
      <c r="C60" s="10275"/>
      <c r="D60" s="10276"/>
      <c r="E60" s="9056"/>
      <c r="F60" s="10275"/>
      <c r="G60" s="9056"/>
      <c r="H60" s="10276"/>
      <c r="I60" s="10276"/>
      <c r="J60" s="10275"/>
      <c r="K60" s="9056"/>
      <c r="L60" s="10276"/>
      <c r="M60" s="10276"/>
      <c r="N60" s="10275"/>
      <c r="O60" s="9056"/>
      <c r="P60" s="10275"/>
      <c r="Q60" s="9056"/>
      <c r="R60" s="10276"/>
      <c r="S60" s="10276"/>
      <c r="T60" s="10275"/>
      <c r="U60" s="9056"/>
      <c r="V60" s="10276"/>
      <c r="W60" s="10276"/>
      <c r="X60" s="10275"/>
      <c r="Y60" s="9056"/>
      <c r="Z60" s="10276"/>
      <c r="AA60" s="10276"/>
      <c r="AB60" s="10275"/>
      <c r="AC60" s="9056"/>
      <c r="AD60" s="10276"/>
      <c r="AE60" s="10276"/>
      <c r="AF60" s="10275"/>
      <c r="AG60" s="9056"/>
      <c r="AH60" s="10276"/>
      <c r="AI60" s="10276"/>
      <c r="AJ60" s="10275"/>
      <c r="AK60" s="10348"/>
      <c r="AL60" s="10328"/>
      <c r="AM60" s="4234"/>
      <c r="AN60" s="4264"/>
      <c r="AO60" s="4264"/>
      <c r="AP60" s="4264"/>
      <c r="AQ60" s="4264"/>
      <c r="AR60" s="4264"/>
      <c r="AS60" s="4264"/>
      <c r="AT60" s="4264"/>
      <c r="AU60" s="4264"/>
      <c r="AV60" s="4264"/>
      <c r="AW60" s="4264"/>
      <c r="AX60" s="4264"/>
      <c r="AY60" s="4264"/>
      <c r="AZ60" s="4264"/>
      <c r="BA60" s="4264"/>
      <c r="BB60" s="4264"/>
      <c r="BY60" s="4260"/>
      <c r="CH60" s="4295">
        <v>0</v>
      </c>
      <c r="CI60" s="4295">
        <v>0</v>
      </c>
    </row>
    <row r="61" spans="1:107" ht="16.2" customHeight="1" x14ac:dyDescent="0.25">
      <c r="B61" s="9056"/>
      <c r="C61" s="5140" t="s">
        <v>42</v>
      </c>
      <c r="D61" s="5630" t="s">
        <v>17</v>
      </c>
      <c r="E61" s="4531" t="s">
        <v>18</v>
      </c>
      <c r="F61" s="5577" t="s">
        <v>17</v>
      </c>
      <c r="G61" s="4531" t="s">
        <v>18</v>
      </c>
      <c r="H61" s="5630" t="s">
        <v>17</v>
      </c>
      <c r="I61" s="5700" t="s">
        <v>18</v>
      </c>
      <c r="J61" s="5577" t="s">
        <v>17</v>
      </c>
      <c r="K61" s="4531" t="s">
        <v>18</v>
      </c>
      <c r="L61" s="5630" t="s">
        <v>17</v>
      </c>
      <c r="M61" s="5700" t="s">
        <v>18</v>
      </c>
      <c r="N61" s="5577" t="s">
        <v>17</v>
      </c>
      <c r="O61" s="4531" t="s">
        <v>18</v>
      </c>
      <c r="P61" s="5577" t="s">
        <v>17</v>
      </c>
      <c r="Q61" s="4531" t="s">
        <v>18</v>
      </c>
      <c r="R61" s="5630" t="s">
        <v>17</v>
      </c>
      <c r="S61" s="5700" t="s">
        <v>18</v>
      </c>
      <c r="T61" s="5577" t="s">
        <v>17</v>
      </c>
      <c r="U61" s="4531" t="s">
        <v>18</v>
      </c>
      <c r="V61" s="5630" t="s">
        <v>17</v>
      </c>
      <c r="W61" s="5700" t="s">
        <v>18</v>
      </c>
      <c r="X61" s="5577" t="s">
        <v>17</v>
      </c>
      <c r="Y61" s="4531" t="s">
        <v>18</v>
      </c>
      <c r="Z61" s="5630" t="s">
        <v>17</v>
      </c>
      <c r="AA61" s="5700" t="s">
        <v>18</v>
      </c>
      <c r="AB61" s="5577" t="s">
        <v>17</v>
      </c>
      <c r="AC61" s="4531" t="s">
        <v>18</v>
      </c>
      <c r="AD61" s="5630" t="s">
        <v>17</v>
      </c>
      <c r="AE61" s="5700" t="s">
        <v>18</v>
      </c>
      <c r="AF61" s="5577" t="s">
        <v>17</v>
      </c>
      <c r="AG61" s="4531" t="s">
        <v>18</v>
      </c>
      <c r="AH61" s="5630" t="s">
        <v>17</v>
      </c>
      <c r="AI61" s="5700" t="s">
        <v>18</v>
      </c>
      <c r="AJ61" s="5577" t="s">
        <v>17</v>
      </c>
      <c r="AK61" s="5701" t="s">
        <v>18</v>
      </c>
      <c r="AL61" s="10328"/>
      <c r="AM61" s="4234"/>
      <c r="AN61" s="4264"/>
      <c r="AO61" s="4264"/>
      <c r="AP61" s="4264"/>
      <c r="AQ61" s="4264"/>
      <c r="AR61" s="4264"/>
      <c r="AS61" s="4264"/>
      <c r="AT61" s="4264"/>
      <c r="AU61" s="4264"/>
      <c r="AV61" s="4264"/>
      <c r="AW61" s="4264"/>
      <c r="AX61" s="4264"/>
      <c r="AY61" s="4264"/>
      <c r="AZ61" s="4264"/>
      <c r="BA61" s="4264"/>
      <c r="BB61" s="4264"/>
      <c r="BY61" s="4260"/>
      <c r="CH61" s="4295">
        <v>0</v>
      </c>
    </row>
    <row r="62" spans="1:107" ht="16.2" customHeight="1" x14ac:dyDescent="0.25">
      <c r="A62" s="7258">
        <v>23080200</v>
      </c>
      <c r="B62" s="5646" t="s">
        <v>19</v>
      </c>
      <c r="C62" s="5627" t="s">
        <v>5369</v>
      </c>
      <c r="D62" s="5571" t="s">
        <v>5370</v>
      </c>
      <c r="E62" s="5569" t="s">
        <v>5371</v>
      </c>
      <c r="F62" s="3868" t="s">
        <v>5372</v>
      </c>
      <c r="G62" s="3873" t="s">
        <v>5373</v>
      </c>
      <c r="H62" s="4990" t="s">
        <v>5374</v>
      </c>
      <c r="I62" s="5702" t="s">
        <v>5375</v>
      </c>
      <c r="J62" s="3868" t="s">
        <v>5376</v>
      </c>
      <c r="K62" s="3870" t="s">
        <v>5377</v>
      </c>
      <c r="L62" s="4990" t="s">
        <v>5378</v>
      </c>
      <c r="M62" s="5702" t="s">
        <v>5379</v>
      </c>
      <c r="N62" s="3868" t="s">
        <v>5380</v>
      </c>
      <c r="O62" s="3870" t="s">
        <v>5381</v>
      </c>
      <c r="P62" s="3868" t="s">
        <v>5382</v>
      </c>
      <c r="Q62" s="3870" t="s">
        <v>5383</v>
      </c>
      <c r="R62" s="4990" t="s">
        <v>5384</v>
      </c>
      <c r="S62" s="5702" t="s">
        <v>5385</v>
      </c>
      <c r="T62" s="3868" t="s">
        <v>5386</v>
      </c>
      <c r="U62" s="3870" t="s">
        <v>5387</v>
      </c>
      <c r="V62" s="4990" t="s">
        <v>5388</v>
      </c>
      <c r="W62" s="5702" t="s">
        <v>5389</v>
      </c>
      <c r="X62" s="3868" t="s">
        <v>5390</v>
      </c>
      <c r="Y62" s="3870" t="s">
        <v>5391</v>
      </c>
      <c r="Z62" s="4990" t="s">
        <v>5392</v>
      </c>
      <c r="AA62" s="5702" t="s">
        <v>5393</v>
      </c>
      <c r="AB62" s="3868" t="s">
        <v>5394</v>
      </c>
      <c r="AC62" s="3870" t="s">
        <v>5395</v>
      </c>
      <c r="AD62" s="4990" t="s">
        <v>5396</v>
      </c>
      <c r="AE62" s="5702" t="s">
        <v>5397</v>
      </c>
      <c r="AF62" s="3868" t="s">
        <v>5398</v>
      </c>
      <c r="AG62" s="3870" t="s">
        <v>5399</v>
      </c>
      <c r="AH62" s="4990" t="s">
        <v>5400</v>
      </c>
      <c r="AI62" s="5702" t="s">
        <v>5401</v>
      </c>
      <c r="AJ62" s="3868" t="s">
        <v>5402</v>
      </c>
      <c r="AK62" s="4989" t="s">
        <v>5403</v>
      </c>
      <c r="AL62" s="3873" t="s">
        <v>5404</v>
      </c>
      <c r="AM62" s="5660"/>
      <c r="AN62" s="4291"/>
      <c r="AO62" s="4291"/>
      <c r="AP62" s="4291"/>
      <c r="AQ62" s="4291"/>
      <c r="AR62" s="4291"/>
      <c r="AS62" s="4291"/>
      <c r="AT62" s="4291"/>
      <c r="AU62" s="4291"/>
      <c r="AV62" s="4291"/>
      <c r="AW62" s="4291"/>
      <c r="AX62" s="4291"/>
      <c r="AY62" s="4264"/>
      <c r="AZ62" s="4264"/>
      <c r="BA62" s="4264"/>
      <c r="BB62" s="4264"/>
      <c r="BY62" s="4260"/>
      <c r="CG62" s="4295">
        <v>0</v>
      </c>
      <c r="CH62" s="4295">
        <v>0</v>
      </c>
      <c r="CI62" s="4295">
        <v>0</v>
      </c>
      <c r="DA62" s="4295">
        <v>0</v>
      </c>
      <c r="DB62" s="4294">
        <v>0</v>
      </c>
      <c r="DC62" s="4294">
        <v>0</v>
      </c>
    </row>
    <row r="63" spans="1:107" ht="31.95" customHeight="1" x14ac:dyDescent="0.25">
      <c r="B63" s="4268" t="s">
        <v>3811</v>
      </c>
      <c r="C63" s="5628"/>
      <c r="D63" s="5576"/>
      <c r="E63" s="5576"/>
      <c r="F63" s="5576"/>
      <c r="N63" s="4268"/>
      <c r="O63" s="3914"/>
      <c r="P63" s="3914"/>
      <c r="Q63" s="3914"/>
      <c r="R63" s="3940"/>
      <c r="S63" s="3940"/>
      <c r="T63" s="3940"/>
      <c r="U63" s="3940"/>
      <c r="AN63" s="4234"/>
      <c r="AO63" s="4264"/>
      <c r="AP63" s="4264"/>
      <c r="AQ63" s="4264"/>
      <c r="AR63" s="4264"/>
      <c r="AS63" s="4264"/>
      <c r="AT63" s="4264"/>
      <c r="AU63" s="4264"/>
      <c r="AV63" s="4264"/>
      <c r="AW63" s="4264"/>
      <c r="AX63" s="4264"/>
      <c r="AY63" s="4264"/>
      <c r="AZ63" s="4264"/>
      <c r="BA63" s="4264"/>
      <c r="BB63" s="4264"/>
      <c r="BC63" s="4264"/>
      <c r="DB63" s="4294">
        <v>0</v>
      </c>
    </row>
    <row r="64" spans="1:107" ht="16.2" customHeight="1" x14ac:dyDescent="0.25">
      <c r="A64" s="7344"/>
      <c r="B64" s="10247" t="s">
        <v>0</v>
      </c>
      <c r="C64" s="10267" t="s">
        <v>24</v>
      </c>
      <c r="D64" s="10266"/>
      <c r="E64" s="10247"/>
      <c r="F64" s="10291" t="s">
        <v>2</v>
      </c>
      <c r="G64" s="10292"/>
      <c r="H64" s="10292"/>
      <c r="I64" s="10292"/>
      <c r="J64" s="10292"/>
      <c r="K64" s="10292"/>
      <c r="L64" s="10292"/>
      <c r="M64" s="10292"/>
      <c r="N64" s="10292"/>
      <c r="O64" s="10292"/>
      <c r="P64" s="10292"/>
      <c r="Q64" s="10292"/>
      <c r="R64" s="10292"/>
      <c r="S64" s="10292"/>
      <c r="T64" s="10292"/>
      <c r="U64" s="10292"/>
      <c r="V64" s="10292"/>
      <c r="W64" s="10292"/>
      <c r="X64" s="10292"/>
      <c r="Y64" s="10292"/>
      <c r="Z64" s="10292"/>
      <c r="AA64" s="10292"/>
      <c r="AB64" s="10292"/>
      <c r="AC64" s="10292"/>
      <c r="AD64" s="10292"/>
      <c r="AE64" s="10292"/>
      <c r="AF64" s="10292"/>
      <c r="AG64" s="10292"/>
      <c r="AH64" s="10292"/>
      <c r="AI64" s="10292"/>
      <c r="AJ64" s="10292"/>
      <c r="AK64" s="10346"/>
      <c r="AL64" s="10313" t="s">
        <v>360</v>
      </c>
      <c r="AM64" s="4234"/>
      <c r="AN64" s="4264"/>
      <c r="AO64" s="4264"/>
      <c r="AP64" s="4264"/>
      <c r="AQ64" s="4264"/>
      <c r="AR64" s="4264"/>
      <c r="AS64" s="4264"/>
      <c r="AT64" s="4264"/>
      <c r="AU64" s="4264"/>
      <c r="AV64" s="4264"/>
      <c r="AW64" s="4264"/>
      <c r="AX64" s="4264"/>
      <c r="AY64" s="4264"/>
      <c r="AZ64" s="4264"/>
      <c r="BA64" s="4264"/>
      <c r="BB64" s="4264"/>
      <c r="BY64" s="4260"/>
    </row>
    <row r="65" spans="1:107" ht="16.2" customHeight="1" x14ac:dyDescent="0.25">
      <c r="A65" s="7344"/>
      <c r="B65" s="9055"/>
      <c r="C65" s="10286"/>
      <c r="D65" s="10287"/>
      <c r="E65" s="9055"/>
      <c r="F65" s="10268" t="s">
        <v>1912</v>
      </c>
      <c r="G65" s="10269"/>
      <c r="H65" s="10265" t="s">
        <v>1913</v>
      </c>
      <c r="I65" s="10265"/>
      <c r="J65" s="10268" t="s">
        <v>1914</v>
      </c>
      <c r="K65" s="10269"/>
      <c r="L65" s="10265" t="s">
        <v>1915</v>
      </c>
      <c r="M65" s="10265"/>
      <c r="N65" s="10268" t="s">
        <v>1916</v>
      </c>
      <c r="O65" s="10269"/>
      <c r="P65" s="10265" t="s">
        <v>1917</v>
      </c>
      <c r="Q65" s="10265"/>
      <c r="R65" s="10268" t="s">
        <v>1918</v>
      </c>
      <c r="S65" s="10269"/>
      <c r="T65" s="10265" t="s">
        <v>124</v>
      </c>
      <c r="U65" s="10265"/>
      <c r="V65" s="10268" t="s">
        <v>125</v>
      </c>
      <c r="W65" s="10269"/>
      <c r="X65" s="10265" t="s">
        <v>126</v>
      </c>
      <c r="Y65" s="10265"/>
      <c r="Z65" s="10268" t="s">
        <v>127</v>
      </c>
      <c r="AA65" s="10269"/>
      <c r="AB65" s="10265" t="s">
        <v>128</v>
      </c>
      <c r="AC65" s="10265"/>
      <c r="AD65" s="10268" t="s">
        <v>129</v>
      </c>
      <c r="AE65" s="10269"/>
      <c r="AF65" s="10265" t="s">
        <v>130</v>
      </c>
      <c r="AG65" s="10265"/>
      <c r="AH65" s="10268" t="s">
        <v>131</v>
      </c>
      <c r="AI65" s="10269"/>
      <c r="AJ65" s="10268" t="s">
        <v>1919</v>
      </c>
      <c r="AK65" s="10355"/>
      <c r="AL65" s="9116"/>
      <c r="AM65" s="4234"/>
      <c r="AN65" s="4264"/>
      <c r="AO65" s="4264"/>
      <c r="AP65" s="4264"/>
      <c r="AQ65" s="4264"/>
      <c r="AR65" s="4264"/>
      <c r="AS65" s="4264"/>
      <c r="AT65" s="4264"/>
      <c r="AU65" s="4264"/>
      <c r="AV65" s="4264"/>
      <c r="AW65" s="4264"/>
      <c r="AX65" s="4264"/>
      <c r="AY65" s="4264"/>
      <c r="AZ65" s="4264"/>
      <c r="BA65" s="4264"/>
      <c r="BB65" s="4264"/>
      <c r="BY65" s="4260"/>
    </row>
    <row r="66" spans="1:107" ht="16.2" customHeight="1" x14ac:dyDescent="0.25">
      <c r="A66" s="7344"/>
      <c r="B66" s="9056"/>
      <c r="C66" s="5140" t="s">
        <v>42</v>
      </c>
      <c r="D66" s="5630" t="s">
        <v>17</v>
      </c>
      <c r="E66" s="4531" t="s">
        <v>18</v>
      </c>
      <c r="F66" s="4351" t="s">
        <v>17</v>
      </c>
      <c r="G66" s="4352" t="s">
        <v>18</v>
      </c>
      <c r="H66" s="5535" t="s">
        <v>17</v>
      </c>
      <c r="I66" s="4353" t="s">
        <v>18</v>
      </c>
      <c r="J66" s="4351" t="s">
        <v>17</v>
      </c>
      <c r="K66" s="4352" t="s">
        <v>18</v>
      </c>
      <c r="L66" s="5535" t="s">
        <v>17</v>
      </c>
      <c r="M66" s="4353" t="s">
        <v>18</v>
      </c>
      <c r="N66" s="4351" t="s">
        <v>17</v>
      </c>
      <c r="O66" s="4352" t="s">
        <v>18</v>
      </c>
      <c r="P66" s="5535" t="s">
        <v>17</v>
      </c>
      <c r="Q66" s="4353" t="s">
        <v>18</v>
      </c>
      <c r="R66" s="4351" t="s">
        <v>17</v>
      </c>
      <c r="S66" s="4352" t="s">
        <v>18</v>
      </c>
      <c r="T66" s="5535" t="s">
        <v>17</v>
      </c>
      <c r="U66" s="4353" t="s">
        <v>18</v>
      </c>
      <c r="V66" s="4351" t="s">
        <v>17</v>
      </c>
      <c r="W66" s="4352" t="s">
        <v>18</v>
      </c>
      <c r="X66" s="5535" t="s">
        <v>17</v>
      </c>
      <c r="Y66" s="4353" t="s">
        <v>18</v>
      </c>
      <c r="Z66" s="4351" t="s">
        <v>17</v>
      </c>
      <c r="AA66" s="4352" t="s">
        <v>18</v>
      </c>
      <c r="AB66" s="5535" t="s">
        <v>17</v>
      </c>
      <c r="AC66" s="4353" t="s">
        <v>18</v>
      </c>
      <c r="AD66" s="4351" t="s">
        <v>17</v>
      </c>
      <c r="AE66" s="4352" t="s">
        <v>18</v>
      </c>
      <c r="AF66" s="5535" t="s">
        <v>17</v>
      </c>
      <c r="AG66" s="4353" t="s">
        <v>18</v>
      </c>
      <c r="AH66" s="4351" t="s">
        <v>17</v>
      </c>
      <c r="AI66" s="4352" t="s">
        <v>18</v>
      </c>
      <c r="AJ66" s="4351" t="s">
        <v>17</v>
      </c>
      <c r="AK66" s="5579" t="s">
        <v>18</v>
      </c>
      <c r="AL66" s="9156"/>
      <c r="AM66" s="4234"/>
      <c r="AN66" s="4264"/>
      <c r="AO66" s="4264"/>
      <c r="AP66" s="4264"/>
      <c r="AQ66" s="4264"/>
      <c r="AR66" s="4264"/>
      <c r="AS66" s="4264"/>
      <c r="AT66" s="4264"/>
      <c r="AU66" s="4264"/>
      <c r="AV66" s="4264"/>
      <c r="AW66" s="4264"/>
      <c r="AX66" s="4264"/>
      <c r="AY66" s="4264"/>
      <c r="AZ66" s="4264"/>
      <c r="BA66" s="4264"/>
      <c r="BB66" s="4264"/>
      <c r="BY66" s="4260"/>
    </row>
    <row r="67" spans="1:107" ht="16.2" customHeight="1" x14ac:dyDescent="0.25">
      <c r="A67" s="7258">
        <v>23080300</v>
      </c>
      <c r="B67" s="5703" t="s">
        <v>19</v>
      </c>
      <c r="C67" s="5704" t="s">
        <v>5369</v>
      </c>
      <c r="D67" s="5705" t="s">
        <v>5370</v>
      </c>
      <c r="E67" s="5706" t="s">
        <v>5371</v>
      </c>
      <c r="F67" s="3893" t="s">
        <v>5372</v>
      </c>
      <c r="G67" s="5164" t="s">
        <v>5373</v>
      </c>
      <c r="H67" s="5162" t="s">
        <v>5374</v>
      </c>
      <c r="I67" s="5707" t="s">
        <v>5375</v>
      </c>
      <c r="J67" s="3893" t="s">
        <v>5376</v>
      </c>
      <c r="K67" s="4946" t="s">
        <v>5377</v>
      </c>
      <c r="L67" s="5162" t="s">
        <v>5378</v>
      </c>
      <c r="M67" s="5707" t="s">
        <v>5379</v>
      </c>
      <c r="N67" s="3893" t="s">
        <v>5380</v>
      </c>
      <c r="O67" s="4946" t="s">
        <v>5381</v>
      </c>
      <c r="P67" s="5162" t="s">
        <v>5382</v>
      </c>
      <c r="Q67" s="5707" t="s">
        <v>5383</v>
      </c>
      <c r="R67" s="3893" t="s">
        <v>5384</v>
      </c>
      <c r="S67" s="4946" t="s">
        <v>5385</v>
      </c>
      <c r="T67" s="5162" t="s">
        <v>5386</v>
      </c>
      <c r="U67" s="5707" t="s">
        <v>5387</v>
      </c>
      <c r="V67" s="3893" t="s">
        <v>5388</v>
      </c>
      <c r="W67" s="4946" t="s">
        <v>5389</v>
      </c>
      <c r="X67" s="5162" t="s">
        <v>5390</v>
      </c>
      <c r="Y67" s="5707" t="s">
        <v>5391</v>
      </c>
      <c r="Z67" s="3893" t="s">
        <v>5392</v>
      </c>
      <c r="AA67" s="4946" t="s">
        <v>5393</v>
      </c>
      <c r="AB67" s="5162" t="s">
        <v>5394</v>
      </c>
      <c r="AC67" s="5707" t="s">
        <v>5395</v>
      </c>
      <c r="AD67" s="3893" t="s">
        <v>5396</v>
      </c>
      <c r="AE67" s="4946" t="s">
        <v>5397</v>
      </c>
      <c r="AF67" s="5162" t="s">
        <v>5398</v>
      </c>
      <c r="AG67" s="5707" t="s">
        <v>5399</v>
      </c>
      <c r="AH67" s="3893" t="s">
        <v>5400</v>
      </c>
      <c r="AI67" s="4946" t="s">
        <v>5401</v>
      </c>
      <c r="AJ67" s="5708" t="s">
        <v>5402</v>
      </c>
      <c r="AK67" s="4415" t="s">
        <v>5403</v>
      </c>
      <c r="AL67" s="5709" t="s">
        <v>5404</v>
      </c>
      <c r="AM67" s="5660"/>
      <c r="AN67" s="4291"/>
      <c r="AO67" s="4291"/>
      <c r="AP67" s="4291"/>
      <c r="AQ67" s="4291"/>
      <c r="AR67" s="4291"/>
      <c r="AS67" s="4291"/>
      <c r="AT67" s="4291"/>
      <c r="AU67" s="4291"/>
      <c r="AV67" s="4291"/>
      <c r="AW67" s="4291"/>
      <c r="AX67" s="4291"/>
      <c r="AY67" s="4264"/>
      <c r="AZ67" s="4264"/>
      <c r="BA67" s="4264"/>
      <c r="BB67" s="4264"/>
      <c r="BY67" s="4260"/>
      <c r="CG67" s="4295">
        <v>0</v>
      </c>
      <c r="CH67" s="4295">
        <v>0</v>
      </c>
      <c r="DC67" s="4294">
        <v>0</v>
      </c>
    </row>
    <row r="68" spans="1:107" ht="16.2" customHeight="1" x14ac:dyDescent="0.25">
      <c r="A68" s="7258">
        <v>23080400</v>
      </c>
      <c r="B68" s="3898" t="s">
        <v>99</v>
      </c>
      <c r="C68" s="5689" t="s">
        <v>5369</v>
      </c>
      <c r="D68" s="5690" t="s">
        <v>5370</v>
      </c>
      <c r="E68" s="5710" t="s">
        <v>5371</v>
      </c>
      <c r="F68" s="4949" t="s">
        <v>5372</v>
      </c>
      <c r="G68" s="4951" t="s">
        <v>5373</v>
      </c>
      <c r="H68" s="5007" t="s">
        <v>5374</v>
      </c>
      <c r="I68" s="5229" t="s">
        <v>5375</v>
      </c>
      <c r="J68" s="4949" t="s">
        <v>5376</v>
      </c>
      <c r="K68" s="4137" t="s">
        <v>5377</v>
      </c>
      <c r="L68" s="5007" t="s">
        <v>5378</v>
      </c>
      <c r="M68" s="5229" t="s">
        <v>5379</v>
      </c>
      <c r="N68" s="4949" t="s">
        <v>5380</v>
      </c>
      <c r="O68" s="4137" t="s">
        <v>5381</v>
      </c>
      <c r="P68" s="5007" t="s">
        <v>5382</v>
      </c>
      <c r="Q68" s="5229" t="s">
        <v>5383</v>
      </c>
      <c r="R68" s="4949" t="s">
        <v>5384</v>
      </c>
      <c r="S68" s="4137" t="s">
        <v>5385</v>
      </c>
      <c r="T68" s="5007" t="s">
        <v>5386</v>
      </c>
      <c r="U68" s="5229" t="s">
        <v>5387</v>
      </c>
      <c r="V68" s="4949" t="s">
        <v>5388</v>
      </c>
      <c r="W68" s="4137" t="s">
        <v>5389</v>
      </c>
      <c r="X68" s="5007" t="s">
        <v>5390</v>
      </c>
      <c r="Y68" s="5229" t="s">
        <v>5391</v>
      </c>
      <c r="Z68" s="4949" t="s">
        <v>5392</v>
      </c>
      <c r="AA68" s="4137" t="s">
        <v>5393</v>
      </c>
      <c r="AB68" s="5007" t="s">
        <v>5394</v>
      </c>
      <c r="AC68" s="5229" t="s">
        <v>5395</v>
      </c>
      <c r="AD68" s="4949" t="s">
        <v>5396</v>
      </c>
      <c r="AE68" s="4137" t="s">
        <v>5397</v>
      </c>
      <c r="AF68" s="5007" t="s">
        <v>5398</v>
      </c>
      <c r="AG68" s="5229" t="s">
        <v>5399</v>
      </c>
      <c r="AH68" s="4949" t="s">
        <v>5400</v>
      </c>
      <c r="AI68" s="4137" t="s">
        <v>5401</v>
      </c>
      <c r="AJ68" s="5711" t="s">
        <v>5402</v>
      </c>
      <c r="AK68" s="4950" t="s">
        <v>5403</v>
      </c>
      <c r="AL68" s="4951" t="s">
        <v>5404</v>
      </c>
      <c r="AM68" s="5660"/>
      <c r="AN68" s="4291"/>
      <c r="AO68" s="4291"/>
      <c r="AP68" s="4291"/>
      <c r="AQ68" s="4291"/>
      <c r="AR68" s="4291"/>
      <c r="AS68" s="4291"/>
      <c r="AT68" s="4291"/>
      <c r="AU68" s="4291"/>
      <c r="AV68" s="4291"/>
      <c r="AW68" s="4291"/>
      <c r="AX68" s="4291"/>
      <c r="AY68" s="4264"/>
      <c r="AZ68" s="4264"/>
      <c r="BA68" s="4264"/>
      <c r="BB68" s="4264"/>
      <c r="BY68" s="4260"/>
      <c r="CG68" s="4295">
        <v>0</v>
      </c>
      <c r="CH68" s="4295">
        <v>0</v>
      </c>
      <c r="CI68" s="4295">
        <v>0</v>
      </c>
    </row>
    <row r="69" spans="1:107" ht="16.2" customHeight="1" x14ac:dyDescent="0.25">
      <c r="A69" s="7258">
        <v>23080500</v>
      </c>
      <c r="B69" s="5712" t="s">
        <v>103</v>
      </c>
      <c r="C69" s="5713" t="s">
        <v>5369</v>
      </c>
      <c r="D69" s="5714" t="s">
        <v>5370</v>
      </c>
      <c r="E69" s="5715" t="s">
        <v>5371</v>
      </c>
      <c r="F69" s="5033" t="s">
        <v>5372</v>
      </c>
      <c r="G69" s="5034" t="s">
        <v>5373</v>
      </c>
      <c r="H69" s="5038" t="s">
        <v>5374</v>
      </c>
      <c r="I69" s="5641" t="s">
        <v>5375</v>
      </c>
      <c r="J69" s="5033" t="s">
        <v>5376</v>
      </c>
      <c r="K69" s="5035" t="s">
        <v>5377</v>
      </c>
      <c r="L69" s="5038" t="s">
        <v>5378</v>
      </c>
      <c r="M69" s="5641" t="s">
        <v>5379</v>
      </c>
      <c r="N69" s="5033" t="s">
        <v>5380</v>
      </c>
      <c r="O69" s="5035" t="s">
        <v>5381</v>
      </c>
      <c r="P69" s="5038" t="s">
        <v>5382</v>
      </c>
      <c r="Q69" s="5641" t="s">
        <v>5383</v>
      </c>
      <c r="R69" s="5033" t="s">
        <v>5384</v>
      </c>
      <c r="S69" s="5035" t="s">
        <v>5385</v>
      </c>
      <c r="T69" s="5038" t="s">
        <v>5386</v>
      </c>
      <c r="U69" s="5641" t="s">
        <v>5387</v>
      </c>
      <c r="V69" s="5033" t="s">
        <v>5388</v>
      </c>
      <c r="W69" s="5035" t="s">
        <v>5389</v>
      </c>
      <c r="X69" s="5038" t="s">
        <v>5390</v>
      </c>
      <c r="Y69" s="5641" t="s">
        <v>5391</v>
      </c>
      <c r="Z69" s="5033" t="s">
        <v>5392</v>
      </c>
      <c r="AA69" s="5035" t="s">
        <v>5393</v>
      </c>
      <c r="AB69" s="5038" t="s">
        <v>5394</v>
      </c>
      <c r="AC69" s="5641" t="s">
        <v>5395</v>
      </c>
      <c r="AD69" s="5033" t="s">
        <v>5396</v>
      </c>
      <c r="AE69" s="5035" t="s">
        <v>5397</v>
      </c>
      <c r="AF69" s="5038" t="s">
        <v>5398</v>
      </c>
      <c r="AG69" s="5641" t="s">
        <v>5399</v>
      </c>
      <c r="AH69" s="5033" t="s">
        <v>5400</v>
      </c>
      <c r="AI69" s="5035" t="s">
        <v>5401</v>
      </c>
      <c r="AJ69" s="5642" t="s">
        <v>5402</v>
      </c>
      <c r="AK69" s="5036" t="s">
        <v>5403</v>
      </c>
      <c r="AL69" s="5044" t="s">
        <v>5404</v>
      </c>
      <c r="AM69" s="5660"/>
      <c r="AN69" s="4291"/>
      <c r="AO69" s="4291"/>
      <c r="AP69" s="4291"/>
      <c r="AQ69" s="4291"/>
      <c r="AR69" s="4291"/>
      <c r="AS69" s="4291"/>
      <c r="AT69" s="4291"/>
      <c r="AU69" s="4291"/>
      <c r="AV69" s="4291"/>
      <c r="AW69" s="4291"/>
      <c r="AX69" s="4291"/>
      <c r="AY69" s="4264"/>
      <c r="AZ69" s="4264"/>
      <c r="BA69" s="4264"/>
      <c r="BB69" s="4264"/>
      <c r="BY69" s="4260"/>
      <c r="CG69" s="4295">
        <v>0</v>
      </c>
      <c r="CH69" s="4295">
        <v>0</v>
      </c>
      <c r="CI69" s="4295">
        <v>0</v>
      </c>
    </row>
    <row r="70" spans="1:107" ht="16.2" customHeight="1" x14ac:dyDescent="0.25">
      <c r="A70" s="7298"/>
      <c r="B70" s="5716" t="s">
        <v>24</v>
      </c>
      <c r="C70" s="5627">
        <f t="shared" ref="C70:L70" si="2">SUM(C67:C69)</f>
        <v>0</v>
      </c>
      <c r="D70" s="5571">
        <f t="shared" si="2"/>
        <v>0</v>
      </c>
      <c r="E70" s="5569">
        <f t="shared" si="2"/>
        <v>0</v>
      </c>
      <c r="F70" s="4986">
        <f t="shared" si="2"/>
        <v>0</v>
      </c>
      <c r="G70" s="4988">
        <f t="shared" si="2"/>
        <v>0</v>
      </c>
      <c r="H70" s="5031">
        <f t="shared" si="2"/>
        <v>0</v>
      </c>
      <c r="I70" s="5644">
        <f t="shared" si="2"/>
        <v>0</v>
      </c>
      <c r="J70" s="4986">
        <f t="shared" si="2"/>
        <v>0</v>
      </c>
      <c r="K70" s="5029">
        <f t="shared" si="2"/>
        <v>0</v>
      </c>
      <c r="L70" s="5031">
        <f t="shared" si="2"/>
        <v>0</v>
      </c>
      <c r="M70" s="5644">
        <f t="shared" ref="M70:AL70" si="3">SUM(M67:M69)</f>
        <v>0</v>
      </c>
      <c r="N70" s="4986">
        <f t="shared" si="3"/>
        <v>0</v>
      </c>
      <c r="O70" s="5029">
        <f t="shared" si="3"/>
        <v>0</v>
      </c>
      <c r="P70" s="5031">
        <f t="shared" si="3"/>
        <v>0</v>
      </c>
      <c r="Q70" s="5644">
        <f t="shared" si="3"/>
        <v>0</v>
      </c>
      <c r="R70" s="4986">
        <f t="shared" si="3"/>
        <v>0</v>
      </c>
      <c r="S70" s="5029">
        <f t="shared" si="3"/>
        <v>0</v>
      </c>
      <c r="T70" s="5031">
        <f t="shared" si="3"/>
        <v>0</v>
      </c>
      <c r="U70" s="5644">
        <f t="shared" si="3"/>
        <v>0</v>
      </c>
      <c r="V70" s="4986">
        <f t="shared" si="3"/>
        <v>0</v>
      </c>
      <c r="W70" s="5029">
        <f t="shared" si="3"/>
        <v>0</v>
      </c>
      <c r="X70" s="5031">
        <f t="shared" si="3"/>
        <v>0</v>
      </c>
      <c r="Y70" s="5644">
        <f t="shared" si="3"/>
        <v>0</v>
      </c>
      <c r="Z70" s="4986">
        <f t="shared" si="3"/>
        <v>0</v>
      </c>
      <c r="AA70" s="5029">
        <f t="shared" si="3"/>
        <v>0</v>
      </c>
      <c r="AB70" s="5031">
        <f t="shared" si="3"/>
        <v>0</v>
      </c>
      <c r="AC70" s="5644">
        <f t="shared" si="3"/>
        <v>0</v>
      </c>
      <c r="AD70" s="4986">
        <f t="shared" si="3"/>
        <v>0</v>
      </c>
      <c r="AE70" s="5029">
        <f t="shared" si="3"/>
        <v>0</v>
      </c>
      <c r="AF70" s="5031">
        <f t="shared" si="3"/>
        <v>0</v>
      </c>
      <c r="AG70" s="5644">
        <f t="shared" si="3"/>
        <v>0</v>
      </c>
      <c r="AH70" s="4986">
        <f t="shared" si="3"/>
        <v>0</v>
      </c>
      <c r="AI70" s="5029">
        <f t="shared" si="3"/>
        <v>0</v>
      </c>
      <c r="AJ70" s="5645">
        <f t="shared" si="3"/>
        <v>0</v>
      </c>
      <c r="AK70" s="5030">
        <f t="shared" si="3"/>
        <v>0</v>
      </c>
      <c r="AL70" s="4988">
        <f t="shared" si="3"/>
        <v>0</v>
      </c>
      <c r="AM70" s="5717"/>
      <c r="AN70" s="4264"/>
      <c r="AO70" s="4264"/>
      <c r="AP70" s="4264"/>
      <c r="AQ70" s="4264"/>
      <c r="AR70" s="4264"/>
      <c r="AS70" s="4264"/>
      <c r="AT70" s="4264"/>
      <c r="AU70" s="4264"/>
      <c r="AV70" s="4264"/>
      <c r="AW70" s="4264"/>
      <c r="AX70" s="4264"/>
      <c r="AY70" s="4264"/>
      <c r="AZ70" s="4264"/>
      <c r="BA70" s="4264"/>
      <c r="BB70" s="4264"/>
      <c r="BY70" s="4260"/>
    </row>
    <row r="71" spans="1:107" ht="25.2" customHeight="1" x14ac:dyDescent="0.25">
      <c r="B71" s="5053" t="s">
        <v>3812</v>
      </c>
      <c r="C71" s="5628"/>
      <c r="D71" s="5576"/>
      <c r="E71" s="5576"/>
      <c r="F71" s="5576"/>
      <c r="N71" s="4268"/>
      <c r="O71" s="3914"/>
      <c r="P71" s="3914"/>
      <c r="Q71" s="3914"/>
      <c r="R71" s="3940"/>
      <c r="S71" s="3940"/>
      <c r="T71" s="3940"/>
      <c r="U71" s="3940"/>
      <c r="AM71" s="4264"/>
      <c r="AN71" s="4264"/>
      <c r="AO71" s="5629"/>
      <c r="AP71" s="4264"/>
      <c r="AQ71" s="4264"/>
      <c r="AR71" s="4264"/>
      <c r="AS71" s="4264"/>
      <c r="AT71" s="4264"/>
      <c r="AU71" s="4264"/>
      <c r="AV71" s="4264"/>
      <c r="AW71" s="4264"/>
      <c r="AX71" s="4264"/>
      <c r="AY71" s="4264"/>
      <c r="AZ71" s="4264"/>
      <c r="BA71" s="4264"/>
      <c r="BB71" s="4264"/>
      <c r="BC71" s="4264"/>
    </row>
    <row r="72" spans="1:107" ht="16.2" customHeight="1" x14ac:dyDescent="0.25">
      <c r="A72" s="7344"/>
      <c r="B72" s="10247" t="s">
        <v>0</v>
      </c>
      <c r="C72" s="10267" t="s">
        <v>24</v>
      </c>
      <c r="D72" s="10266"/>
      <c r="E72" s="10247"/>
      <c r="F72" s="10291" t="s">
        <v>2</v>
      </c>
      <c r="G72" s="10292"/>
      <c r="H72" s="10292"/>
      <c r="I72" s="10292"/>
      <c r="J72" s="10292"/>
      <c r="K72" s="10292"/>
      <c r="L72" s="10292"/>
      <c r="M72" s="10292"/>
      <c r="N72" s="10292"/>
      <c r="O72" s="10292"/>
      <c r="P72" s="10292"/>
      <c r="Q72" s="10292"/>
      <c r="R72" s="10292"/>
      <c r="S72" s="10292"/>
      <c r="T72" s="10292"/>
      <c r="U72" s="10292"/>
      <c r="V72" s="10292"/>
      <c r="W72" s="10292"/>
      <c r="X72" s="10292"/>
      <c r="Y72" s="10292"/>
      <c r="Z72" s="10292"/>
      <c r="AA72" s="10292"/>
      <c r="AB72" s="10292"/>
      <c r="AC72" s="10292"/>
      <c r="AD72" s="10292"/>
      <c r="AE72" s="10292"/>
      <c r="AF72" s="10292"/>
      <c r="AG72" s="10292"/>
      <c r="AH72" s="10292"/>
      <c r="AI72" s="10292"/>
      <c r="AJ72" s="10292"/>
      <c r="AK72" s="10346"/>
      <c r="AL72" s="10352" t="s">
        <v>360</v>
      </c>
      <c r="AM72" s="10349" t="s">
        <v>2902</v>
      </c>
      <c r="AN72" s="4264"/>
      <c r="AO72" s="4264"/>
      <c r="AP72" s="4264"/>
      <c r="AQ72" s="4264"/>
      <c r="AR72" s="4264"/>
      <c r="AS72" s="4264"/>
      <c r="AT72" s="4264"/>
      <c r="AU72" s="4264"/>
      <c r="AV72" s="4264"/>
      <c r="AW72" s="4264"/>
      <c r="AX72" s="4264"/>
      <c r="AY72" s="4264"/>
      <c r="AZ72" s="4264"/>
      <c r="BA72" s="4264"/>
      <c r="BB72" s="4264"/>
      <c r="BY72" s="4260"/>
    </row>
    <row r="73" spans="1:107" ht="16.2" customHeight="1" x14ac:dyDescent="0.25">
      <c r="A73" s="7344"/>
      <c r="B73" s="9055"/>
      <c r="C73" s="10275"/>
      <c r="D73" s="10276"/>
      <c r="E73" s="9056"/>
      <c r="F73" s="10268" t="s">
        <v>1912</v>
      </c>
      <c r="G73" s="10269"/>
      <c r="H73" s="10268" t="s">
        <v>1913</v>
      </c>
      <c r="I73" s="10269"/>
      <c r="J73" s="10268" t="s">
        <v>1914</v>
      </c>
      <c r="K73" s="10269"/>
      <c r="L73" s="10268" t="s">
        <v>1915</v>
      </c>
      <c r="M73" s="10269"/>
      <c r="N73" s="10268" t="s">
        <v>1916</v>
      </c>
      <c r="O73" s="10269"/>
      <c r="P73" s="10268" t="s">
        <v>1917</v>
      </c>
      <c r="Q73" s="10269"/>
      <c r="R73" s="10268" t="s">
        <v>1918</v>
      </c>
      <c r="S73" s="10269"/>
      <c r="T73" s="10268" t="s">
        <v>124</v>
      </c>
      <c r="U73" s="10269"/>
      <c r="V73" s="10268" t="s">
        <v>125</v>
      </c>
      <c r="W73" s="10269"/>
      <c r="X73" s="10268" t="s">
        <v>126</v>
      </c>
      <c r="Y73" s="10269"/>
      <c r="Z73" s="10268" t="s">
        <v>127</v>
      </c>
      <c r="AA73" s="10269"/>
      <c r="AB73" s="10268" t="s">
        <v>128</v>
      </c>
      <c r="AC73" s="10269"/>
      <c r="AD73" s="10268" t="s">
        <v>129</v>
      </c>
      <c r="AE73" s="10269"/>
      <c r="AF73" s="10268" t="s">
        <v>130</v>
      </c>
      <c r="AG73" s="10269"/>
      <c r="AH73" s="10268" t="s">
        <v>131</v>
      </c>
      <c r="AI73" s="10269"/>
      <c r="AJ73" s="10268" t="s">
        <v>1919</v>
      </c>
      <c r="AK73" s="10355"/>
      <c r="AL73" s="10353"/>
      <c r="AM73" s="10350"/>
      <c r="AN73" s="4264"/>
      <c r="AO73" s="4264"/>
      <c r="AP73" s="4264"/>
      <c r="AQ73" s="4264"/>
      <c r="AR73" s="4264"/>
      <c r="AS73" s="4264"/>
      <c r="AT73" s="4264"/>
      <c r="AU73" s="4264"/>
      <c r="AV73" s="4264"/>
      <c r="AW73" s="4264"/>
      <c r="AX73" s="4264"/>
      <c r="AY73" s="4264"/>
      <c r="AZ73" s="4264"/>
      <c r="BA73" s="4264"/>
      <c r="BB73" s="4264"/>
      <c r="BY73" s="4260"/>
    </row>
    <row r="74" spans="1:107" ht="16.2" customHeight="1" x14ac:dyDescent="0.25">
      <c r="A74" s="7344"/>
      <c r="B74" s="9056"/>
      <c r="C74" s="5140" t="s">
        <v>42</v>
      </c>
      <c r="D74" s="5630" t="s">
        <v>17</v>
      </c>
      <c r="E74" s="4531" t="s">
        <v>18</v>
      </c>
      <c r="F74" s="4982" t="s">
        <v>17</v>
      </c>
      <c r="G74" s="4983" t="s">
        <v>18</v>
      </c>
      <c r="H74" s="5055" t="s">
        <v>17</v>
      </c>
      <c r="I74" s="5056" t="s">
        <v>18</v>
      </c>
      <c r="J74" s="4982" t="s">
        <v>17</v>
      </c>
      <c r="K74" s="4983" t="s">
        <v>18</v>
      </c>
      <c r="L74" s="4982" t="s">
        <v>17</v>
      </c>
      <c r="M74" s="4983" t="s">
        <v>18</v>
      </c>
      <c r="N74" s="5055" t="s">
        <v>17</v>
      </c>
      <c r="O74" s="5056" t="s">
        <v>18</v>
      </c>
      <c r="P74" s="4982" t="s">
        <v>17</v>
      </c>
      <c r="Q74" s="4983" t="s">
        <v>18</v>
      </c>
      <c r="R74" s="5055" t="s">
        <v>17</v>
      </c>
      <c r="S74" s="5056" t="s">
        <v>18</v>
      </c>
      <c r="T74" s="4982" t="s">
        <v>17</v>
      </c>
      <c r="U74" s="4983" t="s">
        <v>18</v>
      </c>
      <c r="V74" s="5055" t="s">
        <v>17</v>
      </c>
      <c r="W74" s="5056" t="s">
        <v>18</v>
      </c>
      <c r="X74" s="4982" t="s">
        <v>17</v>
      </c>
      <c r="Y74" s="4983" t="s">
        <v>18</v>
      </c>
      <c r="Z74" s="5055" t="s">
        <v>17</v>
      </c>
      <c r="AA74" s="5056" t="s">
        <v>18</v>
      </c>
      <c r="AB74" s="4982" t="s">
        <v>17</v>
      </c>
      <c r="AC74" s="4983" t="s">
        <v>18</v>
      </c>
      <c r="AD74" s="5055" t="s">
        <v>17</v>
      </c>
      <c r="AE74" s="5056" t="s">
        <v>18</v>
      </c>
      <c r="AF74" s="4982" t="s">
        <v>17</v>
      </c>
      <c r="AG74" s="4983" t="s">
        <v>18</v>
      </c>
      <c r="AH74" s="5055" t="s">
        <v>17</v>
      </c>
      <c r="AI74" s="5056" t="s">
        <v>18</v>
      </c>
      <c r="AJ74" s="4982" t="s">
        <v>17</v>
      </c>
      <c r="AK74" s="4984" t="s">
        <v>18</v>
      </c>
      <c r="AL74" s="10354"/>
      <c r="AM74" s="10351"/>
      <c r="AN74" s="4264"/>
      <c r="AO74" s="4264"/>
      <c r="AP74" s="4264"/>
      <c r="AQ74" s="4264"/>
      <c r="AR74" s="4264"/>
      <c r="AS74" s="4264"/>
      <c r="AT74" s="4264"/>
      <c r="AU74" s="4264"/>
      <c r="AV74" s="4264"/>
      <c r="AW74" s="4264"/>
      <c r="AX74" s="4264"/>
      <c r="AY74" s="4264"/>
      <c r="AZ74" s="4264"/>
      <c r="BA74" s="4264"/>
      <c r="BB74" s="4264"/>
      <c r="BY74" s="4260"/>
    </row>
    <row r="75" spans="1:107" ht="16.2" customHeight="1" x14ac:dyDescent="0.25">
      <c r="A75" s="7258">
        <v>23090450</v>
      </c>
      <c r="B75" s="5631" t="s">
        <v>99</v>
      </c>
      <c r="C75" s="5102" t="s">
        <v>5369</v>
      </c>
      <c r="D75" s="5632" t="s">
        <v>5370</v>
      </c>
      <c r="E75" s="5633" t="s">
        <v>5371</v>
      </c>
      <c r="F75" s="4999" t="s">
        <v>5372</v>
      </c>
      <c r="G75" s="4038" t="s">
        <v>5373</v>
      </c>
      <c r="H75" s="5000" t="s">
        <v>5374</v>
      </c>
      <c r="I75" s="5634" t="s">
        <v>5375</v>
      </c>
      <c r="J75" s="4999" t="s">
        <v>5376</v>
      </c>
      <c r="K75" s="4947" t="s">
        <v>5377</v>
      </c>
      <c r="L75" s="4999" t="s">
        <v>5378</v>
      </c>
      <c r="M75" s="4947" t="s">
        <v>5379</v>
      </c>
      <c r="N75" s="5000" t="s">
        <v>5380</v>
      </c>
      <c r="O75" s="5634" t="s">
        <v>5381</v>
      </c>
      <c r="P75" s="4999" t="s">
        <v>5382</v>
      </c>
      <c r="Q75" s="4947" t="s">
        <v>5383</v>
      </c>
      <c r="R75" s="5000" t="s">
        <v>5384</v>
      </c>
      <c r="S75" s="5634" t="s">
        <v>5385</v>
      </c>
      <c r="T75" s="4999" t="s">
        <v>5386</v>
      </c>
      <c r="U75" s="4947" t="s">
        <v>5387</v>
      </c>
      <c r="V75" s="5000" t="s">
        <v>5388</v>
      </c>
      <c r="W75" s="5634" t="s">
        <v>5389</v>
      </c>
      <c r="X75" s="4999" t="s">
        <v>5390</v>
      </c>
      <c r="Y75" s="4947" t="s">
        <v>5391</v>
      </c>
      <c r="Z75" s="5000" t="s">
        <v>5392</v>
      </c>
      <c r="AA75" s="5634" t="s">
        <v>5393</v>
      </c>
      <c r="AB75" s="4999" t="s">
        <v>5394</v>
      </c>
      <c r="AC75" s="4947" t="s">
        <v>5395</v>
      </c>
      <c r="AD75" s="5000" t="s">
        <v>5396</v>
      </c>
      <c r="AE75" s="5634" t="s">
        <v>5397</v>
      </c>
      <c r="AF75" s="4999" t="s">
        <v>5398</v>
      </c>
      <c r="AG75" s="4947" t="s">
        <v>5399</v>
      </c>
      <c r="AH75" s="5000" t="s">
        <v>5400</v>
      </c>
      <c r="AI75" s="5634" t="s">
        <v>5401</v>
      </c>
      <c r="AJ75" s="5635" t="s">
        <v>5402</v>
      </c>
      <c r="AK75" s="3907" t="s">
        <v>5403</v>
      </c>
      <c r="AL75" s="4038" t="s">
        <v>5404</v>
      </c>
      <c r="AM75" s="5636" t="s">
        <v>5405</v>
      </c>
      <c r="AN75" s="4260"/>
      <c r="AO75" s="4264"/>
      <c r="AP75" s="4264"/>
      <c r="AQ75" s="4264"/>
      <c r="AR75" s="4264"/>
      <c r="AS75" s="4264"/>
      <c r="AT75" s="4264"/>
      <c r="AU75" s="4264"/>
      <c r="AV75" s="4264"/>
      <c r="AW75" s="4264"/>
      <c r="AX75" s="4264"/>
      <c r="AY75" s="4264"/>
      <c r="AZ75" s="4264"/>
      <c r="BA75" s="4264"/>
      <c r="BB75" s="4264"/>
      <c r="BY75" s="4260"/>
      <c r="DB75" s="4294">
        <v>0</v>
      </c>
    </row>
    <row r="76" spans="1:107" ht="16.2" customHeight="1" x14ac:dyDescent="0.25">
      <c r="A76" s="7258">
        <v>23090460</v>
      </c>
      <c r="B76" s="5637" t="s">
        <v>103</v>
      </c>
      <c r="C76" s="5638" t="s">
        <v>5369</v>
      </c>
      <c r="D76" s="5639" t="s">
        <v>5370</v>
      </c>
      <c r="E76" s="5640" t="s">
        <v>5371</v>
      </c>
      <c r="F76" s="5033" t="s">
        <v>5372</v>
      </c>
      <c r="G76" s="5034" t="s">
        <v>5373</v>
      </c>
      <c r="H76" s="5038" t="s">
        <v>5374</v>
      </c>
      <c r="I76" s="5641" t="s">
        <v>5375</v>
      </c>
      <c r="J76" s="5033" t="s">
        <v>5376</v>
      </c>
      <c r="K76" s="5035" t="s">
        <v>5377</v>
      </c>
      <c r="L76" s="5033" t="s">
        <v>5378</v>
      </c>
      <c r="M76" s="5035" t="s">
        <v>5379</v>
      </c>
      <c r="N76" s="5038" t="s">
        <v>5380</v>
      </c>
      <c r="O76" s="5641" t="s">
        <v>5381</v>
      </c>
      <c r="P76" s="5033" t="s">
        <v>5382</v>
      </c>
      <c r="Q76" s="5035" t="s">
        <v>5383</v>
      </c>
      <c r="R76" s="5038" t="s">
        <v>5384</v>
      </c>
      <c r="S76" s="5641" t="s">
        <v>5385</v>
      </c>
      <c r="T76" s="5033" t="s">
        <v>5386</v>
      </c>
      <c r="U76" s="5035" t="s">
        <v>5387</v>
      </c>
      <c r="V76" s="5038" t="s">
        <v>5388</v>
      </c>
      <c r="W76" s="5641" t="s">
        <v>5389</v>
      </c>
      <c r="X76" s="5033" t="s">
        <v>5390</v>
      </c>
      <c r="Y76" s="5035" t="s">
        <v>5391</v>
      </c>
      <c r="Z76" s="5038" t="s">
        <v>5392</v>
      </c>
      <c r="AA76" s="5641" t="s">
        <v>5393</v>
      </c>
      <c r="AB76" s="5033" t="s">
        <v>5394</v>
      </c>
      <c r="AC76" s="5035" t="s">
        <v>5395</v>
      </c>
      <c r="AD76" s="5038" t="s">
        <v>5396</v>
      </c>
      <c r="AE76" s="5641" t="s">
        <v>5397</v>
      </c>
      <c r="AF76" s="5136" t="s">
        <v>5398</v>
      </c>
      <c r="AG76" s="5157" t="s">
        <v>5399</v>
      </c>
      <c r="AH76" s="5038" t="s">
        <v>5400</v>
      </c>
      <c r="AI76" s="5641" t="s">
        <v>5401</v>
      </c>
      <c r="AJ76" s="5642" t="s">
        <v>5402</v>
      </c>
      <c r="AK76" s="5036" t="s">
        <v>5403</v>
      </c>
      <c r="AL76" s="5044" t="s">
        <v>5404</v>
      </c>
      <c r="AM76" s="5047" t="s">
        <v>5405</v>
      </c>
      <c r="AN76" s="4260"/>
      <c r="AO76" s="4264"/>
      <c r="AP76" s="4264"/>
      <c r="AQ76" s="4264"/>
      <c r="AR76" s="4264"/>
      <c r="AS76" s="4264"/>
      <c r="AT76" s="4264"/>
      <c r="AU76" s="4264"/>
      <c r="AV76" s="4264"/>
      <c r="AW76" s="4264"/>
      <c r="AX76" s="4264"/>
      <c r="AY76" s="4264"/>
      <c r="AZ76" s="4264"/>
      <c r="BA76" s="4264"/>
      <c r="BB76" s="4264"/>
      <c r="BY76" s="4260"/>
      <c r="CH76" s="4295">
        <v>0</v>
      </c>
    </row>
    <row r="77" spans="1:107" ht="16.2" customHeight="1" x14ac:dyDescent="0.25">
      <c r="A77" s="7298"/>
      <c r="B77" s="5643" t="s">
        <v>24</v>
      </c>
      <c r="C77" s="5627">
        <f t="shared" ref="C77:AL77" si="4">SUM(C75:C76)</f>
        <v>0</v>
      </c>
      <c r="D77" s="5571">
        <f>SUM(D75:D76)</f>
        <v>0</v>
      </c>
      <c r="E77" s="5569">
        <f t="shared" si="4"/>
        <v>0</v>
      </c>
      <c r="F77" s="4986">
        <f>SUM(F75:F76)</f>
        <v>0</v>
      </c>
      <c r="G77" s="4988">
        <f t="shared" si="4"/>
        <v>0</v>
      </c>
      <c r="H77" s="5031">
        <f t="shared" si="4"/>
        <v>0</v>
      </c>
      <c r="I77" s="5644">
        <f t="shared" si="4"/>
        <v>0</v>
      </c>
      <c r="J77" s="4986">
        <f t="shared" si="4"/>
        <v>0</v>
      </c>
      <c r="K77" s="5029">
        <f t="shared" si="4"/>
        <v>0</v>
      </c>
      <c r="L77" s="4986">
        <f t="shared" si="4"/>
        <v>0</v>
      </c>
      <c r="M77" s="5029">
        <f t="shared" si="4"/>
        <v>0</v>
      </c>
      <c r="N77" s="5031">
        <f t="shared" si="4"/>
        <v>0</v>
      </c>
      <c r="O77" s="5644">
        <f t="shared" si="4"/>
        <v>0</v>
      </c>
      <c r="P77" s="4986">
        <f t="shared" si="4"/>
        <v>0</v>
      </c>
      <c r="Q77" s="5029">
        <f t="shared" si="4"/>
        <v>0</v>
      </c>
      <c r="R77" s="5031">
        <f t="shared" si="4"/>
        <v>0</v>
      </c>
      <c r="S77" s="5644">
        <f t="shared" si="4"/>
        <v>0</v>
      </c>
      <c r="T77" s="4986">
        <f t="shared" si="4"/>
        <v>0</v>
      </c>
      <c r="U77" s="5029">
        <f t="shared" si="4"/>
        <v>0</v>
      </c>
      <c r="V77" s="5031">
        <f t="shared" si="4"/>
        <v>0</v>
      </c>
      <c r="W77" s="5644">
        <f t="shared" si="4"/>
        <v>0</v>
      </c>
      <c r="X77" s="4986">
        <f t="shared" si="4"/>
        <v>0</v>
      </c>
      <c r="Y77" s="5029">
        <f t="shared" si="4"/>
        <v>0</v>
      </c>
      <c r="Z77" s="5031">
        <f t="shared" si="4"/>
        <v>0</v>
      </c>
      <c r="AA77" s="5644">
        <f t="shared" si="4"/>
        <v>0</v>
      </c>
      <c r="AB77" s="4986">
        <f t="shared" si="4"/>
        <v>0</v>
      </c>
      <c r="AC77" s="5029">
        <f t="shared" si="4"/>
        <v>0</v>
      </c>
      <c r="AD77" s="5031">
        <f t="shared" si="4"/>
        <v>0</v>
      </c>
      <c r="AE77" s="4987">
        <f t="shared" si="4"/>
        <v>0</v>
      </c>
      <c r="AF77" s="4987">
        <f t="shared" si="4"/>
        <v>0</v>
      </c>
      <c r="AG77" s="4987">
        <f t="shared" si="4"/>
        <v>0</v>
      </c>
      <c r="AH77" s="4987">
        <f t="shared" si="4"/>
        <v>0</v>
      </c>
      <c r="AI77" s="5644">
        <f t="shared" si="4"/>
        <v>0</v>
      </c>
      <c r="AJ77" s="5645">
        <f t="shared" si="4"/>
        <v>0</v>
      </c>
      <c r="AK77" s="5030">
        <f t="shared" si="4"/>
        <v>0</v>
      </c>
      <c r="AL77" s="4988">
        <f t="shared" si="4"/>
        <v>0</v>
      </c>
      <c r="AM77" s="5646">
        <f>SUM(AM75:AM76)</f>
        <v>0</v>
      </c>
      <c r="AN77" s="4264"/>
      <c r="AO77" s="4264"/>
      <c r="AP77" s="4264"/>
      <c r="AQ77" s="4264"/>
      <c r="AR77" s="4264"/>
      <c r="AS77" s="4264"/>
      <c r="AT77" s="4264"/>
      <c r="AU77" s="4264"/>
      <c r="AV77" s="4264"/>
      <c r="AW77" s="4264"/>
      <c r="AX77" s="4264"/>
      <c r="AY77" s="4264"/>
      <c r="AZ77" s="4264"/>
      <c r="BA77" s="4264"/>
      <c r="BB77" s="4264"/>
      <c r="BY77" s="4260"/>
      <c r="CH77" s="4295">
        <v>0</v>
      </c>
    </row>
    <row r="78" spans="1:107" ht="31.95" customHeight="1" x14ac:dyDescent="0.25">
      <c r="B78" s="4268" t="s">
        <v>1948</v>
      </c>
      <c r="C78" s="5628"/>
      <c r="D78" s="5576"/>
      <c r="E78" s="5576"/>
      <c r="F78" s="5576"/>
      <c r="G78" s="4268"/>
      <c r="N78" s="4268"/>
      <c r="R78" s="3940"/>
      <c r="S78" s="3940"/>
      <c r="T78" s="3940"/>
      <c r="U78" s="3940"/>
      <c r="V78" s="3940"/>
      <c r="W78" s="3940"/>
      <c r="AN78" s="4264"/>
      <c r="AO78" s="4264"/>
      <c r="AP78" s="4264"/>
      <c r="AQ78" s="4264"/>
      <c r="AR78" s="4264"/>
      <c r="AS78" s="4264"/>
      <c r="AT78" s="4264"/>
      <c r="AU78" s="4264"/>
      <c r="AV78" s="4264"/>
      <c r="AW78" s="4264"/>
      <c r="AX78" s="4264"/>
      <c r="AY78" s="4264"/>
      <c r="AZ78" s="4264"/>
      <c r="BA78" s="4264"/>
    </row>
    <row r="79" spans="1:107" ht="16.2" customHeight="1" x14ac:dyDescent="0.25">
      <c r="A79" s="7344"/>
      <c r="B79" s="10247" t="s">
        <v>1911</v>
      </c>
      <c r="C79" s="10267" t="s">
        <v>24</v>
      </c>
      <c r="D79" s="10266"/>
      <c r="E79" s="10247"/>
      <c r="F79" s="10296" t="s">
        <v>2</v>
      </c>
      <c r="G79" s="10332"/>
      <c r="H79" s="10332"/>
      <c r="I79" s="10332"/>
      <c r="J79" s="10332"/>
      <c r="K79" s="10332"/>
      <c r="L79" s="10332"/>
      <c r="M79" s="10332"/>
      <c r="N79" s="10332"/>
      <c r="O79" s="10332"/>
      <c r="P79" s="10332"/>
      <c r="Q79" s="10332"/>
      <c r="R79" s="10332"/>
      <c r="S79" s="10332"/>
      <c r="T79" s="10332"/>
      <c r="U79" s="10332"/>
      <c r="V79" s="10332"/>
      <c r="W79" s="10332"/>
      <c r="X79" s="10332"/>
      <c r="Y79" s="10332"/>
      <c r="Z79" s="10332"/>
      <c r="AA79" s="10332"/>
      <c r="AB79" s="10332"/>
      <c r="AC79" s="10332"/>
      <c r="AD79" s="10332"/>
      <c r="AE79" s="10332"/>
      <c r="AF79" s="10332"/>
      <c r="AG79" s="10332"/>
      <c r="AH79" s="10332"/>
      <c r="AI79" s="10332"/>
      <c r="AJ79" s="10332"/>
      <c r="AK79" s="10297"/>
      <c r="AM79" s="4264"/>
      <c r="AN79" s="4264"/>
      <c r="AO79" s="4264"/>
      <c r="AP79" s="4264"/>
      <c r="AQ79" s="4264"/>
      <c r="AR79" s="4264"/>
      <c r="AS79" s="4264"/>
      <c r="AT79" s="4264"/>
      <c r="AU79" s="4264"/>
      <c r="AV79" s="4264"/>
      <c r="AW79" s="4264"/>
      <c r="AX79" s="4264"/>
      <c r="AY79" s="4264"/>
      <c r="AZ79" s="4264"/>
      <c r="BY79" s="4260"/>
    </row>
    <row r="80" spans="1:107" ht="16.2" customHeight="1" x14ac:dyDescent="0.25">
      <c r="A80" s="7344"/>
      <c r="B80" s="9055"/>
      <c r="C80" s="10275"/>
      <c r="D80" s="10276"/>
      <c r="E80" s="9056"/>
      <c r="F80" s="10268" t="s">
        <v>1912</v>
      </c>
      <c r="G80" s="10269"/>
      <c r="H80" s="10265" t="s">
        <v>1913</v>
      </c>
      <c r="I80" s="10265"/>
      <c r="J80" s="10268" t="s">
        <v>1914</v>
      </c>
      <c r="K80" s="10269"/>
      <c r="L80" s="10265" t="s">
        <v>1915</v>
      </c>
      <c r="M80" s="10265"/>
      <c r="N80" s="10268" t="s">
        <v>1916</v>
      </c>
      <c r="O80" s="10269"/>
      <c r="P80" s="10266" t="s">
        <v>1917</v>
      </c>
      <c r="Q80" s="10266"/>
      <c r="R80" s="10267" t="s">
        <v>1918</v>
      </c>
      <c r="S80" s="10247"/>
      <c r="T80" s="10267" t="s">
        <v>124</v>
      </c>
      <c r="U80" s="10247"/>
      <c r="V80" s="10266" t="s">
        <v>125</v>
      </c>
      <c r="W80" s="10266"/>
      <c r="X80" s="10267" t="s">
        <v>126</v>
      </c>
      <c r="Y80" s="10247"/>
      <c r="Z80" s="10266" t="s">
        <v>127</v>
      </c>
      <c r="AA80" s="10266"/>
      <c r="AB80" s="10267" t="s">
        <v>128</v>
      </c>
      <c r="AC80" s="10247"/>
      <c r="AD80" s="10266" t="s">
        <v>129</v>
      </c>
      <c r="AE80" s="10266"/>
      <c r="AF80" s="10267" t="s">
        <v>130</v>
      </c>
      <c r="AG80" s="10247"/>
      <c r="AH80" s="10266" t="s">
        <v>131</v>
      </c>
      <c r="AI80" s="10266"/>
      <c r="AJ80" s="10267" t="s">
        <v>1919</v>
      </c>
      <c r="AK80" s="10247"/>
      <c r="AL80" s="3940"/>
      <c r="AM80" s="4234"/>
      <c r="AN80" s="4234"/>
      <c r="AO80" s="4264"/>
      <c r="AP80" s="4264"/>
      <c r="AQ80" s="4264"/>
      <c r="AR80" s="4264"/>
      <c r="AS80" s="4264"/>
      <c r="AT80" s="4264"/>
      <c r="AU80" s="4264"/>
      <c r="AV80" s="4264"/>
      <c r="AW80" s="4264"/>
      <c r="AX80" s="4264"/>
      <c r="AY80" s="4264"/>
      <c r="AZ80" s="4264"/>
      <c r="BY80" s="4260"/>
    </row>
    <row r="81" spans="1:77" ht="16.2" customHeight="1" x14ac:dyDescent="0.25">
      <c r="A81" s="7344"/>
      <c r="B81" s="9056"/>
      <c r="C81" s="5140" t="s">
        <v>42</v>
      </c>
      <c r="D81" s="5630" t="s">
        <v>17</v>
      </c>
      <c r="E81" s="4538" t="s">
        <v>18</v>
      </c>
      <c r="F81" s="5577" t="s">
        <v>17</v>
      </c>
      <c r="G81" s="4531" t="s">
        <v>18</v>
      </c>
      <c r="H81" s="5630" t="s">
        <v>17</v>
      </c>
      <c r="I81" s="5700" t="s">
        <v>18</v>
      </c>
      <c r="J81" s="5577" t="s">
        <v>17</v>
      </c>
      <c r="K81" s="4531" t="s">
        <v>18</v>
      </c>
      <c r="L81" s="5630" t="s">
        <v>17</v>
      </c>
      <c r="M81" s="5700" t="s">
        <v>18</v>
      </c>
      <c r="N81" s="5577" t="s">
        <v>17</v>
      </c>
      <c r="O81" s="4531" t="s">
        <v>18</v>
      </c>
      <c r="P81" s="5630" t="s">
        <v>17</v>
      </c>
      <c r="Q81" s="5700" t="s">
        <v>18</v>
      </c>
      <c r="R81" s="5577" t="s">
        <v>17</v>
      </c>
      <c r="S81" s="4531" t="s">
        <v>18</v>
      </c>
      <c r="T81" s="5577" t="s">
        <v>17</v>
      </c>
      <c r="U81" s="4531" t="s">
        <v>18</v>
      </c>
      <c r="V81" s="5630" t="s">
        <v>17</v>
      </c>
      <c r="W81" s="5700" t="s">
        <v>18</v>
      </c>
      <c r="X81" s="5577" t="s">
        <v>17</v>
      </c>
      <c r="Y81" s="4531" t="s">
        <v>18</v>
      </c>
      <c r="Z81" s="5630" t="s">
        <v>17</v>
      </c>
      <c r="AA81" s="5700" t="s">
        <v>18</v>
      </c>
      <c r="AB81" s="5577" t="s">
        <v>17</v>
      </c>
      <c r="AC81" s="4531" t="s">
        <v>18</v>
      </c>
      <c r="AD81" s="5630" t="s">
        <v>17</v>
      </c>
      <c r="AE81" s="5700" t="s">
        <v>18</v>
      </c>
      <c r="AF81" s="5577" t="s">
        <v>17</v>
      </c>
      <c r="AG81" s="4531" t="s">
        <v>18</v>
      </c>
      <c r="AH81" s="5630" t="s">
        <v>17</v>
      </c>
      <c r="AI81" s="5700" t="s">
        <v>18</v>
      </c>
      <c r="AJ81" s="5577" t="s">
        <v>17</v>
      </c>
      <c r="AK81" s="4531" t="s">
        <v>18</v>
      </c>
      <c r="AL81" s="3940"/>
      <c r="AM81" s="4234"/>
      <c r="AN81" s="4234"/>
      <c r="AO81" s="4264"/>
      <c r="AP81" s="4264"/>
      <c r="AQ81" s="4264"/>
      <c r="AR81" s="4264"/>
      <c r="AS81" s="4264"/>
      <c r="AT81" s="4264"/>
      <c r="AU81" s="4264"/>
      <c r="AV81" s="4264"/>
      <c r="AW81" s="4264"/>
      <c r="AX81" s="4264"/>
      <c r="AY81" s="4264"/>
      <c r="AZ81" s="4264"/>
      <c r="BY81" s="4260"/>
    </row>
    <row r="82" spans="1:77" ht="16.2" customHeight="1" x14ac:dyDescent="0.25">
      <c r="A82" s="7263">
        <v>23043100</v>
      </c>
      <c r="B82" s="5093" t="s">
        <v>1949</v>
      </c>
      <c r="C82" s="5102" t="s">
        <v>5369</v>
      </c>
      <c r="D82" s="5632" t="s">
        <v>5370</v>
      </c>
      <c r="E82" s="5710" t="s">
        <v>5371</v>
      </c>
      <c r="F82" s="3893" t="s">
        <v>5372</v>
      </c>
      <c r="G82" s="5164" t="s">
        <v>5373</v>
      </c>
      <c r="H82" s="5162" t="s">
        <v>5374</v>
      </c>
      <c r="I82" s="5707" t="s">
        <v>5375</v>
      </c>
      <c r="J82" s="5599" t="s">
        <v>5376</v>
      </c>
      <c r="K82" s="5718" t="s">
        <v>5377</v>
      </c>
      <c r="L82" s="5719" t="s">
        <v>5378</v>
      </c>
      <c r="M82" s="5720" t="s">
        <v>5379</v>
      </c>
      <c r="N82" s="5599" t="s">
        <v>5380</v>
      </c>
      <c r="O82" s="5718" t="s">
        <v>5381</v>
      </c>
      <c r="P82" s="5719" t="s">
        <v>5382</v>
      </c>
      <c r="Q82" s="5720" t="s">
        <v>5383</v>
      </c>
      <c r="R82" s="5599" t="s">
        <v>5384</v>
      </c>
      <c r="S82" s="5718" t="s">
        <v>5385</v>
      </c>
      <c r="T82" s="5599" t="s">
        <v>5386</v>
      </c>
      <c r="U82" s="5718" t="s">
        <v>5387</v>
      </c>
      <c r="V82" s="5719" t="s">
        <v>5388</v>
      </c>
      <c r="W82" s="5720" t="s">
        <v>5389</v>
      </c>
      <c r="X82" s="5599" t="s">
        <v>5390</v>
      </c>
      <c r="Y82" s="5718" t="s">
        <v>5391</v>
      </c>
      <c r="Z82" s="5719" t="s">
        <v>5392</v>
      </c>
      <c r="AA82" s="5720" t="s">
        <v>5393</v>
      </c>
      <c r="AB82" s="5599" t="s">
        <v>5394</v>
      </c>
      <c r="AC82" s="5718" t="s">
        <v>5395</v>
      </c>
      <c r="AD82" s="5719" t="s">
        <v>5396</v>
      </c>
      <c r="AE82" s="5720" t="s">
        <v>5397</v>
      </c>
      <c r="AF82" s="5599" t="s">
        <v>5398</v>
      </c>
      <c r="AG82" s="5718" t="s">
        <v>5399</v>
      </c>
      <c r="AH82" s="5719" t="s">
        <v>5400</v>
      </c>
      <c r="AI82" s="5720" t="s">
        <v>5401</v>
      </c>
      <c r="AJ82" s="5721" t="s">
        <v>5402</v>
      </c>
      <c r="AK82" s="5718" t="s">
        <v>5403</v>
      </c>
      <c r="AL82" s="5722"/>
      <c r="AM82" s="4234"/>
      <c r="AN82" s="4234"/>
      <c r="AO82" s="4264"/>
      <c r="AP82" s="4264"/>
      <c r="AQ82" s="4264"/>
      <c r="AR82" s="4264"/>
      <c r="AS82" s="4264"/>
      <c r="AT82" s="4264"/>
      <c r="AU82" s="4264"/>
      <c r="AV82" s="4264"/>
      <c r="AW82" s="4264"/>
      <c r="AX82" s="4264"/>
      <c r="AY82" s="4264"/>
      <c r="AZ82" s="4264"/>
      <c r="BY82" s="4260"/>
    </row>
    <row r="83" spans="1:77" ht="16.2" customHeight="1" x14ac:dyDescent="0.25">
      <c r="A83" s="7258">
        <v>23043200</v>
      </c>
      <c r="B83" s="5547" t="s">
        <v>1940</v>
      </c>
      <c r="C83" s="5689" t="s">
        <v>5369</v>
      </c>
      <c r="D83" s="5690" t="s">
        <v>5370</v>
      </c>
      <c r="E83" s="5710" t="s">
        <v>5371</v>
      </c>
      <c r="F83" s="4949" t="s">
        <v>5372</v>
      </c>
      <c r="G83" s="4951" t="s">
        <v>5373</v>
      </c>
      <c r="H83" s="5007" t="s">
        <v>5374</v>
      </c>
      <c r="I83" s="5229" t="s">
        <v>5375</v>
      </c>
      <c r="J83" s="4949" t="s">
        <v>5376</v>
      </c>
      <c r="K83" s="4137" t="s">
        <v>5377</v>
      </c>
      <c r="L83" s="5007" t="s">
        <v>5378</v>
      </c>
      <c r="M83" s="5229" t="s">
        <v>5379</v>
      </c>
      <c r="N83" s="4949" t="s">
        <v>5380</v>
      </c>
      <c r="O83" s="4137" t="s">
        <v>5381</v>
      </c>
      <c r="P83" s="5007" t="s">
        <v>5382</v>
      </c>
      <c r="Q83" s="5229" t="s">
        <v>5383</v>
      </c>
      <c r="R83" s="4949" t="s">
        <v>5384</v>
      </c>
      <c r="S83" s="4137" t="s">
        <v>5385</v>
      </c>
      <c r="T83" s="4949" t="s">
        <v>5386</v>
      </c>
      <c r="U83" s="4137" t="s">
        <v>5387</v>
      </c>
      <c r="V83" s="5007" t="s">
        <v>5388</v>
      </c>
      <c r="W83" s="5229" t="s">
        <v>5389</v>
      </c>
      <c r="X83" s="4949" t="s">
        <v>5390</v>
      </c>
      <c r="Y83" s="4137" t="s">
        <v>5391</v>
      </c>
      <c r="Z83" s="5007" t="s">
        <v>5392</v>
      </c>
      <c r="AA83" s="5229" t="s">
        <v>5393</v>
      </c>
      <c r="AB83" s="4949" t="s">
        <v>5394</v>
      </c>
      <c r="AC83" s="4137" t="s">
        <v>5395</v>
      </c>
      <c r="AD83" s="5007" t="s">
        <v>5396</v>
      </c>
      <c r="AE83" s="5229" t="s">
        <v>5397</v>
      </c>
      <c r="AF83" s="4949" t="s">
        <v>5398</v>
      </c>
      <c r="AG83" s="4137" t="s">
        <v>5399</v>
      </c>
      <c r="AH83" s="5007" t="s">
        <v>5400</v>
      </c>
      <c r="AI83" s="5229" t="s">
        <v>5401</v>
      </c>
      <c r="AJ83" s="5711" t="s">
        <v>5402</v>
      </c>
      <c r="AK83" s="4137" t="s">
        <v>5403</v>
      </c>
      <c r="AL83" s="5722"/>
      <c r="AM83" s="4234"/>
      <c r="AN83" s="4234"/>
      <c r="AO83" s="4264"/>
      <c r="AP83" s="4264"/>
      <c r="AQ83" s="4264"/>
      <c r="AR83" s="4264"/>
      <c r="AS83" s="4264"/>
      <c r="AT83" s="4264"/>
      <c r="AU83" s="4264"/>
      <c r="AV83" s="4264"/>
      <c r="AW83" s="4264"/>
      <c r="AX83" s="4264"/>
      <c r="AY83" s="4264"/>
      <c r="AZ83" s="4264"/>
      <c r="BY83" s="4260"/>
    </row>
    <row r="84" spans="1:77" ht="16.2" customHeight="1" x14ac:dyDescent="0.25">
      <c r="A84" s="7258">
        <v>23043300</v>
      </c>
      <c r="B84" s="5547" t="s">
        <v>1941</v>
      </c>
      <c r="C84" s="5689" t="s">
        <v>5369</v>
      </c>
      <c r="D84" s="5690" t="s">
        <v>5370</v>
      </c>
      <c r="E84" s="5710" t="s">
        <v>5371</v>
      </c>
      <c r="F84" s="4949" t="s">
        <v>5372</v>
      </c>
      <c r="G84" s="4951" t="s">
        <v>5373</v>
      </c>
      <c r="H84" s="5007" t="s">
        <v>5374</v>
      </c>
      <c r="I84" s="5229" t="s">
        <v>5375</v>
      </c>
      <c r="J84" s="4949" t="s">
        <v>5376</v>
      </c>
      <c r="K84" s="4137" t="s">
        <v>5377</v>
      </c>
      <c r="L84" s="5007" t="s">
        <v>5378</v>
      </c>
      <c r="M84" s="5229" t="s">
        <v>5379</v>
      </c>
      <c r="N84" s="4949" t="s">
        <v>5380</v>
      </c>
      <c r="O84" s="4137" t="s">
        <v>5381</v>
      </c>
      <c r="P84" s="5007" t="s">
        <v>5382</v>
      </c>
      <c r="Q84" s="5229" t="s">
        <v>5383</v>
      </c>
      <c r="R84" s="4949" t="s">
        <v>5384</v>
      </c>
      <c r="S84" s="4137" t="s">
        <v>5385</v>
      </c>
      <c r="T84" s="4949" t="s">
        <v>5386</v>
      </c>
      <c r="U84" s="4137" t="s">
        <v>5387</v>
      </c>
      <c r="V84" s="5007" t="s">
        <v>5388</v>
      </c>
      <c r="W84" s="5229" t="s">
        <v>5389</v>
      </c>
      <c r="X84" s="4949" t="s">
        <v>5390</v>
      </c>
      <c r="Y84" s="4137" t="s">
        <v>5391</v>
      </c>
      <c r="Z84" s="5007" t="s">
        <v>5392</v>
      </c>
      <c r="AA84" s="5229" t="s">
        <v>5393</v>
      </c>
      <c r="AB84" s="4949" t="s">
        <v>5394</v>
      </c>
      <c r="AC84" s="4137" t="s">
        <v>5395</v>
      </c>
      <c r="AD84" s="5007" t="s">
        <v>5396</v>
      </c>
      <c r="AE84" s="5229" t="s">
        <v>5397</v>
      </c>
      <c r="AF84" s="4949" t="s">
        <v>5398</v>
      </c>
      <c r="AG84" s="4137" t="s">
        <v>5399</v>
      </c>
      <c r="AH84" s="5007" t="s">
        <v>5400</v>
      </c>
      <c r="AI84" s="5229" t="s">
        <v>5401</v>
      </c>
      <c r="AJ84" s="5711" t="s">
        <v>5402</v>
      </c>
      <c r="AK84" s="4137" t="s">
        <v>5403</v>
      </c>
      <c r="AL84" s="5722"/>
      <c r="AM84" s="3940"/>
      <c r="AN84" s="3940"/>
      <c r="BY84" s="4260"/>
    </row>
    <row r="85" spans="1:77" ht="16.2" customHeight="1" x14ac:dyDescent="0.25">
      <c r="A85" s="7258">
        <v>23043400</v>
      </c>
      <c r="B85" s="5547" t="s">
        <v>57</v>
      </c>
      <c r="C85" s="5689" t="s">
        <v>5369</v>
      </c>
      <c r="D85" s="5690" t="s">
        <v>5370</v>
      </c>
      <c r="E85" s="5710" t="s">
        <v>5371</v>
      </c>
      <c r="F85" s="5602" t="s">
        <v>5372</v>
      </c>
      <c r="G85" s="5603" t="s">
        <v>5373</v>
      </c>
      <c r="H85" s="5007" t="s">
        <v>5374</v>
      </c>
      <c r="I85" s="5229" t="s">
        <v>5375</v>
      </c>
      <c r="J85" s="4949" t="s">
        <v>5376</v>
      </c>
      <c r="K85" s="4137" t="s">
        <v>5377</v>
      </c>
      <c r="L85" s="5007" t="s">
        <v>5378</v>
      </c>
      <c r="M85" s="5229" t="s">
        <v>5379</v>
      </c>
      <c r="N85" s="4949" t="s">
        <v>5380</v>
      </c>
      <c r="O85" s="4137" t="s">
        <v>5381</v>
      </c>
      <c r="P85" s="5007" t="s">
        <v>5382</v>
      </c>
      <c r="Q85" s="5229" t="s">
        <v>5383</v>
      </c>
      <c r="R85" s="4949" t="s">
        <v>5384</v>
      </c>
      <c r="S85" s="4137" t="s">
        <v>5385</v>
      </c>
      <c r="T85" s="4949" t="s">
        <v>5386</v>
      </c>
      <c r="U85" s="4137" t="s">
        <v>5387</v>
      </c>
      <c r="V85" s="5007" t="s">
        <v>5388</v>
      </c>
      <c r="W85" s="5229" t="s">
        <v>5389</v>
      </c>
      <c r="X85" s="4949" t="s">
        <v>5390</v>
      </c>
      <c r="Y85" s="4137" t="s">
        <v>5391</v>
      </c>
      <c r="Z85" s="5007" t="s">
        <v>5392</v>
      </c>
      <c r="AA85" s="5229" t="s">
        <v>5393</v>
      </c>
      <c r="AB85" s="4949" t="s">
        <v>5394</v>
      </c>
      <c r="AC85" s="4137" t="s">
        <v>5395</v>
      </c>
      <c r="AD85" s="5007" t="s">
        <v>5396</v>
      </c>
      <c r="AE85" s="5229" t="s">
        <v>5397</v>
      </c>
      <c r="AF85" s="4949" t="s">
        <v>5398</v>
      </c>
      <c r="AG85" s="4137" t="s">
        <v>5399</v>
      </c>
      <c r="AH85" s="5007" t="s">
        <v>5400</v>
      </c>
      <c r="AI85" s="5229" t="s">
        <v>5401</v>
      </c>
      <c r="AJ85" s="5711" t="s">
        <v>5402</v>
      </c>
      <c r="AK85" s="4137" t="s">
        <v>5403</v>
      </c>
      <c r="AL85" s="5722"/>
      <c r="AM85" s="3940"/>
      <c r="AN85" s="3940"/>
      <c r="BY85" s="4260"/>
    </row>
    <row r="86" spans="1:77" ht="16.2" customHeight="1" x14ac:dyDescent="0.25">
      <c r="A86" s="7258">
        <v>23043500</v>
      </c>
      <c r="B86" s="5547" t="s">
        <v>58</v>
      </c>
      <c r="C86" s="5689" t="s">
        <v>5369</v>
      </c>
      <c r="D86" s="5690" t="s">
        <v>5370</v>
      </c>
      <c r="E86" s="5710" t="s">
        <v>5371</v>
      </c>
      <c r="F86" s="5602" t="s">
        <v>5372</v>
      </c>
      <c r="G86" s="5603" t="s">
        <v>5373</v>
      </c>
      <c r="H86" s="5723" t="s">
        <v>5374</v>
      </c>
      <c r="I86" s="5724" t="s">
        <v>5375</v>
      </c>
      <c r="J86" s="5602" t="s">
        <v>5376</v>
      </c>
      <c r="K86" s="5725" t="s">
        <v>5377</v>
      </c>
      <c r="L86" s="5723" t="s">
        <v>5378</v>
      </c>
      <c r="M86" s="5724" t="s">
        <v>5379</v>
      </c>
      <c r="N86" s="5602" t="s">
        <v>5380</v>
      </c>
      <c r="O86" s="5725" t="s">
        <v>5381</v>
      </c>
      <c r="P86" s="5723" t="s">
        <v>5382</v>
      </c>
      <c r="Q86" s="5724" t="s">
        <v>5383</v>
      </c>
      <c r="R86" s="5602" t="s">
        <v>5384</v>
      </c>
      <c r="S86" s="5725" t="s">
        <v>5385</v>
      </c>
      <c r="T86" s="4949" t="s">
        <v>5386</v>
      </c>
      <c r="U86" s="4137" t="s">
        <v>5387</v>
      </c>
      <c r="V86" s="5007" t="s">
        <v>5388</v>
      </c>
      <c r="W86" s="5229" t="s">
        <v>5389</v>
      </c>
      <c r="X86" s="4949" t="s">
        <v>5390</v>
      </c>
      <c r="Y86" s="4137" t="s">
        <v>5391</v>
      </c>
      <c r="Z86" s="5007" t="s">
        <v>5392</v>
      </c>
      <c r="AA86" s="5229" t="s">
        <v>5393</v>
      </c>
      <c r="AB86" s="4949" t="s">
        <v>5394</v>
      </c>
      <c r="AC86" s="4137" t="s">
        <v>5395</v>
      </c>
      <c r="AD86" s="5007" t="s">
        <v>5396</v>
      </c>
      <c r="AE86" s="5229" t="s">
        <v>5397</v>
      </c>
      <c r="AF86" s="4949" t="s">
        <v>5398</v>
      </c>
      <c r="AG86" s="4137" t="s">
        <v>5399</v>
      </c>
      <c r="AH86" s="5007" t="s">
        <v>5400</v>
      </c>
      <c r="AI86" s="5229" t="s">
        <v>5401</v>
      </c>
      <c r="AJ86" s="5711" t="s">
        <v>5402</v>
      </c>
      <c r="AK86" s="4137" t="s">
        <v>5403</v>
      </c>
      <c r="AL86" s="5722"/>
      <c r="AM86" s="3940"/>
      <c r="AN86" s="3940"/>
      <c r="BY86" s="4260"/>
    </row>
    <row r="87" spans="1:77" ht="16.2" customHeight="1" x14ac:dyDescent="0.25">
      <c r="A87" s="7258">
        <v>23043600</v>
      </c>
      <c r="B87" s="5726" t="s">
        <v>1944</v>
      </c>
      <c r="C87" s="5727" t="s">
        <v>5369</v>
      </c>
      <c r="D87" s="5728" t="s">
        <v>5370</v>
      </c>
      <c r="E87" s="5710" t="s">
        <v>5371</v>
      </c>
      <c r="F87" s="5136" t="s">
        <v>5372</v>
      </c>
      <c r="G87" s="5027" t="s">
        <v>5373</v>
      </c>
      <c r="H87" s="5128" t="s">
        <v>5374</v>
      </c>
      <c r="I87" s="5729" t="s">
        <v>5375</v>
      </c>
      <c r="J87" s="5136" t="s">
        <v>5376</v>
      </c>
      <c r="K87" s="5157" t="s">
        <v>5377</v>
      </c>
      <c r="L87" s="5128" t="s">
        <v>5378</v>
      </c>
      <c r="M87" s="5729" t="s">
        <v>5379</v>
      </c>
      <c r="N87" s="5136" t="s">
        <v>5380</v>
      </c>
      <c r="O87" s="5157" t="s">
        <v>5381</v>
      </c>
      <c r="P87" s="5128" t="s">
        <v>5382</v>
      </c>
      <c r="Q87" s="5729" t="s">
        <v>5383</v>
      </c>
      <c r="R87" s="5136" t="s">
        <v>5384</v>
      </c>
      <c r="S87" s="5157" t="s">
        <v>5385</v>
      </c>
      <c r="T87" s="5136" t="s">
        <v>5386</v>
      </c>
      <c r="U87" s="5157" t="s">
        <v>5387</v>
      </c>
      <c r="V87" s="5128" t="s">
        <v>5388</v>
      </c>
      <c r="W87" s="5729" t="s">
        <v>5389</v>
      </c>
      <c r="X87" s="5136" t="s">
        <v>5390</v>
      </c>
      <c r="Y87" s="5157" t="s">
        <v>5391</v>
      </c>
      <c r="Z87" s="5128" t="s">
        <v>5392</v>
      </c>
      <c r="AA87" s="5729" t="s">
        <v>5393</v>
      </c>
      <c r="AB87" s="5136" t="s">
        <v>5394</v>
      </c>
      <c r="AC87" s="5157" t="s">
        <v>5395</v>
      </c>
      <c r="AD87" s="5128" t="s">
        <v>5396</v>
      </c>
      <c r="AE87" s="5729" t="s">
        <v>5397</v>
      </c>
      <c r="AF87" s="5136" t="s">
        <v>5398</v>
      </c>
      <c r="AG87" s="5157" t="s">
        <v>5399</v>
      </c>
      <c r="AH87" s="5128" t="s">
        <v>5400</v>
      </c>
      <c r="AI87" s="5729" t="s">
        <v>5401</v>
      </c>
      <c r="AJ87" s="5730" t="s">
        <v>5402</v>
      </c>
      <c r="AK87" s="5157" t="s">
        <v>5403</v>
      </c>
      <c r="AL87" s="5722"/>
      <c r="AM87" s="3940"/>
      <c r="AN87" s="3940"/>
      <c r="BY87" s="4260"/>
    </row>
    <row r="88" spans="1:77" ht="16.2" customHeight="1" x14ac:dyDescent="0.25">
      <c r="A88" s="7298"/>
      <c r="B88" s="5643" t="s">
        <v>24</v>
      </c>
      <c r="C88" s="5627">
        <f t="shared" ref="C88:AK88" si="5">SUM(C82:C87)</f>
        <v>0</v>
      </c>
      <c r="D88" s="5571">
        <f t="shared" si="5"/>
        <v>0</v>
      </c>
      <c r="E88" s="5569">
        <f t="shared" si="5"/>
        <v>0</v>
      </c>
      <c r="F88" s="4986">
        <f>SUM(F82:F87)</f>
        <v>0</v>
      </c>
      <c r="G88" s="4988">
        <f t="shared" si="5"/>
        <v>0</v>
      </c>
      <c r="H88" s="5031">
        <f t="shared" si="5"/>
        <v>0</v>
      </c>
      <c r="I88" s="5644">
        <f t="shared" si="5"/>
        <v>0</v>
      </c>
      <c r="J88" s="4986">
        <f t="shared" si="5"/>
        <v>0</v>
      </c>
      <c r="K88" s="5029">
        <f t="shared" si="5"/>
        <v>0</v>
      </c>
      <c r="L88" s="5031">
        <f t="shared" si="5"/>
        <v>0</v>
      </c>
      <c r="M88" s="5644">
        <f t="shared" si="5"/>
        <v>0</v>
      </c>
      <c r="N88" s="4986">
        <f t="shared" si="5"/>
        <v>0</v>
      </c>
      <c r="O88" s="5029">
        <f t="shared" si="5"/>
        <v>0</v>
      </c>
      <c r="P88" s="5031">
        <f t="shared" si="5"/>
        <v>0</v>
      </c>
      <c r="Q88" s="5644">
        <f t="shared" si="5"/>
        <v>0</v>
      </c>
      <c r="R88" s="4986">
        <f t="shared" si="5"/>
        <v>0</v>
      </c>
      <c r="S88" s="5029">
        <f t="shared" si="5"/>
        <v>0</v>
      </c>
      <c r="T88" s="4986">
        <f t="shared" si="5"/>
        <v>0</v>
      </c>
      <c r="U88" s="5029">
        <f t="shared" si="5"/>
        <v>0</v>
      </c>
      <c r="V88" s="5031">
        <f t="shared" si="5"/>
        <v>0</v>
      </c>
      <c r="W88" s="5644">
        <f t="shared" si="5"/>
        <v>0</v>
      </c>
      <c r="X88" s="4986">
        <f t="shared" si="5"/>
        <v>0</v>
      </c>
      <c r="Y88" s="5029">
        <f t="shared" si="5"/>
        <v>0</v>
      </c>
      <c r="Z88" s="5031">
        <f t="shared" si="5"/>
        <v>0</v>
      </c>
      <c r="AA88" s="5644">
        <f t="shared" si="5"/>
        <v>0</v>
      </c>
      <c r="AB88" s="4986">
        <f t="shared" si="5"/>
        <v>0</v>
      </c>
      <c r="AC88" s="5029">
        <f t="shared" si="5"/>
        <v>0</v>
      </c>
      <c r="AD88" s="5031">
        <f t="shared" si="5"/>
        <v>0</v>
      </c>
      <c r="AE88" s="5644">
        <f t="shared" si="5"/>
        <v>0</v>
      </c>
      <c r="AF88" s="4986">
        <f t="shared" si="5"/>
        <v>0</v>
      </c>
      <c r="AG88" s="5029">
        <f t="shared" si="5"/>
        <v>0</v>
      </c>
      <c r="AH88" s="5031">
        <f t="shared" si="5"/>
        <v>0</v>
      </c>
      <c r="AI88" s="5644">
        <f t="shared" si="5"/>
        <v>0</v>
      </c>
      <c r="AJ88" s="5645">
        <f t="shared" si="5"/>
        <v>0</v>
      </c>
      <c r="AK88" s="5029">
        <f t="shared" si="5"/>
        <v>0</v>
      </c>
      <c r="AL88" s="5722"/>
      <c r="AM88" s="3940"/>
      <c r="AN88" s="3940"/>
      <c r="BY88" s="4260"/>
    </row>
    <row r="89" spans="1:77" ht="16.2" customHeight="1" x14ac:dyDescent="0.25">
      <c r="B89" s="4268" t="s">
        <v>3615</v>
      </c>
      <c r="C89" s="5731"/>
      <c r="D89" s="3940"/>
      <c r="E89" s="3940"/>
      <c r="F89" s="3940"/>
      <c r="G89" s="3914"/>
      <c r="H89" s="3914"/>
      <c r="I89" s="3914"/>
      <c r="J89" s="3914"/>
      <c r="K89" s="3914"/>
      <c r="L89" s="3914"/>
      <c r="M89" s="3914"/>
      <c r="N89" s="3914"/>
      <c r="O89" s="3914"/>
      <c r="P89" s="3914"/>
      <c r="Q89" s="3914"/>
      <c r="R89" s="3914"/>
      <c r="S89" s="3914"/>
      <c r="T89" s="3914"/>
      <c r="U89" s="3914"/>
      <c r="V89" s="3914"/>
      <c r="W89" s="3914"/>
      <c r="X89" s="3914"/>
      <c r="Y89" s="3914"/>
      <c r="Z89" s="3914"/>
      <c r="AA89" s="3914"/>
      <c r="AB89" s="3914"/>
      <c r="AC89" s="3914"/>
      <c r="AD89" s="3914"/>
      <c r="AE89" s="3914"/>
      <c r="AF89" s="3914"/>
      <c r="AG89" s="3914"/>
      <c r="AH89" s="3914"/>
      <c r="AI89" s="3914"/>
      <c r="AJ89" s="3914"/>
      <c r="AK89" s="3914"/>
      <c r="AL89" s="5722"/>
      <c r="AM89" s="3940"/>
      <c r="AN89" s="3940"/>
      <c r="BY89" s="4260"/>
    </row>
    <row r="90" spans="1:77" ht="16.2" customHeight="1" x14ac:dyDescent="0.25">
      <c r="B90" s="10254" t="s">
        <v>0</v>
      </c>
      <c r="C90" s="10254"/>
      <c r="D90" s="10254" t="s">
        <v>24</v>
      </c>
      <c r="E90" s="10255" t="s">
        <v>3616</v>
      </c>
      <c r="F90" s="10257" t="s">
        <v>3617</v>
      </c>
      <c r="G90" s="3914"/>
      <c r="H90" s="3914"/>
      <c r="I90" s="3914"/>
      <c r="J90" s="3914"/>
      <c r="K90" s="3914"/>
      <c r="L90" s="3914"/>
      <c r="M90" s="3914"/>
      <c r="N90" s="3914"/>
      <c r="O90" s="3914"/>
      <c r="P90" s="3914"/>
      <c r="Q90" s="3914"/>
      <c r="R90" s="3914"/>
      <c r="S90" s="3914"/>
      <c r="T90" s="3914"/>
      <c r="U90" s="3914"/>
      <c r="V90" s="3914"/>
      <c r="W90" s="3914"/>
      <c r="X90" s="3914"/>
      <c r="Y90" s="3914"/>
      <c r="Z90" s="3914"/>
      <c r="AA90" s="3914"/>
      <c r="AB90" s="3914"/>
      <c r="AC90" s="3914"/>
      <c r="AD90" s="3914"/>
      <c r="AE90" s="3914"/>
      <c r="AF90" s="3914"/>
      <c r="AG90" s="3914"/>
      <c r="AH90" s="3914"/>
      <c r="AI90" s="3914"/>
      <c r="AJ90" s="3914"/>
      <c r="AK90" s="3914"/>
      <c r="AL90" s="5722"/>
      <c r="AM90" s="3940"/>
      <c r="AN90" s="3940"/>
      <c r="BY90" s="4260"/>
    </row>
    <row r="91" spans="1:77" ht="16.2" customHeight="1" x14ac:dyDescent="0.25">
      <c r="B91" s="10254"/>
      <c r="C91" s="10254"/>
      <c r="D91" s="10254"/>
      <c r="E91" s="10256"/>
      <c r="F91" s="10258"/>
      <c r="G91" s="3914"/>
      <c r="H91" s="3914"/>
      <c r="I91" s="3914"/>
      <c r="J91" s="3914"/>
      <c r="K91" s="3914"/>
      <c r="L91" s="3914"/>
      <c r="M91" s="3914"/>
      <c r="N91" s="3914"/>
      <c r="O91" s="3914"/>
      <c r="P91" s="3914"/>
      <c r="Q91" s="3914"/>
      <c r="R91" s="3914"/>
      <c r="S91" s="3914"/>
      <c r="T91" s="3914"/>
      <c r="U91" s="3914"/>
      <c r="V91" s="3914"/>
      <c r="W91" s="3914"/>
      <c r="X91" s="3914"/>
      <c r="Y91" s="3914"/>
      <c r="Z91" s="3914"/>
      <c r="AA91" s="3914"/>
      <c r="AB91" s="3914"/>
      <c r="AC91" s="3914"/>
      <c r="AD91" s="3914"/>
      <c r="AE91" s="3914"/>
      <c r="AF91" s="3914"/>
      <c r="AG91" s="3914"/>
      <c r="AH91" s="3914"/>
      <c r="AI91" s="3914"/>
      <c r="AJ91" s="3914"/>
      <c r="AK91" s="3914"/>
      <c r="AL91" s="5722"/>
      <c r="AM91" s="3940"/>
      <c r="AN91" s="3940"/>
      <c r="BY91" s="4260"/>
    </row>
    <row r="92" spans="1:77" ht="16.2" customHeight="1" x14ac:dyDescent="0.25">
      <c r="A92" s="7258">
        <v>23043700</v>
      </c>
      <c r="B92" s="9355" t="s">
        <v>19</v>
      </c>
      <c r="C92" s="9356"/>
      <c r="D92" s="5732" t="s">
        <v>5369</v>
      </c>
      <c r="E92" s="5060" t="s">
        <v>5370</v>
      </c>
      <c r="F92" s="5733" t="s">
        <v>5371</v>
      </c>
      <c r="G92" s="3914"/>
      <c r="H92" s="3914"/>
      <c r="I92" s="3914"/>
      <c r="J92" s="3914"/>
      <c r="K92" s="3914"/>
      <c r="L92" s="3914"/>
      <c r="M92" s="3914"/>
      <c r="N92" s="3914"/>
      <c r="O92" s="3914"/>
      <c r="P92" s="3914"/>
      <c r="Q92" s="3914"/>
      <c r="R92" s="3914"/>
      <c r="S92" s="3914"/>
      <c r="T92" s="3914"/>
      <c r="U92" s="3914"/>
      <c r="V92" s="3914"/>
      <c r="W92" s="3914"/>
      <c r="X92" s="3914"/>
      <c r="Y92" s="3914"/>
      <c r="Z92" s="3914"/>
      <c r="AA92" s="3914"/>
      <c r="AB92" s="3914"/>
      <c r="AC92" s="3914"/>
      <c r="AD92" s="3914"/>
      <c r="AE92" s="3914"/>
      <c r="AF92" s="3914"/>
      <c r="AG92" s="3914"/>
      <c r="AH92" s="3914"/>
      <c r="AI92" s="3914"/>
      <c r="AJ92" s="3914"/>
      <c r="AK92" s="3914"/>
      <c r="AL92" s="5722"/>
      <c r="AM92" s="3940"/>
      <c r="AN92" s="3940"/>
      <c r="BY92" s="4260"/>
    </row>
    <row r="93" spans="1:77" ht="16.2" customHeight="1" x14ac:dyDescent="0.25">
      <c r="A93" s="7258">
        <v>23043800</v>
      </c>
      <c r="B93" s="10259" t="s">
        <v>103</v>
      </c>
      <c r="C93" s="10260"/>
      <c r="D93" s="5732" t="s">
        <v>5369</v>
      </c>
      <c r="E93" s="5734" t="s">
        <v>5370</v>
      </c>
      <c r="F93" s="5733" t="s">
        <v>5371</v>
      </c>
      <c r="G93" s="3914"/>
      <c r="H93" s="3914"/>
      <c r="I93" s="3914"/>
      <c r="J93" s="3914"/>
      <c r="K93" s="3914"/>
      <c r="L93" s="3914"/>
      <c r="M93" s="3914"/>
      <c r="N93" s="3914"/>
      <c r="O93" s="3914"/>
      <c r="P93" s="3914"/>
      <c r="Q93" s="3914"/>
      <c r="R93" s="3914"/>
      <c r="S93" s="3914"/>
      <c r="T93" s="3914"/>
      <c r="U93" s="3914"/>
      <c r="V93" s="3914"/>
      <c r="W93" s="3914"/>
      <c r="X93" s="3914"/>
      <c r="Y93" s="3914"/>
      <c r="Z93" s="3914"/>
      <c r="AA93" s="3914"/>
      <c r="AB93" s="3914"/>
      <c r="AC93" s="3914"/>
      <c r="AD93" s="3914"/>
      <c r="AE93" s="3914"/>
      <c r="AF93" s="3914"/>
      <c r="AG93" s="3914"/>
      <c r="AH93" s="3914"/>
      <c r="AI93" s="3914"/>
      <c r="AJ93" s="3914"/>
      <c r="AK93" s="3914"/>
      <c r="AL93" s="5722"/>
      <c r="AM93" s="3940"/>
      <c r="AN93" s="3940"/>
      <c r="BY93" s="4260"/>
    </row>
    <row r="94" spans="1:77" ht="16.2" customHeight="1" x14ac:dyDescent="0.25">
      <c r="A94" s="7258">
        <v>23043900</v>
      </c>
      <c r="B94" s="10261" t="s">
        <v>99</v>
      </c>
      <c r="C94" s="10262"/>
      <c r="D94" s="5732" t="s">
        <v>5369</v>
      </c>
      <c r="E94" s="5734" t="s">
        <v>5370</v>
      </c>
      <c r="F94" s="5733" t="s">
        <v>5371</v>
      </c>
      <c r="G94" s="3914"/>
      <c r="H94" s="3914"/>
      <c r="I94" s="3914"/>
      <c r="J94" s="3914"/>
      <c r="K94" s="3914"/>
      <c r="L94" s="3914"/>
      <c r="M94" s="3914"/>
      <c r="N94" s="3914"/>
      <c r="O94" s="3914"/>
      <c r="P94" s="3914"/>
      <c r="Q94" s="3914"/>
      <c r="R94" s="3914"/>
      <c r="S94" s="3914"/>
      <c r="T94" s="3914"/>
      <c r="U94" s="3914"/>
      <c r="V94" s="3914"/>
      <c r="W94" s="3914"/>
      <c r="X94" s="3914"/>
      <c r="Y94" s="3914"/>
      <c r="Z94" s="3914"/>
      <c r="AA94" s="3914"/>
      <c r="AB94" s="3914"/>
      <c r="AC94" s="3914"/>
      <c r="AD94" s="3914"/>
      <c r="AE94" s="3914"/>
      <c r="AF94" s="3914"/>
      <c r="AG94" s="3914"/>
      <c r="AH94" s="3914"/>
      <c r="AI94" s="3914"/>
      <c r="AJ94" s="3914"/>
      <c r="AK94" s="3914"/>
      <c r="AL94" s="5722"/>
      <c r="AM94" s="3940"/>
      <c r="AN94" s="3940"/>
      <c r="BY94" s="4260"/>
    </row>
    <row r="95" spans="1:77" ht="16.2" customHeight="1" x14ac:dyDescent="0.25">
      <c r="A95" s="7298"/>
      <c r="B95" s="10263" t="s">
        <v>24</v>
      </c>
      <c r="C95" s="10264"/>
      <c r="D95" s="5735">
        <f>SUM(D92:D94)</f>
        <v>0</v>
      </c>
      <c r="E95" s="5736">
        <f>SUM(E92:E94)</f>
        <v>0</v>
      </c>
      <c r="F95" s="5737">
        <f>SUM(F92:F94)</f>
        <v>0</v>
      </c>
      <c r="G95" s="3914"/>
      <c r="H95" s="3914"/>
      <c r="I95" s="3914"/>
      <c r="J95" s="3914"/>
      <c r="K95" s="3914"/>
      <c r="L95" s="3914"/>
      <c r="M95" s="3914"/>
      <c r="N95" s="3914"/>
      <c r="O95" s="3914"/>
      <c r="P95" s="3914"/>
      <c r="Q95" s="3914"/>
      <c r="R95" s="3914"/>
      <c r="S95" s="3914"/>
      <c r="T95" s="3914"/>
      <c r="U95" s="3914"/>
      <c r="V95" s="3914"/>
      <c r="W95" s="3914"/>
      <c r="X95" s="3914"/>
      <c r="Y95" s="3914"/>
      <c r="Z95" s="3914"/>
      <c r="AA95" s="3914"/>
      <c r="AB95" s="3914"/>
      <c r="AC95" s="3914"/>
      <c r="AD95" s="3914"/>
      <c r="AE95" s="3914"/>
      <c r="AF95" s="3914"/>
      <c r="AG95" s="3914"/>
      <c r="AH95" s="3914"/>
      <c r="AI95" s="3914"/>
      <c r="AJ95" s="3914"/>
      <c r="AK95" s="3914"/>
      <c r="AL95" s="5722"/>
      <c r="AM95" s="3940"/>
      <c r="AN95" s="3940"/>
      <c r="BY95" s="4260"/>
    </row>
    <row r="96" spans="1:77" ht="31.95" customHeight="1" x14ac:dyDescent="0.25">
      <c r="B96" s="5738" t="s">
        <v>3618</v>
      </c>
      <c r="C96" s="3807"/>
      <c r="D96" s="3940"/>
      <c r="E96" s="3940"/>
      <c r="F96" s="3940"/>
      <c r="G96" s="3940"/>
      <c r="H96" s="3940"/>
      <c r="I96" s="3940"/>
      <c r="J96" s="3940"/>
      <c r="K96" s="3940"/>
      <c r="L96" s="3940"/>
      <c r="M96" s="3940"/>
      <c r="N96" s="3940"/>
      <c r="O96" s="3940"/>
      <c r="P96" s="3940"/>
      <c r="Q96" s="3940"/>
      <c r="R96" s="3940"/>
      <c r="S96" s="3940"/>
      <c r="T96" s="3940"/>
      <c r="U96" s="3940"/>
      <c r="V96" s="3940"/>
      <c r="W96" s="3940"/>
      <c r="AN96" s="4264"/>
      <c r="AO96" s="4264"/>
      <c r="AP96" s="4264"/>
      <c r="AQ96" s="4264"/>
      <c r="AR96" s="4264"/>
      <c r="AS96" s="4264"/>
      <c r="AT96" s="4264"/>
      <c r="AU96" s="4264"/>
      <c r="AV96" s="4264"/>
      <c r="AW96" s="4264"/>
      <c r="AX96" s="4264"/>
      <c r="AY96" s="4264"/>
      <c r="AZ96" s="4264"/>
      <c r="BA96" s="4264"/>
      <c r="BB96" s="4264"/>
    </row>
    <row r="97" spans="1:86" ht="16.2" customHeight="1" x14ac:dyDescent="0.25">
      <c r="A97" s="7344"/>
      <c r="B97" s="10247" t="s">
        <v>1950</v>
      </c>
      <c r="C97" s="10248" t="s">
        <v>24</v>
      </c>
      <c r="D97" s="10249"/>
      <c r="E97" s="10250"/>
      <c r="F97" s="10291" t="s">
        <v>2</v>
      </c>
      <c r="G97" s="10292"/>
      <c r="H97" s="10292"/>
      <c r="I97" s="10292"/>
      <c r="J97" s="10292"/>
      <c r="K97" s="10292"/>
      <c r="L97" s="10292"/>
      <c r="M97" s="10292"/>
      <c r="N97" s="10292"/>
      <c r="O97" s="10292"/>
      <c r="P97" s="10292"/>
      <c r="Q97" s="10292"/>
      <c r="R97" s="10292"/>
      <c r="S97" s="10292"/>
      <c r="T97" s="10292"/>
      <c r="U97" s="10292"/>
      <c r="V97" s="10292"/>
      <c r="W97" s="10292"/>
      <c r="X97" s="10292"/>
      <c r="Y97" s="10292"/>
      <c r="Z97" s="10292"/>
      <c r="AA97" s="10292"/>
      <c r="AB97" s="10292"/>
      <c r="AC97" s="10292"/>
      <c r="AD97" s="10292"/>
      <c r="AE97" s="10292"/>
      <c r="AF97" s="10292"/>
      <c r="AG97" s="10292"/>
      <c r="AH97" s="10292"/>
      <c r="AI97" s="10292"/>
      <c r="AJ97" s="10292"/>
      <c r="AK97" s="10327"/>
      <c r="AL97" s="4264"/>
      <c r="AM97" s="4264"/>
      <c r="AN97" s="4264"/>
      <c r="AO97" s="4264"/>
      <c r="AP97" s="4264"/>
      <c r="AQ97" s="4264"/>
      <c r="AR97" s="4264"/>
      <c r="AS97" s="4264"/>
      <c r="AT97" s="4264"/>
      <c r="AU97" s="4264"/>
      <c r="AV97" s="4264"/>
      <c r="AW97" s="4264"/>
      <c r="AX97" s="4264"/>
      <c r="AY97" s="4264"/>
      <c r="AZ97" s="4264"/>
      <c r="BX97" s="4260"/>
      <c r="BY97" s="4260"/>
    </row>
    <row r="98" spans="1:86" ht="16.2" customHeight="1" x14ac:dyDescent="0.25">
      <c r="A98" s="7344"/>
      <c r="B98" s="9055"/>
      <c r="C98" s="10251"/>
      <c r="D98" s="10252"/>
      <c r="E98" s="10253"/>
      <c r="F98" s="10268" t="s">
        <v>1912</v>
      </c>
      <c r="G98" s="10269"/>
      <c r="H98" s="10268" t="s">
        <v>1913</v>
      </c>
      <c r="I98" s="10269"/>
      <c r="J98" s="10268" t="s">
        <v>1914</v>
      </c>
      <c r="K98" s="10269"/>
      <c r="L98" s="10265" t="s">
        <v>1915</v>
      </c>
      <c r="M98" s="10265"/>
      <c r="N98" s="10268" t="s">
        <v>1916</v>
      </c>
      <c r="O98" s="10269"/>
      <c r="P98" s="10265" t="s">
        <v>1917</v>
      </c>
      <c r="Q98" s="10265"/>
      <c r="R98" s="10268" t="s">
        <v>1918</v>
      </c>
      <c r="S98" s="10269"/>
      <c r="T98" s="10265" t="s">
        <v>124</v>
      </c>
      <c r="U98" s="10265"/>
      <c r="V98" s="10268" t="s">
        <v>125</v>
      </c>
      <c r="W98" s="10269"/>
      <c r="X98" s="10265" t="s">
        <v>126</v>
      </c>
      <c r="Y98" s="10265"/>
      <c r="Z98" s="10268" t="s">
        <v>127</v>
      </c>
      <c r="AA98" s="10269"/>
      <c r="AB98" s="10265" t="s">
        <v>128</v>
      </c>
      <c r="AC98" s="10265"/>
      <c r="AD98" s="10268" t="s">
        <v>129</v>
      </c>
      <c r="AE98" s="10269"/>
      <c r="AF98" s="10265" t="s">
        <v>130</v>
      </c>
      <c r="AG98" s="10265"/>
      <c r="AH98" s="10268" t="s">
        <v>131</v>
      </c>
      <c r="AI98" s="10269"/>
      <c r="AJ98" s="10268" t="s">
        <v>1919</v>
      </c>
      <c r="AK98" s="10269"/>
      <c r="AL98" s="4264"/>
      <c r="AM98" s="4264"/>
      <c r="AN98" s="4264"/>
      <c r="AO98" s="4264"/>
      <c r="AP98" s="4264"/>
      <c r="AQ98" s="4264"/>
      <c r="AR98" s="4264"/>
      <c r="AS98" s="4264"/>
      <c r="AT98" s="4264"/>
      <c r="AU98" s="4264"/>
      <c r="AV98" s="4264"/>
      <c r="AW98" s="4264"/>
      <c r="AX98" s="4264"/>
      <c r="AY98" s="4264"/>
      <c r="AZ98" s="4264"/>
      <c r="BX98" s="4260"/>
      <c r="BY98" s="4260"/>
    </row>
    <row r="99" spans="1:86" ht="16.2" customHeight="1" x14ac:dyDescent="0.25">
      <c r="A99" s="7344"/>
      <c r="B99" s="9056"/>
      <c r="C99" s="5140" t="s">
        <v>42</v>
      </c>
      <c r="D99" s="5630" t="s">
        <v>17</v>
      </c>
      <c r="E99" s="4531" t="s">
        <v>18</v>
      </c>
      <c r="F99" s="5577" t="s">
        <v>17</v>
      </c>
      <c r="G99" s="4531" t="s">
        <v>18</v>
      </c>
      <c r="H99" s="5577" t="s">
        <v>17</v>
      </c>
      <c r="I99" s="4531" t="s">
        <v>18</v>
      </c>
      <c r="J99" s="5577" t="s">
        <v>17</v>
      </c>
      <c r="K99" s="4531" t="s">
        <v>18</v>
      </c>
      <c r="L99" s="5630" t="s">
        <v>17</v>
      </c>
      <c r="M99" s="5700" t="s">
        <v>18</v>
      </c>
      <c r="N99" s="5577" t="s">
        <v>17</v>
      </c>
      <c r="O99" s="4531" t="s">
        <v>18</v>
      </c>
      <c r="P99" s="5630" t="s">
        <v>17</v>
      </c>
      <c r="Q99" s="5700" t="s">
        <v>18</v>
      </c>
      <c r="R99" s="5577" t="s">
        <v>17</v>
      </c>
      <c r="S99" s="4531" t="s">
        <v>18</v>
      </c>
      <c r="T99" s="5630" t="s">
        <v>17</v>
      </c>
      <c r="U99" s="5700" t="s">
        <v>18</v>
      </c>
      <c r="V99" s="5577" t="s">
        <v>17</v>
      </c>
      <c r="W99" s="4531" t="s">
        <v>18</v>
      </c>
      <c r="X99" s="5630" t="s">
        <v>17</v>
      </c>
      <c r="Y99" s="5700" t="s">
        <v>18</v>
      </c>
      <c r="Z99" s="5577" t="s">
        <v>17</v>
      </c>
      <c r="AA99" s="4531" t="s">
        <v>18</v>
      </c>
      <c r="AB99" s="5630" t="s">
        <v>17</v>
      </c>
      <c r="AC99" s="5700" t="s">
        <v>18</v>
      </c>
      <c r="AD99" s="5577" t="s">
        <v>17</v>
      </c>
      <c r="AE99" s="4531" t="s">
        <v>18</v>
      </c>
      <c r="AF99" s="5630" t="s">
        <v>17</v>
      </c>
      <c r="AG99" s="5700" t="s">
        <v>18</v>
      </c>
      <c r="AH99" s="5577" t="s">
        <v>17</v>
      </c>
      <c r="AI99" s="4531" t="s">
        <v>18</v>
      </c>
      <c r="AJ99" s="5577" t="s">
        <v>17</v>
      </c>
      <c r="AK99" s="4531" t="s">
        <v>18</v>
      </c>
      <c r="AL99" s="4264"/>
      <c r="AM99" s="4264"/>
      <c r="AN99" s="4264"/>
      <c r="AO99" s="4264"/>
      <c r="AP99" s="4264"/>
      <c r="AQ99" s="4264"/>
      <c r="AR99" s="4264"/>
      <c r="AS99" s="4264"/>
      <c r="AT99" s="4264"/>
      <c r="AU99" s="4264"/>
      <c r="AV99" s="4264"/>
      <c r="AW99" s="4264"/>
      <c r="AX99" s="4264"/>
      <c r="AY99" s="4264"/>
      <c r="AZ99" s="4264"/>
      <c r="BX99" s="4260"/>
      <c r="BY99" s="4260"/>
    </row>
    <row r="100" spans="1:86" ht="16.350000000000001" customHeight="1" x14ac:dyDescent="0.25">
      <c r="A100" s="7258">
        <v>23044000</v>
      </c>
      <c r="B100" s="5093" t="s">
        <v>1951</v>
      </c>
      <c r="C100" s="5704" t="s">
        <v>5369</v>
      </c>
      <c r="D100" s="5705" t="s">
        <v>5370</v>
      </c>
      <c r="E100" s="5706" t="s">
        <v>5371</v>
      </c>
      <c r="F100" s="5607" t="s">
        <v>5372</v>
      </c>
      <c r="G100" s="5739" t="s">
        <v>5373</v>
      </c>
      <c r="H100" s="5607" t="s">
        <v>5374</v>
      </c>
      <c r="I100" s="5739" t="s">
        <v>5375</v>
      </c>
      <c r="J100" s="5540" t="s">
        <v>5376</v>
      </c>
      <c r="K100" s="5542" t="s">
        <v>5377</v>
      </c>
      <c r="L100" s="5543" t="s">
        <v>5378</v>
      </c>
      <c r="M100" s="5544" t="s">
        <v>5379</v>
      </c>
      <c r="N100" s="5540" t="s">
        <v>5380</v>
      </c>
      <c r="O100" s="5542" t="s">
        <v>5381</v>
      </c>
      <c r="P100" s="5543" t="s">
        <v>5382</v>
      </c>
      <c r="Q100" s="5544" t="s">
        <v>5383</v>
      </c>
      <c r="R100" s="5540" t="s">
        <v>5384</v>
      </c>
      <c r="S100" s="5542" t="s">
        <v>5385</v>
      </c>
      <c r="T100" s="5543" t="s">
        <v>5386</v>
      </c>
      <c r="U100" s="5544" t="s">
        <v>5387</v>
      </c>
      <c r="V100" s="5540" t="s">
        <v>5388</v>
      </c>
      <c r="W100" s="5542" t="s">
        <v>5389</v>
      </c>
      <c r="X100" s="5543" t="s">
        <v>5390</v>
      </c>
      <c r="Y100" s="5544" t="s">
        <v>5391</v>
      </c>
      <c r="Z100" s="5540" t="s">
        <v>5392</v>
      </c>
      <c r="AA100" s="5542" t="s">
        <v>5393</v>
      </c>
      <c r="AB100" s="5543" t="s">
        <v>5394</v>
      </c>
      <c r="AC100" s="5544" t="s">
        <v>5395</v>
      </c>
      <c r="AD100" s="5540" t="s">
        <v>5396</v>
      </c>
      <c r="AE100" s="5542" t="s">
        <v>5397</v>
      </c>
      <c r="AF100" s="5543" t="s">
        <v>5398</v>
      </c>
      <c r="AG100" s="5544" t="s">
        <v>5399</v>
      </c>
      <c r="AH100" s="5540" t="s">
        <v>5400</v>
      </c>
      <c r="AI100" s="5542" t="s">
        <v>5401</v>
      </c>
      <c r="AJ100" s="5545" t="s">
        <v>5402</v>
      </c>
      <c r="AK100" s="5542" t="s">
        <v>5403</v>
      </c>
      <c r="AL100" s="5660"/>
      <c r="AM100" s="4291"/>
      <c r="AN100" s="4291"/>
      <c r="AO100" s="4291"/>
      <c r="AP100" s="4291"/>
      <c r="AQ100" s="4291"/>
      <c r="AR100" s="4291"/>
      <c r="AS100" s="4291"/>
      <c r="AT100" s="4291"/>
      <c r="AU100" s="4291"/>
      <c r="AV100" s="4291"/>
      <c r="AW100" s="4291"/>
      <c r="AX100" s="4264"/>
      <c r="AY100" s="4264"/>
      <c r="AZ100" s="4264"/>
      <c r="BX100" s="4260"/>
      <c r="BY100" s="4260"/>
      <c r="CF100" s="4295">
        <v>0</v>
      </c>
    </row>
    <row r="101" spans="1:86" ht="16.350000000000001" customHeight="1" x14ac:dyDescent="0.25">
      <c r="A101" s="7258">
        <v>23044100</v>
      </c>
      <c r="B101" s="5547" t="s">
        <v>1952</v>
      </c>
      <c r="C101" s="5102" t="s">
        <v>5369</v>
      </c>
      <c r="D101" s="5632" t="s">
        <v>5370</v>
      </c>
      <c r="E101" s="5633" t="s">
        <v>5371</v>
      </c>
      <c r="F101" s="5582" t="s">
        <v>5372</v>
      </c>
      <c r="G101" s="5740" t="s">
        <v>5373</v>
      </c>
      <c r="H101" s="5582" t="s">
        <v>5374</v>
      </c>
      <c r="I101" s="5740" t="s">
        <v>5375</v>
      </c>
      <c r="J101" s="5060" t="s">
        <v>5376</v>
      </c>
      <c r="K101" s="5061" t="s">
        <v>5377</v>
      </c>
      <c r="L101" s="5063" t="s">
        <v>5378</v>
      </c>
      <c r="M101" s="5741" t="s">
        <v>5379</v>
      </c>
      <c r="N101" s="5060" t="s">
        <v>5380</v>
      </c>
      <c r="O101" s="5061" t="s">
        <v>5381</v>
      </c>
      <c r="P101" s="5063" t="s">
        <v>5382</v>
      </c>
      <c r="Q101" s="5741" t="s">
        <v>5383</v>
      </c>
      <c r="R101" s="5060" t="s">
        <v>5384</v>
      </c>
      <c r="S101" s="5061" t="s">
        <v>5385</v>
      </c>
      <c r="T101" s="5063" t="s">
        <v>5386</v>
      </c>
      <c r="U101" s="5741" t="s">
        <v>5387</v>
      </c>
      <c r="V101" s="5060" t="s">
        <v>5388</v>
      </c>
      <c r="W101" s="5061" t="s">
        <v>5389</v>
      </c>
      <c r="X101" s="5063" t="s">
        <v>5390</v>
      </c>
      <c r="Y101" s="5741" t="s">
        <v>5391</v>
      </c>
      <c r="Z101" s="5060" t="s">
        <v>5392</v>
      </c>
      <c r="AA101" s="5061" t="s">
        <v>5393</v>
      </c>
      <c r="AB101" s="5063" t="s">
        <v>5394</v>
      </c>
      <c r="AC101" s="5741" t="s">
        <v>5395</v>
      </c>
      <c r="AD101" s="5060" t="s">
        <v>5396</v>
      </c>
      <c r="AE101" s="5061" t="s">
        <v>5397</v>
      </c>
      <c r="AF101" s="5063" t="s">
        <v>5398</v>
      </c>
      <c r="AG101" s="5741" t="s">
        <v>5399</v>
      </c>
      <c r="AH101" s="5060" t="s">
        <v>5400</v>
      </c>
      <c r="AI101" s="5061" t="s">
        <v>5401</v>
      </c>
      <c r="AJ101" s="4284" t="s">
        <v>5402</v>
      </c>
      <c r="AK101" s="5061" t="s">
        <v>5403</v>
      </c>
      <c r="AL101" s="5660"/>
      <c r="AM101" s="4291"/>
      <c r="AN101" s="4291"/>
      <c r="AO101" s="4291"/>
      <c r="AP101" s="4291"/>
      <c r="AQ101" s="4291"/>
      <c r="AR101" s="4291"/>
      <c r="AS101" s="4291"/>
      <c r="AT101" s="4291"/>
      <c r="AU101" s="4291"/>
      <c r="AV101" s="4291"/>
      <c r="AW101" s="4291"/>
      <c r="AX101" s="4264"/>
      <c r="AY101" s="4264"/>
      <c r="AZ101" s="4264"/>
      <c r="BX101" s="4260"/>
      <c r="BY101" s="4260"/>
      <c r="CF101" s="4295">
        <v>0</v>
      </c>
    </row>
    <row r="102" spans="1:86" ht="16.350000000000001" customHeight="1" x14ac:dyDescent="0.25">
      <c r="A102" s="7258">
        <v>23044200</v>
      </c>
      <c r="B102" s="5547" t="s">
        <v>1953</v>
      </c>
      <c r="C102" s="5689" t="s">
        <v>5369</v>
      </c>
      <c r="D102" s="5690" t="s">
        <v>5370</v>
      </c>
      <c r="E102" s="5710" t="s">
        <v>5371</v>
      </c>
      <c r="F102" s="5582" t="s">
        <v>5372</v>
      </c>
      <c r="G102" s="5740" t="s">
        <v>5373</v>
      </c>
      <c r="H102" s="5582" t="s">
        <v>5374</v>
      </c>
      <c r="I102" s="5740" t="s">
        <v>5375</v>
      </c>
      <c r="J102" s="5060" t="s">
        <v>5376</v>
      </c>
      <c r="K102" s="5061" t="s">
        <v>5377</v>
      </c>
      <c r="L102" s="5063" t="s">
        <v>5378</v>
      </c>
      <c r="M102" s="5741" t="s">
        <v>5379</v>
      </c>
      <c r="N102" s="5060" t="s">
        <v>5380</v>
      </c>
      <c r="O102" s="5061" t="s">
        <v>5381</v>
      </c>
      <c r="P102" s="5063" t="s">
        <v>5382</v>
      </c>
      <c r="Q102" s="5741" t="s">
        <v>5383</v>
      </c>
      <c r="R102" s="5060" t="s">
        <v>5384</v>
      </c>
      <c r="S102" s="5061" t="s">
        <v>5385</v>
      </c>
      <c r="T102" s="5063" t="s">
        <v>5386</v>
      </c>
      <c r="U102" s="5741" t="s">
        <v>5387</v>
      </c>
      <c r="V102" s="5060" t="s">
        <v>5388</v>
      </c>
      <c r="W102" s="5061" t="s">
        <v>5389</v>
      </c>
      <c r="X102" s="5063" t="s">
        <v>5390</v>
      </c>
      <c r="Y102" s="5741" t="s">
        <v>5391</v>
      </c>
      <c r="Z102" s="5060" t="s">
        <v>5392</v>
      </c>
      <c r="AA102" s="5061" t="s">
        <v>5393</v>
      </c>
      <c r="AB102" s="5063" t="s">
        <v>5394</v>
      </c>
      <c r="AC102" s="5741" t="s">
        <v>5395</v>
      </c>
      <c r="AD102" s="5060" t="s">
        <v>5396</v>
      </c>
      <c r="AE102" s="5061" t="s">
        <v>5397</v>
      </c>
      <c r="AF102" s="5063" t="s">
        <v>5398</v>
      </c>
      <c r="AG102" s="5741" t="s">
        <v>5399</v>
      </c>
      <c r="AH102" s="5060" t="s">
        <v>5400</v>
      </c>
      <c r="AI102" s="5061" t="s">
        <v>5401</v>
      </c>
      <c r="AJ102" s="4284" t="s">
        <v>5402</v>
      </c>
      <c r="AK102" s="5061" t="s">
        <v>5403</v>
      </c>
      <c r="AL102" s="5660"/>
      <c r="AM102" s="4291"/>
      <c r="AN102" s="4291"/>
      <c r="AO102" s="4291"/>
      <c r="AP102" s="4291"/>
      <c r="AQ102" s="4291"/>
      <c r="AR102" s="4291"/>
      <c r="AS102" s="4291"/>
      <c r="AT102" s="4291"/>
      <c r="AU102" s="4291"/>
      <c r="AV102" s="4291"/>
      <c r="AW102" s="4291"/>
      <c r="AX102" s="4264"/>
      <c r="AY102" s="4264"/>
      <c r="AZ102" s="4264"/>
      <c r="BX102" s="4260"/>
      <c r="BY102" s="4260"/>
      <c r="CF102" s="4295">
        <v>0</v>
      </c>
    </row>
    <row r="103" spans="1:86" ht="16.350000000000001" customHeight="1" x14ac:dyDescent="0.25">
      <c r="A103" s="7258">
        <v>23044300</v>
      </c>
      <c r="B103" s="5547" t="s">
        <v>1954</v>
      </c>
      <c r="C103" s="5689" t="s">
        <v>5369</v>
      </c>
      <c r="D103" s="5690" t="s">
        <v>5370</v>
      </c>
      <c r="E103" s="5710" t="s">
        <v>5371</v>
      </c>
      <c r="F103" s="5582" t="s">
        <v>5372</v>
      </c>
      <c r="G103" s="5740" t="s">
        <v>5373</v>
      </c>
      <c r="H103" s="5582" t="s">
        <v>5374</v>
      </c>
      <c r="I103" s="5740" t="s">
        <v>5375</v>
      </c>
      <c r="J103" s="5060" t="s">
        <v>5376</v>
      </c>
      <c r="K103" s="5061" t="s">
        <v>5377</v>
      </c>
      <c r="L103" s="5063" t="s">
        <v>5378</v>
      </c>
      <c r="M103" s="5741" t="s">
        <v>5379</v>
      </c>
      <c r="N103" s="5060" t="s">
        <v>5380</v>
      </c>
      <c r="O103" s="5061" t="s">
        <v>5381</v>
      </c>
      <c r="P103" s="5063" t="s">
        <v>5382</v>
      </c>
      <c r="Q103" s="5741" t="s">
        <v>5383</v>
      </c>
      <c r="R103" s="5060" t="s">
        <v>5384</v>
      </c>
      <c r="S103" s="5061" t="s">
        <v>5385</v>
      </c>
      <c r="T103" s="5063" t="s">
        <v>5386</v>
      </c>
      <c r="U103" s="5741" t="s">
        <v>5387</v>
      </c>
      <c r="V103" s="5060" t="s">
        <v>5388</v>
      </c>
      <c r="W103" s="5061" t="s">
        <v>5389</v>
      </c>
      <c r="X103" s="5063" t="s">
        <v>5390</v>
      </c>
      <c r="Y103" s="5741" t="s">
        <v>5391</v>
      </c>
      <c r="Z103" s="5060" t="s">
        <v>5392</v>
      </c>
      <c r="AA103" s="5061" t="s">
        <v>5393</v>
      </c>
      <c r="AB103" s="5063" t="s">
        <v>5394</v>
      </c>
      <c r="AC103" s="5741" t="s">
        <v>5395</v>
      </c>
      <c r="AD103" s="5060" t="s">
        <v>5396</v>
      </c>
      <c r="AE103" s="5061" t="s">
        <v>5397</v>
      </c>
      <c r="AF103" s="5063" t="s">
        <v>5398</v>
      </c>
      <c r="AG103" s="5741" t="s">
        <v>5399</v>
      </c>
      <c r="AH103" s="5060" t="s">
        <v>5400</v>
      </c>
      <c r="AI103" s="5061" t="s">
        <v>5401</v>
      </c>
      <c r="AJ103" s="4284" t="s">
        <v>5402</v>
      </c>
      <c r="AK103" s="5061" t="s">
        <v>5403</v>
      </c>
      <c r="AL103" s="5660"/>
      <c r="AM103" s="4291"/>
      <c r="AN103" s="4291"/>
      <c r="AO103" s="4291"/>
      <c r="AP103" s="4291"/>
      <c r="AQ103" s="4291"/>
      <c r="AR103" s="4291"/>
      <c r="AS103" s="4291"/>
      <c r="AT103" s="4291"/>
      <c r="AU103" s="4291"/>
      <c r="AV103" s="4291"/>
      <c r="AW103" s="4291"/>
      <c r="AX103" s="4264"/>
      <c r="AY103" s="4264"/>
      <c r="AZ103" s="4264"/>
      <c r="BX103" s="4260"/>
      <c r="BY103" s="4260"/>
      <c r="CF103" s="4295">
        <v>0</v>
      </c>
    </row>
    <row r="104" spans="1:86" ht="16.350000000000001" customHeight="1" x14ac:dyDescent="0.25">
      <c r="A104" s="7258">
        <v>23080600</v>
      </c>
      <c r="B104" s="5547" t="s">
        <v>1955</v>
      </c>
      <c r="C104" s="5689" t="s">
        <v>5369</v>
      </c>
      <c r="D104" s="5690" t="s">
        <v>5370</v>
      </c>
      <c r="E104" s="5710" t="s">
        <v>5371</v>
      </c>
      <c r="F104" s="5554" t="s">
        <v>5372</v>
      </c>
      <c r="G104" s="5560" t="s">
        <v>5373</v>
      </c>
      <c r="H104" s="5554" t="s">
        <v>5374</v>
      </c>
      <c r="I104" s="5560" t="s">
        <v>5375</v>
      </c>
      <c r="J104" s="5065" t="s">
        <v>5376</v>
      </c>
      <c r="K104" s="5066" t="s">
        <v>5377</v>
      </c>
      <c r="L104" s="5068" t="s">
        <v>5378</v>
      </c>
      <c r="M104" s="5077" t="s">
        <v>5379</v>
      </c>
      <c r="N104" s="5065" t="s">
        <v>5380</v>
      </c>
      <c r="O104" s="5066" t="s">
        <v>5381</v>
      </c>
      <c r="P104" s="5068" t="s">
        <v>5382</v>
      </c>
      <c r="Q104" s="5077" t="s">
        <v>5383</v>
      </c>
      <c r="R104" s="5065" t="s">
        <v>5384</v>
      </c>
      <c r="S104" s="5066" t="s">
        <v>5385</v>
      </c>
      <c r="T104" s="5068" t="s">
        <v>5386</v>
      </c>
      <c r="U104" s="5077" t="s">
        <v>5387</v>
      </c>
      <c r="V104" s="5065" t="s">
        <v>5388</v>
      </c>
      <c r="W104" s="5066" t="s">
        <v>5389</v>
      </c>
      <c r="X104" s="5068" t="s">
        <v>5390</v>
      </c>
      <c r="Y104" s="5077" t="s">
        <v>5391</v>
      </c>
      <c r="Z104" s="5065" t="s">
        <v>5392</v>
      </c>
      <c r="AA104" s="5066" t="s">
        <v>5393</v>
      </c>
      <c r="AB104" s="5068" t="s">
        <v>5394</v>
      </c>
      <c r="AC104" s="5077" t="s">
        <v>5395</v>
      </c>
      <c r="AD104" s="5065" t="s">
        <v>5396</v>
      </c>
      <c r="AE104" s="5066" t="s">
        <v>5397</v>
      </c>
      <c r="AF104" s="5068" t="s">
        <v>5398</v>
      </c>
      <c r="AG104" s="5077" t="s">
        <v>5399</v>
      </c>
      <c r="AH104" s="5065" t="s">
        <v>5400</v>
      </c>
      <c r="AI104" s="5066" t="s">
        <v>5401</v>
      </c>
      <c r="AJ104" s="5069" t="s">
        <v>5402</v>
      </c>
      <c r="AK104" s="5066" t="s">
        <v>5403</v>
      </c>
      <c r="AL104" s="5660"/>
      <c r="AM104" s="4291"/>
      <c r="AN104" s="4291"/>
      <c r="AO104" s="4291"/>
      <c r="AP104" s="4291"/>
      <c r="AQ104" s="4291"/>
      <c r="AR104" s="4291"/>
      <c r="AS104" s="4291"/>
      <c r="AT104" s="4291"/>
      <c r="AU104" s="4291"/>
      <c r="AV104" s="4291"/>
      <c r="AW104" s="4291"/>
      <c r="AX104" s="4264"/>
      <c r="AY104" s="4264"/>
      <c r="AZ104" s="4264"/>
      <c r="BX104" s="4260"/>
      <c r="BY104" s="4260"/>
      <c r="CF104" s="4295">
        <v>0</v>
      </c>
    </row>
    <row r="105" spans="1:86" ht="16.350000000000001" customHeight="1" x14ac:dyDescent="0.25">
      <c r="A105" s="7258">
        <v>23040901</v>
      </c>
      <c r="B105" s="5547" t="s">
        <v>1956</v>
      </c>
      <c r="C105" s="5689" t="s">
        <v>5369</v>
      </c>
      <c r="D105" s="5690" t="s">
        <v>5370</v>
      </c>
      <c r="E105" s="5710" t="s">
        <v>5371</v>
      </c>
      <c r="F105" s="5554" t="s">
        <v>5372</v>
      </c>
      <c r="G105" s="5560" t="s">
        <v>5373</v>
      </c>
      <c r="H105" s="5554" t="s">
        <v>5374</v>
      </c>
      <c r="I105" s="5560" t="s">
        <v>5375</v>
      </c>
      <c r="J105" s="5065" t="s">
        <v>5376</v>
      </c>
      <c r="K105" s="5066" t="s">
        <v>5377</v>
      </c>
      <c r="L105" s="5068" t="s">
        <v>5378</v>
      </c>
      <c r="M105" s="5077" t="s">
        <v>5379</v>
      </c>
      <c r="N105" s="5065" t="s">
        <v>5380</v>
      </c>
      <c r="O105" s="5066" t="s">
        <v>5381</v>
      </c>
      <c r="P105" s="5068" t="s">
        <v>5382</v>
      </c>
      <c r="Q105" s="5077" t="s">
        <v>5383</v>
      </c>
      <c r="R105" s="5065" t="s">
        <v>5384</v>
      </c>
      <c r="S105" s="5066" t="s">
        <v>5385</v>
      </c>
      <c r="T105" s="5068" t="s">
        <v>5386</v>
      </c>
      <c r="U105" s="5077" t="s">
        <v>5387</v>
      </c>
      <c r="V105" s="5065" t="s">
        <v>5388</v>
      </c>
      <c r="W105" s="5066" t="s">
        <v>5389</v>
      </c>
      <c r="X105" s="5068" t="s">
        <v>5390</v>
      </c>
      <c r="Y105" s="5077" t="s">
        <v>5391</v>
      </c>
      <c r="Z105" s="5065" t="s">
        <v>5392</v>
      </c>
      <c r="AA105" s="5066" t="s">
        <v>5393</v>
      </c>
      <c r="AB105" s="5068" t="s">
        <v>5394</v>
      </c>
      <c r="AC105" s="5077" t="s">
        <v>5395</v>
      </c>
      <c r="AD105" s="5065" t="s">
        <v>5396</v>
      </c>
      <c r="AE105" s="5066" t="s">
        <v>5397</v>
      </c>
      <c r="AF105" s="5068" t="s">
        <v>5398</v>
      </c>
      <c r="AG105" s="5077" t="s">
        <v>5399</v>
      </c>
      <c r="AH105" s="5065" t="s">
        <v>5400</v>
      </c>
      <c r="AI105" s="5066" t="s">
        <v>5401</v>
      </c>
      <c r="AJ105" s="5069" t="s">
        <v>5402</v>
      </c>
      <c r="AK105" s="5066" t="s">
        <v>5403</v>
      </c>
      <c r="AL105" s="5660"/>
      <c r="AM105" s="4291"/>
      <c r="AN105" s="4291"/>
      <c r="AO105" s="4291"/>
      <c r="AP105" s="4291"/>
      <c r="AQ105" s="4291"/>
      <c r="AR105" s="4291"/>
      <c r="AS105" s="4291"/>
      <c r="AT105" s="4291"/>
      <c r="AU105" s="4291"/>
      <c r="AV105" s="4291"/>
      <c r="AW105" s="4291"/>
      <c r="AX105" s="4264"/>
      <c r="AY105" s="4264"/>
      <c r="AZ105" s="4264"/>
      <c r="BX105" s="4260"/>
      <c r="BY105" s="4260"/>
      <c r="CF105" s="4295">
        <v>0</v>
      </c>
    </row>
    <row r="106" spans="1:86" ht="16.350000000000001" customHeight="1" x14ac:dyDescent="0.25">
      <c r="A106" s="7258">
        <v>23080700</v>
      </c>
      <c r="B106" s="5547" t="s">
        <v>1957</v>
      </c>
      <c r="C106" s="5689" t="s">
        <v>5369</v>
      </c>
      <c r="D106" s="5690" t="s">
        <v>5370</v>
      </c>
      <c r="E106" s="5710" t="s">
        <v>5371</v>
      </c>
      <c r="F106" s="5554" t="s">
        <v>5372</v>
      </c>
      <c r="G106" s="5560" t="s">
        <v>5373</v>
      </c>
      <c r="H106" s="5554" t="s">
        <v>5374</v>
      </c>
      <c r="I106" s="5560" t="s">
        <v>5375</v>
      </c>
      <c r="J106" s="5065" t="s">
        <v>5376</v>
      </c>
      <c r="K106" s="5066" t="s">
        <v>5377</v>
      </c>
      <c r="L106" s="5068" t="s">
        <v>5378</v>
      </c>
      <c r="M106" s="5077" t="s">
        <v>5379</v>
      </c>
      <c r="N106" s="5065" t="s">
        <v>5380</v>
      </c>
      <c r="O106" s="5066" t="s">
        <v>5381</v>
      </c>
      <c r="P106" s="5068" t="s">
        <v>5382</v>
      </c>
      <c r="Q106" s="5077" t="s">
        <v>5383</v>
      </c>
      <c r="R106" s="5065" t="s">
        <v>5384</v>
      </c>
      <c r="S106" s="5066" t="s">
        <v>5385</v>
      </c>
      <c r="T106" s="5068" t="s">
        <v>5386</v>
      </c>
      <c r="U106" s="5077" t="s">
        <v>5387</v>
      </c>
      <c r="V106" s="5065" t="s">
        <v>5388</v>
      </c>
      <c r="W106" s="5066" t="s">
        <v>5389</v>
      </c>
      <c r="X106" s="5068" t="s">
        <v>5390</v>
      </c>
      <c r="Y106" s="5077" t="s">
        <v>5391</v>
      </c>
      <c r="Z106" s="5065" t="s">
        <v>5392</v>
      </c>
      <c r="AA106" s="5066" t="s">
        <v>5393</v>
      </c>
      <c r="AB106" s="5068" t="s">
        <v>5394</v>
      </c>
      <c r="AC106" s="5077" t="s">
        <v>5395</v>
      </c>
      <c r="AD106" s="5065" t="s">
        <v>5396</v>
      </c>
      <c r="AE106" s="5066" t="s">
        <v>5397</v>
      </c>
      <c r="AF106" s="5068" t="s">
        <v>5398</v>
      </c>
      <c r="AG106" s="5077" t="s">
        <v>5399</v>
      </c>
      <c r="AH106" s="5065" t="s">
        <v>5400</v>
      </c>
      <c r="AI106" s="5066" t="s">
        <v>5401</v>
      </c>
      <c r="AJ106" s="5069" t="s">
        <v>5402</v>
      </c>
      <c r="AK106" s="5066" t="s">
        <v>5403</v>
      </c>
      <c r="AL106" s="5660"/>
      <c r="AM106" s="4291"/>
      <c r="AN106" s="4291"/>
      <c r="AO106" s="4291"/>
      <c r="AP106" s="4291"/>
      <c r="AQ106" s="4291"/>
      <c r="AR106" s="4291"/>
      <c r="AS106" s="4291"/>
      <c r="AT106" s="4291"/>
      <c r="AU106" s="4291"/>
      <c r="AV106" s="4291"/>
      <c r="AW106" s="4291"/>
      <c r="AX106" s="4264"/>
      <c r="AY106" s="4264"/>
      <c r="AZ106" s="4264"/>
      <c r="BX106" s="4260"/>
      <c r="BY106" s="4260"/>
      <c r="CF106" s="4295">
        <v>0</v>
      </c>
    </row>
    <row r="107" spans="1:86" ht="16.350000000000001" customHeight="1" x14ac:dyDescent="0.25">
      <c r="A107" s="7258">
        <v>23090530</v>
      </c>
      <c r="B107" s="5742" t="s">
        <v>1958</v>
      </c>
      <c r="C107" s="5689" t="s">
        <v>5369</v>
      </c>
      <c r="D107" s="5743" t="s">
        <v>5370</v>
      </c>
      <c r="E107" s="5710" t="s">
        <v>5371</v>
      </c>
      <c r="F107" s="5081" t="s">
        <v>5372</v>
      </c>
      <c r="G107" s="5082" t="s">
        <v>5373</v>
      </c>
      <c r="H107" s="5081" t="s">
        <v>5374</v>
      </c>
      <c r="I107" s="5082" t="s">
        <v>5375</v>
      </c>
      <c r="J107" s="5081" t="s">
        <v>5376</v>
      </c>
      <c r="K107" s="5082" t="s">
        <v>5377</v>
      </c>
      <c r="L107" s="5084" t="s">
        <v>5378</v>
      </c>
      <c r="M107" s="5085" t="s">
        <v>5379</v>
      </c>
      <c r="N107" s="5081" t="s">
        <v>5380</v>
      </c>
      <c r="O107" s="5082" t="s">
        <v>5381</v>
      </c>
      <c r="P107" s="5084" t="s">
        <v>5382</v>
      </c>
      <c r="Q107" s="5085" t="s">
        <v>5383</v>
      </c>
      <c r="R107" s="5081" t="s">
        <v>5384</v>
      </c>
      <c r="S107" s="5082" t="s">
        <v>5385</v>
      </c>
      <c r="T107" s="5084" t="s">
        <v>5386</v>
      </c>
      <c r="U107" s="5085" t="s">
        <v>5387</v>
      </c>
      <c r="V107" s="5081" t="s">
        <v>5388</v>
      </c>
      <c r="W107" s="5082" t="s">
        <v>5389</v>
      </c>
      <c r="X107" s="5084" t="s">
        <v>5390</v>
      </c>
      <c r="Y107" s="5085" t="s">
        <v>5391</v>
      </c>
      <c r="Z107" s="5081" t="s">
        <v>5392</v>
      </c>
      <c r="AA107" s="5082" t="s">
        <v>5393</v>
      </c>
      <c r="AB107" s="5084" t="s">
        <v>5394</v>
      </c>
      <c r="AC107" s="5085" t="s">
        <v>5395</v>
      </c>
      <c r="AD107" s="5081" t="s">
        <v>5396</v>
      </c>
      <c r="AE107" s="5082" t="s">
        <v>5397</v>
      </c>
      <c r="AF107" s="5084" t="s">
        <v>5398</v>
      </c>
      <c r="AG107" s="5085" t="s">
        <v>5399</v>
      </c>
      <c r="AH107" s="5081" t="s">
        <v>5400</v>
      </c>
      <c r="AI107" s="5082" t="s">
        <v>5401</v>
      </c>
      <c r="AJ107" s="5744" t="s">
        <v>5402</v>
      </c>
      <c r="AK107" s="5082" t="s">
        <v>5403</v>
      </c>
      <c r="AL107" s="5660"/>
      <c r="AM107" s="4291"/>
      <c r="AN107" s="4291"/>
      <c r="AO107" s="4291"/>
      <c r="AP107" s="4291"/>
      <c r="AQ107" s="4291"/>
      <c r="AR107" s="4291"/>
      <c r="AS107" s="4291"/>
      <c r="AT107" s="4291"/>
      <c r="AU107" s="4291"/>
      <c r="AV107" s="4291"/>
      <c r="AW107" s="4291"/>
      <c r="AX107" s="4264"/>
      <c r="AY107" s="4264"/>
      <c r="AZ107" s="4264"/>
      <c r="BX107" s="4260"/>
      <c r="BY107" s="4260"/>
      <c r="CF107" s="4295">
        <v>0</v>
      </c>
      <c r="CH107" s="4295">
        <v>0</v>
      </c>
    </row>
    <row r="108" spans="1:86" ht="16.350000000000001" customHeight="1" x14ac:dyDescent="0.25">
      <c r="A108" s="7258">
        <v>23110100</v>
      </c>
      <c r="B108" s="5745" t="s">
        <v>2365</v>
      </c>
      <c r="C108" s="5746" t="s">
        <v>5369</v>
      </c>
      <c r="D108" s="5747" t="s">
        <v>5370</v>
      </c>
      <c r="E108" s="5715" t="s">
        <v>5371</v>
      </c>
      <c r="F108" s="5088" t="s">
        <v>5372</v>
      </c>
      <c r="G108" s="5089" t="s">
        <v>5373</v>
      </c>
      <c r="H108" s="5088" t="s">
        <v>5374</v>
      </c>
      <c r="I108" s="5089" t="s">
        <v>5375</v>
      </c>
      <c r="J108" s="5088" t="s">
        <v>5376</v>
      </c>
      <c r="K108" s="5089" t="s">
        <v>5377</v>
      </c>
      <c r="L108" s="5091" t="s">
        <v>5378</v>
      </c>
      <c r="M108" s="5092" t="s">
        <v>5379</v>
      </c>
      <c r="N108" s="5088" t="s">
        <v>5380</v>
      </c>
      <c r="O108" s="5089" t="s">
        <v>5381</v>
      </c>
      <c r="P108" s="5091" t="s">
        <v>5382</v>
      </c>
      <c r="Q108" s="5092" t="s">
        <v>5383</v>
      </c>
      <c r="R108" s="5088" t="s">
        <v>5384</v>
      </c>
      <c r="S108" s="5089" t="s">
        <v>5385</v>
      </c>
      <c r="T108" s="5091" t="s">
        <v>5386</v>
      </c>
      <c r="U108" s="5092" t="s">
        <v>5387</v>
      </c>
      <c r="V108" s="5088" t="s">
        <v>5388</v>
      </c>
      <c r="W108" s="5089" t="s">
        <v>5389</v>
      </c>
      <c r="X108" s="5091" t="s">
        <v>5390</v>
      </c>
      <c r="Y108" s="5092" t="s">
        <v>5391</v>
      </c>
      <c r="Z108" s="5088" t="s">
        <v>5392</v>
      </c>
      <c r="AA108" s="5089" t="s">
        <v>5393</v>
      </c>
      <c r="AB108" s="5091" t="s">
        <v>5394</v>
      </c>
      <c r="AC108" s="5092" t="s">
        <v>5395</v>
      </c>
      <c r="AD108" s="5088" t="s">
        <v>5396</v>
      </c>
      <c r="AE108" s="5089" t="s">
        <v>5397</v>
      </c>
      <c r="AF108" s="5091" t="s">
        <v>5398</v>
      </c>
      <c r="AG108" s="5092" t="s">
        <v>5399</v>
      </c>
      <c r="AH108" s="5088" t="s">
        <v>5400</v>
      </c>
      <c r="AI108" s="5089" t="s">
        <v>5401</v>
      </c>
      <c r="AJ108" s="5098" t="s">
        <v>5402</v>
      </c>
      <c r="AK108" s="5089" t="s">
        <v>5403</v>
      </c>
      <c r="AL108" s="5660"/>
      <c r="AM108" s="4291"/>
      <c r="AN108" s="4291"/>
      <c r="AO108" s="4291"/>
      <c r="AP108" s="4291"/>
      <c r="AQ108" s="4291"/>
      <c r="AR108" s="4291"/>
      <c r="AS108" s="4291"/>
      <c r="AT108" s="4291"/>
      <c r="AU108" s="4291"/>
      <c r="AV108" s="4291"/>
      <c r="AW108" s="4291"/>
      <c r="AX108" s="4264"/>
      <c r="AY108" s="4264"/>
      <c r="AZ108" s="4264"/>
      <c r="BX108" s="4260"/>
      <c r="BY108" s="4260"/>
      <c r="CF108" s="4295">
        <v>0</v>
      </c>
      <c r="CH108" s="4295">
        <v>0</v>
      </c>
    </row>
    <row r="109" spans="1:86" ht="31.95" customHeight="1" x14ac:dyDescent="0.25">
      <c r="B109" s="5053" t="s">
        <v>3619</v>
      </c>
      <c r="C109" s="3807"/>
      <c r="D109" s="3940"/>
      <c r="E109" s="3940"/>
      <c r="F109" s="3940"/>
      <c r="G109" s="3940"/>
      <c r="H109" s="3940"/>
      <c r="I109" s="3940"/>
      <c r="J109" s="3940"/>
      <c r="K109" s="3940"/>
      <c r="L109" s="3940"/>
      <c r="M109" s="3940"/>
      <c r="N109" s="3940"/>
      <c r="O109" s="3940"/>
      <c r="P109" s="3940"/>
      <c r="Q109" s="3940"/>
      <c r="R109" s="3940"/>
      <c r="S109" s="3940"/>
      <c r="T109" s="3940"/>
      <c r="U109" s="3940"/>
      <c r="V109" s="3940"/>
      <c r="W109" s="3940"/>
      <c r="AN109" s="4264"/>
      <c r="AO109" s="4264"/>
      <c r="AP109" s="4264"/>
      <c r="AQ109" s="4264"/>
      <c r="AR109" s="4264"/>
      <c r="AS109" s="4264"/>
      <c r="AT109" s="4264"/>
      <c r="AU109" s="4264"/>
      <c r="AV109" s="4264"/>
      <c r="AW109" s="4264"/>
      <c r="AX109" s="4264"/>
      <c r="AY109" s="4264"/>
      <c r="AZ109" s="4264"/>
      <c r="BA109" s="4264"/>
      <c r="BB109" s="4264"/>
      <c r="CH109" s="4295">
        <v>0</v>
      </c>
    </row>
    <row r="110" spans="1:86" ht="18" customHeight="1" x14ac:dyDescent="0.25">
      <c r="A110" s="7344"/>
      <c r="B110" s="10247" t="s">
        <v>1959</v>
      </c>
      <c r="C110" s="10248" t="s">
        <v>24</v>
      </c>
      <c r="D110" s="10249"/>
      <c r="E110" s="10250"/>
      <c r="F110" s="10291" t="s">
        <v>2</v>
      </c>
      <c r="G110" s="10292"/>
      <c r="H110" s="10292"/>
      <c r="I110" s="10292"/>
      <c r="J110" s="10292"/>
      <c r="K110" s="10292"/>
      <c r="L110" s="10292"/>
      <c r="M110" s="10292"/>
      <c r="N110" s="10292"/>
      <c r="O110" s="10292"/>
      <c r="P110" s="10292"/>
      <c r="Q110" s="10292"/>
      <c r="R110" s="10292"/>
      <c r="S110" s="10292"/>
      <c r="T110" s="10292"/>
      <c r="U110" s="10292"/>
      <c r="V110" s="10292"/>
      <c r="W110" s="10292"/>
      <c r="X110" s="10292"/>
      <c r="Y110" s="10292"/>
      <c r="Z110" s="10292"/>
      <c r="AA110" s="10292"/>
      <c r="AB110" s="10292"/>
      <c r="AC110" s="10292"/>
      <c r="AD110" s="10292"/>
      <c r="AE110" s="10292"/>
      <c r="AF110" s="10292"/>
      <c r="AG110" s="10292"/>
      <c r="AH110" s="10292"/>
      <c r="AI110" s="10292"/>
      <c r="AJ110" s="10292"/>
      <c r="AK110" s="10327"/>
      <c r="AM110" s="4264"/>
      <c r="AN110" s="4264"/>
      <c r="AO110" s="4264"/>
      <c r="AP110" s="4264"/>
      <c r="AQ110" s="4264"/>
      <c r="AR110" s="4264"/>
      <c r="AS110" s="4264"/>
      <c r="AT110" s="4264"/>
      <c r="AU110" s="4264"/>
      <c r="AV110" s="4264"/>
      <c r="AW110" s="4264"/>
      <c r="AX110" s="4264"/>
      <c r="AY110" s="4264"/>
      <c r="AZ110" s="4264"/>
      <c r="BA110" s="4264"/>
      <c r="BY110" s="4260"/>
      <c r="CH110" s="4295">
        <v>0</v>
      </c>
    </row>
    <row r="111" spans="1:86" ht="18" customHeight="1" x14ac:dyDescent="0.25">
      <c r="A111" s="7344"/>
      <c r="B111" s="9055"/>
      <c r="C111" s="10251"/>
      <c r="D111" s="10252"/>
      <c r="E111" s="10253"/>
      <c r="F111" s="10268" t="s">
        <v>1912</v>
      </c>
      <c r="G111" s="10269"/>
      <c r="H111" s="10268" t="s">
        <v>1913</v>
      </c>
      <c r="I111" s="10269"/>
      <c r="J111" s="10268" t="s">
        <v>1914</v>
      </c>
      <c r="K111" s="10269"/>
      <c r="L111" s="10265" t="s">
        <v>1915</v>
      </c>
      <c r="M111" s="10265"/>
      <c r="N111" s="10268" t="s">
        <v>1916</v>
      </c>
      <c r="O111" s="10269"/>
      <c r="P111" s="10265" t="s">
        <v>1917</v>
      </c>
      <c r="Q111" s="10265"/>
      <c r="R111" s="10268" t="s">
        <v>1918</v>
      </c>
      <c r="S111" s="10269"/>
      <c r="T111" s="10265" t="s">
        <v>124</v>
      </c>
      <c r="U111" s="10265"/>
      <c r="V111" s="10268" t="s">
        <v>125</v>
      </c>
      <c r="W111" s="10269"/>
      <c r="X111" s="10265" t="s">
        <v>126</v>
      </c>
      <c r="Y111" s="10265"/>
      <c r="Z111" s="10268" t="s">
        <v>127</v>
      </c>
      <c r="AA111" s="10269"/>
      <c r="AB111" s="10265" t="s">
        <v>128</v>
      </c>
      <c r="AC111" s="10265"/>
      <c r="AD111" s="10268" t="s">
        <v>129</v>
      </c>
      <c r="AE111" s="10269"/>
      <c r="AF111" s="10265" t="s">
        <v>130</v>
      </c>
      <c r="AG111" s="10265"/>
      <c r="AH111" s="10268" t="s">
        <v>131</v>
      </c>
      <c r="AI111" s="10269"/>
      <c r="AJ111" s="10265" t="s">
        <v>1919</v>
      </c>
      <c r="AK111" s="10269"/>
      <c r="AM111" s="4264"/>
      <c r="AN111" s="4264"/>
      <c r="AO111" s="4264"/>
      <c r="AP111" s="4264"/>
      <c r="AQ111" s="4264"/>
      <c r="AR111" s="4264"/>
      <c r="AS111" s="4264"/>
      <c r="AT111" s="4264"/>
      <c r="AU111" s="4264"/>
      <c r="AV111" s="4264"/>
      <c r="AW111" s="4264"/>
      <c r="AX111" s="4264"/>
      <c r="AY111" s="4264"/>
      <c r="AZ111" s="4264"/>
      <c r="BA111" s="4264"/>
      <c r="BY111" s="4260"/>
      <c r="CH111" s="4295">
        <v>0</v>
      </c>
    </row>
    <row r="112" spans="1:86" ht="17.25" customHeight="1" x14ac:dyDescent="0.25">
      <c r="A112" s="7344"/>
      <c r="B112" s="9056"/>
      <c r="C112" s="5140" t="s">
        <v>42</v>
      </c>
      <c r="D112" s="5630" t="s">
        <v>17</v>
      </c>
      <c r="E112" s="4531" t="s">
        <v>18</v>
      </c>
      <c r="F112" s="5577" t="s">
        <v>17</v>
      </c>
      <c r="G112" s="4531" t="s">
        <v>18</v>
      </c>
      <c r="H112" s="5577" t="s">
        <v>17</v>
      </c>
      <c r="I112" s="4531" t="s">
        <v>18</v>
      </c>
      <c r="J112" s="5577" t="s">
        <v>17</v>
      </c>
      <c r="K112" s="4531" t="s">
        <v>18</v>
      </c>
      <c r="L112" s="5630" t="s">
        <v>17</v>
      </c>
      <c r="M112" s="5700" t="s">
        <v>18</v>
      </c>
      <c r="N112" s="5577" t="s">
        <v>17</v>
      </c>
      <c r="O112" s="4531" t="s">
        <v>18</v>
      </c>
      <c r="P112" s="5630" t="s">
        <v>17</v>
      </c>
      <c r="Q112" s="5700" t="s">
        <v>18</v>
      </c>
      <c r="R112" s="5577" t="s">
        <v>17</v>
      </c>
      <c r="S112" s="4531" t="s">
        <v>18</v>
      </c>
      <c r="T112" s="5630" t="s">
        <v>17</v>
      </c>
      <c r="U112" s="5700" t="s">
        <v>18</v>
      </c>
      <c r="V112" s="5577" t="s">
        <v>17</v>
      </c>
      <c r="W112" s="4531" t="s">
        <v>18</v>
      </c>
      <c r="X112" s="5630" t="s">
        <v>17</v>
      </c>
      <c r="Y112" s="5700" t="s">
        <v>18</v>
      </c>
      <c r="Z112" s="5577" t="s">
        <v>17</v>
      </c>
      <c r="AA112" s="4531" t="s">
        <v>18</v>
      </c>
      <c r="AB112" s="5630" t="s">
        <v>17</v>
      </c>
      <c r="AC112" s="5700" t="s">
        <v>18</v>
      </c>
      <c r="AD112" s="5577" t="s">
        <v>17</v>
      </c>
      <c r="AE112" s="4531" t="s">
        <v>18</v>
      </c>
      <c r="AF112" s="5630" t="s">
        <v>17</v>
      </c>
      <c r="AG112" s="5700" t="s">
        <v>18</v>
      </c>
      <c r="AH112" s="5577" t="s">
        <v>17</v>
      </c>
      <c r="AI112" s="4531" t="s">
        <v>18</v>
      </c>
      <c r="AJ112" s="5630" t="s">
        <v>17</v>
      </c>
      <c r="AK112" s="4531" t="s">
        <v>18</v>
      </c>
      <c r="AM112" s="4264"/>
      <c r="AN112" s="4264"/>
      <c r="AO112" s="4264"/>
      <c r="AP112" s="4264"/>
      <c r="AQ112" s="4264"/>
      <c r="AR112" s="4264"/>
      <c r="AS112" s="4264"/>
      <c r="AT112" s="4264"/>
      <c r="AU112" s="4264"/>
      <c r="AV112" s="4264"/>
      <c r="AW112" s="4264"/>
      <c r="AX112" s="4264"/>
      <c r="AY112" s="4264"/>
      <c r="AZ112" s="4264"/>
      <c r="BA112" s="4264"/>
      <c r="BY112" s="4260"/>
      <c r="CH112" s="4295">
        <v>0</v>
      </c>
    </row>
    <row r="113" spans="1:86" ht="16.2" customHeight="1" x14ac:dyDescent="0.25">
      <c r="A113" s="7263">
        <v>23080900</v>
      </c>
      <c r="B113" s="5748" t="s">
        <v>1960</v>
      </c>
      <c r="C113" s="5059" t="s">
        <v>5369</v>
      </c>
      <c r="D113" s="5538" t="s">
        <v>5370</v>
      </c>
      <c r="E113" s="5549" t="s">
        <v>5371</v>
      </c>
      <c r="F113" s="5060" t="s">
        <v>5372</v>
      </c>
      <c r="G113" s="5061" t="s">
        <v>5373</v>
      </c>
      <c r="H113" s="5060" t="s">
        <v>5374</v>
      </c>
      <c r="I113" s="5061" t="s">
        <v>5375</v>
      </c>
      <c r="J113" s="5060" t="s">
        <v>5376</v>
      </c>
      <c r="K113" s="5061" t="s">
        <v>5377</v>
      </c>
      <c r="L113" s="5060" t="s">
        <v>5378</v>
      </c>
      <c r="M113" s="5061" t="s">
        <v>5379</v>
      </c>
      <c r="N113" s="5060" t="s">
        <v>5380</v>
      </c>
      <c r="O113" s="5061" t="s">
        <v>5381</v>
      </c>
      <c r="P113" s="5060" t="s">
        <v>5382</v>
      </c>
      <c r="Q113" s="5061" t="s">
        <v>5383</v>
      </c>
      <c r="R113" s="5060" t="s">
        <v>5384</v>
      </c>
      <c r="S113" s="5061" t="s">
        <v>5385</v>
      </c>
      <c r="T113" s="5060" t="s">
        <v>5386</v>
      </c>
      <c r="U113" s="5061" t="s">
        <v>5387</v>
      </c>
      <c r="V113" s="5060" t="s">
        <v>5388</v>
      </c>
      <c r="W113" s="5061" t="s">
        <v>5389</v>
      </c>
      <c r="X113" s="5060" t="s">
        <v>5390</v>
      </c>
      <c r="Y113" s="5061" t="s">
        <v>5391</v>
      </c>
      <c r="Z113" s="5060" t="s">
        <v>5392</v>
      </c>
      <c r="AA113" s="5061" t="s">
        <v>5393</v>
      </c>
      <c r="AB113" s="5060" t="s">
        <v>5394</v>
      </c>
      <c r="AC113" s="5061" t="s">
        <v>5395</v>
      </c>
      <c r="AD113" s="5060" t="s">
        <v>5396</v>
      </c>
      <c r="AE113" s="5061" t="s">
        <v>5397</v>
      </c>
      <c r="AF113" s="5060" t="s">
        <v>5398</v>
      </c>
      <c r="AG113" s="5061" t="s">
        <v>5399</v>
      </c>
      <c r="AH113" s="5060" t="s">
        <v>5400</v>
      </c>
      <c r="AI113" s="5061" t="s">
        <v>5401</v>
      </c>
      <c r="AJ113" s="5060" t="s">
        <v>5402</v>
      </c>
      <c r="AK113" s="5061" t="s">
        <v>5403</v>
      </c>
      <c r="AM113" s="4264"/>
      <c r="AN113" s="4264"/>
      <c r="AO113" s="4264"/>
      <c r="AP113" s="4264"/>
      <c r="AQ113" s="4264"/>
      <c r="AR113" s="4264"/>
      <c r="AS113" s="4264"/>
      <c r="AT113" s="4264"/>
      <c r="AU113" s="4264"/>
      <c r="AV113" s="4264"/>
      <c r="AW113" s="4264"/>
      <c r="AX113" s="4264"/>
      <c r="AY113" s="4264"/>
      <c r="AZ113" s="4264"/>
      <c r="BA113" s="4264"/>
      <c r="BY113" s="4260"/>
      <c r="CH113" s="4295">
        <v>0</v>
      </c>
    </row>
    <row r="114" spans="1:86" ht="16.2" customHeight="1" x14ac:dyDescent="0.25">
      <c r="A114" s="7258">
        <v>23090100</v>
      </c>
      <c r="B114" s="5551" t="s">
        <v>1961</v>
      </c>
      <c r="C114" s="5064" t="s">
        <v>5369</v>
      </c>
      <c r="D114" s="5548" t="s">
        <v>5370</v>
      </c>
      <c r="E114" s="5549" t="s">
        <v>5371</v>
      </c>
      <c r="F114" s="5060" t="s">
        <v>5372</v>
      </c>
      <c r="G114" s="5061" t="s">
        <v>5373</v>
      </c>
      <c r="H114" s="5060" t="s">
        <v>5374</v>
      </c>
      <c r="I114" s="5061" t="s">
        <v>5375</v>
      </c>
      <c r="J114" s="5060" t="s">
        <v>5376</v>
      </c>
      <c r="K114" s="5061" t="s">
        <v>5377</v>
      </c>
      <c r="L114" s="5060" t="s">
        <v>5378</v>
      </c>
      <c r="M114" s="5061" t="s">
        <v>5379</v>
      </c>
      <c r="N114" s="5060" t="s">
        <v>5380</v>
      </c>
      <c r="O114" s="5061" t="s">
        <v>5381</v>
      </c>
      <c r="P114" s="5060" t="s">
        <v>5382</v>
      </c>
      <c r="Q114" s="5061" t="s">
        <v>5383</v>
      </c>
      <c r="R114" s="5060" t="s">
        <v>5384</v>
      </c>
      <c r="S114" s="5061" t="s">
        <v>5385</v>
      </c>
      <c r="T114" s="5060" t="s">
        <v>5386</v>
      </c>
      <c r="U114" s="5061" t="s">
        <v>5387</v>
      </c>
      <c r="V114" s="5060" t="s">
        <v>5388</v>
      </c>
      <c r="W114" s="5061" t="s">
        <v>5389</v>
      </c>
      <c r="X114" s="5060" t="s">
        <v>5390</v>
      </c>
      <c r="Y114" s="5061" t="s">
        <v>5391</v>
      </c>
      <c r="Z114" s="5060" t="s">
        <v>5392</v>
      </c>
      <c r="AA114" s="5061" t="s">
        <v>5393</v>
      </c>
      <c r="AB114" s="5060" t="s">
        <v>5394</v>
      </c>
      <c r="AC114" s="5061" t="s">
        <v>5395</v>
      </c>
      <c r="AD114" s="5060" t="s">
        <v>5396</v>
      </c>
      <c r="AE114" s="5061" t="s">
        <v>5397</v>
      </c>
      <c r="AF114" s="5060" t="s">
        <v>5398</v>
      </c>
      <c r="AG114" s="5061" t="s">
        <v>5399</v>
      </c>
      <c r="AH114" s="5060" t="s">
        <v>5400</v>
      </c>
      <c r="AI114" s="5061" t="s">
        <v>5401</v>
      </c>
      <c r="AJ114" s="5060" t="s">
        <v>5402</v>
      </c>
      <c r="AK114" s="5061" t="s">
        <v>5403</v>
      </c>
      <c r="AM114" s="4264"/>
      <c r="AN114" s="4264"/>
      <c r="AO114" s="4264"/>
      <c r="AP114" s="4264"/>
      <c r="AQ114" s="4264"/>
      <c r="AR114" s="4264"/>
      <c r="AS114" s="4264"/>
      <c r="AT114" s="4264"/>
      <c r="AU114" s="4264"/>
      <c r="AV114" s="4264"/>
      <c r="AW114" s="4264"/>
      <c r="AX114" s="4264"/>
      <c r="AY114" s="4264"/>
      <c r="AZ114" s="4264"/>
      <c r="BA114" s="4264"/>
      <c r="BY114" s="4260"/>
      <c r="CH114" s="4295">
        <v>0</v>
      </c>
    </row>
    <row r="115" spans="1:86" ht="16.2" customHeight="1" x14ac:dyDescent="0.25">
      <c r="A115" s="7258">
        <v>23060004</v>
      </c>
      <c r="B115" s="5637" t="s">
        <v>1962</v>
      </c>
      <c r="C115" s="5097" t="s">
        <v>5369</v>
      </c>
      <c r="D115" s="5749" t="s">
        <v>5370</v>
      </c>
      <c r="E115" s="5087" t="s">
        <v>5371</v>
      </c>
      <c r="F115" s="5088" t="s">
        <v>5372</v>
      </c>
      <c r="G115" s="5089" t="s">
        <v>5373</v>
      </c>
      <c r="H115" s="5088" t="s">
        <v>5374</v>
      </c>
      <c r="I115" s="5089" t="s">
        <v>5375</v>
      </c>
      <c r="J115" s="5088" t="s">
        <v>5376</v>
      </c>
      <c r="K115" s="5089" t="s">
        <v>5377</v>
      </c>
      <c r="L115" s="5088" t="s">
        <v>5378</v>
      </c>
      <c r="M115" s="5089" t="s">
        <v>5379</v>
      </c>
      <c r="N115" s="5088" t="s">
        <v>5380</v>
      </c>
      <c r="O115" s="5089" t="s">
        <v>5381</v>
      </c>
      <c r="P115" s="5088" t="s">
        <v>5382</v>
      </c>
      <c r="Q115" s="5089" t="s">
        <v>5383</v>
      </c>
      <c r="R115" s="5088" t="s">
        <v>5384</v>
      </c>
      <c r="S115" s="5089" t="s">
        <v>5385</v>
      </c>
      <c r="T115" s="5088" t="s">
        <v>5386</v>
      </c>
      <c r="U115" s="5089" t="s">
        <v>5387</v>
      </c>
      <c r="V115" s="5088" t="s">
        <v>5388</v>
      </c>
      <c r="W115" s="5089" t="s">
        <v>5389</v>
      </c>
      <c r="X115" s="5088" t="s">
        <v>5390</v>
      </c>
      <c r="Y115" s="5089" t="s">
        <v>5391</v>
      </c>
      <c r="Z115" s="5088" t="s">
        <v>5392</v>
      </c>
      <c r="AA115" s="5089" t="s">
        <v>5393</v>
      </c>
      <c r="AB115" s="5088" t="s">
        <v>5394</v>
      </c>
      <c r="AC115" s="5089" t="s">
        <v>5395</v>
      </c>
      <c r="AD115" s="5088" t="s">
        <v>5396</v>
      </c>
      <c r="AE115" s="5089" t="s">
        <v>5397</v>
      </c>
      <c r="AF115" s="5088" t="s">
        <v>5398</v>
      </c>
      <c r="AG115" s="5089" t="s">
        <v>5399</v>
      </c>
      <c r="AH115" s="5088" t="s">
        <v>5400</v>
      </c>
      <c r="AI115" s="5089" t="s">
        <v>5401</v>
      </c>
      <c r="AJ115" s="5088" t="s">
        <v>5402</v>
      </c>
      <c r="AK115" s="5089" t="s">
        <v>5403</v>
      </c>
      <c r="AM115" s="4264"/>
      <c r="AN115" s="4264"/>
      <c r="AO115" s="4264"/>
      <c r="AP115" s="4264"/>
      <c r="AQ115" s="4264"/>
      <c r="AR115" s="4264"/>
      <c r="AS115" s="4264"/>
      <c r="AT115" s="4264"/>
      <c r="AU115" s="4264"/>
      <c r="AV115" s="4264"/>
      <c r="AW115" s="4264"/>
      <c r="AX115" s="4264"/>
      <c r="AY115" s="4264"/>
      <c r="AZ115" s="4264"/>
      <c r="BA115" s="4264"/>
      <c r="BY115" s="4260"/>
      <c r="CH115" s="4295">
        <v>0</v>
      </c>
    </row>
    <row r="116" spans="1:86" ht="31.95" customHeight="1" x14ac:dyDescent="0.25">
      <c r="B116" s="5053" t="s">
        <v>3620</v>
      </c>
      <c r="C116" s="3807"/>
      <c r="D116" s="3940"/>
      <c r="E116" s="3940"/>
      <c r="F116" s="3940"/>
      <c r="G116" s="3940"/>
      <c r="AN116" s="4264"/>
      <c r="AO116" s="4264"/>
      <c r="AP116" s="4264"/>
      <c r="AQ116" s="4264"/>
      <c r="AR116" s="4264"/>
      <c r="AS116" s="4264"/>
      <c r="AT116" s="4264"/>
      <c r="AU116" s="4264"/>
      <c r="AV116" s="4264"/>
      <c r="AW116" s="4264"/>
      <c r="AX116" s="4264"/>
      <c r="AY116" s="4264"/>
      <c r="AZ116" s="4264"/>
      <c r="BA116" s="4264"/>
      <c r="BB116" s="4264"/>
    </row>
    <row r="117" spans="1:86" ht="21" customHeight="1" x14ac:dyDescent="0.25">
      <c r="A117" s="7344"/>
      <c r="B117" s="10247" t="s">
        <v>1959</v>
      </c>
      <c r="C117" s="10248" t="s">
        <v>24</v>
      </c>
      <c r="D117" s="10249"/>
      <c r="E117" s="10250"/>
      <c r="F117" s="10291" t="s">
        <v>2</v>
      </c>
      <c r="G117" s="10292"/>
      <c r="H117" s="10292"/>
      <c r="I117" s="10292"/>
      <c r="J117" s="10292"/>
      <c r="K117" s="10292"/>
      <c r="L117" s="10292"/>
      <c r="M117" s="10292"/>
      <c r="N117" s="10292"/>
      <c r="O117" s="10292"/>
      <c r="P117" s="10292"/>
      <c r="Q117" s="10292"/>
      <c r="R117" s="10292"/>
      <c r="S117" s="10292"/>
      <c r="T117" s="10292"/>
      <c r="U117" s="10292"/>
      <c r="V117" s="10292"/>
      <c r="W117" s="10292"/>
      <c r="X117" s="10292"/>
      <c r="Y117" s="10292"/>
      <c r="Z117" s="10292"/>
      <c r="AA117" s="10292"/>
      <c r="AB117" s="10292"/>
      <c r="AC117" s="10292"/>
      <c r="AD117" s="10292"/>
      <c r="AE117" s="10292"/>
      <c r="AF117" s="10292"/>
      <c r="AG117" s="10292"/>
      <c r="AH117" s="10292"/>
      <c r="AI117" s="10292"/>
      <c r="AJ117" s="10292"/>
      <c r="AK117" s="10327"/>
      <c r="AM117" s="4264"/>
      <c r="AN117" s="4264"/>
      <c r="AO117" s="4264"/>
      <c r="AP117" s="4264"/>
      <c r="AQ117" s="4264"/>
      <c r="AR117" s="4264"/>
      <c r="AS117" s="4264"/>
      <c r="AT117" s="4264"/>
      <c r="AU117" s="4264"/>
      <c r="AV117" s="4264"/>
      <c r="AW117" s="4264"/>
      <c r="AX117" s="4264"/>
      <c r="AY117" s="4264"/>
      <c r="AZ117" s="4264"/>
      <c r="BA117" s="4264"/>
      <c r="BY117" s="4260"/>
    </row>
    <row r="118" spans="1:86" ht="16.5" customHeight="1" x14ac:dyDescent="0.25">
      <c r="A118" s="7344"/>
      <c r="B118" s="9055"/>
      <c r="C118" s="10251"/>
      <c r="D118" s="10252"/>
      <c r="E118" s="10253"/>
      <c r="F118" s="10268" t="s">
        <v>1912</v>
      </c>
      <c r="G118" s="10269"/>
      <c r="H118" s="10268" t="s">
        <v>1913</v>
      </c>
      <c r="I118" s="10269"/>
      <c r="J118" s="10268" t="s">
        <v>1914</v>
      </c>
      <c r="K118" s="10269"/>
      <c r="L118" s="10265" t="s">
        <v>1915</v>
      </c>
      <c r="M118" s="10265"/>
      <c r="N118" s="10268" t="s">
        <v>1916</v>
      </c>
      <c r="O118" s="10269"/>
      <c r="P118" s="10265" t="s">
        <v>1917</v>
      </c>
      <c r="Q118" s="10265"/>
      <c r="R118" s="10268" t="s">
        <v>1918</v>
      </c>
      <c r="S118" s="10269"/>
      <c r="T118" s="10265" t="s">
        <v>124</v>
      </c>
      <c r="U118" s="10265"/>
      <c r="V118" s="10268" t="s">
        <v>125</v>
      </c>
      <c r="W118" s="10269"/>
      <c r="X118" s="10265" t="s">
        <v>126</v>
      </c>
      <c r="Y118" s="10265"/>
      <c r="Z118" s="10268" t="s">
        <v>127</v>
      </c>
      <c r="AA118" s="10269"/>
      <c r="AB118" s="10265" t="s">
        <v>128</v>
      </c>
      <c r="AC118" s="10265"/>
      <c r="AD118" s="10268" t="s">
        <v>129</v>
      </c>
      <c r="AE118" s="10269"/>
      <c r="AF118" s="10265" t="s">
        <v>130</v>
      </c>
      <c r="AG118" s="10265"/>
      <c r="AH118" s="10268" t="s">
        <v>131</v>
      </c>
      <c r="AI118" s="10269"/>
      <c r="AJ118" s="10265" t="s">
        <v>1919</v>
      </c>
      <c r="AK118" s="10269"/>
      <c r="AM118" s="4264"/>
      <c r="AN118" s="4264"/>
      <c r="AO118" s="4264"/>
      <c r="AP118" s="4264"/>
      <c r="AQ118" s="4264"/>
      <c r="AR118" s="4264"/>
      <c r="AS118" s="4264"/>
      <c r="AT118" s="4264"/>
      <c r="AU118" s="4264"/>
      <c r="AV118" s="4264"/>
      <c r="AW118" s="4264"/>
      <c r="AX118" s="4264"/>
      <c r="AY118" s="4264"/>
      <c r="AZ118" s="4264"/>
      <c r="BA118" s="4264"/>
      <c r="BY118" s="4260"/>
    </row>
    <row r="119" spans="1:86" ht="16.5" customHeight="1" x14ac:dyDescent="0.25">
      <c r="A119" s="7344"/>
      <c r="B119" s="9056"/>
      <c r="C119" s="5140" t="s">
        <v>42</v>
      </c>
      <c r="D119" s="5630" t="s">
        <v>17</v>
      </c>
      <c r="E119" s="4531" t="s">
        <v>18</v>
      </c>
      <c r="F119" s="5577" t="s">
        <v>17</v>
      </c>
      <c r="G119" s="4531" t="s">
        <v>18</v>
      </c>
      <c r="H119" s="5577" t="s">
        <v>17</v>
      </c>
      <c r="I119" s="4531" t="s">
        <v>18</v>
      </c>
      <c r="J119" s="5577" t="s">
        <v>17</v>
      </c>
      <c r="K119" s="4531" t="s">
        <v>18</v>
      </c>
      <c r="L119" s="5630" t="s">
        <v>17</v>
      </c>
      <c r="M119" s="5700" t="s">
        <v>18</v>
      </c>
      <c r="N119" s="5577" t="s">
        <v>17</v>
      </c>
      <c r="O119" s="4531" t="s">
        <v>18</v>
      </c>
      <c r="P119" s="5630" t="s">
        <v>17</v>
      </c>
      <c r="Q119" s="5700" t="s">
        <v>18</v>
      </c>
      <c r="R119" s="5577" t="s">
        <v>17</v>
      </c>
      <c r="S119" s="4531" t="s">
        <v>18</v>
      </c>
      <c r="T119" s="5630" t="s">
        <v>17</v>
      </c>
      <c r="U119" s="5700" t="s">
        <v>18</v>
      </c>
      <c r="V119" s="5577" t="s">
        <v>17</v>
      </c>
      <c r="W119" s="4531" t="s">
        <v>18</v>
      </c>
      <c r="X119" s="5630" t="s">
        <v>17</v>
      </c>
      <c r="Y119" s="5700" t="s">
        <v>18</v>
      </c>
      <c r="Z119" s="5577" t="s">
        <v>17</v>
      </c>
      <c r="AA119" s="4531" t="s">
        <v>18</v>
      </c>
      <c r="AB119" s="5630" t="s">
        <v>17</v>
      </c>
      <c r="AC119" s="5700" t="s">
        <v>18</v>
      </c>
      <c r="AD119" s="5577" t="s">
        <v>17</v>
      </c>
      <c r="AE119" s="4531" t="s">
        <v>18</v>
      </c>
      <c r="AF119" s="5630" t="s">
        <v>17</v>
      </c>
      <c r="AG119" s="5700" t="s">
        <v>18</v>
      </c>
      <c r="AH119" s="5577" t="s">
        <v>17</v>
      </c>
      <c r="AI119" s="4531" t="s">
        <v>18</v>
      </c>
      <c r="AJ119" s="5630" t="s">
        <v>17</v>
      </c>
      <c r="AK119" s="4531" t="s">
        <v>18</v>
      </c>
      <c r="BY119" s="4260"/>
    </row>
    <row r="120" spans="1:86" ht="16.2" customHeight="1" x14ac:dyDescent="0.25">
      <c r="A120" s="7258">
        <v>23090550</v>
      </c>
      <c r="B120" s="5748" t="s">
        <v>1960</v>
      </c>
      <c r="C120" s="5075" t="s">
        <v>5369</v>
      </c>
      <c r="D120" s="5548" t="s">
        <v>5370</v>
      </c>
      <c r="E120" s="5549" t="s">
        <v>5371</v>
      </c>
      <c r="F120" s="5540" t="s">
        <v>5372</v>
      </c>
      <c r="G120" s="5541" t="s">
        <v>5373</v>
      </c>
      <c r="H120" s="5540" t="s">
        <v>5374</v>
      </c>
      <c r="I120" s="5541" t="s">
        <v>5375</v>
      </c>
      <c r="J120" s="5540" t="s">
        <v>5376</v>
      </c>
      <c r="K120" s="5541" t="s">
        <v>5377</v>
      </c>
      <c r="L120" s="5540" t="s">
        <v>5378</v>
      </c>
      <c r="M120" s="5541" t="s">
        <v>5379</v>
      </c>
      <c r="N120" s="5540" t="s">
        <v>5380</v>
      </c>
      <c r="O120" s="5541" t="s">
        <v>5381</v>
      </c>
      <c r="P120" s="5540" t="s">
        <v>5382</v>
      </c>
      <c r="Q120" s="5541" t="s">
        <v>5383</v>
      </c>
      <c r="R120" s="5540" t="s">
        <v>5384</v>
      </c>
      <c r="S120" s="5541" t="s">
        <v>5385</v>
      </c>
      <c r="T120" s="5540" t="s">
        <v>5386</v>
      </c>
      <c r="U120" s="5541" t="s">
        <v>5387</v>
      </c>
      <c r="V120" s="5540" t="s">
        <v>5388</v>
      </c>
      <c r="W120" s="5541" t="s">
        <v>5389</v>
      </c>
      <c r="X120" s="5540" t="s">
        <v>5390</v>
      </c>
      <c r="Y120" s="5541" t="s">
        <v>5391</v>
      </c>
      <c r="Z120" s="5540" t="s">
        <v>5392</v>
      </c>
      <c r="AA120" s="5541" t="s">
        <v>5393</v>
      </c>
      <c r="AB120" s="5540" t="s">
        <v>5394</v>
      </c>
      <c r="AC120" s="5541" t="s">
        <v>5395</v>
      </c>
      <c r="AD120" s="5540" t="s">
        <v>5396</v>
      </c>
      <c r="AE120" s="5541" t="s">
        <v>5397</v>
      </c>
      <c r="AF120" s="5540" t="s">
        <v>5398</v>
      </c>
      <c r="AG120" s="5541" t="s">
        <v>5399</v>
      </c>
      <c r="AH120" s="5540" t="s">
        <v>5400</v>
      </c>
      <c r="AI120" s="5541" t="s">
        <v>5401</v>
      </c>
      <c r="AJ120" s="5540" t="s">
        <v>5402</v>
      </c>
      <c r="AK120" s="5541" t="s">
        <v>5403</v>
      </c>
      <c r="BY120" s="4260"/>
    </row>
    <row r="121" spans="1:86" ht="16.2" customHeight="1" x14ac:dyDescent="0.25">
      <c r="A121" s="7258">
        <v>23090560</v>
      </c>
      <c r="B121" s="5551" t="s">
        <v>1963</v>
      </c>
      <c r="C121" s="5064" t="s">
        <v>5369</v>
      </c>
      <c r="D121" s="5548" t="s">
        <v>5370</v>
      </c>
      <c r="E121" s="5549" t="s">
        <v>5371</v>
      </c>
      <c r="F121" s="5065" t="s">
        <v>5372</v>
      </c>
      <c r="G121" s="5067" t="s">
        <v>5373</v>
      </c>
      <c r="H121" s="5065" t="s">
        <v>5374</v>
      </c>
      <c r="I121" s="5067" t="s">
        <v>5375</v>
      </c>
      <c r="J121" s="5065" t="s">
        <v>5376</v>
      </c>
      <c r="K121" s="5067" t="s">
        <v>5377</v>
      </c>
      <c r="L121" s="5065" t="s">
        <v>5378</v>
      </c>
      <c r="M121" s="5067" t="s">
        <v>5379</v>
      </c>
      <c r="N121" s="5065" t="s">
        <v>5380</v>
      </c>
      <c r="O121" s="5067" t="s">
        <v>5381</v>
      </c>
      <c r="P121" s="5065" t="s">
        <v>5382</v>
      </c>
      <c r="Q121" s="5067" t="s">
        <v>5383</v>
      </c>
      <c r="R121" s="5065" t="s">
        <v>5384</v>
      </c>
      <c r="S121" s="5067" t="s">
        <v>5385</v>
      </c>
      <c r="T121" s="5065" t="s">
        <v>5386</v>
      </c>
      <c r="U121" s="5067" t="s">
        <v>5387</v>
      </c>
      <c r="V121" s="5065" t="s">
        <v>5388</v>
      </c>
      <c r="W121" s="5067" t="s">
        <v>5389</v>
      </c>
      <c r="X121" s="5065" t="s">
        <v>5390</v>
      </c>
      <c r="Y121" s="5067" t="s">
        <v>5391</v>
      </c>
      <c r="Z121" s="5065" t="s">
        <v>5392</v>
      </c>
      <c r="AA121" s="5067" t="s">
        <v>5393</v>
      </c>
      <c r="AB121" s="5065" t="s">
        <v>5394</v>
      </c>
      <c r="AC121" s="5067" t="s">
        <v>5395</v>
      </c>
      <c r="AD121" s="5065" t="s">
        <v>5396</v>
      </c>
      <c r="AE121" s="5067" t="s">
        <v>5397</v>
      </c>
      <c r="AF121" s="5065" t="s">
        <v>5398</v>
      </c>
      <c r="AG121" s="5067" t="s">
        <v>5399</v>
      </c>
      <c r="AH121" s="5065" t="s">
        <v>5400</v>
      </c>
      <c r="AI121" s="5067" t="s">
        <v>5401</v>
      </c>
      <c r="AJ121" s="5065" t="s">
        <v>5402</v>
      </c>
      <c r="AK121" s="5067" t="s">
        <v>5403</v>
      </c>
      <c r="BY121" s="4260"/>
    </row>
    <row r="122" spans="1:86" ht="16.2" customHeight="1" x14ac:dyDescent="0.25">
      <c r="A122" s="7258">
        <v>23090570</v>
      </c>
      <c r="B122" s="5551" t="s">
        <v>1196</v>
      </c>
      <c r="C122" s="5064" t="s">
        <v>5369</v>
      </c>
      <c r="D122" s="5548" t="s">
        <v>5370</v>
      </c>
      <c r="E122" s="5549" t="s">
        <v>5371</v>
      </c>
      <c r="F122" s="5081" t="s">
        <v>5372</v>
      </c>
      <c r="G122" s="5083" t="s">
        <v>5373</v>
      </c>
      <c r="H122" s="5081" t="s">
        <v>5374</v>
      </c>
      <c r="I122" s="5083" t="s">
        <v>5375</v>
      </c>
      <c r="J122" s="5081" t="s">
        <v>5376</v>
      </c>
      <c r="K122" s="5083" t="s">
        <v>5377</v>
      </c>
      <c r="L122" s="5081" t="s">
        <v>5378</v>
      </c>
      <c r="M122" s="5083" t="s">
        <v>5379</v>
      </c>
      <c r="N122" s="5081" t="s">
        <v>5380</v>
      </c>
      <c r="O122" s="5083" t="s">
        <v>5381</v>
      </c>
      <c r="P122" s="5081" t="s">
        <v>5382</v>
      </c>
      <c r="Q122" s="5083" t="s">
        <v>5383</v>
      </c>
      <c r="R122" s="5081" t="s">
        <v>5384</v>
      </c>
      <c r="S122" s="5083" t="s">
        <v>5385</v>
      </c>
      <c r="T122" s="5081" t="s">
        <v>5386</v>
      </c>
      <c r="U122" s="5083" t="s">
        <v>5387</v>
      </c>
      <c r="V122" s="5081" t="s">
        <v>5388</v>
      </c>
      <c r="W122" s="5083" t="s">
        <v>5389</v>
      </c>
      <c r="X122" s="5081" t="s">
        <v>5390</v>
      </c>
      <c r="Y122" s="5083" t="s">
        <v>5391</v>
      </c>
      <c r="Z122" s="5081" t="s">
        <v>5392</v>
      </c>
      <c r="AA122" s="5083" t="s">
        <v>5393</v>
      </c>
      <c r="AB122" s="5081" t="s">
        <v>5394</v>
      </c>
      <c r="AC122" s="5083" t="s">
        <v>5395</v>
      </c>
      <c r="AD122" s="5081" t="s">
        <v>5396</v>
      </c>
      <c r="AE122" s="5083" t="s">
        <v>5397</v>
      </c>
      <c r="AF122" s="5081" t="s">
        <v>5398</v>
      </c>
      <c r="AG122" s="5083" t="s">
        <v>5399</v>
      </c>
      <c r="AH122" s="5081" t="s">
        <v>5400</v>
      </c>
      <c r="AI122" s="5083" t="s">
        <v>5401</v>
      </c>
      <c r="AJ122" s="5081" t="s">
        <v>5402</v>
      </c>
      <c r="AK122" s="5083" t="s">
        <v>5403</v>
      </c>
      <c r="BY122" s="4260"/>
    </row>
    <row r="123" spans="1:86" ht="16.2" customHeight="1" x14ac:dyDescent="0.25">
      <c r="A123" s="7258">
        <v>23090580</v>
      </c>
      <c r="B123" s="5750" t="s">
        <v>1962</v>
      </c>
      <c r="C123" s="5064" t="s">
        <v>5369</v>
      </c>
      <c r="D123" s="5548" t="s">
        <v>5370</v>
      </c>
      <c r="E123" s="5549" t="s">
        <v>5371</v>
      </c>
      <c r="F123" s="5081" t="s">
        <v>5372</v>
      </c>
      <c r="G123" s="5083" t="s">
        <v>5373</v>
      </c>
      <c r="H123" s="5081" t="s">
        <v>5374</v>
      </c>
      <c r="I123" s="5083" t="s">
        <v>5375</v>
      </c>
      <c r="J123" s="5081" t="s">
        <v>5376</v>
      </c>
      <c r="K123" s="5083" t="s">
        <v>5377</v>
      </c>
      <c r="L123" s="5081" t="s">
        <v>5378</v>
      </c>
      <c r="M123" s="5083" t="s">
        <v>5379</v>
      </c>
      <c r="N123" s="5081" t="s">
        <v>5380</v>
      </c>
      <c r="O123" s="5083" t="s">
        <v>5381</v>
      </c>
      <c r="P123" s="5081" t="s">
        <v>5382</v>
      </c>
      <c r="Q123" s="5083" t="s">
        <v>5383</v>
      </c>
      <c r="R123" s="5081" t="s">
        <v>5384</v>
      </c>
      <c r="S123" s="5083" t="s">
        <v>5385</v>
      </c>
      <c r="T123" s="5081" t="s">
        <v>5386</v>
      </c>
      <c r="U123" s="5083" t="s">
        <v>5387</v>
      </c>
      <c r="V123" s="5081" t="s">
        <v>5388</v>
      </c>
      <c r="W123" s="5083" t="s">
        <v>5389</v>
      </c>
      <c r="X123" s="5081" t="s">
        <v>5390</v>
      </c>
      <c r="Y123" s="5083" t="s">
        <v>5391</v>
      </c>
      <c r="Z123" s="5081" t="s">
        <v>5392</v>
      </c>
      <c r="AA123" s="5083" t="s">
        <v>5393</v>
      </c>
      <c r="AB123" s="5081" t="s">
        <v>5394</v>
      </c>
      <c r="AC123" s="5083" t="s">
        <v>5395</v>
      </c>
      <c r="AD123" s="5081" t="s">
        <v>5396</v>
      </c>
      <c r="AE123" s="5083" t="s">
        <v>5397</v>
      </c>
      <c r="AF123" s="5081" t="s">
        <v>5398</v>
      </c>
      <c r="AG123" s="5083" t="s">
        <v>5399</v>
      </c>
      <c r="AH123" s="5081" t="s">
        <v>5400</v>
      </c>
      <c r="AI123" s="5083" t="s">
        <v>5401</v>
      </c>
      <c r="AJ123" s="5081" t="s">
        <v>5402</v>
      </c>
      <c r="AK123" s="5083" t="s">
        <v>5403</v>
      </c>
      <c r="BY123" s="4260"/>
    </row>
    <row r="124" spans="1:86" ht="16.2" customHeight="1" x14ac:dyDescent="0.25">
      <c r="A124" s="7258">
        <v>23044400</v>
      </c>
      <c r="B124" s="5751" t="s">
        <v>1964</v>
      </c>
      <c r="C124" s="5752" t="s">
        <v>5369</v>
      </c>
      <c r="D124" s="5620" t="s">
        <v>5370</v>
      </c>
      <c r="E124" s="5087" t="s">
        <v>5371</v>
      </c>
      <c r="F124" s="5088" t="s">
        <v>5372</v>
      </c>
      <c r="G124" s="5090" t="s">
        <v>5373</v>
      </c>
      <c r="H124" s="5088" t="s">
        <v>5374</v>
      </c>
      <c r="I124" s="5090" t="s">
        <v>5375</v>
      </c>
      <c r="J124" s="5088" t="s">
        <v>5376</v>
      </c>
      <c r="K124" s="5090" t="s">
        <v>5377</v>
      </c>
      <c r="L124" s="5088" t="s">
        <v>5378</v>
      </c>
      <c r="M124" s="5090" t="s">
        <v>5379</v>
      </c>
      <c r="N124" s="5088" t="s">
        <v>5380</v>
      </c>
      <c r="O124" s="5090" t="s">
        <v>5381</v>
      </c>
      <c r="P124" s="5088" t="s">
        <v>5382</v>
      </c>
      <c r="Q124" s="5090" t="s">
        <v>5383</v>
      </c>
      <c r="R124" s="5088" t="s">
        <v>5384</v>
      </c>
      <c r="S124" s="5090" t="s">
        <v>5385</v>
      </c>
      <c r="T124" s="5088" t="s">
        <v>5386</v>
      </c>
      <c r="U124" s="5090" t="s">
        <v>5387</v>
      </c>
      <c r="V124" s="5088" t="s">
        <v>5388</v>
      </c>
      <c r="W124" s="5090" t="s">
        <v>5389</v>
      </c>
      <c r="X124" s="5088" t="s">
        <v>5390</v>
      </c>
      <c r="Y124" s="5090" t="s">
        <v>5391</v>
      </c>
      <c r="Z124" s="5088" t="s">
        <v>5392</v>
      </c>
      <c r="AA124" s="5090" t="s">
        <v>5393</v>
      </c>
      <c r="AB124" s="5088" t="s">
        <v>5394</v>
      </c>
      <c r="AC124" s="5090" t="s">
        <v>5395</v>
      </c>
      <c r="AD124" s="5088" t="s">
        <v>5396</v>
      </c>
      <c r="AE124" s="5090" t="s">
        <v>5397</v>
      </c>
      <c r="AF124" s="5088" t="s">
        <v>5398</v>
      </c>
      <c r="AG124" s="5090" t="s">
        <v>5399</v>
      </c>
      <c r="AH124" s="5088" t="s">
        <v>5400</v>
      </c>
      <c r="AI124" s="5090" t="s">
        <v>5401</v>
      </c>
      <c r="AJ124" s="5088" t="s">
        <v>5402</v>
      </c>
      <c r="AK124" s="5090" t="s">
        <v>5403</v>
      </c>
      <c r="BY124" s="4260"/>
    </row>
    <row r="125" spans="1:86" ht="31.95" customHeight="1" x14ac:dyDescent="0.25">
      <c r="B125" s="4268" t="s">
        <v>3621</v>
      </c>
      <c r="C125" s="3940"/>
      <c r="D125" s="3940"/>
      <c r="E125" s="3940"/>
      <c r="F125" s="3940"/>
      <c r="G125" s="5533"/>
      <c r="H125" s="5533"/>
      <c r="I125" s="3940"/>
      <c r="J125" s="3940"/>
      <c r="K125" s="3940"/>
      <c r="L125" s="3940"/>
      <c r="M125" s="3940"/>
      <c r="N125" s="3940"/>
      <c r="O125" s="3940"/>
      <c r="P125" s="3940"/>
      <c r="Q125" s="3940"/>
      <c r="R125" s="3940"/>
      <c r="S125" s="3940"/>
      <c r="T125" s="3940"/>
      <c r="U125" s="3940"/>
    </row>
    <row r="126" spans="1:86" ht="16.2" customHeight="1" x14ac:dyDescent="0.25">
      <c r="B126" s="10288" t="s">
        <v>1911</v>
      </c>
      <c r="C126" s="10249" t="s">
        <v>24</v>
      </c>
      <c r="D126" s="10249"/>
      <c r="E126" s="10250"/>
      <c r="F126" s="10291" t="s">
        <v>2</v>
      </c>
      <c r="G126" s="10292"/>
      <c r="H126" s="10292"/>
      <c r="I126" s="10292"/>
      <c r="J126" s="10292"/>
      <c r="K126" s="10292"/>
      <c r="L126" s="10292"/>
      <c r="M126" s="10292"/>
      <c r="N126" s="10292"/>
      <c r="O126" s="10292"/>
      <c r="P126" s="10292"/>
      <c r="Q126" s="10292"/>
      <c r="R126" s="10292"/>
      <c r="S126" s="10292"/>
      <c r="T126" s="10292"/>
      <c r="U126" s="10292"/>
      <c r="V126" s="10292"/>
      <c r="W126" s="10292"/>
      <c r="X126" s="10292"/>
      <c r="Y126" s="10292"/>
      <c r="Z126" s="10292"/>
      <c r="AA126" s="10292"/>
      <c r="AB126" s="10292"/>
      <c r="AC126" s="10292"/>
      <c r="AD126" s="10292"/>
      <c r="AE126" s="10292"/>
      <c r="AF126" s="10292"/>
      <c r="AG126" s="10292"/>
      <c r="AH126" s="10292"/>
      <c r="AI126" s="10292"/>
      <c r="AJ126" s="10292"/>
      <c r="AK126" s="10293"/>
      <c r="AL126" s="10368" t="s">
        <v>2902</v>
      </c>
      <c r="BX126" s="4260"/>
      <c r="BY126" s="4260"/>
    </row>
    <row r="127" spans="1:86" ht="16.2" customHeight="1" x14ac:dyDescent="0.25">
      <c r="B127" s="10289"/>
      <c r="C127" s="10252"/>
      <c r="D127" s="10252"/>
      <c r="E127" s="10253"/>
      <c r="F127" s="10268" t="s">
        <v>1912</v>
      </c>
      <c r="G127" s="10269"/>
      <c r="H127" s="10268" t="s">
        <v>1913</v>
      </c>
      <c r="I127" s="10269"/>
      <c r="J127" s="10265" t="s">
        <v>1914</v>
      </c>
      <c r="K127" s="10265"/>
      <c r="L127" s="10268" t="s">
        <v>1915</v>
      </c>
      <c r="M127" s="10269"/>
      <c r="N127" s="10266" t="s">
        <v>1916</v>
      </c>
      <c r="O127" s="10266"/>
      <c r="P127" s="10267" t="s">
        <v>1917</v>
      </c>
      <c r="Q127" s="10247"/>
      <c r="R127" s="10266" t="s">
        <v>1918</v>
      </c>
      <c r="S127" s="10266"/>
      <c r="T127" s="10267" t="s">
        <v>124</v>
      </c>
      <c r="U127" s="10247"/>
      <c r="V127" s="10266" t="s">
        <v>125</v>
      </c>
      <c r="W127" s="10266"/>
      <c r="X127" s="10267" t="s">
        <v>126</v>
      </c>
      <c r="Y127" s="10247"/>
      <c r="Z127" s="10266" t="s">
        <v>127</v>
      </c>
      <c r="AA127" s="10266"/>
      <c r="AB127" s="10267" t="s">
        <v>128</v>
      </c>
      <c r="AC127" s="10247"/>
      <c r="AD127" s="10266" t="s">
        <v>129</v>
      </c>
      <c r="AE127" s="10266"/>
      <c r="AF127" s="10267" t="s">
        <v>130</v>
      </c>
      <c r="AG127" s="10247"/>
      <c r="AH127" s="10266" t="s">
        <v>131</v>
      </c>
      <c r="AI127" s="10266"/>
      <c r="AJ127" s="10294" t="s">
        <v>1919</v>
      </c>
      <c r="AK127" s="10295"/>
      <c r="AL127" s="10353"/>
      <c r="BX127" s="4260"/>
      <c r="BY127" s="4260"/>
    </row>
    <row r="128" spans="1:86" ht="16.2" customHeight="1" x14ac:dyDescent="0.25">
      <c r="B128" s="10290"/>
      <c r="C128" s="5152" t="s">
        <v>42</v>
      </c>
      <c r="D128" s="5753" t="s">
        <v>17</v>
      </c>
      <c r="E128" s="4532" t="s">
        <v>18</v>
      </c>
      <c r="F128" s="5577" t="s">
        <v>17</v>
      </c>
      <c r="G128" s="4531" t="s">
        <v>18</v>
      </c>
      <c r="H128" s="5577" t="s">
        <v>17</v>
      </c>
      <c r="I128" s="4531" t="s">
        <v>18</v>
      </c>
      <c r="J128" s="5630" t="s">
        <v>17</v>
      </c>
      <c r="K128" s="5700" t="s">
        <v>18</v>
      </c>
      <c r="L128" s="5577" t="s">
        <v>17</v>
      </c>
      <c r="M128" s="4531" t="s">
        <v>18</v>
      </c>
      <c r="N128" s="5630" t="s">
        <v>17</v>
      </c>
      <c r="O128" s="5700" t="s">
        <v>18</v>
      </c>
      <c r="P128" s="5577" t="s">
        <v>17</v>
      </c>
      <c r="Q128" s="4531" t="s">
        <v>18</v>
      </c>
      <c r="R128" s="5630" t="s">
        <v>17</v>
      </c>
      <c r="S128" s="5700" t="s">
        <v>18</v>
      </c>
      <c r="T128" s="5577" t="s">
        <v>17</v>
      </c>
      <c r="U128" s="4531" t="s">
        <v>18</v>
      </c>
      <c r="V128" s="5630" t="s">
        <v>17</v>
      </c>
      <c r="W128" s="5700" t="s">
        <v>18</v>
      </c>
      <c r="X128" s="5577" t="s">
        <v>17</v>
      </c>
      <c r="Y128" s="4531" t="s">
        <v>18</v>
      </c>
      <c r="Z128" s="5630" t="s">
        <v>17</v>
      </c>
      <c r="AA128" s="5700" t="s">
        <v>18</v>
      </c>
      <c r="AB128" s="5577" t="s">
        <v>17</v>
      </c>
      <c r="AC128" s="4531" t="s">
        <v>18</v>
      </c>
      <c r="AD128" s="5630" t="s">
        <v>17</v>
      </c>
      <c r="AE128" s="5700" t="s">
        <v>18</v>
      </c>
      <c r="AF128" s="5577" t="s">
        <v>17</v>
      </c>
      <c r="AG128" s="4531" t="s">
        <v>18</v>
      </c>
      <c r="AH128" s="5630" t="s">
        <v>17</v>
      </c>
      <c r="AI128" s="5700" t="s">
        <v>18</v>
      </c>
      <c r="AJ128" s="5577" t="s">
        <v>17</v>
      </c>
      <c r="AK128" s="5754" t="s">
        <v>18</v>
      </c>
      <c r="AL128" s="10369"/>
      <c r="BX128" s="4260"/>
      <c r="BY128" s="4260"/>
    </row>
    <row r="129" spans="1:85" ht="16.2" customHeight="1" x14ac:dyDescent="0.25">
      <c r="A129" s="7258" t="s">
        <v>5050</v>
      </c>
      <c r="B129" s="5755" t="s">
        <v>1965</v>
      </c>
      <c r="C129" s="5216" t="s">
        <v>5369</v>
      </c>
      <c r="D129" s="5743" t="s">
        <v>5370</v>
      </c>
      <c r="E129" s="5756" t="s">
        <v>5371</v>
      </c>
      <c r="F129" s="5540" t="s">
        <v>5372</v>
      </c>
      <c r="G129" s="5541" t="s">
        <v>5373</v>
      </c>
      <c r="H129" s="5540" t="s">
        <v>5374</v>
      </c>
      <c r="I129" s="5542" t="s">
        <v>5375</v>
      </c>
      <c r="J129" s="5543" t="s">
        <v>5376</v>
      </c>
      <c r="K129" s="5544" t="s">
        <v>5377</v>
      </c>
      <c r="L129" s="5540" t="s">
        <v>5378</v>
      </c>
      <c r="M129" s="5542" t="s">
        <v>5379</v>
      </c>
      <c r="N129" s="5543" t="s">
        <v>5380</v>
      </c>
      <c r="O129" s="5544" t="s">
        <v>5381</v>
      </c>
      <c r="P129" s="5540" t="s">
        <v>5382</v>
      </c>
      <c r="Q129" s="5542" t="s">
        <v>5383</v>
      </c>
      <c r="R129" s="5543" t="s">
        <v>5384</v>
      </c>
      <c r="S129" s="5544" t="s">
        <v>5385</v>
      </c>
      <c r="T129" s="5540" t="s">
        <v>5386</v>
      </c>
      <c r="U129" s="5542" t="s">
        <v>5387</v>
      </c>
      <c r="V129" s="5543" t="s">
        <v>5388</v>
      </c>
      <c r="W129" s="5544" t="s">
        <v>5389</v>
      </c>
      <c r="X129" s="5540" t="s">
        <v>5390</v>
      </c>
      <c r="Y129" s="5542" t="s">
        <v>5391</v>
      </c>
      <c r="Z129" s="5543" t="s">
        <v>5392</v>
      </c>
      <c r="AA129" s="5544" t="s">
        <v>5393</v>
      </c>
      <c r="AB129" s="5540" t="s">
        <v>5394</v>
      </c>
      <c r="AC129" s="5542" t="s">
        <v>5395</v>
      </c>
      <c r="AD129" s="5543" t="s">
        <v>5396</v>
      </c>
      <c r="AE129" s="5544" t="s">
        <v>5397</v>
      </c>
      <c r="AF129" s="5601" t="s">
        <v>5398</v>
      </c>
      <c r="AG129" s="5542" t="s">
        <v>5399</v>
      </c>
      <c r="AH129" s="5543" t="s">
        <v>5400</v>
      </c>
      <c r="AI129" s="5544" t="s">
        <v>5401</v>
      </c>
      <c r="AJ129" s="5601" t="s">
        <v>5402</v>
      </c>
      <c r="AK129" s="5757" t="s">
        <v>5403</v>
      </c>
      <c r="AL129" s="5758" t="s">
        <v>5404</v>
      </c>
      <c r="BX129" s="4260"/>
      <c r="BY129" s="4260"/>
    </row>
    <row r="130" spans="1:85" ht="16.2" customHeight="1" x14ac:dyDescent="0.25">
      <c r="A130" s="7258">
        <v>23044500</v>
      </c>
      <c r="B130" s="5759" t="s">
        <v>1966</v>
      </c>
      <c r="C130" s="5760" t="s">
        <v>5369</v>
      </c>
      <c r="D130" s="5761" t="s">
        <v>5370</v>
      </c>
      <c r="E130" s="5756" t="s">
        <v>5371</v>
      </c>
      <c r="F130" s="5065" t="s">
        <v>5372</v>
      </c>
      <c r="G130" s="5067" t="s">
        <v>5373</v>
      </c>
      <c r="H130" s="5065" t="s">
        <v>5374</v>
      </c>
      <c r="I130" s="5066" t="s">
        <v>5375</v>
      </c>
      <c r="J130" s="5556" t="s">
        <v>5376</v>
      </c>
      <c r="K130" s="5557" t="s">
        <v>5377</v>
      </c>
      <c r="L130" s="5554" t="s">
        <v>5378</v>
      </c>
      <c r="M130" s="5555" t="s">
        <v>5379</v>
      </c>
      <c r="N130" s="5556" t="s">
        <v>5380</v>
      </c>
      <c r="O130" s="5557" t="s">
        <v>5381</v>
      </c>
      <c r="P130" s="5554" t="s">
        <v>5382</v>
      </c>
      <c r="Q130" s="5555" t="s">
        <v>5383</v>
      </c>
      <c r="R130" s="5556" t="s">
        <v>5384</v>
      </c>
      <c r="S130" s="5557" t="s">
        <v>5385</v>
      </c>
      <c r="T130" s="5554" t="s">
        <v>5386</v>
      </c>
      <c r="U130" s="5555" t="s">
        <v>5387</v>
      </c>
      <c r="V130" s="5556" t="s">
        <v>5388</v>
      </c>
      <c r="W130" s="5557" t="s">
        <v>5389</v>
      </c>
      <c r="X130" s="5554" t="s">
        <v>5390</v>
      </c>
      <c r="Y130" s="5555" t="s">
        <v>5391</v>
      </c>
      <c r="Z130" s="5556" t="s">
        <v>5392</v>
      </c>
      <c r="AA130" s="5557" t="s">
        <v>5393</v>
      </c>
      <c r="AB130" s="5554" t="s">
        <v>5394</v>
      </c>
      <c r="AC130" s="5555" t="s">
        <v>5395</v>
      </c>
      <c r="AD130" s="5556" t="s">
        <v>5396</v>
      </c>
      <c r="AE130" s="5557" t="s">
        <v>5397</v>
      </c>
      <c r="AF130" s="5762" t="s">
        <v>5398</v>
      </c>
      <c r="AG130" s="5555" t="s">
        <v>5399</v>
      </c>
      <c r="AH130" s="5556" t="s">
        <v>5400</v>
      </c>
      <c r="AI130" s="5557" t="s">
        <v>5401</v>
      </c>
      <c r="AJ130" s="5762" t="s">
        <v>5402</v>
      </c>
      <c r="AK130" s="5763" t="s">
        <v>5403</v>
      </c>
      <c r="AL130" s="5764" t="s">
        <v>5404</v>
      </c>
      <c r="BX130" s="4260"/>
      <c r="BY130" s="4260"/>
    </row>
    <row r="131" spans="1:85" ht="16.2" customHeight="1" x14ac:dyDescent="0.25">
      <c r="A131" s="7258">
        <v>23044600</v>
      </c>
      <c r="B131" s="5759" t="s">
        <v>1967</v>
      </c>
      <c r="C131" s="5760" t="s">
        <v>5369</v>
      </c>
      <c r="D131" s="5761" t="s">
        <v>5370</v>
      </c>
      <c r="E131" s="5756" t="s">
        <v>5371</v>
      </c>
      <c r="F131" s="5602" t="s">
        <v>5372</v>
      </c>
      <c r="G131" s="5603" t="s">
        <v>5373</v>
      </c>
      <c r="H131" s="5065" t="s">
        <v>5374</v>
      </c>
      <c r="I131" s="5066" t="s">
        <v>5375</v>
      </c>
      <c r="J131" s="5068" t="s">
        <v>5376</v>
      </c>
      <c r="K131" s="5077" t="s">
        <v>5377</v>
      </c>
      <c r="L131" s="5065" t="s">
        <v>5378</v>
      </c>
      <c r="M131" s="5066" t="s">
        <v>5379</v>
      </c>
      <c r="N131" s="5068" t="s">
        <v>5380</v>
      </c>
      <c r="O131" s="5077" t="s">
        <v>5381</v>
      </c>
      <c r="P131" s="5065" t="s">
        <v>5382</v>
      </c>
      <c r="Q131" s="5066" t="s">
        <v>5383</v>
      </c>
      <c r="R131" s="5068" t="s">
        <v>5384</v>
      </c>
      <c r="S131" s="5077" t="s">
        <v>5385</v>
      </c>
      <c r="T131" s="5065" t="s">
        <v>5386</v>
      </c>
      <c r="U131" s="5066" t="s">
        <v>5387</v>
      </c>
      <c r="V131" s="5068" t="s">
        <v>5388</v>
      </c>
      <c r="W131" s="5077" t="s">
        <v>5389</v>
      </c>
      <c r="X131" s="5065" t="s">
        <v>5390</v>
      </c>
      <c r="Y131" s="5066" t="s">
        <v>5391</v>
      </c>
      <c r="Z131" s="5068" t="s">
        <v>5392</v>
      </c>
      <c r="AA131" s="5077" t="s">
        <v>5393</v>
      </c>
      <c r="AB131" s="5065" t="s">
        <v>5394</v>
      </c>
      <c r="AC131" s="5066" t="s">
        <v>5395</v>
      </c>
      <c r="AD131" s="5068" t="s">
        <v>5396</v>
      </c>
      <c r="AE131" s="5077" t="s">
        <v>5397</v>
      </c>
      <c r="AF131" s="5617" t="s">
        <v>5398</v>
      </c>
      <c r="AG131" s="5066" t="s">
        <v>5399</v>
      </c>
      <c r="AH131" s="5068" t="s">
        <v>5400</v>
      </c>
      <c r="AI131" s="5077" t="s">
        <v>5401</v>
      </c>
      <c r="AJ131" s="5617" t="s">
        <v>5402</v>
      </c>
      <c r="AK131" s="5765" t="s">
        <v>5403</v>
      </c>
      <c r="AL131" s="5764" t="s">
        <v>5404</v>
      </c>
      <c r="BX131" s="4260"/>
      <c r="BY131" s="4260"/>
    </row>
    <row r="132" spans="1:85" ht="16.2" customHeight="1" x14ac:dyDescent="0.25">
      <c r="A132" s="7258">
        <v>23044700</v>
      </c>
      <c r="B132" s="5759" t="s">
        <v>56</v>
      </c>
      <c r="C132" s="5760" t="s">
        <v>5369</v>
      </c>
      <c r="D132" s="5761" t="s">
        <v>5370</v>
      </c>
      <c r="E132" s="5756" t="s">
        <v>5371</v>
      </c>
      <c r="F132" s="5065" t="s">
        <v>5372</v>
      </c>
      <c r="G132" s="5067" t="s">
        <v>5373</v>
      </c>
      <c r="H132" s="5065" t="s">
        <v>5374</v>
      </c>
      <c r="I132" s="5066" t="s">
        <v>5375</v>
      </c>
      <c r="J132" s="5068" t="s">
        <v>5376</v>
      </c>
      <c r="K132" s="5077" t="s">
        <v>5377</v>
      </c>
      <c r="L132" s="5065" t="s">
        <v>5378</v>
      </c>
      <c r="M132" s="5066" t="s">
        <v>5379</v>
      </c>
      <c r="N132" s="5068" t="s">
        <v>5380</v>
      </c>
      <c r="O132" s="5077" t="s">
        <v>5381</v>
      </c>
      <c r="P132" s="5065" t="s">
        <v>5382</v>
      </c>
      <c r="Q132" s="5066" t="s">
        <v>5383</v>
      </c>
      <c r="R132" s="5068" t="s">
        <v>5384</v>
      </c>
      <c r="S132" s="5077" t="s">
        <v>5385</v>
      </c>
      <c r="T132" s="5065" t="s">
        <v>5386</v>
      </c>
      <c r="U132" s="5066" t="s">
        <v>5387</v>
      </c>
      <c r="V132" s="5068" t="s">
        <v>5388</v>
      </c>
      <c r="W132" s="5077" t="s">
        <v>5389</v>
      </c>
      <c r="X132" s="5065" t="s">
        <v>5390</v>
      </c>
      <c r="Y132" s="5066" t="s">
        <v>5391</v>
      </c>
      <c r="Z132" s="5068" t="s">
        <v>5392</v>
      </c>
      <c r="AA132" s="5077" t="s">
        <v>5393</v>
      </c>
      <c r="AB132" s="5065" t="s">
        <v>5394</v>
      </c>
      <c r="AC132" s="5066" t="s">
        <v>5395</v>
      </c>
      <c r="AD132" s="5068" t="s">
        <v>5396</v>
      </c>
      <c r="AE132" s="5077" t="s">
        <v>5397</v>
      </c>
      <c r="AF132" s="5617" t="s">
        <v>5398</v>
      </c>
      <c r="AG132" s="5066" t="s">
        <v>5399</v>
      </c>
      <c r="AH132" s="5068" t="s">
        <v>5400</v>
      </c>
      <c r="AI132" s="5077" t="s">
        <v>5401</v>
      </c>
      <c r="AJ132" s="5617" t="s">
        <v>5402</v>
      </c>
      <c r="AK132" s="5765" t="s">
        <v>5403</v>
      </c>
      <c r="AL132" s="5764" t="s">
        <v>5404</v>
      </c>
      <c r="BX132" s="4260"/>
      <c r="BY132" s="4260"/>
    </row>
    <row r="133" spans="1:85" ht="16.2" customHeight="1" x14ac:dyDescent="0.25">
      <c r="A133" s="7258">
        <v>23044800</v>
      </c>
      <c r="B133" s="5759" t="s">
        <v>1968</v>
      </c>
      <c r="C133" s="5760" t="s">
        <v>5369</v>
      </c>
      <c r="D133" s="5761" t="s">
        <v>5370</v>
      </c>
      <c r="E133" s="5756" t="s">
        <v>5371</v>
      </c>
      <c r="F133" s="5554" t="s">
        <v>5372</v>
      </c>
      <c r="G133" s="5560" t="s">
        <v>5373</v>
      </c>
      <c r="H133" s="5554" t="s">
        <v>5374</v>
      </c>
      <c r="I133" s="5555" t="s">
        <v>5375</v>
      </c>
      <c r="J133" s="5556" t="s">
        <v>5376</v>
      </c>
      <c r="K133" s="5557" t="s">
        <v>5377</v>
      </c>
      <c r="L133" s="5554" t="s">
        <v>5378</v>
      </c>
      <c r="M133" s="5555" t="s">
        <v>5379</v>
      </c>
      <c r="N133" s="5556" t="s">
        <v>5380</v>
      </c>
      <c r="O133" s="5557" t="s">
        <v>5381</v>
      </c>
      <c r="P133" s="5554" t="s">
        <v>5382</v>
      </c>
      <c r="Q133" s="5555" t="s">
        <v>5383</v>
      </c>
      <c r="R133" s="5556" t="s">
        <v>5384</v>
      </c>
      <c r="S133" s="5557" t="s">
        <v>5385</v>
      </c>
      <c r="T133" s="5065" t="s">
        <v>5386</v>
      </c>
      <c r="U133" s="5066" t="s">
        <v>5387</v>
      </c>
      <c r="V133" s="5068" t="s">
        <v>5388</v>
      </c>
      <c r="W133" s="5077" t="s">
        <v>5389</v>
      </c>
      <c r="X133" s="5065" t="s">
        <v>5390</v>
      </c>
      <c r="Y133" s="5066" t="s">
        <v>5391</v>
      </c>
      <c r="Z133" s="5068" t="s">
        <v>5392</v>
      </c>
      <c r="AA133" s="5077" t="s">
        <v>5393</v>
      </c>
      <c r="AB133" s="5065" t="s">
        <v>5394</v>
      </c>
      <c r="AC133" s="5066" t="s">
        <v>5395</v>
      </c>
      <c r="AD133" s="5068" t="s">
        <v>5396</v>
      </c>
      <c r="AE133" s="5077" t="s">
        <v>5397</v>
      </c>
      <c r="AF133" s="5617" t="s">
        <v>5398</v>
      </c>
      <c r="AG133" s="5066" t="s">
        <v>5399</v>
      </c>
      <c r="AH133" s="5068" t="s">
        <v>5400</v>
      </c>
      <c r="AI133" s="5077" t="s">
        <v>5401</v>
      </c>
      <c r="AJ133" s="5617" t="s">
        <v>5402</v>
      </c>
      <c r="AK133" s="5765" t="s">
        <v>5403</v>
      </c>
      <c r="AL133" s="5764" t="s">
        <v>5404</v>
      </c>
      <c r="BX133" s="4260"/>
      <c r="BY133" s="4260"/>
    </row>
    <row r="134" spans="1:85" ht="16.2" customHeight="1" x14ac:dyDescent="0.25">
      <c r="A134" s="7258">
        <v>23044900</v>
      </c>
      <c r="B134" s="5766" t="s">
        <v>59</v>
      </c>
      <c r="C134" s="5760" t="s">
        <v>5369</v>
      </c>
      <c r="D134" s="5761" t="s">
        <v>5370</v>
      </c>
      <c r="E134" s="5756" t="s">
        <v>5371</v>
      </c>
      <c r="F134" s="5088" t="s">
        <v>5372</v>
      </c>
      <c r="G134" s="5090" t="s">
        <v>5373</v>
      </c>
      <c r="H134" s="5088" t="s">
        <v>5374</v>
      </c>
      <c r="I134" s="5089" t="s">
        <v>5375</v>
      </c>
      <c r="J134" s="5091" t="s">
        <v>5376</v>
      </c>
      <c r="K134" s="5092" t="s">
        <v>5377</v>
      </c>
      <c r="L134" s="5088" t="s">
        <v>5378</v>
      </c>
      <c r="M134" s="5089" t="s">
        <v>5379</v>
      </c>
      <c r="N134" s="5091" t="s">
        <v>5380</v>
      </c>
      <c r="O134" s="5092" t="s">
        <v>5381</v>
      </c>
      <c r="P134" s="5088" t="s">
        <v>5382</v>
      </c>
      <c r="Q134" s="5089" t="s">
        <v>5383</v>
      </c>
      <c r="R134" s="5091" t="s">
        <v>5384</v>
      </c>
      <c r="S134" s="5092" t="s">
        <v>5385</v>
      </c>
      <c r="T134" s="5088" t="s">
        <v>5386</v>
      </c>
      <c r="U134" s="5089" t="s">
        <v>5387</v>
      </c>
      <c r="V134" s="5091" t="s">
        <v>5388</v>
      </c>
      <c r="W134" s="5092" t="s">
        <v>5389</v>
      </c>
      <c r="X134" s="5088" t="s">
        <v>5390</v>
      </c>
      <c r="Y134" s="5089" t="s">
        <v>5391</v>
      </c>
      <c r="Z134" s="5091" t="s">
        <v>5392</v>
      </c>
      <c r="AA134" s="5092" t="s">
        <v>5393</v>
      </c>
      <c r="AB134" s="5088" t="s">
        <v>5394</v>
      </c>
      <c r="AC134" s="5089" t="s">
        <v>5395</v>
      </c>
      <c r="AD134" s="5091" t="s">
        <v>5396</v>
      </c>
      <c r="AE134" s="5092" t="s">
        <v>5397</v>
      </c>
      <c r="AF134" s="5606" t="s">
        <v>5398</v>
      </c>
      <c r="AG134" s="5089" t="s">
        <v>5399</v>
      </c>
      <c r="AH134" s="5091" t="s">
        <v>5400</v>
      </c>
      <c r="AI134" s="5092" t="s">
        <v>5401</v>
      </c>
      <c r="AJ134" s="5606" t="s">
        <v>5402</v>
      </c>
      <c r="AK134" s="5767" t="s">
        <v>5403</v>
      </c>
      <c r="AL134" s="4330" t="s">
        <v>5404</v>
      </c>
      <c r="BX134" s="4260"/>
      <c r="BY134" s="4260"/>
    </row>
    <row r="135" spans="1:85" ht="16.2" customHeight="1" x14ac:dyDescent="0.25">
      <c r="A135" s="7298"/>
      <c r="B135" s="5768" t="s">
        <v>24</v>
      </c>
      <c r="C135" s="5769">
        <f t="shared" ref="C135:AK135" si="6">SUM(C129:C134)</f>
        <v>0</v>
      </c>
      <c r="D135" s="5770">
        <f t="shared" si="6"/>
        <v>0</v>
      </c>
      <c r="E135" s="5771">
        <f t="shared" si="6"/>
        <v>0</v>
      </c>
      <c r="F135" s="5772">
        <f>SUM(F129:F134)</f>
        <v>0</v>
      </c>
      <c r="G135" s="5771">
        <f t="shared" si="6"/>
        <v>0</v>
      </c>
      <c r="H135" s="5772">
        <f>SUM(H129:H134)</f>
        <v>0</v>
      </c>
      <c r="I135" s="5771">
        <f t="shared" si="6"/>
        <v>0</v>
      </c>
      <c r="J135" s="5770">
        <f t="shared" si="6"/>
        <v>0</v>
      </c>
      <c r="K135" s="5773">
        <f t="shared" si="6"/>
        <v>0</v>
      </c>
      <c r="L135" s="5772">
        <f t="shared" si="6"/>
        <v>0</v>
      </c>
      <c r="M135" s="5774">
        <f t="shared" si="6"/>
        <v>0</v>
      </c>
      <c r="N135" s="5770">
        <f t="shared" si="6"/>
        <v>0</v>
      </c>
      <c r="O135" s="5774">
        <f t="shared" si="6"/>
        <v>0</v>
      </c>
      <c r="P135" s="5770">
        <f t="shared" si="6"/>
        <v>0</v>
      </c>
      <c r="Q135" s="5774">
        <f t="shared" si="6"/>
        <v>0</v>
      </c>
      <c r="R135" s="5770">
        <f t="shared" si="6"/>
        <v>0</v>
      </c>
      <c r="S135" s="5773">
        <f t="shared" si="6"/>
        <v>0</v>
      </c>
      <c r="T135" s="5772">
        <f t="shared" si="6"/>
        <v>0</v>
      </c>
      <c r="U135" s="5774">
        <f t="shared" si="6"/>
        <v>0</v>
      </c>
      <c r="V135" s="5770">
        <f t="shared" si="6"/>
        <v>0</v>
      </c>
      <c r="W135" s="5773">
        <f t="shared" si="6"/>
        <v>0</v>
      </c>
      <c r="X135" s="5772">
        <f t="shared" si="6"/>
        <v>0</v>
      </c>
      <c r="Y135" s="5774">
        <f t="shared" si="6"/>
        <v>0</v>
      </c>
      <c r="Z135" s="5770">
        <f t="shared" si="6"/>
        <v>0</v>
      </c>
      <c r="AA135" s="5773">
        <f t="shared" si="6"/>
        <v>0</v>
      </c>
      <c r="AB135" s="5772">
        <f t="shared" si="6"/>
        <v>0</v>
      </c>
      <c r="AC135" s="5774">
        <f t="shared" si="6"/>
        <v>0</v>
      </c>
      <c r="AD135" s="5770">
        <f t="shared" si="6"/>
        <v>0</v>
      </c>
      <c r="AE135" s="5773">
        <f t="shared" si="6"/>
        <v>0</v>
      </c>
      <c r="AF135" s="5772">
        <f t="shared" si="6"/>
        <v>0</v>
      </c>
      <c r="AG135" s="5774">
        <f t="shared" si="6"/>
        <v>0</v>
      </c>
      <c r="AH135" s="5770">
        <f t="shared" si="6"/>
        <v>0</v>
      </c>
      <c r="AI135" s="5773">
        <f t="shared" si="6"/>
        <v>0</v>
      </c>
      <c r="AJ135" s="5775">
        <f t="shared" si="6"/>
        <v>0</v>
      </c>
      <c r="AK135" s="5776">
        <f t="shared" si="6"/>
        <v>0</v>
      </c>
      <c r="AL135" s="5777">
        <f>SUM(AL129:AL134)</f>
        <v>0</v>
      </c>
      <c r="BX135" s="4260"/>
      <c r="BY135" s="4260"/>
    </row>
    <row r="136" spans="1:85" ht="18.75" customHeight="1" x14ac:dyDescent="0.25">
      <c r="B136" s="5151" t="s">
        <v>3622</v>
      </c>
      <c r="C136" s="5778"/>
      <c r="D136" s="5778"/>
      <c r="E136" s="5778"/>
      <c r="F136" s="5139"/>
      <c r="G136" s="5139"/>
      <c r="H136" s="5139"/>
      <c r="I136" s="5139"/>
      <c r="J136" s="5139"/>
      <c r="K136" s="5139"/>
      <c r="L136" s="5139"/>
      <c r="M136" s="3807"/>
      <c r="N136" s="3807"/>
      <c r="O136" s="3807"/>
      <c r="P136" s="5779"/>
      <c r="Q136" s="3940"/>
      <c r="R136" s="3940"/>
      <c r="S136" s="3940"/>
      <c r="T136" s="3940"/>
      <c r="U136" s="3940"/>
      <c r="V136" s="3940"/>
      <c r="W136" s="3940"/>
    </row>
    <row r="137" spans="1:85" ht="18.75" customHeight="1" x14ac:dyDescent="0.25">
      <c r="B137" s="10319" t="s">
        <v>3623</v>
      </c>
      <c r="C137" s="10319"/>
      <c r="D137" s="10319"/>
      <c r="E137" s="10319"/>
      <c r="F137" s="10319"/>
      <c r="G137" s="3940"/>
      <c r="H137" s="5139"/>
      <c r="I137" s="5139"/>
      <c r="J137" s="5139"/>
      <c r="K137" s="5139"/>
      <c r="L137" s="5139"/>
      <c r="M137" s="3807"/>
      <c r="N137" s="3807"/>
      <c r="O137" s="3807"/>
      <c r="P137" s="5779"/>
    </row>
    <row r="138" spans="1:85" ht="18" customHeight="1" x14ac:dyDescent="0.25">
      <c r="A138" s="7344"/>
      <c r="B138" s="10247" t="s">
        <v>1959</v>
      </c>
      <c r="C138" s="10249" t="s">
        <v>24</v>
      </c>
      <c r="D138" s="10249"/>
      <c r="E138" s="10250"/>
      <c r="F138" s="10291" t="s">
        <v>2</v>
      </c>
      <c r="G138" s="10292"/>
      <c r="H138" s="10292"/>
      <c r="I138" s="10292"/>
      <c r="J138" s="10292"/>
      <c r="K138" s="10292"/>
      <c r="L138" s="10292"/>
      <c r="M138" s="10292"/>
      <c r="N138" s="10292"/>
      <c r="O138" s="10292"/>
      <c r="P138" s="10292"/>
      <c r="Q138" s="10292"/>
      <c r="R138" s="10292"/>
      <c r="S138" s="10292"/>
      <c r="T138" s="10292"/>
      <c r="U138" s="10292"/>
      <c r="V138" s="10292"/>
      <c r="W138" s="10292"/>
      <c r="X138" s="10292"/>
      <c r="Y138" s="10292"/>
      <c r="Z138" s="10292"/>
      <c r="AA138" s="10292"/>
      <c r="AB138" s="10292"/>
      <c r="AC138" s="10292"/>
      <c r="AD138" s="10292"/>
      <c r="AE138" s="10292"/>
      <c r="AF138" s="10292"/>
      <c r="AG138" s="10292"/>
      <c r="AH138" s="10292"/>
      <c r="AI138" s="10292"/>
      <c r="AJ138" s="10292"/>
      <c r="AK138" s="10327"/>
      <c r="BY138" s="4260"/>
    </row>
    <row r="139" spans="1:85" ht="12" customHeight="1" x14ac:dyDescent="0.25">
      <c r="A139" s="7344"/>
      <c r="B139" s="9055"/>
      <c r="C139" s="10252"/>
      <c r="D139" s="10252"/>
      <c r="E139" s="10253"/>
      <c r="F139" s="10268" t="s">
        <v>1912</v>
      </c>
      <c r="G139" s="10269"/>
      <c r="H139" s="10268" t="s">
        <v>1913</v>
      </c>
      <c r="I139" s="10269"/>
      <c r="J139" s="10265" t="s">
        <v>1914</v>
      </c>
      <c r="K139" s="10265"/>
      <c r="L139" s="10268" t="s">
        <v>1915</v>
      </c>
      <c r="M139" s="10269"/>
      <c r="N139" s="10266" t="s">
        <v>1916</v>
      </c>
      <c r="O139" s="10266"/>
      <c r="P139" s="10267" t="s">
        <v>1917</v>
      </c>
      <c r="Q139" s="10247"/>
      <c r="R139" s="10266" t="s">
        <v>1918</v>
      </c>
      <c r="S139" s="10266"/>
      <c r="T139" s="10267" t="s">
        <v>124</v>
      </c>
      <c r="U139" s="10247"/>
      <c r="V139" s="10266" t="s">
        <v>125</v>
      </c>
      <c r="W139" s="10266"/>
      <c r="X139" s="10267" t="s">
        <v>126</v>
      </c>
      <c r="Y139" s="10247"/>
      <c r="Z139" s="10266" t="s">
        <v>127</v>
      </c>
      <c r="AA139" s="10266"/>
      <c r="AB139" s="10267" t="s">
        <v>128</v>
      </c>
      <c r="AC139" s="10247"/>
      <c r="AD139" s="10266" t="s">
        <v>129</v>
      </c>
      <c r="AE139" s="10266"/>
      <c r="AF139" s="10267" t="s">
        <v>130</v>
      </c>
      <c r="AG139" s="10247"/>
      <c r="AH139" s="10266" t="s">
        <v>131</v>
      </c>
      <c r="AI139" s="10266"/>
      <c r="AJ139" s="10294" t="s">
        <v>1919</v>
      </c>
      <c r="AK139" s="10328"/>
      <c r="BY139" s="4260"/>
    </row>
    <row r="140" spans="1:85" ht="15" customHeight="1" x14ac:dyDescent="0.25">
      <c r="A140" s="7344"/>
      <c r="B140" s="9056"/>
      <c r="C140" s="4531" t="s">
        <v>42</v>
      </c>
      <c r="D140" s="5630" t="s">
        <v>17</v>
      </c>
      <c r="E140" s="4531" t="s">
        <v>18</v>
      </c>
      <c r="F140" s="5577" t="s">
        <v>17</v>
      </c>
      <c r="G140" s="4531" t="s">
        <v>18</v>
      </c>
      <c r="H140" s="5577" t="s">
        <v>17</v>
      </c>
      <c r="I140" s="4531" t="s">
        <v>18</v>
      </c>
      <c r="J140" s="5630" t="s">
        <v>17</v>
      </c>
      <c r="K140" s="5700" t="s">
        <v>18</v>
      </c>
      <c r="L140" s="5577" t="s">
        <v>17</v>
      </c>
      <c r="M140" s="4531" t="s">
        <v>18</v>
      </c>
      <c r="N140" s="5630" t="s">
        <v>17</v>
      </c>
      <c r="O140" s="5700" t="s">
        <v>18</v>
      </c>
      <c r="P140" s="5577" t="s">
        <v>17</v>
      </c>
      <c r="Q140" s="4531" t="s">
        <v>18</v>
      </c>
      <c r="R140" s="5630" t="s">
        <v>17</v>
      </c>
      <c r="S140" s="5700" t="s">
        <v>18</v>
      </c>
      <c r="T140" s="5577" t="s">
        <v>17</v>
      </c>
      <c r="U140" s="4531" t="s">
        <v>18</v>
      </c>
      <c r="V140" s="5630" t="s">
        <v>17</v>
      </c>
      <c r="W140" s="5700" t="s">
        <v>18</v>
      </c>
      <c r="X140" s="5577" t="s">
        <v>17</v>
      </c>
      <c r="Y140" s="4531" t="s">
        <v>18</v>
      </c>
      <c r="Z140" s="5630" t="s">
        <v>17</v>
      </c>
      <c r="AA140" s="5700" t="s">
        <v>18</v>
      </c>
      <c r="AB140" s="5577" t="s">
        <v>17</v>
      </c>
      <c r="AC140" s="4531" t="s">
        <v>18</v>
      </c>
      <c r="AD140" s="5630" t="s">
        <v>17</v>
      </c>
      <c r="AE140" s="5700" t="s">
        <v>18</v>
      </c>
      <c r="AF140" s="5577" t="s">
        <v>17</v>
      </c>
      <c r="AG140" s="4531" t="s">
        <v>18</v>
      </c>
      <c r="AH140" s="5630" t="s">
        <v>17</v>
      </c>
      <c r="AI140" s="5700" t="s">
        <v>18</v>
      </c>
      <c r="AJ140" s="5577" t="s">
        <v>17</v>
      </c>
      <c r="AK140" s="4531" t="s">
        <v>18</v>
      </c>
      <c r="BX140" s="4260"/>
      <c r="BY140" s="4260"/>
    </row>
    <row r="141" spans="1:85" ht="16.2" customHeight="1" x14ac:dyDescent="0.25">
      <c r="A141" s="7258">
        <v>23090590</v>
      </c>
      <c r="B141" s="5780" t="s">
        <v>1969</v>
      </c>
      <c r="C141" s="5781" t="s">
        <v>5369</v>
      </c>
      <c r="D141" s="5761" t="s">
        <v>5370</v>
      </c>
      <c r="E141" s="5756" t="s">
        <v>5371</v>
      </c>
      <c r="F141" s="5014" t="s">
        <v>5372</v>
      </c>
      <c r="G141" s="5044" t="s">
        <v>5373</v>
      </c>
      <c r="H141" s="5014" t="s">
        <v>5374</v>
      </c>
      <c r="I141" s="5044" t="s">
        <v>5375</v>
      </c>
      <c r="J141" s="5014" t="s">
        <v>5376</v>
      </c>
      <c r="K141" s="5044" t="s">
        <v>5377</v>
      </c>
      <c r="L141" s="5014" t="s">
        <v>5378</v>
      </c>
      <c r="M141" s="5044" t="s">
        <v>5379</v>
      </c>
      <c r="N141" s="5014" t="s">
        <v>5380</v>
      </c>
      <c r="O141" s="5044" t="s">
        <v>5381</v>
      </c>
      <c r="P141" s="5014" t="s">
        <v>5382</v>
      </c>
      <c r="Q141" s="5044" t="s">
        <v>5383</v>
      </c>
      <c r="R141" s="5014" t="s">
        <v>5384</v>
      </c>
      <c r="S141" s="5044" t="s">
        <v>5385</v>
      </c>
      <c r="T141" s="5014" t="s">
        <v>5386</v>
      </c>
      <c r="U141" s="5044" t="s">
        <v>5387</v>
      </c>
      <c r="V141" s="5014" t="s">
        <v>5388</v>
      </c>
      <c r="W141" s="5044" t="s">
        <v>5389</v>
      </c>
      <c r="X141" s="5014" t="s">
        <v>5390</v>
      </c>
      <c r="Y141" s="5044" t="s">
        <v>5391</v>
      </c>
      <c r="Z141" s="5014" t="s">
        <v>5392</v>
      </c>
      <c r="AA141" s="5044" t="s">
        <v>5393</v>
      </c>
      <c r="AB141" s="5014" t="s">
        <v>5394</v>
      </c>
      <c r="AC141" s="5044" t="s">
        <v>5395</v>
      </c>
      <c r="AD141" s="5014" t="s">
        <v>5396</v>
      </c>
      <c r="AE141" s="5044" t="s">
        <v>5397</v>
      </c>
      <c r="AF141" s="5014" t="s">
        <v>5398</v>
      </c>
      <c r="AG141" s="5044" t="s">
        <v>5399</v>
      </c>
      <c r="AH141" s="5014" t="s">
        <v>5400</v>
      </c>
      <c r="AI141" s="5044" t="s">
        <v>5401</v>
      </c>
      <c r="AJ141" s="5014" t="s">
        <v>5402</v>
      </c>
      <c r="AK141" s="5044" t="s">
        <v>5403</v>
      </c>
      <c r="BX141" s="4260"/>
      <c r="BY141" s="4260"/>
    </row>
    <row r="142" spans="1:85" ht="16.2" customHeight="1" x14ac:dyDescent="0.25">
      <c r="A142" s="7258">
        <v>23090600</v>
      </c>
      <c r="B142" s="4431" t="s">
        <v>138</v>
      </c>
      <c r="C142" s="5782" t="s">
        <v>5369</v>
      </c>
      <c r="D142" s="5761" t="s">
        <v>5370</v>
      </c>
      <c r="E142" s="5756" t="s">
        <v>5371</v>
      </c>
      <c r="F142" s="5033" t="s">
        <v>5372</v>
      </c>
      <c r="G142" s="5034" t="s">
        <v>5373</v>
      </c>
      <c r="H142" s="5033" t="s">
        <v>5374</v>
      </c>
      <c r="I142" s="5034" t="s">
        <v>5375</v>
      </c>
      <c r="J142" s="5033" t="s">
        <v>5376</v>
      </c>
      <c r="K142" s="5034" t="s">
        <v>5377</v>
      </c>
      <c r="L142" s="5033" t="s">
        <v>5378</v>
      </c>
      <c r="M142" s="5034" t="s">
        <v>5379</v>
      </c>
      <c r="N142" s="5033" t="s">
        <v>5380</v>
      </c>
      <c r="O142" s="5034" t="s">
        <v>5381</v>
      </c>
      <c r="P142" s="5033" t="s">
        <v>5382</v>
      </c>
      <c r="Q142" s="5034" t="s">
        <v>5383</v>
      </c>
      <c r="R142" s="5033" t="s">
        <v>5384</v>
      </c>
      <c r="S142" s="5034" t="s">
        <v>5385</v>
      </c>
      <c r="T142" s="5033" t="s">
        <v>5386</v>
      </c>
      <c r="U142" s="5034" t="s">
        <v>5387</v>
      </c>
      <c r="V142" s="5033" t="s">
        <v>5388</v>
      </c>
      <c r="W142" s="5034" t="s">
        <v>5389</v>
      </c>
      <c r="X142" s="5033" t="s">
        <v>5390</v>
      </c>
      <c r="Y142" s="5034" t="s">
        <v>5391</v>
      </c>
      <c r="Z142" s="5033" t="s">
        <v>5392</v>
      </c>
      <c r="AA142" s="5034" t="s">
        <v>5393</v>
      </c>
      <c r="AB142" s="5033" t="s">
        <v>5394</v>
      </c>
      <c r="AC142" s="5034" t="s">
        <v>5395</v>
      </c>
      <c r="AD142" s="5033" t="s">
        <v>5396</v>
      </c>
      <c r="AE142" s="5034" t="s">
        <v>5397</v>
      </c>
      <c r="AF142" s="5033" t="s">
        <v>5398</v>
      </c>
      <c r="AG142" s="5034" t="s">
        <v>5399</v>
      </c>
      <c r="AH142" s="5033" t="s">
        <v>5400</v>
      </c>
      <c r="AI142" s="5034" t="s">
        <v>5401</v>
      </c>
      <c r="AJ142" s="5033" t="s">
        <v>5402</v>
      </c>
      <c r="AK142" s="5034" t="s">
        <v>5403</v>
      </c>
      <c r="BX142" s="4260"/>
      <c r="BY142" s="4260"/>
    </row>
    <row r="143" spans="1:85" ht="11.4" customHeight="1" x14ac:dyDescent="0.25">
      <c r="A143" s="7258">
        <v>23090620</v>
      </c>
      <c r="B143" s="5184" t="s">
        <v>1970</v>
      </c>
      <c r="C143" s="5782" t="s">
        <v>5369</v>
      </c>
      <c r="D143" s="5761" t="s">
        <v>5370</v>
      </c>
      <c r="E143" s="5756" t="s">
        <v>5371</v>
      </c>
      <c r="F143" s="5033" t="s">
        <v>5372</v>
      </c>
      <c r="G143" s="5034" t="s">
        <v>5373</v>
      </c>
      <c r="H143" s="5033" t="s">
        <v>5374</v>
      </c>
      <c r="I143" s="5034" t="s">
        <v>5375</v>
      </c>
      <c r="J143" s="5033" t="s">
        <v>5376</v>
      </c>
      <c r="K143" s="5034" t="s">
        <v>5377</v>
      </c>
      <c r="L143" s="5033" t="s">
        <v>5378</v>
      </c>
      <c r="M143" s="5034" t="s">
        <v>5379</v>
      </c>
      <c r="N143" s="5033" t="s">
        <v>5380</v>
      </c>
      <c r="O143" s="5034" t="s">
        <v>5381</v>
      </c>
      <c r="P143" s="5033" t="s">
        <v>5382</v>
      </c>
      <c r="Q143" s="5034" t="s">
        <v>5383</v>
      </c>
      <c r="R143" s="5033" t="s">
        <v>5384</v>
      </c>
      <c r="S143" s="5034" t="s">
        <v>5385</v>
      </c>
      <c r="T143" s="5033" t="s">
        <v>5386</v>
      </c>
      <c r="U143" s="5034" t="s">
        <v>5387</v>
      </c>
      <c r="V143" s="5033" t="s">
        <v>5388</v>
      </c>
      <c r="W143" s="5034" t="s">
        <v>5389</v>
      </c>
      <c r="X143" s="5033" t="s">
        <v>5390</v>
      </c>
      <c r="Y143" s="5034" t="s">
        <v>5391</v>
      </c>
      <c r="Z143" s="5033" t="s">
        <v>5392</v>
      </c>
      <c r="AA143" s="5034" t="s">
        <v>5393</v>
      </c>
      <c r="AB143" s="5033" t="s">
        <v>5394</v>
      </c>
      <c r="AC143" s="5034" t="s">
        <v>5395</v>
      </c>
      <c r="AD143" s="5033" t="s">
        <v>5396</v>
      </c>
      <c r="AE143" s="5034" t="s">
        <v>5397</v>
      </c>
      <c r="AF143" s="5033" t="s">
        <v>5398</v>
      </c>
      <c r="AG143" s="5034" t="s">
        <v>5399</v>
      </c>
      <c r="AH143" s="5033" t="s">
        <v>5400</v>
      </c>
      <c r="AI143" s="4137" t="s">
        <v>5401</v>
      </c>
      <c r="AJ143" s="5033" t="s">
        <v>5402</v>
      </c>
      <c r="AK143" s="5034" t="s">
        <v>5403</v>
      </c>
      <c r="BX143" s="4260"/>
      <c r="BY143" s="4260"/>
      <c r="CG143" s="4295">
        <v>0</v>
      </c>
    </row>
    <row r="144" spans="1:85" ht="15.75" customHeight="1" x14ac:dyDescent="0.25">
      <c r="A144" s="7258">
        <v>23045000</v>
      </c>
      <c r="B144" s="4431" t="s">
        <v>1971</v>
      </c>
      <c r="C144" s="5782" t="s">
        <v>5369</v>
      </c>
      <c r="D144" s="5761" t="s">
        <v>5370</v>
      </c>
      <c r="E144" s="5756" t="s">
        <v>5371</v>
      </c>
      <c r="F144" s="5033" t="s">
        <v>5372</v>
      </c>
      <c r="G144" s="5034" t="s">
        <v>5373</v>
      </c>
      <c r="H144" s="5033" t="s">
        <v>5374</v>
      </c>
      <c r="I144" s="5034" t="s">
        <v>5375</v>
      </c>
      <c r="J144" s="5033" t="s">
        <v>5376</v>
      </c>
      <c r="K144" s="5034" t="s">
        <v>5377</v>
      </c>
      <c r="L144" s="5033" t="s">
        <v>5378</v>
      </c>
      <c r="M144" s="5034" t="s">
        <v>5379</v>
      </c>
      <c r="N144" s="5033" t="s">
        <v>5380</v>
      </c>
      <c r="O144" s="5034" t="s">
        <v>5381</v>
      </c>
      <c r="P144" s="5033" t="s">
        <v>5382</v>
      </c>
      <c r="Q144" s="5034" t="s">
        <v>5383</v>
      </c>
      <c r="R144" s="5033" t="s">
        <v>5384</v>
      </c>
      <c r="S144" s="5034" t="s">
        <v>5385</v>
      </c>
      <c r="T144" s="5033" t="s">
        <v>5386</v>
      </c>
      <c r="U144" s="5034" t="s">
        <v>5387</v>
      </c>
      <c r="V144" s="5033" t="s">
        <v>5388</v>
      </c>
      <c r="W144" s="5034" t="s">
        <v>5389</v>
      </c>
      <c r="X144" s="5033" t="s">
        <v>5390</v>
      </c>
      <c r="Y144" s="5034" t="s">
        <v>5391</v>
      </c>
      <c r="Z144" s="5033" t="s">
        <v>5392</v>
      </c>
      <c r="AA144" s="5034" t="s">
        <v>5393</v>
      </c>
      <c r="AB144" s="5033" t="s">
        <v>5394</v>
      </c>
      <c r="AC144" s="5034" t="s">
        <v>5395</v>
      </c>
      <c r="AD144" s="5033" t="s">
        <v>5396</v>
      </c>
      <c r="AE144" s="5034" t="s">
        <v>5397</v>
      </c>
      <c r="AF144" s="5033" t="s">
        <v>5398</v>
      </c>
      <c r="AG144" s="5034" t="s">
        <v>5399</v>
      </c>
      <c r="AH144" s="5033" t="s">
        <v>5400</v>
      </c>
      <c r="AI144" s="5034" t="s">
        <v>5401</v>
      </c>
      <c r="AJ144" s="5033" t="s">
        <v>5402</v>
      </c>
      <c r="AK144" s="5034" t="s">
        <v>5403</v>
      </c>
      <c r="BX144" s="4260"/>
      <c r="BY144" s="4260"/>
      <c r="CG144" s="4295">
        <v>0</v>
      </c>
    </row>
    <row r="145" spans="1:86" ht="16.2" customHeight="1" x14ac:dyDescent="0.25">
      <c r="A145" s="7258">
        <v>23045100</v>
      </c>
      <c r="B145" s="4431" t="s">
        <v>1972</v>
      </c>
      <c r="C145" s="5782" t="s">
        <v>5369</v>
      </c>
      <c r="D145" s="5761" t="s">
        <v>5370</v>
      </c>
      <c r="E145" s="5756" t="s">
        <v>5371</v>
      </c>
      <c r="F145" s="5033" t="s">
        <v>5372</v>
      </c>
      <c r="G145" s="5034" t="s">
        <v>5373</v>
      </c>
      <c r="H145" s="5033" t="s">
        <v>5374</v>
      </c>
      <c r="I145" s="5034" t="s">
        <v>5375</v>
      </c>
      <c r="J145" s="5033" t="s">
        <v>5376</v>
      </c>
      <c r="K145" s="5034" t="s">
        <v>5377</v>
      </c>
      <c r="L145" s="5033" t="s">
        <v>5378</v>
      </c>
      <c r="M145" s="5034" t="s">
        <v>5379</v>
      </c>
      <c r="N145" s="5033" t="s">
        <v>5380</v>
      </c>
      <c r="O145" s="5034" t="s">
        <v>5381</v>
      </c>
      <c r="P145" s="5033" t="s">
        <v>5382</v>
      </c>
      <c r="Q145" s="5034" t="s">
        <v>5383</v>
      </c>
      <c r="R145" s="5033" t="s">
        <v>5384</v>
      </c>
      <c r="S145" s="5034" t="s">
        <v>5385</v>
      </c>
      <c r="T145" s="5033" t="s">
        <v>5386</v>
      </c>
      <c r="U145" s="5034" t="s">
        <v>5387</v>
      </c>
      <c r="V145" s="5033" t="s">
        <v>5388</v>
      </c>
      <c r="W145" s="5034" t="s">
        <v>5389</v>
      </c>
      <c r="X145" s="5033" t="s">
        <v>5390</v>
      </c>
      <c r="Y145" s="5034" t="s">
        <v>5391</v>
      </c>
      <c r="Z145" s="5033" t="s">
        <v>5392</v>
      </c>
      <c r="AA145" s="5034" t="s">
        <v>5393</v>
      </c>
      <c r="AB145" s="5033" t="s">
        <v>5394</v>
      </c>
      <c r="AC145" s="5034" t="s">
        <v>5395</v>
      </c>
      <c r="AD145" s="5033" t="s">
        <v>5396</v>
      </c>
      <c r="AE145" s="5034" t="s">
        <v>5397</v>
      </c>
      <c r="AF145" s="5033" t="s">
        <v>5398</v>
      </c>
      <c r="AG145" s="5034" t="s">
        <v>5399</v>
      </c>
      <c r="AH145" s="5033" t="s">
        <v>5400</v>
      </c>
      <c r="AI145" s="5034" t="s">
        <v>5401</v>
      </c>
      <c r="AJ145" s="5033" t="s">
        <v>5402</v>
      </c>
      <c r="AK145" s="5034" t="s">
        <v>5403</v>
      </c>
      <c r="BX145" s="4260"/>
      <c r="BY145" s="4260"/>
      <c r="CG145" s="4295">
        <v>0</v>
      </c>
    </row>
    <row r="146" spans="1:86" ht="12" customHeight="1" x14ac:dyDescent="0.25">
      <c r="A146" s="7258">
        <v>23090630</v>
      </c>
      <c r="B146" s="5187" t="s">
        <v>28</v>
      </c>
      <c r="C146" s="5782" t="s">
        <v>5369</v>
      </c>
      <c r="D146" s="5761" t="s">
        <v>5370</v>
      </c>
      <c r="E146" s="5756" t="s">
        <v>5371</v>
      </c>
      <c r="F146" s="5033" t="s">
        <v>5372</v>
      </c>
      <c r="G146" s="5034" t="s">
        <v>5373</v>
      </c>
      <c r="H146" s="5033" t="s">
        <v>5374</v>
      </c>
      <c r="I146" s="5034" t="s">
        <v>5375</v>
      </c>
      <c r="J146" s="5033" t="s">
        <v>5376</v>
      </c>
      <c r="K146" s="5034" t="s">
        <v>5377</v>
      </c>
      <c r="L146" s="5033" t="s">
        <v>5378</v>
      </c>
      <c r="M146" s="5034" t="s">
        <v>5379</v>
      </c>
      <c r="N146" s="5033" t="s">
        <v>5380</v>
      </c>
      <c r="O146" s="5034" t="s">
        <v>5381</v>
      </c>
      <c r="P146" s="5033" t="s">
        <v>5382</v>
      </c>
      <c r="Q146" s="5034" t="s">
        <v>5383</v>
      </c>
      <c r="R146" s="5033" t="s">
        <v>5384</v>
      </c>
      <c r="S146" s="5034" t="s">
        <v>5385</v>
      </c>
      <c r="T146" s="5033" t="s">
        <v>5386</v>
      </c>
      <c r="U146" s="5034" t="s">
        <v>5387</v>
      </c>
      <c r="V146" s="5033" t="s">
        <v>5388</v>
      </c>
      <c r="W146" s="5034" t="s">
        <v>5389</v>
      </c>
      <c r="X146" s="5033" t="s">
        <v>5390</v>
      </c>
      <c r="Y146" s="5034" t="s">
        <v>5391</v>
      </c>
      <c r="Z146" s="5033" t="s">
        <v>5392</v>
      </c>
      <c r="AA146" s="5034" t="s">
        <v>5393</v>
      </c>
      <c r="AB146" s="5033" t="s">
        <v>5394</v>
      </c>
      <c r="AC146" s="5034" t="s">
        <v>5395</v>
      </c>
      <c r="AD146" s="5033" t="s">
        <v>5396</v>
      </c>
      <c r="AE146" s="5034" t="s">
        <v>5397</v>
      </c>
      <c r="AF146" s="5033" t="s">
        <v>5398</v>
      </c>
      <c r="AG146" s="5034" t="s">
        <v>5399</v>
      </c>
      <c r="AH146" s="5033" t="s">
        <v>5400</v>
      </c>
      <c r="AI146" s="5034" t="s">
        <v>5401</v>
      </c>
      <c r="AJ146" s="5033" t="s">
        <v>5402</v>
      </c>
      <c r="AK146" s="5034" t="s">
        <v>5403</v>
      </c>
      <c r="BX146" s="4260"/>
      <c r="BY146" s="4260"/>
      <c r="CG146" s="4295">
        <v>0</v>
      </c>
    </row>
    <row r="147" spans="1:86" ht="16.2" customHeight="1" x14ac:dyDescent="0.25">
      <c r="A147" s="7298"/>
      <c r="B147" s="5716" t="s">
        <v>24</v>
      </c>
      <c r="C147" s="4988">
        <f>SUM(C141:C146)</f>
        <v>0</v>
      </c>
      <c r="D147" s="4986">
        <f>SUM(D141:D146)</f>
        <v>0</v>
      </c>
      <c r="E147" s="4988">
        <f>SUM(E141:E146)</f>
        <v>0</v>
      </c>
      <c r="F147" s="4986">
        <f>SUM(F141:F146)</f>
        <v>0</v>
      </c>
      <c r="G147" s="5029">
        <f t="shared" ref="G147:AK147" si="7">SUM(G141:G146)</f>
        <v>0</v>
      </c>
      <c r="H147" s="4986">
        <f t="shared" si="7"/>
        <v>0</v>
      </c>
      <c r="I147" s="5029">
        <f t="shared" si="7"/>
        <v>0</v>
      </c>
      <c r="J147" s="4986">
        <f t="shared" si="7"/>
        <v>0</v>
      </c>
      <c r="K147" s="5029">
        <f t="shared" si="7"/>
        <v>0</v>
      </c>
      <c r="L147" s="4986">
        <f t="shared" si="7"/>
        <v>0</v>
      </c>
      <c r="M147" s="5029">
        <f t="shared" si="7"/>
        <v>0</v>
      </c>
      <c r="N147" s="4986">
        <f t="shared" si="7"/>
        <v>0</v>
      </c>
      <c r="O147" s="5029">
        <f t="shared" si="7"/>
        <v>0</v>
      </c>
      <c r="P147" s="4986">
        <f t="shared" si="7"/>
        <v>0</v>
      </c>
      <c r="Q147" s="5029">
        <f t="shared" si="7"/>
        <v>0</v>
      </c>
      <c r="R147" s="4986">
        <f t="shared" si="7"/>
        <v>0</v>
      </c>
      <c r="S147" s="5029">
        <f t="shared" si="7"/>
        <v>0</v>
      </c>
      <c r="T147" s="4986">
        <f t="shared" si="7"/>
        <v>0</v>
      </c>
      <c r="U147" s="5029">
        <f t="shared" si="7"/>
        <v>0</v>
      </c>
      <c r="V147" s="4986">
        <f t="shared" si="7"/>
        <v>0</v>
      </c>
      <c r="W147" s="5029">
        <f t="shared" si="7"/>
        <v>0</v>
      </c>
      <c r="X147" s="4986">
        <f t="shared" si="7"/>
        <v>0</v>
      </c>
      <c r="Y147" s="5029">
        <f t="shared" si="7"/>
        <v>0</v>
      </c>
      <c r="Z147" s="4986">
        <f t="shared" si="7"/>
        <v>0</v>
      </c>
      <c r="AA147" s="5029">
        <f t="shared" si="7"/>
        <v>0</v>
      </c>
      <c r="AB147" s="4986">
        <f t="shared" si="7"/>
        <v>0</v>
      </c>
      <c r="AC147" s="5029">
        <f t="shared" si="7"/>
        <v>0</v>
      </c>
      <c r="AD147" s="4986">
        <f t="shared" si="7"/>
        <v>0</v>
      </c>
      <c r="AE147" s="5029">
        <f t="shared" si="7"/>
        <v>0</v>
      </c>
      <c r="AF147" s="4986">
        <f t="shared" si="7"/>
        <v>0</v>
      </c>
      <c r="AG147" s="5029">
        <f t="shared" si="7"/>
        <v>0</v>
      </c>
      <c r="AH147" s="4986">
        <f t="shared" si="7"/>
        <v>0</v>
      </c>
      <c r="AI147" s="5029">
        <f t="shared" si="7"/>
        <v>0</v>
      </c>
      <c r="AJ147" s="4986">
        <f t="shared" si="7"/>
        <v>0</v>
      </c>
      <c r="AK147" s="5029">
        <f t="shared" si="7"/>
        <v>0</v>
      </c>
      <c r="BX147" s="4260"/>
      <c r="BY147" s="4260"/>
      <c r="CG147" s="4295">
        <v>0</v>
      </c>
    </row>
    <row r="148" spans="1:86" ht="31.95" customHeight="1" x14ac:dyDescent="0.25">
      <c r="B148" s="5783" t="s">
        <v>3624</v>
      </c>
      <c r="C148" s="5783"/>
      <c r="D148" s="5783"/>
      <c r="E148" s="5783"/>
      <c r="F148" s="5738"/>
      <c r="G148" s="5738"/>
      <c r="H148" s="5738"/>
      <c r="I148" s="5139"/>
      <c r="J148" s="5139"/>
      <c r="K148" s="5139"/>
      <c r="L148" s="5139"/>
      <c r="M148" s="3807"/>
      <c r="N148" s="3807"/>
      <c r="O148" s="3807"/>
      <c r="P148" s="5779"/>
      <c r="CH148" s="4295">
        <v>0</v>
      </c>
    </row>
    <row r="149" spans="1:86" ht="36" customHeight="1" x14ac:dyDescent="0.25">
      <c r="B149" s="10325" t="s">
        <v>132</v>
      </c>
      <c r="C149" s="10326"/>
      <c r="D149" s="5784" t="s">
        <v>2811</v>
      </c>
      <c r="E149" s="5142" t="s">
        <v>2810</v>
      </c>
      <c r="F149" s="4234"/>
      <c r="G149" s="4234"/>
      <c r="H149" s="4234"/>
      <c r="I149" s="4234"/>
      <c r="J149" s="4234"/>
      <c r="K149" s="4234"/>
      <c r="L149" s="4234"/>
      <c r="M149" s="4234"/>
      <c r="N149" s="4264"/>
      <c r="O149" s="4264"/>
      <c r="P149" s="4264"/>
      <c r="Q149" s="4264"/>
      <c r="R149" s="4264"/>
      <c r="S149" s="4264"/>
      <c r="T149" s="4264"/>
      <c r="U149" s="4264"/>
      <c r="BW149" s="4260"/>
      <c r="BX149" s="4260"/>
      <c r="BY149" s="4260" t="s">
        <v>2117</v>
      </c>
      <c r="CG149" s="4295">
        <v>0</v>
      </c>
    </row>
    <row r="150" spans="1:86" ht="16.2" customHeight="1" x14ac:dyDescent="0.25">
      <c r="A150" s="7258">
        <v>23045200</v>
      </c>
      <c r="B150" s="10320" t="s">
        <v>1971</v>
      </c>
      <c r="C150" s="5785" t="s">
        <v>1973</v>
      </c>
      <c r="D150" s="5540" t="s">
        <v>5369</v>
      </c>
      <c r="E150" s="5786" t="s">
        <v>5370</v>
      </c>
      <c r="F150" s="5660"/>
      <c r="G150" s="4291"/>
      <c r="H150" s="4291"/>
      <c r="I150" s="4291"/>
      <c r="J150" s="4291"/>
      <c r="K150" s="4291"/>
      <c r="L150" s="4291"/>
      <c r="M150" s="4291"/>
      <c r="N150" s="4291"/>
      <c r="O150" s="4291"/>
      <c r="P150" s="4291"/>
      <c r="Q150" s="4291"/>
      <c r="R150" s="4234"/>
      <c r="S150" s="4234"/>
      <c r="T150" s="4264"/>
      <c r="U150" s="4264"/>
      <c r="BW150" s="4260"/>
      <c r="BX150" s="4260"/>
      <c r="BY150" s="4260"/>
      <c r="CE150" s="4295">
        <v>0</v>
      </c>
      <c r="CG150" s="4295">
        <v>0</v>
      </c>
    </row>
    <row r="151" spans="1:86" ht="16.2" customHeight="1" x14ac:dyDescent="0.25">
      <c r="A151" s="7258">
        <v>23045300</v>
      </c>
      <c r="B151" s="10321"/>
      <c r="C151" s="5787" t="s">
        <v>1974</v>
      </c>
      <c r="D151" s="5065" t="s">
        <v>5369</v>
      </c>
      <c r="E151" s="5076" t="s">
        <v>5370</v>
      </c>
      <c r="F151" s="5660"/>
      <c r="G151" s="4291"/>
      <c r="H151" s="4291"/>
      <c r="I151" s="4291"/>
      <c r="J151" s="4291"/>
      <c r="K151" s="4291"/>
      <c r="L151" s="4291"/>
      <c r="M151" s="4291"/>
      <c r="N151" s="4291"/>
      <c r="O151" s="4291"/>
      <c r="P151" s="4291"/>
      <c r="Q151" s="4291"/>
      <c r="R151" s="4234"/>
      <c r="S151" s="4234"/>
      <c r="T151" s="4264"/>
      <c r="U151" s="4264"/>
      <c r="BW151" s="4260"/>
      <c r="BX151" s="4260"/>
      <c r="BY151" s="4260"/>
      <c r="CE151" s="4295">
        <v>0</v>
      </c>
      <c r="CG151" s="4295">
        <v>0</v>
      </c>
    </row>
    <row r="152" spans="1:86" ht="16.2" customHeight="1" x14ac:dyDescent="0.25">
      <c r="A152" s="7258">
        <v>23045400</v>
      </c>
      <c r="B152" s="10321"/>
      <c r="C152" s="5787" t="s">
        <v>1199</v>
      </c>
      <c r="D152" s="5065" t="s">
        <v>5369</v>
      </c>
      <c r="E152" s="5076" t="s">
        <v>5370</v>
      </c>
      <c r="F152" s="5660"/>
      <c r="G152" s="4291"/>
      <c r="H152" s="4291"/>
      <c r="I152" s="4291"/>
      <c r="J152" s="4291"/>
      <c r="K152" s="4291"/>
      <c r="L152" s="4291"/>
      <c r="M152" s="4291"/>
      <c r="N152" s="4291"/>
      <c r="O152" s="4291"/>
      <c r="P152" s="4291"/>
      <c r="Q152" s="4291"/>
      <c r="R152" s="4234"/>
      <c r="S152" s="4234"/>
      <c r="T152" s="4264"/>
      <c r="U152" s="4264"/>
      <c r="BW152" s="4260"/>
      <c r="BX152" s="4260"/>
      <c r="BY152" s="4260"/>
      <c r="CE152" s="4295">
        <v>0</v>
      </c>
    </row>
    <row r="153" spans="1:86" ht="16.2" customHeight="1" x14ac:dyDescent="0.25">
      <c r="A153" s="7258">
        <v>23045500</v>
      </c>
      <c r="B153" s="10322"/>
      <c r="C153" s="5788" t="s">
        <v>1975</v>
      </c>
      <c r="D153" s="5088" t="s">
        <v>5369</v>
      </c>
      <c r="E153" s="5089" t="s">
        <v>5370</v>
      </c>
      <c r="F153" s="5660"/>
      <c r="G153" s="4291"/>
      <c r="H153" s="4291"/>
      <c r="I153" s="4291"/>
      <c r="J153" s="4291"/>
      <c r="K153" s="4291"/>
      <c r="L153" s="4291"/>
      <c r="M153" s="4291"/>
      <c r="N153" s="4291"/>
      <c r="O153" s="4291"/>
      <c r="P153" s="4291"/>
      <c r="Q153" s="4291"/>
      <c r="R153" s="4234"/>
      <c r="S153" s="4234"/>
      <c r="T153" s="4264"/>
      <c r="U153" s="4264"/>
      <c r="BW153" s="4260"/>
      <c r="BX153" s="4260"/>
      <c r="BY153" s="4260"/>
      <c r="CE153" s="4295">
        <v>0</v>
      </c>
    </row>
    <row r="154" spans="1:86" ht="16.2" customHeight="1" x14ac:dyDescent="0.25">
      <c r="A154" s="7258">
        <v>23045700</v>
      </c>
      <c r="B154" s="10320" t="s">
        <v>1969</v>
      </c>
      <c r="C154" s="5785" t="s">
        <v>1973</v>
      </c>
      <c r="D154" s="5060" t="s">
        <v>5369</v>
      </c>
      <c r="E154" s="5789" t="s">
        <v>5370</v>
      </c>
      <c r="F154" s="5660"/>
      <c r="G154" s="4291"/>
      <c r="H154" s="4291"/>
      <c r="I154" s="4291"/>
      <c r="J154" s="4291"/>
      <c r="K154" s="4291"/>
      <c r="L154" s="4291"/>
      <c r="M154" s="4291"/>
      <c r="N154" s="4291"/>
      <c r="O154" s="4291"/>
      <c r="P154" s="4291"/>
      <c r="Q154" s="4291"/>
      <c r="R154" s="4234"/>
      <c r="S154" s="4234"/>
      <c r="T154" s="4264"/>
      <c r="U154" s="4264"/>
      <c r="BW154" s="4260"/>
      <c r="BX154" s="4260"/>
      <c r="BY154" s="4260"/>
      <c r="CE154" s="4295">
        <v>0</v>
      </c>
    </row>
    <row r="155" spans="1:86" ht="16.2" customHeight="1" x14ac:dyDescent="0.25">
      <c r="A155" s="7258">
        <v>23045800</v>
      </c>
      <c r="B155" s="10321"/>
      <c r="C155" s="5787" t="s">
        <v>1974</v>
      </c>
      <c r="D155" s="5065" t="s">
        <v>5369</v>
      </c>
      <c r="E155" s="5066" t="s">
        <v>5370</v>
      </c>
      <c r="F155" s="5790"/>
      <c r="G155" s="4291"/>
      <c r="H155" s="4291"/>
      <c r="I155" s="4291"/>
      <c r="J155" s="4291"/>
      <c r="K155" s="4291"/>
      <c r="L155" s="4291"/>
      <c r="M155" s="4291"/>
      <c r="N155" s="4291"/>
      <c r="O155" s="4291"/>
      <c r="P155" s="4291"/>
      <c r="Q155" s="4291"/>
      <c r="R155" s="4234"/>
      <c r="S155" s="4234"/>
      <c r="T155" s="4264"/>
      <c r="U155" s="4264"/>
      <c r="BW155" s="4260"/>
      <c r="BX155" s="4260"/>
      <c r="BY155" s="4260"/>
      <c r="CE155" s="4295">
        <v>0</v>
      </c>
    </row>
    <row r="156" spans="1:86" ht="16.2" customHeight="1" x14ac:dyDescent="0.25">
      <c r="A156" s="7258">
        <v>23045900</v>
      </c>
      <c r="B156" s="10321"/>
      <c r="C156" s="5787" t="s">
        <v>1199</v>
      </c>
      <c r="D156" s="5065" t="s">
        <v>5369</v>
      </c>
      <c r="E156" s="5066" t="s">
        <v>5370</v>
      </c>
      <c r="F156" s="5790"/>
      <c r="G156" s="4291"/>
      <c r="H156" s="4291"/>
      <c r="I156" s="4291"/>
      <c r="J156" s="4291"/>
      <c r="K156" s="4291"/>
      <c r="L156" s="4291"/>
      <c r="M156" s="4291"/>
      <c r="N156" s="4291"/>
      <c r="O156" s="4291"/>
      <c r="P156" s="4291"/>
      <c r="Q156" s="4291"/>
      <c r="R156" s="4234"/>
      <c r="S156" s="4234"/>
      <c r="T156" s="4264"/>
      <c r="U156" s="4264"/>
      <c r="BW156" s="4260"/>
      <c r="BX156" s="4260"/>
      <c r="BY156" s="4260"/>
      <c r="CE156" s="4295">
        <v>0</v>
      </c>
    </row>
    <row r="157" spans="1:86" ht="16.2" customHeight="1" x14ac:dyDescent="0.25">
      <c r="A157" s="7258">
        <v>23046000</v>
      </c>
      <c r="B157" s="10322"/>
      <c r="C157" s="5788" t="s">
        <v>1975</v>
      </c>
      <c r="D157" s="5088" t="s">
        <v>5369</v>
      </c>
      <c r="E157" s="5089" t="s">
        <v>5370</v>
      </c>
      <c r="F157" s="5790"/>
      <c r="G157" s="4291"/>
      <c r="H157" s="4291"/>
      <c r="I157" s="4291"/>
      <c r="J157" s="4291"/>
      <c r="K157" s="4291"/>
      <c r="L157" s="4291"/>
      <c r="M157" s="4291"/>
      <c r="N157" s="4291"/>
      <c r="O157" s="4291"/>
      <c r="P157" s="4291"/>
      <c r="Q157" s="4291"/>
      <c r="R157" s="4234"/>
      <c r="S157" s="4234"/>
      <c r="T157" s="4264"/>
      <c r="U157" s="4264"/>
      <c r="BW157" s="4260"/>
      <c r="BX157" s="4260"/>
      <c r="BY157" s="4260"/>
      <c r="CE157" s="4295">
        <v>0</v>
      </c>
    </row>
    <row r="158" spans="1:86" ht="16.2" customHeight="1" x14ac:dyDescent="0.25">
      <c r="A158" s="7298"/>
      <c r="B158" s="10296" t="s">
        <v>24</v>
      </c>
      <c r="C158" s="10297"/>
      <c r="D158" s="5791">
        <f>SUM(D150:D157)</f>
        <v>0</v>
      </c>
      <c r="E158" s="5792">
        <f>SUM(E150:E157)</f>
        <v>0</v>
      </c>
      <c r="F158" s="5717"/>
      <c r="G158" s="4234"/>
      <c r="H158" s="4234"/>
      <c r="I158" s="4234"/>
      <c r="J158" s="4234"/>
      <c r="K158" s="4234"/>
      <c r="L158" s="4234"/>
      <c r="M158" s="4234"/>
      <c r="N158" s="4234"/>
      <c r="O158" s="4234"/>
      <c r="P158" s="4234"/>
      <c r="Q158" s="4234"/>
      <c r="R158" s="4234"/>
      <c r="S158" s="4234"/>
      <c r="T158" s="4264"/>
      <c r="U158" s="4264"/>
      <c r="BW158" s="4260"/>
      <c r="BX158" s="4260"/>
      <c r="BY158" s="4260"/>
    </row>
    <row r="159" spans="1:86" ht="31.95" customHeight="1" x14ac:dyDescent="0.25">
      <c r="B159" s="5151" t="s">
        <v>3625</v>
      </c>
      <c r="C159" s="5778"/>
      <c r="D159" s="5778"/>
      <c r="E159" s="5778"/>
      <c r="F159" s="5139"/>
      <c r="G159" s="5139"/>
      <c r="H159" s="5779"/>
      <c r="I159" s="5793"/>
      <c r="J159" s="4234"/>
      <c r="K159" s="5793"/>
      <c r="L159" s="5794"/>
      <c r="M159" s="5794"/>
      <c r="N159" s="5794"/>
      <c r="O159" s="5795"/>
      <c r="P159" s="4234"/>
      <c r="Q159" s="4234"/>
      <c r="R159" s="4234"/>
      <c r="S159" s="4234"/>
      <c r="T159" s="4234"/>
      <c r="U159" s="4234"/>
      <c r="V159" s="4234"/>
      <c r="W159" s="4264"/>
      <c r="X159" s="4264"/>
    </row>
    <row r="160" spans="1:86" ht="18" customHeight="1" x14ac:dyDescent="0.25">
      <c r="A160" s="7344"/>
      <c r="B160" s="10323" t="s">
        <v>1690</v>
      </c>
      <c r="C160" s="10249" t="s">
        <v>24</v>
      </c>
      <c r="D160" s="10249"/>
      <c r="E160" s="10250"/>
      <c r="F160" s="10291" t="s">
        <v>2</v>
      </c>
      <c r="G160" s="10292"/>
      <c r="H160" s="10292"/>
      <c r="I160" s="10292"/>
      <c r="J160" s="10292"/>
      <c r="K160" s="10292"/>
      <c r="L160" s="10292"/>
      <c r="M160" s="10292"/>
      <c r="N160" s="10292"/>
      <c r="O160" s="10292"/>
      <c r="P160" s="10292"/>
      <c r="Q160" s="10292"/>
      <c r="R160" s="10292"/>
      <c r="S160" s="10292"/>
      <c r="T160" s="10292"/>
      <c r="U160" s="10292"/>
      <c r="V160" s="10292"/>
      <c r="W160" s="10292"/>
      <c r="X160" s="10292"/>
      <c r="Y160" s="10292"/>
      <c r="Z160" s="10292"/>
      <c r="AA160" s="10292"/>
      <c r="AB160" s="10292"/>
      <c r="AC160" s="10292"/>
      <c r="AD160" s="10292"/>
      <c r="AE160" s="10292"/>
      <c r="AF160" s="10292"/>
      <c r="AG160" s="10292"/>
      <c r="AH160" s="10292"/>
      <c r="AI160" s="10292"/>
      <c r="AJ160" s="10292"/>
      <c r="AK160" s="10327"/>
      <c r="BZ160" s="4264"/>
    </row>
    <row r="161" spans="1:78" ht="15" customHeight="1" x14ac:dyDescent="0.25">
      <c r="A161" s="7344"/>
      <c r="B161" s="9163"/>
      <c r="C161" s="10252"/>
      <c r="D161" s="10252"/>
      <c r="E161" s="10253"/>
      <c r="F161" s="10268" t="s">
        <v>1912</v>
      </c>
      <c r="G161" s="10269"/>
      <c r="H161" s="10265" t="s">
        <v>1913</v>
      </c>
      <c r="I161" s="10265"/>
      <c r="J161" s="10268" t="s">
        <v>1914</v>
      </c>
      <c r="K161" s="10269"/>
      <c r="L161" s="10265" t="s">
        <v>1915</v>
      </c>
      <c r="M161" s="10265"/>
      <c r="N161" s="10268" t="s">
        <v>1916</v>
      </c>
      <c r="O161" s="10269"/>
      <c r="P161" s="10266" t="s">
        <v>1917</v>
      </c>
      <c r="Q161" s="10266"/>
      <c r="R161" s="10267" t="s">
        <v>1918</v>
      </c>
      <c r="S161" s="10247"/>
      <c r="T161" s="10267" t="s">
        <v>124</v>
      </c>
      <c r="U161" s="10247"/>
      <c r="V161" s="10266" t="s">
        <v>125</v>
      </c>
      <c r="W161" s="10266"/>
      <c r="X161" s="10267" t="s">
        <v>126</v>
      </c>
      <c r="Y161" s="10247"/>
      <c r="Z161" s="10266" t="s">
        <v>127</v>
      </c>
      <c r="AA161" s="10266"/>
      <c r="AB161" s="10267" t="s">
        <v>128</v>
      </c>
      <c r="AC161" s="10247"/>
      <c r="AD161" s="10266" t="s">
        <v>129</v>
      </c>
      <c r="AE161" s="10266"/>
      <c r="AF161" s="10267" t="s">
        <v>130</v>
      </c>
      <c r="AG161" s="10247"/>
      <c r="AH161" s="10266" t="s">
        <v>131</v>
      </c>
      <c r="AI161" s="10266"/>
      <c r="AJ161" s="10267" t="s">
        <v>1919</v>
      </c>
      <c r="AK161" s="10247"/>
      <c r="BZ161" s="4264"/>
    </row>
    <row r="162" spans="1:78" ht="15.75" customHeight="1" x14ac:dyDescent="0.25">
      <c r="A162" s="7344"/>
      <c r="B162" s="10324"/>
      <c r="C162" s="4532" t="s">
        <v>42</v>
      </c>
      <c r="D162" s="5753" t="s">
        <v>17</v>
      </c>
      <c r="E162" s="5796" t="s">
        <v>18</v>
      </c>
      <c r="F162" s="5630" t="s">
        <v>17</v>
      </c>
      <c r="G162" s="5797" t="s">
        <v>18</v>
      </c>
      <c r="H162" s="5630" t="s">
        <v>17</v>
      </c>
      <c r="I162" s="5797" t="s">
        <v>18</v>
      </c>
      <c r="J162" s="5630" t="s">
        <v>17</v>
      </c>
      <c r="K162" s="5797" t="s">
        <v>18</v>
      </c>
      <c r="L162" s="5630" t="s">
        <v>17</v>
      </c>
      <c r="M162" s="5797" t="s">
        <v>18</v>
      </c>
      <c r="N162" s="5630" t="s">
        <v>17</v>
      </c>
      <c r="O162" s="5797" t="s">
        <v>18</v>
      </c>
      <c r="P162" s="5630" t="s">
        <v>17</v>
      </c>
      <c r="Q162" s="5797" t="s">
        <v>18</v>
      </c>
      <c r="R162" s="5630" t="s">
        <v>17</v>
      </c>
      <c r="S162" s="5797" t="s">
        <v>18</v>
      </c>
      <c r="T162" s="5630" t="s">
        <v>17</v>
      </c>
      <c r="U162" s="5797" t="s">
        <v>18</v>
      </c>
      <c r="V162" s="5630" t="s">
        <v>17</v>
      </c>
      <c r="W162" s="5797" t="s">
        <v>18</v>
      </c>
      <c r="X162" s="5630" t="s">
        <v>17</v>
      </c>
      <c r="Y162" s="5797" t="s">
        <v>18</v>
      </c>
      <c r="Z162" s="5630" t="s">
        <v>17</v>
      </c>
      <c r="AA162" s="5797" t="s">
        <v>18</v>
      </c>
      <c r="AB162" s="5630" t="s">
        <v>17</v>
      </c>
      <c r="AC162" s="5797" t="s">
        <v>18</v>
      </c>
      <c r="AD162" s="5630" t="s">
        <v>17</v>
      </c>
      <c r="AE162" s="5797" t="s">
        <v>18</v>
      </c>
      <c r="AF162" s="5630" t="s">
        <v>17</v>
      </c>
      <c r="AG162" s="5797" t="s">
        <v>18</v>
      </c>
      <c r="AH162" s="5630" t="s">
        <v>17</v>
      </c>
      <c r="AI162" s="5797" t="s">
        <v>18</v>
      </c>
      <c r="AJ162" s="5630" t="s">
        <v>17</v>
      </c>
      <c r="AK162" s="4531" t="s">
        <v>18</v>
      </c>
      <c r="BZ162" s="4264"/>
    </row>
    <row r="163" spans="1:78" ht="15.9" customHeight="1" x14ac:dyDescent="0.25">
      <c r="A163" s="7258">
        <v>23090690</v>
      </c>
      <c r="B163" s="5798" t="s">
        <v>1977</v>
      </c>
      <c r="C163" s="5799" t="s">
        <v>5369</v>
      </c>
      <c r="D163" s="5800" t="s">
        <v>5370</v>
      </c>
      <c r="E163" s="5801" t="s">
        <v>5371</v>
      </c>
      <c r="F163" s="5543" t="s">
        <v>5372</v>
      </c>
      <c r="G163" s="5061" t="s">
        <v>5373</v>
      </c>
      <c r="H163" s="5543" t="s">
        <v>5374</v>
      </c>
      <c r="I163" s="5061" t="s">
        <v>5375</v>
      </c>
      <c r="J163" s="5543" t="s">
        <v>5376</v>
      </c>
      <c r="K163" s="5061" t="s">
        <v>5377</v>
      </c>
      <c r="L163" s="5543" t="s">
        <v>5378</v>
      </c>
      <c r="M163" s="5061" t="s">
        <v>5379</v>
      </c>
      <c r="N163" s="5543" t="s">
        <v>5380</v>
      </c>
      <c r="O163" s="5061" t="s">
        <v>5381</v>
      </c>
      <c r="P163" s="5543" t="s">
        <v>5382</v>
      </c>
      <c r="Q163" s="5061" t="s">
        <v>5383</v>
      </c>
      <c r="R163" s="5543" t="s">
        <v>5384</v>
      </c>
      <c r="S163" s="5061" t="s">
        <v>5385</v>
      </c>
      <c r="T163" s="5543" t="s">
        <v>5386</v>
      </c>
      <c r="U163" s="5061" t="s">
        <v>5387</v>
      </c>
      <c r="V163" s="5543" t="s">
        <v>5388</v>
      </c>
      <c r="W163" s="5061" t="s">
        <v>5389</v>
      </c>
      <c r="X163" s="5543" t="s">
        <v>5390</v>
      </c>
      <c r="Y163" s="5061" t="s">
        <v>5391</v>
      </c>
      <c r="Z163" s="5543" t="s">
        <v>5392</v>
      </c>
      <c r="AA163" s="5061" t="s">
        <v>5393</v>
      </c>
      <c r="AB163" s="5543" t="s">
        <v>5394</v>
      </c>
      <c r="AC163" s="5061" t="s">
        <v>5395</v>
      </c>
      <c r="AD163" s="5543" t="s">
        <v>5396</v>
      </c>
      <c r="AE163" s="5061" t="s">
        <v>5397</v>
      </c>
      <c r="AF163" s="5543" t="s">
        <v>5398</v>
      </c>
      <c r="AG163" s="5061" t="s">
        <v>5399</v>
      </c>
      <c r="AH163" s="5543" t="s">
        <v>5400</v>
      </c>
      <c r="AI163" s="5061" t="s">
        <v>5401</v>
      </c>
      <c r="AJ163" s="5063" t="s">
        <v>5402</v>
      </c>
      <c r="AK163" s="5061" t="s">
        <v>5403</v>
      </c>
      <c r="AL163" s="4259"/>
      <c r="BX163" s="4260"/>
      <c r="BY163" s="4260"/>
    </row>
    <row r="164" spans="1:78" ht="15.9" customHeight="1" x14ac:dyDescent="0.25">
      <c r="A164" s="7258">
        <v>23090700</v>
      </c>
      <c r="B164" s="5802" t="s">
        <v>1978</v>
      </c>
      <c r="C164" s="5803" t="s">
        <v>5369</v>
      </c>
      <c r="D164" s="5804" t="s">
        <v>5370</v>
      </c>
      <c r="E164" s="5805" t="s">
        <v>5371</v>
      </c>
      <c r="F164" s="5068" t="s">
        <v>5372</v>
      </c>
      <c r="G164" s="5066" t="s">
        <v>5373</v>
      </c>
      <c r="H164" s="5068" t="s">
        <v>5374</v>
      </c>
      <c r="I164" s="5066" t="s">
        <v>5375</v>
      </c>
      <c r="J164" s="5068" t="s">
        <v>5376</v>
      </c>
      <c r="K164" s="5066" t="s">
        <v>5377</v>
      </c>
      <c r="L164" s="5068" t="s">
        <v>5378</v>
      </c>
      <c r="M164" s="5066" t="s">
        <v>5379</v>
      </c>
      <c r="N164" s="5068" t="s">
        <v>5380</v>
      </c>
      <c r="O164" s="5066" t="s">
        <v>5381</v>
      </c>
      <c r="P164" s="5068" t="s">
        <v>5382</v>
      </c>
      <c r="Q164" s="5066" t="s">
        <v>5383</v>
      </c>
      <c r="R164" s="5068" t="s">
        <v>5384</v>
      </c>
      <c r="S164" s="5066" t="s">
        <v>5385</v>
      </c>
      <c r="T164" s="5068" t="s">
        <v>5386</v>
      </c>
      <c r="U164" s="5066" t="s">
        <v>5387</v>
      </c>
      <c r="V164" s="5068" t="s">
        <v>5388</v>
      </c>
      <c r="W164" s="5066" t="s">
        <v>5389</v>
      </c>
      <c r="X164" s="5068" t="s">
        <v>5390</v>
      </c>
      <c r="Y164" s="5066" t="s">
        <v>5391</v>
      </c>
      <c r="Z164" s="5068" t="s">
        <v>5392</v>
      </c>
      <c r="AA164" s="5066" t="s">
        <v>5393</v>
      </c>
      <c r="AB164" s="5068" t="s">
        <v>5394</v>
      </c>
      <c r="AC164" s="5066" t="s">
        <v>5395</v>
      </c>
      <c r="AD164" s="5068" t="s">
        <v>5396</v>
      </c>
      <c r="AE164" s="5066" t="s">
        <v>5397</v>
      </c>
      <c r="AF164" s="5068" t="s">
        <v>5398</v>
      </c>
      <c r="AG164" s="5066" t="s">
        <v>5399</v>
      </c>
      <c r="AH164" s="5068" t="s">
        <v>5400</v>
      </c>
      <c r="AI164" s="5066" t="s">
        <v>5401</v>
      </c>
      <c r="AJ164" s="5068" t="s">
        <v>5402</v>
      </c>
      <c r="AK164" s="5066" t="s">
        <v>5403</v>
      </c>
      <c r="AL164" s="4259"/>
      <c r="BX164" s="4260"/>
      <c r="BY164" s="4260"/>
    </row>
    <row r="165" spans="1:78" ht="15.9" customHeight="1" x14ac:dyDescent="0.25">
      <c r="A165" s="7258">
        <v>23090710</v>
      </c>
      <c r="B165" s="5742" t="s">
        <v>1979</v>
      </c>
      <c r="C165" s="5803" t="s">
        <v>5369</v>
      </c>
      <c r="D165" s="5806" t="s">
        <v>5370</v>
      </c>
      <c r="E165" s="5807" t="s">
        <v>5371</v>
      </c>
      <c r="F165" s="5084" t="s">
        <v>5372</v>
      </c>
      <c r="G165" s="5082" t="s">
        <v>5373</v>
      </c>
      <c r="H165" s="5084" t="s">
        <v>5374</v>
      </c>
      <c r="I165" s="5082" t="s">
        <v>5375</v>
      </c>
      <c r="J165" s="5084" t="s">
        <v>5376</v>
      </c>
      <c r="K165" s="5082" t="s">
        <v>5377</v>
      </c>
      <c r="L165" s="5084" t="s">
        <v>5378</v>
      </c>
      <c r="M165" s="5082" t="s">
        <v>5379</v>
      </c>
      <c r="N165" s="5084" t="s">
        <v>5380</v>
      </c>
      <c r="O165" s="5082" t="s">
        <v>5381</v>
      </c>
      <c r="P165" s="5084" t="s">
        <v>5382</v>
      </c>
      <c r="Q165" s="5082" t="s">
        <v>5383</v>
      </c>
      <c r="R165" s="5084" t="s">
        <v>5384</v>
      </c>
      <c r="S165" s="5082" t="s">
        <v>5385</v>
      </c>
      <c r="T165" s="5084" t="s">
        <v>5386</v>
      </c>
      <c r="U165" s="5082" t="s">
        <v>5387</v>
      </c>
      <c r="V165" s="5084" t="s">
        <v>5388</v>
      </c>
      <c r="W165" s="5082" t="s">
        <v>5389</v>
      </c>
      <c r="X165" s="5084" t="s">
        <v>5390</v>
      </c>
      <c r="Y165" s="5082" t="s">
        <v>5391</v>
      </c>
      <c r="Z165" s="5084" t="s">
        <v>5392</v>
      </c>
      <c r="AA165" s="5082" t="s">
        <v>5393</v>
      </c>
      <c r="AB165" s="5084" t="s">
        <v>5394</v>
      </c>
      <c r="AC165" s="5082" t="s">
        <v>5395</v>
      </c>
      <c r="AD165" s="5084" t="s">
        <v>5396</v>
      </c>
      <c r="AE165" s="5082" t="s">
        <v>5397</v>
      </c>
      <c r="AF165" s="5084" t="s">
        <v>5398</v>
      </c>
      <c r="AG165" s="5082" t="s">
        <v>5399</v>
      </c>
      <c r="AH165" s="5084" t="s">
        <v>5400</v>
      </c>
      <c r="AI165" s="5082" t="s">
        <v>5401</v>
      </c>
      <c r="AJ165" s="5084" t="s">
        <v>5402</v>
      </c>
      <c r="AK165" s="5082" t="s">
        <v>5403</v>
      </c>
      <c r="AL165" s="4259"/>
      <c r="BX165" s="4260"/>
      <c r="BY165" s="4260"/>
    </row>
    <row r="166" spans="1:78" ht="15.9" customHeight="1" x14ac:dyDescent="0.25">
      <c r="A166" s="7258">
        <v>23110110</v>
      </c>
      <c r="B166" s="5742" t="s">
        <v>2366</v>
      </c>
      <c r="C166" s="5803" t="s">
        <v>5369</v>
      </c>
      <c r="D166" s="5806" t="s">
        <v>5370</v>
      </c>
      <c r="E166" s="5807" t="s">
        <v>5371</v>
      </c>
      <c r="F166" s="5084" t="s">
        <v>5372</v>
      </c>
      <c r="G166" s="5082" t="s">
        <v>5373</v>
      </c>
      <c r="H166" s="5084" t="s">
        <v>5374</v>
      </c>
      <c r="I166" s="5082" t="s">
        <v>5375</v>
      </c>
      <c r="J166" s="5084" t="s">
        <v>5376</v>
      </c>
      <c r="K166" s="5082" t="s">
        <v>5377</v>
      </c>
      <c r="L166" s="5084" t="s">
        <v>5378</v>
      </c>
      <c r="M166" s="5082" t="s">
        <v>5379</v>
      </c>
      <c r="N166" s="5084" t="s">
        <v>5380</v>
      </c>
      <c r="O166" s="5082" t="s">
        <v>5381</v>
      </c>
      <c r="P166" s="5084" t="s">
        <v>5382</v>
      </c>
      <c r="Q166" s="5082" t="s">
        <v>5383</v>
      </c>
      <c r="R166" s="5084" t="s">
        <v>5384</v>
      </c>
      <c r="S166" s="5082" t="s">
        <v>5385</v>
      </c>
      <c r="T166" s="5084" t="s">
        <v>5386</v>
      </c>
      <c r="U166" s="5082" t="s">
        <v>5387</v>
      </c>
      <c r="V166" s="5084" t="s">
        <v>5388</v>
      </c>
      <c r="W166" s="5082" t="s">
        <v>5389</v>
      </c>
      <c r="X166" s="5084" t="s">
        <v>5390</v>
      </c>
      <c r="Y166" s="5082" t="s">
        <v>5391</v>
      </c>
      <c r="Z166" s="5084" t="s">
        <v>5392</v>
      </c>
      <c r="AA166" s="5082" t="s">
        <v>5393</v>
      </c>
      <c r="AB166" s="5084" t="s">
        <v>5394</v>
      </c>
      <c r="AC166" s="5082" t="s">
        <v>5395</v>
      </c>
      <c r="AD166" s="5084" t="s">
        <v>5396</v>
      </c>
      <c r="AE166" s="5082" t="s">
        <v>5397</v>
      </c>
      <c r="AF166" s="5084" t="s">
        <v>5398</v>
      </c>
      <c r="AG166" s="5082" t="s">
        <v>5399</v>
      </c>
      <c r="AH166" s="5084" t="s">
        <v>5400</v>
      </c>
      <c r="AI166" s="5082" t="s">
        <v>5401</v>
      </c>
      <c r="AJ166" s="5084" t="s">
        <v>5402</v>
      </c>
      <c r="AK166" s="5082" t="s">
        <v>5403</v>
      </c>
      <c r="AL166" s="4259"/>
      <c r="BX166" s="4260"/>
      <c r="BY166" s="4260"/>
    </row>
    <row r="167" spans="1:78" ht="15.9" customHeight="1" x14ac:dyDescent="0.25">
      <c r="A167" s="7258">
        <v>23090720</v>
      </c>
      <c r="B167" s="5751" t="s">
        <v>1980</v>
      </c>
      <c r="C167" s="5746" t="s">
        <v>5369</v>
      </c>
      <c r="D167" s="5808" t="s">
        <v>5370</v>
      </c>
      <c r="E167" s="5809" t="s">
        <v>5371</v>
      </c>
      <c r="F167" s="5091" t="s">
        <v>5372</v>
      </c>
      <c r="G167" s="5089" t="s">
        <v>5373</v>
      </c>
      <c r="H167" s="5091" t="s">
        <v>5374</v>
      </c>
      <c r="I167" s="5089" t="s">
        <v>5375</v>
      </c>
      <c r="J167" s="5091" t="s">
        <v>5376</v>
      </c>
      <c r="K167" s="5089" t="s">
        <v>5377</v>
      </c>
      <c r="L167" s="5091" t="s">
        <v>5378</v>
      </c>
      <c r="M167" s="5089" t="s">
        <v>5379</v>
      </c>
      <c r="N167" s="5091" t="s">
        <v>5380</v>
      </c>
      <c r="O167" s="5089" t="s">
        <v>5381</v>
      </c>
      <c r="P167" s="5091" t="s">
        <v>5382</v>
      </c>
      <c r="Q167" s="5089" t="s">
        <v>5383</v>
      </c>
      <c r="R167" s="5091" t="s">
        <v>5384</v>
      </c>
      <c r="S167" s="5089" t="s">
        <v>5385</v>
      </c>
      <c r="T167" s="5091" t="s">
        <v>5386</v>
      </c>
      <c r="U167" s="5089" t="s">
        <v>5387</v>
      </c>
      <c r="V167" s="5091" t="s">
        <v>5388</v>
      </c>
      <c r="W167" s="5089" t="s">
        <v>5389</v>
      </c>
      <c r="X167" s="5091" t="s">
        <v>5390</v>
      </c>
      <c r="Y167" s="5089" t="s">
        <v>5391</v>
      </c>
      <c r="Z167" s="5091" t="s">
        <v>5392</v>
      </c>
      <c r="AA167" s="5089" t="s">
        <v>5393</v>
      </c>
      <c r="AB167" s="5091" t="s">
        <v>5394</v>
      </c>
      <c r="AC167" s="5089" t="s">
        <v>5395</v>
      </c>
      <c r="AD167" s="5091" t="s">
        <v>5396</v>
      </c>
      <c r="AE167" s="5089" t="s">
        <v>5397</v>
      </c>
      <c r="AF167" s="5091" t="s">
        <v>5398</v>
      </c>
      <c r="AG167" s="5089" t="s">
        <v>5399</v>
      </c>
      <c r="AH167" s="5091" t="s">
        <v>5400</v>
      </c>
      <c r="AI167" s="5089" t="s">
        <v>5401</v>
      </c>
      <c r="AJ167" s="5091" t="s">
        <v>5402</v>
      </c>
      <c r="AK167" s="5089" t="s">
        <v>5403</v>
      </c>
      <c r="AL167" s="4259"/>
      <c r="BX167" s="4260"/>
      <c r="BY167" s="4260"/>
    </row>
    <row r="168" spans="1:78" ht="23.25" customHeight="1" x14ac:dyDescent="0.25">
      <c r="B168" s="10318" t="s">
        <v>3626</v>
      </c>
      <c r="C168" s="10318"/>
      <c r="D168" s="10318"/>
      <c r="E168" s="3876"/>
      <c r="F168" s="3876"/>
      <c r="G168" s="3876"/>
      <c r="H168" s="5722"/>
      <c r="I168" s="3940"/>
      <c r="J168" s="3940"/>
      <c r="K168" s="3940"/>
      <c r="L168" s="3940"/>
      <c r="M168" s="3940"/>
      <c r="N168" s="3940"/>
      <c r="O168" s="3940"/>
      <c r="P168" s="3940"/>
      <c r="Q168" s="3940"/>
      <c r="R168" s="3940"/>
      <c r="S168" s="3940"/>
      <c r="T168" s="3940"/>
      <c r="U168" s="3940"/>
      <c r="V168" s="3940"/>
      <c r="W168" s="3940"/>
    </row>
    <row r="169" spans="1:78" ht="33.6" customHeight="1" x14ac:dyDescent="0.25">
      <c r="B169" s="10314" t="s">
        <v>1236</v>
      </c>
      <c r="C169" s="10314"/>
      <c r="D169" s="5810" t="s">
        <v>3629</v>
      </c>
      <c r="E169" s="4533" t="s">
        <v>2766</v>
      </c>
      <c r="F169" s="4533" t="s">
        <v>2704</v>
      </c>
      <c r="G169" s="4533" t="s">
        <v>57</v>
      </c>
      <c r="H169" s="4533" t="s">
        <v>70</v>
      </c>
      <c r="I169" s="3940"/>
      <c r="J169" s="3940"/>
      <c r="K169" s="3940"/>
      <c r="L169" s="3940"/>
      <c r="M169" s="3940"/>
      <c r="N169" s="3940"/>
      <c r="O169" s="3940"/>
      <c r="P169" s="3940"/>
      <c r="Q169" s="3940"/>
      <c r="R169" s="3940"/>
      <c r="S169" s="3940"/>
      <c r="T169" s="3940"/>
      <c r="U169" s="3940"/>
      <c r="V169" s="3940"/>
      <c r="W169" s="3940"/>
    </row>
    <row r="170" spans="1:78" ht="14.25" customHeight="1" x14ac:dyDescent="0.25">
      <c r="A170" s="7258">
        <v>23110120</v>
      </c>
      <c r="B170" s="10315" t="s">
        <v>1976</v>
      </c>
      <c r="C170" s="5811" t="s">
        <v>2168</v>
      </c>
      <c r="D170" s="6988" t="s">
        <v>5369</v>
      </c>
      <c r="E170" s="5812" t="s">
        <v>5370</v>
      </c>
      <c r="F170" s="5812" t="s">
        <v>5371</v>
      </c>
      <c r="G170" s="5812" t="s">
        <v>5372</v>
      </c>
      <c r="H170" s="5812" t="s">
        <v>5373</v>
      </c>
      <c r="I170" s="3940"/>
      <c r="J170" s="3940"/>
      <c r="K170" s="3940"/>
      <c r="L170" s="3940"/>
      <c r="M170" s="3940"/>
      <c r="N170" s="3940"/>
      <c r="O170" s="3940"/>
      <c r="P170" s="3940"/>
      <c r="Q170" s="3940"/>
      <c r="R170" s="3940"/>
      <c r="S170" s="3940"/>
      <c r="T170" s="3940"/>
      <c r="U170" s="3940"/>
      <c r="V170" s="3940"/>
      <c r="W170" s="3940"/>
    </row>
    <row r="171" spans="1:78" ht="14.25" customHeight="1" x14ac:dyDescent="0.25">
      <c r="A171" s="7258">
        <v>23110130</v>
      </c>
      <c r="B171" s="10316"/>
      <c r="C171" s="5813" t="s">
        <v>2169</v>
      </c>
      <c r="D171" s="6989" t="s">
        <v>5369</v>
      </c>
      <c r="E171" s="5814" t="s">
        <v>5370</v>
      </c>
      <c r="F171" s="5814" t="s">
        <v>5371</v>
      </c>
      <c r="G171" s="5814" t="s">
        <v>5372</v>
      </c>
      <c r="H171" s="5814" t="s">
        <v>5373</v>
      </c>
      <c r="I171" s="3940"/>
      <c r="J171" s="3940"/>
      <c r="K171" s="3940"/>
      <c r="L171" s="3940"/>
      <c r="M171" s="3940"/>
      <c r="N171" s="3940"/>
      <c r="O171" s="3940"/>
      <c r="P171" s="3940"/>
      <c r="Q171" s="3940"/>
      <c r="R171" s="3940"/>
      <c r="S171" s="3940"/>
      <c r="T171" s="3940"/>
      <c r="U171" s="3940"/>
      <c r="V171" s="3940"/>
      <c r="W171" s="3940"/>
    </row>
    <row r="172" spans="1:78" ht="20.399999999999999" x14ac:dyDescent="0.25">
      <c r="A172" s="7258">
        <v>23110140</v>
      </c>
      <c r="B172" s="10317"/>
      <c r="C172" s="5815" t="s">
        <v>2170</v>
      </c>
      <c r="D172" s="6990" t="s">
        <v>5369</v>
      </c>
      <c r="E172" s="5816" t="s">
        <v>5370</v>
      </c>
      <c r="F172" s="5816" t="s">
        <v>5371</v>
      </c>
      <c r="G172" s="5816" t="s">
        <v>5372</v>
      </c>
      <c r="H172" s="5816" t="s">
        <v>5373</v>
      </c>
      <c r="I172" s="3940"/>
      <c r="J172" s="3940"/>
      <c r="K172" s="3940"/>
      <c r="L172" s="3940"/>
      <c r="M172" s="3940"/>
      <c r="N172" s="3940"/>
      <c r="O172" s="3940"/>
      <c r="P172" s="3940"/>
      <c r="Q172" s="3940"/>
      <c r="R172" s="3940"/>
      <c r="S172" s="3940"/>
      <c r="T172" s="3940"/>
      <c r="U172" s="3940"/>
      <c r="V172" s="3940"/>
      <c r="W172" s="3940"/>
    </row>
    <row r="173" spans="1:78" ht="14.25" customHeight="1" x14ac:dyDescent="0.25">
      <c r="A173" s="7258">
        <v>23110150</v>
      </c>
      <c r="B173" s="10315" t="s">
        <v>2171</v>
      </c>
      <c r="C173" s="5811" t="s">
        <v>2172</v>
      </c>
      <c r="D173" s="6991" t="s">
        <v>5369</v>
      </c>
      <c r="E173" s="5817" t="s">
        <v>5370</v>
      </c>
      <c r="F173" s="5817" t="s">
        <v>5371</v>
      </c>
      <c r="G173" s="5817" t="s">
        <v>5372</v>
      </c>
      <c r="H173" s="5817" t="s">
        <v>5373</v>
      </c>
      <c r="I173" s="3940"/>
      <c r="J173" s="3940"/>
      <c r="K173" s="3940"/>
      <c r="L173" s="3940"/>
      <c r="M173" s="3940"/>
      <c r="N173" s="3940"/>
      <c r="O173" s="3940"/>
      <c r="P173" s="3940"/>
      <c r="Q173" s="3940"/>
      <c r="R173" s="3940"/>
      <c r="S173" s="3940"/>
      <c r="T173" s="3940"/>
      <c r="U173" s="3940"/>
      <c r="V173" s="3940"/>
      <c r="W173" s="3940"/>
    </row>
    <row r="174" spans="1:78" ht="14.25" customHeight="1" x14ac:dyDescent="0.25">
      <c r="A174" s="7258">
        <v>23110160</v>
      </c>
      <c r="B174" s="10316"/>
      <c r="C174" s="5813" t="s">
        <v>2173</v>
      </c>
      <c r="D174" s="6991" t="s">
        <v>5369</v>
      </c>
      <c r="E174" s="5814" t="s">
        <v>5370</v>
      </c>
      <c r="F174" s="5814" t="s">
        <v>5371</v>
      </c>
      <c r="G174" s="5814" t="s">
        <v>5372</v>
      </c>
      <c r="H174" s="5814" t="s">
        <v>5373</v>
      </c>
      <c r="I174" s="3940"/>
      <c r="J174" s="3940"/>
      <c r="K174" s="3940"/>
      <c r="L174" s="3940"/>
      <c r="M174" s="3940"/>
      <c r="N174" s="3940"/>
      <c r="O174" s="3940"/>
      <c r="P174" s="3940"/>
      <c r="Q174" s="3940"/>
      <c r="R174" s="3940"/>
      <c r="S174" s="3940"/>
      <c r="T174" s="3940"/>
      <c r="U174" s="3940"/>
      <c r="V174" s="3940"/>
      <c r="W174" s="3940"/>
    </row>
    <row r="175" spans="1:78" ht="14.25" customHeight="1" x14ac:dyDescent="0.25">
      <c r="A175" s="7258">
        <v>23110170</v>
      </c>
      <c r="B175" s="10317"/>
      <c r="C175" s="5818" t="s">
        <v>2154</v>
      </c>
      <c r="D175" s="6990" t="s">
        <v>5369</v>
      </c>
      <c r="E175" s="5816" t="s">
        <v>5370</v>
      </c>
      <c r="F175" s="5816" t="s">
        <v>5371</v>
      </c>
      <c r="G175" s="5816" t="s">
        <v>5372</v>
      </c>
      <c r="H175" s="5816" t="s">
        <v>5373</v>
      </c>
      <c r="I175" s="3940"/>
      <c r="J175" s="3940"/>
      <c r="K175" s="3940"/>
      <c r="L175" s="3940"/>
      <c r="M175" s="3940"/>
      <c r="N175" s="3940"/>
      <c r="O175" s="3940"/>
      <c r="P175" s="3940"/>
      <c r="Q175" s="3940"/>
      <c r="R175" s="3940"/>
      <c r="S175" s="3940"/>
      <c r="T175" s="3940"/>
      <c r="U175" s="3940"/>
      <c r="V175" s="3940"/>
      <c r="W175" s="3940"/>
    </row>
    <row r="176" spans="1:78" ht="23.25" customHeight="1" x14ac:dyDescent="0.25">
      <c r="B176" s="10298" t="s">
        <v>3627</v>
      </c>
      <c r="C176" s="10298"/>
      <c r="D176" s="10299"/>
      <c r="E176" s="8042"/>
      <c r="F176" s="8042"/>
      <c r="G176" s="8042"/>
      <c r="H176" s="8043"/>
      <c r="I176" s="2391"/>
      <c r="J176" s="2391"/>
      <c r="K176" s="2391"/>
      <c r="L176" s="2391"/>
      <c r="M176" s="3940"/>
      <c r="N176" s="3940"/>
      <c r="O176" s="3940"/>
      <c r="P176" s="3940"/>
      <c r="Q176" s="3940"/>
      <c r="R176" s="3940"/>
      <c r="S176" s="3940"/>
      <c r="T176" s="3940"/>
      <c r="U176" s="3940"/>
      <c r="V176" s="3940"/>
      <c r="W176" s="3940"/>
    </row>
    <row r="177" spans="1:39" ht="23.25" customHeight="1" x14ac:dyDescent="0.25">
      <c r="A177" s="7344"/>
      <c r="B177" s="10300" t="s">
        <v>1236</v>
      </c>
      <c r="C177" s="10301"/>
      <c r="D177" s="10306" t="s">
        <v>24</v>
      </c>
      <c r="E177" s="10300"/>
      <c r="F177" s="10301"/>
      <c r="G177" s="10308" t="s">
        <v>2</v>
      </c>
      <c r="H177" s="10309"/>
      <c r="I177" s="10309"/>
      <c r="J177" s="10309"/>
      <c r="K177" s="10309"/>
      <c r="L177" s="10310"/>
      <c r="M177" s="3940"/>
      <c r="N177" s="3940"/>
      <c r="O177" s="3940"/>
      <c r="P177" s="3940"/>
      <c r="Q177" s="3940"/>
      <c r="R177" s="3940"/>
      <c r="S177" s="3940"/>
      <c r="T177" s="3940"/>
      <c r="U177" s="3940"/>
      <c r="V177" s="3940"/>
      <c r="W177" s="3940"/>
    </row>
    <row r="178" spans="1:39" ht="23.25" customHeight="1" x14ac:dyDescent="0.25">
      <c r="A178" s="7344"/>
      <c r="B178" s="10302"/>
      <c r="C178" s="10303"/>
      <c r="D178" s="10307"/>
      <c r="E178" s="10304"/>
      <c r="F178" s="10305"/>
      <c r="G178" s="10309" t="s">
        <v>3551</v>
      </c>
      <c r="H178" s="10310"/>
      <c r="I178" s="10308" t="s">
        <v>3552</v>
      </c>
      <c r="J178" s="10310"/>
      <c r="K178" s="10311" t="s">
        <v>2808</v>
      </c>
      <c r="L178" s="10312"/>
      <c r="M178" s="3940"/>
      <c r="N178" s="3940"/>
      <c r="O178" s="3940"/>
      <c r="P178" s="3940"/>
      <c r="Q178" s="3940"/>
      <c r="R178" s="3940"/>
      <c r="S178" s="3940"/>
      <c r="T178" s="3940"/>
      <c r="U178" s="3940"/>
      <c r="V178" s="3940"/>
      <c r="W178" s="3940"/>
    </row>
    <row r="179" spans="1:39" ht="23.25" customHeight="1" x14ac:dyDescent="0.25">
      <c r="A179" s="7344"/>
      <c r="B179" s="10304"/>
      <c r="C179" s="10305"/>
      <c r="D179" s="8044" t="s">
        <v>42</v>
      </c>
      <c r="E179" s="8045" t="s">
        <v>17</v>
      </c>
      <c r="F179" s="8045" t="s">
        <v>18</v>
      </c>
      <c r="G179" s="8046" t="s">
        <v>104</v>
      </c>
      <c r="H179" s="8016" t="s">
        <v>69</v>
      </c>
      <c r="I179" s="8046" t="s">
        <v>104</v>
      </c>
      <c r="J179" s="8016" t="s">
        <v>69</v>
      </c>
      <c r="K179" s="8047" t="s">
        <v>104</v>
      </c>
      <c r="L179" s="8016" t="s">
        <v>69</v>
      </c>
      <c r="M179" s="3940"/>
      <c r="N179" s="3940"/>
      <c r="O179" s="3940"/>
      <c r="P179" s="3940"/>
      <c r="Q179" s="3940"/>
      <c r="R179" s="3940"/>
      <c r="S179" s="3940"/>
      <c r="T179" s="3940"/>
      <c r="U179" s="3940"/>
      <c r="V179" s="3940"/>
      <c r="W179" s="3940"/>
      <c r="X179" s="3940"/>
      <c r="Y179" s="3940"/>
      <c r="Z179" s="3940"/>
      <c r="AA179" s="3940"/>
    </row>
    <row r="180" spans="1:39" ht="14.25" customHeight="1" x14ac:dyDescent="0.25">
      <c r="A180" s="7320">
        <v>29101384</v>
      </c>
      <c r="B180" s="10359" t="s">
        <v>2765</v>
      </c>
      <c r="C180" s="7637" t="s">
        <v>2172</v>
      </c>
      <c r="D180" s="8048" t="s">
        <v>5369</v>
      </c>
      <c r="E180" s="8049" t="s">
        <v>5370</v>
      </c>
      <c r="F180" s="8049" t="s">
        <v>5371</v>
      </c>
      <c r="G180" s="8050" t="s">
        <v>5372</v>
      </c>
      <c r="H180" s="8051" t="s">
        <v>5373</v>
      </c>
      <c r="I180" s="8050" t="s">
        <v>5374</v>
      </c>
      <c r="J180" s="8051" t="s">
        <v>5375</v>
      </c>
      <c r="K180" s="8052" t="s">
        <v>5376</v>
      </c>
      <c r="L180" s="8051" t="s">
        <v>5377</v>
      </c>
      <c r="M180" s="3940"/>
      <c r="N180" s="3940"/>
      <c r="O180" s="3940"/>
      <c r="P180" s="3940"/>
      <c r="Q180" s="3940"/>
      <c r="R180" s="3940"/>
      <c r="S180" s="3940"/>
      <c r="T180" s="3940"/>
      <c r="U180" s="3940"/>
      <c r="V180" s="3940"/>
      <c r="W180" s="3940"/>
      <c r="X180" s="3940"/>
      <c r="Y180" s="3940"/>
      <c r="Z180" s="3940"/>
      <c r="AA180" s="3940"/>
    </row>
    <row r="181" spans="1:39" ht="14.25" customHeight="1" x14ac:dyDescent="0.25">
      <c r="A181" s="7320">
        <v>29101385</v>
      </c>
      <c r="B181" s="10360"/>
      <c r="C181" s="7637" t="s">
        <v>2168</v>
      </c>
      <c r="D181" s="8048" t="s">
        <v>5369</v>
      </c>
      <c r="E181" s="8049" t="s">
        <v>5370</v>
      </c>
      <c r="F181" s="8049" t="s">
        <v>5371</v>
      </c>
      <c r="G181" s="8053" t="s">
        <v>5372</v>
      </c>
      <c r="H181" s="8054" t="s">
        <v>5373</v>
      </c>
      <c r="I181" s="8053" t="s">
        <v>5374</v>
      </c>
      <c r="J181" s="8054" t="s">
        <v>5375</v>
      </c>
      <c r="K181" s="8055" t="s">
        <v>5376</v>
      </c>
      <c r="L181" s="8054" t="s">
        <v>5377</v>
      </c>
      <c r="M181" s="3940"/>
      <c r="N181" s="3940"/>
      <c r="O181" s="3940"/>
      <c r="P181" s="3940"/>
      <c r="Q181" s="3940"/>
      <c r="R181" s="3940"/>
      <c r="S181" s="3940"/>
      <c r="T181" s="3940"/>
      <c r="U181" s="3940"/>
      <c r="V181" s="3940"/>
      <c r="W181" s="3940"/>
      <c r="X181" s="3940"/>
      <c r="Y181" s="3940"/>
      <c r="Z181" s="3940"/>
      <c r="AA181" s="3940"/>
    </row>
    <row r="182" spans="1:39" ht="14.25" customHeight="1" x14ac:dyDescent="0.25">
      <c r="A182" s="7320">
        <v>29101386</v>
      </c>
      <c r="B182" s="10360"/>
      <c r="C182" s="7637" t="s">
        <v>2169</v>
      </c>
      <c r="D182" s="8048" t="s">
        <v>5369</v>
      </c>
      <c r="E182" s="8049" t="s">
        <v>5370</v>
      </c>
      <c r="F182" s="8049" t="s">
        <v>5371</v>
      </c>
      <c r="G182" s="8053" t="s">
        <v>5372</v>
      </c>
      <c r="H182" s="8054" t="s">
        <v>5373</v>
      </c>
      <c r="I182" s="8053" t="s">
        <v>5374</v>
      </c>
      <c r="J182" s="8054" t="s">
        <v>5375</v>
      </c>
      <c r="K182" s="8055" t="s">
        <v>5376</v>
      </c>
      <c r="L182" s="8054" t="s">
        <v>5377</v>
      </c>
      <c r="M182" s="3940"/>
      <c r="N182" s="3940"/>
      <c r="O182" s="3940"/>
      <c r="P182" s="3940"/>
      <c r="Q182" s="3940"/>
      <c r="R182" s="3940"/>
      <c r="S182" s="3940"/>
      <c r="T182" s="3940"/>
      <c r="U182" s="3940"/>
      <c r="V182" s="3940"/>
      <c r="W182" s="3940"/>
      <c r="X182" s="3940"/>
      <c r="Y182" s="3940"/>
      <c r="Z182" s="3940"/>
      <c r="AA182" s="3940"/>
    </row>
    <row r="183" spans="1:39" ht="14.25" customHeight="1" x14ac:dyDescent="0.25">
      <c r="A183" s="7320">
        <v>29101387</v>
      </c>
      <c r="B183" s="10361"/>
      <c r="C183" s="8056" t="s">
        <v>2154</v>
      </c>
      <c r="D183" s="8057" t="s">
        <v>5369</v>
      </c>
      <c r="E183" s="8057" t="s">
        <v>5370</v>
      </c>
      <c r="F183" s="8057" t="s">
        <v>5371</v>
      </c>
      <c r="G183" s="8058" t="s">
        <v>5372</v>
      </c>
      <c r="H183" s="8059" t="s">
        <v>5373</v>
      </c>
      <c r="I183" s="8058" t="s">
        <v>5374</v>
      </c>
      <c r="J183" s="8059" t="s">
        <v>5375</v>
      </c>
      <c r="K183" s="8060" t="s">
        <v>5376</v>
      </c>
      <c r="L183" s="8059" t="s">
        <v>5377</v>
      </c>
      <c r="M183" s="3940"/>
      <c r="N183" s="3940"/>
      <c r="O183" s="3940"/>
      <c r="P183" s="3940"/>
      <c r="Q183" s="3940"/>
      <c r="R183" s="3940"/>
      <c r="S183" s="3940"/>
      <c r="T183" s="3940"/>
      <c r="U183" s="3940"/>
      <c r="V183" s="3940"/>
      <c r="W183" s="3940"/>
      <c r="X183" s="3940"/>
      <c r="Y183" s="3940"/>
      <c r="Z183" s="3940"/>
      <c r="AA183" s="3940"/>
    </row>
    <row r="184" spans="1:39" ht="18.75" customHeight="1" x14ac:dyDescent="0.3">
      <c r="B184" s="5138" t="s">
        <v>3628</v>
      </c>
      <c r="C184" s="5820"/>
      <c r="D184" s="5820"/>
      <c r="E184" s="5821"/>
      <c r="F184" s="5822"/>
      <c r="G184" s="520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ht="18.75" customHeight="1" x14ac:dyDescent="0.25">
      <c r="B185" s="10362" t="s">
        <v>2164</v>
      </c>
      <c r="C185" s="10362"/>
      <c r="D185" s="10365" t="s">
        <v>2165</v>
      </c>
      <c r="E185" s="10249" t="s">
        <v>24</v>
      </c>
      <c r="F185" s="10249"/>
      <c r="G185" s="10250"/>
      <c r="H185" s="10292" t="s">
        <v>2</v>
      </c>
      <c r="I185" s="10292"/>
      <c r="J185" s="10292"/>
      <c r="K185" s="10292"/>
      <c r="L185" s="10292"/>
      <c r="M185" s="10292"/>
      <c r="N185" s="10292"/>
      <c r="O185" s="10292"/>
      <c r="P185" s="10292"/>
      <c r="Q185" s="10292"/>
      <c r="R185" s="10292"/>
      <c r="S185" s="10292"/>
      <c r="T185" s="10292"/>
      <c r="U185" s="10292"/>
      <c r="V185" s="10292"/>
      <c r="W185" s="10292"/>
      <c r="X185" s="10292"/>
      <c r="Y185" s="10292"/>
      <c r="Z185" s="10292"/>
      <c r="AA185" s="10292"/>
      <c r="AB185" s="10292"/>
      <c r="AC185" s="10292"/>
      <c r="AD185" s="10292"/>
      <c r="AE185" s="10292"/>
      <c r="AF185" s="10292"/>
      <c r="AG185" s="10292"/>
      <c r="AH185" s="10292"/>
      <c r="AI185" s="10292"/>
      <c r="AJ185" s="10292"/>
      <c r="AK185" s="10292"/>
      <c r="AL185" s="10292"/>
      <c r="AM185" s="10327"/>
    </row>
    <row r="186" spans="1:39" ht="18.75" customHeight="1" x14ac:dyDescent="0.25">
      <c r="B186" s="10363"/>
      <c r="C186" s="10363"/>
      <c r="D186" s="10365"/>
      <c r="E186" s="10252"/>
      <c r="F186" s="10252"/>
      <c r="G186" s="10253"/>
      <c r="H186" s="10265" t="s">
        <v>1912</v>
      </c>
      <c r="I186" s="10269"/>
      <c r="J186" s="10265" t="s">
        <v>1913</v>
      </c>
      <c r="K186" s="10265"/>
      <c r="L186" s="10268" t="s">
        <v>1914</v>
      </c>
      <c r="M186" s="10269"/>
      <c r="N186" s="10265" t="s">
        <v>1915</v>
      </c>
      <c r="O186" s="10265"/>
      <c r="P186" s="10268" t="s">
        <v>1916</v>
      </c>
      <c r="Q186" s="10269"/>
      <c r="R186" s="10266" t="s">
        <v>1917</v>
      </c>
      <c r="S186" s="10266"/>
      <c r="T186" s="10267" t="s">
        <v>1918</v>
      </c>
      <c r="U186" s="10247"/>
      <c r="V186" s="10267" t="s">
        <v>124</v>
      </c>
      <c r="W186" s="10247"/>
      <c r="X186" s="10266" t="s">
        <v>125</v>
      </c>
      <c r="Y186" s="10266"/>
      <c r="Z186" s="10267" t="s">
        <v>126</v>
      </c>
      <c r="AA186" s="10247"/>
      <c r="AB186" s="10266" t="s">
        <v>127</v>
      </c>
      <c r="AC186" s="10266"/>
      <c r="AD186" s="10267" t="s">
        <v>128</v>
      </c>
      <c r="AE186" s="10247"/>
      <c r="AF186" s="10266" t="s">
        <v>129</v>
      </c>
      <c r="AG186" s="10266"/>
      <c r="AH186" s="10267" t="s">
        <v>130</v>
      </c>
      <c r="AI186" s="10247"/>
      <c r="AJ186" s="10266" t="s">
        <v>131</v>
      </c>
      <c r="AK186" s="10266"/>
      <c r="AL186" s="10267" t="s">
        <v>1919</v>
      </c>
      <c r="AM186" s="10247"/>
    </row>
    <row r="187" spans="1:39" ht="18.75" customHeight="1" x14ac:dyDescent="0.25">
      <c r="B187" s="10364"/>
      <c r="C187" s="10364"/>
      <c r="D187" s="10365"/>
      <c r="E187" s="5152" t="s">
        <v>42</v>
      </c>
      <c r="F187" s="5819" t="s">
        <v>17</v>
      </c>
      <c r="G187" s="4532" t="s">
        <v>18</v>
      </c>
      <c r="H187" s="5630" t="s">
        <v>17</v>
      </c>
      <c r="I187" s="5797" t="s">
        <v>18</v>
      </c>
      <c r="J187" s="5630" t="s">
        <v>17</v>
      </c>
      <c r="K187" s="5797" t="s">
        <v>18</v>
      </c>
      <c r="L187" s="5630" t="s">
        <v>17</v>
      </c>
      <c r="M187" s="5797" t="s">
        <v>18</v>
      </c>
      <c r="N187" s="5630" t="s">
        <v>17</v>
      </c>
      <c r="O187" s="5797" t="s">
        <v>18</v>
      </c>
      <c r="P187" s="5630" t="s">
        <v>17</v>
      </c>
      <c r="Q187" s="5797" t="s">
        <v>18</v>
      </c>
      <c r="R187" s="5630" t="s">
        <v>17</v>
      </c>
      <c r="S187" s="5797" t="s">
        <v>18</v>
      </c>
      <c r="T187" s="5630" t="s">
        <v>17</v>
      </c>
      <c r="U187" s="5797" t="s">
        <v>18</v>
      </c>
      <c r="V187" s="5630" t="s">
        <v>17</v>
      </c>
      <c r="W187" s="5797" t="s">
        <v>18</v>
      </c>
      <c r="X187" s="5630" t="s">
        <v>17</v>
      </c>
      <c r="Y187" s="5797" t="s">
        <v>18</v>
      </c>
      <c r="Z187" s="5630" t="s">
        <v>17</v>
      </c>
      <c r="AA187" s="5797" t="s">
        <v>18</v>
      </c>
      <c r="AB187" s="5630" t="s">
        <v>17</v>
      </c>
      <c r="AC187" s="5797" t="s">
        <v>18</v>
      </c>
      <c r="AD187" s="5630" t="s">
        <v>17</v>
      </c>
      <c r="AE187" s="5797" t="s">
        <v>18</v>
      </c>
      <c r="AF187" s="5630" t="s">
        <v>17</v>
      </c>
      <c r="AG187" s="5797" t="s">
        <v>18</v>
      </c>
      <c r="AH187" s="5630" t="s">
        <v>17</v>
      </c>
      <c r="AI187" s="5797" t="s">
        <v>18</v>
      </c>
      <c r="AJ187" s="5630" t="s">
        <v>17</v>
      </c>
      <c r="AK187" s="5797" t="s">
        <v>18</v>
      </c>
      <c r="AL187" s="5630" t="s">
        <v>17</v>
      </c>
      <c r="AM187" s="4531" t="s">
        <v>18</v>
      </c>
    </row>
    <row r="188" spans="1:39" ht="18.75" customHeight="1" x14ac:dyDescent="0.25">
      <c r="A188" s="7258">
        <v>23110180</v>
      </c>
      <c r="B188" s="10366" t="s">
        <v>2166</v>
      </c>
      <c r="C188" s="10366"/>
      <c r="D188" s="5811" t="s">
        <v>744</v>
      </c>
      <c r="E188" s="5798" t="s">
        <v>5369</v>
      </c>
      <c r="F188" s="5823" t="s">
        <v>5370</v>
      </c>
      <c r="G188" s="5824" t="s">
        <v>5371</v>
      </c>
      <c r="H188" s="5540" t="s">
        <v>5372</v>
      </c>
      <c r="I188" s="5542" t="s">
        <v>5373</v>
      </c>
      <c r="J188" s="5540" t="s">
        <v>5374</v>
      </c>
      <c r="K188" s="5542" t="s">
        <v>5375</v>
      </c>
      <c r="L188" s="5540" t="s">
        <v>5376</v>
      </c>
      <c r="M188" s="5542" t="s">
        <v>5377</v>
      </c>
      <c r="N188" s="5540" t="s">
        <v>5378</v>
      </c>
      <c r="O188" s="5542" t="s">
        <v>5379</v>
      </c>
      <c r="P188" s="5540" t="s">
        <v>5380</v>
      </c>
      <c r="Q188" s="5542" t="s">
        <v>5381</v>
      </c>
      <c r="R188" s="5540" t="s">
        <v>5382</v>
      </c>
      <c r="S188" s="5542" t="s">
        <v>5383</v>
      </c>
      <c r="T188" s="5540" t="s">
        <v>5384</v>
      </c>
      <c r="U188" s="5542" t="s">
        <v>5385</v>
      </c>
      <c r="V188" s="5540" t="s">
        <v>5386</v>
      </c>
      <c r="W188" s="5542" t="s">
        <v>5387</v>
      </c>
      <c r="X188" s="5540" t="s">
        <v>5388</v>
      </c>
      <c r="Y188" s="5542" t="s">
        <v>5389</v>
      </c>
      <c r="Z188" s="5540" t="s">
        <v>5390</v>
      </c>
      <c r="AA188" s="5542" t="s">
        <v>5391</v>
      </c>
      <c r="AB188" s="5540" t="s">
        <v>5392</v>
      </c>
      <c r="AC188" s="5542" t="s">
        <v>5393</v>
      </c>
      <c r="AD188" s="5540" t="s">
        <v>5394</v>
      </c>
      <c r="AE188" s="5542" t="s">
        <v>5395</v>
      </c>
      <c r="AF188" s="5540" t="s">
        <v>5396</v>
      </c>
      <c r="AG188" s="5542" t="s">
        <v>5397</v>
      </c>
      <c r="AH188" s="5540" t="s">
        <v>5398</v>
      </c>
      <c r="AI188" s="5542" t="s">
        <v>5399</v>
      </c>
      <c r="AJ188" s="5540" t="s">
        <v>5400</v>
      </c>
      <c r="AK188" s="5542" t="s">
        <v>5401</v>
      </c>
      <c r="AL188" s="5540" t="s">
        <v>5402</v>
      </c>
      <c r="AM188" s="5542" t="s">
        <v>5403</v>
      </c>
    </row>
    <row r="189" spans="1:39" ht="18.75" customHeight="1" x14ac:dyDescent="0.25">
      <c r="A189" s="7258">
        <v>23110190</v>
      </c>
      <c r="B189" s="10367"/>
      <c r="C189" s="10367"/>
      <c r="D189" s="5815" t="s">
        <v>2167</v>
      </c>
      <c r="E189" s="5825" t="s">
        <v>5369</v>
      </c>
      <c r="F189" s="5016" t="s">
        <v>5370</v>
      </c>
      <c r="G189" s="5826" t="s">
        <v>5371</v>
      </c>
      <c r="H189" s="5088" t="s">
        <v>5372</v>
      </c>
      <c r="I189" s="5089" t="s">
        <v>5373</v>
      </c>
      <c r="J189" s="5088" t="s">
        <v>5374</v>
      </c>
      <c r="K189" s="5089" t="s">
        <v>5375</v>
      </c>
      <c r="L189" s="5088" t="s">
        <v>5376</v>
      </c>
      <c r="M189" s="5089" t="s">
        <v>5377</v>
      </c>
      <c r="N189" s="5088" t="s">
        <v>5378</v>
      </c>
      <c r="O189" s="5089" t="s">
        <v>5379</v>
      </c>
      <c r="P189" s="5088" t="s">
        <v>5380</v>
      </c>
      <c r="Q189" s="5089" t="s">
        <v>5381</v>
      </c>
      <c r="R189" s="5088" t="s">
        <v>5382</v>
      </c>
      <c r="S189" s="5089" t="s">
        <v>5383</v>
      </c>
      <c r="T189" s="5088" t="s">
        <v>5384</v>
      </c>
      <c r="U189" s="5089" t="s">
        <v>5385</v>
      </c>
      <c r="V189" s="5088" t="s">
        <v>5386</v>
      </c>
      <c r="W189" s="5089" t="s">
        <v>5387</v>
      </c>
      <c r="X189" s="5088" t="s">
        <v>5388</v>
      </c>
      <c r="Y189" s="5089" t="s">
        <v>5389</v>
      </c>
      <c r="Z189" s="5088" t="s">
        <v>5390</v>
      </c>
      <c r="AA189" s="5089" t="s">
        <v>5391</v>
      </c>
      <c r="AB189" s="5088" t="s">
        <v>5392</v>
      </c>
      <c r="AC189" s="5089" t="s">
        <v>5393</v>
      </c>
      <c r="AD189" s="5088" t="s">
        <v>5394</v>
      </c>
      <c r="AE189" s="5089" t="s">
        <v>5395</v>
      </c>
      <c r="AF189" s="5088" t="s">
        <v>5396</v>
      </c>
      <c r="AG189" s="5089" t="s">
        <v>5397</v>
      </c>
      <c r="AH189" s="5088" t="s">
        <v>5398</v>
      </c>
      <c r="AI189" s="5089" t="s">
        <v>5399</v>
      </c>
      <c r="AJ189" s="5088" t="s">
        <v>5400</v>
      </c>
      <c r="AK189" s="5089" t="s">
        <v>5401</v>
      </c>
      <c r="AL189" s="5088" t="s">
        <v>5402</v>
      </c>
      <c r="AM189" s="5089" t="s">
        <v>5403</v>
      </c>
    </row>
    <row r="190" spans="1:39" x14ac:dyDescent="0.25">
      <c r="A190" s="7258">
        <v>23110200</v>
      </c>
      <c r="B190" s="10356" t="s">
        <v>57</v>
      </c>
      <c r="C190" s="10356"/>
      <c r="D190" s="5811" t="s">
        <v>744</v>
      </c>
      <c r="E190" s="5798" t="s">
        <v>5369</v>
      </c>
      <c r="F190" s="5823" t="s">
        <v>5370</v>
      </c>
      <c r="G190" s="5824" t="s">
        <v>5371</v>
      </c>
      <c r="H190" s="5540" t="s">
        <v>5372</v>
      </c>
      <c r="I190" s="5542" t="s">
        <v>5373</v>
      </c>
      <c r="J190" s="5540" t="s">
        <v>5374</v>
      </c>
      <c r="K190" s="5542" t="s">
        <v>5375</v>
      </c>
      <c r="L190" s="5540" t="s">
        <v>5376</v>
      </c>
      <c r="M190" s="5542" t="s">
        <v>5377</v>
      </c>
      <c r="N190" s="5540" t="s">
        <v>5378</v>
      </c>
      <c r="O190" s="5542" t="s">
        <v>5379</v>
      </c>
      <c r="P190" s="5540" t="s">
        <v>5380</v>
      </c>
      <c r="Q190" s="5542" t="s">
        <v>5381</v>
      </c>
      <c r="R190" s="5540" t="s">
        <v>5382</v>
      </c>
      <c r="S190" s="5542" t="s">
        <v>5383</v>
      </c>
      <c r="T190" s="5540" t="s">
        <v>5384</v>
      </c>
      <c r="U190" s="5542" t="s">
        <v>5385</v>
      </c>
      <c r="V190" s="5540" t="s">
        <v>5386</v>
      </c>
      <c r="W190" s="5542" t="s">
        <v>5387</v>
      </c>
      <c r="X190" s="5540" t="s">
        <v>5388</v>
      </c>
      <c r="Y190" s="5542" t="s">
        <v>5389</v>
      </c>
      <c r="Z190" s="5540" t="s">
        <v>5390</v>
      </c>
      <c r="AA190" s="5542" t="s">
        <v>5391</v>
      </c>
      <c r="AB190" s="5540" t="s">
        <v>5392</v>
      </c>
      <c r="AC190" s="5542" t="s">
        <v>5393</v>
      </c>
      <c r="AD190" s="5540" t="s">
        <v>5394</v>
      </c>
      <c r="AE190" s="5542" t="s">
        <v>5395</v>
      </c>
      <c r="AF190" s="5540" t="s">
        <v>5396</v>
      </c>
      <c r="AG190" s="5542" t="s">
        <v>5397</v>
      </c>
      <c r="AH190" s="5540" t="s">
        <v>5398</v>
      </c>
      <c r="AI190" s="5542" t="s">
        <v>5399</v>
      </c>
      <c r="AJ190" s="5540" t="s">
        <v>5400</v>
      </c>
      <c r="AK190" s="5542" t="s">
        <v>5401</v>
      </c>
      <c r="AL190" s="5540" t="s">
        <v>5402</v>
      </c>
      <c r="AM190" s="5542" t="s">
        <v>5403</v>
      </c>
    </row>
    <row r="191" spans="1:39" x14ac:dyDescent="0.25">
      <c r="A191" s="7258">
        <v>23110210</v>
      </c>
      <c r="B191" s="10357"/>
      <c r="C191" s="10357"/>
      <c r="D191" s="5815" t="s">
        <v>2167</v>
      </c>
      <c r="E191" s="5825" t="s">
        <v>5369</v>
      </c>
      <c r="F191" s="5016" t="s">
        <v>5370</v>
      </c>
      <c r="G191" s="5826" t="s">
        <v>5371</v>
      </c>
      <c r="H191" s="5088" t="s">
        <v>5372</v>
      </c>
      <c r="I191" s="5089" t="s">
        <v>5373</v>
      </c>
      <c r="J191" s="5088" t="s">
        <v>5374</v>
      </c>
      <c r="K191" s="5089" t="s">
        <v>5375</v>
      </c>
      <c r="L191" s="5088" t="s">
        <v>5376</v>
      </c>
      <c r="M191" s="5089" t="s">
        <v>5377</v>
      </c>
      <c r="N191" s="5088" t="s">
        <v>5378</v>
      </c>
      <c r="O191" s="5089" t="s">
        <v>5379</v>
      </c>
      <c r="P191" s="5088" t="s">
        <v>5380</v>
      </c>
      <c r="Q191" s="5089" t="s">
        <v>5381</v>
      </c>
      <c r="R191" s="5088" t="s">
        <v>5382</v>
      </c>
      <c r="S191" s="5089" t="s">
        <v>5383</v>
      </c>
      <c r="T191" s="5088" t="s">
        <v>5384</v>
      </c>
      <c r="U191" s="5089" t="s">
        <v>5385</v>
      </c>
      <c r="V191" s="5088" t="s">
        <v>5386</v>
      </c>
      <c r="W191" s="5089" t="s">
        <v>5387</v>
      </c>
      <c r="X191" s="5088" t="s">
        <v>5388</v>
      </c>
      <c r="Y191" s="5089" t="s">
        <v>5389</v>
      </c>
      <c r="Z191" s="5088" t="s">
        <v>5390</v>
      </c>
      <c r="AA191" s="5089" t="s">
        <v>5391</v>
      </c>
      <c r="AB191" s="5088" t="s">
        <v>5392</v>
      </c>
      <c r="AC191" s="5089" t="s">
        <v>5393</v>
      </c>
      <c r="AD191" s="5088" t="s">
        <v>5394</v>
      </c>
      <c r="AE191" s="5089" t="s">
        <v>5395</v>
      </c>
      <c r="AF191" s="5088" t="s">
        <v>5396</v>
      </c>
      <c r="AG191" s="5089" t="s">
        <v>5397</v>
      </c>
      <c r="AH191" s="5088" t="s">
        <v>5398</v>
      </c>
      <c r="AI191" s="5089" t="s">
        <v>5399</v>
      </c>
      <c r="AJ191" s="5088" t="s">
        <v>5400</v>
      </c>
      <c r="AK191" s="5089" t="s">
        <v>5401</v>
      </c>
      <c r="AL191" s="5088" t="s">
        <v>5402</v>
      </c>
      <c r="AM191" s="5089" t="s">
        <v>5403</v>
      </c>
    </row>
    <row r="192" spans="1:39" x14ac:dyDescent="0.25">
      <c r="A192" s="7258">
        <v>23110220</v>
      </c>
      <c r="B192" s="10358" t="s">
        <v>2812</v>
      </c>
      <c r="C192" s="10358"/>
      <c r="D192" s="5827" t="s">
        <v>744</v>
      </c>
      <c r="E192" s="5828" t="s">
        <v>5369</v>
      </c>
      <c r="F192" s="5829" t="s">
        <v>5370</v>
      </c>
      <c r="G192" s="5830" t="s">
        <v>5371</v>
      </c>
      <c r="H192" s="5060" t="s">
        <v>5372</v>
      </c>
      <c r="I192" s="5061" t="s">
        <v>5373</v>
      </c>
      <c r="J192" s="5060" t="s">
        <v>5374</v>
      </c>
      <c r="K192" s="5061" t="s">
        <v>5375</v>
      </c>
      <c r="L192" s="5060" t="s">
        <v>5376</v>
      </c>
      <c r="M192" s="5061" t="s">
        <v>5377</v>
      </c>
      <c r="N192" s="5060" t="s">
        <v>5378</v>
      </c>
      <c r="O192" s="5061" t="s">
        <v>5379</v>
      </c>
      <c r="P192" s="5060" t="s">
        <v>5380</v>
      </c>
      <c r="Q192" s="5061" t="s">
        <v>5381</v>
      </c>
      <c r="R192" s="5060" t="s">
        <v>5382</v>
      </c>
      <c r="S192" s="5061" t="s">
        <v>5383</v>
      </c>
      <c r="T192" s="5060" t="s">
        <v>5384</v>
      </c>
      <c r="U192" s="5061" t="s">
        <v>5385</v>
      </c>
      <c r="V192" s="5060" t="s">
        <v>5386</v>
      </c>
      <c r="W192" s="5061" t="s">
        <v>5387</v>
      </c>
      <c r="X192" s="5060" t="s">
        <v>5388</v>
      </c>
      <c r="Y192" s="5061" t="s">
        <v>5389</v>
      </c>
      <c r="Z192" s="5060" t="s">
        <v>5390</v>
      </c>
      <c r="AA192" s="5061" t="s">
        <v>5391</v>
      </c>
      <c r="AB192" s="5060" t="s">
        <v>5392</v>
      </c>
      <c r="AC192" s="5061" t="s">
        <v>5393</v>
      </c>
      <c r="AD192" s="5060" t="s">
        <v>5394</v>
      </c>
      <c r="AE192" s="5061" t="s">
        <v>5395</v>
      </c>
      <c r="AF192" s="5060" t="s">
        <v>5396</v>
      </c>
      <c r="AG192" s="5061" t="s">
        <v>5397</v>
      </c>
      <c r="AH192" s="5060" t="s">
        <v>5398</v>
      </c>
      <c r="AI192" s="5061" t="s">
        <v>5399</v>
      </c>
      <c r="AJ192" s="5060" t="s">
        <v>5400</v>
      </c>
      <c r="AK192" s="5061" t="s">
        <v>5401</v>
      </c>
      <c r="AL192" s="5060" t="s">
        <v>5402</v>
      </c>
      <c r="AM192" s="5061" t="s">
        <v>5403</v>
      </c>
    </row>
    <row r="193" spans="1:131" x14ac:dyDescent="0.25">
      <c r="A193" s="7258">
        <v>23110230</v>
      </c>
      <c r="B193" s="10357"/>
      <c r="C193" s="10357"/>
      <c r="D193" s="5815" t="s">
        <v>2167</v>
      </c>
      <c r="E193" s="5825" t="s">
        <v>5369</v>
      </c>
      <c r="F193" s="5016" t="s">
        <v>5370</v>
      </c>
      <c r="G193" s="5826" t="s">
        <v>5371</v>
      </c>
      <c r="H193" s="5088" t="s">
        <v>5372</v>
      </c>
      <c r="I193" s="5089" t="s">
        <v>5373</v>
      </c>
      <c r="J193" s="5088" t="s">
        <v>5374</v>
      </c>
      <c r="K193" s="5089" t="s">
        <v>5375</v>
      </c>
      <c r="L193" s="5088" t="s">
        <v>5376</v>
      </c>
      <c r="M193" s="5089" t="s">
        <v>5377</v>
      </c>
      <c r="N193" s="5088" t="s">
        <v>5378</v>
      </c>
      <c r="O193" s="5089" t="s">
        <v>5379</v>
      </c>
      <c r="P193" s="5088" t="s">
        <v>5380</v>
      </c>
      <c r="Q193" s="5089" t="s">
        <v>5381</v>
      </c>
      <c r="R193" s="5088" t="s">
        <v>5382</v>
      </c>
      <c r="S193" s="5089" t="s">
        <v>5383</v>
      </c>
      <c r="T193" s="5088" t="s">
        <v>5384</v>
      </c>
      <c r="U193" s="5089" t="s">
        <v>5385</v>
      </c>
      <c r="V193" s="5088" t="s">
        <v>5386</v>
      </c>
      <c r="W193" s="5089" t="s">
        <v>5387</v>
      </c>
      <c r="X193" s="5088" t="s">
        <v>5388</v>
      </c>
      <c r="Y193" s="5089" t="s">
        <v>5389</v>
      </c>
      <c r="Z193" s="5088" t="s">
        <v>5390</v>
      </c>
      <c r="AA193" s="5089" t="s">
        <v>5391</v>
      </c>
      <c r="AB193" s="5088" t="s">
        <v>5392</v>
      </c>
      <c r="AC193" s="5089" t="s">
        <v>5393</v>
      </c>
      <c r="AD193" s="5088" t="s">
        <v>5394</v>
      </c>
      <c r="AE193" s="5089" t="s">
        <v>5395</v>
      </c>
      <c r="AF193" s="5088" t="s">
        <v>5396</v>
      </c>
      <c r="AG193" s="5089" t="s">
        <v>5397</v>
      </c>
      <c r="AH193" s="5088" t="s">
        <v>5398</v>
      </c>
      <c r="AI193" s="5089" t="s">
        <v>5399</v>
      </c>
      <c r="AJ193" s="5088" t="s">
        <v>5400</v>
      </c>
      <c r="AK193" s="5089" t="s">
        <v>5401</v>
      </c>
      <c r="AL193" s="5088" t="s">
        <v>5402</v>
      </c>
      <c r="AM193" s="5089" t="s">
        <v>5403</v>
      </c>
    </row>
    <row r="197" spans="1:131" x14ac:dyDescent="0.25">
      <c r="A197" s="4258" t="s">
        <v>4068</v>
      </c>
    </row>
    <row r="198" spans="1:131" x14ac:dyDescent="0.25">
      <c r="A198" s="7320">
        <v>29101384</v>
      </c>
    </row>
    <row r="199" spans="1:131" x14ac:dyDescent="0.25">
      <c r="A199" s="7320">
        <v>29101385</v>
      </c>
    </row>
    <row r="200" spans="1:131" x14ac:dyDescent="0.25">
      <c r="A200" s="7320">
        <v>29101386</v>
      </c>
    </row>
    <row r="201" spans="1:131" x14ac:dyDescent="0.25">
      <c r="A201" s="7320">
        <v>29101387</v>
      </c>
    </row>
    <row r="205" spans="1:131" ht="12" customHeight="1" x14ac:dyDescent="0.25"/>
    <row r="206" spans="1:131" s="4495" customFormat="1" hidden="1" x14ac:dyDescent="0.25">
      <c r="B206" s="4495">
        <f>SUM(C24,D43,C49:C56,C62,C70,C77,C88,D95,C100:C108,C113:C115,C120:C124,C135,C147,D158:E158,C163:C167,D170:D175,D180:D183,E188:E193)</f>
        <v>0</v>
      </c>
      <c r="C206" s="4495">
        <f>SUM(DB28:EA193)</f>
        <v>0</v>
      </c>
      <c r="BU206" s="4264"/>
      <c r="BV206" s="4264"/>
      <c r="BW206" s="4264"/>
      <c r="BX206" s="4264"/>
      <c r="BY206" s="4264"/>
      <c r="BZ206" s="4260"/>
      <c r="CA206" s="4264"/>
      <c r="CB206" s="4295"/>
      <c r="CC206" s="4295"/>
      <c r="CD206" s="4295"/>
      <c r="CE206" s="4295"/>
      <c r="CF206" s="4295"/>
      <c r="CG206" s="4295"/>
      <c r="CH206" s="4295"/>
      <c r="CI206" s="4295"/>
      <c r="CJ206" s="4295"/>
      <c r="CK206" s="4295"/>
      <c r="CL206" s="4295"/>
      <c r="CM206" s="4295"/>
      <c r="CN206" s="4295"/>
      <c r="CO206" s="4295"/>
      <c r="CP206" s="4295"/>
      <c r="CQ206" s="4295"/>
      <c r="CR206" s="4295"/>
      <c r="CS206" s="4295"/>
      <c r="CT206" s="4295"/>
      <c r="CU206" s="4295"/>
      <c r="CV206" s="4295"/>
      <c r="CW206" s="4295"/>
      <c r="CX206" s="4295"/>
      <c r="CY206" s="4295"/>
      <c r="CZ206" s="4295"/>
      <c r="DA206" s="4295"/>
      <c r="DB206" s="4294"/>
      <c r="DC206" s="4294"/>
      <c r="DD206" s="4294"/>
      <c r="DE206" s="4294"/>
      <c r="DF206" s="4294"/>
      <c r="DG206" s="4294"/>
      <c r="DH206" s="4294"/>
      <c r="DI206" s="4294"/>
      <c r="DJ206" s="4294"/>
      <c r="DK206" s="4294"/>
      <c r="DL206" s="4294"/>
      <c r="DM206" s="4294"/>
      <c r="DN206" s="4294"/>
      <c r="DO206" s="4294"/>
      <c r="DP206" s="4294"/>
      <c r="DQ206" s="4294"/>
      <c r="DR206" s="4294"/>
      <c r="DS206" s="4294"/>
      <c r="DT206" s="4294"/>
      <c r="DU206" s="4294"/>
      <c r="DV206" s="4294"/>
      <c r="DW206" s="4294"/>
      <c r="DX206" s="4294"/>
      <c r="DY206" s="4294"/>
      <c r="DZ206" s="4294"/>
      <c r="EA206" s="4294"/>
    </row>
  </sheetData>
  <mergeCells count="319">
    <mergeCell ref="F64:AK64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X65:Y65"/>
    <mergeCell ref="Z65:AA65"/>
    <mergeCell ref="AB65:AC65"/>
    <mergeCell ref="AD65:AE65"/>
    <mergeCell ref="AF65:AG65"/>
    <mergeCell ref="AH65:AI65"/>
    <mergeCell ref="AJ65:AK65"/>
    <mergeCell ref="F58:AK58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X59:Y60"/>
    <mergeCell ref="Z59:AA60"/>
    <mergeCell ref="AB59:AC60"/>
    <mergeCell ref="AD59:AE60"/>
    <mergeCell ref="AF59:AG60"/>
    <mergeCell ref="AH59:AI60"/>
    <mergeCell ref="AJ59:AK60"/>
    <mergeCell ref="F45:AK45"/>
    <mergeCell ref="AL45:AM46"/>
    <mergeCell ref="F46:G47"/>
    <mergeCell ref="H46:I47"/>
    <mergeCell ref="J46:K47"/>
    <mergeCell ref="L46:M47"/>
    <mergeCell ref="N46:O47"/>
    <mergeCell ref="P46:Q47"/>
    <mergeCell ref="R46:S47"/>
    <mergeCell ref="T46:U47"/>
    <mergeCell ref="V46:W47"/>
    <mergeCell ref="X46:Y47"/>
    <mergeCell ref="Z46:AA47"/>
    <mergeCell ref="AB46:AC47"/>
    <mergeCell ref="AD46:AE47"/>
    <mergeCell ref="AF46:AG47"/>
    <mergeCell ref="AH46:AI47"/>
    <mergeCell ref="AJ46:AK47"/>
    <mergeCell ref="AL47:AL48"/>
    <mergeCell ref="AM47:AM48"/>
    <mergeCell ref="AL126:AL128"/>
    <mergeCell ref="F97:AK97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D127:AE127"/>
    <mergeCell ref="AB127:AC127"/>
    <mergeCell ref="V127:W127"/>
    <mergeCell ref="X127:Y127"/>
    <mergeCell ref="Z127:AA127"/>
    <mergeCell ref="P127:Q127"/>
    <mergeCell ref="B190:C191"/>
    <mergeCell ref="B192:C193"/>
    <mergeCell ref="B180:B183"/>
    <mergeCell ref="B185:C187"/>
    <mergeCell ref="D185:D187"/>
    <mergeCell ref="E185:G186"/>
    <mergeCell ref="H185:AM185"/>
    <mergeCell ref="H186:I186"/>
    <mergeCell ref="J186:K186"/>
    <mergeCell ref="L186:M186"/>
    <mergeCell ref="N186:O186"/>
    <mergeCell ref="P186:Q186"/>
    <mergeCell ref="R186:S186"/>
    <mergeCell ref="T186:U186"/>
    <mergeCell ref="V186:W186"/>
    <mergeCell ref="X186:Y186"/>
    <mergeCell ref="Z186:AA186"/>
    <mergeCell ref="AB186:AC186"/>
    <mergeCell ref="AD186:AE186"/>
    <mergeCell ref="AF186:AG186"/>
    <mergeCell ref="AH186:AI186"/>
    <mergeCell ref="AJ186:AK186"/>
    <mergeCell ref="AL186:AM186"/>
    <mergeCell ref="B188:C189"/>
    <mergeCell ref="AN9:AN12"/>
    <mergeCell ref="AM72:AM74"/>
    <mergeCell ref="F110:AK110"/>
    <mergeCell ref="AD111:AE111"/>
    <mergeCell ref="R111:S111"/>
    <mergeCell ref="T111:U111"/>
    <mergeCell ref="V111:W111"/>
    <mergeCell ref="F117:AK117"/>
    <mergeCell ref="F118:G118"/>
    <mergeCell ref="Z118:AA118"/>
    <mergeCell ref="AB118:AC118"/>
    <mergeCell ref="AD118:AE118"/>
    <mergeCell ref="AH111:AI111"/>
    <mergeCell ref="AJ111:AK111"/>
    <mergeCell ref="F111:G111"/>
    <mergeCell ref="H111:I111"/>
    <mergeCell ref="J111:K111"/>
    <mergeCell ref="L111:M111"/>
    <mergeCell ref="N111:O111"/>
    <mergeCell ref="AF111:AG111"/>
    <mergeCell ref="P111:Q111"/>
    <mergeCell ref="H118:I118"/>
    <mergeCell ref="L118:M118"/>
    <mergeCell ref="N118:O118"/>
    <mergeCell ref="AB80:AC80"/>
    <mergeCell ref="AD80:AE80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80:AG80"/>
    <mergeCell ref="AH80:AI80"/>
    <mergeCell ref="AJ80:AK80"/>
    <mergeCell ref="T80:U80"/>
    <mergeCell ref="V80:W80"/>
    <mergeCell ref="X80:Y80"/>
    <mergeCell ref="Z80:AA80"/>
    <mergeCell ref="AL72:AL74"/>
    <mergeCell ref="X73:Y73"/>
    <mergeCell ref="Z73:AA73"/>
    <mergeCell ref="AB73:AC73"/>
    <mergeCell ref="AD73:AE73"/>
    <mergeCell ref="AF73:AG73"/>
    <mergeCell ref="AH73:AI73"/>
    <mergeCell ref="AJ73:AK73"/>
    <mergeCell ref="R73:S73"/>
    <mergeCell ref="T73:U73"/>
    <mergeCell ref="V73:W73"/>
    <mergeCell ref="F72:AK72"/>
    <mergeCell ref="F73:G73"/>
    <mergeCell ref="H73:I73"/>
    <mergeCell ref="J73:K73"/>
    <mergeCell ref="L73:M73"/>
    <mergeCell ref="N73:O73"/>
    <mergeCell ref="P73:Q73"/>
    <mergeCell ref="AM26:AM29"/>
    <mergeCell ref="G27:H28"/>
    <mergeCell ref="I27:J28"/>
    <mergeCell ref="K27:L28"/>
    <mergeCell ref="M27:N28"/>
    <mergeCell ref="O27:P28"/>
    <mergeCell ref="Q27:R28"/>
    <mergeCell ref="AK27:AL28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Z10:AA11"/>
    <mergeCell ref="AB10:AC11"/>
    <mergeCell ref="B6:W6"/>
    <mergeCell ref="C9:E11"/>
    <mergeCell ref="F9:AK9"/>
    <mergeCell ref="AL9:AL12"/>
    <mergeCell ref="AD10:AE11"/>
    <mergeCell ref="B36:B37"/>
    <mergeCell ref="B38:C38"/>
    <mergeCell ref="B39:C39"/>
    <mergeCell ref="B40:C40"/>
    <mergeCell ref="AE27:AF28"/>
    <mergeCell ref="AG27:AH28"/>
    <mergeCell ref="AI27:AJ28"/>
    <mergeCell ref="B30:B32"/>
    <mergeCell ref="B33:B35"/>
    <mergeCell ref="S27:T28"/>
    <mergeCell ref="U27:V28"/>
    <mergeCell ref="W27:X28"/>
    <mergeCell ref="Y27:Z28"/>
    <mergeCell ref="AA27:AB28"/>
    <mergeCell ref="AC27:AD28"/>
    <mergeCell ref="B26:C29"/>
    <mergeCell ref="D26:F28"/>
    <mergeCell ref="G26:AL26"/>
    <mergeCell ref="B169:C169"/>
    <mergeCell ref="B170:B172"/>
    <mergeCell ref="B168:D168"/>
    <mergeCell ref="B137:F137"/>
    <mergeCell ref="B154:B157"/>
    <mergeCell ref="B150:B153"/>
    <mergeCell ref="B160:B162"/>
    <mergeCell ref="B149:C149"/>
    <mergeCell ref="B173:B175"/>
    <mergeCell ref="F138:AK138"/>
    <mergeCell ref="F139:G139"/>
    <mergeCell ref="AJ139:AK139"/>
    <mergeCell ref="H139:I139"/>
    <mergeCell ref="X139:Y139"/>
    <mergeCell ref="Z139:AA139"/>
    <mergeCell ref="AB139:AC139"/>
    <mergeCell ref="AD139:AE139"/>
    <mergeCell ref="AF139:AG139"/>
    <mergeCell ref="AH139:AI139"/>
    <mergeCell ref="J139:K139"/>
    <mergeCell ref="C160:E161"/>
    <mergeCell ref="F160:AK160"/>
    <mergeCell ref="F161:G161"/>
    <mergeCell ref="H161:I161"/>
    <mergeCell ref="B176:D176"/>
    <mergeCell ref="B177:C179"/>
    <mergeCell ref="D177:F178"/>
    <mergeCell ref="G177:L177"/>
    <mergeCell ref="G178:H178"/>
    <mergeCell ref="I178:J178"/>
    <mergeCell ref="K178:L178"/>
    <mergeCell ref="AN26:AN29"/>
    <mergeCell ref="AO26:AO29"/>
    <mergeCell ref="L139:M139"/>
    <mergeCell ref="P139:Q139"/>
    <mergeCell ref="R139:S139"/>
    <mergeCell ref="AF118:AG118"/>
    <mergeCell ref="AH118:AI118"/>
    <mergeCell ref="AJ118:AK118"/>
    <mergeCell ref="X111:Y111"/>
    <mergeCell ref="Z111:AA111"/>
    <mergeCell ref="AB111:AC111"/>
    <mergeCell ref="J118:K118"/>
    <mergeCell ref="P118:Q118"/>
    <mergeCell ref="R118:S118"/>
    <mergeCell ref="T118:U118"/>
    <mergeCell ref="V118:W118"/>
    <mergeCell ref="X118:Y118"/>
    <mergeCell ref="B126:B128"/>
    <mergeCell ref="AH161:AI161"/>
    <mergeCell ref="N161:O161"/>
    <mergeCell ref="C126:E127"/>
    <mergeCell ref="P161:Q161"/>
    <mergeCell ref="F126:AK126"/>
    <mergeCell ref="R161:S161"/>
    <mergeCell ref="T161:U161"/>
    <mergeCell ref="V161:W161"/>
    <mergeCell ref="X161:Y161"/>
    <mergeCell ref="Z161:AA161"/>
    <mergeCell ref="AB161:AC161"/>
    <mergeCell ref="H127:I127"/>
    <mergeCell ref="F127:G127"/>
    <mergeCell ref="AJ127:AK127"/>
    <mergeCell ref="AH127:AI127"/>
    <mergeCell ref="R127:S127"/>
    <mergeCell ref="AF127:AG127"/>
    <mergeCell ref="T127:U127"/>
    <mergeCell ref="L127:M127"/>
    <mergeCell ref="N139:O139"/>
    <mergeCell ref="B158:C158"/>
    <mergeCell ref="B138:B140"/>
    <mergeCell ref="C138:E139"/>
    <mergeCell ref="L161:M161"/>
    <mergeCell ref="AD161:AE161"/>
    <mergeCell ref="AJ161:AK161"/>
    <mergeCell ref="J161:K161"/>
    <mergeCell ref="AF161:AG161"/>
    <mergeCell ref="T139:U139"/>
    <mergeCell ref="V139:W139"/>
    <mergeCell ref="B72:B74"/>
    <mergeCell ref="B9:B12"/>
    <mergeCell ref="B41:C41"/>
    <mergeCell ref="B42:C42"/>
    <mergeCell ref="B43:C43"/>
    <mergeCell ref="C72:E73"/>
    <mergeCell ref="B45:B48"/>
    <mergeCell ref="C45:E47"/>
    <mergeCell ref="B58:B61"/>
    <mergeCell ref="C58:E60"/>
    <mergeCell ref="B64:B66"/>
    <mergeCell ref="C64:E65"/>
    <mergeCell ref="J127:K127"/>
    <mergeCell ref="N127:O127"/>
    <mergeCell ref="B117:B119"/>
    <mergeCell ref="B110:B112"/>
    <mergeCell ref="B97:B99"/>
    <mergeCell ref="B79:B81"/>
    <mergeCell ref="C97:E98"/>
    <mergeCell ref="C110:E111"/>
    <mergeCell ref="C117:E118"/>
    <mergeCell ref="B90:C91"/>
    <mergeCell ref="D90:D91"/>
    <mergeCell ref="E90:E91"/>
    <mergeCell ref="F90:F91"/>
    <mergeCell ref="B92:C92"/>
    <mergeCell ref="B93:C93"/>
    <mergeCell ref="B94:C94"/>
    <mergeCell ref="B95:C95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>
    <pageSetUpPr fitToPage="1"/>
  </sheetPr>
  <dimension ref="A1:EA266"/>
  <sheetViews>
    <sheetView zoomScaleNormal="100" workbookViewId="0"/>
  </sheetViews>
  <sheetFormatPr baseColWidth="10" defaultColWidth="11.44140625" defaultRowHeight="13.8" x14ac:dyDescent="0.25"/>
  <cols>
    <col min="1" max="1" width="13.88671875" style="165" customWidth="1"/>
    <col min="2" max="2" width="53.5546875" style="165" customWidth="1"/>
    <col min="3" max="3" width="23.44140625" style="165" bestFit="1" customWidth="1"/>
    <col min="4" max="8" width="14" style="165" customWidth="1"/>
    <col min="9" max="9" width="15" style="165" customWidth="1"/>
    <col min="10" max="14" width="14" style="165" customWidth="1"/>
    <col min="15" max="15" width="15.33203125" style="165" customWidth="1"/>
    <col min="16" max="16" width="13" style="165" customWidth="1"/>
    <col min="17" max="17" width="12" style="165" customWidth="1"/>
    <col min="18" max="19" width="13.44140625" style="165" customWidth="1"/>
    <col min="20" max="20" width="11.33203125" style="165" customWidth="1"/>
    <col min="21" max="21" width="12.44140625" style="165" customWidth="1"/>
    <col min="22" max="22" width="11.44140625" style="165"/>
    <col min="23" max="23" width="12.88671875" style="290" customWidth="1"/>
    <col min="24" max="78" width="11.33203125" style="290" customWidth="1"/>
    <col min="79" max="79" width="11.33203125" style="1438" hidden="1" customWidth="1"/>
    <col min="80" max="80" width="11.33203125" style="1435" hidden="1" customWidth="1"/>
    <col min="81" max="105" width="11.33203125" style="1429" hidden="1" customWidth="1"/>
    <col min="106" max="108" width="11.33203125" style="3205" hidden="1" customWidth="1"/>
    <col min="109" max="131" width="11.44140625" style="3205" hidden="1" customWidth="1"/>
    <col min="132" max="16384" width="11.44140625" style="165"/>
  </cols>
  <sheetData>
    <row r="1" spans="1:114" ht="16.350000000000001" customHeight="1" x14ac:dyDescent="0.25">
      <c r="B1" s="150" t="s">
        <v>207</v>
      </c>
    </row>
    <row r="2" spans="1:114" ht="16.350000000000001" customHeight="1" x14ac:dyDescent="0.25">
      <c r="B2" s="150" t="str">
        <f>CONCATENATE("COMUNA: ",NOMBRE!B2," - ","( ",NOMBRE!C2,NOMBRE!D2,NOMBRE!E2,NOMBRE!F2,NOMBRE!G2," )")</f>
        <v>COMUNA:  - (  )</v>
      </c>
    </row>
    <row r="3" spans="1:114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</row>
    <row r="4" spans="1:114" ht="16.350000000000001" customHeight="1" x14ac:dyDescent="0.25">
      <c r="B4" s="150" t="str">
        <f>CONCATENATE("MES: ",NOMBRE!B6," - ","( ",NOMBRE!C6,NOMBRE!D6," )")</f>
        <v>MES:  - (  )</v>
      </c>
    </row>
    <row r="5" spans="1:114" ht="16.350000000000001" customHeight="1" x14ac:dyDescent="0.25">
      <c r="B5" s="150" t="str">
        <f>CONCATENATE("AÑO: ",NOMBRE!B7)</f>
        <v>AÑO: 2023</v>
      </c>
    </row>
    <row r="6" spans="1:114" ht="15" customHeight="1" x14ac:dyDescent="0.25">
      <c r="B6" s="8629" t="s">
        <v>3755</v>
      </c>
      <c r="C6" s="8629"/>
      <c r="D6" s="8629"/>
      <c r="E6" s="8629"/>
      <c r="F6" s="8629"/>
      <c r="G6" s="8629"/>
      <c r="H6" s="8629"/>
      <c r="I6" s="8629"/>
      <c r="J6" s="8629"/>
      <c r="K6" s="8629"/>
      <c r="L6" s="8629"/>
      <c r="M6" s="8629"/>
      <c r="N6" s="817"/>
      <c r="O6" s="150"/>
      <c r="P6" s="140"/>
      <c r="Q6" s="140"/>
      <c r="R6" s="140"/>
      <c r="S6" s="140"/>
    </row>
    <row r="7" spans="1:114" ht="16.2" x14ac:dyDescent="0.25">
      <c r="B7" s="1096"/>
      <c r="C7" s="1096"/>
      <c r="D7" s="1096"/>
      <c r="E7" s="1096"/>
      <c r="F7" s="1096"/>
      <c r="G7" s="1096"/>
      <c r="H7" s="1096"/>
      <c r="I7" s="1096"/>
      <c r="J7" s="1096"/>
      <c r="K7" s="1096"/>
      <c r="L7" s="1096"/>
      <c r="M7" s="1096"/>
      <c r="N7" s="817"/>
      <c r="O7" s="150"/>
      <c r="P7" s="140"/>
      <c r="Q7" s="140"/>
      <c r="R7" s="140"/>
      <c r="S7" s="140"/>
    </row>
    <row r="8" spans="1:114" x14ac:dyDescent="0.25">
      <c r="B8" s="3460" t="s">
        <v>3019</v>
      </c>
      <c r="C8" s="751"/>
      <c r="D8" s="751"/>
      <c r="E8" s="751"/>
      <c r="F8" s="751"/>
      <c r="G8" s="751"/>
      <c r="H8" s="751"/>
      <c r="I8" s="751"/>
      <c r="J8" s="751"/>
      <c r="K8" s="751"/>
      <c r="L8" s="751"/>
      <c r="M8" s="751"/>
      <c r="N8" s="751"/>
      <c r="O8" s="674"/>
      <c r="P8" s="674"/>
      <c r="Q8" s="140"/>
      <c r="R8" s="140"/>
      <c r="S8" s="140"/>
      <c r="T8" s="140"/>
      <c r="W8" s="165"/>
    </row>
    <row r="9" spans="1:114" ht="24" customHeight="1" x14ac:dyDescent="0.25">
      <c r="B9" s="8907" t="s">
        <v>3020</v>
      </c>
      <c r="C9" s="8557"/>
      <c r="D9" s="10381" t="s">
        <v>3632</v>
      </c>
      <c r="E9" s="10483" t="s">
        <v>3021</v>
      </c>
      <c r="F9" s="10484"/>
      <c r="G9" s="10484"/>
      <c r="H9" s="10485"/>
      <c r="I9" s="10397" t="s">
        <v>3022</v>
      </c>
      <c r="J9" s="10398"/>
      <c r="K9" s="10398"/>
      <c r="L9" s="10399"/>
      <c r="M9" s="8923" t="s">
        <v>3023</v>
      </c>
      <c r="N9" s="10397" t="s">
        <v>3630</v>
      </c>
      <c r="O9" s="10398"/>
      <c r="P9" s="10398"/>
      <c r="Q9" s="10398"/>
      <c r="R9" s="10398"/>
      <c r="S9" s="10399"/>
      <c r="T9" s="10400" t="s">
        <v>3631</v>
      </c>
      <c r="U9" s="10401"/>
      <c r="V9" s="10401"/>
      <c r="W9" s="10402"/>
      <c r="X9" s="9038" t="s">
        <v>1316</v>
      </c>
      <c r="Y9" s="9038" t="s">
        <v>3024</v>
      </c>
      <c r="Z9" s="9038" t="s">
        <v>362</v>
      </c>
      <c r="AA9" s="10381" t="s">
        <v>361</v>
      </c>
      <c r="AB9" s="9783" t="s">
        <v>363</v>
      </c>
      <c r="AC9" s="9575"/>
      <c r="CA9" s="290"/>
      <c r="CB9" s="1438"/>
      <c r="CC9" s="1435"/>
      <c r="DB9" s="1429"/>
    </row>
    <row r="10" spans="1:114" ht="39.75" customHeight="1" x14ac:dyDescent="0.25">
      <c r="B10" s="10429"/>
      <c r="C10" s="8581"/>
      <c r="D10" s="10382"/>
      <c r="E10" s="10383" t="s">
        <v>3979</v>
      </c>
      <c r="F10" s="10385" t="s">
        <v>663</v>
      </c>
      <c r="G10" s="9954" t="s">
        <v>3695</v>
      </c>
      <c r="H10" s="8557" t="s">
        <v>3978</v>
      </c>
      <c r="I10" s="10386" t="s">
        <v>1322</v>
      </c>
      <c r="J10" s="10388" t="s">
        <v>1321</v>
      </c>
      <c r="K10" s="10388" t="s">
        <v>1320</v>
      </c>
      <c r="L10" s="8946" t="s">
        <v>1319</v>
      </c>
      <c r="M10" s="8923"/>
      <c r="N10" s="10389" t="s">
        <v>3025</v>
      </c>
      <c r="O10" s="10391" t="s">
        <v>3026</v>
      </c>
      <c r="P10" s="10391" t="s">
        <v>3027</v>
      </c>
      <c r="Q10" s="10391" t="s">
        <v>1318</v>
      </c>
      <c r="R10" s="10391" t="s">
        <v>1317</v>
      </c>
      <c r="S10" s="10393" t="s">
        <v>3028</v>
      </c>
      <c r="T10" s="10395" t="s">
        <v>3029</v>
      </c>
      <c r="U10" s="10396"/>
      <c r="V10" s="10403" t="s">
        <v>3030</v>
      </c>
      <c r="W10" s="10396"/>
      <c r="X10" s="8626"/>
      <c r="Y10" s="8626"/>
      <c r="Z10" s="8626"/>
      <c r="AA10" s="10382"/>
      <c r="AB10" s="10429"/>
      <c r="AC10" s="8581"/>
      <c r="CA10" s="290"/>
      <c r="CB10" s="1438"/>
      <c r="CC10" s="1435"/>
      <c r="DB10" s="1429"/>
    </row>
    <row r="11" spans="1:114" ht="30.6" x14ac:dyDescent="0.25">
      <c r="B11" s="8922"/>
      <c r="C11" s="8702"/>
      <c r="D11" s="8892"/>
      <c r="E11" s="10384"/>
      <c r="F11" s="10244"/>
      <c r="G11" s="9956"/>
      <c r="H11" s="8702"/>
      <c r="I11" s="10387"/>
      <c r="J11" s="9964"/>
      <c r="K11" s="9964"/>
      <c r="L11" s="10213"/>
      <c r="M11" s="8923"/>
      <c r="N11" s="10390"/>
      <c r="O11" s="10392"/>
      <c r="P11" s="10392"/>
      <c r="Q11" s="10392"/>
      <c r="R11" s="10392"/>
      <c r="S11" s="10394"/>
      <c r="T11" s="2999" t="s">
        <v>3031</v>
      </c>
      <c r="U11" s="3049" t="s">
        <v>3032</v>
      </c>
      <c r="V11" s="2993" t="s">
        <v>3031</v>
      </c>
      <c r="W11" s="2993" t="s">
        <v>3032</v>
      </c>
      <c r="X11" s="8890"/>
      <c r="Y11" s="8890"/>
      <c r="Z11" s="8890"/>
      <c r="AA11" s="8892"/>
      <c r="AB11" s="3664" t="s">
        <v>358</v>
      </c>
      <c r="AC11" s="3664" t="s">
        <v>359</v>
      </c>
      <c r="CA11" s="290"/>
      <c r="CB11" s="1438"/>
      <c r="CC11" s="1435"/>
      <c r="DB11" s="1429"/>
    </row>
    <row r="12" spans="1:114" ht="16.95" customHeight="1" x14ac:dyDescent="0.25">
      <c r="A12" s="7267"/>
      <c r="B12" s="10421" t="s">
        <v>1315</v>
      </c>
      <c r="C12" s="10422"/>
      <c r="D12" s="3461">
        <f>SUM(D13:D16)</f>
        <v>0</v>
      </c>
      <c r="E12" s="3461">
        <f t="shared" ref="E12:AC12" si="0">SUM(E13:E16)</f>
        <v>0</v>
      </c>
      <c r="F12" s="3461">
        <f t="shared" si="0"/>
        <v>0</v>
      </c>
      <c r="G12" s="3461">
        <f t="shared" si="0"/>
        <v>0</v>
      </c>
      <c r="H12" s="3461">
        <f t="shared" si="0"/>
        <v>0</v>
      </c>
      <c r="I12" s="3461">
        <f t="shared" si="0"/>
        <v>0</v>
      </c>
      <c r="J12" s="3461">
        <f t="shared" si="0"/>
        <v>0</v>
      </c>
      <c r="K12" s="3461">
        <f t="shared" si="0"/>
        <v>0</v>
      </c>
      <c r="L12" s="3461">
        <f t="shared" si="0"/>
        <v>0</v>
      </c>
      <c r="M12" s="3461">
        <f t="shared" si="0"/>
        <v>0</v>
      </c>
      <c r="N12" s="3461">
        <f t="shared" si="0"/>
        <v>0</v>
      </c>
      <c r="O12" s="3461">
        <f t="shared" si="0"/>
        <v>0</v>
      </c>
      <c r="P12" s="3461">
        <f t="shared" si="0"/>
        <v>0</v>
      </c>
      <c r="Q12" s="3461">
        <f t="shared" si="0"/>
        <v>0</v>
      </c>
      <c r="R12" s="3461">
        <f t="shared" si="0"/>
        <v>0</v>
      </c>
      <c r="S12" s="3461">
        <f t="shared" si="0"/>
        <v>0</v>
      </c>
      <c r="T12" s="3461">
        <f t="shared" si="0"/>
        <v>0</v>
      </c>
      <c r="U12" s="3461">
        <f t="shared" si="0"/>
        <v>0</v>
      </c>
      <c r="V12" s="3461">
        <f t="shared" si="0"/>
        <v>0</v>
      </c>
      <c r="W12" s="3461">
        <f t="shared" si="0"/>
        <v>0</v>
      </c>
      <c r="X12" s="3461">
        <f t="shared" si="0"/>
        <v>0</v>
      </c>
      <c r="Y12" s="3461">
        <f t="shared" si="0"/>
        <v>0</v>
      </c>
      <c r="Z12" s="3461">
        <f t="shared" si="0"/>
        <v>0</v>
      </c>
      <c r="AA12" s="3461">
        <f t="shared" si="0"/>
        <v>0</v>
      </c>
      <c r="AB12" s="3461">
        <f t="shared" si="0"/>
        <v>0</v>
      </c>
      <c r="AC12" s="3461">
        <f t="shared" si="0"/>
        <v>0</v>
      </c>
      <c r="CA12" s="290"/>
      <c r="CB12" s="1438"/>
      <c r="CC12" s="1435"/>
      <c r="DB12" s="1429"/>
      <c r="DC12" s="3253" t="s">
        <v>3557</v>
      </c>
      <c r="DD12" s="3253" t="s">
        <v>3558</v>
      </c>
      <c r="DE12" s="3254" t="s">
        <v>3559</v>
      </c>
      <c r="DF12" s="3254" t="s">
        <v>3560</v>
      </c>
      <c r="DG12" s="3254" t="s">
        <v>3561</v>
      </c>
      <c r="DH12" s="3254"/>
      <c r="DJ12" s="3254"/>
    </row>
    <row r="13" spans="1:114" x14ac:dyDescent="0.25">
      <c r="A13" s="7265" t="s">
        <v>5051</v>
      </c>
      <c r="B13" s="10423" t="s">
        <v>3033</v>
      </c>
      <c r="C13" s="10424"/>
      <c r="D13" s="3033" t="s">
        <v>5369</v>
      </c>
      <c r="E13" s="2985" t="s">
        <v>5370</v>
      </c>
      <c r="F13" s="3032" t="s">
        <v>5371</v>
      </c>
      <c r="G13" s="3032" t="s">
        <v>5372</v>
      </c>
      <c r="H13" s="2814" t="s">
        <v>5373</v>
      </c>
      <c r="I13" s="2985" t="s">
        <v>5374</v>
      </c>
      <c r="J13" s="2987" t="s">
        <v>5375</v>
      </c>
      <c r="K13" s="2987" t="s">
        <v>5376</v>
      </c>
      <c r="L13" s="2814" t="s">
        <v>5377</v>
      </c>
      <c r="M13" s="3033" t="s">
        <v>5378</v>
      </c>
      <c r="N13" s="2987" t="s">
        <v>5379</v>
      </c>
      <c r="O13" s="2987" t="s">
        <v>5380</v>
      </c>
      <c r="P13" s="2987" t="s">
        <v>5381</v>
      </c>
      <c r="Q13" s="2987" t="s">
        <v>5382</v>
      </c>
      <c r="R13" s="2987" t="s">
        <v>5383</v>
      </c>
      <c r="S13" s="2986" t="s">
        <v>5384</v>
      </c>
      <c r="T13" s="2985" t="s">
        <v>5385</v>
      </c>
      <c r="U13" s="2986" t="s">
        <v>5386</v>
      </c>
      <c r="V13" s="3032" t="s">
        <v>5387</v>
      </c>
      <c r="W13" s="2814" t="s">
        <v>5388</v>
      </c>
      <c r="X13" s="2986" t="s">
        <v>5389</v>
      </c>
      <c r="Y13" s="2986" t="s">
        <v>5390</v>
      </c>
      <c r="Z13" s="2986" t="s">
        <v>5391</v>
      </c>
      <c r="AA13" s="2986" t="s">
        <v>5392</v>
      </c>
      <c r="AB13" s="2986" t="s">
        <v>5393</v>
      </c>
      <c r="AC13" s="2986" t="s">
        <v>5394</v>
      </c>
      <c r="CA13" s="290"/>
      <c r="CB13" s="1438"/>
      <c r="CC13" s="1436" t="str">
        <f>IF(DC13=1," * El Total de partos por edad no puede ser mayor al Total de Partos registrado. ","")</f>
        <v/>
      </c>
      <c r="CD13" s="1436" t="str">
        <f>IF(DD13=1," * El Total de partos prematuros no puede ser mayor al Total de Partos registrado. ","")</f>
        <v/>
      </c>
      <c r="CE13" s="1436" t="str">
        <f>IF(DE13=1," * El Total de partos de personas pertenecientes a pueblos originarios no puede ser mayor al Total de Partos registrado. ","")</f>
        <v xml:space="preserve"> * El Total de partos de personas pertenecientes a pueblos originarios no puede ser mayor al Total de Partos registrado. </v>
      </c>
      <c r="CF13" s="1436" t="str">
        <f>IF(DF13=1," * El Total de partos de Personas Migrantes no puede ser mayor al Total de Partos registrado. ","")</f>
        <v xml:space="preserve"> * El Total de partos de Personas Migrantes no puede ser mayor al Total de Partos registrado. </v>
      </c>
      <c r="CG13" s="1436" t="str">
        <f>IF(DG13=1," * El Total de partos de Personas Trans no puede ser mayor al Total de Partos registrado. ","")</f>
        <v xml:space="preserve"> * El Total de partos de Personas Trans no puede ser mayor al Total de Partos registrado. </v>
      </c>
      <c r="DB13" s="1429"/>
      <c r="DC13" s="1439">
        <f>IF($D13&lt;(SUM(E13:H13)),1,0)</f>
        <v>0</v>
      </c>
      <c r="DD13" s="1439">
        <f>IF($D13&lt;(SUM(I13:L13)),1,0)</f>
        <v>0</v>
      </c>
      <c r="DE13" s="1439">
        <f>IF($D13&lt;Z13,1,0)</f>
        <v>1</v>
      </c>
      <c r="DF13" s="1439">
        <f>IF($D13&lt;AA13,1,0)</f>
        <v>1</v>
      </c>
      <c r="DG13" s="1439">
        <f>IF($D13&lt;AB13,1,0)</f>
        <v>1</v>
      </c>
    </row>
    <row r="14" spans="1:114" x14ac:dyDescent="0.25">
      <c r="A14" s="7320">
        <v>29101714</v>
      </c>
      <c r="B14" s="10425" t="s">
        <v>3034</v>
      </c>
      <c r="C14" s="10426"/>
      <c r="D14" s="2994" t="s">
        <v>5369</v>
      </c>
      <c r="E14" s="2956" t="s">
        <v>5370</v>
      </c>
      <c r="F14" s="3054" t="s">
        <v>5371</v>
      </c>
      <c r="G14" s="3054" t="s">
        <v>5372</v>
      </c>
      <c r="H14" s="3041" t="s">
        <v>5373</v>
      </c>
      <c r="I14" s="2956" t="s">
        <v>5374</v>
      </c>
      <c r="J14" s="2995" t="s">
        <v>5375</v>
      </c>
      <c r="K14" s="2995" t="s">
        <v>5376</v>
      </c>
      <c r="L14" s="3041" t="s">
        <v>5377</v>
      </c>
      <c r="M14" s="2994" t="s">
        <v>5378</v>
      </c>
      <c r="N14" s="2995" t="s">
        <v>5379</v>
      </c>
      <c r="O14" s="2995" t="s">
        <v>5380</v>
      </c>
      <c r="P14" s="2995" t="s">
        <v>5381</v>
      </c>
      <c r="Q14" s="2995" t="s">
        <v>5382</v>
      </c>
      <c r="R14" s="2995" t="s">
        <v>5383</v>
      </c>
      <c r="S14" s="1844" t="s">
        <v>5384</v>
      </c>
      <c r="T14" s="2956" t="s">
        <v>5385</v>
      </c>
      <c r="U14" s="1844" t="s">
        <v>5386</v>
      </c>
      <c r="V14" s="3054" t="s">
        <v>5387</v>
      </c>
      <c r="W14" s="3041" t="s">
        <v>5388</v>
      </c>
      <c r="X14" s="1844" t="s">
        <v>5389</v>
      </c>
      <c r="Y14" s="1844" t="s">
        <v>5390</v>
      </c>
      <c r="Z14" s="1844" t="s">
        <v>5391</v>
      </c>
      <c r="AA14" s="1844" t="s">
        <v>5392</v>
      </c>
      <c r="AB14" s="1844" t="s">
        <v>5393</v>
      </c>
      <c r="AC14" s="1844" t="s">
        <v>5394</v>
      </c>
      <c r="CA14" s="290"/>
      <c r="CB14" s="1438"/>
      <c r="CC14" s="1436" t="str">
        <f t="shared" ref="CC14:CC22" si="1">IF(DC14=1," * El Total de partos por edad no puede ser mayor al Total de Partos registrado. ","")</f>
        <v/>
      </c>
      <c r="CD14" s="1436" t="str">
        <f t="shared" ref="CD14:CD22" si="2">IF(DD14=1," * El Total de partos prematuros no puede ser mayor al Total de Partos registrado. ","")</f>
        <v/>
      </c>
      <c r="CE14" s="1436" t="str">
        <f t="shared" ref="CE14:CE22" si="3">IF(DE14=1," * El Total de partos de personas pertenecientes a pueblos originarios no puede ser mayor al Total de Partos registrado. ","")</f>
        <v xml:space="preserve"> * El Total de partos de personas pertenecientes a pueblos originarios no puede ser mayor al Total de Partos registrado. </v>
      </c>
      <c r="CF14" s="1436" t="str">
        <f t="shared" ref="CF14:CF22" si="4">IF(DF14=1," * El Total de partos de Personas Migrantes no puede ser mayor al Total de Partos registrado. ","")</f>
        <v xml:space="preserve"> * El Total de partos de Personas Migrantes no puede ser mayor al Total de Partos registrado. </v>
      </c>
      <c r="CG14" s="1436" t="str">
        <f t="shared" ref="CG14:CG22" si="5">IF(DG14=1," * El Total de partos de Personas Trans no puede ser mayor al Total de Partos registrado. ","")</f>
        <v xml:space="preserve"> * El Total de partos de Personas Trans no puede ser mayor al Total de Partos registrado. </v>
      </c>
      <c r="DB14" s="1429"/>
      <c r="DC14" s="1439">
        <f t="shared" ref="DC14:DC22" si="6">IF(D14&lt;(SUM(E14:H14)),1,0)</f>
        <v>0</v>
      </c>
      <c r="DD14" s="1439">
        <f t="shared" ref="DD14:DD22" si="7">IF(D14&lt;(SUM(I14:L14)),1,0)</f>
        <v>0</v>
      </c>
      <c r="DE14" s="1439">
        <f t="shared" ref="DE14:DE22" si="8">IF($D14&lt;Z14,1,0)</f>
        <v>1</v>
      </c>
      <c r="DF14" s="1439">
        <f t="shared" ref="DF14:DF22" si="9">IF($D14&lt;AA14,1,0)</f>
        <v>1</v>
      </c>
      <c r="DG14" s="1439">
        <f t="shared" ref="DG14:DG22" si="10">IF($D14&lt;AB14,1,0)</f>
        <v>1</v>
      </c>
    </row>
    <row r="15" spans="1:114" x14ac:dyDescent="0.25">
      <c r="A15" s="7265" t="s">
        <v>5052</v>
      </c>
      <c r="B15" s="10425" t="s">
        <v>1314</v>
      </c>
      <c r="C15" s="10426"/>
      <c r="D15" s="2994" t="s">
        <v>5369</v>
      </c>
      <c r="E15" s="2956" t="s">
        <v>5370</v>
      </c>
      <c r="F15" s="3054" t="s">
        <v>5371</v>
      </c>
      <c r="G15" s="3054" t="s">
        <v>5372</v>
      </c>
      <c r="H15" s="3041" t="s">
        <v>5373</v>
      </c>
      <c r="I15" s="2956" t="s">
        <v>5374</v>
      </c>
      <c r="J15" s="2995" t="s">
        <v>5375</v>
      </c>
      <c r="K15" s="2995" t="s">
        <v>5376</v>
      </c>
      <c r="L15" s="3041" t="s">
        <v>5377</v>
      </c>
      <c r="M15" s="2994" t="s">
        <v>5378</v>
      </c>
      <c r="N15" s="2995" t="s">
        <v>5379</v>
      </c>
      <c r="O15" s="2995" t="s">
        <v>5380</v>
      </c>
      <c r="P15" s="2995" t="s">
        <v>5381</v>
      </c>
      <c r="Q15" s="2995" t="s">
        <v>5382</v>
      </c>
      <c r="R15" s="2995" t="s">
        <v>5383</v>
      </c>
      <c r="S15" s="1844" t="s">
        <v>5384</v>
      </c>
      <c r="T15" s="2956" t="s">
        <v>5385</v>
      </c>
      <c r="U15" s="1844" t="s">
        <v>5386</v>
      </c>
      <c r="V15" s="3054" t="s">
        <v>5387</v>
      </c>
      <c r="W15" s="3041" t="s">
        <v>5388</v>
      </c>
      <c r="X15" s="1844" t="s">
        <v>5389</v>
      </c>
      <c r="Y15" s="1844" t="s">
        <v>5390</v>
      </c>
      <c r="Z15" s="1844" t="s">
        <v>5391</v>
      </c>
      <c r="AA15" s="1844" t="s">
        <v>5392</v>
      </c>
      <c r="AB15" s="1844" t="s">
        <v>5393</v>
      </c>
      <c r="AC15" s="1844" t="s">
        <v>5394</v>
      </c>
      <c r="CA15" s="290"/>
      <c r="CB15" s="1438"/>
      <c r="CC15" s="1436" t="str">
        <f t="shared" si="1"/>
        <v/>
      </c>
      <c r="CD15" s="1436" t="str">
        <f t="shared" si="2"/>
        <v/>
      </c>
      <c r="CE15" s="1436" t="str">
        <f t="shared" si="3"/>
        <v xml:space="preserve"> * El Total de partos de personas pertenecientes a pueblos originarios no puede ser mayor al Total de Partos registrado. </v>
      </c>
      <c r="CF15" s="1436" t="str">
        <f t="shared" si="4"/>
        <v xml:space="preserve"> * El Total de partos de Personas Migrantes no puede ser mayor al Total de Partos registrado. </v>
      </c>
      <c r="CG15" s="1436" t="str">
        <f t="shared" si="5"/>
        <v xml:space="preserve"> * El Total de partos de Personas Trans no puede ser mayor al Total de Partos registrado. </v>
      </c>
      <c r="DB15" s="1429"/>
      <c r="DC15" s="1439">
        <f t="shared" si="6"/>
        <v>0</v>
      </c>
      <c r="DD15" s="1439">
        <f t="shared" si="7"/>
        <v>0</v>
      </c>
      <c r="DE15" s="1439">
        <f t="shared" si="8"/>
        <v>1</v>
      </c>
      <c r="DF15" s="1439">
        <f t="shared" si="9"/>
        <v>1</v>
      </c>
      <c r="DG15" s="1439">
        <f t="shared" si="10"/>
        <v>1</v>
      </c>
    </row>
    <row r="16" spans="1:114" x14ac:dyDescent="0.25">
      <c r="A16" s="7258">
        <v>24090700</v>
      </c>
      <c r="B16" s="10425" t="s">
        <v>1313</v>
      </c>
      <c r="C16" s="10426"/>
      <c r="D16" s="2994" t="s">
        <v>5369</v>
      </c>
      <c r="E16" s="2956" t="s">
        <v>5370</v>
      </c>
      <c r="F16" s="3054" t="s">
        <v>5371</v>
      </c>
      <c r="G16" s="3054" t="s">
        <v>5372</v>
      </c>
      <c r="H16" s="3041" t="s">
        <v>5373</v>
      </c>
      <c r="I16" s="2956" t="s">
        <v>5374</v>
      </c>
      <c r="J16" s="2995" t="s">
        <v>5375</v>
      </c>
      <c r="K16" s="2995" t="s">
        <v>5376</v>
      </c>
      <c r="L16" s="3041" t="s">
        <v>5377</v>
      </c>
      <c r="M16" s="2994" t="s">
        <v>5378</v>
      </c>
      <c r="N16" s="2995" t="s">
        <v>5379</v>
      </c>
      <c r="O16" s="2995" t="s">
        <v>5380</v>
      </c>
      <c r="P16" s="2995" t="s">
        <v>5381</v>
      </c>
      <c r="Q16" s="2995" t="s">
        <v>5382</v>
      </c>
      <c r="R16" s="2995" t="s">
        <v>5383</v>
      </c>
      <c r="S16" s="1844" t="s">
        <v>5384</v>
      </c>
      <c r="T16" s="2956" t="s">
        <v>5385</v>
      </c>
      <c r="U16" s="1844" t="s">
        <v>5386</v>
      </c>
      <c r="V16" s="3054" t="s">
        <v>5387</v>
      </c>
      <c r="W16" s="3041" t="s">
        <v>5388</v>
      </c>
      <c r="X16" s="1844" t="s">
        <v>5389</v>
      </c>
      <c r="Y16" s="1844" t="s">
        <v>5390</v>
      </c>
      <c r="Z16" s="1844" t="s">
        <v>5391</v>
      </c>
      <c r="AA16" s="1844" t="s">
        <v>5392</v>
      </c>
      <c r="AB16" s="1844" t="s">
        <v>5393</v>
      </c>
      <c r="AC16" s="1844" t="s">
        <v>5394</v>
      </c>
      <c r="CA16" s="290"/>
      <c r="CB16" s="1438"/>
      <c r="CC16" s="1436" t="str">
        <f t="shared" si="1"/>
        <v/>
      </c>
      <c r="CD16" s="1436" t="str">
        <f t="shared" si="2"/>
        <v/>
      </c>
      <c r="CE16" s="1436" t="str">
        <f t="shared" si="3"/>
        <v xml:space="preserve"> * El Total de partos de personas pertenecientes a pueblos originarios no puede ser mayor al Total de Partos registrado. </v>
      </c>
      <c r="CF16" s="1436" t="str">
        <f t="shared" si="4"/>
        <v xml:space="preserve"> * El Total de partos de Personas Migrantes no puede ser mayor al Total de Partos registrado. </v>
      </c>
      <c r="CG16" s="1436" t="str">
        <f t="shared" si="5"/>
        <v xml:space="preserve"> * El Total de partos de Personas Trans no puede ser mayor al Total de Partos registrado. </v>
      </c>
      <c r="DB16" s="1429"/>
      <c r="DC16" s="1439">
        <f t="shared" si="6"/>
        <v>0</v>
      </c>
      <c r="DD16" s="1439">
        <f t="shared" si="7"/>
        <v>0</v>
      </c>
      <c r="DE16" s="1439">
        <f t="shared" si="8"/>
        <v>1</v>
      </c>
      <c r="DF16" s="1439">
        <f t="shared" si="9"/>
        <v>1</v>
      </c>
      <c r="DG16" s="1439">
        <f t="shared" si="10"/>
        <v>1</v>
      </c>
    </row>
    <row r="17" spans="1:111" x14ac:dyDescent="0.25">
      <c r="A17" s="7294">
        <v>29101715</v>
      </c>
      <c r="B17" s="9847" t="s">
        <v>3035</v>
      </c>
      <c r="C17" s="9849"/>
      <c r="D17" s="2994" t="s">
        <v>5369</v>
      </c>
      <c r="E17" s="2956" t="s">
        <v>5370</v>
      </c>
      <c r="F17" s="3054" t="s">
        <v>5371</v>
      </c>
      <c r="G17" s="3054" t="s">
        <v>5372</v>
      </c>
      <c r="H17" s="3041" t="s">
        <v>5373</v>
      </c>
      <c r="I17" s="2956" t="s">
        <v>5374</v>
      </c>
      <c r="J17" s="2995" t="s">
        <v>5375</v>
      </c>
      <c r="K17" s="2995" t="s">
        <v>5376</v>
      </c>
      <c r="L17" s="3041" t="s">
        <v>5377</v>
      </c>
      <c r="M17" s="2994" t="s">
        <v>5378</v>
      </c>
      <c r="N17" s="2995" t="s">
        <v>5379</v>
      </c>
      <c r="O17" s="2995" t="s">
        <v>5380</v>
      </c>
      <c r="P17" s="2995" t="s">
        <v>5381</v>
      </c>
      <c r="Q17" s="2995" t="s">
        <v>5382</v>
      </c>
      <c r="R17" s="2995" t="s">
        <v>5383</v>
      </c>
      <c r="S17" s="1844" t="s">
        <v>5384</v>
      </c>
      <c r="T17" s="2956" t="s">
        <v>5385</v>
      </c>
      <c r="U17" s="1844" t="s">
        <v>5386</v>
      </c>
      <c r="V17" s="3054" t="s">
        <v>5387</v>
      </c>
      <c r="W17" s="3041" t="s">
        <v>5388</v>
      </c>
      <c r="X17" s="1844" t="s">
        <v>5389</v>
      </c>
      <c r="Y17" s="1844" t="s">
        <v>5390</v>
      </c>
      <c r="Z17" s="1844" t="s">
        <v>5391</v>
      </c>
      <c r="AA17" s="1844" t="s">
        <v>5392</v>
      </c>
      <c r="AB17" s="1844" t="s">
        <v>5393</v>
      </c>
      <c r="AC17" s="1844" t="s">
        <v>5394</v>
      </c>
      <c r="CA17" s="290"/>
      <c r="CB17" s="1438"/>
      <c r="CC17" s="1436" t="str">
        <f t="shared" si="1"/>
        <v/>
      </c>
      <c r="CD17" s="1436" t="str">
        <f t="shared" si="2"/>
        <v/>
      </c>
      <c r="CE17" s="1436" t="str">
        <f t="shared" si="3"/>
        <v xml:space="preserve"> * El Total de partos de personas pertenecientes a pueblos originarios no puede ser mayor al Total de Partos registrado. </v>
      </c>
      <c r="CF17" s="1436" t="str">
        <f t="shared" si="4"/>
        <v xml:space="preserve"> * El Total de partos de Personas Migrantes no puede ser mayor al Total de Partos registrado. </v>
      </c>
      <c r="CG17" s="1436" t="str">
        <f t="shared" si="5"/>
        <v xml:space="preserve"> * El Total de partos de Personas Trans no puede ser mayor al Total de Partos registrado. </v>
      </c>
      <c r="DB17" s="1429"/>
      <c r="DC17" s="1439">
        <f t="shared" si="6"/>
        <v>0</v>
      </c>
      <c r="DD17" s="1439">
        <f t="shared" si="7"/>
        <v>0</v>
      </c>
      <c r="DE17" s="1439">
        <f t="shared" si="8"/>
        <v>1</v>
      </c>
      <c r="DF17" s="1439">
        <f t="shared" si="9"/>
        <v>1</v>
      </c>
      <c r="DG17" s="1439">
        <f t="shared" si="10"/>
        <v>1</v>
      </c>
    </row>
    <row r="18" spans="1:111" ht="14.4" thickBot="1" x14ac:dyDescent="0.3">
      <c r="A18" s="7294">
        <v>29101716</v>
      </c>
      <c r="B18" s="10427" t="s">
        <v>3748</v>
      </c>
      <c r="C18" s="10428"/>
      <c r="D18" s="542" t="s">
        <v>5369</v>
      </c>
      <c r="E18" s="543" t="s">
        <v>5370</v>
      </c>
      <c r="F18" s="544" t="s">
        <v>5371</v>
      </c>
      <c r="G18" s="544" t="s">
        <v>5372</v>
      </c>
      <c r="H18" s="541" t="s">
        <v>5373</v>
      </c>
      <c r="I18" s="543" t="s">
        <v>5374</v>
      </c>
      <c r="J18" s="589" t="s">
        <v>5375</v>
      </c>
      <c r="K18" s="589" t="s">
        <v>5376</v>
      </c>
      <c r="L18" s="541" t="s">
        <v>5377</v>
      </c>
      <c r="M18" s="542" t="s">
        <v>5378</v>
      </c>
      <c r="N18" s="589" t="s">
        <v>5379</v>
      </c>
      <c r="O18" s="589" t="s">
        <v>5380</v>
      </c>
      <c r="P18" s="589" t="s">
        <v>5381</v>
      </c>
      <c r="Q18" s="589" t="s">
        <v>5382</v>
      </c>
      <c r="R18" s="589" t="s">
        <v>5383</v>
      </c>
      <c r="S18" s="3462" t="s">
        <v>5384</v>
      </c>
      <c r="T18" s="543" t="s">
        <v>5385</v>
      </c>
      <c r="U18" s="3462" t="s">
        <v>5386</v>
      </c>
      <c r="V18" s="544" t="s">
        <v>5387</v>
      </c>
      <c r="W18" s="541" t="s">
        <v>5388</v>
      </c>
      <c r="X18" s="3462" t="s">
        <v>5389</v>
      </c>
      <c r="Y18" s="3462" t="s">
        <v>5390</v>
      </c>
      <c r="Z18" s="3462" t="s">
        <v>5391</v>
      </c>
      <c r="AA18" s="3462" t="s">
        <v>5392</v>
      </c>
      <c r="AB18" s="3462" t="s">
        <v>5393</v>
      </c>
      <c r="AC18" s="3462" t="s">
        <v>5394</v>
      </c>
      <c r="CA18" s="290"/>
      <c r="CB18" s="1438"/>
      <c r="CC18" s="1436" t="str">
        <f t="shared" si="1"/>
        <v/>
      </c>
      <c r="CD18" s="1436" t="str">
        <f t="shared" si="2"/>
        <v/>
      </c>
      <c r="CE18" s="1436" t="str">
        <f t="shared" si="3"/>
        <v xml:space="preserve"> * El Total de partos de personas pertenecientes a pueblos originarios no puede ser mayor al Total de Partos registrado. </v>
      </c>
      <c r="CF18" s="1436" t="str">
        <f t="shared" si="4"/>
        <v xml:space="preserve"> * El Total de partos de Personas Migrantes no puede ser mayor al Total de Partos registrado. </v>
      </c>
      <c r="CG18" s="1436" t="str">
        <f t="shared" si="5"/>
        <v xml:space="preserve"> * El Total de partos de Personas Trans no puede ser mayor al Total de Partos registrado. </v>
      </c>
      <c r="DB18" s="1429"/>
      <c r="DC18" s="1439">
        <f t="shared" si="6"/>
        <v>0</v>
      </c>
      <c r="DD18" s="1439">
        <f t="shared" si="7"/>
        <v>0</v>
      </c>
      <c r="DE18" s="1439">
        <f t="shared" si="8"/>
        <v>1</v>
      </c>
      <c r="DF18" s="1439">
        <f t="shared" si="9"/>
        <v>1</v>
      </c>
      <c r="DG18" s="1439">
        <f t="shared" si="10"/>
        <v>1</v>
      </c>
    </row>
    <row r="19" spans="1:111" ht="14.4" thickTop="1" x14ac:dyDescent="0.25">
      <c r="A19" s="7258">
        <v>24200121</v>
      </c>
      <c r="B19" s="8841" t="s">
        <v>3036</v>
      </c>
      <c r="C19" s="8842"/>
      <c r="D19" s="3296" t="s">
        <v>5369</v>
      </c>
      <c r="E19" s="828" t="s">
        <v>5370</v>
      </c>
      <c r="F19" s="1792" t="s">
        <v>5371</v>
      </c>
      <c r="G19" s="1792" t="s">
        <v>5372</v>
      </c>
      <c r="H19" s="1150" t="s">
        <v>5373</v>
      </c>
      <c r="I19" s="828" t="s">
        <v>5374</v>
      </c>
      <c r="J19" s="752" t="s">
        <v>5375</v>
      </c>
      <c r="K19" s="752" t="s">
        <v>5376</v>
      </c>
      <c r="L19" s="1150" t="s">
        <v>5377</v>
      </c>
      <c r="M19" s="3296" t="s">
        <v>5378</v>
      </c>
      <c r="N19" s="752" t="s">
        <v>5379</v>
      </c>
      <c r="O19" s="752" t="s">
        <v>5380</v>
      </c>
      <c r="P19" s="752" t="s">
        <v>5381</v>
      </c>
      <c r="Q19" s="752" t="s">
        <v>5382</v>
      </c>
      <c r="R19" s="752" t="s">
        <v>5383</v>
      </c>
      <c r="S19" s="2441" t="s">
        <v>5384</v>
      </c>
      <c r="T19" s="828" t="s">
        <v>5385</v>
      </c>
      <c r="U19" s="2441" t="s">
        <v>5386</v>
      </c>
      <c r="V19" s="1792" t="s">
        <v>5387</v>
      </c>
      <c r="W19" s="1150" t="s">
        <v>5388</v>
      </c>
      <c r="X19" s="2441" t="s">
        <v>5389</v>
      </c>
      <c r="Y19" s="2441" t="s">
        <v>5390</v>
      </c>
      <c r="Z19" s="2441" t="s">
        <v>5391</v>
      </c>
      <c r="AA19" s="2441" t="s">
        <v>5392</v>
      </c>
      <c r="AB19" s="2441" t="s">
        <v>5393</v>
      </c>
      <c r="AC19" s="2441" t="s">
        <v>5394</v>
      </c>
      <c r="CA19" s="290"/>
      <c r="CB19" s="1438"/>
      <c r="CC19" s="1436" t="str">
        <f t="shared" si="1"/>
        <v/>
      </c>
      <c r="CD19" s="1436" t="str">
        <f t="shared" si="2"/>
        <v/>
      </c>
      <c r="CE19" s="1436" t="str">
        <f t="shared" si="3"/>
        <v xml:space="preserve"> * El Total de partos de personas pertenecientes a pueblos originarios no puede ser mayor al Total de Partos registrado. </v>
      </c>
      <c r="CF19" s="1436" t="str">
        <f t="shared" si="4"/>
        <v xml:space="preserve"> * El Total de partos de Personas Migrantes no puede ser mayor al Total de Partos registrado. </v>
      </c>
      <c r="CG19" s="1436" t="str">
        <f t="shared" si="5"/>
        <v xml:space="preserve"> * El Total de partos de Personas Trans no puede ser mayor al Total de Partos registrado. </v>
      </c>
      <c r="DB19" s="1429"/>
      <c r="DC19" s="1439">
        <f>IF(D19&lt;(SUM(E19:H19)),1,0)</f>
        <v>0</v>
      </c>
      <c r="DD19" s="1439">
        <f t="shared" si="7"/>
        <v>0</v>
      </c>
      <c r="DE19" s="1439">
        <f t="shared" si="8"/>
        <v>1</v>
      </c>
      <c r="DF19" s="1439">
        <f t="shared" si="9"/>
        <v>1</v>
      </c>
      <c r="DG19" s="1439">
        <f t="shared" si="10"/>
        <v>1</v>
      </c>
    </row>
    <row r="20" spans="1:111" ht="14.4" thickBot="1" x14ac:dyDescent="0.3">
      <c r="A20" s="7258">
        <v>24100100</v>
      </c>
      <c r="B20" s="10416" t="s">
        <v>1311</v>
      </c>
      <c r="C20" s="10417"/>
      <c r="D20" s="3463" t="s">
        <v>5369</v>
      </c>
      <c r="E20" s="3464" t="s">
        <v>5370</v>
      </c>
      <c r="F20" s="3465" t="s">
        <v>5371</v>
      </c>
      <c r="G20" s="3465" t="s">
        <v>5372</v>
      </c>
      <c r="H20" s="3466" t="s">
        <v>5373</v>
      </c>
      <c r="I20" s="3464" t="s">
        <v>5374</v>
      </c>
      <c r="J20" s="3467" t="s">
        <v>5375</v>
      </c>
      <c r="K20" s="3467" t="s">
        <v>5376</v>
      </c>
      <c r="L20" s="3466" t="s">
        <v>5377</v>
      </c>
      <c r="M20" s="3463" t="s">
        <v>5378</v>
      </c>
      <c r="N20" s="3467" t="s">
        <v>5379</v>
      </c>
      <c r="O20" s="3467" t="s">
        <v>5380</v>
      </c>
      <c r="P20" s="3467" t="s">
        <v>5381</v>
      </c>
      <c r="Q20" s="3467" t="s">
        <v>5382</v>
      </c>
      <c r="R20" s="3467" t="s">
        <v>5383</v>
      </c>
      <c r="S20" s="3468" t="s">
        <v>5384</v>
      </c>
      <c r="T20" s="3464" t="s">
        <v>5385</v>
      </c>
      <c r="U20" s="3468" t="s">
        <v>5386</v>
      </c>
      <c r="V20" s="3465" t="s">
        <v>5387</v>
      </c>
      <c r="W20" s="3466" t="s">
        <v>5388</v>
      </c>
      <c r="X20" s="3468" t="s">
        <v>5389</v>
      </c>
      <c r="Y20" s="3468" t="s">
        <v>5390</v>
      </c>
      <c r="Z20" s="3468" t="s">
        <v>5391</v>
      </c>
      <c r="AA20" s="3468" t="s">
        <v>5392</v>
      </c>
      <c r="AB20" s="3468" t="s">
        <v>5393</v>
      </c>
      <c r="AC20" s="3468" t="s">
        <v>5394</v>
      </c>
      <c r="CA20" s="290"/>
      <c r="CB20" s="1438"/>
      <c r="CC20" s="1436" t="str">
        <f t="shared" si="1"/>
        <v/>
      </c>
      <c r="CD20" s="1436" t="str">
        <f t="shared" si="2"/>
        <v/>
      </c>
      <c r="CE20" s="1436" t="str">
        <f t="shared" si="3"/>
        <v xml:space="preserve"> * El Total de partos de personas pertenecientes a pueblos originarios no puede ser mayor al Total de Partos registrado. </v>
      </c>
      <c r="CF20" s="1436" t="str">
        <f t="shared" si="4"/>
        <v xml:space="preserve"> * El Total de partos de Personas Migrantes no puede ser mayor al Total de Partos registrado. </v>
      </c>
      <c r="CG20" s="1436" t="str">
        <f t="shared" si="5"/>
        <v xml:space="preserve"> * El Total de partos de Personas Trans no puede ser mayor al Total de Partos registrado. </v>
      </c>
      <c r="DB20" s="1429"/>
      <c r="DC20" s="1439">
        <f t="shared" si="6"/>
        <v>0</v>
      </c>
      <c r="DD20" s="1439">
        <f t="shared" si="7"/>
        <v>0</v>
      </c>
      <c r="DE20" s="1439">
        <f t="shared" si="8"/>
        <v>1</v>
      </c>
      <c r="DF20" s="1439">
        <f t="shared" si="9"/>
        <v>1</v>
      </c>
      <c r="DG20" s="1439">
        <f t="shared" si="10"/>
        <v>1</v>
      </c>
    </row>
    <row r="21" spans="1:111" ht="14.4" thickTop="1" x14ac:dyDescent="0.25">
      <c r="A21" s="7294">
        <v>29101717</v>
      </c>
      <c r="B21" s="10418" t="s">
        <v>3037</v>
      </c>
      <c r="C21" s="3469" t="s">
        <v>3038</v>
      </c>
      <c r="D21" s="3470" t="s">
        <v>5369</v>
      </c>
      <c r="E21" s="3055" t="s">
        <v>5370</v>
      </c>
      <c r="F21" s="3471" t="s">
        <v>5371</v>
      </c>
      <c r="G21" s="3471" t="s">
        <v>5372</v>
      </c>
      <c r="H21" s="1954" t="s">
        <v>5373</v>
      </c>
      <c r="I21" s="3055" t="s">
        <v>5374</v>
      </c>
      <c r="J21" s="3472" t="s">
        <v>5375</v>
      </c>
      <c r="K21" s="3472" t="s">
        <v>5376</v>
      </c>
      <c r="L21" s="1954" t="s">
        <v>5377</v>
      </c>
      <c r="M21" s="3470" t="s">
        <v>5378</v>
      </c>
      <c r="N21" s="3472" t="s">
        <v>5379</v>
      </c>
      <c r="O21" s="3472" t="s">
        <v>5380</v>
      </c>
      <c r="P21" s="3472" t="s">
        <v>5381</v>
      </c>
      <c r="Q21" s="3472" t="s">
        <v>5382</v>
      </c>
      <c r="R21" s="3472" t="s">
        <v>5383</v>
      </c>
      <c r="S21" s="3473" t="s">
        <v>5384</v>
      </c>
      <c r="T21" s="3036" t="s">
        <v>5385</v>
      </c>
      <c r="U21" s="3042" t="s">
        <v>5386</v>
      </c>
      <c r="V21" s="3471" t="s">
        <v>5387</v>
      </c>
      <c r="W21" s="1954" t="s">
        <v>5388</v>
      </c>
      <c r="X21" s="3473" t="s">
        <v>5389</v>
      </c>
      <c r="Y21" s="3473" t="s">
        <v>5390</v>
      </c>
      <c r="Z21" s="3473" t="s">
        <v>5391</v>
      </c>
      <c r="AA21" s="3473" t="s">
        <v>5392</v>
      </c>
      <c r="AB21" s="3473" t="s">
        <v>5393</v>
      </c>
      <c r="AC21" s="3473" t="s">
        <v>5394</v>
      </c>
      <c r="CA21" s="290"/>
      <c r="CB21" s="1438"/>
      <c r="CC21" s="1436" t="str">
        <f t="shared" si="1"/>
        <v/>
      </c>
      <c r="CD21" s="1436" t="str">
        <f t="shared" si="2"/>
        <v/>
      </c>
      <c r="CE21" s="1436" t="str">
        <f t="shared" si="3"/>
        <v xml:space="preserve"> * El Total de partos de personas pertenecientes a pueblos originarios no puede ser mayor al Total de Partos registrado. </v>
      </c>
      <c r="CF21" s="1436" t="str">
        <f t="shared" si="4"/>
        <v xml:space="preserve"> * El Total de partos de Personas Migrantes no puede ser mayor al Total de Partos registrado. </v>
      </c>
      <c r="CG21" s="1436" t="str">
        <f t="shared" si="5"/>
        <v xml:space="preserve"> * El Total de partos de Personas Trans no puede ser mayor al Total de Partos registrado. </v>
      </c>
      <c r="DB21" s="1429"/>
      <c r="DC21" s="1439">
        <f t="shared" si="6"/>
        <v>0</v>
      </c>
      <c r="DD21" s="1439">
        <f t="shared" si="7"/>
        <v>0</v>
      </c>
      <c r="DE21" s="1439">
        <f t="shared" si="8"/>
        <v>1</v>
      </c>
      <c r="DF21" s="1439">
        <f t="shared" si="9"/>
        <v>1</v>
      </c>
      <c r="DG21" s="1439">
        <f t="shared" si="10"/>
        <v>1</v>
      </c>
    </row>
    <row r="22" spans="1:111" ht="14.4" thickBot="1" x14ac:dyDescent="0.3">
      <c r="A22" s="7294">
        <v>29101718</v>
      </c>
      <c r="B22" s="10419"/>
      <c r="C22" s="3474" t="s">
        <v>3039</v>
      </c>
      <c r="D22" s="3463" t="s">
        <v>5369</v>
      </c>
      <c r="E22" s="3475" t="s">
        <v>5370</v>
      </c>
      <c r="F22" s="3467" t="s">
        <v>5371</v>
      </c>
      <c r="G22" s="3467" t="s">
        <v>5372</v>
      </c>
      <c r="H22" s="3466" t="s">
        <v>5373</v>
      </c>
      <c r="I22" s="3464" t="s">
        <v>5374</v>
      </c>
      <c r="J22" s="3467" t="s">
        <v>5375</v>
      </c>
      <c r="K22" s="3467" t="s">
        <v>5376</v>
      </c>
      <c r="L22" s="3466" t="s">
        <v>5377</v>
      </c>
      <c r="M22" s="3463" t="s">
        <v>5378</v>
      </c>
      <c r="N22" s="3467" t="s">
        <v>5379</v>
      </c>
      <c r="O22" s="3467" t="s">
        <v>5380</v>
      </c>
      <c r="P22" s="3467" t="s">
        <v>5381</v>
      </c>
      <c r="Q22" s="3467" t="s">
        <v>5382</v>
      </c>
      <c r="R22" s="3467" t="s">
        <v>5383</v>
      </c>
      <c r="S22" s="3468" t="s">
        <v>5384</v>
      </c>
      <c r="T22" s="3464" t="s">
        <v>5385</v>
      </c>
      <c r="U22" s="3467" t="s">
        <v>5386</v>
      </c>
      <c r="V22" s="3467" t="s">
        <v>5387</v>
      </c>
      <c r="W22" s="3466" t="s">
        <v>5388</v>
      </c>
      <c r="X22" s="3468" t="s">
        <v>5389</v>
      </c>
      <c r="Y22" s="3468" t="s">
        <v>5390</v>
      </c>
      <c r="Z22" s="3468" t="s">
        <v>5391</v>
      </c>
      <c r="AA22" s="3468" t="s">
        <v>5392</v>
      </c>
      <c r="AB22" s="3468" t="s">
        <v>5393</v>
      </c>
      <c r="AC22" s="3468" t="s">
        <v>5394</v>
      </c>
      <c r="CA22" s="290"/>
      <c r="CB22" s="1438"/>
      <c r="CC22" s="1436" t="str">
        <f t="shared" si="1"/>
        <v/>
      </c>
      <c r="CD22" s="1436" t="str">
        <f t="shared" si="2"/>
        <v/>
      </c>
      <c r="CE22" s="1436" t="str">
        <f t="shared" si="3"/>
        <v xml:space="preserve"> * El Total de partos de personas pertenecientes a pueblos originarios no puede ser mayor al Total de Partos registrado. </v>
      </c>
      <c r="CF22" s="1436" t="str">
        <f t="shared" si="4"/>
        <v xml:space="preserve"> * El Total de partos de Personas Migrantes no puede ser mayor al Total de Partos registrado. </v>
      </c>
      <c r="CG22" s="1436" t="str">
        <f t="shared" si="5"/>
        <v xml:space="preserve"> * El Total de partos de Personas Trans no puede ser mayor al Total de Partos registrado. </v>
      </c>
      <c r="DB22" s="1429"/>
      <c r="DC22" s="1439">
        <f t="shared" si="6"/>
        <v>0</v>
      </c>
      <c r="DD22" s="1439">
        <f t="shared" si="7"/>
        <v>0</v>
      </c>
      <c r="DE22" s="1439">
        <f t="shared" si="8"/>
        <v>1</v>
      </c>
      <c r="DF22" s="1439">
        <f t="shared" si="9"/>
        <v>1</v>
      </c>
      <c r="DG22" s="1439">
        <f t="shared" si="10"/>
        <v>1</v>
      </c>
    </row>
    <row r="23" spans="1:111" ht="15" customHeight="1" thickTop="1" x14ac:dyDescent="0.25">
      <c r="B23" s="810"/>
      <c r="C23" s="810"/>
      <c r="D23" s="810"/>
      <c r="E23" s="3190"/>
      <c r="F23" s="3191"/>
      <c r="G23" s="3190"/>
      <c r="H23" s="3190"/>
      <c r="I23" s="3190"/>
      <c r="J23" s="3190"/>
      <c r="K23" s="3191"/>
      <c r="L23" s="3190"/>
      <c r="M23" s="3190"/>
      <c r="N23" s="3192"/>
      <c r="O23" s="2391"/>
      <c r="P23" s="2391"/>
      <c r="Q23" s="2391"/>
      <c r="R23" s="2391"/>
      <c r="S23" s="2391"/>
      <c r="T23" s="2670"/>
      <c r="U23" s="2670"/>
      <c r="V23" s="2670"/>
      <c r="W23" s="2670"/>
      <c r="X23" s="2670"/>
      <c r="Y23" s="2670"/>
      <c r="Z23" s="2670"/>
      <c r="AA23" s="2670"/>
      <c r="CB23" s="1429"/>
    </row>
    <row r="24" spans="1:111" ht="15" customHeight="1" x14ac:dyDescent="0.25">
      <c r="B24" s="7323" t="s">
        <v>2982</v>
      </c>
      <c r="C24" s="7323"/>
      <c r="D24" s="7345"/>
      <c r="E24" s="3190"/>
      <c r="F24" s="3190"/>
      <c r="G24" s="3191"/>
      <c r="H24" s="810"/>
      <c r="I24" s="810"/>
      <c r="J24" s="810"/>
      <c r="K24" s="733"/>
      <c r="L24" s="810"/>
      <c r="M24" s="810"/>
      <c r="N24" s="223"/>
      <c r="O24" s="140"/>
      <c r="P24" s="140"/>
      <c r="Q24" s="140"/>
      <c r="R24" s="140"/>
      <c r="S24" s="140"/>
      <c r="T24" s="290"/>
      <c r="U24" s="290"/>
      <c r="V24" s="290"/>
      <c r="CB24" s="1429"/>
    </row>
    <row r="25" spans="1:111" ht="25.95" customHeight="1" x14ac:dyDescent="0.25">
      <c r="B25" s="10454" t="s">
        <v>2983</v>
      </c>
      <c r="C25" s="10455"/>
      <c r="D25" s="7346" t="s">
        <v>24</v>
      </c>
      <c r="E25" s="7347" t="s">
        <v>2984</v>
      </c>
      <c r="F25" s="7347" t="s">
        <v>2985</v>
      </c>
      <c r="G25" s="7347" t="s">
        <v>3633</v>
      </c>
      <c r="H25" s="810"/>
      <c r="I25" s="810"/>
      <c r="J25" s="810"/>
      <c r="K25" s="733"/>
      <c r="L25" s="810"/>
      <c r="M25" s="810"/>
      <c r="N25" s="223"/>
      <c r="O25" s="140"/>
      <c r="P25" s="140"/>
      <c r="Q25" s="140"/>
      <c r="R25" s="140"/>
      <c r="S25" s="140"/>
      <c r="T25" s="290"/>
      <c r="U25" s="290"/>
      <c r="V25" s="290"/>
      <c r="DB25" s="3255" t="s">
        <v>3562</v>
      </c>
    </row>
    <row r="26" spans="1:111" ht="15" customHeight="1" x14ac:dyDescent="0.25">
      <c r="A26" s="7294">
        <v>29101719</v>
      </c>
      <c r="B26" s="10491" t="s">
        <v>2986</v>
      </c>
      <c r="C26" s="10492"/>
      <c r="D26" s="7348" t="s">
        <v>5369</v>
      </c>
      <c r="E26" s="7349" t="s">
        <v>5370</v>
      </c>
      <c r="F26" s="7349" t="s">
        <v>5371</v>
      </c>
      <c r="G26" s="7349" t="s">
        <v>5372</v>
      </c>
      <c r="H26" s="290" t="str">
        <f>CB26&amp;CC26&amp;CD26&amp;CE26&amp;CF26</f>
        <v xml:space="preserve"> * El Total de partos por cantidad de semanas no puede ser mayor al Total de Partos vaginales registrado. </v>
      </c>
      <c r="I26" s="810"/>
      <c r="J26" s="810"/>
      <c r="K26" s="733"/>
      <c r="L26" s="810"/>
      <c r="M26" s="810"/>
      <c r="N26" s="223"/>
      <c r="O26" s="140"/>
      <c r="P26" s="140"/>
      <c r="Q26" s="140"/>
      <c r="R26" s="140"/>
      <c r="S26" s="140"/>
      <c r="T26" s="290"/>
      <c r="U26" s="290"/>
      <c r="V26" s="290"/>
      <c r="CB26" s="1436" t="str">
        <f>IF(DB26=1," * El Total de partos por cantidad de semanas no puede ser mayor al Total de Partos vaginales registrado. ","")</f>
        <v xml:space="preserve"> * El Total de partos por cantidad de semanas no puede ser mayor al Total de Partos vaginales registrado. </v>
      </c>
      <c r="DB26" s="1439">
        <f>IF(D26&lt;&gt;SUM(E26:G26),1,0)</f>
        <v>1</v>
      </c>
    </row>
    <row r="27" spans="1:111" ht="15" customHeight="1" x14ac:dyDescent="0.25">
      <c r="A27" s="7294">
        <v>29101720</v>
      </c>
      <c r="B27" s="10493" t="s">
        <v>2987</v>
      </c>
      <c r="C27" s="7350" t="s">
        <v>2988</v>
      </c>
      <c r="D27" s="7331" t="s">
        <v>5369</v>
      </c>
      <c r="E27" s="7351" t="s">
        <v>5370</v>
      </c>
      <c r="F27" s="7351" t="s">
        <v>5371</v>
      </c>
      <c r="G27" s="7351" t="s">
        <v>5372</v>
      </c>
      <c r="H27" s="290" t="str">
        <f t="shared" ref="H27:H36" si="11">CB27&amp;CC27&amp;CD27&amp;CE27&amp;CF27</f>
        <v xml:space="preserve"> * El Total de partos por cantidad de semanas no puede ser mayor al Total de Partos vaginales registrado. </v>
      </c>
      <c r="I27" s="810"/>
      <c r="J27" s="810"/>
      <c r="K27" s="733"/>
      <c r="L27" s="810"/>
      <c r="M27" s="810"/>
      <c r="N27" s="223"/>
      <c r="O27" s="140"/>
      <c r="P27" s="140"/>
      <c r="Q27" s="140"/>
      <c r="R27" s="140"/>
      <c r="S27" s="140"/>
      <c r="T27" s="290"/>
      <c r="U27" s="290"/>
      <c r="V27" s="290"/>
      <c r="CB27" s="1436" t="str">
        <f t="shared" ref="CB27:CB36" si="12">IF(DB27=1," * El Total de partos por cantidad de semanas no puede ser mayor al Total de Partos vaginales registrado. ","")</f>
        <v xml:space="preserve"> * El Total de partos por cantidad de semanas no puede ser mayor al Total de Partos vaginales registrado. </v>
      </c>
      <c r="DB27" s="1439">
        <f t="shared" ref="DB27:DB36" si="13">IF(D27&lt;&gt;SUM(E27:G27),1,0)</f>
        <v>1</v>
      </c>
    </row>
    <row r="28" spans="1:111" ht="15" customHeight="1" x14ac:dyDescent="0.25">
      <c r="A28" s="7294">
        <v>29101721</v>
      </c>
      <c r="B28" s="10494"/>
      <c r="C28" s="7352" t="s">
        <v>2989</v>
      </c>
      <c r="D28" s="7353" t="s">
        <v>5369</v>
      </c>
      <c r="E28" s="7354" t="s">
        <v>5370</v>
      </c>
      <c r="F28" s="7354" t="s">
        <v>5371</v>
      </c>
      <c r="G28" s="7354" t="s">
        <v>5372</v>
      </c>
      <c r="H28" s="290" t="str">
        <f t="shared" si="11"/>
        <v xml:space="preserve"> * El Total de partos por cantidad de semanas no puede ser mayor al Total de Partos vaginales registrado. </v>
      </c>
      <c r="I28" s="810"/>
      <c r="J28" s="810"/>
      <c r="K28" s="733"/>
      <c r="L28" s="810"/>
      <c r="M28" s="810"/>
      <c r="N28" s="223"/>
      <c r="O28" s="140"/>
      <c r="P28" s="140"/>
      <c r="Q28" s="140"/>
      <c r="R28" s="140"/>
      <c r="S28" s="140"/>
      <c r="T28" s="290"/>
      <c r="U28" s="290"/>
      <c r="V28" s="290"/>
      <c r="CB28" s="1436" t="str">
        <f t="shared" si="12"/>
        <v xml:space="preserve"> * El Total de partos por cantidad de semanas no puede ser mayor al Total de Partos vaginales registrado. </v>
      </c>
      <c r="DB28" s="1439">
        <f t="shared" si="13"/>
        <v>1</v>
      </c>
    </row>
    <row r="29" spans="1:111" ht="15" customHeight="1" x14ac:dyDescent="0.25">
      <c r="A29" s="7294">
        <v>29101722</v>
      </c>
      <c r="B29" s="10451" t="s">
        <v>3749</v>
      </c>
      <c r="C29" s="10452"/>
      <c r="D29" s="7331" t="s">
        <v>5369</v>
      </c>
      <c r="E29" s="7355" t="s">
        <v>5370</v>
      </c>
      <c r="F29" s="7355" t="s">
        <v>5371</v>
      </c>
      <c r="G29" s="7355" t="s">
        <v>5372</v>
      </c>
      <c r="H29" s="290" t="str">
        <f t="shared" si="11"/>
        <v xml:space="preserve"> * El Total de partos por cantidad de semanas no puede ser mayor al Total de Partos vaginales registrado. </v>
      </c>
      <c r="I29" s="810"/>
      <c r="J29" s="810"/>
      <c r="K29" s="733"/>
      <c r="L29" s="810"/>
      <c r="M29" s="810"/>
      <c r="N29" s="223"/>
      <c r="O29" s="140"/>
      <c r="P29" s="140"/>
      <c r="Q29" s="140"/>
      <c r="R29" s="140"/>
      <c r="S29" s="140"/>
      <c r="T29" s="290"/>
      <c r="U29" s="290"/>
      <c r="V29" s="290"/>
      <c r="CB29" s="1436" t="str">
        <f t="shared" si="12"/>
        <v xml:space="preserve"> * El Total de partos por cantidad de semanas no puede ser mayor al Total de Partos vaginales registrado. </v>
      </c>
      <c r="DB29" s="1439">
        <f t="shared" si="13"/>
        <v>1</v>
      </c>
    </row>
    <row r="30" spans="1:111" ht="15" customHeight="1" x14ac:dyDescent="0.25">
      <c r="A30" s="7294">
        <v>29101723</v>
      </c>
      <c r="B30" s="10420" t="s">
        <v>2990</v>
      </c>
      <c r="C30" s="10407"/>
      <c r="D30" s="7356" t="s">
        <v>5369</v>
      </c>
      <c r="E30" s="7357" t="s">
        <v>5370</v>
      </c>
      <c r="F30" s="7357" t="s">
        <v>5371</v>
      </c>
      <c r="G30" s="7357" t="s">
        <v>5372</v>
      </c>
      <c r="H30" s="290" t="str">
        <f t="shared" si="11"/>
        <v xml:space="preserve"> * El Total de partos por cantidad de semanas no puede ser mayor al Total de Partos vaginales registrado. </v>
      </c>
      <c r="I30" s="810"/>
      <c r="J30" s="810"/>
      <c r="K30" s="733"/>
      <c r="L30" s="810"/>
      <c r="M30" s="810"/>
      <c r="N30" s="223"/>
      <c r="O30" s="140"/>
      <c r="P30" s="140"/>
      <c r="Q30" s="140"/>
      <c r="R30" s="140"/>
      <c r="S30" s="140"/>
      <c r="T30" s="290"/>
      <c r="U30" s="290"/>
      <c r="V30" s="290"/>
      <c r="CB30" s="1436" t="str">
        <f t="shared" si="12"/>
        <v xml:space="preserve"> * El Total de partos por cantidad de semanas no puede ser mayor al Total de Partos vaginales registrado. </v>
      </c>
      <c r="DB30" s="1439">
        <f t="shared" si="13"/>
        <v>1</v>
      </c>
    </row>
    <row r="31" spans="1:111" ht="15" customHeight="1" x14ac:dyDescent="0.25">
      <c r="A31" s="7294">
        <v>29101724</v>
      </c>
      <c r="B31" s="10495" t="s">
        <v>2991</v>
      </c>
      <c r="C31" s="10496"/>
      <c r="D31" s="7353" t="s">
        <v>5369</v>
      </c>
      <c r="E31" s="7358" t="s">
        <v>5370</v>
      </c>
      <c r="F31" s="7358" t="s">
        <v>5371</v>
      </c>
      <c r="G31" s="7358" t="s">
        <v>5372</v>
      </c>
      <c r="H31" s="290" t="str">
        <f t="shared" si="11"/>
        <v xml:space="preserve"> * El Total de partos por cantidad de semanas no puede ser mayor al Total de Partos vaginales registrado. </v>
      </c>
      <c r="I31" s="810"/>
      <c r="J31" s="810"/>
      <c r="K31" s="733"/>
      <c r="L31" s="810"/>
      <c r="M31" s="810"/>
      <c r="N31" s="223"/>
      <c r="O31" s="140"/>
      <c r="P31" s="140"/>
      <c r="Q31" s="140"/>
      <c r="R31" s="140"/>
      <c r="S31" s="140"/>
      <c r="T31" s="290"/>
      <c r="U31" s="290"/>
      <c r="V31" s="290"/>
      <c r="CB31" s="1436" t="str">
        <f t="shared" si="12"/>
        <v xml:space="preserve"> * El Total de partos por cantidad de semanas no puede ser mayor al Total de Partos vaginales registrado. </v>
      </c>
      <c r="DB31" s="1439">
        <f t="shared" si="13"/>
        <v>1</v>
      </c>
    </row>
    <row r="32" spans="1:111" ht="15" customHeight="1" x14ac:dyDescent="0.25">
      <c r="A32" s="7294">
        <v>29101725</v>
      </c>
      <c r="B32" s="10414" t="s">
        <v>2992</v>
      </c>
      <c r="C32" s="7359" t="s">
        <v>2993</v>
      </c>
      <c r="D32" s="7331" t="s">
        <v>5369</v>
      </c>
      <c r="E32" s="7351" t="s">
        <v>5370</v>
      </c>
      <c r="F32" s="7351" t="s">
        <v>5371</v>
      </c>
      <c r="G32" s="7351" t="s">
        <v>5372</v>
      </c>
      <c r="H32" s="290" t="str">
        <f t="shared" si="11"/>
        <v xml:space="preserve"> * El Total de partos por cantidad de semanas no puede ser mayor al Total de Partos vaginales registrado. </v>
      </c>
      <c r="I32" s="810"/>
      <c r="J32" s="810"/>
      <c r="K32" s="733"/>
      <c r="L32" s="810"/>
      <c r="M32" s="810"/>
      <c r="N32" s="223"/>
      <c r="O32" s="140"/>
      <c r="P32" s="140"/>
      <c r="Q32" s="140"/>
      <c r="R32" s="140"/>
      <c r="S32" s="140"/>
      <c r="T32" s="290"/>
      <c r="U32" s="290"/>
      <c r="V32" s="290"/>
      <c r="CB32" s="1436" t="str">
        <f t="shared" si="12"/>
        <v xml:space="preserve"> * El Total de partos por cantidad de semanas no puede ser mayor al Total de Partos vaginales registrado. </v>
      </c>
      <c r="DB32" s="1439">
        <f t="shared" si="13"/>
        <v>1</v>
      </c>
    </row>
    <row r="33" spans="1:106" ht="15" customHeight="1" x14ac:dyDescent="0.25">
      <c r="A33" s="7294">
        <v>29101726</v>
      </c>
      <c r="B33" s="10415"/>
      <c r="C33" s="7360" t="s">
        <v>2994</v>
      </c>
      <c r="D33" s="7353" t="s">
        <v>5369</v>
      </c>
      <c r="E33" s="7354" t="s">
        <v>5370</v>
      </c>
      <c r="F33" s="7354" t="s">
        <v>5371</v>
      </c>
      <c r="G33" s="7354" t="s">
        <v>5372</v>
      </c>
      <c r="H33" s="290" t="str">
        <f t="shared" si="11"/>
        <v xml:space="preserve"> * El Total de partos por cantidad de semanas no puede ser mayor al Total de Partos vaginales registrado. </v>
      </c>
      <c r="I33" s="810"/>
      <c r="J33" s="810"/>
      <c r="K33" s="733"/>
      <c r="L33" s="810"/>
      <c r="M33" s="810"/>
      <c r="N33" s="223"/>
      <c r="O33" s="140"/>
      <c r="P33" s="140"/>
      <c r="Q33" s="140"/>
      <c r="R33" s="140"/>
      <c r="S33" s="140"/>
      <c r="T33" s="290"/>
      <c r="U33" s="290"/>
      <c r="V33" s="290"/>
      <c r="CB33" s="1436" t="str">
        <f t="shared" si="12"/>
        <v xml:space="preserve"> * El Total de partos por cantidad de semanas no puede ser mayor al Total de Partos vaginales registrado. </v>
      </c>
      <c r="DB33" s="1439">
        <f t="shared" si="13"/>
        <v>1</v>
      </c>
    </row>
    <row r="34" spans="1:106" ht="15" customHeight="1" x14ac:dyDescent="0.25">
      <c r="A34" s="7294">
        <v>29101727</v>
      </c>
      <c r="B34" s="10404" t="s">
        <v>2995</v>
      </c>
      <c r="C34" s="10405"/>
      <c r="D34" s="7361" t="s">
        <v>5369</v>
      </c>
      <c r="E34" s="7349" t="s">
        <v>5370</v>
      </c>
      <c r="F34" s="7349" t="s">
        <v>5371</v>
      </c>
      <c r="G34" s="7349" t="s">
        <v>5372</v>
      </c>
      <c r="H34" s="290" t="str">
        <f t="shared" si="11"/>
        <v xml:space="preserve"> * El Total de partos por cantidad de semanas no puede ser mayor al Total de Partos vaginales registrado. </v>
      </c>
      <c r="I34" s="810"/>
      <c r="J34" s="810"/>
      <c r="K34" s="733"/>
      <c r="L34" s="810"/>
      <c r="M34" s="810"/>
      <c r="N34" s="223"/>
      <c r="O34" s="140"/>
      <c r="P34" s="140"/>
      <c r="Q34" s="140"/>
      <c r="R34" s="140"/>
      <c r="S34" s="140"/>
      <c r="T34" s="290"/>
      <c r="U34" s="290"/>
      <c r="V34" s="290"/>
      <c r="CB34" s="1436" t="str">
        <f t="shared" si="12"/>
        <v xml:space="preserve"> * El Total de partos por cantidad de semanas no puede ser mayor al Total de Partos vaginales registrado. </v>
      </c>
      <c r="DB34" s="1439">
        <f t="shared" si="13"/>
        <v>1</v>
      </c>
    </row>
    <row r="35" spans="1:106" ht="22.95" customHeight="1" x14ac:dyDescent="0.25">
      <c r="A35" s="7294">
        <v>29101728</v>
      </c>
      <c r="B35" s="10414" t="s">
        <v>2996</v>
      </c>
      <c r="C35" s="7362" t="s">
        <v>2997</v>
      </c>
      <c r="D35" s="7363" t="s">
        <v>5369</v>
      </c>
      <c r="E35" s="7351" t="s">
        <v>5370</v>
      </c>
      <c r="F35" s="7351" t="s">
        <v>5371</v>
      </c>
      <c r="G35" s="7351" t="s">
        <v>5372</v>
      </c>
      <c r="H35" s="290" t="str">
        <f t="shared" si="11"/>
        <v xml:space="preserve"> * El Total de partos por cantidad de semanas no puede ser mayor al Total de Partos vaginales registrado. </v>
      </c>
      <c r="I35" s="810"/>
      <c r="J35" s="810"/>
      <c r="K35" s="733"/>
      <c r="L35" s="810"/>
      <c r="M35" s="810"/>
      <c r="N35" s="223"/>
      <c r="O35" s="140"/>
      <c r="P35" s="140"/>
      <c r="Q35" s="140"/>
      <c r="R35" s="140"/>
      <c r="S35" s="140"/>
      <c r="T35" s="290"/>
      <c r="U35" s="290"/>
      <c r="V35" s="290"/>
      <c r="CB35" s="1436" t="str">
        <f t="shared" si="12"/>
        <v xml:space="preserve"> * El Total de partos por cantidad de semanas no puede ser mayor al Total de Partos vaginales registrado. </v>
      </c>
      <c r="DB35" s="1439">
        <f t="shared" si="13"/>
        <v>1</v>
      </c>
    </row>
    <row r="36" spans="1:106" ht="15" customHeight="1" x14ac:dyDescent="0.25">
      <c r="A36" s="7294">
        <v>29101729</v>
      </c>
      <c r="B36" s="10415"/>
      <c r="C36" s="7352" t="s">
        <v>2998</v>
      </c>
      <c r="D36" s="7353" t="s">
        <v>5369</v>
      </c>
      <c r="E36" s="7354" t="s">
        <v>5370</v>
      </c>
      <c r="F36" s="7354" t="s">
        <v>5371</v>
      </c>
      <c r="G36" s="7354" t="s">
        <v>5372</v>
      </c>
      <c r="H36" s="290" t="str">
        <f t="shared" si="11"/>
        <v xml:space="preserve"> * El Total de partos por cantidad de semanas no puede ser mayor al Total de Partos vaginales registrado. </v>
      </c>
      <c r="I36" s="810"/>
      <c r="J36" s="810"/>
      <c r="K36" s="733"/>
      <c r="L36" s="810"/>
      <c r="M36" s="810"/>
      <c r="N36" s="223"/>
      <c r="O36" s="140"/>
      <c r="P36" s="140"/>
      <c r="Q36" s="140"/>
      <c r="R36" s="140"/>
      <c r="S36" s="140"/>
      <c r="T36" s="290"/>
      <c r="U36" s="290"/>
      <c r="V36" s="290"/>
      <c r="CB36" s="1436" t="str">
        <f t="shared" si="12"/>
        <v xml:space="preserve"> * El Total de partos por cantidad de semanas no puede ser mayor al Total de Partos vaginales registrado. </v>
      </c>
      <c r="DB36" s="1439">
        <f t="shared" si="13"/>
        <v>1</v>
      </c>
    </row>
    <row r="37" spans="1:106" ht="15" customHeight="1" x14ac:dyDescent="0.25">
      <c r="B37" s="3053" t="s">
        <v>2999</v>
      </c>
      <c r="C37" s="810"/>
      <c r="D37" s="810"/>
      <c r="E37" s="810"/>
      <c r="F37" s="810"/>
      <c r="G37" s="810"/>
      <c r="H37" s="810"/>
      <c r="I37" s="810"/>
      <c r="J37" s="810"/>
      <c r="K37" s="733"/>
      <c r="L37" s="810"/>
      <c r="M37" s="810"/>
      <c r="N37" s="223"/>
      <c r="O37" s="140"/>
      <c r="P37" s="140"/>
      <c r="Q37" s="140"/>
      <c r="R37" s="140"/>
      <c r="S37" s="140"/>
      <c r="T37" s="290"/>
      <c r="U37" s="290"/>
      <c r="V37" s="290"/>
    </row>
    <row r="38" spans="1:106" ht="26.4" customHeight="1" x14ac:dyDescent="0.25">
      <c r="B38" s="7364" t="s">
        <v>3498</v>
      </c>
      <c r="C38" s="7365"/>
      <c r="D38" s="7366"/>
      <c r="E38" s="7367"/>
      <c r="F38" s="3048"/>
      <c r="G38" s="3047"/>
      <c r="H38" s="3047"/>
      <c r="I38" s="810"/>
      <c r="J38" s="810"/>
      <c r="K38" s="733"/>
      <c r="L38" s="810"/>
      <c r="M38" s="810"/>
      <c r="N38" s="223"/>
      <c r="O38" s="140"/>
      <c r="P38" s="140"/>
      <c r="Q38" s="140"/>
      <c r="R38" s="140"/>
      <c r="S38" s="140"/>
      <c r="T38" s="290"/>
      <c r="U38" s="290"/>
      <c r="V38" s="290"/>
    </row>
    <row r="39" spans="1:106" ht="25.2" customHeight="1" x14ac:dyDescent="0.25">
      <c r="B39" s="10449" t="s">
        <v>2977</v>
      </c>
      <c r="C39" s="10450"/>
      <c r="D39" s="7368" t="s">
        <v>2978</v>
      </c>
      <c r="E39" s="7368" t="s">
        <v>96</v>
      </c>
      <c r="F39" s="733"/>
      <c r="G39" s="810"/>
      <c r="H39" s="810"/>
      <c r="I39" s="810"/>
      <c r="J39" s="810"/>
      <c r="K39" s="733"/>
      <c r="L39" s="810"/>
      <c r="M39" s="810"/>
      <c r="N39" s="223"/>
      <c r="O39" s="140"/>
      <c r="P39" s="140"/>
      <c r="Q39" s="140"/>
      <c r="R39" s="140"/>
      <c r="S39" s="140"/>
      <c r="T39" s="290"/>
      <c r="U39" s="290"/>
      <c r="V39" s="290"/>
    </row>
    <row r="40" spans="1:106" ht="26.25" customHeight="1" x14ac:dyDescent="0.25">
      <c r="A40" s="7294">
        <v>29101730</v>
      </c>
      <c r="B40" s="10431" t="s">
        <v>5055</v>
      </c>
      <c r="C40" s="10432"/>
      <c r="D40" s="7369" t="s">
        <v>5369</v>
      </c>
      <c r="E40" s="7369" t="s">
        <v>5370</v>
      </c>
      <c r="F40" s="733"/>
      <c r="G40" s="810"/>
      <c r="H40" s="810"/>
      <c r="I40" s="810"/>
      <c r="J40" s="810"/>
      <c r="K40" s="733"/>
      <c r="L40" s="810"/>
      <c r="M40" s="810"/>
      <c r="N40" s="223"/>
      <c r="O40" s="140"/>
      <c r="P40" s="140"/>
      <c r="Q40" s="140"/>
      <c r="R40" s="140"/>
      <c r="S40" s="140"/>
      <c r="T40" s="290"/>
      <c r="U40" s="290"/>
      <c r="V40" s="290"/>
    </row>
    <row r="41" spans="1:106" ht="15.9" customHeight="1" x14ac:dyDescent="0.25">
      <c r="A41" s="7294">
        <v>29101731</v>
      </c>
      <c r="B41" s="10453" t="s">
        <v>5056</v>
      </c>
      <c r="C41" s="7370" t="s">
        <v>2979</v>
      </c>
      <c r="D41" s="7371" t="s">
        <v>5369</v>
      </c>
      <c r="E41" s="7371" t="s">
        <v>5370</v>
      </c>
      <c r="F41" s="733"/>
      <c r="G41" s="810"/>
      <c r="H41" s="810"/>
      <c r="I41" s="810"/>
      <c r="J41" s="810"/>
      <c r="K41" s="733"/>
      <c r="L41" s="810"/>
      <c r="M41" s="810"/>
      <c r="N41" s="223"/>
      <c r="O41" s="140"/>
      <c r="P41" s="140"/>
      <c r="Q41" s="140"/>
      <c r="R41" s="140"/>
      <c r="S41" s="140"/>
      <c r="T41" s="290"/>
      <c r="U41" s="290"/>
      <c r="V41" s="290"/>
    </row>
    <row r="42" spans="1:106" ht="15.9" customHeight="1" x14ac:dyDescent="0.25">
      <c r="A42" s="7294">
        <v>29101732</v>
      </c>
      <c r="B42" s="10411"/>
      <c r="C42" s="7373" t="s">
        <v>2980</v>
      </c>
      <c r="D42" s="7374" t="s">
        <v>5369</v>
      </c>
      <c r="E42" s="7374" t="s">
        <v>5370</v>
      </c>
      <c r="F42" s="733"/>
      <c r="G42" s="810"/>
      <c r="H42" s="810"/>
      <c r="I42" s="810"/>
      <c r="J42" s="810"/>
      <c r="K42" s="733"/>
      <c r="L42" s="810"/>
      <c r="M42" s="810"/>
      <c r="N42" s="223"/>
      <c r="O42" s="140"/>
      <c r="P42" s="140"/>
      <c r="Q42" s="140"/>
      <c r="R42" s="140"/>
      <c r="S42" s="140"/>
      <c r="T42" s="290"/>
      <c r="U42" s="290"/>
      <c r="V42" s="290"/>
    </row>
    <row r="43" spans="1:106" ht="25.5" customHeight="1" x14ac:dyDescent="0.25">
      <c r="A43" s="7294">
        <v>29101733</v>
      </c>
      <c r="B43" s="10430" t="s">
        <v>5057</v>
      </c>
      <c r="C43" s="10430"/>
      <c r="D43" s="7371" t="s">
        <v>5369</v>
      </c>
      <c r="E43" s="7371" t="s">
        <v>5370</v>
      </c>
      <c r="F43" s="733"/>
      <c r="G43" s="810"/>
      <c r="H43" s="810"/>
      <c r="I43" s="810"/>
      <c r="J43" s="810"/>
      <c r="K43" s="733"/>
      <c r="L43" s="810"/>
      <c r="M43" s="810"/>
      <c r="N43" s="223"/>
      <c r="O43" s="140"/>
      <c r="P43" s="140"/>
      <c r="Q43" s="140"/>
      <c r="R43" s="140"/>
      <c r="S43" s="140"/>
      <c r="T43" s="290"/>
      <c r="U43" s="290"/>
      <c r="V43" s="290"/>
    </row>
    <row r="44" spans="1:106" ht="26.25" customHeight="1" x14ac:dyDescent="0.25">
      <c r="A44" s="7294">
        <v>29101734</v>
      </c>
      <c r="B44" s="10490" t="s">
        <v>5058</v>
      </c>
      <c r="C44" s="10490"/>
      <c r="D44" s="7375" t="s">
        <v>5369</v>
      </c>
      <c r="E44" s="7374" t="s">
        <v>5370</v>
      </c>
      <c r="F44" s="733"/>
      <c r="G44" s="810"/>
      <c r="H44" s="810"/>
      <c r="I44" s="810"/>
      <c r="J44" s="810"/>
      <c r="K44" s="733"/>
      <c r="L44" s="810"/>
      <c r="M44" s="810"/>
      <c r="N44" s="223"/>
      <c r="O44" s="140"/>
      <c r="P44" s="140"/>
      <c r="Q44" s="140"/>
      <c r="R44" s="140"/>
      <c r="S44" s="140"/>
      <c r="T44" s="290"/>
      <c r="U44" s="290"/>
      <c r="V44" s="290"/>
    </row>
    <row r="45" spans="1:106" ht="22.5" customHeight="1" x14ac:dyDescent="0.25">
      <c r="A45" s="7294">
        <v>29101735</v>
      </c>
      <c r="B45" s="10410" t="s">
        <v>5059</v>
      </c>
      <c r="C45" s="7376" t="s">
        <v>5060</v>
      </c>
      <c r="D45" s="7371" t="s">
        <v>5369</v>
      </c>
      <c r="E45" s="7371" t="s">
        <v>5370</v>
      </c>
      <c r="F45" s="733"/>
      <c r="G45" s="810"/>
      <c r="H45" s="810"/>
      <c r="I45" s="810"/>
      <c r="J45" s="810"/>
      <c r="K45" s="733"/>
      <c r="L45" s="810"/>
      <c r="M45" s="810"/>
      <c r="N45" s="223"/>
      <c r="O45" s="140"/>
      <c r="P45" s="140"/>
      <c r="Q45" s="140"/>
      <c r="R45" s="140"/>
      <c r="S45" s="140"/>
      <c r="T45" s="290"/>
      <c r="U45" s="290"/>
      <c r="V45" s="290"/>
    </row>
    <row r="46" spans="1:106" ht="25.5" customHeight="1" x14ac:dyDescent="0.25">
      <c r="A46" s="7294">
        <v>29101736</v>
      </c>
      <c r="B46" s="10411"/>
      <c r="C46" s="7372" t="s">
        <v>5061</v>
      </c>
      <c r="D46" s="7375" t="s">
        <v>5369</v>
      </c>
      <c r="E46" s="7374" t="s">
        <v>5370</v>
      </c>
      <c r="F46" s="733"/>
      <c r="G46" s="810"/>
      <c r="H46" s="810"/>
      <c r="I46" s="810"/>
      <c r="J46" s="810"/>
      <c r="K46" s="733"/>
      <c r="L46" s="810"/>
      <c r="M46" s="810"/>
      <c r="N46" s="223"/>
      <c r="O46" s="140"/>
      <c r="P46" s="140"/>
      <c r="Q46" s="140"/>
      <c r="R46" s="140"/>
      <c r="S46" s="140"/>
      <c r="T46" s="290"/>
      <c r="U46" s="290"/>
      <c r="V46" s="290"/>
    </row>
    <row r="47" spans="1:106" ht="15.9" customHeight="1" x14ac:dyDescent="0.25">
      <c r="A47" s="7294">
        <v>29101737</v>
      </c>
      <c r="B47" s="10412" t="s">
        <v>5062</v>
      </c>
      <c r="C47" s="10413"/>
      <c r="D47" s="7371" t="s">
        <v>5369</v>
      </c>
      <c r="E47" s="7371" t="s">
        <v>5370</v>
      </c>
      <c r="F47" s="733"/>
      <c r="G47" s="810"/>
      <c r="H47" s="810"/>
      <c r="I47" s="810"/>
      <c r="J47" s="810"/>
      <c r="K47" s="733"/>
      <c r="L47" s="810"/>
      <c r="M47" s="810"/>
      <c r="N47" s="223"/>
      <c r="O47" s="140"/>
      <c r="P47" s="140"/>
      <c r="Q47" s="140"/>
      <c r="R47" s="140"/>
      <c r="S47" s="140"/>
      <c r="T47" s="290"/>
      <c r="U47" s="290"/>
      <c r="V47" s="290"/>
    </row>
    <row r="48" spans="1:106" ht="15.9" customHeight="1" x14ac:dyDescent="0.25">
      <c r="A48" s="7294">
        <v>29101738</v>
      </c>
      <c r="B48" s="10408" t="s">
        <v>5063</v>
      </c>
      <c r="C48" s="10409"/>
      <c r="D48" s="7377" t="s">
        <v>5369</v>
      </c>
      <c r="E48" s="7377" t="s">
        <v>5370</v>
      </c>
      <c r="F48" s="733"/>
      <c r="G48" s="810"/>
      <c r="H48" s="810"/>
      <c r="I48" s="810"/>
      <c r="J48" s="810"/>
      <c r="K48" s="733"/>
      <c r="L48" s="810"/>
      <c r="M48" s="810"/>
      <c r="N48" s="223"/>
      <c r="O48" s="140"/>
      <c r="P48" s="140"/>
      <c r="Q48" s="140"/>
      <c r="R48" s="140"/>
      <c r="S48" s="140"/>
      <c r="T48" s="290"/>
      <c r="U48" s="290"/>
      <c r="V48" s="290"/>
    </row>
    <row r="49" spans="1:22" ht="24" customHeight="1" x14ac:dyDescent="0.25">
      <c r="A49" s="7294">
        <v>29101739</v>
      </c>
      <c r="B49" s="10408" t="s">
        <v>5064</v>
      </c>
      <c r="C49" s="10409"/>
      <c r="D49" s="7377" t="s">
        <v>5369</v>
      </c>
      <c r="E49" s="7377" t="s">
        <v>5370</v>
      </c>
      <c r="F49" s="733"/>
      <c r="G49" s="810"/>
      <c r="H49" s="810"/>
      <c r="I49" s="810"/>
      <c r="J49" s="810"/>
      <c r="K49" s="733"/>
      <c r="L49" s="810"/>
      <c r="M49" s="810"/>
      <c r="N49" s="223"/>
      <c r="O49" s="140"/>
      <c r="P49" s="140"/>
      <c r="Q49" s="140"/>
      <c r="R49" s="140"/>
      <c r="S49" s="140"/>
      <c r="T49" s="290"/>
      <c r="U49" s="290"/>
      <c r="V49" s="290"/>
    </row>
    <row r="50" spans="1:22" ht="29.25" customHeight="1" x14ac:dyDescent="0.25">
      <c r="A50" s="7294">
        <v>29101740</v>
      </c>
      <c r="B50" s="10408" t="s">
        <v>5065</v>
      </c>
      <c r="C50" s="10409"/>
      <c r="D50" s="7377" t="s">
        <v>5369</v>
      </c>
      <c r="E50" s="7377" t="s">
        <v>5370</v>
      </c>
      <c r="F50" s="733"/>
      <c r="G50" s="810"/>
      <c r="H50" s="810"/>
      <c r="I50" s="810"/>
      <c r="J50" s="810"/>
      <c r="K50" s="733"/>
      <c r="L50" s="810"/>
      <c r="M50" s="810"/>
      <c r="N50" s="223"/>
      <c r="O50" s="140"/>
      <c r="P50" s="140"/>
      <c r="Q50" s="140"/>
      <c r="R50" s="140"/>
      <c r="S50" s="140"/>
      <c r="T50" s="290"/>
      <c r="U50" s="290"/>
      <c r="V50" s="290"/>
    </row>
    <row r="51" spans="1:22" ht="22.5" customHeight="1" x14ac:dyDescent="0.25">
      <c r="A51" s="7294">
        <v>29101741</v>
      </c>
      <c r="B51" s="10408" t="s">
        <v>5066</v>
      </c>
      <c r="C51" s="10409"/>
      <c r="D51" s="7377" t="s">
        <v>5369</v>
      </c>
      <c r="E51" s="7377" t="s">
        <v>5370</v>
      </c>
      <c r="F51" s="733"/>
      <c r="G51" s="810"/>
      <c r="H51" s="810"/>
      <c r="I51" s="810"/>
      <c r="J51" s="810"/>
      <c r="K51" s="733"/>
      <c r="L51" s="810"/>
      <c r="M51" s="810"/>
      <c r="N51" s="223"/>
      <c r="O51" s="140"/>
      <c r="P51" s="140"/>
      <c r="Q51" s="140"/>
      <c r="R51" s="140"/>
      <c r="S51" s="140"/>
      <c r="T51" s="290"/>
      <c r="U51" s="290"/>
      <c r="V51" s="290"/>
    </row>
    <row r="52" spans="1:22" ht="15.9" customHeight="1" x14ac:dyDescent="0.25">
      <c r="A52" s="7294">
        <v>29101742</v>
      </c>
      <c r="B52" s="10501" t="s">
        <v>2981</v>
      </c>
      <c r="C52" s="10501"/>
      <c r="D52" s="7378" t="s">
        <v>5369</v>
      </c>
      <c r="E52" s="7374" t="s">
        <v>5370</v>
      </c>
      <c r="F52" s="733"/>
      <c r="G52" s="810"/>
      <c r="H52" s="810"/>
      <c r="I52" s="810"/>
      <c r="J52" s="810"/>
      <c r="K52" s="733"/>
      <c r="L52" s="810"/>
      <c r="M52" s="810"/>
      <c r="N52" s="223"/>
      <c r="O52" s="140"/>
      <c r="P52" s="140"/>
      <c r="Q52" s="140"/>
      <c r="R52" s="140"/>
      <c r="S52" s="140"/>
      <c r="T52" s="290"/>
      <c r="U52" s="290"/>
      <c r="V52" s="290"/>
    </row>
    <row r="53" spans="1:22" ht="25.2" customHeight="1" x14ac:dyDescent="0.25">
      <c r="B53" s="7364" t="s">
        <v>2963</v>
      </c>
      <c r="C53" s="7365"/>
      <c r="D53" s="7366"/>
      <c r="E53" s="7367"/>
      <c r="F53" s="733"/>
      <c r="G53" s="810"/>
      <c r="H53" s="810"/>
      <c r="I53" s="810"/>
      <c r="J53" s="810"/>
      <c r="K53" s="733"/>
      <c r="L53" s="810"/>
      <c r="M53" s="810"/>
      <c r="N53" s="223"/>
      <c r="O53" s="140"/>
      <c r="P53" s="140"/>
      <c r="Q53" s="140"/>
      <c r="R53" s="140"/>
      <c r="S53" s="140"/>
      <c r="T53" s="290"/>
      <c r="U53" s="290"/>
      <c r="V53" s="290"/>
    </row>
    <row r="54" spans="1:22" ht="31.95" customHeight="1" x14ac:dyDescent="0.25">
      <c r="B54" s="10449" t="s">
        <v>3018</v>
      </c>
      <c r="C54" s="10450"/>
      <c r="D54" s="7368" t="s">
        <v>2964</v>
      </c>
      <c r="E54" s="7379" t="s">
        <v>2965</v>
      </c>
      <c r="F54" s="733"/>
      <c r="G54" s="810"/>
      <c r="H54" s="810"/>
      <c r="I54" s="810"/>
      <c r="J54" s="810"/>
      <c r="K54" s="733"/>
      <c r="L54" s="810"/>
      <c r="M54" s="810"/>
      <c r="N54" s="223"/>
      <c r="O54" s="140"/>
      <c r="P54" s="140"/>
      <c r="Q54" s="140"/>
      <c r="R54" s="140"/>
      <c r="S54" s="140"/>
      <c r="T54" s="290"/>
      <c r="U54" s="290"/>
      <c r="V54" s="290"/>
    </row>
    <row r="55" spans="1:22" ht="15" customHeight="1" x14ac:dyDescent="0.25">
      <c r="A55" s="7294">
        <v>29101743</v>
      </c>
      <c r="B55" s="10502" t="s">
        <v>2966</v>
      </c>
      <c r="C55" s="7380" t="s">
        <v>2967</v>
      </c>
      <c r="D55" s="7275" t="s">
        <v>5369</v>
      </c>
      <c r="E55" s="7275" t="s">
        <v>5370</v>
      </c>
      <c r="F55" s="733"/>
      <c r="G55" s="810"/>
      <c r="H55" s="810"/>
      <c r="I55" s="810"/>
      <c r="J55" s="810"/>
      <c r="K55" s="733"/>
      <c r="L55" s="810"/>
      <c r="M55" s="810"/>
      <c r="N55" s="223"/>
      <c r="O55" s="140"/>
      <c r="P55" s="140"/>
      <c r="Q55" s="140"/>
      <c r="R55" s="140"/>
      <c r="S55" s="140"/>
      <c r="T55" s="290"/>
      <c r="U55" s="290"/>
      <c r="V55" s="290"/>
    </row>
    <row r="56" spans="1:22" ht="15" customHeight="1" x14ac:dyDescent="0.25">
      <c r="A56" s="7294">
        <v>29101744</v>
      </c>
      <c r="B56" s="10502"/>
      <c r="C56" s="7381" t="s">
        <v>2968</v>
      </c>
      <c r="D56" s="7275" t="s">
        <v>5369</v>
      </c>
      <c r="E56" s="7275" t="s">
        <v>5370</v>
      </c>
      <c r="F56" s="733"/>
      <c r="G56" s="810"/>
      <c r="H56" s="810"/>
      <c r="I56" s="810"/>
      <c r="J56" s="810"/>
      <c r="K56" s="733"/>
      <c r="L56" s="810"/>
      <c r="M56" s="810"/>
      <c r="N56" s="223"/>
      <c r="O56" s="140"/>
      <c r="P56" s="140"/>
      <c r="Q56" s="140"/>
      <c r="R56" s="140"/>
      <c r="S56" s="140"/>
      <c r="T56" s="290"/>
      <c r="U56" s="290"/>
      <c r="V56" s="290"/>
    </row>
    <row r="57" spans="1:22" ht="15" customHeight="1" x14ac:dyDescent="0.25">
      <c r="A57" s="7294">
        <v>29101745</v>
      </c>
      <c r="B57" s="10502"/>
      <c r="C57" s="7381" t="s">
        <v>2969</v>
      </c>
      <c r="D57" s="7275" t="s">
        <v>5369</v>
      </c>
      <c r="E57" s="7275" t="s">
        <v>5370</v>
      </c>
      <c r="F57" s="733"/>
      <c r="G57" s="810"/>
      <c r="H57" s="810"/>
      <c r="I57" s="810"/>
      <c r="J57" s="810"/>
      <c r="K57" s="733"/>
      <c r="L57" s="810"/>
      <c r="M57" s="810"/>
      <c r="N57" s="223"/>
      <c r="O57" s="140"/>
      <c r="P57" s="140"/>
      <c r="Q57" s="140"/>
      <c r="R57" s="140"/>
      <c r="S57" s="140"/>
      <c r="T57" s="290"/>
      <c r="U57" s="290"/>
      <c r="V57" s="290"/>
    </row>
    <row r="58" spans="1:22" ht="15" customHeight="1" x14ac:dyDescent="0.25">
      <c r="A58" s="7294">
        <v>29101746</v>
      </c>
      <c r="B58" s="10502"/>
      <c r="C58" s="7381" t="s">
        <v>2970</v>
      </c>
      <c r="D58" s="7275" t="s">
        <v>5369</v>
      </c>
      <c r="E58" s="7275" t="s">
        <v>5370</v>
      </c>
      <c r="F58" s="733"/>
      <c r="G58" s="810"/>
      <c r="H58" s="810"/>
      <c r="I58" s="810"/>
      <c r="J58" s="810"/>
      <c r="K58" s="733"/>
      <c r="L58" s="810"/>
      <c r="M58" s="810"/>
      <c r="N58" s="223"/>
      <c r="O58" s="140"/>
      <c r="P58" s="140"/>
      <c r="Q58" s="140"/>
      <c r="R58" s="140"/>
      <c r="S58" s="140"/>
      <c r="T58" s="290"/>
      <c r="U58" s="290"/>
      <c r="V58" s="290"/>
    </row>
    <row r="59" spans="1:22" ht="26.4" customHeight="1" x14ac:dyDescent="0.25">
      <c r="A59" s="7294">
        <v>29101747</v>
      </c>
      <c r="B59" s="10494"/>
      <c r="C59" s="7382" t="s">
        <v>2971</v>
      </c>
      <c r="D59" s="7383" t="s">
        <v>5369</v>
      </c>
      <c r="E59" s="7383" t="s">
        <v>5370</v>
      </c>
      <c r="F59" s="733"/>
      <c r="G59" s="810"/>
      <c r="H59" s="810"/>
      <c r="I59" s="810"/>
      <c r="J59" s="810"/>
      <c r="K59" s="733"/>
      <c r="L59" s="810"/>
      <c r="M59" s="810"/>
      <c r="N59" s="223"/>
      <c r="O59" s="140"/>
      <c r="P59" s="140"/>
      <c r="Q59" s="140"/>
      <c r="R59" s="140"/>
      <c r="S59" s="140"/>
      <c r="T59" s="290"/>
      <c r="U59" s="290"/>
      <c r="V59" s="290"/>
    </row>
    <row r="60" spans="1:22" ht="15" customHeight="1" x14ac:dyDescent="0.25">
      <c r="A60" s="7294">
        <v>29101748</v>
      </c>
      <c r="B60" s="10499" t="s">
        <v>965</v>
      </c>
      <c r="C60" s="10500"/>
      <c r="D60" s="7275" t="s">
        <v>5369</v>
      </c>
      <c r="E60" s="7275" t="s">
        <v>5370</v>
      </c>
      <c r="F60" s="733"/>
      <c r="G60" s="810"/>
      <c r="H60" s="810"/>
      <c r="I60" s="810"/>
      <c r="J60" s="810"/>
      <c r="K60" s="733"/>
      <c r="L60" s="810"/>
      <c r="M60" s="810"/>
      <c r="N60" s="223"/>
      <c r="O60" s="140"/>
      <c r="P60" s="140"/>
      <c r="Q60" s="140"/>
      <c r="R60" s="140"/>
      <c r="S60" s="140"/>
      <c r="T60" s="290"/>
      <c r="U60" s="290"/>
      <c r="V60" s="290"/>
    </row>
    <row r="61" spans="1:22" ht="15" customHeight="1" x14ac:dyDescent="0.25">
      <c r="A61" s="7294">
        <v>29101749</v>
      </c>
      <c r="B61" s="10406" t="s">
        <v>964</v>
      </c>
      <c r="C61" s="10407"/>
      <c r="D61" s="7275" t="s">
        <v>5369</v>
      </c>
      <c r="E61" s="7275" t="s">
        <v>5370</v>
      </c>
      <c r="F61" s="733"/>
      <c r="G61" s="810"/>
      <c r="H61" s="810"/>
      <c r="I61" s="810"/>
      <c r="J61" s="810"/>
      <c r="K61" s="733"/>
      <c r="L61" s="810"/>
      <c r="M61" s="810"/>
      <c r="N61" s="223"/>
      <c r="O61" s="140"/>
      <c r="P61" s="140"/>
      <c r="Q61" s="140"/>
      <c r="R61" s="140"/>
      <c r="S61" s="140"/>
      <c r="T61" s="290"/>
      <c r="U61" s="290"/>
      <c r="V61" s="290"/>
    </row>
    <row r="62" spans="1:22" ht="15" customHeight="1" x14ac:dyDescent="0.25">
      <c r="A62" s="7294">
        <v>29101750</v>
      </c>
      <c r="B62" s="10406" t="s">
        <v>2972</v>
      </c>
      <c r="C62" s="10407"/>
      <c r="D62" s="7275" t="s">
        <v>5369</v>
      </c>
      <c r="E62" s="7275" t="s">
        <v>5370</v>
      </c>
      <c r="F62" s="733"/>
      <c r="G62" s="810"/>
      <c r="H62" s="810"/>
      <c r="I62" s="810"/>
      <c r="J62" s="810"/>
      <c r="K62" s="733"/>
      <c r="L62" s="810"/>
      <c r="M62" s="810"/>
      <c r="N62" s="223"/>
      <c r="O62" s="140"/>
      <c r="P62" s="140"/>
      <c r="Q62" s="140"/>
      <c r="R62" s="140"/>
      <c r="S62" s="140"/>
      <c r="T62" s="290"/>
      <c r="U62" s="290"/>
      <c r="V62" s="290"/>
    </row>
    <row r="63" spans="1:22" ht="15" customHeight="1" thickBot="1" x14ac:dyDescent="0.3">
      <c r="A63" s="7294">
        <v>29101751</v>
      </c>
      <c r="B63" s="10497" t="s">
        <v>2973</v>
      </c>
      <c r="C63" s="10498"/>
      <c r="D63" s="7384" t="s">
        <v>5369</v>
      </c>
      <c r="E63" s="7384" t="s">
        <v>5370</v>
      </c>
      <c r="F63" s="733"/>
      <c r="G63" s="810"/>
      <c r="H63" s="810"/>
      <c r="I63" s="810"/>
      <c r="J63" s="810"/>
      <c r="K63" s="733"/>
      <c r="L63" s="810"/>
      <c r="M63" s="810"/>
      <c r="N63" s="223"/>
      <c r="O63" s="140"/>
      <c r="P63" s="140"/>
      <c r="Q63" s="140"/>
      <c r="R63" s="140"/>
      <c r="S63" s="140"/>
      <c r="T63" s="290"/>
      <c r="U63" s="290"/>
      <c r="V63" s="290"/>
    </row>
    <row r="64" spans="1:22" ht="15" customHeight="1" thickTop="1" x14ac:dyDescent="0.25">
      <c r="A64" s="7294">
        <v>29101752</v>
      </c>
      <c r="B64" s="10406" t="s">
        <v>2974</v>
      </c>
      <c r="C64" s="10407"/>
      <c r="D64" s="7275" t="s">
        <v>5369</v>
      </c>
      <c r="E64" s="7275" t="s">
        <v>5370</v>
      </c>
      <c r="F64" s="733"/>
      <c r="G64" s="810"/>
      <c r="H64" s="810"/>
      <c r="I64" s="810"/>
      <c r="J64" s="810"/>
      <c r="K64" s="733"/>
      <c r="L64" s="810"/>
      <c r="M64" s="810"/>
      <c r="N64" s="223"/>
      <c r="O64" s="140"/>
      <c r="P64" s="140"/>
      <c r="Q64" s="140"/>
      <c r="R64" s="140"/>
      <c r="S64" s="140"/>
      <c r="T64" s="290"/>
      <c r="U64" s="290"/>
      <c r="V64" s="290"/>
    </row>
    <row r="65" spans="1:131" ht="15" customHeight="1" x14ac:dyDescent="0.25">
      <c r="A65" s="7294">
        <v>29101753</v>
      </c>
      <c r="B65" s="10406" t="s">
        <v>2975</v>
      </c>
      <c r="C65" s="10407"/>
      <c r="D65" s="7275" t="s">
        <v>5369</v>
      </c>
      <c r="E65" s="7275" t="s">
        <v>5370</v>
      </c>
      <c r="F65" s="733"/>
      <c r="G65" s="810"/>
      <c r="H65" s="810"/>
      <c r="I65" s="810"/>
      <c r="J65" s="810"/>
      <c r="K65" s="733"/>
      <c r="L65" s="810"/>
      <c r="M65" s="810"/>
      <c r="N65" s="223"/>
      <c r="O65" s="140"/>
      <c r="P65" s="140"/>
      <c r="Q65" s="140"/>
      <c r="R65" s="140"/>
      <c r="S65" s="140"/>
      <c r="T65" s="290"/>
      <c r="U65" s="290"/>
      <c r="V65" s="290"/>
    </row>
    <row r="66" spans="1:131" ht="15" customHeight="1" x14ac:dyDescent="0.25">
      <c r="A66" s="7294">
        <v>29101754</v>
      </c>
      <c r="B66" s="10503" t="s">
        <v>2976</v>
      </c>
      <c r="C66" s="10504"/>
      <c r="D66" s="7378" t="s">
        <v>5369</v>
      </c>
      <c r="E66" s="7378" t="s">
        <v>5370</v>
      </c>
      <c r="F66" s="733"/>
      <c r="G66" s="810"/>
      <c r="H66" s="810"/>
      <c r="I66" s="810"/>
      <c r="J66" s="810"/>
      <c r="K66" s="733"/>
      <c r="L66" s="810"/>
      <c r="M66" s="810"/>
      <c r="N66" s="223"/>
      <c r="O66" s="140"/>
      <c r="P66" s="140"/>
      <c r="Q66" s="140"/>
      <c r="R66" s="140"/>
      <c r="S66" s="140"/>
      <c r="T66" s="290"/>
      <c r="U66" s="290"/>
      <c r="V66" s="290"/>
    </row>
    <row r="67" spans="1:131" ht="24.75" customHeight="1" x14ac:dyDescent="0.25">
      <c r="B67" s="803" t="s">
        <v>3040</v>
      </c>
      <c r="C67" s="811"/>
      <c r="D67" s="810"/>
      <c r="E67" s="810"/>
      <c r="F67" s="733"/>
      <c r="G67" s="810"/>
      <c r="H67" s="810"/>
      <c r="I67" s="810"/>
      <c r="J67" s="810"/>
      <c r="K67" s="733"/>
      <c r="L67" s="810"/>
      <c r="M67" s="810"/>
      <c r="N67" s="223"/>
      <c r="O67" s="140"/>
      <c r="P67" s="140"/>
      <c r="Q67" s="140"/>
      <c r="R67" s="140"/>
      <c r="S67" s="140"/>
    </row>
    <row r="68" spans="1:131" ht="19.5" customHeight="1" x14ac:dyDescent="0.25">
      <c r="B68" s="8583" t="s">
        <v>1310</v>
      </c>
      <c r="C68" s="9594" t="s">
        <v>1309</v>
      </c>
      <c r="D68" s="9595"/>
      <c r="E68" s="9595"/>
      <c r="F68" s="9595"/>
      <c r="G68" s="9595"/>
      <c r="H68" s="9595"/>
      <c r="I68" s="9595"/>
      <c r="J68" s="9595"/>
      <c r="K68" s="9596"/>
      <c r="L68" s="8703" t="s">
        <v>1308</v>
      </c>
      <c r="M68" s="9592"/>
      <c r="N68" s="8772"/>
      <c r="O68" s="9606" t="s">
        <v>1307</v>
      </c>
      <c r="P68" s="9608"/>
      <c r="Q68" s="8557" t="s">
        <v>1306</v>
      </c>
      <c r="R68" s="8583" t="s">
        <v>362</v>
      </c>
      <c r="S68" s="8867" t="s">
        <v>361</v>
      </c>
      <c r="T68" s="9606" t="s">
        <v>713</v>
      </c>
      <c r="U68" s="9608" t="s">
        <v>713</v>
      </c>
      <c r="V68" s="290"/>
      <c r="BZ68" s="1438"/>
      <c r="CB68" s="1429"/>
      <c r="DA68" s="3205"/>
      <c r="EA68" s="165"/>
    </row>
    <row r="69" spans="1:131" ht="50.1" customHeight="1" x14ac:dyDescent="0.25">
      <c r="B69" s="8555"/>
      <c r="C69" s="2092" t="s">
        <v>1305</v>
      </c>
      <c r="D69" s="2088" t="s">
        <v>1304</v>
      </c>
      <c r="E69" s="2088" t="s">
        <v>40</v>
      </c>
      <c r="F69" s="2084" t="s">
        <v>115</v>
      </c>
      <c r="G69" s="2088" t="s">
        <v>116</v>
      </c>
      <c r="H69" s="2088" t="s">
        <v>117</v>
      </c>
      <c r="I69" s="2084" t="s">
        <v>118</v>
      </c>
      <c r="J69" s="2088" t="s">
        <v>119</v>
      </c>
      <c r="K69" s="3038" t="s">
        <v>2950</v>
      </c>
      <c r="L69" s="2993" t="s">
        <v>1302</v>
      </c>
      <c r="M69" s="2088" t="s">
        <v>1301</v>
      </c>
      <c r="N69" s="2085" t="s">
        <v>1300</v>
      </c>
      <c r="O69" s="3290" t="s">
        <v>1299</v>
      </c>
      <c r="P69" s="2058" t="s">
        <v>1298</v>
      </c>
      <c r="Q69" s="8895"/>
      <c r="R69" s="8859"/>
      <c r="S69" s="9680"/>
      <c r="T69" s="3664" t="s">
        <v>358</v>
      </c>
      <c r="U69" s="3664" t="s">
        <v>359</v>
      </c>
      <c r="V69" s="290"/>
      <c r="BZ69" s="1438"/>
      <c r="CB69" s="1429"/>
      <c r="DA69" s="3205"/>
      <c r="EA69" s="165"/>
    </row>
    <row r="70" spans="1:131" ht="15" customHeight="1" x14ac:dyDescent="0.25">
      <c r="A70" s="7267"/>
      <c r="B70" s="8859"/>
      <c r="C70" s="1467">
        <f t="shared" ref="C70:K70" si="14">SUM(C71:C73)</f>
        <v>0</v>
      </c>
      <c r="D70" s="1468">
        <f t="shared" si="14"/>
        <v>0</v>
      </c>
      <c r="E70" s="1468">
        <f t="shared" si="14"/>
        <v>0</v>
      </c>
      <c r="F70" s="1468">
        <f t="shared" si="14"/>
        <v>0</v>
      </c>
      <c r="G70" s="1468">
        <f t="shared" si="14"/>
        <v>0</v>
      </c>
      <c r="H70" s="1468">
        <f t="shared" si="14"/>
        <v>0</v>
      </c>
      <c r="I70" s="1468">
        <f t="shared" si="14"/>
        <v>0</v>
      </c>
      <c r="J70" s="1468">
        <f t="shared" si="14"/>
        <v>0</v>
      </c>
      <c r="K70" s="3051">
        <f t="shared" si="14"/>
        <v>0</v>
      </c>
      <c r="L70" s="3030">
        <f>SUM(L71:L73)</f>
        <v>0</v>
      </c>
      <c r="M70" s="1468">
        <f>SUM(M71:M73)</f>
        <v>0</v>
      </c>
      <c r="N70" s="1469">
        <f>SUM(N71:N72)</f>
        <v>0</v>
      </c>
      <c r="O70" s="2059">
        <f>SUM(O71:O72)</f>
        <v>0</v>
      </c>
      <c r="P70" s="2060">
        <f t="shared" ref="P70" si="15">SUM(P71:P72)</f>
        <v>0</v>
      </c>
      <c r="Q70" s="2057">
        <f t="shared" ref="Q70:U70" si="16">SUM(Q71:Q73)</f>
        <v>0</v>
      </c>
      <c r="R70" s="809">
        <f t="shared" si="16"/>
        <v>0</v>
      </c>
      <c r="S70" s="808">
        <f t="shared" si="16"/>
        <v>0</v>
      </c>
      <c r="T70" s="808">
        <f t="shared" si="16"/>
        <v>0</v>
      </c>
      <c r="U70" s="808">
        <f t="shared" si="16"/>
        <v>0</v>
      </c>
      <c r="V70" s="290"/>
      <c r="BZ70" s="1438"/>
      <c r="CB70" s="1429"/>
      <c r="DA70" s="3205"/>
      <c r="EA70" s="165"/>
    </row>
    <row r="71" spans="1:131" ht="16.95" customHeight="1" x14ac:dyDescent="0.25">
      <c r="A71" s="7258">
        <v>24200200</v>
      </c>
      <c r="B71" s="6795" t="s">
        <v>1297</v>
      </c>
      <c r="C71" s="6782" t="s">
        <v>5369</v>
      </c>
      <c r="D71" s="6796" t="s">
        <v>5370</v>
      </c>
      <c r="E71" s="3126" t="s">
        <v>5371</v>
      </c>
      <c r="F71" s="6796" t="s">
        <v>5372</v>
      </c>
      <c r="G71" s="3126" t="s">
        <v>5373</v>
      </c>
      <c r="H71" s="3126" t="s">
        <v>5374</v>
      </c>
      <c r="I71" s="6796" t="s">
        <v>5375</v>
      </c>
      <c r="J71" s="3126" t="s">
        <v>5376</v>
      </c>
      <c r="K71" s="6797" t="s">
        <v>5377</v>
      </c>
      <c r="L71" s="3031" t="s">
        <v>5378</v>
      </c>
      <c r="M71" s="2983" t="s">
        <v>5379</v>
      </c>
      <c r="N71" s="3042" t="s">
        <v>5380</v>
      </c>
      <c r="O71" s="6876" t="s">
        <v>5381</v>
      </c>
      <c r="P71" s="2905" t="s">
        <v>5382</v>
      </c>
      <c r="Q71" s="3035" t="s">
        <v>5383</v>
      </c>
      <c r="R71" s="3043" t="s">
        <v>5384</v>
      </c>
      <c r="S71" s="3035" t="s">
        <v>5385</v>
      </c>
      <c r="T71" s="3035" t="s">
        <v>5386</v>
      </c>
      <c r="U71" s="3035" t="s">
        <v>5387</v>
      </c>
      <c r="V71" s="806"/>
      <c r="W71" s="806"/>
      <c r="X71" s="806"/>
      <c r="Y71" s="806"/>
      <c r="Z71" s="806"/>
      <c r="AB71" s="806"/>
      <c r="AC71" s="806"/>
      <c r="AD71" s="806"/>
      <c r="AE71" s="806"/>
      <c r="BZ71" s="1438"/>
      <c r="CA71" s="1438" t="str">
        <f>IF(DA71=1,"* La suma de los Abortos y Partos DEBE ser igual al Total de IVE realizada según causal. ","")</f>
        <v/>
      </c>
      <c r="CB71" s="1436" t="str">
        <f>IF(DB71=1,"* No olvide digitar los campos Beneficiarios y/o Pueblo Originario y/o Migrantes y/o Personas Trans (Digite CEROS si no tiene). ","")</f>
        <v/>
      </c>
      <c r="CC71" s="1436" t="str">
        <f>IF(DC71=1,"* Beneficiarias NO DEBEN ser Mayor al Total. ","")</f>
        <v xml:space="preserve">* Beneficiarias NO DEBEN ser Mayor al Total. </v>
      </c>
      <c r="CD71" s="1436" t="str">
        <f>IF(DD71=1,"* Pueblos Originarios NO DEBEN ser Mayor al Total. ","")</f>
        <v xml:space="preserve">* Pueblos Originarios NO DEBEN ser Mayor al Total. </v>
      </c>
      <c r="CE71" s="1436" t="str">
        <f>IF(DE71=1,"* Migrantes NO DEBEN ser Mayor al Total. ","")</f>
        <v xml:space="preserve">* Migrantes NO DEBEN ser Mayor al Total. </v>
      </c>
      <c r="CF71" s="1436" t="str">
        <f>IF(DF71=1,"* Personas Trans NO DEBEN ser Mayor al Total. ","")</f>
        <v xml:space="preserve">* Personas Trans NO DEBEN ser Mayor al Total. </v>
      </c>
      <c r="DA71" s="1439">
        <f>IF(SUM(C71:K71)&lt;&gt;SUM(L71:P71),1,0)</f>
        <v>0</v>
      </c>
      <c r="DB71" s="1439">
        <f>IF(AND(SUM(C71:K71)&lt;&gt;0,OR(Q71="",R71="",S71="",T71="")),1,0)</f>
        <v>0</v>
      </c>
      <c r="DC71" s="1439">
        <f t="shared" ref="DC71:DF73" si="17">IF(SUM($C71:$K71)&lt;Q71,1,0)</f>
        <v>1</v>
      </c>
      <c r="DD71" s="1439">
        <f t="shared" si="17"/>
        <v>1</v>
      </c>
      <c r="DE71" s="1439">
        <f t="shared" si="17"/>
        <v>1</v>
      </c>
      <c r="DF71" s="1439">
        <f t="shared" si="17"/>
        <v>1</v>
      </c>
      <c r="EA71" s="165"/>
    </row>
    <row r="72" spans="1:131" ht="16.95" customHeight="1" x14ac:dyDescent="0.25">
      <c r="A72" s="7258">
        <v>24200201</v>
      </c>
      <c r="B72" s="4715" t="s">
        <v>1296</v>
      </c>
      <c r="C72" s="3757" t="s">
        <v>5369</v>
      </c>
      <c r="D72" s="3756" t="s">
        <v>5370</v>
      </c>
      <c r="E72" s="6798" t="s">
        <v>5371</v>
      </c>
      <c r="F72" s="3756" t="s">
        <v>5372</v>
      </c>
      <c r="G72" s="6798" t="s">
        <v>5373</v>
      </c>
      <c r="H72" s="6798" t="s">
        <v>5374</v>
      </c>
      <c r="I72" s="3756" t="s">
        <v>5375</v>
      </c>
      <c r="J72" s="6798" t="s">
        <v>5376</v>
      </c>
      <c r="K72" s="6799" t="s">
        <v>5377</v>
      </c>
      <c r="L72" s="2848" t="s">
        <v>5378</v>
      </c>
      <c r="M72" s="1319" t="s">
        <v>5379</v>
      </c>
      <c r="N72" s="2986" t="s">
        <v>5380</v>
      </c>
      <c r="O72" s="3757" t="s">
        <v>5381</v>
      </c>
      <c r="P72" s="4542" t="s">
        <v>5382</v>
      </c>
      <c r="Q72" s="2814" t="s">
        <v>5383</v>
      </c>
      <c r="R72" s="3033" t="s">
        <v>5384</v>
      </c>
      <c r="S72" s="2814" t="s">
        <v>5385</v>
      </c>
      <c r="T72" s="2814" t="s">
        <v>5386</v>
      </c>
      <c r="U72" s="2814" t="s">
        <v>5387</v>
      </c>
      <c r="V72" s="806"/>
      <c r="W72" s="806"/>
      <c r="X72" s="806"/>
      <c r="Y72" s="806"/>
      <c r="Z72" s="806"/>
      <c r="AA72" s="806"/>
      <c r="AB72" s="806"/>
      <c r="AC72" s="806"/>
      <c r="AD72" s="806"/>
      <c r="AE72" s="806"/>
      <c r="BZ72" s="1438"/>
      <c r="CA72" s="1438" t="str">
        <f>IF(DA72=1,"* La suma de los Abortos y Partos DEBE ser igual al Total de IVE realizada según causal. ","")</f>
        <v/>
      </c>
      <c r="CB72" s="1436" t="str">
        <f>IF(DB72=1,"* No olvide digitar los campos Beneficiarios y/o Pueblo Originario y/o Migrantes y/o Personas Trans (Digite CEROS si no tiene). ","")</f>
        <v/>
      </c>
      <c r="CC72" s="1436" t="str">
        <f>IF(DC72=1,"* Beneficiarias NO DEBEN ser Mayor al Total. ","")</f>
        <v xml:space="preserve">* Beneficiarias NO DEBEN ser Mayor al Total. </v>
      </c>
      <c r="CD72" s="1436" t="str">
        <f>IF(DD72=1,"* Pueblos Originarios NO DEBEN ser Mayor al Total. ","")</f>
        <v xml:space="preserve">* Pueblos Originarios NO DEBEN ser Mayor al Total. </v>
      </c>
      <c r="CE72" s="1436" t="str">
        <f>IF(DE72=1,"* Migrantes NO DEBEN ser Mayor al Total. ","")</f>
        <v xml:space="preserve">* Migrantes NO DEBEN ser Mayor al Total. </v>
      </c>
      <c r="CF72" s="1436" t="str">
        <f>IF(DF72=1,"* Personas Trans NO DEBEN ser Mayor al Total. ","")</f>
        <v xml:space="preserve">* Personas Trans NO DEBEN ser Mayor al Total. </v>
      </c>
      <c r="DA72" s="1439">
        <f>IF(SUM(C72:K72)&lt;&gt;SUM(L72:P72),1,0)</f>
        <v>0</v>
      </c>
      <c r="DB72" s="1439">
        <f>IF(AND(SUM(C72:K72)&lt;&gt;0,OR(Q72="",R72="",S72="",T72="")),1,0)</f>
        <v>0</v>
      </c>
      <c r="DC72" s="1439">
        <f t="shared" si="17"/>
        <v>1</v>
      </c>
      <c r="DD72" s="1439">
        <f t="shared" si="17"/>
        <v>1</v>
      </c>
      <c r="DE72" s="1439">
        <f t="shared" si="17"/>
        <v>1</v>
      </c>
      <c r="DF72" s="1439">
        <f t="shared" si="17"/>
        <v>1</v>
      </c>
      <c r="EA72" s="165"/>
    </row>
    <row r="73" spans="1:131" ht="16.95" customHeight="1" x14ac:dyDescent="0.25">
      <c r="A73" s="7258">
        <v>24200202</v>
      </c>
      <c r="B73" s="3250" t="s">
        <v>1295</v>
      </c>
      <c r="C73" s="6783" t="s">
        <v>5369</v>
      </c>
      <c r="D73" s="6800" t="s">
        <v>5370</v>
      </c>
      <c r="E73" s="2989" t="s">
        <v>5371</v>
      </c>
      <c r="F73" s="6800" t="s">
        <v>5372</v>
      </c>
      <c r="G73" s="2989" t="s">
        <v>5373</v>
      </c>
      <c r="H73" s="2989" t="s">
        <v>5374</v>
      </c>
      <c r="I73" s="6800" t="s">
        <v>5375</v>
      </c>
      <c r="J73" s="2989" t="s">
        <v>5376</v>
      </c>
      <c r="K73" s="6801" t="s">
        <v>5377</v>
      </c>
      <c r="L73" s="2829" t="s">
        <v>5378</v>
      </c>
      <c r="M73" s="2828" t="s">
        <v>5379</v>
      </c>
      <c r="N73" s="4741" t="s">
        <v>5380</v>
      </c>
      <c r="O73" s="4739" t="s">
        <v>5381</v>
      </c>
      <c r="P73" s="7256" t="s">
        <v>5382</v>
      </c>
      <c r="Q73" s="3159" t="s">
        <v>5383</v>
      </c>
      <c r="R73" s="3236" t="s">
        <v>5384</v>
      </c>
      <c r="S73" s="3159" t="s">
        <v>5385</v>
      </c>
      <c r="T73" s="3159" t="s">
        <v>5386</v>
      </c>
      <c r="U73" s="3159" t="s">
        <v>5387</v>
      </c>
      <c r="V73" s="806"/>
      <c r="W73" s="806"/>
      <c r="X73" s="806"/>
      <c r="Y73" s="806"/>
      <c r="Z73" s="806"/>
      <c r="AA73" s="806"/>
      <c r="AB73" s="806"/>
      <c r="AC73" s="806"/>
      <c r="AD73" s="806"/>
      <c r="AE73" s="806"/>
      <c r="BZ73" s="1438"/>
      <c r="CA73" s="1438" t="str">
        <f>IF(DA73=1,"* La suma de los Abortos y Partos DEBE ser igual al Total de IVE realizada según causal. ","")</f>
        <v/>
      </c>
      <c r="CB73" s="1436" t="str">
        <f>IF(DB73=1,"* No olvide digitar los campos Beneficiarios y/o Pueblo Originario y/o Migrantes y/o Personas Trans (Digite CEROS si no tiene). ","")</f>
        <v/>
      </c>
      <c r="CC73" s="1436" t="str">
        <f>IF(DC73=1,"* Beneficiarias NO DEBEN ser Mayor al Total. ","")</f>
        <v xml:space="preserve">* Beneficiarias NO DEBEN ser Mayor al Total. </v>
      </c>
      <c r="CD73" s="1436" t="str">
        <f>IF(DD73=1,"* Pueblos Originarios NO DEBEN ser Mayor al Total. ","")</f>
        <v xml:space="preserve">* Pueblos Originarios NO DEBEN ser Mayor al Total. </v>
      </c>
      <c r="CE73" s="1436" t="str">
        <f>IF(DE73=1,"* Migrantes NO DEBEN ser Mayor al Total. ","")</f>
        <v xml:space="preserve">* Migrantes NO DEBEN ser Mayor al Total. </v>
      </c>
      <c r="CF73" s="1436" t="str">
        <f>IF(DF73=1,"* Personas Trans NO DEBEN ser Mayor al Total. ","")</f>
        <v xml:space="preserve">* Personas Trans NO DEBEN ser Mayor al Total. </v>
      </c>
      <c r="DA73" s="1439">
        <f>IF(SUM(C73:K73)&lt;&gt;SUM(L73:P73),1,0)</f>
        <v>0</v>
      </c>
      <c r="DB73" s="1439">
        <f>IF(AND(SUM(C73:K73)&lt;&gt;0,OR(Q73="",R73="",S73="",T73="")),1,0)</f>
        <v>0</v>
      </c>
      <c r="DC73" s="1439">
        <f t="shared" si="17"/>
        <v>1</v>
      </c>
      <c r="DD73" s="1439">
        <f t="shared" si="17"/>
        <v>1</v>
      </c>
      <c r="DE73" s="1439">
        <f t="shared" si="17"/>
        <v>1</v>
      </c>
      <c r="DF73" s="1439">
        <f t="shared" si="17"/>
        <v>1</v>
      </c>
      <c r="EA73" s="165"/>
    </row>
    <row r="74" spans="1:131" ht="19.5" customHeight="1" x14ac:dyDescent="0.25">
      <c r="B74" s="7364" t="s">
        <v>2939</v>
      </c>
      <c r="C74" s="7365"/>
      <c r="D74" s="2670"/>
      <c r="E74" s="2670"/>
      <c r="F74" s="2670"/>
      <c r="G74" s="7385"/>
      <c r="H74" s="7386"/>
      <c r="I74" s="2591"/>
      <c r="J74" s="7387"/>
      <c r="K74" s="806"/>
      <c r="L74" s="806"/>
      <c r="M74" s="806"/>
      <c r="N74" s="806"/>
      <c r="O74" s="806"/>
      <c r="P74" s="806"/>
      <c r="Q74" s="288"/>
      <c r="R74" s="140"/>
      <c r="S74" s="140"/>
    </row>
    <row r="75" spans="1:131" ht="19.5" customHeight="1" x14ac:dyDescent="0.25">
      <c r="B75" s="10458" t="s">
        <v>2940</v>
      </c>
      <c r="C75" s="10459"/>
      <c r="D75" s="10437" t="s">
        <v>2207</v>
      </c>
      <c r="E75" s="10437" t="s">
        <v>3756</v>
      </c>
      <c r="F75" s="10437" t="s">
        <v>2942</v>
      </c>
      <c r="G75" s="10437" t="s">
        <v>2941</v>
      </c>
      <c r="H75" s="10475" t="s">
        <v>2943</v>
      </c>
      <c r="I75" s="10476"/>
      <c r="J75" s="10477"/>
      <c r="K75" s="806"/>
      <c r="L75" s="806"/>
      <c r="M75" s="806"/>
      <c r="N75" s="806"/>
      <c r="O75" s="806"/>
      <c r="P75" s="806"/>
      <c r="Q75" s="806"/>
      <c r="R75" s="288"/>
      <c r="S75" s="140"/>
      <c r="T75" s="140"/>
      <c r="W75" s="165"/>
      <c r="CA75" s="290"/>
      <c r="CB75" s="1438"/>
      <c r="CC75" s="1435"/>
      <c r="DB75" s="1429"/>
    </row>
    <row r="76" spans="1:131" ht="19.5" customHeight="1" x14ac:dyDescent="0.25">
      <c r="B76" s="10460"/>
      <c r="C76" s="10461"/>
      <c r="D76" s="10438"/>
      <c r="E76" s="10438"/>
      <c r="F76" s="10438"/>
      <c r="G76" s="10438"/>
      <c r="H76" s="7388" t="s">
        <v>3979</v>
      </c>
      <c r="I76" s="7388" t="s">
        <v>49</v>
      </c>
      <c r="J76" s="7388" t="s">
        <v>1560</v>
      </c>
      <c r="K76" s="806"/>
      <c r="L76" s="806"/>
      <c r="M76" s="806"/>
      <c r="N76" s="806"/>
      <c r="O76" s="806"/>
      <c r="P76" s="806"/>
      <c r="Q76" s="288"/>
      <c r="R76" s="140"/>
      <c r="S76" s="140"/>
      <c r="EA76" s="165"/>
    </row>
    <row r="77" spans="1:131" ht="19.5" customHeight="1" x14ac:dyDescent="0.25">
      <c r="A77" s="7294">
        <v>29101755</v>
      </c>
      <c r="B77" s="10451" t="s">
        <v>2944</v>
      </c>
      <c r="C77" s="10452"/>
      <c r="D77" s="7389" t="s">
        <v>5369</v>
      </c>
      <c r="E77" s="7390" t="s">
        <v>5370</v>
      </c>
      <c r="F77" s="7391" t="s">
        <v>5371</v>
      </c>
      <c r="G77" s="7392" t="s">
        <v>5372</v>
      </c>
      <c r="H77" s="7392" t="s">
        <v>5373</v>
      </c>
      <c r="I77" s="7392" t="s">
        <v>5374</v>
      </c>
      <c r="J77" s="7392" t="s">
        <v>5375</v>
      </c>
      <c r="K77" s="806"/>
      <c r="L77" s="806"/>
      <c r="M77" s="806"/>
      <c r="N77" s="806"/>
      <c r="O77" s="806"/>
      <c r="P77" s="806"/>
      <c r="Q77" s="288"/>
      <c r="R77" s="140"/>
      <c r="S77" s="140"/>
      <c r="EA77" s="165"/>
    </row>
    <row r="78" spans="1:131" ht="19.5" customHeight="1" x14ac:dyDescent="0.25">
      <c r="A78" s="7294">
        <v>29101756</v>
      </c>
      <c r="B78" s="10495" t="s">
        <v>2945</v>
      </c>
      <c r="C78" s="10496"/>
      <c r="D78" s="7393" t="s">
        <v>5369</v>
      </c>
      <c r="E78" s="7394" t="s">
        <v>5370</v>
      </c>
      <c r="F78" s="7395" t="s">
        <v>5371</v>
      </c>
      <c r="G78" s="7396" t="s">
        <v>5372</v>
      </c>
      <c r="H78" s="7395" t="s">
        <v>5373</v>
      </c>
      <c r="I78" s="7395" t="s">
        <v>5374</v>
      </c>
      <c r="J78" s="7397" t="s">
        <v>5375</v>
      </c>
      <c r="K78" s="806"/>
      <c r="L78" s="806"/>
      <c r="M78" s="806"/>
      <c r="N78" s="806"/>
      <c r="O78" s="806"/>
      <c r="P78" s="806"/>
      <c r="Q78" s="806"/>
      <c r="R78" s="288"/>
      <c r="S78" s="140"/>
      <c r="T78" s="140"/>
      <c r="W78" s="165"/>
      <c r="CA78" s="290"/>
      <c r="CB78" s="1438"/>
      <c r="CC78" s="1435"/>
      <c r="DB78" s="1429"/>
    </row>
    <row r="79" spans="1:131" ht="19.5" customHeight="1" x14ac:dyDescent="0.25">
      <c r="A79" s="7294">
        <v>29101757</v>
      </c>
      <c r="B79" s="10446" t="s">
        <v>872</v>
      </c>
      <c r="C79" s="7398" t="s">
        <v>871</v>
      </c>
      <c r="D79" s="7399" t="s">
        <v>5369</v>
      </c>
      <c r="E79" s="7400" t="s">
        <v>5370</v>
      </c>
      <c r="F79" s="7401" t="s">
        <v>5371</v>
      </c>
      <c r="G79" s="7402" t="s">
        <v>5372</v>
      </c>
      <c r="H79" s="7401" t="s">
        <v>5373</v>
      </c>
      <c r="I79" s="7401" t="s">
        <v>5374</v>
      </c>
      <c r="J79" s="7275" t="s">
        <v>5375</v>
      </c>
      <c r="K79" s="806"/>
      <c r="L79" s="806"/>
      <c r="M79" s="806"/>
      <c r="N79" s="806"/>
      <c r="O79" s="806"/>
      <c r="P79" s="806"/>
      <c r="Q79" s="806"/>
      <c r="R79" s="288"/>
      <c r="S79" s="140"/>
      <c r="T79" s="140"/>
      <c r="W79" s="165"/>
      <c r="CA79" s="290"/>
      <c r="CB79" s="1438"/>
      <c r="CC79" s="1435"/>
      <c r="DB79" s="1429"/>
    </row>
    <row r="80" spans="1:131" ht="19.5" customHeight="1" x14ac:dyDescent="0.25">
      <c r="A80" s="7294">
        <v>29101758</v>
      </c>
      <c r="B80" s="10447"/>
      <c r="C80" s="7380" t="s">
        <v>870</v>
      </c>
      <c r="D80" s="7403" t="s">
        <v>5369</v>
      </c>
      <c r="E80" s="7404" t="s">
        <v>5370</v>
      </c>
      <c r="F80" s="7405" t="s">
        <v>5371</v>
      </c>
      <c r="G80" s="7405" t="s">
        <v>5372</v>
      </c>
      <c r="H80" s="7405" t="s">
        <v>5373</v>
      </c>
      <c r="I80" s="7405" t="s">
        <v>5374</v>
      </c>
      <c r="J80" s="7406" t="s">
        <v>5375</v>
      </c>
      <c r="K80" s="806"/>
      <c r="L80" s="806"/>
      <c r="M80" s="806"/>
      <c r="N80" s="806"/>
      <c r="O80" s="806"/>
      <c r="P80" s="806"/>
      <c r="Q80" s="806"/>
      <c r="R80" s="288"/>
      <c r="S80" s="140"/>
      <c r="T80" s="140"/>
      <c r="W80" s="165"/>
      <c r="CA80" s="290"/>
      <c r="CB80" s="1438"/>
      <c r="CC80" s="1435"/>
      <c r="DB80" s="1429"/>
    </row>
    <row r="81" spans="1:106" ht="19.5" customHeight="1" x14ac:dyDescent="0.25">
      <c r="A81" s="7294">
        <v>29101759</v>
      </c>
      <c r="B81" s="10447"/>
      <c r="C81" s="7407" t="s">
        <v>869</v>
      </c>
      <c r="D81" s="7403" t="s">
        <v>5369</v>
      </c>
      <c r="E81" s="7404" t="s">
        <v>5370</v>
      </c>
      <c r="F81" s="7405" t="s">
        <v>5371</v>
      </c>
      <c r="G81" s="7405" t="s">
        <v>5372</v>
      </c>
      <c r="H81" s="7405" t="s">
        <v>5373</v>
      </c>
      <c r="I81" s="7405" t="s">
        <v>5374</v>
      </c>
      <c r="J81" s="7406" t="s">
        <v>5375</v>
      </c>
      <c r="K81" s="806"/>
      <c r="L81" s="806"/>
      <c r="M81" s="806"/>
      <c r="N81" s="806"/>
      <c r="O81" s="806"/>
      <c r="P81" s="806"/>
      <c r="Q81" s="806"/>
      <c r="R81" s="288"/>
      <c r="S81" s="140"/>
      <c r="T81" s="140"/>
      <c r="W81" s="165"/>
      <c r="CA81" s="290"/>
      <c r="CB81" s="1438"/>
      <c r="CC81" s="1435"/>
      <c r="DB81" s="1429"/>
    </row>
    <row r="82" spans="1:106" ht="19.5" customHeight="1" x14ac:dyDescent="0.25">
      <c r="A82" s="7294">
        <v>29101760</v>
      </c>
      <c r="B82" s="10447"/>
      <c r="C82" s="7408" t="s">
        <v>868</v>
      </c>
      <c r="D82" s="7403" t="s">
        <v>5369</v>
      </c>
      <c r="E82" s="7404" t="s">
        <v>5370</v>
      </c>
      <c r="F82" s="7405" t="s">
        <v>5371</v>
      </c>
      <c r="G82" s="7405" t="s">
        <v>5372</v>
      </c>
      <c r="H82" s="7405" t="s">
        <v>5373</v>
      </c>
      <c r="I82" s="7405" t="s">
        <v>5374</v>
      </c>
      <c r="J82" s="7406" t="s">
        <v>5375</v>
      </c>
      <c r="K82" s="806"/>
      <c r="L82" s="806"/>
      <c r="M82" s="806"/>
      <c r="N82" s="806"/>
      <c r="O82" s="806"/>
      <c r="P82" s="806"/>
      <c r="Q82" s="806"/>
      <c r="R82" s="288"/>
      <c r="S82" s="140"/>
      <c r="T82" s="140"/>
      <c r="W82" s="165"/>
      <c r="CA82" s="290"/>
      <c r="CB82" s="1438"/>
      <c r="CC82" s="1435"/>
      <c r="DB82" s="1429"/>
    </row>
    <row r="83" spans="1:106" ht="23.25" customHeight="1" x14ac:dyDescent="0.25">
      <c r="A83" s="7294">
        <v>29101761</v>
      </c>
      <c r="B83" s="10447"/>
      <c r="C83" s="7409" t="s">
        <v>867</v>
      </c>
      <c r="D83" s="7403" t="s">
        <v>5369</v>
      </c>
      <c r="E83" s="7404" t="s">
        <v>5370</v>
      </c>
      <c r="F83" s="7405" t="s">
        <v>5371</v>
      </c>
      <c r="G83" s="7405" t="s">
        <v>5372</v>
      </c>
      <c r="H83" s="7405" t="s">
        <v>5373</v>
      </c>
      <c r="I83" s="7405" t="s">
        <v>5374</v>
      </c>
      <c r="J83" s="7406" t="s">
        <v>5375</v>
      </c>
      <c r="K83" s="806"/>
      <c r="L83" s="806"/>
      <c r="M83" s="806"/>
      <c r="N83" s="806"/>
      <c r="O83" s="806"/>
      <c r="P83" s="806"/>
      <c r="Q83" s="806"/>
      <c r="R83" s="288"/>
      <c r="S83" s="140"/>
      <c r="T83" s="140"/>
      <c r="W83" s="165"/>
      <c r="CA83" s="290"/>
      <c r="CB83" s="1438"/>
      <c r="CC83" s="1435"/>
      <c r="DB83" s="1429"/>
    </row>
    <row r="84" spans="1:106" ht="23.25" customHeight="1" x14ac:dyDescent="0.25">
      <c r="A84" s="7294">
        <v>29101762</v>
      </c>
      <c r="B84" s="10447"/>
      <c r="C84" s="7409" t="s">
        <v>866</v>
      </c>
      <c r="D84" s="7403" t="s">
        <v>5369</v>
      </c>
      <c r="E84" s="7404" t="s">
        <v>5370</v>
      </c>
      <c r="F84" s="7405" t="s">
        <v>5371</v>
      </c>
      <c r="G84" s="7405" t="s">
        <v>5372</v>
      </c>
      <c r="H84" s="7405" t="s">
        <v>5373</v>
      </c>
      <c r="I84" s="7405" t="s">
        <v>5374</v>
      </c>
      <c r="J84" s="7406" t="s">
        <v>5375</v>
      </c>
      <c r="K84" s="806"/>
      <c r="L84" s="806"/>
      <c r="M84" s="806"/>
      <c r="N84" s="806"/>
      <c r="O84" s="806"/>
      <c r="P84" s="806"/>
      <c r="Q84" s="806"/>
      <c r="R84" s="288"/>
      <c r="S84" s="140"/>
      <c r="T84" s="140"/>
      <c r="W84" s="165"/>
      <c r="CA84" s="290"/>
      <c r="CB84" s="1438"/>
      <c r="CC84" s="1435"/>
      <c r="DB84" s="1429"/>
    </row>
    <row r="85" spans="1:106" ht="19.5" customHeight="1" x14ac:dyDescent="0.25">
      <c r="A85" s="7294">
        <v>29101763</v>
      </c>
      <c r="B85" s="10448"/>
      <c r="C85" s="7282" t="s">
        <v>3757</v>
      </c>
      <c r="D85" s="7410" t="s">
        <v>5369</v>
      </c>
      <c r="E85" s="7394" t="s">
        <v>5370</v>
      </c>
      <c r="F85" s="7339" t="s">
        <v>5371</v>
      </c>
      <c r="G85" s="7339" t="s">
        <v>5372</v>
      </c>
      <c r="H85" s="7339" t="s">
        <v>5373</v>
      </c>
      <c r="I85" s="7339" t="s">
        <v>5374</v>
      </c>
      <c r="J85" s="7375" t="s">
        <v>5375</v>
      </c>
      <c r="K85" s="806"/>
      <c r="L85" s="806"/>
      <c r="M85" s="806"/>
      <c r="N85" s="806"/>
      <c r="O85" s="806"/>
      <c r="P85" s="806"/>
      <c r="Q85" s="806"/>
      <c r="R85" s="288"/>
      <c r="S85" s="140"/>
      <c r="T85" s="140"/>
      <c r="W85" s="165"/>
      <c r="CA85" s="290"/>
      <c r="CB85" s="1438"/>
      <c r="CC85" s="1435"/>
      <c r="DB85" s="1429"/>
    </row>
    <row r="86" spans="1:106" ht="19.5" customHeight="1" x14ac:dyDescent="0.25">
      <c r="A86" s="7294">
        <v>29101764</v>
      </c>
      <c r="B86" s="10505" t="s">
        <v>2946</v>
      </c>
      <c r="C86" s="10506"/>
      <c r="D86" s="7393" t="s">
        <v>5369</v>
      </c>
      <c r="E86" s="7411" t="s">
        <v>5370</v>
      </c>
      <c r="F86" s="7412" t="s">
        <v>5371</v>
      </c>
      <c r="G86" s="7396" t="s">
        <v>5372</v>
      </c>
      <c r="H86" s="7412" t="s">
        <v>5373</v>
      </c>
      <c r="I86" s="7412" t="s">
        <v>5374</v>
      </c>
      <c r="J86" s="7413" t="s">
        <v>5375</v>
      </c>
      <c r="K86" s="806"/>
      <c r="L86" s="806"/>
      <c r="M86" s="806"/>
      <c r="N86" s="806"/>
      <c r="O86" s="806"/>
      <c r="P86" s="806"/>
      <c r="Q86" s="806"/>
      <c r="R86" s="288"/>
      <c r="S86" s="140"/>
      <c r="T86" s="140"/>
      <c r="W86" s="165"/>
      <c r="CA86" s="290"/>
      <c r="CB86" s="1438"/>
      <c r="CC86" s="1435"/>
      <c r="DB86" s="1429"/>
    </row>
    <row r="87" spans="1:106" ht="19.5" customHeight="1" x14ac:dyDescent="0.25">
      <c r="A87" s="7294">
        <v>29101765</v>
      </c>
      <c r="B87" s="10478" t="s">
        <v>2947</v>
      </c>
      <c r="C87" s="10479"/>
      <c r="D87" s="7401" t="s">
        <v>5369</v>
      </c>
      <c r="E87" s="7401" t="s">
        <v>5370</v>
      </c>
      <c r="F87" s="7401" t="s">
        <v>5371</v>
      </c>
      <c r="G87" s="7402" t="s">
        <v>5372</v>
      </c>
      <c r="H87" s="7401" t="s">
        <v>5373</v>
      </c>
      <c r="I87" s="7401" t="s">
        <v>5374</v>
      </c>
      <c r="J87" s="7275" t="s">
        <v>5375</v>
      </c>
      <c r="K87" s="806"/>
      <c r="L87" s="806"/>
      <c r="M87" s="806"/>
      <c r="N87" s="806"/>
      <c r="O87" s="806"/>
      <c r="P87" s="806"/>
      <c r="Q87" s="806"/>
      <c r="R87" s="288"/>
      <c r="S87" s="140"/>
      <c r="T87" s="140"/>
      <c r="W87" s="165"/>
      <c r="CA87" s="290"/>
      <c r="CB87" s="1438"/>
      <c r="CC87" s="1435"/>
      <c r="DB87" s="1429"/>
    </row>
    <row r="88" spans="1:106" ht="19.5" customHeight="1" x14ac:dyDescent="0.25">
      <c r="A88" s="7294">
        <v>29101766</v>
      </c>
      <c r="B88" s="10462" t="s">
        <v>2948</v>
      </c>
      <c r="C88" s="10463"/>
      <c r="D88" s="7414" t="s">
        <v>5369</v>
      </c>
      <c r="E88" s="7415" t="s">
        <v>5370</v>
      </c>
      <c r="F88" s="7414" t="s">
        <v>5371</v>
      </c>
      <c r="G88" s="7416" t="s">
        <v>5372</v>
      </c>
      <c r="H88" s="7414" t="s">
        <v>5373</v>
      </c>
      <c r="I88" s="7414" t="s">
        <v>5374</v>
      </c>
      <c r="J88" s="7417" t="s">
        <v>5375</v>
      </c>
      <c r="K88" s="806"/>
      <c r="L88" s="806"/>
      <c r="M88" s="806"/>
      <c r="N88" s="806"/>
      <c r="O88" s="806"/>
      <c r="P88" s="806"/>
      <c r="Q88" s="806"/>
      <c r="R88" s="288"/>
      <c r="S88" s="140"/>
      <c r="T88" s="140"/>
      <c r="W88" s="165"/>
      <c r="CA88" s="290"/>
      <c r="CB88" s="1438"/>
      <c r="CC88" s="1435"/>
      <c r="DB88" s="1429"/>
    </row>
    <row r="89" spans="1:106" ht="19.5" customHeight="1" x14ac:dyDescent="0.25">
      <c r="A89" s="7267"/>
      <c r="B89" s="10464" t="s">
        <v>2949</v>
      </c>
      <c r="C89" s="10465"/>
      <c r="D89" s="7418">
        <f>SUM(D77:D88)</f>
        <v>0</v>
      </c>
      <c r="E89" s="7418">
        <f>SUM(E87)</f>
        <v>0</v>
      </c>
      <c r="F89" s="7418">
        <f t="shared" ref="F89:J89" si="18">SUM(F77:F88)</f>
        <v>0</v>
      </c>
      <c r="G89" s="7419">
        <f t="shared" si="18"/>
        <v>0</v>
      </c>
      <c r="H89" s="7418">
        <f t="shared" si="18"/>
        <v>0</v>
      </c>
      <c r="I89" s="7418">
        <f t="shared" si="18"/>
        <v>0</v>
      </c>
      <c r="J89" s="7420">
        <f t="shared" si="18"/>
        <v>0</v>
      </c>
      <c r="K89" s="806"/>
      <c r="L89" s="806"/>
      <c r="M89" s="806"/>
      <c r="N89" s="806"/>
      <c r="O89" s="806"/>
      <c r="P89" s="806"/>
      <c r="Q89" s="806"/>
      <c r="R89" s="288"/>
      <c r="S89" s="140"/>
      <c r="T89" s="140"/>
      <c r="W89" s="165"/>
      <c r="CA89" s="290"/>
      <c r="CB89" s="1438"/>
      <c r="CC89" s="1435"/>
      <c r="DB89" s="1429"/>
    </row>
    <row r="90" spans="1:106" ht="21" customHeight="1" x14ac:dyDescent="0.25">
      <c r="B90" s="10440" t="s">
        <v>2929</v>
      </c>
      <c r="C90" s="8885"/>
      <c r="D90" s="8885"/>
      <c r="E90" s="8885"/>
      <c r="F90" s="8885"/>
      <c r="G90" s="8885"/>
      <c r="H90" s="8885"/>
      <c r="I90" s="805"/>
      <c r="J90" s="805"/>
      <c r="K90" s="805"/>
      <c r="L90" s="805"/>
      <c r="M90" s="292"/>
      <c r="N90" s="288"/>
      <c r="O90" s="288"/>
      <c r="P90" s="288"/>
      <c r="Q90" s="288"/>
      <c r="R90" s="288"/>
      <c r="S90" s="288"/>
      <c r="T90" s="290"/>
      <c r="U90" s="290"/>
      <c r="V90" s="290"/>
    </row>
    <row r="91" spans="1:106" ht="18" customHeight="1" x14ac:dyDescent="0.25">
      <c r="B91" s="10441" t="s">
        <v>2930</v>
      </c>
      <c r="C91" s="10442"/>
      <c r="D91" s="10442"/>
      <c r="E91" s="10442"/>
      <c r="F91" s="10442"/>
      <c r="G91" s="10442"/>
      <c r="H91" s="10442"/>
      <c r="N91" s="140"/>
      <c r="O91" s="140"/>
      <c r="P91" s="140"/>
      <c r="Q91" s="140"/>
      <c r="R91" s="140"/>
      <c r="S91" s="140"/>
    </row>
    <row r="92" spans="1:106" ht="22.2" customHeight="1" x14ac:dyDescent="0.25">
      <c r="B92" s="8682" t="s">
        <v>47</v>
      </c>
      <c r="C92" s="8606"/>
      <c r="D92" s="8699" t="s">
        <v>24</v>
      </c>
      <c r="E92" s="8735" t="s">
        <v>1294</v>
      </c>
      <c r="F92" s="8703"/>
      <c r="G92" s="8703"/>
      <c r="H92" s="8703"/>
      <c r="I92" s="8703"/>
      <c r="J92" s="8703"/>
      <c r="K92" s="8703"/>
      <c r="L92" s="8736"/>
      <c r="M92" s="8606" t="s">
        <v>3017</v>
      </c>
      <c r="N92" s="290"/>
      <c r="O92" s="290"/>
      <c r="P92" s="288"/>
      <c r="Q92" s="140"/>
      <c r="R92" s="140"/>
      <c r="S92" s="140"/>
    </row>
    <row r="93" spans="1:106" ht="26.4" customHeight="1" x14ac:dyDescent="0.25">
      <c r="B93" s="10474"/>
      <c r="C93" s="8702"/>
      <c r="D93" s="8892"/>
      <c r="E93" s="2999" t="s">
        <v>1292</v>
      </c>
      <c r="F93" s="2999" t="s">
        <v>1291</v>
      </c>
      <c r="G93" s="3000" t="s">
        <v>1290</v>
      </c>
      <c r="H93" s="3000" t="s">
        <v>1289</v>
      </c>
      <c r="I93" s="3000" t="s">
        <v>1288</v>
      </c>
      <c r="J93" s="3000" t="s">
        <v>1287</v>
      </c>
      <c r="K93" s="3000" t="s">
        <v>1286</v>
      </c>
      <c r="L93" s="3025" t="s">
        <v>1285</v>
      </c>
      <c r="M93" s="8702"/>
      <c r="N93" s="806"/>
      <c r="O93" s="806"/>
      <c r="P93" s="290"/>
      <c r="CB93" s="1429"/>
    </row>
    <row r="94" spans="1:106" ht="15" customHeight="1" x14ac:dyDescent="0.25">
      <c r="A94" s="7265" t="s">
        <v>5053</v>
      </c>
      <c r="B94" s="10443" t="s">
        <v>1283</v>
      </c>
      <c r="C94" s="10444"/>
      <c r="D94" s="3461" t="s">
        <v>5369</v>
      </c>
      <c r="E94" s="3479" t="s">
        <v>5370</v>
      </c>
      <c r="F94" s="3479" t="s">
        <v>5371</v>
      </c>
      <c r="G94" s="3689" t="s">
        <v>5372</v>
      </c>
      <c r="H94" s="3689" t="s">
        <v>5373</v>
      </c>
      <c r="I94" s="3689" t="s">
        <v>5374</v>
      </c>
      <c r="J94" s="3689" t="s">
        <v>5375</v>
      </c>
      <c r="K94" s="3689" t="s">
        <v>5376</v>
      </c>
      <c r="L94" s="3690" t="s">
        <v>5377</v>
      </c>
      <c r="M94" s="2992" t="s">
        <v>5378</v>
      </c>
      <c r="N94" s="802" t="str">
        <f>CB94</f>
        <v xml:space="preserve">* Total Nacidos Vivos con Anomalía Congénita NO DEBE ser MAYOR a Nacidos Vivos según peso al Nacer. </v>
      </c>
      <c r="O94" s="802"/>
      <c r="P94" s="288"/>
      <c r="Q94" s="140"/>
      <c r="R94" s="140"/>
      <c r="S94" s="140"/>
      <c r="CB94" s="1436" t="str">
        <f>IF(DB94=1,"* Total Nacidos Vivos con Anomalía Congénita NO DEBE ser MAYOR a Nacidos Vivos según peso al Nacer. ","")</f>
        <v xml:space="preserve">* Total Nacidos Vivos con Anomalía Congénita NO DEBE ser MAYOR a Nacidos Vivos según peso al Nacer. </v>
      </c>
      <c r="DB94" s="1439">
        <f>IF(D94&lt;M94,1,0)</f>
        <v>1</v>
      </c>
    </row>
    <row r="95" spans="1:106" ht="27" customHeight="1" x14ac:dyDescent="0.25">
      <c r="B95" s="751" t="s">
        <v>2926</v>
      </c>
      <c r="C95" s="751"/>
      <c r="F95" s="140"/>
      <c r="G95" s="140"/>
      <c r="H95" s="750"/>
      <c r="I95" s="140"/>
      <c r="J95" s="140"/>
      <c r="K95" s="140"/>
      <c r="L95" s="140"/>
      <c r="M95" s="605"/>
      <c r="N95" s="140"/>
      <c r="O95" s="140"/>
      <c r="P95" s="140"/>
      <c r="Q95" s="140"/>
      <c r="R95" s="140"/>
      <c r="S95" s="140"/>
    </row>
    <row r="96" spans="1:106" ht="44.25" customHeight="1" x14ac:dyDescent="0.25">
      <c r="B96" s="9695" t="s">
        <v>47</v>
      </c>
      <c r="C96" s="9695"/>
      <c r="D96" s="10471" t="s">
        <v>2927</v>
      </c>
      <c r="E96" s="10472"/>
      <c r="F96" s="8735" t="s">
        <v>3750</v>
      </c>
      <c r="G96" s="8703"/>
      <c r="H96" s="8703"/>
      <c r="I96" s="8917"/>
      <c r="J96" s="10473" t="s">
        <v>2928</v>
      </c>
      <c r="K96" s="10473"/>
      <c r="L96" s="10435" t="s">
        <v>3014</v>
      </c>
      <c r="M96" s="10435" t="s">
        <v>3015</v>
      </c>
      <c r="N96" s="8704" t="s">
        <v>3016</v>
      </c>
      <c r="O96" s="140"/>
      <c r="P96" s="140"/>
      <c r="Q96" s="140"/>
      <c r="R96" s="140"/>
      <c r="S96" s="140"/>
    </row>
    <row r="97" spans="1:109" ht="43.5" customHeight="1" x14ac:dyDescent="0.25">
      <c r="B97" s="9695"/>
      <c r="C97" s="9695"/>
      <c r="D97" s="3476" t="s">
        <v>3013</v>
      </c>
      <c r="E97" s="3476" t="s">
        <v>3006</v>
      </c>
      <c r="F97" s="3476" t="s">
        <v>3007</v>
      </c>
      <c r="G97" s="3476" t="s">
        <v>3008</v>
      </c>
      <c r="H97" s="3476" t="s">
        <v>3009</v>
      </c>
      <c r="I97" s="3476" t="s">
        <v>3010</v>
      </c>
      <c r="J97" s="3268" t="s">
        <v>3011</v>
      </c>
      <c r="K97" s="3049" t="s">
        <v>3012</v>
      </c>
      <c r="L97" s="10436"/>
      <c r="M97" s="10436"/>
      <c r="N97" s="10439"/>
      <c r="O97" s="150"/>
      <c r="P97" s="140"/>
      <c r="Q97" s="140"/>
      <c r="R97" s="140"/>
      <c r="S97" s="140"/>
    </row>
    <row r="98" spans="1:109" ht="26.25" customHeight="1" x14ac:dyDescent="0.25">
      <c r="A98" s="7320">
        <v>29101767</v>
      </c>
      <c r="B98" s="8735" t="s">
        <v>1283</v>
      </c>
      <c r="C98" s="8917"/>
      <c r="D98" s="3691" t="s">
        <v>5369</v>
      </c>
      <c r="E98" s="3691" t="s">
        <v>5370</v>
      </c>
      <c r="F98" s="3691" t="s">
        <v>5371</v>
      </c>
      <c r="G98" s="3691" t="s">
        <v>5372</v>
      </c>
      <c r="H98" s="3691" t="s">
        <v>5373</v>
      </c>
      <c r="I98" s="3691" t="s">
        <v>5374</v>
      </c>
      <c r="J98" s="3692" t="s">
        <v>5375</v>
      </c>
      <c r="K98" s="3691" t="s">
        <v>5376</v>
      </c>
      <c r="L98" s="3691" t="s">
        <v>5377</v>
      </c>
      <c r="M98" s="3691" t="s">
        <v>5378</v>
      </c>
      <c r="N98" s="3691" t="s">
        <v>5379</v>
      </c>
      <c r="O98" s="150"/>
      <c r="P98" s="140"/>
      <c r="Q98" s="140"/>
      <c r="R98" s="140"/>
      <c r="S98" s="140"/>
    </row>
    <row r="99" spans="1:109" ht="26.25" customHeight="1" x14ac:dyDescent="0.25">
      <c r="B99" s="10481" t="s">
        <v>3751</v>
      </c>
      <c r="C99" s="10482"/>
      <c r="D99" s="10482"/>
      <c r="E99" s="10482"/>
      <c r="F99" s="10482"/>
      <c r="G99" s="10482"/>
      <c r="H99" s="10482"/>
      <c r="N99" s="140"/>
      <c r="O99" s="140"/>
      <c r="P99" s="140"/>
      <c r="Q99" s="140"/>
      <c r="R99" s="140"/>
      <c r="S99" s="140"/>
    </row>
    <row r="100" spans="1:109" ht="26.25" customHeight="1" x14ac:dyDescent="0.25">
      <c r="B100" s="8704" t="s">
        <v>47</v>
      </c>
      <c r="C100" s="8891" t="s">
        <v>24</v>
      </c>
      <c r="D100" s="8735" t="s">
        <v>1294</v>
      </c>
      <c r="E100" s="8703"/>
      <c r="F100" s="8703"/>
      <c r="G100" s="8703"/>
      <c r="H100" s="8703"/>
      <c r="I100" s="8703"/>
      <c r="J100" s="8703"/>
      <c r="K100" s="8917"/>
      <c r="L100" s="10435" t="s">
        <v>2918</v>
      </c>
      <c r="M100" s="10395" t="s">
        <v>2919</v>
      </c>
      <c r="N100" s="10403"/>
      <c r="O100" s="10403"/>
      <c r="P100" s="10396"/>
      <c r="Q100" s="140"/>
      <c r="R100" s="140"/>
      <c r="V100" s="290"/>
      <c r="BZ100" s="1438"/>
    </row>
    <row r="101" spans="1:109" ht="45.6" customHeight="1" x14ac:dyDescent="0.25">
      <c r="B101" s="10439"/>
      <c r="C101" s="10480"/>
      <c r="D101" s="2999" t="s">
        <v>1292</v>
      </c>
      <c r="E101" s="2993" t="s">
        <v>1291</v>
      </c>
      <c r="F101" s="3000" t="s">
        <v>1290</v>
      </c>
      <c r="G101" s="3000" t="s">
        <v>1289</v>
      </c>
      <c r="H101" s="3000" t="s">
        <v>1288</v>
      </c>
      <c r="I101" s="3000" t="s">
        <v>1287</v>
      </c>
      <c r="J101" s="3000" t="s">
        <v>1286</v>
      </c>
      <c r="K101" s="2997" t="s">
        <v>1285</v>
      </c>
      <c r="L101" s="10436"/>
      <c r="M101" s="3477" t="s">
        <v>2920</v>
      </c>
      <c r="N101" s="3693" t="s">
        <v>2925</v>
      </c>
      <c r="O101" s="3694" t="s">
        <v>2921</v>
      </c>
      <c r="P101" s="3694" t="s">
        <v>2922</v>
      </c>
      <c r="Q101" s="140"/>
      <c r="R101" s="140"/>
      <c r="V101" s="290"/>
      <c r="BZ101" s="1438"/>
    </row>
    <row r="102" spans="1:109" ht="20.25" customHeight="1" x14ac:dyDescent="0.25">
      <c r="A102" s="7258" t="s">
        <v>5054</v>
      </c>
      <c r="B102" s="3695" t="s">
        <v>1312</v>
      </c>
      <c r="C102" s="3696" t="s">
        <v>5369</v>
      </c>
      <c r="D102" s="2985" t="s">
        <v>5370</v>
      </c>
      <c r="E102" s="6982" t="s">
        <v>5371</v>
      </c>
      <c r="F102" s="6982" t="s">
        <v>5372</v>
      </c>
      <c r="G102" s="6982" t="s">
        <v>5373</v>
      </c>
      <c r="H102" s="6982" t="s">
        <v>5374</v>
      </c>
      <c r="I102" s="6982" t="s">
        <v>5375</v>
      </c>
      <c r="J102" s="6982" t="s">
        <v>5376</v>
      </c>
      <c r="K102" s="2778" t="s">
        <v>5377</v>
      </c>
      <c r="L102" s="2986" t="s">
        <v>5378</v>
      </c>
      <c r="M102" s="2986" t="s">
        <v>5379</v>
      </c>
      <c r="N102" s="2986" t="s">
        <v>5380</v>
      </c>
      <c r="O102" s="2986" t="s">
        <v>5381</v>
      </c>
      <c r="P102" s="2986" t="s">
        <v>5382</v>
      </c>
      <c r="Q102" s="140" t="str">
        <f>CB102</f>
        <v xml:space="preserve">* Total Nacidos Fallecidos con Anomalía Congénita NO DEBE ser MAYOR a Nacidos fallecidos según peso al Nacer. </v>
      </c>
      <c r="R102" s="140"/>
      <c r="V102" s="290"/>
      <c r="BZ102" s="1438"/>
      <c r="CB102" s="1436" t="str">
        <f>IF(DB102=1,"* Total Nacidos Fallecidos con Anomalía Congénita NO DEBE ser MAYOR a Nacidos fallecidos según peso al Nacer. ","")</f>
        <v xml:space="preserve">* Total Nacidos Fallecidos con Anomalía Congénita NO DEBE ser MAYOR a Nacidos fallecidos según peso al Nacer. </v>
      </c>
      <c r="DB102" s="1439">
        <f>IF(C102&lt;L102,1,0)</f>
        <v>1</v>
      </c>
    </row>
    <row r="103" spans="1:109" ht="20.25" customHeight="1" x14ac:dyDescent="0.25">
      <c r="A103" s="7294">
        <v>29101768</v>
      </c>
      <c r="B103" s="7421" t="s">
        <v>2923</v>
      </c>
      <c r="C103" s="3697" t="s">
        <v>5369</v>
      </c>
      <c r="D103" s="6983" t="s">
        <v>5370</v>
      </c>
      <c r="E103" s="2987" t="s">
        <v>5371</v>
      </c>
      <c r="F103" s="2987" t="s">
        <v>5372</v>
      </c>
      <c r="G103" s="2987" t="s">
        <v>5373</v>
      </c>
      <c r="H103" s="2987" t="s">
        <v>5374</v>
      </c>
      <c r="I103" s="2987" t="s">
        <v>5375</v>
      </c>
      <c r="J103" s="2987" t="s">
        <v>5376</v>
      </c>
      <c r="K103" s="2814" t="s">
        <v>5377</v>
      </c>
      <c r="L103" s="2986" t="s">
        <v>5378</v>
      </c>
      <c r="M103" s="2986" t="s">
        <v>5379</v>
      </c>
      <c r="N103" s="2986" t="s">
        <v>5380</v>
      </c>
      <c r="O103" s="2986" t="s">
        <v>5381</v>
      </c>
      <c r="P103" s="2986" t="s">
        <v>5382</v>
      </c>
      <c r="Q103" s="140" t="str">
        <f>CB103</f>
        <v xml:space="preserve">* Total Nacidos Fallecidos con Anomalía Congénita NO DEBE ser MAYOR a Nacidos fallecidos según peso al Nacer. </v>
      </c>
      <c r="R103" s="140"/>
      <c r="V103" s="290"/>
      <c r="BZ103" s="1438"/>
      <c r="CB103" s="1436" t="str">
        <f>IF(DB103=1,"* Total Nacidos Fallecidos con Anomalía Congénita NO DEBE ser MAYOR a Nacidos fallecidos según peso al Nacer. ","")</f>
        <v xml:space="preserve">* Total Nacidos Fallecidos con Anomalía Congénita NO DEBE ser MAYOR a Nacidos fallecidos según peso al Nacer. </v>
      </c>
      <c r="DB103" s="1439">
        <f>IF(C103&lt;L103,1,0)</f>
        <v>1</v>
      </c>
    </row>
    <row r="104" spans="1:109" ht="20.25" customHeight="1" x14ac:dyDescent="0.25">
      <c r="A104" s="7320">
        <v>29101769</v>
      </c>
      <c r="B104" s="7422" t="s">
        <v>2924</v>
      </c>
      <c r="C104" s="3698" t="s">
        <v>5369</v>
      </c>
      <c r="D104" s="6984" t="s">
        <v>5370</v>
      </c>
      <c r="E104" s="2991" t="s">
        <v>5371</v>
      </c>
      <c r="F104" s="2991" t="s">
        <v>5372</v>
      </c>
      <c r="G104" s="2991" t="s">
        <v>5373</v>
      </c>
      <c r="H104" s="2991" t="s">
        <v>5374</v>
      </c>
      <c r="I104" s="2991" t="s">
        <v>5375</v>
      </c>
      <c r="J104" s="2991" t="s">
        <v>5376</v>
      </c>
      <c r="K104" s="2984" t="s">
        <v>5377</v>
      </c>
      <c r="L104" s="2984" t="s">
        <v>5378</v>
      </c>
      <c r="M104" s="2984" t="s">
        <v>5379</v>
      </c>
      <c r="N104" s="2984" t="s">
        <v>5380</v>
      </c>
      <c r="O104" s="2984" t="s">
        <v>5381</v>
      </c>
      <c r="P104" s="2827" t="s">
        <v>5382</v>
      </c>
      <c r="Q104" s="140" t="str">
        <f>CB104</f>
        <v xml:space="preserve">* Total Nacidos Fallecidos con Anomalía Congénita NO DEBE ser MAYOR a Nacidos fallecidos según peso al Nacer. </v>
      </c>
      <c r="R104" s="140"/>
      <c r="V104" s="290"/>
      <c r="BZ104" s="1438"/>
      <c r="CB104" s="1436" t="str">
        <f>IF(DB104=1,"* Total Nacidos Fallecidos con Anomalía Congénita NO DEBE ser MAYOR a Nacidos fallecidos según peso al Nacer. ","")</f>
        <v xml:space="preserve">* Total Nacidos Fallecidos con Anomalía Congénita NO DEBE ser MAYOR a Nacidos fallecidos según peso al Nacer. </v>
      </c>
      <c r="DB104" s="1439">
        <f>IF(C104&lt;L104,1,0)</f>
        <v>1</v>
      </c>
    </row>
    <row r="105" spans="1:109" ht="24.6" customHeight="1" x14ac:dyDescent="0.25">
      <c r="B105" s="2386" t="s">
        <v>3752</v>
      </c>
      <c r="C105" s="2385"/>
      <c r="D105" s="2385"/>
      <c r="E105" s="2389"/>
      <c r="F105" s="2389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V105" s="290"/>
      <c r="BZ105" s="1438"/>
      <c r="CC105" s="1435"/>
      <c r="CD105" s="1435"/>
      <c r="CE105" s="1435"/>
    </row>
    <row r="106" spans="1:109" ht="28.95" customHeight="1" x14ac:dyDescent="0.25">
      <c r="B106" s="2118" t="s">
        <v>1278</v>
      </c>
      <c r="C106" s="6786" t="s">
        <v>3754</v>
      </c>
      <c r="D106" s="6787" t="s">
        <v>3753</v>
      </c>
      <c r="E106" s="3652" t="s">
        <v>362</v>
      </c>
      <c r="F106" s="2116" t="s">
        <v>361</v>
      </c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CB106" s="1438"/>
      <c r="CC106" s="1435"/>
      <c r="CD106" s="1435"/>
      <c r="CE106" s="1435"/>
      <c r="CF106" s="1435"/>
      <c r="CG106" s="1435"/>
      <c r="CH106" s="1435"/>
      <c r="CI106" s="1435"/>
      <c r="CJ106" s="1435"/>
      <c r="CK106" s="1435"/>
      <c r="CL106" s="1435"/>
      <c r="CM106" s="1435"/>
      <c r="CN106" s="1435"/>
      <c r="DB106" s="1429"/>
    </row>
    <row r="107" spans="1:109" ht="24" customHeight="1" x14ac:dyDescent="0.25">
      <c r="A107" s="7263">
        <v>24200100</v>
      </c>
      <c r="B107" s="3653" t="s">
        <v>1279</v>
      </c>
      <c r="C107" s="6788" t="s">
        <v>5369</v>
      </c>
      <c r="D107" s="6789" t="s">
        <v>5370</v>
      </c>
      <c r="E107" s="3654" t="s">
        <v>5371</v>
      </c>
      <c r="F107" s="3654" t="s">
        <v>5372</v>
      </c>
      <c r="G107" s="71" t="str">
        <f>CC107&amp;CD107&amp;CE107</f>
        <v xml:space="preserve">* Pueblos Originarios NO DEBEN ser Mayor al Total. * Migrantes NO DEBEN ser Mayor al Total. </v>
      </c>
      <c r="H107" s="71"/>
      <c r="I107" s="71"/>
      <c r="J107" s="71"/>
      <c r="K107" s="71"/>
      <c r="L107" s="71"/>
      <c r="M107" s="71"/>
      <c r="N107" s="140"/>
      <c r="O107" s="140"/>
      <c r="P107" s="140"/>
      <c r="Q107" s="140"/>
      <c r="R107" s="140"/>
      <c r="W107" s="165"/>
      <c r="CA107" s="290"/>
      <c r="CB107" s="1438"/>
      <c r="CC107" s="1436" t="str">
        <f>IF(DC107=1,"* Recuerde digitar los campos Pueblo Originario y/o Migrantes (Digite Cero si no tiene). ","")</f>
        <v/>
      </c>
      <c r="CD107" s="1436" t="str">
        <f>IF(DD107=1,"* Pueblos Originarios NO DEBEN ser Mayor al Total. ","")</f>
        <v xml:space="preserve">* Pueblos Originarios NO DEBEN ser Mayor al Total. </v>
      </c>
      <c r="CE107" s="1436" t="str">
        <f>IF(DE107=1,"* Migrantes NO DEBEN ser Mayor al Total. ","")</f>
        <v xml:space="preserve">* Migrantes NO DEBEN ser Mayor al Total. </v>
      </c>
      <c r="CJ107" s="1435"/>
      <c r="CK107" s="1435"/>
      <c r="CL107" s="1435"/>
      <c r="CM107" s="1435"/>
      <c r="CN107" s="1435"/>
      <c r="CO107" s="1435"/>
      <c r="DB107" s="1429"/>
      <c r="DC107" s="1439">
        <f>IF(AND(C107&lt;&gt;0,OR(E107="",F107="")),1,0)</f>
        <v>0</v>
      </c>
      <c r="DD107" s="1439">
        <f t="shared" ref="DD107:DE111" si="19">IF($C107&lt;E107,1,0)</f>
        <v>1</v>
      </c>
      <c r="DE107" s="1439">
        <f t="shared" si="19"/>
        <v>1</v>
      </c>
    </row>
    <row r="108" spans="1:109" ht="39.75" customHeight="1" x14ac:dyDescent="0.25">
      <c r="A108" s="7263">
        <v>24300103</v>
      </c>
      <c r="B108" s="3655" t="s">
        <v>3715</v>
      </c>
      <c r="C108" s="6790" t="s">
        <v>5369</v>
      </c>
      <c r="D108" s="6791" t="s">
        <v>5370</v>
      </c>
      <c r="E108" s="3656" t="s">
        <v>5371</v>
      </c>
      <c r="F108" s="3656" t="s">
        <v>5372</v>
      </c>
      <c r="G108" s="71" t="str">
        <f>CC108&amp;CD108&amp;CE108</f>
        <v xml:space="preserve">* Pueblos Originarios NO DEBEN ser Mayor al Total. * Migrantes NO DEBEN ser Mayor al Total. </v>
      </c>
      <c r="H108" s="71"/>
      <c r="I108" s="71"/>
      <c r="J108" s="71"/>
      <c r="K108" s="71"/>
      <c r="L108" s="71"/>
      <c r="M108" s="71"/>
      <c r="N108" s="140"/>
      <c r="O108" s="140"/>
      <c r="P108" s="140"/>
      <c r="Q108" s="140"/>
      <c r="R108" s="140"/>
      <c r="W108" s="165"/>
      <c r="CA108" s="290"/>
      <c r="CB108" s="1438"/>
      <c r="CC108" s="1436" t="str">
        <f>IF(DC108=1,"* Recuerde digitar los campos Pueblo Originario y/o Migrantes (Digite Cero si no tiene). ","")</f>
        <v/>
      </c>
      <c r="CD108" s="1436" t="str">
        <f>IF(DD108=1,"* Pueblos Originarios NO DEBEN ser Mayor al Total. ","")</f>
        <v xml:space="preserve">* Pueblos Originarios NO DEBEN ser Mayor al Total. </v>
      </c>
      <c r="CE108" s="1436" t="str">
        <f>IF(DE108=1,"* Migrantes NO DEBEN ser Mayor al Total. ","")</f>
        <v xml:space="preserve">* Migrantes NO DEBEN ser Mayor al Total. </v>
      </c>
      <c r="CJ108" s="1435"/>
      <c r="CK108" s="1435"/>
      <c r="CL108" s="1435"/>
      <c r="CM108" s="1435"/>
      <c r="CN108" s="1435"/>
      <c r="CO108" s="1435"/>
      <c r="DB108" s="1429"/>
      <c r="DC108" s="1439">
        <f>IF(AND(C108&lt;&gt;0,OR(E108="",F108="")),1,0)</f>
        <v>0</v>
      </c>
      <c r="DD108" s="1439">
        <f t="shared" si="19"/>
        <v>1</v>
      </c>
      <c r="DE108" s="1439">
        <f t="shared" si="19"/>
        <v>1</v>
      </c>
    </row>
    <row r="109" spans="1:109" ht="19.95" customHeight="1" x14ac:dyDescent="0.25">
      <c r="A109" s="7296">
        <v>29101770</v>
      </c>
      <c r="B109" s="7423" t="s">
        <v>2915</v>
      </c>
      <c r="C109" s="4673" t="s">
        <v>5369</v>
      </c>
      <c r="D109" s="6792" t="s">
        <v>5370</v>
      </c>
      <c r="E109" s="3657" t="s">
        <v>5371</v>
      </c>
      <c r="F109" s="3657" t="s">
        <v>5372</v>
      </c>
      <c r="G109" s="71" t="str">
        <f>CC109&amp;CD109&amp;CE109</f>
        <v xml:space="preserve">* Pueblos Originarios NO DEBEN ser Mayor al Total. * Migrantes NO DEBEN ser Mayor al Total. </v>
      </c>
      <c r="H109" s="71"/>
      <c r="I109" s="71"/>
      <c r="J109" s="71"/>
      <c r="K109" s="71"/>
      <c r="L109" s="71"/>
      <c r="M109" s="71"/>
      <c r="N109" s="140"/>
      <c r="O109" s="140"/>
      <c r="P109" s="140"/>
      <c r="Q109" s="140"/>
      <c r="R109" s="140"/>
      <c r="W109" s="165"/>
      <c r="CA109" s="290"/>
      <c r="CB109" s="1438"/>
      <c r="CC109" s="1436" t="str">
        <f>IF(DC109=1,"* Recuerde digitar los campos Pueblo Originario y/o Migrantes (Digite Cero si no tiene). ","")</f>
        <v/>
      </c>
      <c r="CD109" s="1436" t="str">
        <f>IF(DD109=1,"* Pueblos Originarios NO DEBEN ser Mayor al Total. ","")</f>
        <v xml:space="preserve">* Pueblos Originarios NO DEBEN ser Mayor al Total. </v>
      </c>
      <c r="CE109" s="1436" t="str">
        <f>IF(DE109=1,"* Migrantes NO DEBEN ser Mayor al Total. ","")</f>
        <v xml:space="preserve">* Migrantes NO DEBEN ser Mayor al Total. </v>
      </c>
      <c r="CJ109" s="1435"/>
      <c r="CK109" s="1435"/>
      <c r="CL109" s="1435"/>
      <c r="CM109" s="1435"/>
      <c r="CN109" s="1435"/>
      <c r="CO109" s="1435"/>
      <c r="DB109" s="1429"/>
      <c r="DC109" s="1439">
        <f>IF(AND(C109&lt;&gt;0,OR(E109="",F109="")),1,0)</f>
        <v>0</v>
      </c>
      <c r="DD109" s="1439">
        <f t="shared" si="19"/>
        <v>1</v>
      </c>
      <c r="DE109" s="1439">
        <f t="shared" si="19"/>
        <v>1</v>
      </c>
    </row>
    <row r="110" spans="1:109" ht="25.5" customHeight="1" x14ac:dyDescent="0.25">
      <c r="A110" s="7296">
        <v>29101771</v>
      </c>
      <c r="B110" s="7423" t="s">
        <v>2916</v>
      </c>
      <c r="C110" s="4673" t="s">
        <v>5369</v>
      </c>
      <c r="D110" s="6792" t="s">
        <v>5370</v>
      </c>
      <c r="E110" s="3657" t="s">
        <v>5371</v>
      </c>
      <c r="F110" s="3657" t="s">
        <v>5372</v>
      </c>
      <c r="G110" s="71" t="str">
        <f>CC110&amp;CD110&amp;CE110</f>
        <v xml:space="preserve">* Pueblos Originarios NO DEBEN ser Mayor al Total. * Migrantes NO DEBEN ser Mayor al Total. </v>
      </c>
      <c r="H110" s="71"/>
      <c r="I110" s="71"/>
      <c r="J110" s="71"/>
      <c r="K110" s="71"/>
      <c r="L110" s="71"/>
      <c r="M110" s="71"/>
      <c r="N110" s="140"/>
      <c r="O110" s="140"/>
      <c r="P110" s="140"/>
      <c r="Q110" s="140"/>
      <c r="R110" s="140"/>
      <c r="W110" s="165"/>
      <c r="CA110" s="290"/>
      <c r="CB110" s="1438"/>
      <c r="CC110" s="1436" t="str">
        <f>IF(DC110=1,"* Recuerde digitar los campos Pueblo Originario y/o Migrantes (Digite Cero si no tiene). ","")</f>
        <v/>
      </c>
      <c r="CD110" s="1436" t="str">
        <f>IF(DD110=1,"* Pueblos Originarios NO DEBEN ser Mayor al Total. ","")</f>
        <v xml:space="preserve">* Pueblos Originarios NO DEBEN ser Mayor al Total. </v>
      </c>
      <c r="CE110" s="1436" t="str">
        <f>IF(DE110=1,"* Migrantes NO DEBEN ser Mayor al Total. ","")</f>
        <v xml:space="preserve">* Migrantes NO DEBEN ser Mayor al Total. </v>
      </c>
      <c r="CJ110" s="1435"/>
      <c r="CK110" s="1435"/>
      <c r="CL110" s="1435"/>
      <c r="CM110" s="1435"/>
      <c r="CN110" s="1435"/>
      <c r="CO110" s="1435"/>
      <c r="DB110" s="1429"/>
      <c r="DC110" s="1439">
        <f>IF(AND(C110&lt;&gt;0,OR(E110="",F110="")),1,0)</f>
        <v>0</v>
      </c>
      <c r="DD110" s="1439">
        <f t="shared" si="19"/>
        <v>1</v>
      </c>
      <c r="DE110" s="1439">
        <f t="shared" si="19"/>
        <v>1</v>
      </c>
    </row>
    <row r="111" spans="1:109" ht="26.25" customHeight="1" x14ac:dyDescent="0.25">
      <c r="A111" s="7296">
        <v>29101772</v>
      </c>
      <c r="B111" s="7424" t="s">
        <v>2917</v>
      </c>
      <c r="C111" s="6793" t="s">
        <v>5369</v>
      </c>
      <c r="D111" s="6794" t="s">
        <v>5370</v>
      </c>
      <c r="E111" s="2857" t="s">
        <v>5371</v>
      </c>
      <c r="F111" s="2857" t="s">
        <v>5372</v>
      </c>
      <c r="G111" s="71" t="str">
        <f>CC111&amp;CD111&amp;CE111</f>
        <v xml:space="preserve">* Pueblos Originarios NO DEBEN ser Mayor al Total. * Migrantes NO DEBEN ser Mayor al Total. </v>
      </c>
      <c r="H111" s="71"/>
      <c r="I111" s="71"/>
      <c r="J111" s="71"/>
      <c r="K111" s="71"/>
      <c r="L111" s="71"/>
      <c r="M111" s="71"/>
      <c r="N111" s="140"/>
      <c r="O111" s="140"/>
      <c r="P111" s="140"/>
      <c r="Q111" s="140"/>
      <c r="R111" s="140"/>
      <c r="U111" s="1197" t="str">
        <f>CD111&amp;CE111</f>
        <v xml:space="preserve">* Pueblos Originarios NO DEBEN ser Mayor al Total. * Migrantes NO DEBEN ser Mayor al Total. </v>
      </c>
      <c r="W111" s="165"/>
      <c r="CA111" s="290"/>
      <c r="CB111" s="1438"/>
      <c r="CC111" s="1436" t="str">
        <f>IF(DC111=1,"* Recuerde digitar los campos Pueblo Originario y/o Migrantes (Digite Cero si no tiene). ","")</f>
        <v/>
      </c>
      <c r="CD111" s="1436" t="str">
        <f>IF(DD111=1,"* Pueblos Originarios NO DEBEN ser Mayor al Total. ","")</f>
        <v xml:space="preserve">* Pueblos Originarios NO DEBEN ser Mayor al Total. </v>
      </c>
      <c r="CE111" s="1436" t="str">
        <f>IF(DE111=1,"* Migrantes NO DEBEN ser Mayor al Total. ","")</f>
        <v xml:space="preserve">* Migrantes NO DEBEN ser Mayor al Total. </v>
      </c>
      <c r="CF111" s="1435"/>
      <c r="CG111" s="1435"/>
      <c r="CH111" s="1435"/>
      <c r="CI111" s="1435"/>
      <c r="CJ111" s="1435"/>
      <c r="CK111" s="1435"/>
      <c r="CL111" s="1435"/>
      <c r="CM111" s="1435"/>
      <c r="CN111" s="1435"/>
      <c r="CO111" s="1435"/>
      <c r="DB111" s="1429"/>
      <c r="DC111" s="1439">
        <f>IF(AND(C111&lt;&gt;0,OR(E111="",F111="")),1,0)</f>
        <v>0</v>
      </c>
      <c r="DD111" s="1439">
        <f t="shared" si="19"/>
        <v>1</v>
      </c>
      <c r="DE111" s="1439">
        <f t="shared" si="19"/>
        <v>1</v>
      </c>
    </row>
    <row r="112" spans="1:109" ht="21.75" customHeight="1" x14ac:dyDescent="0.25">
      <c r="A112" s="7263">
        <v>24200134</v>
      </c>
      <c r="B112" s="3658" t="s">
        <v>1280</v>
      </c>
      <c r="C112" s="6793" t="s">
        <v>5369</v>
      </c>
      <c r="D112" s="6794" t="s">
        <v>5370</v>
      </c>
      <c r="E112" s="2857" t="s">
        <v>5371</v>
      </c>
      <c r="F112" s="2857" t="s">
        <v>5372</v>
      </c>
      <c r="G112" s="71" t="str">
        <f>CC106&amp;CD106&amp;CE106&amp;CF106&amp;CG106&amp;CH106</f>
        <v/>
      </c>
      <c r="P112" s="140"/>
      <c r="Q112" s="140"/>
      <c r="R112" s="140"/>
      <c r="U112" s="1197" t="str">
        <f>CD112&amp;CE112</f>
        <v/>
      </c>
      <c r="W112" s="165"/>
      <c r="CA112" s="290"/>
      <c r="CB112" s="1438"/>
      <c r="CC112" s="1435"/>
      <c r="CD112" s="1435"/>
      <c r="CE112" s="1435" t="str">
        <f>IF(CK112=1,"* Pueblo Originario y/o Migrante NO DEBE ser mayor al Total. ","")</f>
        <v/>
      </c>
      <c r="CF112" s="1435"/>
      <c r="CG112" s="1435"/>
      <c r="CH112" s="1435"/>
      <c r="CI112" s="1435"/>
      <c r="CJ112" s="1435"/>
      <c r="CK112" s="1435"/>
      <c r="CL112" s="1435"/>
      <c r="CM112" s="1435"/>
      <c r="CN112" s="1435"/>
      <c r="CO112" s="1435"/>
      <c r="DB112" s="1429"/>
    </row>
    <row r="113" spans="1:108" ht="21.75" customHeight="1" x14ac:dyDescent="0.25">
      <c r="B113" s="3796" t="s">
        <v>3716</v>
      </c>
      <c r="C113" s="574"/>
      <c r="D113" s="574"/>
      <c r="E113" s="574"/>
      <c r="F113" s="71"/>
      <c r="O113" s="140"/>
      <c r="P113" s="140"/>
      <c r="Q113" s="140"/>
      <c r="T113" s="1197"/>
      <c r="CC113" s="1435"/>
      <c r="CD113" s="1435"/>
      <c r="CE113" s="1435"/>
      <c r="CF113" s="1435"/>
      <c r="CG113" s="1435"/>
      <c r="CH113" s="1435"/>
      <c r="CI113" s="1435"/>
      <c r="CJ113" s="1435"/>
      <c r="CK113" s="1435"/>
      <c r="CL113" s="1435"/>
      <c r="CM113" s="1435"/>
      <c r="CN113" s="1435"/>
    </row>
    <row r="114" spans="1:108" ht="33" customHeight="1" x14ac:dyDescent="0.25">
      <c r="B114" s="7425" t="s">
        <v>3041</v>
      </c>
      <c r="C114" s="7425"/>
      <c r="D114" s="7425"/>
      <c r="E114" s="292"/>
      <c r="F114" s="292"/>
      <c r="G114" s="292"/>
      <c r="H114" s="292"/>
      <c r="O114" s="140"/>
      <c r="P114" s="140"/>
      <c r="Q114" s="140"/>
      <c r="T114" s="1197"/>
      <c r="CC114" s="1435"/>
      <c r="CD114" s="1435"/>
      <c r="CE114" s="1435"/>
      <c r="CF114" s="1435"/>
      <c r="CG114" s="1435"/>
      <c r="CH114" s="1435"/>
      <c r="CI114" s="1435"/>
      <c r="CJ114" s="1435"/>
      <c r="CK114" s="1435"/>
      <c r="CL114" s="1435"/>
      <c r="CM114" s="1435"/>
      <c r="CN114" s="1435"/>
    </row>
    <row r="115" spans="1:108" ht="21.75" customHeight="1" x14ac:dyDescent="0.25">
      <c r="B115" s="10469" t="s">
        <v>2112</v>
      </c>
      <c r="C115" s="10469"/>
      <c r="D115" s="7426" t="s">
        <v>24</v>
      </c>
      <c r="K115" s="140"/>
      <c r="L115" s="140"/>
      <c r="M115" s="140"/>
      <c r="P115" s="1197"/>
      <c r="S115" s="290"/>
      <c r="T115" s="290"/>
      <c r="U115" s="290"/>
      <c r="V115" s="290"/>
      <c r="BW115" s="1438"/>
      <c r="CC115" s="1435"/>
      <c r="CD115" s="1435"/>
      <c r="CE115" s="1435"/>
      <c r="CF115" s="1435"/>
      <c r="CG115" s="1435"/>
      <c r="CH115" s="1435"/>
      <c r="CI115" s="1435"/>
      <c r="CJ115" s="1435"/>
    </row>
    <row r="116" spans="1:108" ht="34.200000000000003" customHeight="1" x14ac:dyDescent="0.25">
      <c r="A116" s="7296">
        <v>29101773</v>
      </c>
      <c r="B116" s="10470" t="s">
        <v>597</v>
      </c>
      <c r="C116" s="7427" t="s">
        <v>3532</v>
      </c>
      <c r="D116" s="7428" t="s">
        <v>5369</v>
      </c>
      <c r="K116" s="140"/>
      <c r="L116" s="140"/>
      <c r="M116" s="140"/>
      <c r="P116" s="1197"/>
      <c r="S116" s="290"/>
      <c r="T116" s="290"/>
      <c r="U116" s="290"/>
      <c r="V116" s="290"/>
      <c r="BW116" s="1438"/>
      <c r="BX116" s="1438"/>
      <c r="CC116" s="1435"/>
      <c r="CD116" s="1435"/>
      <c r="CE116" s="1435"/>
      <c r="CF116" s="1435"/>
      <c r="CG116" s="1435"/>
      <c r="CH116" s="1435"/>
      <c r="CI116" s="1435"/>
      <c r="CJ116" s="1435"/>
    </row>
    <row r="117" spans="1:108" ht="31.2" customHeight="1" x14ac:dyDescent="0.25">
      <c r="A117" s="7296">
        <v>29101774</v>
      </c>
      <c r="B117" s="10470"/>
      <c r="C117" s="7429" t="s">
        <v>3531</v>
      </c>
      <c r="D117" s="7397" t="s">
        <v>5369</v>
      </c>
      <c r="K117" s="140"/>
      <c r="L117" s="140"/>
      <c r="M117" s="140"/>
      <c r="P117" s="1197"/>
      <c r="S117" s="290"/>
      <c r="T117" s="290"/>
      <c r="U117" s="290"/>
      <c r="V117" s="290"/>
      <c r="BW117" s="1438"/>
      <c r="BX117" s="1438"/>
      <c r="CC117" s="1435"/>
      <c r="CD117" s="1435"/>
      <c r="CE117" s="1435"/>
      <c r="CF117" s="1435"/>
      <c r="CG117" s="1435"/>
      <c r="CH117" s="1435"/>
      <c r="CI117" s="1435"/>
      <c r="CJ117" s="1435"/>
    </row>
    <row r="118" spans="1:108" ht="21.75" customHeight="1" x14ac:dyDescent="0.25">
      <c r="A118" s="7296">
        <v>29101775</v>
      </c>
      <c r="B118" s="10470" t="s">
        <v>598</v>
      </c>
      <c r="C118" s="7430" t="s">
        <v>66</v>
      </c>
      <c r="D118" s="7431" t="s">
        <v>5369</v>
      </c>
      <c r="K118" s="140"/>
      <c r="L118" s="140"/>
      <c r="M118" s="140"/>
      <c r="P118" s="1197"/>
      <c r="S118" s="290"/>
      <c r="T118" s="290"/>
      <c r="U118" s="290"/>
      <c r="V118" s="290"/>
      <c r="BW118" s="1438"/>
      <c r="BX118" s="1438"/>
      <c r="CC118" s="1435"/>
      <c r="CD118" s="1435"/>
      <c r="CE118" s="1435"/>
      <c r="CF118" s="1435"/>
      <c r="CG118" s="1435"/>
      <c r="CH118" s="1435"/>
      <c r="CI118" s="1435"/>
      <c r="CJ118" s="1435"/>
    </row>
    <row r="119" spans="1:108" ht="21.75" customHeight="1" x14ac:dyDescent="0.25">
      <c r="A119" s="7296">
        <v>29101776</v>
      </c>
      <c r="B119" s="10470"/>
      <c r="C119" s="7432" t="s">
        <v>3530</v>
      </c>
      <c r="D119" s="7433" t="s">
        <v>5369</v>
      </c>
      <c r="K119" s="140"/>
      <c r="L119" s="140"/>
      <c r="M119" s="140"/>
      <c r="P119" s="1197"/>
      <c r="S119" s="290"/>
      <c r="T119" s="290"/>
      <c r="U119" s="290"/>
      <c r="V119" s="290"/>
      <c r="BW119" s="1438"/>
      <c r="BX119" s="1438"/>
      <c r="CC119" s="1435"/>
      <c r="CD119" s="1435"/>
      <c r="CE119" s="1435"/>
      <c r="CF119" s="1435"/>
      <c r="CG119" s="1435"/>
      <c r="CH119" s="1435"/>
      <c r="CI119" s="1435"/>
      <c r="CJ119" s="1435"/>
    </row>
    <row r="120" spans="1:108" ht="21.75" customHeight="1" x14ac:dyDescent="0.25">
      <c r="A120" s="7296">
        <v>29101777</v>
      </c>
      <c r="B120" s="10470"/>
      <c r="C120" s="7432" t="s">
        <v>2426</v>
      </c>
      <c r="D120" s="7433" t="s">
        <v>5369</v>
      </c>
      <c r="K120" s="140"/>
      <c r="L120" s="140"/>
      <c r="M120" s="140"/>
      <c r="P120" s="1197"/>
      <c r="S120" s="290"/>
      <c r="T120" s="290"/>
      <c r="U120" s="290"/>
      <c r="V120" s="290"/>
      <c r="BW120" s="1438"/>
      <c r="BX120" s="1438"/>
      <c r="CC120" s="1435"/>
      <c r="CD120" s="1435"/>
      <c r="CE120" s="1435"/>
      <c r="CF120" s="1435"/>
      <c r="CG120" s="1435"/>
      <c r="CH120" s="1435"/>
      <c r="CI120" s="1435"/>
      <c r="CJ120" s="1435"/>
    </row>
    <row r="121" spans="1:108" ht="21.75" customHeight="1" x14ac:dyDescent="0.25">
      <c r="A121" s="7296">
        <v>29101778</v>
      </c>
      <c r="B121" s="10470"/>
      <c r="C121" s="7434" t="s">
        <v>46</v>
      </c>
      <c r="D121" s="7435" t="s">
        <v>5369</v>
      </c>
      <c r="E121" s="3200"/>
      <c r="K121" s="140"/>
      <c r="L121" s="140"/>
      <c r="M121" s="140"/>
      <c r="P121" s="1197"/>
      <c r="S121" s="290"/>
      <c r="T121" s="290"/>
      <c r="U121" s="290"/>
      <c r="V121" s="290"/>
      <c r="BW121" s="1438"/>
      <c r="BX121" s="1438"/>
      <c r="CC121" s="1435"/>
      <c r="CD121" s="1435"/>
      <c r="CE121" s="1435"/>
      <c r="CF121" s="1435"/>
      <c r="CG121" s="1435"/>
      <c r="CH121" s="1435"/>
      <c r="CI121" s="1435"/>
      <c r="CJ121" s="1435"/>
    </row>
    <row r="122" spans="1:108" ht="28.95" customHeight="1" x14ac:dyDescent="0.3">
      <c r="B122" s="367" t="s">
        <v>3042</v>
      </c>
      <c r="C122" s="1450"/>
      <c r="D122" s="1450"/>
      <c r="E122" s="72"/>
      <c r="F122" s="827"/>
      <c r="G122" s="827"/>
      <c r="H122" s="827"/>
      <c r="I122" s="827"/>
      <c r="J122" s="827"/>
      <c r="K122" s="827"/>
      <c r="L122" s="827"/>
      <c r="M122" s="827"/>
      <c r="N122" s="827"/>
      <c r="V122" s="290"/>
      <c r="BZ122" s="1438"/>
    </row>
    <row r="123" spans="1:108" ht="18.75" customHeight="1" x14ac:dyDescent="0.25">
      <c r="A123" s="7279"/>
      <c r="B123" s="10445" t="s">
        <v>31</v>
      </c>
      <c r="C123" s="8704" t="s">
        <v>44</v>
      </c>
      <c r="D123" s="10466" t="s">
        <v>540</v>
      </c>
      <c r="E123" s="10467"/>
      <c r="F123" s="10467"/>
      <c r="G123" s="10467"/>
      <c r="H123" s="10467"/>
      <c r="I123" s="10467"/>
      <c r="J123" s="10467"/>
      <c r="K123" s="10467"/>
      <c r="L123" s="10468"/>
      <c r="M123" s="10486" t="s">
        <v>362</v>
      </c>
      <c r="N123" s="10488" t="s">
        <v>361</v>
      </c>
      <c r="V123" s="290"/>
      <c r="BZ123" s="1438"/>
    </row>
    <row r="124" spans="1:108" ht="27.75" customHeight="1" x14ac:dyDescent="0.25">
      <c r="A124" s="7279"/>
      <c r="B124" s="8868"/>
      <c r="C124" s="10439"/>
      <c r="D124" s="3659" t="s">
        <v>32</v>
      </c>
      <c r="E124" s="3660" t="s">
        <v>33</v>
      </c>
      <c r="F124" s="3660" t="s">
        <v>40</v>
      </c>
      <c r="G124" s="3660" t="s">
        <v>115</v>
      </c>
      <c r="H124" s="3660" t="s">
        <v>116</v>
      </c>
      <c r="I124" s="3660" t="s">
        <v>117</v>
      </c>
      <c r="J124" s="3660" t="s">
        <v>118</v>
      </c>
      <c r="K124" s="3660" t="s">
        <v>119</v>
      </c>
      <c r="L124" s="3661" t="s">
        <v>120</v>
      </c>
      <c r="M124" s="10487"/>
      <c r="N124" s="10489"/>
      <c r="V124" s="290"/>
      <c r="BZ124" s="1438"/>
    </row>
    <row r="125" spans="1:108" ht="24" customHeight="1" x14ac:dyDescent="0.25">
      <c r="A125" s="7296">
        <v>29101779</v>
      </c>
      <c r="B125" s="7484" t="s">
        <v>2486</v>
      </c>
      <c r="C125" s="6924" t="s">
        <v>5369</v>
      </c>
      <c r="D125" s="8352" t="s">
        <v>5370</v>
      </c>
      <c r="E125" s="8353" t="s">
        <v>5371</v>
      </c>
      <c r="F125" s="8353" t="s">
        <v>5372</v>
      </c>
      <c r="G125" s="8353" t="s">
        <v>5373</v>
      </c>
      <c r="H125" s="8353" t="s">
        <v>5374</v>
      </c>
      <c r="I125" s="8353" t="s">
        <v>5375</v>
      </c>
      <c r="J125" s="8353" t="s">
        <v>5376</v>
      </c>
      <c r="K125" s="8353" t="s">
        <v>5377</v>
      </c>
      <c r="L125" s="8354" t="s">
        <v>5378</v>
      </c>
      <c r="M125" s="6893" t="s">
        <v>5379</v>
      </c>
      <c r="N125" s="6833" t="s">
        <v>5380</v>
      </c>
      <c r="CB125" s="1436" t="str">
        <f>IF(DB125=1,"* Recuerde digitar los campos Pueblo Originario y/o Migrantes (Digite Cero si no tiene). ","")</f>
        <v/>
      </c>
      <c r="CC125" s="1436" t="str">
        <f>IF(DC125=1,"* Pueblos Originarios NO DEBEN ser Mayor al Total. ","")</f>
        <v/>
      </c>
      <c r="CD125" s="1436" t="str">
        <f>IF(DD125=1,"* Migrantes NO DEBEN ser Mayor al Total. ","")</f>
        <v/>
      </c>
    </row>
    <row r="126" spans="1:108" ht="24.6" customHeight="1" x14ac:dyDescent="0.25">
      <c r="A126" s="7320">
        <v>29101780</v>
      </c>
      <c r="B126" s="7481" t="s">
        <v>2487</v>
      </c>
      <c r="C126" s="7482" t="s">
        <v>5369</v>
      </c>
      <c r="D126" s="6924" t="s">
        <v>5370</v>
      </c>
      <c r="E126" s="7483" t="s">
        <v>5371</v>
      </c>
      <c r="F126" s="7483" t="s">
        <v>5372</v>
      </c>
      <c r="G126" s="7483" t="s">
        <v>5373</v>
      </c>
      <c r="H126" s="7483" t="s">
        <v>5374</v>
      </c>
      <c r="I126" s="7483" t="s">
        <v>5375</v>
      </c>
      <c r="J126" s="7483" t="s">
        <v>5376</v>
      </c>
      <c r="K126" s="7483" t="s">
        <v>5377</v>
      </c>
      <c r="L126" s="1992" t="s">
        <v>5378</v>
      </c>
      <c r="M126" s="6924" t="s">
        <v>5379</v>
      </c>
      <c r="N126" s="7124" t="s">
        <v>5380</v>
      </c>
      <c r="O126" s="165" t="str">
        <f>CB126&amp;CC126&amp;CD126</f>
        <v xml:space="preserve">* Pueblos Originarios NO DEBEN ser Mayor al Total. * Migrantes NO DEBEN ser Mayor al Total. </v>
      </c>
      <c r="CB126" s="1436" t="str">
        <f>IF(DB126=1,"* Recuerde digitar los campos Pueblo Originario y/o Migrantes (Digite Cero si no tiene). ","")</f>
        <v/>
      </c>
      <c r="CC126" s="1436" t="str">
        <f>IF(DC126=1,"* Pueblos Originarios NO DEBEN ser Mayor al Total. ","")</f>
        <v xml:space="preserve">* Pueblos Originarios NO DEBEN ser Mayor al Total. </v>
      </c>
      <c r="CD126" s="1436" t="str">
        <f>IF(DD126=1,"* Migrantes NO DEBEN ser Mayor al Total. ","")</f>
        <v xml:space="preserve">* Migrantes NO DEBEN ser Mayor al Total. </v>
      </c>
      <c r="DB126" s="1439">
        <f>IF(AND(C126&lt;&gt;0,OR(M126="",N126="")),1,0)</f>
        <v>0</v>
      </c>
      <c r="DC126" s="1439">
        <f>IF($C126&lt;M126,1,0)</f>
        <v>1</v>
      </c>
      <c r="DD126" s="1439">
        <f>IF($C126&lt;N126,1,0)</f>
        <v>1</v>
      </c>
    </row>
    <row r="127" spans="1:108" ht="18.600000000000001" customHeight="1" x14ac:dyDescent="0.25">
      <c r="B127" s="292" t="s">
        <v>3043</v>
      </c>
      <c r="C127" s="292"/>
    </row>
    <row r="128" spans="1:108" ht="19.95" customHeight="1" x14ac:dyDescent="0.25">
      <c r="B128" s="7425" t="s">
        <v>3044</v>
      </c>
      <c r="C128" s="7425"/>
      <c r="D128" s="2385"/>
      <c r="E128" s="2385"/>
      <c r="F128" s="2385"/>
      <c r="G128" s="2385"/>
    </row>
    <row r="129" spans="1:131" ht="20.399999999999999" x14ac:dyDescent="0.25">
      <c r="B129" s="10456" t="s">
        <v>2938</v>
      </c>
      <c r="C129" s="10433" t="s">
        <v>1293</v>
      </c>
      <c r="D129" s="10434"/>
      <c r="E129" s="10434"/>
      <c r="F129" s="10434"/>
      <c r="G129" s="7347" t="s">
        <v>2909</v>
      </c>
      <c r="U129" s="290"/>
      <c r="V129" s="290"/>
      <c r="BY129" s="1438"/>
      <c r="BZ129" s="1438"/>
      <c r="CB129" s="1429"/>
      <c r="DA129" s="3205"/>
      <c r="EA129" s="165"/>
    </row>
    <row r="130" spans="1:131" ht="24" customHeight="1" x14ac:dyDescent="0.25">
      <c r="B130" s="10457"/>
      <c r="C130" s="7436" t="s">
        <v>1284</v>
      </c>
      <c r="D130" s="7437" t="s">
        <v>2910</v>
      </c>
      <c r="E130" s="7436" t="s">
        <v>2911</v>
      </c>
      <c r="F130" s="7438" t="s">
        <v>2912</v>
      </c>
      <c r="G130" s="7439" t="s">
        <v>2913</v>
      </c>
      <c r="U130" s="290"/>
      <c r="V130" s="290"/>
      <c r="BY130" s="1438"/>
      <c r="BZ130" s="1438"/>
      <c r="CB130" s="1429"/>
      <c r="DA130" s="3205"/>
      <c r="EA130" s="165"/>
    </row>
    <row r="131" spans="1:131" ht="24.6" customHeight="1" x14ac:dyDescent="0.25">
      <c r="A131" s="7320">
        <v>29101781</v>
      </c>
      <c r="B131" s="7440" t="s">
        <v>2914</v>
      </c>
      <c r="C131" s="7441" t="s">
        <v>5369</v>
      </c>
      <c r="D131" s="7442" t="s">
        <v>5370</v>
      </c>
      <c r="E131" s="7441" t="s">
        <v>5371</v>
      </c>
      <c r="F131" s="7443" t="s">
        <v>5372</v>
      </c>
      <c r="G131" s="7444" t="s">
        <v>5373</v>
      </c>
      <c r="U131" s="290"/>
      <c r="V131" s="290"/>
      <c r="BY131" s="1438"/>
      <c r="BZ131" s="1438"/>
      <c r="CB131" s="1429"/>
      <c r="DA131" s="3205"/>
      <c r="EA131" s="165"/>
    </row>
    <row r="132" spans="1:131" ht="32.4" customHeight="1" x14ac:dyDescent="0.25">
      <c r="B132" s="7425" t="s">
        <v>3045</v>
      </c>
      <c r="C132" s="2385"/>
      <c r="D132" s="2385"/>
      <c r="E132" s="2385"/>
    </row>
    <row r="133" spans="1:131" ht="30" customHeight="1" x14ac:dyDescent="0.25">
      <c r="B133" s="7454" t="s">
        <v>2688</v>
      </c>
      <c r="C133" s="7455" t="s">
        <v>2687</v>
      </c>
      <c r="D133" s="7456" t="s">
        <v>2638</v>
      </c>
      <c r="E133" s="7457" t="s">
        <v>1640</v>
      </c>
      <c r="F133" s="7480" t="s">
        <v>362</v>
      </c>
    </row>
    <row r="134" spans="1:131" ht="22.2" customHeight="1" x14ac:dyDescent="0.25">
      <c r="A134" s="7296">
        <v>29101782</v>
      </c>
      <c r="B134" s="7458" t="s">
        <v>2684</v>
      </c>
      <c r="C134" s="7459" t="s">
        <v>5369</v>
      </c>
      <c r="D134" s="7449" t="s">
        <v>5370</v>
      </c>
      <c r="E134" s="7460" t="s">
        <v>5371</v>
      </c>
      <c r="F134" s="2772" t="s">
        <v>5372</v>
      </c>
      <c r="G134" s="1433"/>
      <c r="CC134" s="1435"/>
    </row>
    <row r="135" spans="1:131" ht="24" customHeight="1" x14ac:dyDescent="0.25">
      <c r="A135" s="7296">
        <v>29101783</v>
      </c>
      <c r="B135" s="7461" t="s">
        <v>2685</v>
      </c>
      <c r="C135" s="7462" t="s">
        <v>5369</v>
      </c>
      <c r="D135" s="7463" t="s">
        <v>5370</v>
      </c>
      <c r="E135" s="7464" t="s">
        <v>5371</v>
      </c>
      <c r="F135" s="2678" t="s">
        <v>5372</v>
      </c>
      <c r="G135" s="1433"/>
      <c r="CC135" s="1435"/>
    </row>
    <row r="136" spans="1:131" ht="22.2" customHeight="1" thickBot="1" x14ac:dyDescent="0.3">
      <c r="A136" s="7296">
        <v>29101784</v>
      </c>
      <c r="B136" s="7465" t="s">
        <v>2686</v>
      </c>
      <c r="C136" s="7466" t="s">
        <v>5369</v>
      </c>
      <c r="D136" s="7467" t="s">
        <v>5370</v>
      </c>
      <c r="E136" s="7468" t="s">
        <v>5371</v>
      </c>
      <c r="F136" s="2773" t="s">
        <v>5372</v>
      </c>
      <c r="G136" s="1433"/>
      <c r="CC136" s="1435"/>
    </row>
    <row r="137" spans="1:131" ht="26.4" customHeight="1" thickTop="1" x14ac:dyDescent="0.25">
      <c r="A137" s="8142"/>
      <c r="B137" s="7469" t="s">
        <v>2639</v>
      </c>
      <c r="C137" s="7324" t="s">
        <v>2641</v>
      </c>
      <c r="D137" s="7470" t="s">
        <v>2642</v>
      </c>
      <c r="E137" s="7471" t="s">
        <v>362</v>
      </c>
      <c r="CC137" s="1435"/>
    </row>
    <row r="138" spans="1:131" ht="22.2" customHeight="1" x14ac:dyDescent="0.25">
      <c r="A138" s="7296">
        <v>29101785</v>
      </c>
      <c r="B138" s="7458" t="s">
        <v>2640</v>
      </c>
      <c r="C138" s="7459" t="s">
        <v>5369</v>
      </c>
      <c r="D138" s="7472" t="s">
        <v>5370</v>
      </c>
      <c r="E138" s="7473" t="s">
        <v>5371</v>
      </c>
      <c r="CC138" s="1435"/>
    </row>
    <row r="139" spans="1:131" ht="19.95" customHeight="1" x14ac:dyDescent="0.25">
      <c r="A139" s="7296">
        <v>29101786</v>
      </c>
      <c r="B139" s="7461" t="s">
        <v>134</v>
      </c>
      <c r="C139" s="7462" t="s">
        <v>5369</v>
      </c>
      <c r="D139" s="7474" t="s">
        <v>5370</v>
      </c>
      <c r="E139" s="7475" t="s">
        <v>5371</v>
      </c>
      <c r="CC139" s="1435"/>
    </row>
    <row r="140" spans="1:131" ht="27" customHeight="1" x14ac:dyDescent="0.25">
      <c r="A140" s="7296">
        <v>29101787</v>
      </c>
      <c r="B140" s="7476" t="s">
        <v>2689</v>
      </c>
      <c r="C140" s="7477" t="s">
        <v>5369</v>
      </c>
      <c r="D140" s="7478" t="s">
        <v>5370</v>
      </c>
      <c r="E140" s="7479" t="s">
        <v>5371</v>
      </c>
      <c r="CC140" s="1435"/>
    </row>
    <row r="141" spans="1:131" ht="29.4" customHeight="1" x14ac:dyDescent="0.25">
      <c r="B141" s="7425" t="s">
        <v>3046</v>
      </c>
      <c r="C141" s="7425"/>
      <c r="D141" s="2385"/>
    </row>
    <row r="142" spans="1:131" ht="43.95" customHeight="1" x14ac:dyDescent="0.25">
      <c r="B142" s="7445" t="s">
        <v>2639</v>
      </c>
      <c r="C142" s="7446" t="s">
        <v>2907</v>
      </c>
      <c r="D142" s="7447" t="s">
        <v>2908</v>
      </c>
      <c r="V142" s="290"/>
      <c r="BZ142" s="1438"/>
    </row>
    <row r="143" spans="1:131" ht="20.399999999999999" customHeight="1" x14ac:dyDescent="0.25">
      <c r="A143" s="7296">
        <v>29101788</v>
      </c>
      <c r="B143" s="7448" t="s">
        <v>2640</v>
      </c>
      <c r="C143" s="7449" t="s">
        <v>5369</v>
      </c>
      <c r="D143" s="7450" t="s">
        <v>5370</v>
      </c>
      <c r="V143" s="290"/>
      <c r="BZ143" s="1438"/>
    </row>
    <row r="144" spans="1:131" ht="21.6" customHeight="1" x14ac:dyDescent="0.25">
      <c r="A144" s="7296">
        <v>29101789</v>
      </c>
      <c r="B144" s="7451" t="s">
        <v>134</v>
      </c>
      <c r="C144" s="7452" t="s">
        <v>5369</v>
      </c>
      <c r="D144" s="7453" t="s">
        <v>5370</v>
      </c>
      <c r="V144" s="290"/>
      <c r="BZ144" s="1438"/>
    </row>
    <row r="147" spans="1:1" x14ac:dyDescent="0.25">
      <c r="A147" s="165" t="s">
        <v>4068</v>
      </c>
    </row>
    <row r="148" spans="1:1" x14ac:dyDescent="0.25">
      <c r="A148" s="7485">
        <v>29101714</v>
      </c>
    </row>
    <row r="149" spans="1:1" x14ac:dyDescent="0.25">
      <c r="A149" s="7485">
        <v>29101715</v>
      </c>
    </row>
    <row r="150" spans="1:1" x14ac:dyDescent="0.25">
      <c r="A150" s="7485">
        <v>29101716</v>
      </c>
    </row>
    <row r="151" spans="1:1" x14ac:dyDescent="0.25">
      <c r="A151" s="7485">
        <v>29101717</v>
      </c>
    </row>
    <row r="152" spans="1:1" x14ac:dyDescent="0.25">
      <c r="A152" s="7485">
        <v>29101718</v>
      </c>
    </row>
    <row r="153" spans="1:1" x14ac:dyDescent="0.25">
      <c r="A153" s="7485">
        <v>29101719</v>
      </c>
    </row>
    <row r="154" spans="1:1" x14ac:dyDescent="0.25">
      <c r="A154" s="7485">
        <v>29101720</v>
      </c>
    </row>
    <row r="155" spans="1:1" x14ac:dyDescent="0.25">
      <c r="A155" s="7485">
        <v>29101721</v>
      </c>
    </row>
    <row r="156" spans="1:1" x14ac:dyDescent="0.25">
      <c r="A156" s="7485">
        <v>29101722</v>
      </c>
    </row>
    <row r="157" spans="1:1" x14ac:dyDescent="0.25">
      <c r="A157" s="7485">
        <v>29101723</v>
      </c>
    </row>
    <row r="158" spans="1:1" x14ac:dyDescent="0.25">
      <c r="A158" s="7485">
        <v>29101724</v>
      </c>
    </row>
    <row r="159" spans="1:1" x14ac:dyDescent="0.25">
      <c r="A159" s="7485">
        <v>29101725</v>
      </c>
    </row>
    <row r="160" spans="1:1" x14ac:dyDescent="0.25">
      <c r="A160" s="7485">
        <v>29101726</v>
      </c>
    </row>
    <row r="161" spans="1:1" x14ac:dyDescent="0.25">
      <c r="A161" s="7485">
        <v>29101727</v>
      </c>
    </row>
    <row r="162" spans="1:1" x14ac:dyDescent="0.25">
      <c r="A162" s="7485">
        <v>29101728</v>
      </c>
    </row>
    <row r="163" spans="1:1" x14ac:dyDescent="0.25">
      <c r="A163" s="7485">
        <v>29101729</v>
      </c>
    </row>
    <row r="164" spans="1:1" x14ac:dyDescent="0.25">
      <c r="A164" s="7485">
        <v>29101730</v>
      </c>
    </row>
    <row r="165" spans="1:1" x14ac:dyDescent="0.25">
      <c r="A165" s="7485">
        <v>29101731</v>
      </c>
    </row>
    <row r="166" spans="1:1" x14ac:dyDescent="0.25">
      <c r="A166" s="7485">
        <v>29101732</v>
      </c>
    </row>
    <row r="167" spans="1:1" x14ac:dyDescent="0.25">
      <c r="A167" s="7485">
        <v>29101733</v>
      </c>
    </row>
    <row r="168" spans="1:1" x14ac:dyDescent="0.25">
      <c r="A168" s="7485">
        <v>29101734</v>
      </c>
    </row>
    <row r="169" spans="1:1" x14ac:dyDescent="0.25">
      <c r="A169" s="7485">
        <v>29101735</v>
      </c>
    </row>
    <row r="170" spans="1:1" x14ac:dyDescent="0.25">
      <c r="A170" s="7485">
        <v>29101736</v>
      </c>
    </row>
    <row r="171" spans="1:1" x14ac:dyDescent="0.25">
      <c r="A171" s="7485">
        <v>29101737</v>
      </c>
    </row>
    <row r="172" spans="1:1" x14ac:dyDescent="0.25">
      <c r="A172" s="7485">
        <v>29101738</v>
      </c>
    </row>
    <row r="173" spans="1:1" x14ac:dyDescent="0.25">
      <c r="A173" s="7485">
        <v>29101739</v>
      </c>
    </row>
    <row r="174" spans="1:1" x14ac:dyDescent="0.25">
      <c r="A174" s="7485">
        <v>29101740</v>
      </c>
    </row>
    <row r="175" spans="1:1" x14ac:dyDescent="0.25">
      <c r="A175" s="7485">
        <v>29101741</v>
      </c>
    </row>
    <row r="176" spans="1:1" x14ac:dyDescent="0.25">
      <c r="A176" s="7485">
        <v>29101742</v>
      </c>
    </row>
    <row r="177" spans="1:1" x14ac:dyDescent="0.25">
      <c r="A177" s="7485">
        <v>29101743</v>
      </c>
    </row>
    <row r="178" spans="1:1" x14ac:dyDescent="0.25">
      <c r="A178" s="7485">
        <v>29101744</v>
      </c>
    </row>
    <row r="179" spans="1:1" x14ac:dyDescent="0.25">
      <c r="A179" s="7485">
        <v>29101745</v>
      </c>
    </row>
    <row r="180" spans="1:1" x14ac:dyDescent="0.25">
      <c r="A180" s="7485">
        <v>29101746</v>
      </c>
    </row>
    <row r="181" spans="1:1" x14ac:dyDescent="0.25">
      <c r="A181" s="7485">
        <v>29101747</v>
      </c>
    </row>
    <row r="182" spans="1:1" x14ac:dyDescent="0.25">
      <c r="A182" s="7485">
        <v>29101748</v>
      </c>
    </row>
    <row r="183" spans="1:1" x14ac:dyDescent="0.25">
      <c r="A183" s="7485">
        <v>29101749</v>
      </c>
    </row>
    <row r="184" spans="1:1" x14ac:dyDescent="0.25">
      <c r="A184" s="7485">
        <v>29101750</v>
      </c>
    </row>
    <row r="185" spans="1:1" x14ac:dyDescent="0.25">
      <c r="A185" s="7485">
        <v>29101751</v>
      </c>
    </row>
    <row r="186" spans="1:1" x14ac:dyDescent="0.25">
      <c r="A186" s="7485">
        <v>29101752</v>
      </c>
    </row>
    <row r="187" spans="1:1" x14ac:dyDescent="0.25">
      <c r="A187" s="7485">
        <v>29101753</v>
      </c>
    </row>
    <row r="188" spans="1:1" x14ac:dyDescent="0.25">
      <c r="A188" s="7485">
        <v>29101754</v>
      </c>
    </row>
    <row r="189" spans="1:1" x14ac:dyDescent="0.25">
      <c r="A189" s="7485">
        <v>29101755</v>
      </c>
    </row>
    <row r="190" spans="1:1" x14ac:dyDescent="0.25">
      <c r="A190" s="7485">
        <v>29101756</v>
      </c>
    </row>
    <row r="191" spans="1:1" x14ac:dyDescent="0.25">
      <c r="A191" s="7485">
        <v>29101757</v>
      </c>
    </row>
    <row r="192" spans="1:1" x14ac:dyDescent="0.25">
      <c r="A192" s="7485">
        <v>29101758</v>
      </c>
    </row>
    <row r="193" spans="1:1" x14ac:dyDescent="0.25">
      <c r="A193" s="7485">
        <v>29101759</v>
      </c>
    </row>
    <row r="194" spans="1:1" x14ac:dyDescent="0.25">
      <c r="A194" s="7485">
        <v>29101760</v>
      </c>
    </row>
    <row r="195" spans="1:1" x14ac:dyDescent="0.25">
      <c r="A195" s="7485">
        <v>29101761</v>
      </c>
    </row>
    <row r="196" spans="1:1" x14ac:dyDescent="0.25">
      <c r="A196" s="7485">
        <v>29101762</v>
      </c>
    </row>
    <row r="197" spans="1:1" x14ac:dyDescent="0.25">
      <c r="A197" s="7485">
        <v>29101763</v>
      </c>
    </row>
    <row r="198" spans="1:1" x14ac:dyDescent="0.25">
      <c r="A198" s="7485">
        <v>29101764</v>
      </c>
    </row>
    <row r="199" spans="1:1" x14ac:dyDescent="0.25">
      <c r="A199" s="7485">
        <v>29101765</v>
      </c>
    </row>
    <row r="200" spans="1:1" x14ac:dyDescent="0.25">
      <c r="A200" s="7485">
        <v>29101766</v>
      </c>
    </row>
    <row r="201" spans="1:1" x14ac:dyDescent="0.25">
      <c r="A201" s="7485">
        <v>29101767</v>
      </c>
    </row>
    <row r="202" spans="1:1" x14ac:dyDescent="0.25">
      <c r="A202" s="7485">
        <v>29101768</v>
      </c>
    </row>
    <row r="203" spans="1:1" x14ac:dyDescent="0.25">
      <c r="A203" s="7485">
        <v>29101769</v>
      </c>
    </row>
    <row r="204" spans="1:1" x14ac:dyDescent="0.25">
      <c r="A204" s="7485">
        <v>29101770</v>
      </c>
    </row>
    <row r="205" spans="1:1" x14ac:dyDescent="0.25">
      <c r="A205" s="7485">
        <v>29101771</v>
      </c>
    </row>
    <row r="206" spans="1:1" x14ac:dyDescent="0.25">
      <c r="A206" s="7485">
        <v>29101772</v>
      </c>
    </row>
    <row r="207" spans="1:1" x14ac:dyDescent="0.25">
      <c r="A207" s="7485">
        <v>29101773</v>
      </c>
    </row>
    <row r="208" spans="1:1" x14ac:dyDescent="0.25">
      <c r="A208" s="7485">
        <v>29101774</v>
      </c>
    </row>
    <row r="209" spans="1:1" x14ac:dyDescent="0.25">
      <c r="A209" s="7485">
        <v>29101775</v>
      </c>
    </row>
    <row r="210" spans="1:1" x14ac:dyDescent="0.25">
      <c r="A210" s="7485">
        <v>29101776</v>
      </c>
    </row>
    <row r="211" spans="1:1" x14ac:dyDescent="0.25">
      <c r="A211" s="7485">
        <v>29101777</v>
      </c>
    </row>
    <row r="212" spans="1:1" x14ac:dyDescent="0.25">
      <c r="A212" s="7485">
        <v>29101778</v>
      </c>
    </row>
    <row r="213" spans="1:1" x14ac:dyDescent="0.25">
      <c r="A213" s="7485">
        <v>29101779</v>
      </c>
    </row>
    <row r="214" spans="1:1" x14ac:dyDescent="0.25">
      <c r="A214" s="7485">
        <v>29101780</v>
      </c>
    </row>
    <row r="215" spans="1:1" x14ac:dyDescent="0.25">
      <c r="A215" s="7485">
        <v>29101781</v>
      </c>
    </row>
    <row r="216" spans="1:1" x14ac:dyDescent="0.25">
      <c r="A216" s="7485">
        <v>29101782</v>
      </c>
    </row>
    <row r="217" spans="1:1" x14ac:dyDescent="0.25">
      <c r="A217" s="7485">
        <v>29101783</v>
      </c>
    </row>
    <row r="218" spans="1:1" x14ac:dyDescent="0.25">
      <c r="A218" s="7485">
        <v>29101784</v>
      </c>
    </row>
    <row r="219" spans="1:1" x14ac:dyDescent="0.25">
      <c r="A219" s="7485">
        <v>29101785</v>
      </c>
    </row>
    <row r="220" spans="1:1" x14ac:dyDescent="0.25">
      <c r="A220" s="7485">
        <v>29101786</v>
      </c>
    </row>
    <row r="221" spans="1:1" x14ac:dyDescent="0.25">
      <c r="A221" s="7485">
        <v>29101787</v>
      </c>
    </row>
    <row r="222" spans="1:1" x14ac:dyDescent="0.25">
      <c r="A222" s="7485">
        <v>29101788</v>
      </c>
    </row>
    <row r="223" spans="1:1" x14ac:dyDescent="0.25">
      <c r="A223" s="7485">
        <v>29101789</v>
      </c>
    </row>
    <row r="225" spans="1:1" x14ac:dyDescent="0.25">
      <c r="A225" s="165" t="s">
        <v>4069</v>
      </c>
    </row>
    <row r="226" spans="1:1" x14ac:dyDescent="0.25">
      <c r="A226" s="7670" t="s">
        <v>5067</v>
      </c>
    </row>
    <row r="227" spans="1:1" x14ac:dyDescent="0.25">
      <c r="A227" s="7671">
        <v>24090800</v>
      </c>
    </row>
    <row r="228" spans="1:1" x14ac:dyDescent="0.25">
      <c r="A228" s="7671">
        <v>24090900</v>
      </c>
    </row>
    <row r="229" spans="1:1" x14ac:dyDescent="0.25">
      <c r="A229" s="7670" t="s">
        <v>5068</v>
      </c>
    </row>
    <row r="230" spans="1:1" x14ac:dyDescent="0.25">
      <c r="A230" s="7670">
        <v>1090020</v>
      </c>
    </row>
    <row r="231" spans="1:1" x14ac:dyDescent="0.25">
      <c r="A231" s="7670">
        <v>1060101</v>
      </c>
    </row>
    <row r="232" spans="1:1" x14ac:dyDescent="0.25">
      <c r="A232" s="7671">
        <v>24200110</v>
      </c>
    </row>
    <row r="233" spans="1:1" x14ac:dyDescent="0.25">
      <c r="A233" s="7671">
        <v>24200120</v>
      </c>
    </row>
    <row r="234" spans="1:1" x14ac:dyDescent="0.25">
      <c r="A234" s="7670">
        <v>1090030</v>
      </c>
    </row>
    <row r="235" spans="1:1" x14ac:dyDescent="0.25">
      <c r="A235" s="7670">
        <v>1070000</v>
      </c>
    </row>
    <row r="236" spans="1:1" x14ac:dyDescent="0.25">
      <c r="A236" s="7670">
        <v>1080000</v>
      </c>
    </row>
    <row r="237" spans="1:1" x14ac:dyDescent="0.25">
      <c r="A237" s="7671">
        <v>24200134</v>
      </c>
    </row>
    <row r="238" spans="1:1" x14ac:dyDescent="0.25">
      <c r="A238" s="7671">
        <v>24200130</v>
      </c>
    </row>
    <row r="239" spans="1:1" x14ac:dyDescent="0.25">
      <c r="A239" s="7671">
        <v>24200131</v>
      </c>
    </row>
    <row r="240" spans="1:1" x14ac:dyDescent="0.25">
      <c r="A240" s="7671">
        <v>24300104</v>
      </c>
    </row>
    <row r="241" spans="1:131" x14ac:dyDescent="0.25">
      <c r="A241" s="7671">
        <v>24200133</v>
      </c>
    </row>
    <row r="242" spans="1:131" x14ac:dyDescent="0.25">
      <c r="A242" s="7671">
        <v>24300105</v>
      </c>
    </row>
    <row r="243" spans="1:131" x14ac:dyDescent="0.25">
      <c r="A243" s="7671">
        <v>24300106</v>
      </c>
    </row>
    <row r="244" spans="1:131" x14ac:dyDescent="0.25">
      <c r="A244" s="7671">
        <v>24300100</v>
      </c>
    </row>
    <row r="245" spans="1:131" x14ac:dyDescent="0.25">
      <c r="A245" s="7671">
        <v>24300101</v>
      </c>
    </row>
    <row r="246" spans="1:131" x14ac:dyDescent="0.25">
      <c r="A246" s="7671">
        <v>24300102</v>
      </c>
    </row>
    <row r="249" spans="1:131" ht="12" customHeight="1" x14ac:dyDescent="0.25"/>
    <row r="250" spans="1:131" s="1418" customFormat="1" hidden="1" x14ac:dyDescent="0.25">
      <c r="B250" s="165"/>
      <c r="C250" s="165"/>
      <c r="D250" s="165"/>
      <c r="E250" s="165"/>
      <c r="F250" s="165"/>
      <c r="G250" s="165"/>
      <c r="H250" s="165"/>
      <c r="I250" s="165"/>
      <c r="J250" s="165"/>
      <c r="K250" s="165"/>
      <c r="L250" s="165"/>
      <c r="M250" s="165"/>
      <c r="N250" s="165"/>
      <c r="O250" s="165"/>
      <c r="P250" s="165"/>
      <c r="Q250" s="165"/>
      <c r="CA250" s="1419"/>
      <c r="CB250" s="1435"/>
      <c r="CC250" s="1419"/>
      <c r="CD250" s="1419"/>
      <c r="CE250" s="1419"/>
      <c r="CF250" s="1419"/>
      <c r="CG250" s="1419"/>
      <c r="CH250" s="1419"/>
      <c r="CI250" s="1419"/>
      <c r="CJ250" s="1419"/>
      <c r="CK250" s="1419"/>
      <c r="CL250" s="1419"/>
      <c r="CM250" s="1419"/>
      <c r="CN250" s="1419"/>
      <c r="CO250" s="1419"/>
      <c r="CP250" s="1419"/>
      <c r="CQ250" s="1419"/>
      <c r="CR250" s="1419"/>
      <c r="CS250" s="1419"/>
      <c r="CT250" s="1419"/>
      <c r="CU250" s="1419"/>
      <c r="CV250" s="1419"/>
      <c r="CW250" s="1419"/>
      <c r="CX250" s="1419"/>
      <c r="CY250" s="1419"/>
      <c r="CZ250" s="1419"/>
      <c r="DA250" s="1419"/>
      <c r="DB250" s="3205"/>
      <c r="DC250" s="3205"/>
      <c r="DD250" s="3205"/>
      <c r="DE250" s="3205"/>
      <c r="DF250" s="3205"/>
      <c r="DG250" s="3205"/>
      <c r="DH250" s="3205"/>
      <c r="DI250" s="3205"/>
      <c r="DJ250" s="3205"/>
      <c r="DK250" s="3205"/>
      <c r="DL250" s="3205"/>
      <c r="DM250" s="3205"/>
      <c r="DN250" s="3205"/>
      <c r="DO250" s="3205"/>
      <c r="DP250" s="3205"/>
      <c r="DQ250" s="3205"/>
      <c r="DR250" s="3205"/>
      <c r="DS250" s="3205"/>
      <c r="DT250" s="3205"/>
      <c r="DU250" s="3205"/>
      <c r="DV250" s="3205"/>
      <c r="DW250" s="3205"/>
      <c r="DX250" s="3205"/>
      <c r="DY250" s="3205"/>
      <c r="DZ250" s="3205"/>
      <c r="EA250" s="3205"/>
    </row>
    <row r="255" spans="1:131" x14ac:dyDescent="0.25">
      <c r="J255" s="290"/>
      <c r="K255" s="290"/>
      <c r="L255" s="290"/>
      <c r="M255" s="290"/>
      <c r="N255" s="290"/>
      <c r="O255" s="290"/>
      <c r="P255" s="290"/>
      <c r="Q255" s="290"/>
      <c r="R255" s="290"/>
      <c r="S255" s="290"/>
      <c r="T255" s="290"/>
      <c r="U255" s="290"/>
      <c r="V255" s="290"/>
    </row>
    <row r="256" spans="1:131" x14ac:dyDescent="0.25">
      <c r="J256" s="290"/>
      <c r="K256" s="290"/>
      <c r="L256" s="290"/>
      <c r="M256" s="290"/>
      <c r="N256" s="290"/>
      <c r="O256" s="290"/>
      <c r="P256" s="290"/>
      <c r="Q256" s="290"/>
      <c r="R256" s="290"/>
      <c r="S256" s="290"/>
      <c r="T256" s="290"/>
      <c r="U256" s="290"/>
      <c r="V256" s="290"/>
    </row>
    <row r="257" spans="2:22" x14ac:dyDescent="0.25">
      <c r="J257" s="290"/>
      <c r="K257" s="290"/>
      <c r="L257" s="290"/>
      <c r="M257" s="290"/>
      <c r="N257" s="290"/>
      <c r="O257" s="290"/>
      <c r="P257" s="290"/>
      <c r="Q257" s="290"/>
      <c r="R257" s="290"/>
      <c r="S257" s="290"/>
      <c r="T257" s="290"/>
      <c r="U257" s="290"/>
      <c r="V257" s="290"/>
    </row>
    <row r="258" spans="2:22" x14ac:dyDescent="0.25">
      <c r="J258" s="290"/>
      <c r="K258" s="290"/>
      <c r="L258" s="290"/>
      <c r="M258" s="290"/>
      <c r="N258" s="290"/>
      <c r="O258" s="290"/>
      <c r="P258" s="290"/>
      <c r="Q258" s="290"/>
      <c r="R258" s="290"/>
      <c r="S258" s="290"/>
      <c r="T258" s="290"/>
      <c r="U258" s="290"/>
      <c r="V258" s="290"/>
    </row>
    <row r="259" spans="2:22" x14ac:dyDescent="0.25">
      <c r="J259" s="290"/>
      <c r="K259" s="290"/>
      <c r="L259" s="290"/>
      <c r="M259" s="290"/>
      <c r="N259" s="290"/>
      <c r="O259" s="290"/>
      <c r="P259" s="290"/>
      <c r="Q259" s="290"/>
      <c r="R259" s="290"/>
      <c r="S259" s="290"/>
      <c r="T259" s="290"/>
      <c r="U259" s="290"/>
      <c r="V259" s="290"/>
    </row>
    <row r="260" spans="2:22" x14ac:dyDescent="0.25">
      <c r="J260" s="290"/>
      <c r="K260" s="290"/>
      <c r="L260" s="290"/>
      <c r="M260" s="290"/>
      <c r="N260" s="290"/>
      <c r="O260" s="290"/>
      <c r="P260" s="290"/>
      <c r="Q260" s="290"/>
      <c r="R260" s="290"/>
      <c r="S260" s="290"/>
      <c r="T260" s="290"/>
      <c r="U260" s="290"/>
      <c r="V260" s="290"/>
    </row>
    <row r="261" spans="2:22" x14ac:dyDescent="0.25">
      <c r="J261" s="290"/>
      <c r="K261" s="290"/>
      <c r="L261" s="290"/>
      <c r="M261" s="290"/>
      <c r="N261" s="290"/>
      <c r="O261" s="290"/>
      <c r="P261" s="290"/>
      <c r="Q261" s="290"/>
      <c r="R261" s="290"/>
      <c r="S261" s="290"/>
      <c r="T261" s="290"/>
      <c r="U261" s="290"/>
      <c r="V261" s="290"/>
    </row>
    <row r="266" spans="2:22" hidden="1" x14ac:dyDescent="0.25">
      <c r="B266" s="1418">
        <f>SUM(D12,D26:D36,D40:E52,D55:E66,C70:P70,D89:J89,D94,D98:N98,C102:C104,C112:F112,D116:D121,C125:C126,C131:G131,C134:E136,C138:D140,C143:D144)</f>
        <v>0</v>
      </c>
      <c r="C266" s="1418">
        <f>SUM(DB12:EA144)</f>
        <v>69</v>
      </c>
      <c r="D266" s="1418"/>
      <c r="E266" s="1418"/>
      <c r="F266" s="1418"/>
      <c r="G266" s="1418"/>
      <c r="H266" s="1418"/>
      <c r="I266" s="1418"/>
    </row>
  </sheetData>
  <dataConsolidate link="1"/>
  <mergeCells count="121">
    <mergeCell ref="B99:H99"/>
    <mergeCell ref="C123:C124"/>
    <mergeCell ref="AB9:AC10"/>
    <mergeCell ref="E9:H9"/>
    <mergeCell ref="G10:G11"/>
    <mergeCell ref="M123:M124"/>
    <mergeCell ref="N123:N124"/>
    <mergeCell ref="B44:C44"/>
    <mergeCell ref="B26:C26"/>
    <mergeCell ref="B27:B28"/>
    <mergeCell ref="B31:C31"/>
    <mergeCell ref="B63:C63"/>
    <mergeCell ref="B60:C60"/>
    <mergeCell ref="B61:C61"/>
    <mergeCell ref="B51:C51"/>
    <mergeCell ref="B52:C52"/>
    <mergeCell ref="C68:K68"/>
    <mergeCell ref="B54:C54"/>
    <mergeCell ref="B55:B59"/>
    <mergeCell ref="B62:C62"/>
    <mergeCell ref="B66:C66"/>
    <mergeCell ref="B78:C78"/>
    <mergeCell ref="B86:C86"/>
    <mergeCell ref="M9:M11"/>
    <mergeCell ref="B129:B130"/>
    <mergeCell ref="B98:C98"/>
    <mergeCell ref="B75:C76"/>
    <mergeCell ref="B88:C88"/>
    <mergeCell ref="B89:C89"/>
    <mergeCell ref="B96:C97"/>
    <mergeCell ref="L100:L101"/>
    <mergeCell ref="D123:L123"/>
    <mergeCell ref="M100:P100"/>
    <mergeCell ref="B100:B101"/>
    <mergeCell ref="B115:C115"/>
    <mergeCell ref="B116:B117"/>
    <mergeCell ref="D96:E96"/>
    <mergeCell ref="F96:I96"/>
    <mergeCell ref="J96:K96"/>
    <mergeCell ref="B77:C77"/>
    <mergeCell ref="B92:C93"/>
    <mergeCell ref="E92:L92"/>
    <mergeCell ref="B118:B121"/>
    <mergeCell ref="H75:J75"/>
    <mergeCell ref="G75:G76"/>
    <mergeCell ref="B87:C87"/>
    <mergeCell ref="C100:C101"/>
    <mergeCell ref="D100:K100"/>
    <mergeCell ref="B6:M6"/>
    <mergeCell ref="C129:F129"/>
    <mergeCell ref="S68:S69"/>
    <mergeCell ref="R68:R69"/>
    <mergeCell ref="L68:N68"/>
    <mergeCell ref="Q68:Q69"/>
    <mergeCell ref="L96:L97"/>
    <mergeCell ref="M96:M97"/>
    <mergeCell ref="D75:D76"/>
    <mergeCell ref="E75:E76"/>
    <mergeCell ref="F75:F76"/>
    <mergeCell ref="N96:N97"/>
    <mergeCell ref="B90:H90"/>
    <mergeCell ref="B91:H91"/>
    <mergeCell ref="M92:M93"/>
    <mergeCell ref="B94:C94"/>
    <mergeCell ref="B123:B124"/>
    <mergeCell ref="B79:B85"/>
    <mergeCell ref="O68:P68"/>
    <mergeCell ref="B68:B70"/>
    <mergeCell ref="B39:C39"/>
    <mergeCell ref="B29:C29"/>
    <mergeCell ref="B41:B42"/>
    <mergeCell ref="B25:C25"/>
    <mergeCell ref="D92:D93"/>
    <mergeCell ref="D9:D11"/>
    <mergeCell ref="I9:L9"/>
    <mergeCell ref="B12:C12"/>
    <mergeCell ref="B13:C13"/>
    <mergeCell ref="B14:C14"/>
    <mergeCell ref="B15:C15"/>
    <mergeCell ref="B16:C16"/>
    <mergeCell ref="B17:C17"/>
    <mergeCell ref="B18:C18"/>
    <mergeCell ref="B9:C11"/>
    <mergeCell ref="B43:C43"/>
    <mergeCell ref="B40:C40"/>
    <mergeCell ref="T68:U68"/>
    <mergeCell ref="B34:C34"/>
    <mergeCell ref="B64:C64"/>
    <mergeCell ref="B65:C65"/>
    <mergeCell ref="B50:C50"/>
    <mergeCell ref="B19:C19"/>
    <mergeCell ref="B45:B46"/>
    <mergeCell ref="B47:C47"/>
    <mergeCell ref="B48:C48"/>
    <mergeCell ref="B35:B36"/>
    <mergeCell ref="B49:C49"/>
    <mergeCell ref="B20:C20"/>
    <mergeCell ref="B21:B22"/>
    <mergeCell ref="B30:C30"/>
    <mergeCell ref="B32:B33"/>
    <mergeCell ref="AA9:AA11"/>
    <mergeCell ref="E10:E11"/>
    <mergeCell ref="F10:F11"/>
    <mergeCell ref="H10:H11"/>
    <mergeCell ref="I10:I11"/>
    <mergeCell ref="J10:J11"/>
    <mergeCell ref="K10:K11"/>
    <mergeCell ref="L10:L11"/>
    <mergeCell ref="N10:N11"/>
    <mergeCell ref="O10:O11"/>
    <mergeCell ref="P10:P11"/>
    <mergeCell ref="Q10:Q11"/>
    <mergeCell ref="R10:R11"/>
    <mergeCell ref="S10:S11"/>
    <mergeCell ref="T10:U10"/>
    <mergeCell ref="N9:S9"/>
    <mergeCell ref="X9:X11"/>
    <mergeCell ref="Y9:Y11"/>
    <mergeCell ref="T9:W9"/>
    <mergeCell ref="Z9:Z11"/>
    <mergeCell ref="V10:W10"/>
  </mergeCells>
  <dataValidations count="1">
    <dataValidation allowBlank="1" showInputMessage="1" showErrorMessage="1" error="Valor no Permitido" sqref="D130:F131 E122:N122 B122:B125 N101:O104 C99:Q99 L100 B94:B100 M100:M104 D100:K101 D103:P104 D102:L104 C100:C104 B103:B104 P101:P102 O122:Q126 C95:N95 L96:N96 F96 D98:I98 J96:K98 L98:N98 C90:M91 M92 M94 D92:L94 B77:B79 B86:B92 E142:XFD144 A132:A133 R122:XFD128 C129:C131 B127:Q128 CJ94:XFD94 D26:F37 B43:B45 B40:B41 C45:C46 B47:B55 C53 B60:B75 B27 C27:C28 B34:B35 G25:G37 B29:B32 B38:E38 C35:C37 Q100:XFD104 D9:D10 U11:U12 B9:B10 B12:B21 T9:T10 V10 B145:XFD1048576 X9:X10 N9 N10:S10 I9 I10:L10 I76:J76 E125:N126 E124:L124 M123:N123 E115:M121 O115:XFD121 A105:XFD105 H23:T37 AD12:DG22 DH12 DJ12:XFD22 AC26:CB26 V26:AA26 V23:CB25 V71:Z71 AB71:BY71 C122:D126 R95:XFD99 R93:CB94 CD93:XFD93 CD94:CH94 D12:D22 A145:A225 A135:A141 V68:BY70 Y9:AB9 AD9:XFD11 A1:XFD8 E13:AC22 A248:A1048576 G129:XFD131 I113:Q114 S106:XFD107 T108:XFD112 S113:XFD114 B23:G24 B113:H113 X12:AC12 O90:Q98 R90:XFD92 N90:N94 CC23:XFD67 CJ71:XFD73 CB71:CF73 V72:BY73 F38:T67 G74:XFD74 C67:C74 D40:E67 D69:K73 D74:F89 CA68:CA73 V27:CB67 L68:T73 U23:U73 CB68:XFD70 G75:G89 H75 K75:XFD77 H78:XFD89 B132:XFD141 W11:W12 E12:T12 V12 B106:R112" xr:uid="{00000000-0002-0000-1000-000000000000}"/>
  </dataValidations>
  <pageMargins left="0.70866141732283472" right="0.70866141732283472" top="0.74803149606299213" bottom="0.74803149606299213" header="0.31496062992125984" footer="0.31496062992125984"/>
  <pageSetup scale="29" orientation="portrait" horizontalDpi="4294967294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:DG456"/>
  <sheetViews>
    <sheetView showGridLines="0" zoomScaleNormal="100" workbookViewId="0"/>
  </sheetViews>
  <sheetFormatPr baseColWidth="10" defaultColWidth="11.44140625" defaultRowHeight="14.4" x14ac:dyDescent="0.3"/>
  <cols>
    <col min="1" max="1" width="18.109375" style="1192" customWidth="1"/>
    <col min="2" max="2" width="44.88671875" style="1192" customWidth="1"/>
    <col min="3" max="3" width="18.109375" style="1192" customWidth="1"/>
    <col min="4" max="4" width="23.88671875" style="1192" customWidth="1"/>
    <col min="5" max="5" width="18.5546875" style="1192" customWidth="1"/>
    <col min="6" max="6" width="12.88671875" style="1192" customWidth="1"/>
    <col min="7" max="7" width="12.6640625" style="1192" customWidth="1"/>
    <col min="8" max="8" width="15.6640625" style="1192" customWidth="1"/>
    <col min="9" max="9" width="16.44140625" style="1192" customWidth="1"/>
    <col min="10" max="78" width="11.44140625" style="1192"/>
    <col min="79" max="79" width="11.109375" style="1192" customWidth="1"/>
    <col min="80" max="106" width="11.109375" style="1192" hidden="1" customWidth="1"/>
    <col min="107" max="131" width="0" style="1192" hidden="1" customWidth="1"/>
    <col min="132" max="16384" width="11.44140625" style="1192"/>
  </cols>
  <sheetData>
    <row r="1" spans="1:93" ht="16.2" customHeight="1" x14ac:dyDescent="0.3">
      <c r="B1" s="150" t="s">
        <v>207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430"/>
      <c r="CA1" s="1430"/>
      <c r="CB1" s="1429" t="s">
        <v>1981</v>
      </c>
      <c r="CC1" s="1429"/>
      <c r="CD1" s="1429"/>
      <c r="CE1" s="1429"/>
      <c r="CF1" s="1429"/>
      <c r="CG1" s="1429"/>
      <c r="CH1" s="1429"/>
      <c r="CI1" s="1429"/>
      <c r="CJ1" s="1429"/>
      <c r="CK1" s="1429"/>
      <c r="CL1" s="1429"/>
      <c r="CM1" s="1429"/>
      <c r="CN1" s="1429"/>
      <c r="CO1" s="1429"/>
    </row>
    <row r="2" spans="1:93" ht="16.2" customHeight="1" x14ac:dyDescent="0.3">
      <c r="B2" s="150" t="str">
        <f>CONCATENATE("COMUNA: ",NOMBRE!B2," - ","( ",NOMBRE!C2,NOMBRE!D2,NOMBRE!E2,NOMBRE!F2,NOMBRE!G2," )")</f>
        <v>COMUNA:  - (  )</v>
      </c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430"/>
      <c r="CA2" s="1430"/>
      <c r="CB2" s="1429"/>
      <c r="CC2" s="1429"/>
      <c r="CD2" s="1429"/>
      <c r="CE2" s="1429"/>
      <c r="CF2" s="1429"/>
      <c r="CG2" s="1429"/>
      <c r="CH2" s="1429"/>
      <c r="CI2" s="1429"/>
      <c r="CJ2" s="1429"/>
      <c r="CK2" s="1429"/>
      <c r="CL2" s="1429"/>
      <c r="CM2" s="1429"/>
      <c r="CN2" s="1429"/>
      <c r="CO2" s="1429"/>
    </row>
    <row r="3" spans="1:93" ht="16.2" customHeight="1" x14ac:dyDescent="0.3">
      <c r="B3" s="150" t="str">
        <f>CONCATENATE("ESTABLECIMIENTO/ESTRATEGIA: ",NOMBRE!B3," - ","( ",NOMBRE!C3,NOMBRE!D3,NOMBRE!E3,NOMBRE!F3,NOMBRE!G3,NOMBRE!H3," )")</f>
        <v>ESTABLECIMIENTO/ESTRATEGIA:  - (  )</v>
      </c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165"/>
      <c r="AQ3" s="165"/>
      <c r="AR3" s="165"/>
      <c r="AS3" s="165"/>
      <c r="AT3" s="165"/>
      <c r="AU3" s="165"/>
      <c r="AV3" s="165"/>
      <c r="AW3" s="165"/>
      <c r="AX3" s="165"/>
      <c r="AY3" s="165"/>
      <c r="AZ3" s="165"/>
      <c r="BA3" s="165"/>
      <c r="BB3" s="165"/>
      <c r="BC3" s="165"/>
      <c r="BD3" s="165"/>
      <c r="BE3" s="165"/>
      <c r="BF3" s="165"/>
      <c r="BG3" s="165"/>
      <c r="BH3" s="165"/>
      <c r="BI3" s="165"/>
      <c r="BJ3" s="165"/>
      <c r="BK3" s="165"/>
      <c r="BL3" s="165"/>
      <c r="BM3" s="165"/>
      <c r="BN3" s="165"/>
      <c r="BO3" s="165"/>
      <c r="BP3" s="165"/>
      <c r="BQ3" s="165"/>
      <c r="BR3" s="165"/>
      <c r="BS3" s="165"/>
      <c r="BT3" s="165"/>
      <c r="BU3" s="165"/>
      <c r="BV3" s="165"/>
      <c r="BW3" s="165"/>
      <c r="BX3" s="165"/>
      <c r="BY3" s="165"/>
      <c r="BZ3" s="1430"/>
      <c r="CA3" s="1430"/>
      <c r="CB3" s="1429"/>
      <c r="CC3" s="1429"/>
      <c r="CD3" s="1429"/>
      <c r="CE3" s="1429"/>
      <c r="CF3" s="1429"/>
      <c r="CG3" s="1429"/>
      <c r="CH3" s="1429"/>
      <c r="CI3" s="1429"/>
      <c r="CJ3" s="1429"/>
      <c r="CK3" s="1429"/>
      <c r="CL3" s="1429"/>
      <c r="CM3" s="1429"/>
      <c r="CN3" s="1429"/>
      <c r="CO3" s="1429"/>
    </row>
    <row r="4" spans="1:93" ht="16.2" customHeight="1" x14ac:dyDescent="0.3">
      <c r="B4" s="150" t="str">
        <f>CONCATENATE("MES: ",NOMBRE!B6," - ","( ",NOMBRE!C6,NOMBRE!D6," )")</f>
        <v>MES:  - (  )</v>
      </c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65"/>
      <c r="BX4" s="165"/>
      <c r="BY4" s="165"/>
      <c r="BZ4" s="1430"/>
      <c r="CA4" s="1430"/>
      <c r="CB4" s="1429"/>
      <c r="CC4" s="1429"/>
      <c r="CD4" s="1429"/>
      <c r="CE4" s="1429"/>
      <c r="CF4" s="1429"/>
      <c r="CG4" s="1429"/>
      <c r="CH4" s="1429"/>
      <c r="CI4" s="1429"/>
      <c r="CJ4" s="1429"/>
      <c r="CK4" s="1429"/>
      <c r="CL4" s="1429"/>
      <c r="CM4" s="1429"/>
      <c r="CN4" s="1429"/>
      <c r="CO4" s="1429"/>
    </row>
    <row r="5" spans="1:93" ht="16.2" customHeight="1" x14ac:dyDescent="0.3">
      <c r="B5" s="150" t="str">
        <f>CONCATENATE("AÑO: ",NOMBRE!B7)</f>
        <v>AÑO: 2023</v>
      </c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430"/>
      <c r="CA5" s="1430"/>
      <c r="CB5" s="1429"/>
      <c r="CC5" s="1429"/>
      <c r="CD5" s="1429"/>
      <c r="CE5" s="1429"/>
      <c r="CF5" s="1429"/>
      <c r="CG5" s="1429"/>
      <c r="CH5" s="1432"/>
      <c r="CI5" s="1432"/>
      <c r="CJ5" s="1432"/>
      <c r="CK5" s="1432"/>
      <c r="CL5" s="1432"/>
      <c r="CM5" s="1432"/>
      <c r="CN5" s="1432"/>
      <c r="CO5" s="1432"/>
    </row>
    <row r="6" spans="1:93" ht="15" customHeight="1" x14ac:dyDescent="0.3">
      <c r="B6" s="10683" t="s">
        <v>1982</v>
      </c>
      <c r="C6" s="10683"/>
      <c r="D6" s="10683"/>
      <c r="E6" s="10683"/>
      <c r="F6" s="10683"/>
      <c r="G6" s="10683"/>
      <c r="H6" s="10683"/>
      <c r="I6" s="10683"/>
      <c r="J6" s="10683"/>
      <c r="K6" s="10683"/>
      <c r="L6" s="10683"/>
      <c r="M6" s="10683"/>
      <c r="N6" s="10683"/>
      <c r="O6" s="10683"/>
      <c r="P6" s="10683"/>
      <c r="Q6" s="10683"/>
      <c r="R6" s="10683"/>
      <c r="S6" s="10683"/>
      <c r="T6" s="10683"/>
      <c r="U6" s="10683"/>
      <c r="V6" s="10683"/>
      <c r="W6" s="10683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N6" s="165"/>
      <c r="BO6" s="165"/>
      <c r="BP6" s="165"/>
      <c r="BQ6" s="165"/>
      <c r="BR6" s="165"/>
      <c r="BS6" s="165"/>
      <c r="BT6" s="165"/>
      <c r="BU6" s="165"/>
      <c r="BV6" s="165"/>
      <c r="BW6" s="165"/>
      <c r="BX6" s="165"/>
      <c r="BY6" s="165"/>
      <c r="BZ6" s="1430"/>
      <c r="CA6" s="1430"/>
      <c r="CB6" s="1429"/>
      <c r="CC6" s="1429"/>
      <c r="CD6" s="1429"/>
      <c r="CE6" s="1429"/>
      <c r="CF6" s="1429"/>
      <c r="CG6" s="1429"/>
      <c r="CH6" s="1432"/>
      <c r="CI6" s="1432"/>
      <c r="CJ6" s="1432"/>
      <c r="CK6" s="1432"/>
      <c r="CL6" s="1432"/>
      <c r="CM6" s="1432"/>
      <c r="CN6" s="1432"/>
      <c r="CO6" s="1432"/>
    </row>
    <row r="7" spans="1:93" ht="16.2" x14ac:dyDescent="0.3">
      <c r="B7" s="1099"/>
      <c r="C7" s="1099"/>
      <c r="D7" s="1099"/>
      <c r="E7" s="1099"/>
      <c r="F7" s="1099"/>
      <c r="G7" s="1099"/>
      <c r="H7" s="1099"/>
      <c r="I7" s="1099"/>
      <c r="J7" s="1099"/>
      <c r="K7" s="1099"/>
      <c r="L7" s="817"/>
      <c r="M7" s="140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  <c r="BJ7" s="165"/>
      <c r="BK7" s="165"/>
      <c r="BL7" s="165"/>
      <c r="BM7" s="165"/>
      <c r="BN7" s="165"/>
      <c r="BO7" s="165"/>
      <c r="BP7" s="165"/>
      <c r="BQ7" s="165"/>
      <c r="BR7" s="165"/>
      <c r="BS7" s="165"/>
      <c r="BT7" s="165"/>
      <c r="BU7" s="165"/>
      <c r="BV7" s="165"/>
      <c r="BW7" s="165"/>
      <c r="BX7" s="165"/>
      <c r="BY7" s="165"/>
      <c r="BZ7" s="1430"/>
      <c r="CA7" s="1430"/>
      <c r="CB7" s="1429"/>
      <c r="CC7" s="1429"/>
      <c r="CD7" s="1429"/>
      <c r="CE7" s="1429"/>
      <c r="CF7" s="1429"/>
      <c r="CG7" s="1429"/>
      <c r="CH7" s="1432"/>
      <c r="CI7" s="1432"/>
      <c r="CJ7" s="1432"/>
      <c r="CK7" s="1432"/>
      <c r="CL7" s="1432"/>
      <c r="CM7" s="1432"/>
      <c r="CN7" s="1432"/>
      <c r="CO7" s="1432"/>
    </row>
    <row r="8" spans="1:93" ht="31.95" customHeight="1" x14ac:dyDescent="0.3">
      <c r="B8" s="1236" t="s">
        <v>1983</v>
      </c>
      <c r="C8" s="1236"/>
      <c r="D8" s="1236"/>
      <c r="E8" s="1236"/>
      <c r="F8" s="1236"/>
      <c r="G8" s="1236"/>
      <c r="H8" s="1236"/>
      <c r="I8" s="1236"/>
      <c r="J8" s="1236"/>
      <c r="K8" s="1237"/>
      <c r="L8" s="1230"/>
      <c r="M8" s="1230"/>
      <c r="N8" s="1237"/>
      <c r="O8" s="1237"/>
      <c r="P8" s="1237"/>
      <c r="Q8" s="1237"/>
      <c r="R8" s="1237"/>
      <c r="S8" s="1237"/>
      <c r="T8" s="1237"/>
      <c r="U8" s="1237"/>
      <c r="V8" s="1237"/>
      <c r="W8" s="1237"/>
      <c r="X8" s="1237"/>
      <c r="Y8" s="1237"/>
      <c r="Z8" s="1237"/>
      <c r="AA8" s="1237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  <c r="AP8" s="165"/>
      <c r="AQ8" s="165"/>
      <c r="AR8" s="165"/>
      <c r="AS8" s="165"/>
      <c r="AT8" s="165"/>
      <c r="AU8" s="165"/>
      <c r="AV8" s="165"/>
      <c r="AW8" s="165"/>
      <c r="AX8" s="165"/>
      <c r="AY8" s="165"/>
      <c r="AZ8" s="165"/>
      <c r="BA8" s="165"/>
      <c r="BB8" s="165"/>
      <c r="BC8" s="165"/>
      <c r="BD8" s="165"/>
      <c r="BE8" s="165"/>
      <c r="BF8" s="165"/>
      <c r="BG8" s="165"/>
      <c r="BH8" s="165"/>
      <c r="BI8" s="165"/>
      <c r="BJ8" s="165"/>
      <c r="BK8" s="165"/>
      <c r="BL8" s="165"/>
      <c r="BM8" s="165"/>
      <c r="BN8" s="165"/>
      <c r="BO8" s="165"/>
      <c r="BP8" s="165"/>
      <c r="BQ8" s="165"/>
      <c r="BR8" s="165"/>
      <c r="BS8" s="165"/>
      <c r="BT8" s="165"/>
      <c r="BU8" s="165"/>
      <c r="BV8" s="165"/>
      <c r="BW8" s="165"/>
      <c r="BX8" s="165"/>
      <c r="BY8" s="165"/>
      <c r="BZ8" s="1430"/>
      <c r="CA8" s="1430"/>
      <c r="CB8" s="1429"/>
      <c r="CC8" s="1429"/>
      <c r="CD8" s="1429"/>
      <c r="CE8" s="1429"/>
      <c r="CF8" s="1429"/>
      <c r="CG8" s="1429"/>
      <c r="CH8" s="1432"/>
      <c r="CI8" s="1432"/>
      <c r="CJ8" s="1432"/>
      <c r="CK8" s="1432"/>
      <c r="CL8" s="1432"/>
      <c r="CM8" s="1432"/>
      <c r="CN8" s="1432"/>
      <c r="CO8" s="1432"/>
    </row>
    <row r="9" spans="1:93" ht="16.2" customHeight="1" x14ac:dyDescent="0.3">
      <c r="B9" s="10533" t="s">
        <v>1814</v>
      </c>
      <c r="C9" s="10533" t="s">
        <v>1984</v>
      </c>
      <c r="D9" s="10533"/>
      <c r="E9" s="9976" t="s">
        <v>24</v>
      </c>
      <c r="F9" s="8597"/>
      <c r="G9" s="9978"/>
      <c r="H9" s="8623" t="s">
        <v>2</v>
      </c>
      <c r="I9" s="8624"/>
      <c r="J9" s="8624"/>
      <c r="K9" s="8624"/>
      <c r="L9" s="8624"/>
      <c r="M9" s="8624"/>
      <c r="N9" s="8624"/>
      <c r="O9" s="8624"/>
      <c r="P9" s="8624"/>
      <c r="Q9" s="8624"/>
      <c r="R9" s="8624"/>
      <c r="S9" s="8624"/>
      <c r="T9" s="8624"/>
      <c r="U9" s="8624"/>
      <c r="V9" s="8624"/>
      <c r="W9" s="8624"/>
      <c r="X9" s="8624"/>
      <c r="Y9" s="8624"/>
      <c r="Z9" s="8624"/>
      <c r="AA9" s="8624"/>
      <c r="AB9" s="8624"/>
      <c r="AC9" s="862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65"/>
      <c r="AQ9" s="165"/>
      <c r="AR9" s="165"/>
      <c r="AS9" s="165"/>
      <c r="AT9" s="165"/>
      <c r="AU9" s="165"/>
      <c r="AV9" s="165"/>
      <c r="AW9" s="165"/>
      <c r="AX9" s="165"/>
      <c r="AY9" s="165"/>
      <c r="AZ9" s="165"/>
      <c r="BA9" s="165"/>
      <c r="BB9" s="165"/>
      <c r="BC9" s="165"/>
      <c r="BD9" s="165"/>
      <c r="BE9" s="165"/>
      <c r="BF9" s="165"/>
      <c r="BG9" s="165"/>
      <c r="BH9" s="165"/>
      <c r="BI9" s="165"/>
      <c r="BJ9" s="165"/>
      <c r="BK9" s="165"/>
      <c r="BL9" s="165"/>
      <c r="BM9" s="165"/>
      <c r="BN9" s="165"/>
      <c r="BO9" s="165"/>
      <c r="BP9" s="165"/>
      <c r="BQ9" s="165"/>
      <c r="BR9" s="165"/>
      <c r="BS9" s="165"/>
      <c r="BT9" s="165"/>
      <c r="BU9" s="165"/>
      <c r="BV9" s="165"/>
      <c r="BW9" s="165"/>
      <c r="BX9" s="165"/>
      <c r="BY9" s="165"/>
      <c r="BZ9" s="1430"/>
      <c r="CA9" s="1430"/>
      <c r="CB9" s="1429"/>
      <c r="CC9" s="1429"/>
      <c r="CD9" s="1429"/>
      <c r="CE9" s="1429"/>
      <c r="CF9" s="1429"/>
      <c r="CG9" s="1429"/>
      <c r="CH9" s="1432"/>
      <c r="CI9" s="1432"/>
      <c r="CJ9" s="1432"/>
      <c r="CK9" s="1432"/>
      <c r="CL9" s="1432"/>
      <c r="CM9" s="1432"/>
      <c r="CN9" s="1432"/>
      <c r="CO9" s="1432"/>
    </row>
    <row r="10" spans="1:93" ht="16.2" customHeight="1" x14ac:dyDescent="0.3">
      <c r="B10" s="10533"/>
      <c r="C10" s="10533"/>
      <c r="D10" s="10533"/>
      <c r="E10" s="10001"/>
      <c r="F10" s="10534"/>
      <c r="G10" s="8582"/>
      <c r="H10" s="9984" t="s">
        <v>2565</v>
      </c>
      <c r="I10" s="9984"/>
      <c r="J10" s="9984" t="s">
        <v>50</v>
      </c>
      <c r="K10" s="9984"/>
      <c r="L10" s="9984" t="s">
        <v>3480</v>
      </c>
      <c r="M10" s="9984"/>
      <c r="N10" s="9984" t="s">
        <v>3481</v>
      </c>
      <c r="O10" s="9984"/>
      <c r="P10" s="9984" t="s">
        <v>3482</v>
      </c>
      <c r="Q10" s="9984"/>
      <c r="R10" s="9984" t="s">
        <v>3483</v>
      </c>
      <c r="S10" s="9984"/>
      <c r="T10" s="9984" t="s">
        <v>3484</v>
      </c>
      <c r="U10" s="9984"/>
      <c r="V10" s="9984" t="s">
        <v>3485</v>
      </c>
      <c r="W10" s="9984"/>
      <c r="X10" s="9984" t="s">
        <v>2272</v>
      </c>
      <c r="Y10" s="9984"/>
      <c r="Z10" s="9984" t="s">
        <v>2132</v>
      </c>
      <c r="AA10" s="9984"/>
      <c r="AB10" s="9984" t="s">
        <v>2808</v>
      </c>
      <c r="AC10" s="9984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165"/>
      <c r="BX10" s="165"/>
      <c r="BY10" s="165"/>
      <c r="BZ10" s="1430"/>
      <c r="CA10" s="1430"/>
      <c r="CB10" s="1429"/>
      <c r="CC10" s="1429"/>
      <c r="CD10" s="1429"/>
      <c r="CE10" s="1429"/>
      <c r="CF10" s="1429"/>
      <c r="CG10" s="1429"/>
      <c r="CH10" s="1432"/>
      <c r="CI10" s="1432"/>
      <c r="CJ10" s="1432"/>
      <c r="CK10" s="1432"/>
      <c r="CL10" s="1432"/>
      <c r="CM10" s="1432"/>
      <c r="CN10" s="1432"/>
      <c r="CO10" s="1432"/>
    </row>
    <row r="11" spans="1:93" ht="16.2" customHeight="1" x14ac:dyDescent="0.3">
      <c r="B11" s="10533"/>
      <c r="C11" s="10533"/>
      <c r="D11" s="10533"/>
      <c r="E11" s="1124" t="s">
        <v>42</v>
      </c>
      <c r="F11" s="914" t="s">
        <v>17</v>
      </c>
      <c r="G11" s="1148" t="s">
        <v>18</v>
      </c>
      <c r="H11" s="1107" t="s">
        <v>17</v>
      </c>
      <c r="I11" s="1324" t="s">
        <v>18</v>
      </c>
      <c r="J11" s="3227" t="s">
        <v>17</v>
      </c>
      <c r="K11" s="2114" t="s">
        <v>18</v>
      </c>
      <c r="L11" s="3227" t="s">
        <v>17</v>
      </c>
      <c r="M11" s="2114" t="s">
        <v>18</v>
      </c>
      <c r="N11" s="3227" t="s">
        <v>17</v>
      </c>
      <c r="O11" s="2114" t="s">
        <v>18</v>
      </c>
      <c r="P11" s="3227" t="s">
        <v>17</v>
      </c>
      <c r="Q11" s="2114" t="s">
        <v>18</v>
      </c>
      <c r="R11" s="3227" t="s">
        <v>17</v>
      </c>
      <c r="S11" s="2114" t="s">
        <v>18</v>
      </c>
      <c r="T11" s="3227" t="s">
        <v>17</v>
      </c>
      <c r="U11" s="2114" t="s">
        <v>18</v>
      </c>
      <c r="V11" s="3227" t="s">
        <v>17</v>
      </c>
      <c r="W11" s="2114" t="s">
        <v>18</v>
      </c>
      <c r="X11" s="3227" t="s">
        <v>17</v>
      </c>
      <c r="Y11" s="2114" t="s">
        <v>18</v>
      </c>
      <c r="Z11" s="3227" t="s">
        <v>17</v>
      </c>
      <c r="AA11" s="2114" t="s">
        <v>18</v>
      </c>
      <c r="AB11" s="3227" t="s">
        <v>17</v>
      </c>
      <c r="AC11" s="2114" t="s">
        <v>18</v>
      </c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65"/>
      <c r="BC11" s="165"/>
      <c r="BD11" s="165"/>
      <c r="BE11" s="165"/>
      <c r="BF11" s="165"/>
      <c r="BG11" s="165"/>
      <c r="BH11" s="165"/>
      <c r="BI11" s="165"/>
      <c r="BJ11" s="165"/>
      <c r="BK11" s="165"/>
      <c r="BL11" s="165"/>
      <c r="BM11" s="165"/>
      <c r="BN11" s="165"/>
      <c r="BO11" s="165"/>
      <c r="BP11" s="165"/>
      <c r="BQ11" s="165"/>
      <c r="BR11" s="165"/>
      <c r="BS11" s="165"/>
      <c r="BT11" s="165"/>
      <c r="BU11" s="165"/>
      <c r="BV11" s="165"/>
      <c r="BW11" s="165"/>
      <c r="BX11" s="165"/>
      <c r="BY11" s="165"/>
      <c r="BZ11" s="1430"/>
      <c r="CA11" s="1430"/>
      <c r="CB11" s="1429"/>
      <c r="CC11" s="1429"/>
      <c r="CD11" s="1429"/>
      <c r="CE11" s="1429"/>
      <c r="CF11" s="1429"/>
      <c r="CG11" s="1429"/>
      <c r="CH11" s="1432"/>
      <c r="CI11" s="1432"/>
      <c r="CJ11" s="1432"/>
      <c r="CK11" s="1432"/>
      <c r="CL11" s="1432"/>
      <c r="CM11" s="1432"/>
      <c r="CN11" s="1432"/>
      <c r="CO11" s="1432"/>
    </row>
    <row r="12" spans="1:93" ht="16.2" customHeight="1" x14ac:dyDescent="0.3">
      <c r="A12" s="7258">
        <v>25100100</v>
      </c>
      <c r="B12" s="10171" t="s">
        <v>1986</v>
      </c>
      <c r="C12" s="1238" t="s">
        <v>1987</v>
      </c>
      <c r="D12" s="748" t="s">
        <v>1988</v>
      </c>
      <c r="E12" s="3481" t="s">
        <v>5369</v>
      </c>
      <c r="F12" s="3482" t="s">
        <v>5370</v>
      </c>
      <c r="G12" s="3483" t="s">
        <v>5371</v>
      </c>
      <c r="H12" s="695" t="s">
        <v>5372</v>
      </c>
      <c r="I12" s="1151" t="s">
        <v>5373</v>
      </c>
      <c r="J12" s="3137" t="s">
        <v>5374</v>
      </c>
      <c r="K12" s="3193" t="s">
        <v>5375</v>
      </c>
      <c r="L12" s="3137" t="s">
        <v>5376</v>
      </c>
      <c r="M12" s="3193" t="s">
        <v>5377</v>
      </c>
      <c r="N12" s="3137" t="s">
        <v>5378</v>
      </c>
      <c r="O12" s="3193" t="s">
        <v>5379</v>
      </c>
      <c r="P12" s="3137" t="s">
        <v>5380</v>
      </c>
      <c r="Q12" s="3193" t="s">
        <v>5381</v>
      </c>
      <c r="R12" s="3137" t="s">
        <v>5382</v>
      </c>
      <c r="S12" s="3193" t="s">
        <v>5383</v>
      </c>
      <c r="T12" s="3137" t="s">
        <v>5384</v>
      </c>
      <c r="U12" s="3193" t="s">
        <v>5385</v>
      </c>
      <c r="V12" s="3137" t="s">
        <v>5386</v>
      </c>
      <c r="W12" s="3193" t="s">
        <v>5387</v>
      </c>
      <c r="X12" s="3137" t="s">
        <v>5388</v>
      </c>
      <c r="Y12" s="3193" t="s">
        <v>5389</v>
      </c>
      <c r="Z12" s="3137" t="s">
        <v>5390</v>
      </c>
      <c r="AA12" s="3193" t="s">
        <v>5391</v>
      </c>
      <c r="AB12" s="3137" t="s">
        <v>5392</v>
      </c>
      <c r="AC12" s="3193" t="s">
        <v>5393</v>
      </c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165"/>
      <c r="BJ12" s="165"/>
      <c r="BK12" s="165"/>
      <c r="BL12" s="165"/>
      <c r="BM12" s="165"/>
      <c r="BN12" s="165"/>
      <c r="BO12" s="165"/>
      <c r="BP12" s="165"/>
      <c r="BQ12" s="165"/>
      <c r="BR12" s="165"/>
      <c r="BS12" s="165"/>
      <c r="BT12" s="165"/>
      <c r="BU12" s="165"/>
      <c r="BV12" s="165"/>
      <c r="BW12" s="165"/>
      <c r="BX12" s="165"/>
      <c r="BY12" s="165"/>
      <c r="BZ12" s="1430"/>
      <c r="CA12" s="1430"/>
      <c r="CB12" s="1429"/>
      <c r="CC12" s="1429"/>
      <c r="CD12" s="1429"/>
      <c r="CE12" s="1429"/>
      <c r="CF12" s="1429"/>
      <c r="CG12" s="1429"/>
      <c r="CH12" s="1432"/>
      <c r="CI12" s="1432"/>
      <c r="CJ12" s="1432"/>
      <c r="CK12" s="1432"/>
      <c r="CL12" s="1432"/>
      <c r="CM12" s="1432"/>
      <c r="CN12" s="1432"/>
      <c r="CO12" s="1432"/>
    </row>
    <row r="13" spans="1:93" ht="16.2" customHeight="1" x14ac:dyDescent="0.3">
      <c r="A13" s="7258">
        <v>25100300</v>
      </c>
      <c r="B13" s="8591"/>
      <c r="C13" s="1097" t="s">
        <v>1989</v>
      </c>
      <c r="D13" s="1146" t="s">
        <v>1988</v>
      </c>
      <c r="E13" s="6838" t="s">
        <v>5369</v>
      </c>
      <c r="F13" s="8073" t="s">
        <v>5370</v>
      </c>
      <c r="G13" s="8074" t="s">
        <v>5371</v>
      </c>
      <c r="H13" s="3158" t="s">
        <v>5372</v>
      </c>
      <c r="I13" s="3159" t="s">
        <v>5373</v>
      </c>
      <c r="J13" s="3139" t="s">
        <v>5374</v>
      </c>
      <c r="K13" s="2814" t="s">
        <v>5375</v>
      </c>
      <c r="L13" s="3139" t="s">
        <v>5376</v>
      </c>
      <c r="M13" s="2814" t="s">
        <v>5377</v>
      </c>
      <c r="N13" s="3139" t="s">
        <v>5378</v>
      </c>
      <c r="O13" s="2814" t="s">
        <v>5379</v>
      </c>
      <c r="P13" s="3139" t="s">
        <v>5380</v>
      </c>
      <c r="Q13" s="2814" t="s">
        <v>5381</v>
      </c>
      <c r="R13" s="3139" t="s">
        <v>5382</v>
      </c>
      <c r="S13" s="2814" t="s">
        <v>5383</v>
      </c>
      <c r="T13" s="3139" t="s">
        <v>5384</v>
      </c>
      <c r="U13" s="2814" t="s">
        <v>5385</v>
      </c>
      <c r="V13" s="3139" t="s">
        <v>5386</v>
      </c>
      <c r="W13" s="2814" t="s">
        <v>5387</v>
      </c>
      <c r="X13" s="3139" t="s">
        <v>5388</v>
      </c>
      <c r="Y13" s="2814" t="s">
        <v>5389</v>
      </c>
      <c r="Z13" s="3139" t="s">
        <v>5390</v>
      </c>
      <c r="AA13" s="2814" t="s">
        <v>5391</v>
      </c>
      <c r="AB13" s="3139" t="s">
        <v>5392</v>
      </c>
      <c r="AC13" s="2814" t="s">
        <v>5393</v>
      </c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165"/>
      <c r="AT13" s="165"/>
      <c r="AU13" s="165"/>
      <c r="AV13" s="165"/>
      <c r="AW13" s="165"/>
      <c r="AX13" s="165"/>
      <c r="AY13" s="165"/>
      <c r="AZ13" s="165"/>
      <c r="BA13" s="165"/>
      <c r="BB13" s="165"/>
      <c r="BC13" s="165"/>
      <c r="BD13" s="165"/>
      <c r="BE13" s="165"/>
      <c r="BF13" s="165"/>
      <c r="BG13" s="165"/>
      <c r="BH13" s="165"/>
      <c r="BI13" s="165"/>
      <c r="BJ13" s="165"/>
      <c r="BK13" s="165"/>
      <c r="BL13" s="165"/>
      <c r="BM13" s="165"/>
      <c r="BN13" s="165"/>
      <c r="BO13" s="165"/>
      <c r="BP13" s="165"/>
      <c r="BQ13" s="165"/>
      <c r="BR13" s="165"/>
      <c r="BS13" s="165"/>
      <c r="BT13" s="165"/>
      <c r="BU13" s="165"/>
      <c r="BV13" s="165"/>
      <c r="BW13" s="165"/>
      <c r="BX13" s="165"/>
      <c r="BY13" s="165"/>
      <c r="BZ13" s="1430"/>
      <c r="CA13" s="1430"/>
      <c r="CB13" s="1429"/>
      <c r="CC13" s="1429"/>
      <c r="CD13" s="1429"/>
      <c r="CE13" s="1429"/>
      <c r="CF13" s="1429"/>
      <c r="CG13" s="1429"/>
      <c r="CH13" s="1432"/>
      <c r="CI13" s="1432"/>
      <c r="CJ13" s="1432"/>
      <c r="CK13" s="1432"/>
      <c r="CL13" s="1432"/>
      <c r="CM13" s="1432"/>
      <c r="CN13" s="1432"/>
      <c r="CO13" s="1432"/>
    </row>
    <row r="14" spans="1:93" ht="16.2" customHeight="1" x14ac:dyDescent="0.3">
      <c r="A14" s="7258">
        <v>25100500</v>
      </c>
      <c r="B14" s="8648" t="s">
        <v>1990</v>
      </c>
      <c r="C14" s="8650"/>
      <c r="D14" s="1108" t="s">
        <v>1988</v>
      </c>
      <c r="E14" s="8070" t="s">
        <v>5369</v>
      </c>
      <c r="F14" s="8071" t="s">
        <v>5370</v>
      </c>
      <c r="G14" s="8072" t="s">
        <v>5371</v>
      </c>
      <c r="H14" s="6926" t="s">
        <v>5372</v>
      </c>
      <c r="I14" s="7124" t="s">
        <v>5373</v>
      </c>
      <c r="J14" s="3188" t="s">
        <v>5374</v>
      </c>
      <c r="K14" s="3189" t="s">
        <v>5375</v>
      </c>
      <c r="L14" s="3188" t="s">
        <v>5376</v>
      </c>
      <c r="M14" s="3189" t="s">
        <v>5377</v>
      </c>
      <c r="N14" s="3188" t="s">
        <v>5378</v>
      </c>
      <c r="O14" s="3189" t="s">
        <v>5379</v>
      </c>
      <c r="P14" s="3188" t="s">
        <v>5380</v>
      </c>
      <c r="Q14" s="3189" t="s">
        <v>5381</v>
      </c>
      <c r="R14" s="3188" t="s">
        <v>5382</v>
      </c>
      <c r="S14" s="3189" t="s">
        <v>5383</v>
      </c>
      <c r="T14" s="3188" t="s">
        <v>5384</v>
      </c>
      <c r="U14" s="3189" t="s">
        <v>5385</v>
      </c>
      <c r="V14" s="3188" t="s">
        <v>5386</v>
      </c>
      <c r="W14" s="3189" t="s">
        <v>5387</v>
      </c>
      <c r="X14" s="3188" t="s">
        <v>5388</v>
      </c>
      <c r="Y14" s="3189" t="s">
        <v>5389</v>
      </c>
      <c r="Z14" s="3188" t="s">
        <v>5390</v>
      </c>
      <c r="AA14" s="3189" t="s">
        <v>5391</v>
      </c>
      <c r="AB14" s="3188" t="s">
        <v>5392</v>
      </c>
      <c r="AC14" s="3189" t="s">
        <v>5393</v>
      </c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  <c r="AV14" s="165"/>
      <c r="AW14" s="165"/>
      <c r="AX14" s="165"/>
      <c r="AY14" s="165"/>
      <c r="AZ14" s="165"/>
      <c r="BA14" s="165"/>
      <c r="BB14" s="165"/>
      <c r="BC14" s="165"/>
      <c r="BD14" s="165"/>
      <c r="BE14" s="165"/>
      <c r="BF14" s="165"/>
      <c r="BG14" s="165"/>
      <c r="BH14" s="165"/>
      <c r="BI14" s="165"/>
      <c r="BJ14" s="165"/>
      <c r="BK14" s="165"/>
      <c r="BL14" s="165"/>
      <c r="BM14" s="165"/>
      <c r="BN14" s="165"/>
      <c r="BO14" s="165"/>
      <c r="BP14" s="165"/>
      <c r="BQ14" s="165"/>
      <c r="BR14" s="165"/>
      <c r="BS14" s="165"/>
      <c r="BT14" s="165"/>
      <c r="BU14" s="165"/>
      <c r="BV14" s="165"/>
      <c r="BW14" s="165"/>
      <c r="BX14" s="165"/>
      <c r="BY14" s="165"/>
      <c r="BZ14" s="1430"/>
      <c r="CA14" s="1430"/>
      <c r="CB14" s="1429"/>
      <c r="CC14" s="1429"/>
      <c r="CD14" s="1429"/>
      <c r="CE14" s="1429"/>
      <c r="CF14" s="1429"/>
      <c r="CG14" s="1429"/>
      <c r="CH14" s="1432"/>
      <c r="CI14" s="1432"/>
      <c r="CJ14" s="1432"/>
      <c r="CK14" s="1432"/>
      <c r="CL14" s="1432"/>
      <c r="CM14" s="1432"/>
      <c r="CN14" s="1432"/>
      <c r="CO14" s="1432"/>
    </row>
    <row r="15" spans="1:93" ht="16.2" customHeight="1" thickBot="1" x14ac:dyDescent="0.35">
      <c r="A15" s="7318"/>
      <c r="B15" s="10535" t="s">
        <v>24</v>
      </c>
      <c r="C15" s="10536"/>
      <c r="D15" s="10537"/>
      <c r="E15" s="1240">
        <f>SUM(F15+G15)</f>
        <v>0</v>
      </c>
      <c r="F15" s="1241">
        <f t="shared" ref="F15:G15" si="0">SUM(H15+J15+L15+N15+P15+R15+T15+V15+X15+Z15+AB15)</f>
        <v>0</v>
      </c>
      <c r="G15" s="1242">
        <f t="shared" si="0"/>
        <v>0</v>
      </c>
      <c r="H15" s="1243">
        <f t="shared" ref="H15:AA15" si="1">SUM(H12:H14)</f>
        <v>0</v>
      </c>
      <c r="I15" s="1244">
        <f t="shared" si="1"/>
        <v>0</v>
      </c>
      <c r="J15" s="3198">
        <f t="shared" si="1"/>
        <v>0</v>
      </c>
      <c r="K15" s="3194">
        <f t="shared" si="1"/>
        <v>0</v>
      </c>
      <c r="L15" s="3198">
        <f t="shared" si="1"/>
        <v>0</v>
      </c>
      <c r="M15" s="3194">
        <f t="shared" si="1"/>
        <v>0</v>
      </c>
      <c r="N15" s="3198">
        <f t="shared" si="1"/>
        <v>0</v>
      </c>
      <c r="O15" s="3194">
        <f t="shared" si="1"/>
        <v>0</v>
      </c>
      <c r="P15" s="3198">
        <f t="shared" si="1"/>
        <v>0</v>
      </c>
      <c r="Q15" s="3194">
        <f t="shared" si="1"/>
        <v>0</v>
      </c>
      <c r="R15" s="3198">
        <f t="shared" si="1"/>
        <v>0</v>
      </c>
      <c r="S15" s="3194">
        <f t="shared" si="1"/>
        <v>0</v>
      </c>
      <c r="T15" s="3198">
        <f t="shared" si="1"/>
        <v>0</v>
      </c>
      <c r="U15" s="3194">
        <f t="shared" si="1"/>
        <v>0</v>
      </c>
      <c r="V15" s="3198">
        <f t="shared" si="1"/>
        <v>0</v>
      </c>
      <c r="W15" s="3194">
        <f t="shared" si="1"/>
        <v>0</v>
      </c>
      <c r="X15" s="3198">
        <f t="shared" si="1"/>
        <v>0</v>
      </c>
      <c r="Y15" s="3194">
        <f t="shared" si="1"/>
        <v>0</v>
      </c>
      <c r="Z15" s="3198">
        <f t="shared" si="1"/>
        <v>0</v>
      </c>
      <c r="AA15" s="3194">
        <f t="shared" si="1"/>
        <v>0</v>
      </c>
      <c r="AB15" s="3198">
        <f>SUM(AB12:AB14)</f>
        <v>0</v>
      </c>
      <c r="AC15" s="3194">
        <f>SUM(AC12:AC14)</f>
        <v>0</v>
      </c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5"/>
      <c r="AX15" s="165"/>
      <c r="AY15" s="165"/>
      <c r="AZ15" s="165"/>
      <c r="BA15" s="165"/>
      <c r="BB15" s="165"/>
      <c r="BC15" s="165"/>
      <c r="BD15" s="165"/>
      <c r="BE15" s="165"/>
      <c r="BF15" s="165"/>
      <c r="BG15" s="165"/>
      <c r="BH15" s="165"/>
      <c r="BI15" s="165"/>
      <c r="BJ15" s="165"/>
      <c r="BK15" s="165"/>
      <c r="BL15" s="165"/>
      <c r="BM15" s="165"/>
      <c r="BN15" s="165"/>
      <c r="BO15" s="165"/>
      <c r="BP15" s="165"/>
      <c r="BQ15" s="165"/>
      <c r="BR15" s="165"/>
      <c r="BS15" s="165"/>
      <c r="BT15" s="165"/>
      <c r="BU15" s="165"/>
      <c r="BV15" s="165"/>
      <c r="BW15" s="165"/>
      <c r="BX15" s="165"/>
      <c r="BY15" s="165"/>
      <c r="BZ15" s="1430"/>
      <c r="CA15" s="1430"/>
      <c r="CB15" s="1429"/>
      <c r="CC15" s="1429"/>
      <c r="CD15" s="1429"/>
      <c r="CE15" s="1429"/>
      <c r="CF15" s="1429"/>
      <c r="CG15" s="1429"/>
      <c r="CH15" s="1432"/>
      <c r="CI15" s="1432"/>
      <c r="CJ15" s="1432"/>
      <c r="CK15" s="1432"/>
      <c r="CL15" s="1432"/>
      <c r="CM15" s="1432"/>
      <c r="CN15" s="1432"/>
      <c r="CO15" s="1432"/>
    </row>
    <row r="16" spans="1:93" ht="16.2" customHeight="1" thickTop="1" x14ac:dyDescent="0.3">
      <c r="A16" s="7258">
        <v>25502201</v>
      </c>
      <c r="B16" s="10538" t="s">
        <v>1991</v>
      </c>
      <c r="C16" s="10539"/>
      <c r="D16" s="10540"/>
      <c r="E16" s="1245" t="s">
        <v>5369</v>
      </c>
      <c r="F16" s="1246" t="s">
        <v>5370</v>
      </c>
      <c r="G16" s="1247" t="s">
        <v>5371</v>
      </c>
      <c r="H16" s="1246" t="s">
        <v>5372</v>
      </c>
      <c r="I16" s="1246" t="s">
        <v>5373</v>
      </c>
      <c r="J16" s="1246" t="s">
        <v>5374</v>
      </c>
      <c r="K16" s="1247" t="s">
        <v>5375</v>
      </c>
      <c r="L16" s="1246" t="s">
        <v>5376</v>
      </c>
      <c r="M16" s="1247" t="s">
        <v>5377</v>
      </c>
      <c r="N16" s="1246" t="s">
        <v>5378</v>
      </c>
      <c r="O16" s="1247" t="s">
        <v>5379</v>
      </c>
      <c r="P16" s="1246" t="s">
        <v>5380</v>
      </c>
      <c r="Q16" s="1247" t="s">
        <v>5381</v>
      </c>
      <c r="R16" s="1246" t="s">
        <v>5382</v>
      </c>
      <c r="S16" s="1247" t="s">
        <v>5383</v>
      </c>
      <c r="T16" s="1246" t="s">
        <v>5384</v>
      </c>
      <c r="U16" s="1247" t="s">
        <v>5385</v>
      </c>
      <c r="V16" s="1246" t="s">
        <v>5386</v>
      </c>
      <c r="W16" s="1247" t="s">
        <v>5387</v>
      </c>
      <c r="X16" s="1246" t="s">
        <v>5388</v>
      </c>
      <c r="Y16" s="1247" t="s">
        <v>5389</v>
      </c>
      <c r="Z16" s="1246" t="s">
        <v>5390</v>
      </c>
      <c r="AA16" s="3195" t="s">
        <v>5391</v>
      </c>
      <c r="AB16" s="1246" t="s">
        <v>5392</v>
      </c>
      <c r="AC16" s="3195" t="s">
        <v>5393</v>
      </c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165"/>
      <c r="AT16" s="165"/>
      <c r="AU16" s="165"/>
      <c r="AV16" s="165"/>
      <c r="AW16" s="165"/>
      <c r="AX16" s="165"/>
      <c r="AY16" s="165"/>
      <c r="AZ16" s="165"/>
      <c r="BA16" s="165"/>
      <c r="BB16" s="165"/>
      <c r="BC16" s="165"/>
      <c r="BD16" s="165"/>
      <c r="BE16" s="165"/>
      <c r="BF16" s="165"/>
      <c r="BG16" s="165"/>
      <c r="BH16" s="165"/>
      <c r="BI16" s="165"/>
      <c r="BJ16" s="165"/>
      <c r="BK16" s="165"/>
      <c r="BL16" s="165"/>
      <c r="BM16" s="165"/>
      <c r="BN16" s="165"/>
      <c r="BO16" s="165"/>
      <c r="BP16" s="165"/>
      <c r="BQ16" s="165"/>
      <c r="BR16" s="165"/>
      <c r="BS16" s="165"/>
      <c r="BT16" s="165"/>
      <c r="BU16" s="165"/>
      <c r="BV16" s="165"/>
      <c r="BW16" s="165"/>
      <c r="BX16" s="165"/>
      <c r="BY16" s="165"/>
      <c r="BZ16" s="1430"/>
      <c r="CA16" s="1430"/>
      <c r="CB16" s="1429"/>
      <c r="CC16" s="1429"/>
      <c r="CD16" s="1429"/>
      <c r="CE16" s="1429"/>
      <c r="CF16" s="1429"/>
      <c r="CG16" s="1429"/>
      <c r="CH16" s="1432"/>
      <c r="CI16" s="1432"/>
      <c r="CJ16" s="1432"/>
      <c r="CK16" s="1432"/>
      <c r="CL16" s="1432"/>
      <c r="CM16" s="1432"/>
      <c r="CN16" s="1432"/>
      <c r="CO16" s="1432"/>
    </row>
    <row r="17" spans="1:95" ht="16.2" customHeight="1" x14ac:dyDescent="0.3">
      <c r="A17" s="7258">
        <v>25502202</v>
      </c>
      <c r="B17" s="10545" t="s">
        <v>1992</v>
      </c>
      <c r="C17" s="10546"/>
      <c r="D17" s="10547"/>
      <c r="E17" s="1239" t="s">
        <v>5369</v>
      </c>
      <c r="F17" s="804" t="s">
        <v>5370</v>
      </c>
      <c r="G17" s="1248" t="s">
        <v>5371</v>
      </c>
      <c r="H17" s="804" t="s">
        <v>5372</v>
      </c>
      <c r="I17" s="804" t="s">
        <v>5373</v>
      </c>
      <c r="J17" s="3199" t="s">
        <v>5374</v>
      </c>
      <c r="K17" s="3197" t="s">
        <v>5375</v>
      </c>
      <c r="L17" s="3199" t="s">
        <v>5376</v>
      </c>
      <c r="M17" s="3197" t="s">
        <v>5377</v>
      </c>
      <c r="N17" s="3199" t="s">
        <v>5378</v>
      </c>
      <c r="O17" s="3197" t="s">
        <v>5379</v>
      </c>
      <c r="P17" s="3199" t="s">
        <v>5380</v>
      </c>
      <c r="Q17" s="3197" t="s">
        <v>5381</v>
      </c>
      <c r="R17" s="3199" t="s">
        <v>5382</v>
      </c>
      <c r="S17" s="3197" t="s">
        <v>5383</v>
      </c>
      <c r="T17" s="3199" t="s">
        <v>5384</v>
      </c>
      <c r="U17" s="3197" t="s">
        <v>5385</v>
      </c>
      <c r="V17" s="3199" t="s">
        <v>5386</v>
      </c>
      <c r="W17" s="3197" t="s">
        <v>5387</v>
      </c>
      <c r="X17" s="3199" t="s">
        <v>5388</v>
      </c>
      <c r="Y17" s="3197" t="s">
        <v>5389</v>
      </c>
      <c r="Z17" s="3199" t="s">
        <v>5390</v>
      </c>
      <c r="AA17" s="3196" t="s">
        <v>5391</v>
      </c>
      <c r="AB17" s="3199" t="s">
        <v>5392</v>
      </c>
      <c r="AC17" s="3196" t="s">
        <v>5393</v>
      </c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65"/>
      <c r="AT17" s="165"/>
      <c r="AU17" s="165"/>
      <c r="AV17" s="165"/>
      <c r="AW17" s="165"/>
      <c r="AX17" s="165"/>
      <c r="AY17" s="165"/>
      <c r="AZ17" s="165"/>
      <c r="BA17" s="165"/>
      <c r="BB17" s="165"/>
      <c r="BC17" s="165"/>
      <c r="BD17" s="165"/>
      <c r="BE17" s="165"/>
      <c r="BF17" s="165"/>
      <c r="BG17" s="165"/>
      <c r="BH17" s="165"/>
      <c r="BI17" s="165"/>
      <c r="BJ17" s="165"/>
      <c r="BK17" s="165"/>
      <c r="BL17" s="165"/>
      <c r="BM17" s="165"/>
      <c r="BN17" s="165"/>
      <c r="BO17" s="165"/>
      <c r="BP17" s="165"/>
      <c r="BQ17" s="165"/>
      <c r="BR17" s="165"/>
      <c r="BS17" s="165"/>
      <c r="BT17" s="165"/>
      <c r="BU17" s="165"/>
      <c r="BV17" s="165"/>
      <c r="BW17" s="165"/>
      <c r="BX17" s="165"/>
      <c r="BY17" s="165"/>
      <c r="BZ17" s="1430"/>
      <c r="CA17" s="1430"/>
      <c r="CB17" s="1429"/>
      <c r="CC17" s="1429"/>
      <c r="CD17" s="1429"/>
      <c r="CE17" s="1429"/>
      <c r="CF17" s="1429"/>
      <c r="CG17" s="1429"/>
      <c r="CH17" s="1432"/>
      <c r="CI17" s="1432"/>
      <c r="CJ17" s="1432"/>
      <c r="CK17" s="1432"/>
      <c r="CL17" s="1432"/>
      <c r="CM17" s="1432"/>
      <c r="CN17" s="1432"/>
      <c r="CO17" s="1432"/>
    </row>
    <row r="18" spans="1:95" ht="31.95" customHeight="1" x14ac:dyDescent="0.3">
      <c r="A18"/>
      <c r="B18" s="7364" t="s">
        <v>3169</v>
      </c>
      <c r="C18" s="7521"/>
      <c r="D18" s="2385"/>
      <c r="E18" s="2385"/>
      <c r="F18" s="2385"/>
      <c r="G18" s="2385"/>
      <c r="H18" s="2385"/>
      <c r="I18" s="2385"/>
      <c r="J18" s="2385"/>
      <c r="K18" s="2385"/>
      <c r="L18" s="2385"/>
      <c r="M18" s="2385"/>
      <c r="N18" s="2385"/>
      <c r="O18" s="2385"/>
      <c r="P18" s="2385"/>
      <c r="Q18" s="2385"/>
      <c r="R18" s="2385"/>
      <c r="S18" s="2385"/>
      <c r="T18" s="2385"/>
      <c r="U18" s="2385"/>
      <c r="V18" s="2385"/>
      <c r="W18" s="2385"/>
      <c r="X18" s="2385"/>
      <c r="Y18" s="2385"/>
      <c r="Z18" s="2385"/>
      <c r="AA18" s="2385"/>
      <c r="AB18" s="2385"/>
      <c r="AC18" s="2385"/>
      <c r="AD18" s="2385"/>
      <c r="AE18" s="238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  <c r="AP18" s="165"/>
      <c r="AQ18" s="165"/>
      <c r="AR18" s="165"/>
      <c r="AS18" s="165"/>
      <c r="AT18" s="165"/>
      <c r="AU18" s="165"/>
      <c r="AV18" s="165"/>
      <c r="AW18" s="165"/>
      <c r="AX18" s="165"/>
      <c r="AY18" s="165"/>
      <c r="AZ18" s="165"/>
      <c r="BA18" s="165"/>
      <c r="BB18" s="165"/>
      <c r="BC18" s="165"/>
      <c r="BD18" s="165"/>
      <c r="BE18" s="165"/>
      <c r="BF18" s="165"/>
      <c r="BG18" s="165"/>
      <c r="BH18" s="165"/>
      <c r="BI18" s="165"/>
      <c r="BJ18" s="165"/>
      <c r="BK18" s="165"/>
      <c r="BL18" s="165"/>
      <c r="BM18" s="165"/>
      <c r="BN18" s="165"/>
      <c r="BO18" s="165"/>
      <c r="BP18" s="165"/>
      <c r="BQ18" s="165"/>
      <c r="BR18" s="165"/>
      <c r="BS18" s="165"/>
      <c r="BT18" s="165"/>
      <c r="BU18" s="165"/>
      <c r="BV18" s="165"/>
      <c r="BW18" s="165"/>
      <c r="BX18" s="165"/>
      <c r="BY18" s="165"/>
      <c r="BZ18" s="1430"/>
      <c r="CA18" s="1430"/>
      <c r="CB18" s="1429"/>
      <c r="CC18" s="1429"/>
      <c r="CD18" s="1429"/>
      <c r="CE18" s="1429"/>
      <c r="CF18" s="1429"/>
      <c r="CG18" s="1429"/>
      <c r="CH18" s="1432"/>
      <c r="CI18" s="1432"/>
      <c r="CJ18" s="1432"/>
      <c r="CK18" s="1432"/>
      <c r="CL18" s="1432"/>
      <c r="CM18" s="1432"/>
      <c r="CN18" s="1432"/>
      <c r="CO18" s="1432"/>
    </row>
    <row r="19" spans="1:95" ht="16.2" customHeight="1" x14ac:dyDescent="0.3">
      <c r="A19"/>
      <c r="B19" s="10548" t="s">
        <v>1814</v>
      </c>
      <c r="C19" s="10548" t="s">
        <v>1984</v>
      </c>
      <c r="D19" s="10548"/>
      <c r="E19" s="10549" t="s">
        <v>24</v>
      </c>
      <c r="F19" s="10550"/>
      <c r="G19" s="10551"/>
      <c r="H19" s="9293" t="s">
        <v>2</v>
      </c>
      <c r="I19" s="9315"/>
      <c r="J19" s="9315"/>
      <c r="K19" s="9315"/>
      <c r="L19" s="9315"/>
      <c r="M19" s="9315"/>
      <c r="N19" s="9315"/>
      <c r="O19" s="9315"/>
      <c r="P19" s="9315"/>
      <c r="Q19" s="9315"/>
      <c r="R19" s="9315"/>
      <c r="S19" s="9315"/>
      <c r="T19" s="9315"/>
      <c r="U19" s="9315"/>
      <c r="V19" s="9315"/>
      <c r="W19" s="9315"/>
      <c r="X19" s="9315"/>
      <c r="Y19" s="9315"/>
      <c r="Z19" s="9315"/>
      <c r="AA19" s="9315"/>
      <c r="AB19" s="9315"/>
      <c r="AC19" s="9315"/>
      <c r="AD19" s="9315"/>
      <c r="AE19" s="9314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5"/>
      <c r="BY19" s="165"/>
      <c r="BZ19" s="165"/>
      <c r="CA19" s="165"/>
      <c r="CB19" s="1430"/>
      <c r="CC19" s="1430"/>
      <c r="CD19" s="1429"/>
      <c r="CE19" s="1429"/>
      <c r="CF19" s="1429"/>
      <c r="CG19" s="1429"/>
      <c r="CH19" s="1429"/>
      <c r="CI19" s="1429"/>
      <c r="CJ19" s="1432"/>
      <c r="CK19" s="1432"/>
      <c r="CL19" s="1432"/>
      <c r="CM19" s="1432"/>
      <c r="CN19" s="1432"/>
      <c r="CO19" s="1432"/>
      <c r="CP19" s="1432"/>
      <c r="CQ19" s="1432"/>
    </row>
    <row r="20" spans="1:95" ht="16.2" customHeight="1" x14ac:dyDescent="0.3">
      <c r="A20"/>
      <c r="B20" s="10548"/>
      <c r="C20" s="10548"/>
      <c r="D20" s="10548"/>
      <c r="E20" s="10522"/>
      <c r="F20" s="10552"/>
      <c r="G20" s="10552"/>
      <c r="H20" s="10508" t="s">
        <v>3522</v>
      </c>
      <c r="I20" s="10509"/>
      <c r="J20" s="10517" t="s">
        <v>2565</v>
      </c>
      <c r="K20" s="10517"/>
      <c r="L20" s="10517" t="s">
        <v>50</v>
      </c>
      <c r="M20" s="10517"/>
      <c r="N20" s="10517" t="s">
        <v>3480</v>
      </c>
      <c r="O20" s="10517"/>
      <c r="P20" s="10517" t="s">
        <v>3481</v>
      </c>
      <c r="Q20" s="10517"/>
      <c r="R20" s="10517" t="s">
        <v>3482</v>
      </c>
      <c r="S20" s="10517"/>
      <c r="T20" s="10517" t="s">
        <v>3483</v>
      </c>
      <c r="U20" s="10517"/>
      <c r="V20" s="10517" t="s">
        <v>3484</v>
      </c>
      <c r="W20" s="10517"/>
      <c r="X20" s="10517" t="s">
        <v>3485</v>
      </c>
      <c r="Y20" s="10517"/>
      <c r="Z20" s="10517" t="s">
        <v>2272</v>
      </c>
      <c r="AA20" s="10517"/>
      <c r="AB20" s="10517" t="s">
        <v>2132</v>
      </c>
      <c r="AC20" s="10517"/>
      <c r="AD20" s="10517" t="s">
        <v>2808</v>
      </c>
      <c r="AE20" s="10517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430"/>
      <c r="CC20" s="1430"/>
      <c r="CD20" s="1429"/>
      <c r="CE20" s="1429"/>
      <c r="CF20" s="1429"/>
      <c r="CG20" s="1429"/>
      <c r="CH20" s="1429"/>
      <c r="CI20" s="1429"/>
      <c r="CJ20" s="1432"/>
      <c r="CK20" s="1432"/>
      <c r="CL20" s="1432"/>
      <c r="CM20" s="1432"/>
      <c r="CN20" s="1432"/>
      <c r="CO20" s="1432"/>
      <c r="CP20" s="1432"/>
      <c r="CQ20" s="1432"/>
    </row>
    <row r="21" spans="1:95" ht="16.2" customHeight="1" x14ac:dyDescent="0.3">
      <c r="A21"/>
      <c r="B21" s="10548"/>
      <c r="C21" s="10548"/>
      <c r="D21" s="10548"/>
      <c r="E21" s="7522" t="s">
        <v>42</v>
      </c>
      <c r="F21" s="7523" t="s">
        <v>17</v>
      </c>
      <c r="G21" s="7524" t="s">
        <v>18</v>
      </c>
      <c r="H21" s="7525" t="s">
        <v>17</v>
      </c>
      <c r="I21" s="7526" t="s">
        <v>18</v>
      </c>
      <c r="J21" s="7525" t="s">
        <v>17</v>
      </c>
      <c r="K21" s="7526" t="s">
        <v>18</v>
      </c>
      <c r="L21" s="7525" t="s">
        <v>17</v>
      </c>
      <c r="M21" s="7527" t="s">
        <v>18</v>
      </c>
      <c r="N21" s="7525" t="s">
        <v>17</v>
      </c>
      <c r="O21" s="7526" t="s">
        <v>18</v>
      </c>
      <c r="P21" s="7525" t="s">
        <v>17</v>
      </c>
      <c r="Q21" s="7526" t="s">
        <v>18</v>
      </c>
      <c r="R21" s="7525" t="s">
        <v>17</v>
      </c>
      <c r="S21" s="7526" t="s">
        <v>18</v>
      </c>
      <c r="T21" s="7525" t="s">
        <v>17</v>
      </c>
      <c r="U21" s="7526" t="s">
        <v>18</v>
      </c>
      <c r="V21" s="7525" t="s">
        <v>17</v>
      </c>
      <c r="W21" s="7526" t="s">
        <v>18</v>
      </c>
      <c r="X21" s="7525" t="s">
        <v>17</v>
      </c>
      <c r="Y21" s="7526" t="s">
        <v>18</v>
      </c>
      <c r="Z21" s="7525" t="s">
        <v>17</v>
      </c>
      <c r="AA21" s="7526" t="s">
        <v>18</v>
      </c>
      <c r="AB21" s="7525" t="s">
        <v>17</v>
      </c>
      <c r="AC21" s="7526" t="s">
        <v>18</v>
      </c>
      <c r="AD21" s="7525" t="s">
        <v>17</v>
      </c>
      <c r="AE21" s="7526" t="s">
        <v>18</v>
      </c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5"/>
      <c r="AY21" s="165"/>
      <c r="AZ21" s="165"/>
      <c r="BA21" s="165"/>
      <c r="BB21" s="165"/>
      <c r="BC21" s="165"/>
      <c r="BD21" s="165"/>
      <c r="BE21" s="165"/>
      <c r="BF21" s="165"/>
      <c r="BG21" s="165"/>
      <c r="BH21" s="165"/>
      <c r="BI21" s="165"/>
      <c r="BJ21" s="165"/>
      <c r="BK21" s="165"/>
      <c r="BL21" s="165"/>
      <c r="BM21" s="165"/>
      <c r="BN21" s="165"/>
      <c r="BO21" s="165"/>
      <c r="BP21" s="165"/>
      <c r="BQ21" s="165"/>
      <c r="BR21" s="165"/>
      <c r="BS21" s="165"/>
      <c r="BT21" s="165"/>
      <c r="BU21" s="165"/>
      <c r="BV21" s="165"/>
      <c r="BW21" s="165"/>
      <c r="BX21" s="165"/>
      <c r="BY21" s="165"/>
      <c r="BZ21" s="165"/>
      <c r="CA21" s="165"/>
      <c r="CB21" s="1430"/>
      <c r="CC21" s="1430"/>
      <c r="CD21" s="1429"/>
      <c r="CE21" s="1429"/>
      <c r="CF21" s="1429"/>
      <c r="CG21" s="1429"/>
      <c r="CH21" s="1429"/>
      <c r="CI21" s="1429"/>
      <c r="CJ21" s="1432"/>
      <c r="CK21" s="1432"/>
      <c r="CL21" s="1432"/>
      <c r="CM21" s="1432"/>
      <c r="CN21" s="1432"/>
      <c r="CO21" s="1432"/>
      <c r="CP21" s="1432"/>
      <c r="CQ21" s="1432"/>
    </row>
    <row r="22" spans="1:95" ht="16.2" customHeight="1" x14ac:dyDescent="0.3">
      <c r="A22" s="7320">
        <v>29101388</v>
      </c>
      <c r="B22" s="10541" t="s">
        <v>1986</v>
      </c>
      <c r="C22" s="10543" t="s">
        <v>1987</v>
      </c>
      <c r="D22" s="7528" t="s">
        <v>3170</v>
      </c>
      <c r="E22" s="7529" t="s">
        <v>5369</v>
      </c>
      <c r="F22" s="7530" t="s">
        <v>5370</v>
      </c>
      <c r="G22" s="7531" t="s">
        <v>5371</v>
      </c>
      <c r="H22" s="7532" t="s">
        <v>5372</v>
      </c>
      <c r="I22" s="7533" t="s">
        <v>5373</v>
      </c>
      <c r="J22" s="7532" t="s">
        <v>5374</v>
      </c>
      <c r="K22" s="7533" t="s">
        <v>5375</v>
      </c>
      <c r="L22" s="7534" t="s">
        <v>5376</v>
      </c>
      <c r="M22" s="7535" t="s">
        <v>5377</v>
      </c>
      <c r="N22" s="7536" t="s">
        <v>5378</v>
      </c>
      <c r="O22" s="7537" t="s">
        <v>5379</v>
      </c>
      <c r="P22" s="7536" t="s">
        <v>5380</v>
      </c>
      <c r="Q22" s="7537" t="s">
        <v>5381</v>
      </c>
      <c r="R22" s="7536" t="s">
        <v>5382</v>
      </c>
      <c r="S22" s="7537" t="s">
        <v>5383</v>
      </c>
      <c r="T22" s="7536" t="s">
        <v>5384</v>
      </c>
      <c r="U22" s="7537" t="s">
        <v>5385</v>
      </c>
      <c r="V22" s="7536" t="s">
        <v>5386</v>
      </c>
      <c r="W22" s="7537" t="s">
        <v>5387</v>
      </c>
      <c r="X22" s="7536" t="s">
        <v>5388</v>
      </c>
      <c r="Y22" s="7537" t="s">
        <v>5389</v>
      </c>
      <c r="Z22" s="7536" t="s">
        <v>5390</v>
      </c>
      <c r="AA22" s="7537" t="s">
        <v>5391</v>
      </c>
      <c r="AB22" s="7534" t="s">
        <v>5392</v>
      </c>
      <c r="AC22" s="7537" t="s">
        <v>5393</v>
      </c>
      <c r="AD22" s="7534" t="s">
        <v>5394</v>
      </c>
      <c r="AE22" s="7537" t="s">
        <v>5395</v>
      </c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  <c r="BA22" s="165"/>
      <c r="BB22" s="165"/>
      <c r="BC22" s="165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165"/>
      <c r="BP22" s="165"/>
      <c r="BQ22" s="165"/>
      <c r="BR22" s="165"/>
      <c r="BS22" s="165"/>
      <c r="BT22" s="165"/>
      <c r="BU22" s="165"/>
      <c r="BV22" s="165"/>
      <c r="BW22" s="165"/>
      <c r="BX22" s="165"/>
      <c r="BY22" s="165"/>
      <c r="BZ22" s="165"/>
      <c r="CA22" s="165"/>
      <c r="CB22" s="1430"/>
      <c r="CC22" s="1430"/>
      <c r="CD22" s="1429"/>
      <c r="CE22" s="1429"/>
      <c r="CF22" s="1429"/>
      <c r="CG22" s="1429"/>
      <c r="CH22" s="1429"/>
      <c r="CI22" s="1429"/>
      <c r="CJ22" s="1432"/>
      <c r="CK22" s="1432"/>
      <c r="CL22" s="1432"/>
      <c r="CM22" s="1432"/>
      <c r="CN22" s="1432"/>
      <c r="CO22" s="1432"/>
      <c r="CP22" s="1432"/>
      <c r="CQ22" s="1432"/>
    </row>
    <row r="23" spans="1:95" ht="16.2" customHeight="1" x14ac:dyDescent="0.3">
      <c r="A23" s="7320">
        <v>29101389</v>
      </c>
      <c r="B23" s="10541"/>
      <c r="C23" s="10544"/>
      <c r="D23" s="7538" t="s">
        <v>3171</v>
      </c>
      <c r="E23" s="7539" t="s">
        <v>5369</v>
      </c>
      <c r="F23" s="7540" t="s">
        <v>5370</v>
      </c>
      <c r="G23" s="7541" t="s">
        <v>5371</v>
      </c>
      <c r="H23" s="7542" t="s">
        <v>5372</v>
      </c>
      <c r="I23" s="7543" t="s">
        <v>5373</v>
      </c>
      <c r="J23" s="7542" t="s">
        <v>5374</v>
      </c>
      <c r="K23" s="7543" t="s">
        <v>5375</v>
      </c>
      <c r="L23" s="7544" t="s">
        <v>5376</v>
      </c>
      <c r="M23" s="7545" t="s">
        <v>5377</v>
      </c>
      <c r="N23" s="7546" t="s">
        <v>5378</v>
      </c>
      <c r="O23" s="7547" t="s">
        <v>5379</v>
      </c>
      <c r="P23" s="7546" t="s">
        <v>5380</v>
      </c>
      <c r="Q23" s="7547" t="s">
        <v>5381</v>
      </c>
      <c r="R23" s="7546" t="s">
        <v>5382</v>
      </c>
      <c r="S23" s="7547" t="s">
        <v>5383</v>
      </c>
      <c r="T23" s="7546" t="s">
        <v>5384</v>
      </c>
      <c r="U23" s="7547" t="s">
        <v>5385</v>
      </c>
      <c r="V23" s="7546" t="s">
        <v>5386</v>
      </c>
      <c r="W23" s="7547" t="s">
        <v>5387</v>
      </c>
      <c r="X23" s="7546" t="s">
        <v>5388</v>
      </c>
      <c r="Y23" s="7547" t="s">
        <v>5389</v>
      </c>
      <c r="Z23" s="7546" t="s">
        <v>5390</v>
      </c>
      <c r="AA23" s="7547" t="s">
        <v>5391</v>
      </c>
      <c r="AB23" s="7546" t="s">
        <v>5392</v>
      </c>
      <c r="AC23" s="7547" t="s">
        <v>5393</v>
      </c>
      <c r="AD23" s="7546" t="s">
        <v>5394</v>
      </c>
      <c r="AE23" s="7547" t="s">
        <v>5395</v>
      </c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430"/>
      <c r="CC23" s="1430"/>
      <c r="CD23" s="1429"/>
      <c r="CE23" s="1429"/>
      <c r="CF23" s="1429"/>
      <c r="CG23" s="1429"/>
      <c r="CH23" s="1429"/>
      <c r="CI23" s="1429"/>
      <c r="CJ23" s="1432"/>
      <c r="CK23" s="1432"/>
      <c r="CL23" s="1432"/>
      <c r="CM23" s="1432"/>
      <c r="CN23" s="1432"/>
      <c r="CO23" s="1432"/>
      <c r="CP23" s="1432"/>
      <c r="CQ23" s="1432"/>
    </row>
    <row r="24" spans="1:95" ht="16.2" customHeight="1" x14ac:dyDescent="0.3">
      <c r="A24" s="7320">
        <v>29101390</v>
      </c>
      <c r="B24" s="10541"/>
      <c r="C24" s="10543" t="s">
        <v>1989</v>
      </c>
      <c r="D24" s="7528" t="s">
        <v>3170</v>
      </c>
      <c r="E24" s="7548" t="s">
        <v>5369</v>
      </c>
      <c r="F24" s="7530" t="s">
        <v>5370</v>
      </c>
      <c r="G24" s="7531" t="s">
        <v>5371</v>
      </c>
      <c r="H24" s="7549" t="s">
        <v>5372</v>
      </c>
      <c r="I24" s="7550" t="s">
        <v>5373</v>
      </c>
      <c r="J24" s="7549" t="s">
        <v>5374</v>
      </c>
      <c r="K24" s="7550" t="s">
        <v>5375</v>
      </c>
      <c r="L24" s="7549" t="s">
        <v>5376</v>
      </c>
      <c r="M24" s="7551" t="s">
        <v>5377</v>
      </c>
      <c r="N24" s="7552" t="s">
        <v>5378</v>
      </c>
      <c r="O24" s="7550" t="s">
        <v>5379</v>
      </c>
      <c r="P24" s="7552" t="s">
        <v>5380</v>
      </c>
      <c r="Q24" s="7550" t="s">
        <v>5381</v>
      </c>
      <c r="R24" s="7552" t="s">
        <v>5382</v>
      </c>
      <c r="S24" s="7550" t="s">
        <v>5383</v>
      </c>
      <c r="T24" s="7552" t="s">
        <v>5384</v>
      </c>
      <c r="U24" s="7550" t="s">
        <v>5385</v>
      </c>
      <c r="V24" s="7552" t="s">
        <v>5386</v>
      </c>
      <c r="W24" s="7550" t="s">
        <v>5387</v>
      </c>
      <c r="X24" s="7552" t="s">
        <v>5388</v>
      </c>
      <c r="Y24" s="7550" t="s">
        <v>5389</v>
      </c>
      <c r="Z24" s="7552" t="s">
        <v>5390</v>
      </c>
      <c r="AA24" s="7550" t="s">
        <v>5391</v>
      </c>
      <c r="AB24" s="7552" t="s">
        <v>5392</v>
      </c>
      <c r="AC24" s="7550" t="s">
        <v>5393</v>
      </c>
      <c r="AD24" s="7552" t="s">
        <v>5394</v>
      </c>
      <c r="AE24" s="7550" t="s">
        <v>5395</v>
      </c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  <c r="AV24" s="165"/>
      <c r="AW24" s="165"/>
      <c r="AX24" s="165"/>
      <c r="AY24" s="165"/>
      <c r="AZ24" s="165"/>
      <c r="BA24" s="165"/>
      <c r="BB24" s="165"/>
      <c r="BC24" s="165"/>
      <c r="BD24" s="165"/>
      <c r="BE24" s="165"/>
      <c r="BF24" s="165"/>
      <c r="BG24" s="165"/>
      <c r="BH24" s="165"/>
      <c r="BI24" s="165"/>
      <c r="BJ24" s="165"/>
      <c r="BK24" s="165"/>
      <c r="BL24" s="165"/>
      <c r="BM24" s="165"/>
      <c r="BN24" s="165"/>
      <c r="BO24" s="165"/>
      <c r="BP24" s="165"/>
      <c r="BQ24" s="165"/>
      <c r="BR24" s="165"/>
      <c r="BS24" s="165"/>
      <c r="BT24" s="165"/>
      <c r="BU24" s="165"/>
      <c r="BV24" s="165"/>
      <c r="BW24" s="165"/>
      <c r="BX24" s="165"/>
      <c r="BY24" s="165"/>
      <c r="BZ24" s="165"/>
      <c r="CA24" s="165"/>
      <c r="CB24" s="1430"/>
      <c r="CC24" s="1430"/>
      <c r="CD24" s="1429"/>
      <c r="CE24" s="1429"/>
      <c r="CF24" s="1429"/>
      <c r="CG24" s="1429"/>
      <c r="CH24" s="1429"/>
      <c r="CI24" s="1429"/>
      <c r="CJ24" s="1432"/>
      <c r="CK24" s="1432"/>
      <c r="CL24" s="1432"/>
      <c r="CM24" s="1432"/>
      <c r="CN24" s="1432"/>
      <c r="CO24" s="1432"/>
      <c r="CP24" s="1432"/>
      <c r="CQ24" s="1432"/>
    </row>
    <row r="25" spans="1:95" ht="16.2" customHeight="1" x14ac:dyDescent="0.3">
      <c r="A25" s="7320">
        <v>29101391</v>
      </c>
      <c r="B25" s="10542"/>
      <c r="C25" s="10544"/>
      <c r="D25" s="7538" t="s">
        <v>3171</v>
      </c>
      <c r="E25" s="7539" t="s">
        <v>5369</v>
      </c>
      <c r="F25" s="7540" t="s">
        <v>5370</v>
      </c>
      <c r="G25" s="7541" t="s">
        <v>5371</v>
      </c>
      <c r="H25" s="7542" t="s">
        <v>5372</v>
      </c>
      <c r="I25" s="7543" t="s">
        <v>5373</v>
      </c>
      <c r="J25" s="7542" t="s">
        <v>5374</v>
      </c>
      <c r="K25" s="7543" t="s">
        <v>5375</v>
      </c>
      <c r="L25" s="7542" t="s">
        <v>5376</v>
      </c>
      <c r="M25" s="7553" t="s">
        <v>5377</v>
      </c>
      <c r="N25" s="7554" t="s">
        <v>5378</v>
      </c>
      <c r="O25" s="7543" t="s">
        <v>5379</v>
      </c>
      <c r="P25" s="7554" t="s">
        <v>5380</v>
      </c>
      <c r="Q25" s="7543" t="s">
        <v>5381</v>
      </c>
      <c r="R25" s="7554" t="s">
        <v>5382</v>
      </c>
      <c r="S25" s="7543" t="s">
        <v>5383</v>
      </c>
      <c r="T25" s="7554" t="s">
        <v>5384</v>
      </c>
      <c r="U25" s="7543" t="s">
        <v>5385</v>
      </c>
      <c r="V25" s="7554" t="s">
        <v>5386</v>
      </c>
      <c r="W25" s="7543" t="s">
        <v>5387</v>
      </c>
      <c r="X25" s="7554" t="s">
        <v>5388</v>
      </c>
      <c r="Y25" s="7543" t="s">
        <v>5389</v>
      </c>
      <c r="Z25" s="7554" t="s">
        <v>5390</v>
      </c>
      <c r="AA25" s="7543" t="s">
        <v>5391</v>
      </c>
      <c r="AB25" s="7554" t="s">
        <v>5392</v>
      </c>
      <c r="AC25" s="7543" t="s">
        <v>5393</v>
      </c>
      <c r="AD25" s="7554" t="s">
        <v>5394</v>
      </c>
      <c r="AE25" s="7543" t="s">
        <v>5395</v>
      </c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5"/>
      <c r="AS25" s="165"/>
      <c r="AT25" s="165"/>
      <c r="AU25" s="165"/>
      <c r="AV25" s="165"/>
      <c r="AW25" s="165"/>
      <c r="AX25" s="165"/>
      <c r="AY25" s="165"/>
      <c r="AZ25" s="165"/>
      <c r="BA25" s="165"/>
      <c r="BB25" s="165"/>
      <c r="BC25" s="165"/>
      <c r="BD25" s="165"/>
      <c r="BE25" s="165"/>
      <c r="BF25" s="165"/>
      <c r="BG25" s="165"/>
      <c r="BH25" s="165"/>
      <c r="BI25" s="165"/>
      <c r="BJ25" s="165"/>
      <c r="BK25" s="165"/>
      <c r="BL25" s="165"/>
      <c r="BM25" s="165"/>
      <c r="BN25" s="165"/>
      <c r="BO25" s="165"/>
      <c r="BP25" s="165"/>
      <c r="BQ25" s="165"/>
      <c r="BR25" s="165"/>
      <c r="BS25" s="165"/>
      <c r="BT25" s="165"/>
      <c r="BU25" s="165"/>
      <c r="BV25" s="165"/>
      <c r="BW25" s="165"/>
      <c r="BX25" s="165"/>
      <c r="BY25" s="165"/>
      <c r="BZ25" s="165"/>
      <c r="CA25" s="165"/>
      <c r="CB25" s="1430"/>
      <c r="CC25" s="1430"/>
      <c r="CD25" s="1429"/>
      <c r="CE25" s="1429"/>
      <c r="CF25" s="1429"/>
      <c r="CG25" s="1429"/>
      <c r="CH25" s="1429"/>
      <c r="CI25" s="1429"/>
      <c r="CJ25" s="1432"/>
      <c r="CK25" s="1432"/>
      <c r="CL25" s="1432"/>
      <c r="CM25" s="1432"/>
      <c r="CN25" s="1432"/>
      <c r="CO25" s="1432"/>
      <c r="CP25" s="1432"/>
      <c r="CQ25" s="1432"/>
    </row>
    <row r="26" spans="1:95" ht="16.2" customHeight="1" x14ac:dyDescent="0.3">
      <c r="A26" s="7320">
        <v>29101392</v>
      </c>
      <c r="B26" s="10521" t="s">
        <v>1990</v>
      </c>
      <c r="C26" s="9310"/>
      <c r="D26" s="7528" t="s">
        <v>3170</v>
      </c>
      <c r="E26" s="7555" t="s">
        <v>5369</v>
      </c>
      <c r="F26" s="7530" t="s">
        <v>5370</v>
      </c>
      <c r="G26" s="7531" t="s">
        <v>5371</v>
      </c>
      <c r="H26" s="7556" t="s">
        <v>5372</v>
      </c>
      <c r="I26" s="7557" t="s">
        <v>5373</v>
      </c>
      <c r="J26" s="7556" t="s">
        <v>5374</v>
      </c>
      <c r="K26" s="7557" t="s">
        <v>5375</v>
      </c>
      <c r="L26" s="7558" t="s">
        <v>5376</v>
      </c>
      <c r="M26" s="7559" t="s">
        <v>5377</v>
      </c>
      <c r="N26" s="7556" t="s">
        <v>5378</v>
      </c>
      <c r="O26" s="7557" t="s">
        <v>5379</v>
      </c>
      <c r="P26" s="7556" t="s">
        <v>5380</v>
      </c>
      <c r="Q26" s="7557" t="s">
        <v>5381</v>
      </c>
      <c r="R26" s="7556" t="s">
        <v>5382</v>
      </c>
      <c r="S26" s="7557" t="s">
        <v>5383</v>
      </c>
      <c r="T26" s="7556" t="s">
        <v>5384</v>
      </c>
      <c r="U26" s="7557" t="s">
        <v>5385</v>
      </c>
      <c r="V26" s="7556" t="s">
        <v>5386</v>
      </c>
      <c r="W26" s="7557" t="s">
        <v>5387</v>
      </c>
      <c r="X26" s="7556" t="s">
        <v>5388</v>
      </c>
      <c r="Y26" s="7557" t="s">
        <v>5389</v>
      </c>
      <c r="Z26" s="7556" t="s">
        <v>5390</v>
      </c>
      <c r="AA26" s="7557" t="s">
        <v>5391</v>
      </c>
      <c r="AB26" s="7556" t="s">
        <v>5392</v>
      </c>
      <c r="AC26" s="7557" t="s">
        <v>5393</v>
      </c>
      <c r="AD26" s="7556" t="s">
        <v>5394</v>
      </c>
      <c r="AE26" s="7557" t="s">
        <v>5395</v>
      </c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430"/>
      <c r="CC26" s="1430"/>
      <c r="CD26" s="1429"/>
      <c r="CE26" s="1429"/>
      <c r="CF26" s="1429"/>
      <c r="CG26" s="1429"/>
      <c r="CH26" s="1429"/>
      <c r="CI26" s="1429"/>
      <c r="CJ26" s="1432"/>
      <c r="CK26" s="1432"/>
      <c r="CL26" s="1432"/>
      <c r="CM26" s="1432"/>
      <c r="CN26" s="1432"/>
      <c r="CO26" s="1432"/>
      <c r="CP26" s="1432"/>
      <c r="CQ26" s="1432"/>
    </row>
    <row r="27" spans="1:95" ht="16.2" customHeight="1" x14ac:dyDescent="0.3">
      <c r="A27" s="7320">
        <v>29101393</v>
      </c>
      <c r="B27" s="10522"/>
      <c r="C27" s="10523"/>
      <c r="D27" s="7538" t="s">
        <v>3171</v>
      </c>
      <c r="E27" s="7539" t="s">
        <v>5369</v>
      </c>
      <c r="F27" s="7540" t="s">
        <v>5370</v>
      </c>
      <c r="G27" s="7541" t="s">
        <v>5371</v>
      </c>
      <c r="H27" s="7554" t="s">
        <v>5372</v>
      </c>
      <c r="I27" s="7543" t="s">
        <v>5373</v>
      </c>
      <c r="J27" s="7554" t="s">
        <v>5374</v>
      </c>
      <c r="K27" s="7543" t="s">
        <v>5375</v>
      </c>
      <c r="L27" s="7542" t="s">
        <v>5376</v>
      </c>
      <c r="M27" s="7553" t="s">
        <v>5377</v>
      </c>
      <c r="N27" s="7554" t="s">
        <v>5378</v>
      </c>
      <c r="O27" s="7543" t="s">
        <v>5379</v>
      </c>
      <c r="P27" s="7554" t="s">
        <v>5380</v>
      </c>
      <c r="Q27" s="7543" t="s">
        <v>5381</v>
      </c>
      <c r="R27" s="7554" t="s">
        <v>5382</v>
      </c>
      <c r="S27" s="7543" t="s">
        <v>5383</v>
      </c>
      <c r="T27" s="7554" t="s">
        <v>5384</v>
      </c>
      <c r="U27" s="7543" t="s">
        <v>5385</v>
      </c>
      <c r="V27" s="7554" t="s">
        <v>5386</v>
      </c>
      <c r="W27" s="7543" t="s">
        <v>5387</v>
      </c>
      <c r="X27" s="7554" t="s">
        <v>5388</v>
      </c>
      <c r="Y27" s="7543" t="s">
        <v>5389</v>
      </c>
      <c r="Z27" s="7554" t="s">
        <v>5390</v>
      </c>
      <c r="AA27" s="7543" t="s">
        <v>5391</v>
      </c>
      <c r="AB27" s="7554" t="s">
        <v>5392</v>
      </c>
      <c r="AC27" s="7543" t="s">
        <v>5393</v>
      </c>
      <c r="AD27" s="7554" t="s">
        <v>5394</v>
      </c>
      <c r="AE27" s="7543" t="s">
        <v>5395</v>
      </c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5"/>
      <c r="CB27" s="1430"/>
      <c r="CC27" s="1430"/>
      <c r="CD27" s="1429"/>
      <c r="CE27" s="1429"/>
      <c r="CF27" s="1429"/>
      <c r="CG27" s="1429"/>
      <c r="CH27" s="1429"/>
      <c r="CI27" s="1429"/>
      <c r="CJ27" s="1432"/>
      <c r="CK27" s="1432"/>
      <c r="CL27" s="1432"/>
      <c r="CM27" s="1432"/>
      <c r="CN27" s="1432"/>
      <c r="CO27" s="1432"/>
      <c r="CP27" s="1432"/>
      <c r="CQ27" s="1432"/>
    </row>
    <row r="28" spans="1:95" ht="16.2" customHeight="1" x14ac:dyDescent="0.3">
      <c r="A28" s="7519"/>
      <c r="B28" s="10524" t="s">
        <v>24</v>
      </c>
      <c r="C28" s="10525"/>
      <c r="D28" s="10526"/>
      <c r="E28" s="7560">
        <f>SUM(E22:E27)</f>
        <v>0</v>
      </c>
      <c r="F28" s="7561">
        <f>SUM(F22:F27)</f>
        <v>0</v>
      </c>
      <c r="G28" s="7562">
        <f>SUM(G22:G27)</f>
        <v>0</v>
      </c>
      <c r="H28" s="7563">
        <f>SUM(H22:H27)</f>
        <v>0</v>
      </c>
      <c r="I28" s="7564">
        <f>SUM(I22:I27)</f>
        <v>0</v>
      </c>
      <c r="J28" s="7563">
        <f t="shared" ref="J28:AC28" si="2">SUM(J22:J27)</f>
        <v>0</v>
      </c>
      <c r="K28" s="7564">
        <f t="shared" si="2"/>
        <v>0</v>
      </c>
      <c r="L28" s="7565">
        <f t="shared" si="2"/>
        <v>0</v>
      </c>
      <c r="M28" s="7566">
        <f t="shared" si="2"/>
        <v>0</v>
      </c>
      <c r="N28" s="7563">
        <f t="shared" si="2"/>
        <v>0</v>
      </c>
      <c r="O28" s="7564">
        <f t="shared" si="2"/>
        <v>0</v>
      </c>
      <c r="P28" s="7563">
        <f t="shared" si="2"/>
        <v>0</v>
      </c>
      <c r="Q28" s="7564">
        <f t="shared" si="2"/>
        <v>0</v>
      </c>
      <c r="R28" s="7563">
        <f t="shared" si="2"/>
        <v>0</v>
      </c>
      <c r="S28" s="7564">
        <f t="shared" si="2"/>
        <v>0</v>
      </c>
      <c r="T28" s="7563">
        <f t="shared" si="2"/>
        <v>0</v>
      </c>
      <c r="U28" s="7564">
        <f t="shared" si="2"/>
        <v>0</v>
      </c>
      <c r="V28" s="7563">
        <f t="shared" si="2"/>
        <v>0</v>
      </c>
      <c r="W28" s="7564">
        <f t="shared" si="2"/>
        <v>0</v>
      </c>
      <c r="X28" s="7563">
        <f t="shared" si="2"/>
        <v>0</v>
      </c>
      <c r="Y28" s="7564">
        <f t="shared" si="2"/>
        <v>0</v>
      </c>
      <c r="Z28" s="7563">
        <f t="shared" si="2"/>
        <v>0</v>
      </c>
      <c r="AA28" s="7564">
        <f t="shared" si="2"/>
        <v>0</v>
      </c>
      <c r="AB28" s="7563">
        <f t="shared" si="2"/>
        <v>0</v>
      </c>
      <c r="AC28" s="7564">
        <f t="shared" si="2"/>
        <v>0</v>
      </c>
      <c r="AD28" s="7563">
        <f>SUM(AD22:AD27)</f>
        <v>0</v>
      </c>
      <c r="AE28" s="7564">
        <f>SUM(AE22:AE27)</f>
        <v>0</v>
      </c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430"/>
      <c r="CC28" s="1430"/>
      <c r="CD28" s="1429"/>
      <c r="CE28" s="1429"/>
      <c r="CF28" s="1429"/>
      <c r="CG28" s="1429"/>
      <c r="CH28" s="1429"/>
      <c r="CI28" s="1429"/>
      <c r="CJ28" s="1432"/>
      <c r="CK28" s="1432"/>
      <c r="CL28" s="1432"/>
      <c r="CM28" s="1432"/>
      <c r="CN28" s="1432"/>
      <c r="CO28" s="1432"/>
      <c r="CP28" s="1432"/>
      <c r="CQ28" s="1432"/>
    </row>
    <row r="29" spans="1:95" ht="28.2" customHeight="1" x14ac:dyDescent="0.3">
      <c r="A29"/>
      <c r="B29" s="10507" t="s">
        <v>1993</v>
      </c>
      <c r="C29" s="10507"/>
      <c r="D29" s="10507"/>
      <c r="E29" s="10507"/>
      <c r="F29" s="10507"/>
      <c r="G29" s="10507"/>
      <c r="H29" s="165"/>
      <c r="I29" s="165"/>
      <c r="J29" s="290"/>
      <c r="K29" s="290"/>
      <c r="L29" s="290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430"/>
      <c r="CA29" s="1430"/>
      <c r="CB29" s="1429"/>
      <c r="CC29" s="1429"/>
      <c r="CD29" s="1429"/>
      <c r="CE29" s="1429"/>
      <c r="CF29" s="1429"/>
      <c r="CG29" s="1429"/>
      <c r="CH29" s="1432"/>
      <c r="CI29" s="1432"/>
      <c r="CJ29" s="1432"/>
      <c r="CK29" s="1432"/>
      <c r="CL29" s="1432"/>
      <c r="CM29" s="1432"/>
      <c r="CN29" s="1432"/>
      <c r="CO29" s="1432"/>
    </row>
    <row r="30" spans="1:95" ht="16.2" customHeight="1" x14ac:dyDescent="0.3">
      <c r="A30"/>
      <c r="B30" s="3486" t="s">
        <v>3306</v>
      </c>
      <c r="C30" s="3486" t="s">
        <v>3270</v>
      </c>
      <c r="D30" s="10684" t="s">
        <v>3307</v>
      </c>
      <c r="E30" s="10685"/>
      <c r="F30" s="3487" t="s">
        <v>44</v>
      </c>
      <c r="G30" s="3488" t="s">
        <v>3442</v>
      </c>
      <c r="H30" s="3488" t="s">
        <v>3443</v>
      </c>
      <c r="I30" s="165"/>
      <c r="J30" s="290"/>
      <c r="K30" s="290"/>
      <c r="L30" s="290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165"/>
      <c r="BC30" s="165"/>
      <c r="BD30" s="165"/>
      <c r="BE30" s="165"/>
      <c r="BF30" s="165"/>
      <c r="BG30" s="165"/>
      <c r="BH30" s="165"/>
      <c r="BI30" s="165"/>
      <c r="BJ30" s="165"/>
      <c r="BK30" s="165"/>
      <c r="BL30" s="165"/>
      <c r="BM30" s="165"/>
      <c r="BN30" s="165"/>
      <c r="BO30" s="165"/>
      <c r="BP30" s="165"/>
      <c r="BQ30" s="165"/>
      <c r="BR30" s="165"/>
      <c r="BS30" s="165"/>
      <c r="BT30" s="165"/>
      <c r="BU30" s="165"/>
      <c r="BV30" s="165"/>
      <c r="BW30" s="165"/>
      <c r="BX30" s="165"/>
      <c r="BY30" s="165"/>
      <c r="BZ30" s="1430"/>
      <c r="CA30" s="1430"/>
      <c r="CB30" s="1429"/>
      <c r="CC30" s="1429"/>
      <c r="CD30" s="1429"/>
      <c r="CE30" s="1429"/>
      <c r="CF30" s="1429"/>
      <c r="CG30" s="1429"/>
      <c r="CH30" s="1432"/>
      <c r="CI30" s="1432"/>
      <c r="CJ30" s="1432"/>
      <c r="CK30" s="1432"/>
      <c r="CL30" s="1432"/>
      <c r="CM30" s="1432"/>
      <c r="CN30" s="1432"/>
      <c r="CO30" s="1432"/>
    </row>
    <row r="31" spans="1:95" ht="16.2" customHeight="1" x14ac:dyDescent="0.3">
      <c r="A31" s="7258">
        <v>25501000</v>
      </c>
      <c r="B31" s="10562" t="s">
        <v>3308</v>
      </c>
      <c r="C31" s="10579" t="s">
        <v>3309</v>
      </c>
      <c r="D31" s="10565" t="s">
        <v>3310</v>
      </c>
      <c r="E31" s="10566"/>
      <c r="F31" s="3489" t="s">
        <v>5369</v>
      </c>
      <c r="G31" s="3490" t="s">
        <v>5370</v>
      </c>
      <c r="H31" s="3490" t="s">
        <v>5371</v>
      </c>
      <c r="I31" s="165"/>
      <c r="J31" s="290"/>
      <c r="K31" s="290"/>
      <c r="L31" s="290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5"/>
      <c r="AX31" s="165"/>
      <c r="AY31" s="165"/>
      <c r="AZ31" s="165"/>
      <c r="BA31" s="165"/>
      <c r="BB31" s="165"/>
      <c r="BC31" s="165"/>
      <c r="BD31" s="165"/>
      <c r="BE31" s="165"/>
      <c r="BF31" s="165"/>
      <c r="BG31" s="165"/>
      <c r="BH31" s="165"/>
      <c r="BI31" s="165"/>
      <c r="BJ31" s="165"/>
      <c r="BK31" s="165"/>
      <c r="BL31" s="165"/>
      <c r="BM31" s="165"/>
      <c r="BN31" s="165"/>
      <c r="BO31" s="165"/>
      <c r="BP31" s="165"/>
      <c r="BQ31" s="165"/>
      <c r="BR31" s="165"/>
      <c r="BS31" s="165"/>
      <c r="BT31" s="165"/>
      <c r="BU31" s="165"/>
      <c r="BV31" s="165"/>
      <c r="BW31" s="165"/>
      <c r="BX31" s="165"/>
      <c r="BY31" s="165"/>
      <c r="BZ31" s="1430"/>
      <c r="CA31" s="1430"/>
      <c r="CB31" s="1429"/>
      <c r="CC31" s="1429"/>
      <c r="CD31" s="1429"/>
      <c r="CE31" s="1429"/>
      <c r="CF31" s="1429"/>
      <c r="CG31" s="1429"/>
      <c r="CH31" s="1432"/>
      <c r="CI31" s="1432"/>
      <c r="CJ31" s="1432"/>
      <c r="CK31" s="1432"/>
      <c r="CL31" s="1432"/>
      <c r="CM31" s="1432"/>
      <c r="CN31" s="1432"/>
      <c r="CO31" s="1432"/>
    </row>
    <row r="32" spans="1:95" ht="16.2" customHeight="1" x14ac:dyDescent="0.3">
      <c r="A32" s="7258">
        <v>25501100</v>
      </c>
      <c r="B32" s="10563"/>
      <c r="C32" s="10579"/>
      <c r="D32" s="10567" t="s">
        <v>3311</v>
      </c>
      <c r="E32" s="10568"/>
      <c r="F32" s="3491" t="s">
        <v>5369</v>
      </c>
      <c r="G32" s="3492" t="s">
        <v>5370</v>
      </c>
      <c r="H32" s="3492" t="s">
        <v>5371</v>
      </c>
      <c r="I32" s="165"/>
      <c r="J32" s="290"/>
      <c r="K32" s="290"/>
      <c r="L32" s="290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  <c r="AS32" s="165"/>
      <c r="AT32" s="165"/>
      <c r="AU32" s="165"/>
      <c r="AV32" s="165"/>
      <c r="AW32" s="165"/>
      <c r="AX32" s="165"/>
      <c r="AY32" s="165"/>
      <c r="AZ32" s="165"/>
      <c r="BA32" s="165"/>
      <c r="BB32" s="165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165"/>
      <c r="BP32" s="165"/>
      <c r="BQ32" s="165"/>
      <c r="BR32" s="165"/>
      <c r="BS32" s="165"/>
      <c r="BT32" s="165"/>
      <c r="BU32" s="165"/>
      <c r="BV32" s="165"/>
      <c r="BW32" s="165"/>
      <c r="BX32" s="165"/>
      <c r="BY32" s="165"/>
      <c r="BZ32" s="1430"/>
      <c r="CA32" s="1430"/>
      <c r="CB32" s="1429"/>
      <c r="CC32" s="1429"/>
      <c r="CD32" s="1429"/>
      <c r="CE32" s="1429"/>
      <c r="CF32" s="1429"/>
      <c r="CG32" s="1429"/>
      <c r="CH32" s="1432"/>
      <c r="CI32" s="1432"/>
      <c r="CJ32" s="1432"/>
      <c r="CK32" s="1432"/>
      <c r="CL32" s="1432"/>
      <c r="CM32" s="1432"/>
      <c r="CN32" s="1432"/>
      <c r="CO32" s="1432"/>
    </row>
    <row r="33" spans="1:93" ht="16.2" customHeight="1" x14ac:dyDescent="0.3">
      <c r="A33" s="7258">
        <v>25501200</v>
      </c>
      <c r="B33" s="10563"/>
      <c r="C33" s="10579"/>
      <c r="D33" s="10569" t="s">
        <v>3312</v>
      </c>
      <c r="E33" s="10570"/>
      <c r="F33" s="3493" t="s">
        <v>5369</v>
      </c>
      <c r="G33" s="3494" t="s">
        <v>5370</v>
      </c>
      <c r="H33" s="3494" t="s">
        <v>5371</v>
      </c>
      <c r="I33" s="165"/>
      <c r="J33" s="290"/>
      <c r="K33" s="290"/>
      <c r="L33" s="290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Q33" s="165"/>
      <c r="AR33" s="165"/>
      <c r="AS33" s="165"/>
      <c r="AT33" s="165"/>
      <c r="AU33" s="165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  <c r="BI33" s="165"/>
      <c r="BJ33" s="165"/>
      <c r="BK33" s="165"/>
      <c r="BL33" s="165"/>
      <c r="BM33" s="165"/>
      <c r="BN33" s="165"/>
      <c r="BO33" s="165"/>
      <c r="BP33" s="165"/>
      <c r="BQ33" s="165"/>
      <c r="BR33" s="165"/>
      <c r="BS33" s="165"/>
      <c r="BT33" s="165"/>
      <c r="BU33" s="165"/>
      <c r="BV33" s="165"/>
      <c r="BW33" s="165"/>
      <c r="BX33" s="165"/>
      <c r="BY33" s="165"/>
      <c r="BZ33" s="1430"/>
      <c r="CA33" s="1430"/>
      <c r="CB33" s="1429"/>
      <c r="CC33" s="1429"/>
      <c r="CD33" s="1429"/>
      <c r="CE33" s="1429"/>
      <c r="CF33" s="1429"/>
      <c r="CG33" s="1429"/>
      <c r="CH33" s="1432"/>
      <c r="CI33" s="1432"/>
      <c r="CJ33" s="1432"/>
      <c r="CK33" s="1432"/>
      <c r="CL33" s="1432"/>
      <c r="CM33" s="1432"/>
      <c r="CN33" s="1432"/>
      <c r="CO33" s="1432"/>
    </row>
    <row r="34" spans="1:93" ht="16.2" customHeight="1" x14ac:dyDescent="0.3">
      <c r="A34" s="7258">
        <v>25501300</v>
      </c>
      <c r="B34" s="10563"/>
      <c r="C34" s="10571" t="s">
        <v>3313</v>
      </c>
      <c r="D34" s="10573" t="s">
        <v>3314</v>
      </c>
      <c r="E34" s="10574"/>
      <c r="F34" s="3495" t="s">
        <v>5369</v>
      </c>
      <c r="G34" s="3496" t="s">
        <v>5370</v>
      </c>
      <c r="H34" s="3496" t="s">
        <v>5371</v>
      </c>
      <c r="I34" s="165"/>
      <c r="J34" s="290"/>
      <c r="K34" s="290"/>
      <c r="L34" s="290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  <c r="BI34" s="165"/>
      <c r="BJ34" s="165"/>
      <c r="BK34" s="165"/>
      <c r="BL34" s="165"/>
      <c r="BM34" s="165"/>
      <c r="BN34" s="165"/>
      <c r="BO34" s="165"/>
      <c r="BP34" s="165"/>
      <c r="BQ34" s="165"/>
      <c r="BR34" s="165"/>
      <c r="BS34" s="165"/>
      <c r="BT34" s="165"/>
      <c r="BU34" s="165"/>
      <c r="BV34" s="165"/>
      <c r="BW34" s="165"/>
      <c r="BX34" s="165"/>
      <c r="BY34" s="165"/>
      <c r="BZ34" s="1430"/>
      <c r="CA34" s="1430"/>
      <c r="CB34" s="1429"/>
      <c r="CC34" s="1429"/>
      <c r="CD34" s="1429"/>
      <c r="CE34" s="1429"/>
      <c r="CF34" s="1429"/>
      <c r="CG34" s="1429"/>
      <c r="CH34" s="1432"/>
      <c r="CI34" s="1432"/>
      <c r="CJ34" s="1432"/>
      <c r="CK34" s="1432"/>
      <c r="CL34" s="1432"/>
      <c r="CM34" s="1432"/>
      <c r="CN34" s="1432"/>
      <c r="CO34" s="1432"/>
    </row>
    <row r="35" spans="1:93" ht="16.2" customHeight="1" x14ac:dyDescent="0.3">
      <c r="A35" s="7258">
        <v>25501600</v>
      </c>
      <c r="B35" s="10563"/>
      <c r="C35" s="10572"/>
      <c r="D35" s="10569" t="s">
        <v>3315</v>
      </c>
      <c r="E35" s="10570"/>
      <c r="F35" s="3493" t="s">
        <v>5369</v>
      </c>
      <c r="G35" s="3494" t="s">
        <v>5370</v>
      </c>
      <c r="H35" s="3494" t="s">
        <v>5371</v>
      </c>
      <c r="I35" s="165"/>
      <c r="J35" s="290"/>
      <c r="K35" s="290"/>
      <c r="L35" s="290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430"/>
      <c r="CA35" s="1430"/>
      <c r="CB35" s="1429"/>
      <c r="CC35" s="1429"/>
      <c r="CD35" s="1429"/>
      <c r="CE35" s="1429"/>
      <c r="CF35" s="1429"/>
      <c r="CG35" s="1429"/>
      <c r="CH35" s="1432"/>
      <c r="CI35" s="1432"/>
      <c r="CJ35" s="1432"/>
      <c r="CK35" s="1432"/>
      <c r="CL35" s="1432"/>
      <c r="CM35" s="1432"/>
      <c r="CN35" s="1432"/>
      <c r="CO35" s="1432"/>
    </row>
    <row r="36" spans="1:93" ht="16.2" customHeight="1" x14ac:dyDescent="0.3">
      <c r="A36" s="7258">
        <v>25501700</v>
      </c>
      <c r="B36" s="10563"/>
      <c r="C36" s="10575" t="s">
        <v>3316</v>
      </c>
      <c r="D36" s="10577" t="s">
        <v>3317</v>
      </c>
      <c r="E36" s="10578"/>
      <c r="F36" s="3495" t="s">
        <v>5369</v>
      </c>
      <c r="G36" s="3496" t="s">
        <v>5370</v>
      </c>
      <c r="H36" s="3496" t="s">
        <v>5371</v>
      </c>
      <c r="I36" s="165"/>
      <c r="J36" s="290"/>
      <c r="K36" s="290"/>
      <c r="L36" s="290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165"/>
      <c r="BP36" s="165"/>
      <c r="BQ36" s="165"/>
      <c r="BR36" s="165"/>
      <c r="BS36" s="165"/>
      <c r="BT36" s="165"/>
      <c r="BU36" s="165"/>
      <c r="BV36" s="165"/>
      <c r="BW36" s="165"/>
      <c r="BX36" s="165"/>
      <c r="BY36" s="165"/>
      <c r="BZ36" s="1430"/>
      <c r="CA36" s="1430"/>
      <c r="CB36" s="1429"/>
      <c r="CC36" s="1429"/>
      <c r="CD36" s="1429"/>
      <c r="CE36" s="1429"/>
      <c r="CF36" s="1429"/>
      <c r="CG36" s="1429"/>
      <c r="CH36" s="1432"/>
      <c r="CI36" s="1432"/>
      <c r="CJ36" s="1432"/>
      <c r="CK36" s="1432"/>
      <c r="CL36" s="1432"/>
      <c r="CM36" s="1432"/>
      <c r="CN36" s="1432"/>
      <c r="CO36" s="1432"/>
    </row>
    <row r="37" spans="1:93" ht="16.2" customHeight="1" x14ac:dyDescent="0.3">
      <c r="A37" s="7320">
        <v>29101394</v>
      </c>
      <c r="B37" s="10563"/>
      <c r="C37" s="10576"/>
      <c r="D37" s="10555" t="s">
        <v>3318</v>
      </c>
      <c r="E37" s="10556"/>
      <c r="F37" s="3493" t="s">
        <v>5369</v>
      </c>
      <c r="G37" s="3494" t="s">
        <v>5370</v>
      </c>
      <c r="H37" s="3494" t="s">
        <v>5371</v>
      </c>
      <c r="I37" s="165"/>
      <c r="J37" s="290"/>
      <c r="K37" s="290"/>
      <c r="L37" s="290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  <c r="AV37" s="165"/>
      <c r="AW37" s="165"/>
      <c r="AX37" s="165"/>
      <c r="AY37" s="165"/>
      <c r="AZ37" s="165"/>
      <c r="BA37" s="165"/>
      <c r="BB37" s="165"/>
      <c r="BC37" s="165"/>
      <c r="BD37" s="165"/>
      <c r="BE37" s="165"/>
      <c r="BF37" s="165"/>
      <c r="BG37" s="165"/>
      <c r="BH37" s="165"/>
      <c r="BI37" s="16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430"/>
      <c r="CA37" s="1430"/>
      <c r="CB37" s="1429"/>
      <c r="CC37" s="1429"/>
      <c r="CD37" s="1429"/>
      <c r="CE37" s="1429"/>
      <c r="CF37" s="1429"/>
      <c r="CG37" s="1429"/>
      <c r="CH37" s="1432"/>
      <c r="CI37" s="1432"/>
      <c r="CJ37" s="1432"/>
      <c r="CK37" s="1432"/>
      <c r="CL37" s="1432"/>
      <c r="CM37" s="1432"/>
      <c r="CN37" s="1432"/>
      <c r="CO37" s="1432"/>
    </row>
    <row r="38" spans="1:93" ht="16.2" customHeight="1" x14ac:dyDescent="0.3">
      <c r="A38" s="7320">
        <v>29101395</v>
      </c>
      <c r="B38" s="10563"/>
      <c r="C38" s="10575" t="s">
        <v>3319</v>
      </c>
      <c r="D38" s="10528" t="s">
        <v>3320</v>
      </c>
      <c r="E38" s="10529"/>
      <c r="F38" s="3495" t="s">
        <v>5369</v>
      </c>
      <c r="G38" s="3496" t="s">
        <v>5370</v>
      </c>
      <c r="H38" s="3496" t="s">
        <v>5371</v>
      </c>
      <c r="I38" s="165"/>
      <c r="J38" s="290"/>
      <c r="K38" s="290"/>
      <c r="L38" s="290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5"/>
      <c r="AY38" s="165"/>
      <c r="AZ38" s="165"/>
      <c r="BA38" s="165"/>
      <c r="BB38" s="165"/>
      <c r="BC38" s="165"/>
      <c r="BD38" s="165"/>
      <c r="BE38" s="165"/>
      <c r="BF38" s="165"/>
      <c r="BG38" s="165"/>
      <c r="BH38" s="165"/>
      <c r="BI38" s="16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430"/>
      <c r="CA38" s="1430"/>
      <c r="CB38" s="1429"/>
      <c r="CC38" s="1429"/>
      <c r="CD38" s="1429"/>
      <c r="CE38" s="1429"/>
      <c r="CF38" s="1429"/>
      <c r="CG38" s="1429"/>
      <c r="CH38" s="1432"/>
      <c r="CI38" s="1432"/>
      <c r="CJ38" s="1432"/>
      <c r="CK38" s="1432"/>
      <c r="CL38" s="1432"/>
      <c r="CM38" s="1432"/>
      <c r="CN38" s="1432"/>
      <c r="CO38" s="1432"/>
    </row>
    <row r="39" spans="1:93" ht="16.2" customHeight="1" x14ac:dyDescent="0.3">
      <c r="A39" s="7320">
        <v>29101396</v>
      </c>
      <c r="B39" s="10563"/>
      <c r="C39" s="10580"/>
      <c r="D39" s="10530" t="s">
        <v>3321</v>
      </c>
      <c r="E39" s="10531"/>
      <c r="F39" s="3491" t="s">
        <v>5369</v>
      </c>
      <c r="G39" s="3492" t="s">
        <v>5370</v>
      </c>
      <c r="H39" s="3492" t="s">
        <v>5371</v>
      </c>
      <c r="I39" s="165"/>
      <c r="J39" s="290"/>
      <c r="K39" s="290"/>
      <c r="L39" s="290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5"/>
      <c r="BY39" s="165"/>
      <c r="BZ39" s="1430"/>
      <c r="CA39" s="1430"/>
      <c r="CB39" s="1429"/>
      <c r="CC39" s="1429"/>
      <c r="CD39" s="1429"/>
      <c r="CE39" s="1429"/>
      <c r="CF39" s="1429"/>
      <c r="CG39" s="1429"/>
      <c r="CH39" s="1432"/>
      <c r="CI39" s="1432"/>
      <c r="CJ39" s="1432"/>
      <c r="CK39" s="1432"/>
      <c r="CL39" s="1432"/>
      <c r="CM39" s="1432"/>
      <c r="CN39" s="1432"/>
      <c r="CO39" s="1432"/>
    </row>
    <row r="40" spans="1:93" ht="16.2" customHeight="1" x14ac:dyDescent="0.3">
      <c r="A40" s="7320">
        <v>29101397</v>
      </c>
      <c r="B40" s="10563"/>
      <c r="C40" s="10580"/>
      <c r="D40" s="10530" t="s">
        <v>3322</v>
      </c>
      <c r="E40" s="10531"/>
      <c r="F40" s="3491" t="s">
        <v>5369</v>
      </c>
      <c r="G40" s="3492" t="s">
        <v>5370</v>
      </c>
      <c r="H40" s="3492" t="s">
        <v>5371</v>
      </c>
      <c r="I40" s="165"/>
      <c r="J40" s="290"/>
      <c r="K40" s="290"/>
      <c r="L40" s="290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  <c r="AR40" s="165"/>
      <c r="AS40" s="165"/>
      <c r="AT40" s="165"/>
      <c r="AU40" s="165"/>
      <c r="AV40" s="165"/>
      <c r="AW40" s="165"/>
      <c r="AX40" s="165"/>
      <c r="AY40" s="165"/>
      <c r="AZ40" s="165"/>
      <c r="BA40" s="165"/>
      <c r="BB40" s="165"/>
      <c r="BC40" s="165"/>
      <c r="BD40" s="165"/>
      <c r="BE40" s="165"/>
      <c r="BF40" s="165"/>
      <c r="BG40" s="165"/>
      <c r="BH40" s="165"/>
      <c r="BI40" s="165"/>
      <c r="BJ40" s="165"/>
      <c r="BK40" s="165"/>
      <c r="BL40" s="165"/>
      <c r="BM40" s="165"/>
      <c r="BN40" s="165"/>
      <c r="BO40" s="165"/>
      <c r="BP40" s="165"/>
      <c r="BQ40" s="165"/>
      <c r="BR40" s="165"/>
      <c r="BS40" s="165"/>
      <c r="BT40" s="165"/>
      <c r="BU40" s="165"/>
      <c r="BV40" s="165"/>
      <c r="BW40" s="165"/>
      <c r="BX40" s="165"/>
      <c r="BY40" s="165"/>
      <c r="BZ40" s="1430"/>
      <c r="CA40" s="1430"/>
      <c r="CB40" s="1429"/>
      <c r="CC40" s="1429"/>
      <c r="CD40" s="1429"/>
      <c r="CE40" s="1429"/>
      <c r="CF40" s="1429"/>
      <c r="CG40" s="1429"/>
      <c r="CH40" s="1432"/>
      <c r="CI40" s="1432"/>
      <c r="CJ40" s="1432"/>
      <c r="CK40" s="1432"/>
      <c r="CL40" s="1432"/>
      <c r="CM40" s="1432"/>
      <c r="CN40" s="1432"/>
      <c r="CO40" s="1432"/>
    </row>
    <row r="41" spans="1:93" ht="16.2" customHeight="1" x14ac:dyDescent="0.3">
      <c r="A41" s="7320">
        <v>29101398</v>
      </c>
      <c r="B41" s="10564"/>
      <c r="C41" s="10576"/>
      <c r="D41" s="10555" t="s">
        <v>3323</v>
      </c>
      <c r="E41" s="10556"/>
      <c r="F41" s="3493" t="s">
        <v>5369</v>
      </c>
      <c r="G41" s="3494" t="s">
        <v>5370</v>
      </c>
      <c r="H41" s="3494" t="s">
        <v>5371</v>
      </c>
      <c r="I41" s="165"/>
      <c r="J41" s="290"/>
      <c r="K41" s="290"/>
      <c r="L41" s="290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K41" s="165"/>
      <c r="BL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430"/>
      <c r="CA41" s="1430"/>
      <c r="CB41" s="1429"/>
      <c r="CC41" s="1429"/>
      <c r="CD41" s="1429"/>
      <c r="CE41" s="1429"/>
      <c r="CF41" s="1429"/>
      <c r="CG41" s="1429"/>
      <c r="CH41" s="1432"/>
      <c r="CI41" s="1432"/>
      <c r="CJ41" s="1432"/>
      <c r="CK41" s="1432"/>
      <c r="CL41" s="1432"/>
      <c r="CM41" s="1432"/>
      <c r="CN41" s="1432"/>
      <c r="CO41" s="1432"/>
    </row>
    <row r="42" spans="1:93" ht="16.2" customHeight="1" x14ac:dyDescent="0.3">
      <c r="A42" s="7320">
        <v>29101399</v>
      </c>
      <c r="B42" s="10562" t="s">
        <v>3324</v>
      </c>
      <c r="C42" s="10696" t="s">
        <v>3325</v>
      </c>
      <c r="D42" s="10694" t="s">
        <v>3326</v>
      </c>
      <c r="E42" s="10695"/>
      <c r="F42" s="3497" t="s">
        <v>5369</v>
      </c>
      <c r="G42" s="3498" t="s">
        <v>5370</v>
      </c>
      <c r="H42" s="3498" t="s">
        <v>5371</v>
      </c>
      <c r="I42" s="165"/>
      <c r="J42" s="290"/>
      <c r="K42" s="290"/>
      <c r="L42" s="290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  <c r="BF42" s="165"/>
      <c r="BG42" s="165"/>
      <c r="BH42" s="165"/>
      <c r="BI42" s="165"/>
      <c r="BJ42" s="165"/>
      <c r="BK42" s="165"/>
      <c r="BL42" s="165"/>
      <c r="BM42" s="165"/>
      <c r="BN42" s="165"/>
      <c r="BO42" s="165"/>
      <c r="BP42" s="165"/>
      <c r="BQ42" s="165"/>
      <c r="BR42" s="165"/>
      <c r="BS42" s="165"/>
      <c r="BT42" s="165"/>
      <c r="BU42" s="165"/>
      <c r="BV42" s="165"/>
      <c r="BW42" s="165"/>
      <c r="BX42" s="165"/>
      <c r="BY42" s="165"/>
      <c r="BZ42" s="1430"/>
      <c r="CA42" s="1430"/>
      <c r="CB42" s="1429"/>
      <c r="CC42" s="1429"/>
      <c r="CD42" s="1429"/>
      <c r="CE42" s="1429"/>
      <c r="CF42" s="1429"/>
      <c r="CG42" s="1429"/>
      <c r="CH42" s="1432"/>
      <c r="CI42" s="1432"/>
      <c r="CJ42" s="1432"/>
      <c r="CK42" s="1432"/>
      <c r="CL42" s="1432"/>
      <c r="CM42" s="1432"/>
      <c r="CN42" s="1432"/>
      <c r="CO42" s="1432"/>
    </row>
    <row r="43" spans="1:93" ht="33.6" customHeight="1" x14ac:dyDescent="0.3">
      <c r="A43" s="7320">
        <v>29101400</v>
      </c>
      <c r="B43" s="10563"/>
      <c r="C43" s="10697"/>
      <c r="D43" s="10699" t="s">
        <v>3327</v>
      </c>
      <c r="E43" s="7567" t="s">
        <v>3328</v>
      </c>
      <c r="F43" s="3499" t="s">
        <v>5369</v>
      </c>
      <c r="G43" s="3500" t="s">
        <v>5370</v>
      </c>
      <c r="H43" s="3500" t="s">
        <v>5371</v>
      </c>
      <c r="I43" s="165"/>
      <c r="J43" s="290"/>
      <c r="K43" s="290"/>
      <c r="L43" s="290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  <c r="BF43" s="165"/>
      <c r="BG43" s="165"/>
      <c r="BH43" s="165"/>
      <c r="BI43" s="165"/>
      <c r="BJ43" s="165"/>
      <c r="BK43" s="165"/>
      <c r="BL43" s="165"/>
      <c r="BM43" s="165"/>
      <c r="BN43" s="165"/>
      <c r="BO43" s="165"/>
      <c r="BP43" s="165"/>
      <c r="BQ43" s="165"/>
      <c r="BR43" s="165"/>
      <c r="BS43" s="165"/>
      <c r="BT43" s="165"/>
      <c r="BU43" s="165"/>
      <c r="BV43" s="165"/>
      <c r="BW43" s="165"/>
      <c r="BX43" s="165"/>
      <c r="BY43" s="165"/>
      <c r="BZ43" s="1430"/>
      <c r="CA43" s="1430"/>
      <c r="CB43" s="1429"/>
      <c r="CC43" s="1429"/>
      <c r="CD43" s="1429"/>
      <c r="CE43" s="1429"/>
      <c r="CF43" s="1429"/>
      <c r="CG43" s="1429"/>
      <c r="CH43" s="1432"/>
      <c r="CI43" s="1432"/>
      <c r="CJ43" s="1432"/>
      <c r="CK43" s="1432"/>
      <c r="CL43" s="1432"/>
      <c r="CM43" s="1432"/>
      <c r="CN43" s="1432"/>
      <c r="CO43" s="1432"/>
    </row>
    <row r="44" spans="1:93" ht="36.6" customHeight="1" x14ac:dyDescent="0.3">
      <c r="A44" s="7320">
        <v>29101401</v>
      </c>
      <c r="B44" s="10563"/>
      <c r="C44" s="10697"/>
      <c r="D44" s="10691"/>
      <c r="E44" s="7568" t="s">
        <v>3634</v>
      </c>
      <c r="F44" s="3499" t="s">
        <v>5369</v>
      </c>
      <c r="G44" s="3500" t="s">
        <v>5370</v>
      </c>
      <c r="H44" s="3500" t="s">
        <v>5371</v>
      </c>
      <c r="I44" s="165"/>
      <c r="J44" s="290"/>
      <c r="K44" s="290"/>
      <c r="L44" s="290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  <c r="BF44" s="165"/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65"/>
      <c r="BX44" s="165"/>
      <c r="BY44" s="165"/>
      <c r="BZ44" s="1430"/>
      <c r="CA44" s="1430"/>
      <c r="CB44" s="1429"/>
      <c r="CC44" s="1429"/>
      <c r="CD44" s="1429"/>
      <c r="CE44" s="1429"/>
      <c r="CF44" s="1429"/>
      <c r="CG44" s="1429"/>
      <c r="CH44" s="1432"/>
      <c r="CI44" s="1432"/>
      <c r="CJ44" s="1432"/>
      <c r="CK44" s="1432"/>
      <c r="CL44" s="1432"/>
      <c r="CM44" s="1432"/>
      <c r="CN44" s="1432"/>
      <c r="CO44" s="1432"/>
    </row>
    <row r="45" spans="1:93" ht="16.2" customHeight="1" x14ac:dyDescent="0.3">
      <c r="A45" s="7320">
        <v>29101402</v>
      </c>
      <c r="B45" s="10563"/>
      <c r="C45" s="10697"/>
      <c r="D45" s="10692" t="s">
        <v>3329</v>
      </c>
      <c r="E45" s="10693"/>
      <c r="F45" s="3495" t="s">
        <v>5369</v>
      </c>
      <c r="G45" s="3496" t="s">
        <v>5370</v>
      </c>
      <c r="H45" s="3496" t="s">
        <v>5371</v>
      </c>
      <c r="I45" s="165"/>
      <c r="J45" s="290"/>
      <c r="K45" s="290"/>
      <c r="L45" s="290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  <c r="AV45" s="165"/>
      <c r="AW45" s="165"/>
      <c r="AX45" s="165"/>
      <c r="AY45" s="165"/>
      <c r="AZ45" s="165"/>
      <c r="BA45" s="165"/>
      <c r="BB45" s="165"/>
      <c r="BC45" s="165"/>
      <c r="BD45" s="165"/>
      <c r="BE45" s="165"/>
      <c r="BF45" s="165"/>
      <c r="BG45" s="165"/>
      <c r="BH45" s="165"/>
      <c r="BI45" s="165"/>
      <c r="BJ45" s="165"/>
      <c r="BK45" s="165"/>
      <c r="BL45" s="165"/>
      <c r="BM45" s="165"/>
      <c r="BN45" s="165"/>
      <c r="BO45" s="165"/>
      <c r="BP45" s="165"/>
      <c r="BQ45" s="165"/>
      <c r="BR45" s="165"/>
      <c r="BS45" s="165"/>
      <c r="BT45" s="165"/>
      <c r="BU45" s="165"/>
      <c r="BV45" s="165"/>
      <c r="BW45" s="165"/>
      <c r="BX45" s="165"/>
      <c r="BY45" s="165"/>
      <c r="BZ45" s="1430"/>
      <c r="CA45" s="1430"/>
      <c r="CB45" s="1429"/>
      <c r="CC45" s="1429"/>
      <c r="CD45" s="1429"/>
      <c r="CE45" s="1429"/>
      <c r="CF45" s="1429"/>
      <c r="CG45" s="1429"/>
      <c r="CH45" s="1432"/>
      <c r="CI45" s="1432"/>
      <c r="CJ45" s="1432"/>
      <c r="CK45" s="1432"/>
      <c r="CL45" s="1432"/>
      <c r="CM45" s="1432"/>
      <c r="CN45" s="1432"/>
      <c r="CO45" s="1432"/>
    </row>
    <row r="46" spans="1:93" ht="16.2" customHeight="1" x14ac:dyDescent="0.3">
      <c r="A46" s="7320">
        <v>29101403</v>
      </c>
      <c r="B46" s="10563"/>
      <c r="C46" s="10697"/>
      <c r="D46" s="10518" t="s">
        <v>3330</v>
      </c>
      <c r="E46" s="10520"/>
      <c r="F46" s="3491" t="s">
        <v>5369</v>
      </c>
      <c r="G46" s="3492" t="s">
        <v>5370</v>
      </c>
      <c r="H46" s="3492" t="s">
        <v>5371</v>
      </c>
      <c r="I46" s="165"/>
      <c r="J46" s="290"/>
      <c r="K46" s="290"/>
      <c r="L46" s="290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5"/>
      <c r="AY46" s="165"/>
      <c r="AZ46" s="165"/>
      <c r="BA46" s="165"/>
      <c r="BB46" s="165"/>
      <c r="BC46" s="165"/>
      <c r="BD46" s="165"/>
      <c r="BE46" s="165"/>
      <c r="BF46" s="165"/>
      <c r="BG46" s="165"/>
      <c r="BH46" s="165"/>
      <c r="BI46" s="165"/>
      <c r="BJ46" s="165"/>
      <c r="BK46" s="165"/>
      <c r="BL46" s="165"/>
      <c r="BM46" s="165"/>
      <c r="BN46" s="165"/>
      <c r="BO46" s="165"/>
      <c r="BP46" s="165"/>
      <c r="BQ46" s="165"/>
      <c r="BR46" s="165"/>
      <c r="BS46" s="165"/>
      <c r="BT46" s="165"/>
      <c r="BU46" s="165"/>
      <c r="BV46" s="165"/>
      <c r="BW46" s="165"/>
      <c r="BX46" s="165"/>
      <c r="BY46" s="165"/>
      <c r="BZ46" s="1430"/>
      <c r="CA46" s="1430"/>
      <c r="CB46" s="1429"/>
      <c r="CC46" s="1429"/>
      <c r="CD46" s="1429"/>
      <c r="CE46" s="1429"/>
      <c r="CF46" s="1429"/>
      <c r="CG46" s="1429"/>
      <c r="CH46" s="1432"/>
      <c r="CI46" s="1432"/>
      <c r="CJ46" s="1432"/>
      <c r="CK46" s="1432"/>
      <c r="CL46" s="1432"/>
      <c r="CM46" s="1432"/>
      <c r="CN46" s="1432"/>
      <c r="CO46" s="1432"/>
    </row>
    <row r="47" spans="1:93" ht="16.2" customHeight="1" x14ac:dyDescent="0.3">
      <c r="A47" s="7320">
        <v>29101404</v>
      </c>
      <c r="B47" s="10563"/>
      <c r="C47" s="10697"/>
      <c r="D47" s="10518" t="s">
        <v>3331</v>
      </c>
      <c r="E47" s="10520"/>
      <c r="F47" s="3491" t="s">
        <v>5369</v>
      </c>
      <c r="G47" s="3492" t="s">
        <v>5370</v>
      </c>
      <c r="H47" s="3492" t="s">
        <v>5371</v>
      </c>
      <c r="I47" s="165"/>
      <c r="J47" s="290"/>
      <c r="K47" s="290"/>
      <c r="L47" s="290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5"/>
      <c r="AY47" s="165"/>
      <c r="AZ47" s="165"/>
      <c r="BA47" s="165"/>
      <c r="BB47" s="165"/>
      <c r="BC47" s="165"/>
      <c r="BD47" s="165"/>
      <c r="BE47" s="165"/>
      <c r="BF47" s="165"/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65"/>
      <c r="BX47" s="165"/>
      <c r="BY47" s="165"/>
      <c r="BZ47" s="1430"/>
      <c r="CA47" s="1430"/>
      <c r="CB47" s="1429"/>
      <c r="CC47" s="1429"/>
      <c r="CD47" s="1429"/>
      <c r="CE47" s="1429"/>
      <c r="CF47" s="1429"/>
      <c r="CG47" s="1429"/>
      <c r="CH47" s="1432"/>
      <c r="CI47" s="1432"/>
      <c r="CJ47" s="1432"/>
      <c r="CK47" s="1432"/>
      <c r="CL47" s="1432"/>
      <c r="CM47" s="1432"/>
      <c r="CN47" s="1432"/>
      <c r="CO47" s="1432"/>
    </row>
    <row r="48" spans="1:93" ht="16.2" customHeight="1" x14ac:dyDescent="0.3">
      <c r="A48" s="7320">
        <v>29101405</v>
      </c>
      <c r="B48" s="10564"/>
      <c r="C48" s="10698"/>
      <c r="D48" s="10694" t="s">
        <v>3332</v>
      </c>
      <c r="E48" s="10695"/>
      <c r="F48" s="3493" t="s">
        <v>5369</v>
      </c>
      <c r="G48" s="3494" t="s">
        <v>5370</v>
      </c>
      <c r="H48" s="3494" t="s">
        <v>5371</v>
      </c>
      <c r="I48" s="165"/>
      <c r="J48" s="290"/>
      <c r="K48" s="290"/>
      <c r="L48" s="290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5"/>
      <c r="BB48" s="165"/>
      <c r="BC48" s="165"/>
      <c r="BD48" s="165"/>
      <c r="BE48" s="165"/>
      <c r="BF48" s="165"/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65"/>
      <c r="BX48" s="165"/>
      <c r="BY48" s="165"/>
      <c r="BZ48" s="1430"/>
      <c r="CA48" s="1430"/>
      <c r="CB48" s="1429"/>
      <c r="CC48" s="1429"/>
      <c r="CD48" s="1429"/>
      <c r="CE48" s="1429"/>
      <c r="CF48" s="1429"/>
      <c r="CG48" s="1429"/>
      <c r="CH48" s="1432"/>
      <c r="CI48" s="1432"/>
      <c r="CJ48" s="1432"/>
      <c r="CK48" s="1432"/>
      <c r="CL48" s="1432"/>
      <c r="CM48" s="1432"/>
      <c r="CN48" s="1432"/>
      <c r="CO48" s="1432"/>
    </row>
    <row r="49" spans="1:93" ht="16.2" customHeight="1" x14ac:dyDescent="0.3">
      <c r="A49" s="7320">
        <v>29101406</v>
      </c>
      <c r="B49" s="10571" t="s">
        <v>3333</v>
      </c>
      <c r="C49" s="10692" t="s">
        <v>3334</v>
      </c>
      <c r="D49" s="10700"/>
      <c r="E49" s="10693"/>
      <c r="F49" s="3495" t="s">
        <v>5369</v>
      </c>
      <c r="G49" s="3496" t="s">
        <v>5370</v>
      </c>
      <c r="H49" s="3496" t="s">
        <v>5371</v>
      </c>
      <c r="I49" s="165"/>
      <c r="J49" s="290"/>
      <c r="K49" s="290"/>
      <c r="L49" s="290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5"/>
      <c r="AY49" s="165"/>
      <c r="AZ49" s="165"/>
      <c r="BA49" s="165"/>
      <c r="BB49" s="165"/>
      <c r="BC49" s="165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  <c r="BX49" s="165"/>
      <c r="BY49" s="165"/>
      <c r="BZ49" s="1430"/>
      <c r="CA49" s="1430"/>
      <c r="CB49" s="1429"/>
      <c r="CC49" s="1429"/>
      <c r="CD49" s="1429"/>
      <c r="CE49" s="1429"/>
      <c r="CF49" s="1429"/>
      <c r="CG49" s="1429"/>
      <c r="CH49" s="1432"/>
      <c r="CI49" s="1432"/>
      <c r="CJ49" s="1432"/>
      <c r="CK49" s="1432"/>
      <c r="CL49" s="1432"/>
      <c r="CM49" s="1432"/>
      <c r="CN49" s="1432"/>
      <c r="CO49" s="1432"/>
    </row>
    <row r="50" spans="1:93" ht="16.2" customHeight="1" x14ac:dyDescent="0.3">
      <c r="A50" s="7320">
        <v>29101407</v>
      </c>
      <c r="B50" s="10689"/>
      <c r="C50" s="10518" t="s">
        <v>3335</v>
      </c>
      <c r="D50" s="10519"/>
      <c r="E50" s="10520"/>
      <c r="F50" s="3491" t="s">
        <v>5369</v>
      </c>
      <c r="G50" s="3492" t="s">
        <v>5370</v>
      </c>
      <c r="H50" s="3492" t="s">
        <v>5371</v>
      </c>
      <c r="I50" s="165"/>
      <c r="J50" s="290"/>
      <c r="K50" s="290"/>
      <c r="L50" s="290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5"/>
      <c r="AY50" s="165"/>
      <c r="AZ50" s="165"/>
      <c r="BA50" s="165"/>
      <c r="BB50" s="165"/>
      <c r="BC50" s="165"/>
      <c r="BD50" s="165"/>
      <c r="BE50" s="165"/>
      <c r="BF50" s="165"/>
      <c r="BG50" s="165"/>
      <c r="BH50" s="165"/>
      <c r="BI50" s="165"/>
      <c r="BJ50" s="165"/>
      <c r="BK50" s="165"/>
      <c r="BL50" s="165"/>
      <c r="BM50" s="165"/>
      <c r="BN50" s="165"/>
      <c r="BO50" s="165"/>
      <c r="BP50" s="165"/>
      <c r="BQ50" s="165"/>
      <c r="BR50" s="165"/>
      <c r="BS50" s="165"/>
      <c r="BT50" s="165"/>
      <c r="BU50" s="165"/>
      <c r="BV50" s="165"/>
      <c r="BW50" s="165"/>
      <c r="BX50" s="165"/>
      <c r="BY50" s="165"/>
      <c r="BZ50" s="1430"/>
      <c r="CA50" s="1430"/>
      <c r="CB50" s="1429"/>
      <c r="CC50" s="1429"/>
      <c r="CD50" s="1429"/>
      <c r="CE50" s="1429"/>
      <c r="CF50" s="1429"/>
      <c r="CG50" s="1429"/>
      <c r="CH50" s="1432"/>
      <c r="CI50" s="1432"/>
      <c r="CJ50" s="1432"/>
      <c r="CK50" s="1432"/>
      <c r="CL50" s="1432"/>
      <c r="CM50" s="1432"/>
      <c r="CN50" s="1432"/>
      <c r="CO50" s="1432"/>
    </row>
    <row r="51" spans="1:93" ht="16.2" customHeight="1" x14ac:dyDescent="0.3">
      <c r="A51" s="7320">
        <v>29101408</v>
      </c>
      <c r="B51" s="10689"/>
      <c r="C51" s="10518" t="s">
        <v>3336</v>
      </c>
      <c r="D51" s="10519"/>
      <c r="E51" s="10520"/>
      <c r="F51" s="3491" t="s">
        <v>5369</v>
      </c>
      <c r="G51" s="3492" t="s">
        <v>5370</v>
      </c>
      <c r="H51" s="3492" t="s">
        <v>5371</v>
      </c>
      <c r="I51" s="165"/>
      <c r="J51" s="290"/>
      <c r="K51" s="290"/>
      <c r="L51" s="290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65"/>
      <c r="BC51" s="165"/>
      <c r="BD51" s="165"/>
      <c r="BE51" s="165"/>
      <c r="BF51" s="165"/>
      <c r="BG51" s="165"/>
      <c r="BH51" s="165"/>
      <c r="BI51" s="165"/>
      <c r="BJ51" s="165"/>
      <c r="BK51" s="165"/>
      <c r="BL51" s="165"/>
      <c r="BM51" s="165"/>
      <c r="BN51" s="165"/>
      <c r="BO51" s="165"/>
      <c r="BP51" s="165"/>
      <c r="BQ51" s="165"/>
      <c r="BR51" s="165"/>
      <c r="BS51" s="165"/>
      <c r="BT51" s="165"/>
      <c r="BU51" s="165"/>
      <c r="BV51" s="165"/>
      <c r="BW51" s="165"/>
      <c r="BX51" s="165"/>
      <c r="BY51" s="165"/>
      <c r="BZ51" s="1430"/>
      <c r="CA51" s="1430"/>
      <c r="CB51" s="1429"/>
      <c r="CC51" s="1429"/>
      <c r="CD51" s="1429"/>
      <c r="CE51" s="1429"/>
      <c r="CF51" s="1429"/>
      <c r="CG51" s="1429"/>
      <c r="CH51" s="1432"/>
      <c r="CI51" s="1432"/>
      <c r="CJ51" s="1432"/>
      <c r="CK51" s="1432"/>
      <c r="CL51" s="1432"/>
      <c r="CM51" s="1432"/>
      <c r="CN51" s="1432"/>
      <c r="CO51" s="1432"/>
    </row>
    <row r="52" spans="1:93" ht="16.2" customHeight="1" x14ac:dyDescent="0.3">
      <c r="A52" s="7320">
        <v>29101409</v>
      </c>
      <c r="B52" s="10572"/>
      <c r="C52" s="10518" t="s">
        <v>3337</v>
      </c>
      <c r="D52" s="10519"/>
      <c r="E52" s="10520"/>
      <c r="F52" s="3491" t="s">
        <v>5369</v>
      </c>
      <c r="G52" s="3492" t="s">
        <v>5370</v>
      </c>
      <c r="H52" s="3492" t="s">
        <v>5371</v>
      </c>
      <c r="I52" s="165"/>
      <c r="J52" s="290"/>
      <c r="K52" s="290"/>
      <c r="L52" s="290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65"/>
      <c r="BC52" s="165"/>
      <c r="BD52" s="165"/>
      <c r="BE52" s="165"/>
      <c r="BF52" s="165"/>
      <c r="BG52" s="165"/>
      <c r="BH52" s="165"/>
      <c r="BI52" s="165"/>
      <c r="BJ52" s="165"/>
      <c r="BK52" s="165"/>
      <c r="BL52" s="165"/>
      <c r="BM52" s="165"/>
      <c r="BN52" s="165"/>
      <c r="BO52" s="165"/>
      <c r="BP52" s="165"/>
      <c r="BQ52" s="165"/>
      <c r="BR52" s="165"/>
      <c r="BS52" s="165"/>
      <c r="BT52" s="165"/>
      <c r="BU52" s="165"/>
      <c r="BV52" s="165"/>
      <c r="BW52" s="165"/>
      <c r="BX52" s="165"/>
      <c r="BY52" s="165"/>
      <c r="BZ52" s="1430"/>
      <c r="CA52" s="1430"/>
      <c r="CB52" s="1429"/>
      <c r="CC52" s="1429"/>
      <c r="CD52" s="1429"/>
      <c r="CE52" s="1429"/>
      <c r="CF52" s="1429"/>
      <c r="CG52" s="1429"/>
      <c r="CH52" s="1432"/>
      <c r="CI52" s="1432"/>
      <c r="CJ52" s="1432"/>
      <c r="CK52" s="1432"/>
      <c r="CL52" s="1432"/>
      <c r="CM52" s="1432"/>
      <c r="CN52" s="1432"/>
      <c r="CO52" s="1432"/>
    </row>
    <row r="53" spans="1:93" ht="16.2" customHeight="1" x14ac:dyDescent="0.3">
      <c r="A53" s="7320">
        <v>29101410</v>
      </c>
      <c r="B53" s="10571" t="s">
        <v>3338</v>
      </c>
      <c r="C53" s="10518" t="s">
        <v>3339</v>
      </c>
      <c r="D53" s="10519"/>
      <c r="E53" s="10520"/>
      <c r="F53" s="3491" t="s">
        <v>5369</v>
      </c>
      <c r="G53" s="3492" t="s">
        <v>5370</v>
      </c>
      <c r="H53" s="3492" t="s">
        <v>5371</v>
      </c>
      <c r="I53" s="165"/>
      <c r="J53" s="290"/>
      <c r="K53" s="290"/>
      <c r="L53" s="290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65"/>
      <c r="BC53" s="165"/>
      <c r="BD53" s="165"/>
      <c r="BE53" s="165"/>
      <c r="BF53" s="165"/>
      <c r="BG53" s="165"/>
      <c r="BH53" s="165"/>
      <c r="BI53" s="165"/>
      <c r="BJ53" s="165"/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65"/>
      <c r="BX53" s="165"/>
      <c r="BY53" s="165"/>
      <c r="BZ53" s="1430"/>
      <c r="CA53" s="1430"/>
      <c r="CB53" s="1429"/>
      <c r="CC53" s="1429"/>
      <c r="CD53" s="1429"/>
      <c r="CE53" s="1429"/>
      <c r="CF53" s="1429"/>
      <c r="CG53" s="1429"/>
      <c r="CH53" s="1432"/>
      <c r="CI53" s="1432"/>
      <c r="CJ53" s="1432"/>
      <c r="CK53" s="1432"/>
      <c r="CL53" s="1432"/>
      <c r="CM53" s="1432"/>
      <c r="CN53" s="1432"/>
      <c r="CO53" s="1432"/>
    </row>
    <row r="54" spans="1:93" ht="16.2" customHeight="1" x14ac:dyDescent="0.3">
      <c r="A54" s="7320">
        <v>29101411</v>
      </c>
      <c r="B54" s="10572"/>
      <c r="C54" s="10686" t="s">
        <v>3340</v>
      </c>
      <c r="D54" s="10687"/>
      <c r="E54" s="10688"/>
      <c r="F54" s="3493" t="s">
        <v>5369</v>
      </c>
      <c r="G54" s="3494" t="s">
        <v>5370</v>
      </c>
      <c r="H54" s="3494" t="s">
        <v>5371</v>
      </c>
      <c r="I54" s="165"/>
      <c r="J54" s="290"/>
      <c r="K54" s="290"/>
      <c r="L54" s="290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  <c r="BI54" s="165"/>
      <c r="BJ54" s="165"/>
      <c r="BK54" s="165"/>
      <c r="BL54" s="165"/>
      <c r="BM54" s="165"/>
      <c r="BN54" s="165"/>
      <c r="BO54" s="165"/>
      <c r="BP54" s="165"/>
      <c r="BQ54" s="165"/>
      <c r="BR54" s="165"/>
      <c r="BS54" s="165"/>
      <c r="BT54" s="165"/>
      <c r="BU54" s="165"/>
      <c r="BV54" s="165"/>
      <c r="BW54" s="165"/>
      <c r="BX54" s="165"/>
      <c r="BY54" s="165"/>
      <c r="BZ54" s="1430"/>
      <c r="CA54" s="1430"/>
      <c r="CB54" s="1429"/>
      <c r="CC54" s="1429"/>
      <c r="CD54" s="1429"/>
      <c r="CE54" s="1429"/>
      <c r="CF54" s="1429"/>
      <c r="CG54" s="1429"/>
      <c r="CH54" s="1432"/>
      <c r="CI54" s="1432"/>
      <c r="CJ54" s="1432"/>
      <c r="CK54" s="1432"/>
      <c r="CL54" s="1432"/>
      <c r="CM54" s="1432"/>
      <c r="CN54" s="1432"/>
      <c r="CO54" s="1432"/>
    </row>
    <row r="55" spans="1:93" ht="16.2" customHeight="1" x14ac:dyDescent="0.3">
      <c r="A55" s="7320">
        <v>29101412</v>
      </c>
      <c r="B55" s="10571" t="s">
        <v>3341</v>
      </c>
      <c r="C55" s="10690" t="s">
        <v>3342</v>
      </c>
      <c r="D55" s="10692" t="s">
        <v>3343</v>
      </c>
      <c r="E55" s="10693"/>
      <c r="F55" s="3495" t="s">
        <v>5369</v>
      </c>
      <c r="G55" s="3496" t="s">
        <v>5370</v>
      </c>
      <c r="H55" s="3496" t="s">
        <v>5371</v>
      </c>
      <c r="I55" s="165"/>
      <c r="J55" s="290"/>
      <c r="K55" s="290"/>
      <c r="L55" s="290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  <c r="BH55" s="165"/>
      <c r="BI55" s="165"/>
      <c r="BJ55" s="165"/>
      <c r="BK55" s="165"/>
      <c r="BL55" s="165"/>
      <c r="BM55" s="165"/>
      <c r="BN55" s="165"/>
      <c r="BO55" s="165"/>
      <c r="BP55" s="165"/>
      <c r="BQ55" s="165"/>
      <c r="BR55" s="165"/>
      <c r="BS55" s="165"/>
      <c r="BT55" s="165"/>
      <c r="BU55" s="165"/>
      <c r="BV55" s="165"/>
      <c r="BW55" s="165"/>
      <c r="BX55" s="165"/>
      <c r="BY55" s="165"/>
      <c r="BZ55" s="1430"/>
      <c r="CA55" s="1430"/>
      <c r="CB55" s="1429"/>
      <c r="CC55" s="1429"/>
      <c r="CD55" s="1429"/>
      <c r="CE55" s="1429"/>
      <c r="CF55" s="1429"/>
      <c r="CG55" s="1429"/>
      <c r="CH55" s="1432"/>
      <c r="CI55" s="1432"/>
      <c r="CJ55" s="1432"/>
      <c r="CK55" s="1432"/>
      <c r="CL55" s="1432"/>
      <c r="CM55" s="1432"/>
      <c r="CN55" s="1432"/>
      <c r="CO55" s="1432"/>
    </row>
    <row r="56" spans="1:93" ht="16.2" customHeight="1" x14ac:dyDescent="0.3">
      <c r="A56" s="7320">
        <v>29101413</v>
      </c>
      <c r="B56" s="10689"/>
      <c r="C56" s="10690"/>
      <c r="D56" s="10518" t="s">
        <v>3344</v>
      </c>
      <c r="E56" s="10520"/>
      <c r="F56" s="3491" t="s">
        <v>5369</v>
      </c>
      <c r="G56" s="3492" t="s">
        <v>5370</v>
      </c>
      <c r="H56" s="3492" t="s">
        <v>5371</v>
      </c>
      <c r="I56" s="165"/>
      <c r="J56" s="290"/>
      <c r="K56" s="290"/>
      <c r="L56" s="290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5"/>
      <c r="BD56" s="165"/>
      <c r="BE56" s="165"/>
      <c r="BF56" s="165"/>
      <c r="BG56" s="165"/>
      <c r="BH56" s="165"/>
      <c r="BI56" s="165"/>
      <c r="BJ56" s="165"/>
      <c r="BK56" s="165"/>
      <c r="BL56" s="165"/>
      <c r="BM56" s="165"/>
      <c r="BN56" s="165"/>
      <c r="BO56" s="165"/>
      <c r="BP56" s="165"/>
      <c r="BQ56" s="165"/>
      <c r="BR56" s="165"/>
      <c r="BS56" s="165"/>
      <c r="BT56" s="165"/>
      <c r="BU56" s="165"/>
      <c r="BV56" s="165"/>
      <c r="BW56" s="165"/>
      <c r="BX56" s="165"/>
      <c r="BY56" s="165"/>
      <c r="BZ56" s="1430"/>
      <c r="CA56" s="1430"/>
      <c r="CB56" s="1429"/>
      <c r="CC56" s="1429"/>
      <c r="CD56" s="1429"/>
      <c r="CE56" s="1429"/>
      <c r="CF56" s="1429"/>
      <c r="CG56" s="1429"/>
      <c r="CH56" s="1432"/>
      <c r="CI56" s="1432"/>
      <c r="CJ56" s="1432"/>
      <c r="CK56" s="1432"/>
      <c r="CL56" s="1432"/>
      <c r="CM56" s="1432"/>
      <c r="CN56" s="1432"/>
      <c r="CO56" s="1432"/>
    </row>
    <row r="57" spans="1:93" ht="16.2" customHeight="1" x14ac:dyDescent="0.3">
      <c r="A57" s="7320">
        <v>29101414</v>
      </c>
      <c r="B57" s="10689"/>
      <c r="C57" s="10690"/>
      <c r="D57" s="10518" t="s">
        <v>3345</v>
      </c>
      <c r="E57" s="10520"/>
      <c r="F57" s="3491" t="s">
        <v>5369</v>
      </c>
      <c r="G57" s="3492" t="s">
        <v>5370</v>
      </c>
      <c r="H57" s="3492" t="s">
        <v>5371</v>
      </c>
      <c r="I57" s="165"/>
      <c r="J57" s="290"/>
      <c r="K57" s="290"/>
      <c r="L57" s="290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65"/>
      <c r="BC57" s="165"/>
      <c r="BD57" s="165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5"/>
      <c r="BX57" s="165"/>
      <c r="BY57" s="165"/>
      <c r="BZ57" s="1430"/>
      <c r="CA57" s="1430"/>
      <c r="CB57" s="1429"/>
      <c r="CC57" s="1429"/>
      <c r="CD57" s="1429"/>
      <c r="CE57" s="1429"/>
      <c r="CF57" s="1429"/>
      <c r="CG57" s="1429"/>
      <c r="CH57" s="1432"/>
      <c r="CI57" s="1432"/>
      <c r="CJ57" s="1432"/>
      <c r="CK57" s="1432"/>
      <c r="CL57" s="1432"/>
      <c r="CM57" s="1432"/>
      <c r="CN57" s="1432"/>
      <c r="CO57" s="1432"/>
    </row>
    <row r="58" spans="1:93" ht="16.2" customHeight="1" x14ac:dyDescent="0.3">
      <c r="A58" s="7320">
        <v>29101415</v>
      </c>
      <c r="B58" s="10689"/>
      <c r="C58" s="10690"/>
      <c r="D58" s="10518" t="s">
        <v>3346</v>
      </c>
      <c r="E58" s="10520"/>
      <c r="F58" s="3491" t="s">
        <v>5369</v>
      </c>
      <c r="G58" s="3492" t="s">
        <v>5370</v>
      </c>
      <c r="H58" s="3492" t="s">
        <v>5371</v>
      </c>
      <c r="I58" s="165"/>
      <c r="J58" s="290"/>
      <c r="K58" s="290"/>
      <c r="L58" s="290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65"/>
      <c r="BC58" s="165"/>
      <c r="BD58" s="165"/>
      <c r="BE58" s="165"/>
      <c r="BF58" s="165"/>
      <c r="BG58" s="165"/>
      <c r="BH58" s="165"/>
      <c r="BI58" s="165"/>
      <c r="BJ58" s="165"/>
      <c r="BK58" s="165"/>
      <c r="BL58" s="165"/>
      <c r="BM58" s="165"/>
      <c r="BN58" s="165"/>
      <c r="BO58" s="165"/>
      <c r="BP58" s="165"/>
      <c r="BQ58" s="165"/>
      <c r="BR58" s="165"/>
      <c r="BS58" s="165"/>
      <c r="BT58" s="165"/>
      <c r="BU58" s="165"/>
      <c r="BV58" s="165"/>
      <c r="BW58" s="165"/>
      <c r="BX58" s="165"/>
      <c r="BY58" s="165"/>
      <c r="BZ58" s="1430"/>
      <c r="CA58" s="1430"/>
      <c r="CB58" s="1429"/>
      <c r="CC58" s="1429"/>
      <c r="CD58" s="1429"/>
      <c r="CE58" s="1429"/>
      <c r="CF58" s="1429"/>
      <c r="CG58" s="1429"/>
      <c r="CH58" s="1432"/>
      <c r="CI58" s="1432"/>
      <c r="CJ58" s="1432"/>
      <c r="CK58" s="1432"/>
      <c r="CL58" s="1432"/>
      <c r="CM58" s="1432"/>
      <c r="CN58" s="1432"/>
      <c r="CO58" s="1432"/>
    </row>
    <row r="59" spans="1:93" ht="16.2" customHeight="1" x14ac:dyDescent="0.3">
      <c r="A59" s="7320">
        <v>29101416</v>
      </c>
      <c r="B59" s="10689"/>
      <c r="C59" s="10690"/>
      <c r="D59" s="10518" t="s">
        <v>3347</v>
      </c>
      <c r="E59" s="10520"/>
      <c r="F59" s="3491" t="s">
        <v>5369</v>
      </c>
      <c r="G59" s="3492" t="s">
        <v>5370</v>
      </c>
      <c r="H59" s="3492" t="s">
        <v>5371</v>
      </c>
      <c r="I59" s="165"/>
      <c r="J59" s="290"/>
      <c r="K59" s="290"/>
      <c r="L59" s="290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65"/>
      <c r="BC59" s="165"/>
      <c r="BD59" s="165"/>
      <c r="BE59" s="165"/>
      <c r="BF59" s="165"/>
      <c r="BG59" s="165"/>
      <c r="BH59" s="165"/>
      <c r="BI59" s="165"/>
      <c r="BJ59" s="165"/>
      <c r="BK59" s="165"/>
      <c r="BL59" s="165"/>
      <c r="BM59" s="165"/>
      <c r="BN59" s="165"/>
      <c r="BO59" s="165"/>
      <c r="BP59" s="165"/>
      <c r="BQ59" s="165"/>
      <c r="BR59" s="165"/>
      <c r="BS59" s="165"/>
      <c r="BT59" s="165"/>
      <c r="BU59" s="165"/>
      <c r="BV59" s="165"/>
      <c r="BW59" s="165"/>
      <c r="BX59" s="165"/>
      <c r="BY59" s="165"/>
      <c r="BZ59" s="1430"/>
      <c r="CA59" s="1430"/>
      <c r="CB59" s="1429"/>
      <c r="CC59" s="1429"/>
      <c r="CD59" s="1429"/>
      <c r="CE59" s="1429"/>
      <c r="CF59" s="1429"/>
      <c r="CG59" s="1429"/>
      <c r="CH59" s="1432"/>
      <c r="CI59" s="1432"/>
      <c r="CJ59" s="1432"/>
      <c r="CK59" s="1432"/>
      <c r="CL59" s="1432"/>
      <c r="CM59" s="1432"/>
      <c r="CN59" s="1432"/>
      <c r="CO59" s="1432"/>
    </row>
    <row r="60" spans="1:93" ht="16.2" customHeight="1" x14ac:dyDescent="0.3">
      <c r="A60" s="7320">
        <v>29101417</v>
      </c>
      <c r="B60" s="10572"/>
      <c r="C60" s="10691"/>
      <c r="D60" s="10694" t="s">
        <v>3348</v>
      </c>
      <c r="E60" s="10695"/>
      <c r="F60" s="3493" t="s">
        <v>5369</v>
      </c>
      <c r="G60" s="3494" t="s">
        <v>5370</v>
      </c>
      <c r="H60" s="3494" t="s">
        <v>5371</v>
      </c>
      <c r="I60" s="165"/>
      <c r="J60" s="290"/>
      <c r="K60" s="290"/>
      <c r="L60" s="290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  <c r="BH60" s="165"/>
      <c r="BI60" s="165"/>
      <c r="BJ60" s="165"/>
      <c r="BK60" s="165"/>
      <c r="BL60" s="165"/>
      <c r="BM60" s="165"/>
      <c r="BN60" s="165"/>
      <c r="BO60" s="165"/>
      <c r="BP60" s="165"/>
      <c r="BQ60" s="165"/>
      <c r="BR60" s="165"/>
      <c r="BS60" s="165"/>
      <c r="BT60" s="165"/>
      <c r="BU60" s="165"/>
      <c r="BV60" s="165"/>
      <c r="BW60" s="165"/>
      <c r="BX60" s="165"/>
      <c r="BY60" s="165"/>
      <c r="BZ60" s="1430"/>
      <c r="CA60" s="1430"/>
      <c r="CB60" s="1429"/>
      <c r="CC60" s="1429"/>
      <c r="CD60" s="1429"/>
      <c r="CE60" s="1429"/>
      <c r="CF60" s="1429"/>
      <c r="CG60" s="1429"/>
      <c r="CH60" s="1432"/>
      <c r="CI60" s="1432"/>
      <c r="CJ60" s="1432"/>
      <c r="CK60" s="1432"/>
      <c r="CL60" s="1432"/>
      <c r="CM60" s="1432"/>
      <c r="CN60" s="1432"/>
      <c r="CO60" s="1432"/>
    </row>
    <row r="61" spans="1:93" ht="16.2" customHeight="1" x14ac:dyDescent="0.3">
      <c r="A61" s="7320">
        <v>29101418</v>
      </c>
      <c r="B61" s="3501" t="s">
        <v>3349</v>
      </c>
      <c r="C61" s="10559" t="s">
        <v>3350</v>
      </c>
      <c r="D61" s="10560"/>
      <c r="E61" s="10561"/>
      <c r="F61" s="3502" t="s">
        <v>5369</v>
      </c>
      <c r="G61" s="3503" t="s">
        <v>5370</v>
      </c>
      <c r="H61" s="3503" t="s">
        <v>5371</v>
      </c>
      <c r="I61" s="165"/>
      <c r="J61" s="290"/>
      <c r="K61" s="290"/>
      <c r="L61" s="290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5"/>
      <c r="AS61" s="165"/>
      <c r="AT61" s="165"/>
      <c r="AU61" s="165"/>
      <c r="AV61" s="165"/>
      <c r="AW61" s="165"/>
      <c r="AX61" s="165"/>
      <c r="AY61" s="165"/>
      <c r="AZ61" s="165"/>
      <c r="BA61" s="165"/>
      <c r="BB61" s="165"/>
      <c r="BC61" s="165"/>
      <c r="BD61" s="165"/>
      <c r="BE61" s="165"/>
      <c r="BF61" s="165"/>
      <c r="BG61" s="165"/>
      <c r="BH61" s="165"/>
      <c r="BI61" s="165"/>
      <c r="BJ61" s="165"/>
      <c r="BK61" s="165"/>
      <c r="BL61" s="165"/>
      <c r="BM61" s="165"/>
      <c r="BN61" s="165"/>
      <c r="BO61" s="165"/>
      <c r="BP61" s="165"/>
      <c r="BQ61" s="165"/>
      <c r="BR61" s="165"/>
      <c r="BS61" s="165"/>
      <c r="BT61" s="165"/>
      <c r="BU61" s="165"/>
      <c r="BV61" s="165"/>
      <c r="BW61" s="165"/>
      <c r="BX61" s="165"/>
      <c r="BY61" s="165"/>
      <c r="BZ61" s="1430"/>
      <c r="CA61" s="1430"/>
      <c r="CB61" s="1429"/>
      <c r="CC61" s="1429"/>
      <c r="CD61" s="1429"/>
      <c r="CE61" s="1429"/>
      <c r="CF61" s="1429"/>
      <c r="CG61" s="1429"/>
      <c r="CH61" s="1432"/>
      <c r="CI61" s="1432"/>
      <c r="CJ61" s="1432"/>
      <c r="CK61" s="1432"/>
      <c r="CL61" s="1432"/>
      <c r="CM61" s="1432"/>
      <c r="CN61" s="1432"/>
      <c r="CO61" s="1432"/>
    </row>
    <row r="62" spans="1:93" ht="31.95" customHeight="1" x14ac:dyDescent="0.3">
      <c r="A62"/>
      <c r="B62" s="10527" t="s">
        <v>1994</v>
      </c>
      <c r="C62" s="10527"/>
      <c r="D62" s="10527"/>
      <c r="E62" s="10527"/>
      <c r="F62" s="10527"/>
      <c r="G62" s="10527"/>
      <c r="H62" s="10527"/>
      <c r="I62" s="10527"/>
      <c r="J62" s="288"/>
      <c r="K62" s="288"/>
      <c r="L62" s="1197"/>
      <c r="M62" s="140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5"/>
      <c r="AS62" s="165"/>
      <c r="AT62" s="165"/>
      <c r="AU62" s="165"/>
      <c r="AV62" s="165"/>
      <c r="AW62" s="165"/>
      <c r="AX62" s="165"/>
      <c r="AY62" s="165"/>
      <c r="AZ62" s="165"/>
      <c r="BA62" s="165"/>
      <c r="BB62" s="165"/>
      <c r="BC62" s="165"/>
      <c r="BD62" s="165"/>
      <c r="BE62" s="165"/>
      <c r="BF62" s="165"/>
      <c r="BG62" s="165"/>
      <c r="BH62" s="165"/>
      <c r="BI62" s="165"/>
      <c r="BJ62" s="165"/>
      <c r="BK62" s="165"/>
      <c r="BL62" s="165"/>
      <c r="BM62" s="165"/>
      <c r="BN62" s="165"/>
      <c r="BO62" s="165"/>
      <c r="BP62" s="165"/>
      <c r="BQ62" s="165"/>
      <c r="BR62" s="165"/>
      <c r="BS62" s="165"/>
      <c r="BT62" s="165"/>
      <c r="BU62" s="165"/>
      <c r="BV62" s="165"/>
      <c r="BW62" s="165"/>
      <c r="BX62" s="165"/>
      <c r="BY62" s="165"/>
      <c r="BZ62" s="1430"/>
      <c r="CA62" s="1430"/>
      <c r="CB62" s="1429"/>
      <c r="CC62" s="1429"/>
      <c r="CD62" s="1429"/>
      <c r="CE62" s="1429"/>
      <c r="CF62" s="1429"/>
      <c r="CG62" s="1429"/>
      <c r="CH62" s="1432"/>
      <c r="CI62" s="1432"/>
      <c r="CJ62" s="1432"/>
      <c r="CK62" s="1432"/>
      <c r="CL62" s="1432"/>
      <c r="CM62" s="1432"/>
      <c r="CN62" s="1432"/>
      <c r="CO62" s="1432"/>
    </row>
    <row r="63" spans="1:93" ht="16.2" customHeight="1" x14ac:dyDescent="0.3">
      <c r="A63"/>
      <c r="B63" s="8643" t="s">
        <v>1995</v>
      </c>
      <c r="C63" s="10553" t="s">
        <v>24</v>
      </c>
      <c r="D63" s="140"/>
      <c r="E63" s="165"/>
      <c r="F63" s="165"/>
      <c r="G63" s="165"/>
      <c r="H63" s="165"/>
      <c r="I63" s="165"/>
      <c r="J63" s="290"/>
      <c r="K63" s="290"/>
      <c r="L63" s="290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5"/>
      <c r="BX63" s="165"/>
      <c r="BY63" s="165"/>
      <c r="BZ63" s="1430"/>
      <c r="CA63" s="1430"/>
      <c r="CB63" s="1429"/>
      <c r="CC63" s="1429"/>
      <c r="CD63" s="1429"/>
      <c r="CE63" s="1429"/>
      <c r="CF63" s="1429"/>
      <c r="CG63" s="1429"/>
      <c r="CH63" s="1432"/>
      <c r="CI63" s="1432"/>
      <c r="CJ63" s="1432"/>
      <c r="CK63" s="1432"/>
      <c r="CL63" s="1432"/>
      <c r="CM63" s="1432"/>
      <c r="CN63" s="1432"/>
      <c r="CO63" s="1432"/>
    </row>
    <row r="64" spans="1:93" ht="16.2" customHeight="1" x14ac:dyDescent="0.3">
      <c r="A64"/>
      <c r="B64" s="10532"/>
      <c r="C64" s="10554"/>
      <c r="D64" s="204"/>
      <c r="E64" s="140"/>
      <c r="F64" s="165"/>
      <c r="G64" s="165"/>
      <c r="H64" s="165"/>
      <c r="I64" s="165"/>
      <c r="J64" s="290"/>
      <c r="K64" s="290"/>
      <c r="L64" s="290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65"/>
      <c r="BC64" s="165"/>
      <c r="BD64" s="165"/>
      <c r="BE64" s="165"/>
      <c r="BF64" s="165"/>
      <c r="BG64" s="165"/>
      <c r="BH64" s="165"/>
      <c r="BI64" s="165"/>
      <c r="BJ64" s="165"/>
      <c r="BK64" s="165"/>
      <c r="BL64" s="165"/>
      <c r="BM64" s="165"/>
      <c r="BN64" s="165"/>
      <c r="BO64" s="165"/>
      <c r="BP64" s="165"/>
      <c r="BQ64" s="165"/>
      <c r="BR64" s="165"/>
      <c r="BS64" s="165"/>
      <c r="BT64" s="165"/>
      <c r="BU64" s="165"/>
      <c r="BV64" s="165"/>
      <c r="BW64" s="165"/>
      <c r="BX64" s="165"/>
      <c r="BY64" s="165"/>
      <c r="BZ64" s="1430"/>
      <c r="CA64" s="1430"/>
      <c r="CB64" s="1429"/>
      <c r="CC64" s="1429"/>
      <c r="CD64" s="1429"/>
      <c r="CE64" s="1429"/>
      <c r="CF64" s="1429"/>
      <c r="CG64" s="1429"/>
      <c r="CH64" s="1432"/>
      <c r="CI64" s="1432"/>
      <c r="CJ64" s="1432"/>
      <c r="CK64" s="1432"/>
      <c r="CL64" s="1432"/>
      <c r="CM64" s="1432"/>
      <c r="CN64" s="1432"/>
      <c r="CO64" s="1432"/>
    </row>
    <row r="65" spans="1:93" ht="16.2" customHeight="1" x14ac:dyDescent="0.3">
      <c r="A65" s="7258">
        <v>25100700</v>
      </c>
      <c r="B65" s="1238" t="s">
        <v>1996</v>
      </c>
      <c r="C65" s="694" t="s">
        <v>5369</v>
      </c>
      <c r="D65" s="1251"/>
      <c r="E65" s="140"/>
      <c r="F65" s="165"/>
      <c r="G65" s="165"/>
      <c r="H65" s="165"/>
      <c r="I65" s="165"/>
      <c r="J65" s="290"/>
      <c r="K65" s="290"/>
      <c r="L65" s="290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165"/>
      <c r="BG65" s="165"/>
      <c r="BH65" s="165"/>
      <c r="BI65" s="165"/>
      <c r="BJ65" s="165"/>
      <c r="BK65" s="165"/>
      <c r="BL65" s="165"/>
      <c r="BM65" s="165"/>
      <c r="BN65" s="165"/>
      <c r="BO65" s="165"/>
      <c r="BP65" s="165"/>
      <c r="BQ65" s="165"/>
      <c r="BR65" s="165"/>
      <c r="BS65" s="165"/>
      <c r="BT65" s="165"/>
      <c r="BU65" s="165"/>
      <c r="BV65" s="165"/>
      <c r="BW65" s="165"/>
      <c r="BX65" s="165"/>
      <c r="BY65" s="165"/>
      <c r="BZ65" s="1430"/>
      <c r="CA65" s="1430"/>
      <c r="CB65" s="1429"/>
      <c r="CC65" s="1429"/>
      <c r="CD65" s="1429"/>
      <c r="CE65" s="1429"/>
      <c r="CF65" s="1429"/>
      <c r="CG65" s="1429"/>
      <c r="CH65" s="1432"/>
      <c r="CI65" s="1432"/>
      <c r="CJ65" s="1432"/>
      <c r="CK65" s="1432"/>
      <c r="CL65" s="1432"/>
      <c r="CM65" s="1432"/>
      <c r="CN65" s="1432"/>
      <c r="CO65" s="1432"/>
    </row>
    <row r="66" spans="1:93" ht="16.2" customHeight="1" x14ac:dyDescent="0.3">
      <c r="A66" s="7258">
        <v>25100800</v>
      </c>
      <c r="B66" s="2097" t="s">
        <v>1997</v>
      </c>
      <c r="C66" s="86" t="s">
        <v>5369</v>
      </c>
      <c r="D66" s="1251"/>
      <c r="E66" s="140"/>
      <c r="F66" s="165"/>
      <c r="G66" s="165"/>
      <c r="H66" s="165"/>
      <c r="I66" s="165"/>
      <c r="J66" s="290"/>
      <c r="K66" s="290"/>
      <c r="L66" s="290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65"/>
      <c r="BC66" s="165"/>
      <c r="BD66" s="165"/>
      <c r="BE66" s="165"/>
      <c r="BF66" s="165"/>
      <c r="BG66" s="165"/>
      <c r="BH66" s="165"/>
      <c r="BI66" s="165"/>
      <c r="BJ66" s="165"/>
      <c r="BK66" s="165"/>
      <c r="BL66" s="165"/>
      <c r="BM66" s="165"/>
      <c r="BN66" s="165"/>
      <c r="BO66" s="165"/>
      <c r="BP66" s="165"/>
      <c r="BQ66" s="165"/>
      <c r="BR66" s="165"/>
      <c r="BS66" s="165"/>
      <c r="BT66" s="165"/>
      <c r="BU66" s="165"/>
      <c r="BV66" s="165"/>
      <c r="BW66" s="165"/>
      <c r="BX66" s="165"/>
      <c r="BY66" s="165"/>
      <c r="BZ66" s="1430"/>
      <c r="CA66" s="1430"/>
      <c r="CB66" s="1429"/>
      <c r="CC66" s="1429"/>
      <c r="CD66" s="1429"/>
      <c r="CE66" s="1429"/>
      <c r="CF66" s="1429"/>
      <c r="CG66" s="1429"/>
      <c r="CH66" s="1432"/>
      <c r="CI66" s="1432"/>
      <c r="CJ66" s="1432"/>
      <c r="CK66" s="1432"/>
      <c r="CL66" s="1432"/>
      <c r="CM66" s="1432"/>
      <c r="CN66" s="1432"/>
      <c r="CO66" s="1432"/>
    </row>
    <row r="67" spans="1:93" ht="16.2" customHeight="1" x14ac:dyDescent="0.3">
      <c r="A67" s="7298"/>
      <c r="B67" s="2115" t="s">
        <v>24</v>
      </c>
      <c r="C67" s="1252" t="e">
        <f>SUM(C65+C66)</f>
        <v>#VALUE!</v>
      </c>
      <c r="D67" s="1253"/>
      <c r="E67" s="140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  <c r="BI67" s="165"/>
      <c r="BJ67" s="165"/>
      <c r="BK67" s="165"/>
      <c r="BL67" s="165"/>
      <c r="BM67" s="165"/>
      <c r="BN67" s="165"/>
      <c r="BO67" s="165"/>
      <c r="BP67" s="165"/>
      <c r="BQ67" s="165"/>
      <c r="BR67" s="165"/>
      <c r="BS67" s="165"/>
      <c r="BT67" s="165"/>
      <c r="BU67" s="165"/>
      <c r="BV67" s="165"/>
      <c r="BW67" s="165"/>
      <c r="BX67" s="165"/>
      <c r="BY67" s="165"/>
      <c r="BZ67" s="1430"/>
      <c r="CA67" s="1430"/>
      <c r="CB67" s="1429"/>
      <c r="CC67" s="1429"/>
      <c r="CD67" s="1429"/>
      <c r="CE67" s="1429"/>
      <c r="CF67" s="1429"/>
      <c r="CG67" s="1429"/>
      <c r="CH67" s="1432"/>
      <c r="CI67" s="1432"/>
      <c r="CJ67" s="1432"/>
      <c r="CK67" s="1432"/>
      <c r="CL67" s="1432"/>
      <c r="CM67" s="1432"/>
      <c r="CN67" s="1432"/>
      <c r="CO67" s="1432"/>
    </row>
    <row r="68" spans="1:93" ht="31.95" customHeight="1" x14ac:dyDescent="0.3">
      <c r="A68"/>
      <c r="B68" s="7270" t="s">
        <v>1998</v>
      </c>
      <c r="C68" s="133"/>
      <c r="D68" s="133"/>
      <c r="E68" s="140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  <c r="BH68" s="165"/>
      <c r="BI68" s="165"/>
      <c r="BJ68" s="165"/>
      <c r="BK68" s="165"/>
      <c r="BL68" s="165"/>
      <c r="BM68" s="165"/>
      <c r="BN68" s="165"/>
      <c r="BO68" s="165"/>
      <c r="BP68" s="165"/>
      <c r="BQ68" s="165"/>
      <c r="BR68" s="165"/>
      <c r="BS68" s="165"/>
      <c r="BT68" s="165"/>
      <c r="BU68" s="165"/>
      <c r="BV68" s="165"/>
      <c r="BW68" s="165"/>
      <c r="BX68" s="165"/>
      <c r="BY68" s="165"/>
      <c r="BZ68" s="1430"/>
      <c r="CA68" s="1430"/>
      <c r="CB68" s="1429"/>
      <c r="CC68" s="1429"/>
      <c r="CD68" s="1429"/>
      <c r="CE68" s="1429"/>
      <c r="CF68" s="1429"/>
      <c r="CG68" s="1429"/>
      <c r="CH68" s="1432"/>
      <c r="CI68" s="1432"/>
      <c r="CJ68" s="1432"/>
      <c r="CK68" s="1432"/>
      <c r="CL68" s="1432"/>
      <c r="CM68" s="1432"/>
      <c r="CN68" s="1432"/>
      <c r="CO68" s="1432"/>
    </row>
    <row r="69" spans="1:93" ht="16.2" customHeight="1" x14ac:dyDescent="0.3">
      <c r="A69"/>
      <c r="B69" s="8638" t="s">
        <v>1999</v>
      </c>
      <c r="C69" s="9978" t="s">
        <v>1984</v>
      </c>
      <c r="D69" s="8638" t="s">
        <v>24</v>
      </c>
      <c r="E69" s="140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65"/>
      <c r="BC69" s="165"/>
      <c r="BD69" s="165"/>
      <c r="BE69" s="165"/>
      <c r="BF69" s="165"/>
      <c r="BG69" s="165"/>
      <c r="BH69" s="165"/>
      <c r="BI69" s="165"/>
      <c r="BJ69" s="165"/>
      <c r="BK69" s="165"/>
      <c r="BL69" s="165"/>
      <c r="BM69" s="165"/>
      <c r="BN69" s="165"/>
      <c r="BO69" s="165"/>
      <c r="BP69" s="165"/>
      <c r="BQ69" s="165"/>
      <c r="BR69" s="165"/>
      <c r="BS69" s="165"/>
      <c r="BT69" s="165"/>
      <c r="BU69" s="165"/>
      <c r="BV69" s="165"/>
      <c r="BW69" s="165"/>
      <c r="BX69" s="165"/>
      <c r="BY69" s="165"/>
      <c r="BZ69" s="1430"/>
      <c r="CA69" s="1430"/>
      <c r="CB69" s="1429"/>
      <c r="CC69" s="1429"/>
      <c r="CD69" s="1429"/>
      <c r="CE69" s="1429"/>
      <c r="CF69" s="1429"/>
      <c r="CG69" s="1429"/>
      <c r="CH69" s="1432"/>
      <c r="CI69" s="1432"/>
      <c r="CJ69" s="1432"/>
      <c r="CK69" s="1432"/>
      <c r="CL69" s="1432"/>
      <c r="CM69" s="1432"/>
      <c r="CN69" s="1432"/>
      <c r="CO69" s="1432"/>
    </row>
    <row r="70" spans="1:93" ht="16.2" customHeight="1" x14ac:dyDescent="0.3">
      <c r="A70"/>
      <c r="B70" s="10049"/>
      <c r="C70" s="8582"/>
      <c r="D70" s="10049"/>
      <c r="E70" s="140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65"/>
      <c r="BC70" s="165"/>
      <c r="BD70" s="165"/>
      <c r="BE70" s="165"/>
      <c r="BF70" s="165"/>
      <c r="BG70" s="165"/>
      <c r="BH70" s="165"/>
      <c r="BI70" s="165"/>
      <c r="BJ70" s="165"/>
      <c r="BK70" s="165"/>
      <c r="BL70" s="165"/>
      <c r="BM70" s="165"/>
      <c r="BN70" s="165"/>
      <c r="BO70" s="165"/>
      <c r="BP70" s="165"/>
      <c r="BQ70" s="165"/>
      <c r="BR70" s="165"/>
      <c r="BS70" s="165"/>
      <c r="BT70" s="165"/>
      <c r="BU70" s="165"/>
      <c r="BV70" s="165"/>
      <c r="BW70" s="165"/>
      <c r="BX70" s="165"/>
      <c r="BY70" s="165"/>
      <c r="BZ70" s="1430"/>
      <c r="CA70" s="1430"/>
      <c r="CB70" s="1429"/>
      <c r="CC70" s="1429"/>
      <c r="CD70" s="1429"/>
      <c r="CE70" s="1429"/>
      <c r="CF70" s="1429"/>
      <c r="CG70" s="1429"/>
      <c r="CH70" s="1432"/>
      <c r="CI70" s="1432"/>
      <c r="CJ70" s="1432"/>
      <c r="CK70" s="1432"/>
      <c r="CL70" s="1432"/>
      <c r="CM70" s="1432"/>
      <c r="CN70" s="1432"/>
      <c r="CO70" s="1432"/>
    </row>
    <row r="71" spans="1:93" ht="16.2" customHeight="1" x14ac:dyDescent="0.3">
      <c r="A71" s="7258">
        <v>25400080</v>
      </c>
      <c r="B71" s="8638" t="s">
        <v>2000</v>
      </c>
      <c r="C71" s="1102" t="s">
        <v>2001</v>
      </c>
      <c r="D71" s="694" t="s">
        <v>5369</v>
      </c>
      <c r="E71" s="140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65"/>
      <c r="BC71" s="165"/>
      <c r="BD71" s="165"/>
      <c r="BE71" s="165"/>
      <c r="BF71" s="165"/>
      <c r="BG71" s="165"/>
      <c r="BH71" s="165"/>
      <c r="BI71" s="165"/>
      <c r="BJ71" s="165"/>
      <c r="BK71" s="165"/>
      <c r="BL71" s="165"/>
      <c r="BM71" s="165"/>
      <c r="BN71" s="165"/>
      <c r="BO71" s="165"/>
      <c r="BP71" s="165"/>
      <c r="BQ71" s="165"/>
      <c r="BR71" s="165"/>
      <c r="BS71" s="165"/>
      <c r="BT71" s="165"/>
      <c r="BU71" s="165"/>
      <c r="BV71" s="165"/>
      <c r="BW71" s="165"/>
      <c r="BX71" s="165"/>
      <c r="BY71" s="165"/>
      <c r="BZ71" s="1430"/>
      <c r="CA71" s="1430"/>
      <c r="CB71" s="1429"/>
      <c r="CC71" s="1429"/>
      <c r="CD71" s="1429"/>
      <c r="CE71" s="1429"/>
      <c r="CF71" s="1429"/>
      <c r="CG71" s="1429"/>
      <c r="CH71" s="1432"/>
      <c r="CI71" s="1432"/>
      <c r="CJ71" s="1432"/>
      <c r="CK71" s="1432"/>
      <c r="CL71" s="1432"/>
      <c r="CM71" s="1432"/>
      <c r="CN71" s="1432"/>
      <c r="CO71" s="1432"/>
    </row>
    <row r="72" spans="1:93" ht="16.2" customHeight="1" x14ac:dyDescent="0.3">
      <c r="A72" s="7258">
        <v>25400090</v>
      </c>
      <c r="B72" s="8705"/>
      <c r="C72" s="573" t="s">
        <v>2002</v>
      </c>
      <c r="D72" s="1196" t="s">
        <v>5369</v>
      </c>
      <c r="E72" s="140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65"/>
      <c r="BC72" s="165"/>
      <c r="BD72" s="165"/>
      <c r="BE72" s="165"/>
      <c r="BF72" s="165"/>
      <c r="BG72" s="165"/>
      <c r="BH72" s="165"/>
      <c r="BI72" s="165"/>
      <c r="BJ72" s="165"/>
      <c r="BK72" s="165"/>
      <c r="BL72" s="165"/>
      <c r="BM72" s="165"/>
      <c r="BN72" s="165"/>
      <c r="BO72" s="165"/>
      <c r="BP72" s="165"/>
      <c r="BQ72" s="165"/>
      <c r="BR72" s="165"/>
      <c r="BS72" s="165"/>
      <c r="BT72" s="165"/>
      <c r="BU72" s="165"/>
      <c r="BV72" s="165"/>
      <c r="BW72" s="165"/>
      <c r="BX72" s="165"/>
      <c r="BY72" s="165"/>
      <c r="BZ72" s="1430"/>
      <c r="CA72" s="1430"/>
      <c r="CB72" s="1429"/>
      <c r="CC72" s="1429"/>
      <c r="CD72" s="1429"/>
      <c r="CE72" s="1429"/>
      <c r="CF72" s="1429"/>
      <c r="CG72" s="1429"/>
      <c r="CH72" s="1432"/>
      <c r="CI72" s="1432"/>
      <c r="CJ72" s="1432"/>
      <c r="CK72" s="1432"/>
      <c r="CL72" s="1432"/>
      <c r="CM72" s="1432"/>
      <c r="CN72" s="1432"/>
      <c r="CO72" s="1432"/>
    </row>
    <row r="73" spans="1:93" ht="16.2" customHeight="1" x14ac:dyDescent="0.3">
      <c r="A73" s="7258">
        <v>25400100</v>
      </c>
      <c r="B73" s="8889"/>
      <c r="C73" s="7637" t="s">
        <v>5487</v>
      </c>
      <c r="D73" s="3127" t="s">
        <v>5369</v>
      </c>
      <c r="E73" s="140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5"/>
      <c r="AY73" s="165"/>
      <c r="AZ73" s="165"/>
      <c r="BA73" s="165"/>
      <c r="BB73" s="165"/>
      <c r="BC73" s="165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  <c r="BR73" s="165"/>
      <c r="BS73" s="165"/>
      <c r="BT73" s="165"/>
      <c r="BU73" s="165"/>
      <c r="BV73" s="165"/>
      <c r="BW73" s="165"/>
      <c r="BX73" s="165"/>
      <c r="BY73" s="165"/>
      <c r="BZ73" s="1430"/>
      <c r="CA73" s="1430"/>
      <c r="CB73" s="1429"/>
      <c r="CC73" s="1429"/>
      <c r="CD73" s="1429"/>
      <c r="CE73" s="1429"/>
      <c r="CF73" s="1429"/>
      <c r="CG73" s="1429"/>
      <c r="CH73" s="1432"/>
      <c r="CI73" s="1432"/>
      <c r="CJ73" s="1432"/>
      <c r="CK73" s="1432"/>
      <c r="CL73" s="1432"/>
      <c r="CM73" s="1432"/>
      <c r="CN73" s="1432"/>
      <c r="CO73" s="1432"/>
    </row>
    <row r="74" spans="1:93" ht="16.2" customHeight="1" x14ac:dyDescent="0.3">
      <c r="A74" s="7320">
        <v>29101419</v>
      </c>
      <c r="B74" s="8889"/>
      <c r="C74" s="7569" t="s">
        <v>2042</v>
      </c>
      <c r="D74" s="3127" t="s">
        <v>5369</v>
      </c>
      <c r="E74" s="140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5"/>
      <c r="AY74" s="165"/>
      <c r="AZ74" s="165"/>
      <c r="BA74" s="165"/>
      <c r="BB74" s="165"/>
      <c r="BC74" s="165"/>
      <c r="BD74" s="165"/>
      <c r="BE74" s="165"/>
      <c r="BF74" s="165"/>
      <c r="BG74" s="165"/>
      <c r="BH74" s="165"/>
      <c r="BI74" s="165"/>
      <c r="BJ74" s="165"/>
      <c r="BK74" s="165"/>
      <c r="BL74" s="165"/>
      <c r="BM74" s="165"/>
      <c r="BN74" s="165"/>
      <c r="BO74" s="165"/>
      <c r="BP74" s="165"/>
      <c r="BQ74" s="165"/>
      <c r="BR74" s="165"/>
      <c r="BS74" s="165"/>
      <c r="BT74" s="165"/>
      <c r="BU74" s="165"/>
      <c r="BV74" s="165"/>
      <c r="BW74" s="165"/>
      <c r="BX74" s="165"/>
      <c r="BY74" s="165"/>
      <c r="BZ74" s="1430"/>
      <c r="CA74" s="1430"/>
      <c r="CB74" s="1429"/>
      <c r="CC74" s="1429"/>
      <c r="CD74" s="1429"/>
      <c r="CE74" s="1429"/>
      <c r="CF74" s="1429"/>
      <c r="CG74" s="1429"/>
      <c r="CH74" s="1432"/>
      <c r="CI74" s="1432"/>
      <c r="CJ74" s="1432"/>
      <c r="CK74" s="1432"/>
      <c r="CL74" s="1432"/>
      <c r="CM74" s="1432"/>
      <c r="CN74" s="1432"/>
      <c r="CO74" s="1432"/>
    </row>
    <row r="75" spans="1:93" ht="16.2" customHeight="1" x14ac:dyDescent="0.3">
      <c r="B75" s="10049"/>
      <c r="C75" s="8356"/>
      <c r="D75" s="8357"/>
      <c r="E75" s="140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5"/>
      <c r="AY75" s="165"/>
      <c r="AZ75" s="165"/>
      <c r="BA75" s="165"/>
      <c r="BB75" s="165"/>
      <c r="BC75" s="165"/>
      <c r="BD75" s="165"/>
      <c r="BE75" s="165"/>
      <c r="BF75" s="165"/>
      <c r="BG75" s="165"/>
      <c r="BH75" s="165"/>
      <c r="BI75" s="165"/>
      <c r="BJ75" s="165"/>
      <c r="BK75" s="165"/>
      <c r="BL75" s="165"/>
      <c r="BM75" s="165"/>
      <c r="BN75" s="165"/>
      <c r="BO75" s="165"/>
      <c r="BP75" s="165"/>
      <c r="BQ75" s="165"/>
      <c r="BR75" s="165"/>
      <c r="BS75" s="165"/>
      <c r="BT75" s="165"/>
      <c r="BU75" s="165"/>
      <c r="BV75" s="165"/>
      <c r="BW75" s="165"/>
      <c r="BX75" s="165"/>
      <c r="BY75" s="165"/>
      <c r="BZ75" s="1430"/>
      <c r="CA75" s="1430"/>
      <c r="CB75" s="1429"/>
      <c r="CC75" s="1429"/>
      <c r="CD75" s="1429"/>
      <c r="CE75" s="1429"/>
      <c r="CF75" s="1429"/>
      <c r="CG75" s="1429"/>
      <c r="CH75" s="1432"/>
      <c r="CI75" s="1432"/>
      <c r="CJ75" s="1432"/>
      <c r="CK75" s="1432"/>
      <c r="CL75" s="1432"/>
      <c r="CM75" s="1432"/>
      <c r="CN75" s="1432"/>
      <c r="CO75" s="1432"/>
    </row>
    <row r="76" spans="1:93" ht="16.2" customHeight="1" x14ac:dyDescent="0.3">
      <c r="A76" s="7258">
        <v>25400110</v>
      </c>
      <c r="B76" s="8638" t="s">
        <v>2003</v>
      </c>
      <c r="C76" s="1102" t="s">
        <v>2004</v>
      </c>
      <c r="D76" s="694" t="s">
        <v>5369</v>
      </c>
      <c r="E76" s="140"/>
      <c r="F76" s="165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5"/>
      <c r="AY76" s="165"/>
      <c r="AZ76" s="165"/>
      <c r="BA76" s="165"/>
      <c r="BB76" s="165"/>
      <c r="BC76" s="165"/>
      <c r="BD76" s="165"/>
      <c r="BE76" s="165"/>
      <c r="BF76" s="165"/>
      <c r="BG76" s="165"/>
      <c r="BH76" s="165"/>
      <c r="BI76" s="165"/>
      <c r="BJ76" s="165"/>
      <c r="BK76" s="165"/>
      <c r="BL76" s="165"/>
      <c r="BM76" s="165"/>
      <c r="BN76" s="165"/>
      <c r="BO76" s="165"/>
      <c r="BP76" s="165"/>
      <c r="BQ76" s="165"/>
      <c r="BR76" s="165"/>
      <c r="BS76" s="165"/>
      <c r="BT76" s="165"/>
      <c r="BU76" s="165"/>
      <c r="BV76" s="165"/>
      <c r="BW76" s="165"/>
      <c r="BX76" s="165"/>
      <c r="BY76" s="165"/>
      <c r="BZ76" s="1430"/>
      <c r="CA76" s="1430"/>
      <c r="CB76" s="1429"/>
      <c r="CC76" s="1429"/>
      <c r="CD76" s="1429"/>
      <c r="CE76" s="1429"/>
      <c r="CF76" s="1429"/>
      <c r="CG76" s="1429"/>
      <c r="CH76" s="1432"/>
      <c r="CI76" s="1432"/>
      <c r="CJ76" s="1432"/>
      <c r="CK76" s="1432"/>
      <c r="CL76" s="1432"/>
      <c r="CM76" s="1432"/>
      <c r="CN76" s="1432"/>
      <c r="CO76" s="1432"/>
    </row>
    <row r="77" spans="1:93" ht="22.2" customHeight="1" x14ac:dyDescent="0.3">
      <c r="A77" s="7258">
        <v>25400122</v>
      </c>
      <c r="B77" s="8705"/>
      <c r="C77" s="573" t="s">
        <v>2005</v>
      </c>
      <c r="D77" s="1196" t="s">
        <v>5369</v>
      </c>
      <c r="E77" s="140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5"/>
      <c r="AY77" s="165"/>
      <c r="AZ77" s="165"/>
      <c r="BA77" s="165"/>
      <c r="BB77" s="165"/>
      <c r="BC77" s="165"/>
      <c r="BD77" s="165"/>
      <c r="BE77" s="165"/>
      <c r="BF77" s="165"/>
      <c r="BG77" s="165"/>
      <c r="BH77" s="165"/>
      <c r="BI77" s="165"/>
      <c r="BJ77" s="165"/>
      <c r="BK77" s="165"/>
      <c r="BL77" s="165"/>
      <c r="BM77" s="165"/>
      <c r="BN77" s="165"/>
      <c r="BO77" s="165"/>
      <c r="BP77" s="165"/>
      <c r="BQ77" s="165"/>
      <c r="BR77" s="165"/>
      <c r="BS77" s="165"/>
      <c r="BT77" s="165"/>
      <c r="BU77" s="165"/>
      <c r="BV77" s="165"/>
      <c r="BW77" s="165"/>
      <c r="BX77" s="165"/>
      <c r="BY77" s="165"/>
      <c r="BZ77" s="1430"/>
      <c r="CA77" s="1430"/>
      <c r="CB77" s="1429"/>
      <c r="CC77" s="1429"/>
      <c r="CD77" s="1429"/>
      <c r="CE77" s="1429"/>
      <c r="CF77" s="1429"/>
      <c r="CG77" s="1429"/>
      <c r="CH77" s="1432"/>
      <c r="CI77" s="1432"/>
      <c r="CJ77" s="1432"/>
      <c r="CK77" s="1432"/>
      <c r="CL77" s="1432"/>
      <c r="CM77" s="1432"/>
      <c r="CN77" s="1432"/>
      <c r="CO77" s="1432"/>
    </row>
    <row r="78" spans="1:93" ht="24.6" customHeight="1" x14ac:dyDescent="0.3">
      <c r="A78" s="7258">
        <v>25400124</v>
      </c>
      <c r="B78" s="8705"/>
      <c r="C78" s="1190" t="s">
        <v>2006</v>
      </c>
      <c r="D78" s="1196" t="s">
        <v>5369</v>
      </c>
      <c r="E78" s="140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5"/>
      <c r="AY78" s="165"/>
      <c r="AZ78" s="165"/>
      <c r="BA78" s="165"/>
      <c r="BB78" s="165"/>
      <c r="BC78" s="165"/>
      <c r="BD78" s="165"/>
      <c r="BE78" s="165"/>
      <c r="BF78" s="165"/>
      <c r="BG78" s="165"/>
      <c r="BH78" s="165"/>
      <c r="BI78" s="165"/>
      <c r="BJ78" s="165"/>
      <c r="BK78" s="165"/>
      <c r="BL78" s="165"/>
      <c r="BM78" s="165"/>
      <c r="BN78" s="165"/>
      <c r="BO78" s="165"/>
      <c r="BP78" s="165"/>
      <c r="BQ78" s="165"/>
      <c r="BR78" s="165"/>
      <c r="BS78" s="165"/>
      <c r="BT78" s="165"/>
      <c r="BU78" s="165"/>
      <c r="BV78" s="165"/>
      <c r="BW78" s="165"/>
      <c r="BX78" s="165"/>
      <c r="BY78" s="165"/>
      <c r="BZ78" s="1430"/>
      <c r="CA78" s="1430"/>
      <c r="CB78" s="1429"/>
      <c r="CC78" s="1429"/>
      <c r="CD78" s="1429"/>
      <c r="CE78" s="1429"/>
      <c r="CF78" s="1429"/>
      <c r="CG78" s="1429"/>
      <c r="CH78" s="1432"/>
      <c r="CI78" s="1432"/>
      <c r="CJ78" s="1432"/>
      <c r="CK78" s="1432"/>
      <c r="CL78" s="1432"/>
      <c r="CM78" s="1432"/>
      <c r="CN78" s="1432"/>
      <c r="CO78" s="1432"/>
    </row>
    <row r="79" spans="1:93" ht="19.95" customHeight="1" x14ac:dyDescent="0.3">
      <c r="A79" s="7258">
        <v>25400130</v>
      </c>
      <c r="B79" s="8889"/>
      <c r="C79" s="2099" t="s">
        <v>2007</v>
      </c>
      <c r="D79" s="3127" t="s">
        <v>5369</v>
      </c>
      <c r="E79" s="140"/>
      <c r="F79" s="165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5"/>
      <c r="AY79" s="165"/>
      <c r="AZ79" s="165"/>
      <c r="BA79" s="165"/>
      <c r="BB79" s="165"/>
      <c r="BC79" s="165"/>
      <c r="BD79" s="165"/>
      <c r="BE79" s="165"/>
      <c r="BF79" s="165"/>
      <c r="BG79" s="165"/>
      <c r="BH79" s="165"/>
      <c r="BI79" s="165"/>
      <c r="BJ79" s="165"/>
      <c r="BK79" s="165"/>
      <c r="BL79" s="165"/>
      <c r="BM79" s="165"/>
      <c r="BN79" s="165"/>
      <c r="BO79" s="165"/>
      <c r="BP79" s="165"/>
      <c r="BQ79" s="165"/>
      <c r="BR79" s="165"/>
      <c r="BS79" s="165"/>
      <c r="BT79" s="165"/>
      <c r="BU79" s="165"/>
      <c r="BV79" s="165"/>
      <c r="BW79" s="165"/>
      <c r="BX79" s="165"/>
      <c r="BY79" s="165"/>
      <c r="BZ79" s="1430"/>
      <c r="CA79" s="1430"/>
      <c r="CB79" s="1429"/>
      <c r="CC79" s="1429"/>
      <c r="CD79" s="1429"/>
      <c r="CE79" s="1429"/>
      <c r="CF79" s="1429"/>
      <c r="CG79" s="1429"/>
      <c r="CH79" s="1432"/>
      <c r="CI79" s="1432"/>
      <c r="CJ79" s="1432"/>
      <c r="CK79" s="1432"/>
      <c r="CL79" s="1432"/>
      <c r="CM79" s="1432"/>
      <c r="CN79" s="1432"/>
      <c r="CO79" s="1432"/>
    </row>
    <row r="80" spans="1:93" ht="16.2" customHeight="1" x14ac:dyDescent="0.3">
      <c r="A80" s="7320">
        <v>29101421</v>
      </c>
      <c r="B80" s="10049"/>
      <c r="C80" s="8358" t="s">
        <v>5487</v>
      </c>
      <c r="D80" s="86" t="s">
        <v>5369</v>
      </c>
      <c r="E80" s="140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5"/>
      <c r="AY80" s="165"/>
      <c r="AZ80" s="165"/>
      <c r="BA80" s="165"/>
      <c r="BB80" s="165"/>
      <c r="BC80" s="165"/>
      <c r="BD80" s="165"/>
      <c r="BE80" s="165"/>
      <c r="BF80" s="165"/>
      <c r="BG80" s="165"/>
      <c r="BH80" s="165"/>
      <c r="BI80" s="165"/>
      <c r="BJ80" s="165"/>
      <c r="BK80" s="165"/>
      <c r="BL80" s="165"/>
      <c r="BM80" s="165"/>
      <c r="BN80" s="165"/>
      <c r="BO80" s="165"/>
      <c r="BP80" s="165"/>
      <c r="BQ80" s="165"/>
      <c r="BR80" s="165"/>
      <c r="BS80" s="165"/>
      <c r="BT80" s="165"/>
      <c r="BU80" s="165"/>
      <c r="BV80" s="165"/>
      <c r="BW80" s="165"/>
      <c r="BX80" s="165"/>
      <c r="BY80" s="165"/>
      <c r="BZ80" s="1430"/>
      <c r="CA80" s="1430"/>
      <c r="CB80" s="1429"/>
      <c r="CC80" s="1429"/>
      <c r="CD80" s="1429"/>
      <c r="CE80" s="1429"/>
      <c r="CF80" s="1429"/>
      <c r="CG80" s="1429"/>
      <c r="CH80" s="1432"/>
      <c r="CI80" s="1432"/>
      <c r="CJ80" s="1432"/>
      <c r="CK80" s="1432"/>
      <c r="CL80" s="1432"/>
      <c r="CM80" s="1432"/>
      <c r="CN80" s="1432"/>
      <c r="CO80" s="1432"/>
    </row>
    <row r="81" spans="1:93" ht="38.4" customHeight="1" x14ac:dyDescent="0.3">
      <c r="A81" s="7258">
        <v>25400140</v>
      </c>
      <c r="B81" s="8704" t="s">
        <v>2008</v>
      </c>
      <c r="C81" s="3129" t="s">
        <v>2009</v>
      </c>
      <c r="D81" s="694" t="s">
        <v>5369</v>
      </c>
      <c r="E81" s="140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Q81" s="165"/>
      <c r="AR81" s="165"/>
      <c r="AS81" s="165"/>
      <c r="AT81" s="165"/>
      <c r="AU81" s="165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  <c r="BI81" s="165"/>
      <c r="BJ81" s="165"/>
      <c r="BK81" s="165"/>
      <c r="BL81" s="165"/>
      <c r="BM81" s="165"/>
      <c r="BN81" s="165"/>
      <c r="BO81" s="165"/>
      <c r="BP81" s="165"/>
      <c r="BQ81" s="165"/>
      <c r="BR81" s="165"/>
      <c r="BS81" s="165"/>
      <c r="BT81" s="165"/>
      <c r="BU81" s="165"/>
      <c r="BV81" s="165"/>
      <c r="BW81" s="165"/>
      <c r="BX81" s="165"/>
      <c r="BY81" s="165"/>
      <c r="BZ81" s="1430"/>
      <c r="CA81" s="1430"/>
      <c r="CB81" s="1429"/>
      <c r="CC81" s="1429"/>
      <c r="CD81" s="1429"/>
      <c r="CE81" s="1429"/>
      <c r="CF81" s="1429"/>
      <c r="CG81" s="1429"/>
      <c r="CH81" s="1432"/>
      <c r="CI81" s="1432"/>
      <c r="CJ81" s="1432"/>
      <c r="CK81" s="1432"/>
      <c r="CL81" s="1432"/>
      <c r="CM81" s="1432"/>
      <c r="CN81" s="1432"/>
      <c r="CO81" s="1432"/>
    </row>
    <row r="82" spans="1:93" ht="24" customHeight="1" x14ac:dyDescent="0.3">
      <c r="A82" s="7258">
        <v>25400150</v>
      </c>
      <c r="B82" s="8889"/>
      <c r="C82" s="2099" t="s">
        <v>2010</v>
      </c>
      <c r="D82" s="1657" t="s">
        <v>5369</v>
      </c>
      <c r="E82" s="140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165"/>
      <c r="AR82" s="165"/>
      <c r="AS82" s="165"/>
      <c r="AT82" s="165"/>
      <c r="AU82" s="165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  <c r="BI82" s="165"/>
      <c r="BJ82" s="165"/>
      <c r="BK82" s="165"/>
      <c r="BL82" s="165"/>
      <c r="BM82" s="165"/>
      <c r="BN82" s="165"/>
      <c r="BO82" s="165"/>
      <c r="BP82" s="165"/>
      <c r="BQ82" s="165"/>
      <c r="BR82" s="165"/>
      <c r="BS82" s="165"/>
      <c r="BT82" s="165"/>
      <c r="BU82" s="165"/>
      <c r="BV82" s="165"/>
      <c r="BW82" s="165"/>
      <c r="BX82" s="165"/>
      <c r="BY82" s="165"/>
      <c r="BZ82" s="1430"/>
      <c r="CA82" s="1430"/>
      <c r="CB82" s="1429"/>
      <c r="CC82" s="1429"/>
      <c r="CD82" s="1429"/>
      <c r="CE82" s="1429"/>
      <c r="CF82" s="1429"/>
      <c r="CG82" s="1429"/>
      <c r="CH82" s="1432"/>
      <c r="CI82" s="1432"/>
      <c r="CJ82" s="1432"/>
      <c r="CK82" s="1432"/>
      <c r="CL82" s="1432"/>
      <c r="CM82" s="1432"/>
      <c r="CN82" s="1432"/>
      <c r="CO82" s="1432"/>
    </row>
    <row r="83" spans="1:93" ht="18.600000000000001" customHeight="1" x14ac:dyDescent="0.3">
      <c r="A83" s="7320">
        <v>29101422</v>
      </c>
      <c r="B83" s="8706"/>
      <c r="C83" s="7570" t="s">
        <v>2007</v>
      </c>
      <c r="D83" s="3128" t="s">
        <v>5369</v>
      </c>
      <c r="E83" s="140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430"/>
      <c r="CA83" s="1430"/>
      <c r="CB83" s="1429"/>
      <c r="CC83" s="1429"/>
      <c r="CD83" s="1429"/>
      <c r="CE83" s="1429"/>
      <c r="CF83" s="1429"/>
      <c r="CG83" s="1429"/>
      <c r="CH83" s="1432"/>
      <c r="CI83" s="1432"/>
      <c r="CJ83" s="1432"/>
      <c r="CK83" s="1432"/>
      <c r="CL83" s="1432"/>
      <c r="CM83" s="1432"/>
      <c r="CN83" s="1432"/>
      <c r="CO83" s="1432"/>
    </row>
    <row r="84" spans="1:93" ht="16.2" customHeight="1" x14ac:dyDescent="0.3">
      <c r="A84" s="7258">
        <v>25400160</v>
      </c>
      <c r="B84" s="10557" t="s">
        <v>2011</v>
      </c>
      <c r="C84" s="10558"/>
      <c r="D84" s="1254" t="s">
        <v>5369</v>
      </c>
      <c r="E84" s="140"/>
      <c r="F84" s="16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  <c r="AP84" s="165"/>
      <c r="AQ84" s="165"/>
      <c r="AR84" s="165"/>
      <c r="AS84" s="165"/>
      <c r="AT84" s="165"/>
      <c r="AU84" s="165"/>
      <c r="AV84" s="165"/>
      <c r="AW84" s="165"/>
      <c r="AX84" s="165"/>
      <c r="AY84" s="165"/>
      <c r="AZ84" s="165"/>
      <c r="BA84" s="165"/>
      <c r="BB84" s="165"/>
      <c r="BC84" s="165"/>
      <c r="BD84" s="165"/>
      <c r="BE84" s="165"/>
      <c r="BF84" s="165"/>
      <c r="BG84" s="165"/>
      <c r="BH84" s="165"/>
      <c r="BI84" s="165"/>
      <c r="BJ84" s="165"/>
      <c r="BK84" s="165"/>
      <c r="BL84" s="165"/>
      <c r="BM84" s="165"/>
      <c r="BN84" s="165"/>
      <c r="BO84" s="165"/>
      <c r="BP84" s="165"/>
      <c r="BQ84" s="165"/>
      <c r="BR84" s="165"/>
      <c r="BS84" s="165"/>
      <c r="BT84" s="165"/>
      <c r="BU84" s="165"/>
      <c r="BV84" s="165"/>
      <c r="BW84" s="165"/>
      <c r="BX84" s="165"/>
      <c r="BY84" s="165"/>
      <c r="BZ84" s="1430"/>
      <c r="CA84" s="1430"/>
      <c r="CB84" s="1429"/>
      <c r="CC84" s="1429"/>
      <c r="CD84" s="1429"/>
      <c r="CE84" s="1429"/>
      <c r="CF84" s="1429"/>
      <c r="CG84" s="1429"/>
      <c r="CH84" s="1432"/>
      <c r="CI84" s="1432"/>
      <c r="CJ84" s="1432"/>
      <c r="CK84" s="1432"/>
      <c r="CL84" s="1432"/>
      <c r="CM84" s="1432"/>
      <c r="CN84" s="1432"/>
      <c r="CO84" s="1432"/>
    </row>
    <row r="85" spans="1:93" ht="31.95" customHeight="1" x14ac:dyDescent="0.3">
      <c r="A85"/>
      <c r="B85" s="10581" t="s">
        <v>2012</v>
      </c>
      <c r="C85" s="10581"/>
      <c r="D85" s="10581"/>
      <c r="E85" s="10581"/>
      <c r="F85" s="10581"/>
      <c r="G85" s="10581"/>
      <c r="H85" s="10581"/>
      <c r="I85" s="10581"/>
      <c r="J85" s="10581"/>
      <c r="K85" s="140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  <c r="AP85" s="165"/>
      <c r="AQ85" s="165"/>
      <c r="AR85" s="165"/>
      <c r="AS85" s="165"/>
      <c r="AT85" s="165"/>
      <c r="AU85" s="165"/>
      <c r="AV85" s="165"/>
      <c r="AW85" s="165"/>
      <c r="AX85" s="165"/>
      <c r="AY85" s="165"/>
      <c r="AZ85" s="165"/>
      <c r="BA85" s="165"/>
      <c r="BB85" s="165"/>
      <c r="BC85" s="165"/>
      <c r="BD85" s="165"/>
      <c r="BE85" s="165"/>
      <c r="BF85" s="165"/>
      <c r="BG85" s="165"/>
      <c r="BH85" s="165"/>
      <c r="BI85" s="165"/>
      <c r="BJ85" s="165"/>
      <c r="BK85" s="165"/>
      <c r="BL85" s="165"/>
      <c r="BM85" s="165"/>
      <c r="BN85" s="165"/>
      <c r="BO85" s="165"/>
      <c r="BP85" s="165"/>
      <c r="BQ85" s="165"/>
      <c r="BR85" s="165"/>
      <c r="BS85" s="165"/>
      <c r="BT85" s="165"/>
      <c r="BU85" s="165"/>
      <c r="BV85" s="165"/>
      <c r="BW85" s="165"/>
      <c r="BX85" s="165"/>
      <c r="BY85" s="165"/>
      <c r="BZ85" s="1430"/>
      <c r="CA85" s="1430"/>
      <c r="CB85" s="1429"/>
      <c r="CC85" s="1429"/>
      <c r="CD85" s="1429"/>
      <c r="CE85" s="1429"/>
      <c r="CF85" s="1429"/>
      <c r="CG85" s="1429"/>
      <c r="CH85" s="1432"/>
      <c r="CI85" s="1432"/>
      <c r="CJ85" s="1432"/>
      <c r="CK85" s="1432"/>
      <c r="CL85" s="1432"/>
      <c r="CM85" s="1432"/>
      <c r="CN85" s="1432"/>
      <c r="CO85" s="1432"/>
    </row>
    <row r="86" spans="1:93" ht="16.2" customHeight="1" x14ac:dyDescent="0.3">
      <c r="A86"/>
      <c r="B86" s="10582" t="s">
        <v>2013</v>
      </c>
      <c r="C86" s="10582"/>
      <c r="D86" s="10583" t="s">
        <v>2014</v>
      </c>
      <c r="E86" s="10583" t="s">
        <v>2015</v>
      </c>
      <c r="F86" s="10584" t="s">
        <v>2003</v>
      </c>
      <c r="G86" s="10583"/>
      <c r="H86" s="10583"/>
      <c r="I86" s="10583" t="s">
        <v>2016</v>
      </c>
      <c r="J86" s="140"/>
      <c r="K86" s="140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165"/>
      <c r="AQ86" s="165"/>
      <c r="AR86" s="165"/>
      <c r="AS86" s="165"/>
      <c r="AT86" s="165"/>
      <c r="AU86" s="165"/>
      <c r="AV86" s="165"/>
      <c r="AW86" s="165"/>
      <c r="AX86" s="165"/>
      <c r="AY86" s="165"/>
      <c r="AZ86" s="165"/>
      <c r="BA86" s="165"/>
      <c r="BB86" s="165"/>
      <c r="BC86" s="165"/>
      <c r="BD86" s="165"/>
      <c r="BE86" s="165"/>
      <c r="BF86" s="165"/>
      <c r="BG86" s="165"/>
      <c r="BH86" s="165"/>
      <c r="BI86" s="165"/>
      <c r="BJ86" s="165"/>
      <c r="BK86" s="165"/>
      <c r="BL86" s="165"/>
      <c r="BM86" s="165"/>
      <c r="BN86" s="165"/>
      <c r="BO86" s="165"/>
      <c r="BP86" s="165"/>
      <c r="BQ86" s="165"/>
      <c r="BR86" s="165"/>
      <c r="BS86" s="165"/>
      <c r="BT86" s="165"/>
      <c r="BU86" s="165"/>
      <c r="BV86" s="165"/>
      <c r="BW86" s="165"/>
      <c r="BX86" s="165"/>
      <c r="BY86" s="165"/>
      <c r="BZ86" s="1430"/>
      <c r="CA86" s="1430"/>
      <c r="CB86" s="1429"/>
      <c r="CC86" s="1429"/>
      <c r="CD86" s="1429"/>
      <c r="CE86" s="1429"/>
      <c r="CF86" s="1429"/>
      <c r="CG86" s="1429"/>
      <c r="CH86" s="1432"/>
      <c r="CI86" s="1432"/>
      <c r="CJ86" s="1432"/>
      <c r="CK86" s="1432"/>
      <c r="CL86" s="1432"/>
      <c r="CM86" s="1432"/>
      <c r="CN86" s="1432"/>
      <c r="CO86" s="1432"/>
    </row>
    <row r="87" spans="1:93" ht="16.2" customHeight="1" x14ac:dyDescent="0.3">
      <c r="A87"/>
      <c r="B87" s="10582"/>
      <c r="C87" s="10582"/>
      <c r="D87" s="10583"/>
      <c r="E87" s="10583"/>
      <c r="F87" s="1255" t="s">
        <v>2017</v>
      </c>
      <c r="G87" s="1256" t="s">
        <v>2018</v>
      </c>
      <c r="H87" s="1257" t="s">
        <v>2019</v>
      </c>
      <c r="I87" s="10584"/>
      <c r="J87" s="140"/>
      <c r="K87" s="140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  <c r="AP87" s="165"/>
      <c r="AQ87" s="165"/>
      <c r="AR87" s="165"/>
      <c r="AS87" s="165"/>
      <c r="AT87" s="165"/>
      <c r="AU87" s="165"/>
      <c r="AV87" s="165"/>
      <c r="AW87" s="165"/>
      <c r="AX87" s="165"/>
      <c r="AY87" s="165"/>
      <c r="AZ87" s="165"/>
      <c r="BA87" s="165"/>
      <c r="BB87" s="165"/>
      <c r="BC87" s="165"/>
      <c r="BD87" s="165"/>
      <c r="BE87" s="165"/>
      <c r="BF87" s="165"/>
      <c r="BG87" s="165"/>
      <c r="BH87" s="165"/>
      <c r="BI87" s="165"/>
      <c r="BJ87" s="165"/>
      <c r="BK87" s="165"/>
      <c r="BL87" s="165"/>
      <c r="BM87" s="165"/>
      <c r="BN87" s="165"/>
      <c r="BO87" s="165"/>
      <c r="BP87" s="165"/>
      <c r="BQ87" s="165"/>
      <c r="BR87" s="165"/>
      <c r="BS87" s="165"/>
      <c r="BT87" s="165"/>
      <c r="BU87" s="165"/>
      <c r="BV87" s="165"/>
      <c r="BW87" s="165"/>
      <c r="BX87" s="165"/>
      <c r="BY87" s="165"/>
      <c r="BZ87" s="1430"/>
      <c r="CA87" s="1430"/>
      <c r="CB87" s="1429"/>
      <c r="CC87" s="1429"/>
      <c r="CD87" s="1429"/>
      <c r="CE87" s="1429"/>
      <c r="CF87" s="1429"/>
      <c r="CG87" s="1429"/>
      <c r="CH87" s="1432"/>
      <c r="CI87" s="1432"/>
      <c r="CJ87" s="1432"/>
      <c r="CK87" s="1432"/>
      <c r="CL87" s="1432"/>
      <c r="CM87" s="1432"/>
      <c r="CN87" s="1432"/>
      <c r="CO87" s="1432"/>
    </row>
    <row r="88" spans="1:93" ht="16.2" customHeight="1" x14ac:dyDescent="0.3">
      <c r="A88" s="7258">
        <v>25400170</v>
      </c>
      <c r="B88" s="10585" t="s">
        <v>2020</v>
      </c>
      <c r="C88" s="10585"/>
      <c r="D88" s="8075" t="s">
        <v>5369</v>
      </c>
      <c r="E88" s="8075" t="s">
        <v>5370</v>
      </c>
      <c r="F88" s="8076" t="s">
        <v>5371</v>
      </c>
      <c r="G88" s="8077" t="s">
        <v>5372</v>
      </c>
      <c r="H88" s="8078" t="s">
        <v>5373</v>
      </c>
      <c r="I88" s="8078" t="s">
        <v>5374</v>
      </c>
      <c r="J88" s="140"/>
      <c r="K88" s="140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  <c r="AP88" s="165"/>
      <c r="AQ88" s="165"/>
      <c r="AR88" s="165"/>
      <c r="AS88" s="165"/>
      <c r="AT88" s="165"/>
      <c r="AU88" s="165"/>
      <c r="AV88" s="165"/>
      <c r="AW88" s="165"/>
      <c r="AX88" s="165"/>
      <c r="AY88" s="165"/>
      <c r="AZ88" s="165"/>
      <c r="BA88" s="165"/>
      <c r="BB88" s="165"/>
      <c r="BC88" s="165"/>
      <c r="BD88" s="165"/>
      <c r="BE88" s="165"/>
      <c r="BF88" s="165"/>
      <c r="BG88" s="165"/>
      <c r="BH88" s="165"/>
      <c r="BI88" s="165"/>
      <c r="BJ88" s="165"/>
      <c r="BK88" s="165"/>
      <c r="BL88" s="165"/>
      <c r="BM88" s="165"/>
      <c r="BN88" s="165"/>
      <c r="BO88" s="165"/>
      <c r="BP88" s="165"/>
      <c r="BQ88" s="165"/>
      <c r="BR88" s="165"/>
      <c r="BS88" s="165"/>
      <c r="BT88" s="165"/>
      <c r="BU88" s="165"/>
      <c r="BV88" s="165"/>
      <c r="BW88" s="165"/>
      <c r="BX88" s="165"/>
      <c r="BY88" s="165"/>
      <c r="BZ88" s="1430"/>
      <c r="CA88" s="1430"/>
      <c r="CB88" s="1429"/>
      <c r="CC88" s="1429"/>
      <c r="CD88" s="1429"/>
      <c r="CE88" s="1429"/>
      <c r="CF88" s="1429"/>
      <c r="CG88" s="1429"/>
      <c r="CH88" s="1432"/>
      <c r="CI88" s="1432"/>
      <c r="CJ88" s="1432"/>
      <c r="CK88" s="1432"/>
      <c r="CL88" s="1432"/>
      <c r="CM88" s="1432"/>
      <c r="CN88" s="1432"/>
      <c r="CO88" s="1432"/>
    </row>
    <row r="89" spans="1:93" ht="16.2" customHeight="1" x14ac:dyDescent="0.3">
      <c r="A89" s="7258">
        <v>25400190</v>
      </c>
      <c r="B89" s="10586" t="s">
        <v>2021</v>
      </c>
      <c r="C89" s="10586"/>
      <c r="D89" s="8079" t="s">
        <v>5369</v>
      </c>
      <c r="E89" s="8079" t="s">
        <v>5370</v>
      </c>
      <c r="F89" s="8080" t="s">
        <v>5371</v>
      </c>
      <c r="G89" s="8081" t="s">
        <v>5372</v>
      </c>
      <c r="H89" s="8082" t="s">
        <v>5373</v>
      </c>
      <c r="I89" s="8082" t="s">
        <v>5374</v>
      </c>
      <c r="J89" s="140"/>
      <c r="K89" s="140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  <c r="AP89" s="165"/>
      <c r="AQ89" s="165"/>
      <c r="AR89" s="165"/>
      <c r="AS89" s="165"/>
      <c r="AT89" s="165"/>
      <c r="AU89" s="165"/>
      <c r="AV89" s="165"/>
      <c r="AW89" s="165"/>
      <c r="AX89" s="165"/>
      <c r="AY89" s="165"/>
      <c r="AZ89" s="165"/>
      <c r="BA89" s="165"/>
      <c r="BB89" s="165"/>
      <c r="BC89" s="165"/>
      <c r="BD89" s="165"/>
      <c r="BE89" s="165"/>
      <c r="BF89" s="165"/>
      <c r="BG89" s="165"/>
      <c r="BH89" s="165"/>
      <c r="BI89" s="165"/>
      <c r="BJ89" s="165"/>
      <c r="BK89" s="165"/>
      <c r="BL89" s="165"/>
      <c r="BM89" s="165"/>
      <c r="BN89" s="165"/>
      <c r="BO89" s="165"/>
      <c r="BP89" s="165"/>
      <c r="BQ89" s="165"/>
      <c r="BR89" s="165"/>
      <c r="BS89" s="165"/>
      <c r="BT89" s="165"/>
      <c r="BU89" s="165"/>
      <c r="BV89" s="165"/>
      <c r="BW89" s="165"/>
      <c r="BX89" s="165"/>
      <c r="BY89" s="165"/>
      <c r="BZ89" s="1430"/>
      <c r="CA89" s="1430"/>
      <c r="CB89" s="1429"/>
      <c r="CC89" s="1429"/>
      <c r="CD89" s="1429"/>
      <c r="CE89" s="1429"/>
      <c r="CF89" s="1429"/>
      <c r="CG89" s="1429"/>
      <c r="CH89" s="1432"/>
      <c r="CI89" s="1432"/>
      <c r="CJ89" s="1432"/>
      <c r="CK89" s="1432"/>
      <c r="CL89" s="1432"/>
      <c r="CM89" s="1432"/>
      <c r="CN89" s="1432"/>
      <c r="CO89" s="1432"/>
    </row>
    <row r="90" spans="1:93" ht="16.2" customHeight="1" x14ac:dyDescent="0.3">
      <c r="A90" s="7320">
        <v>29101423</v>
      </c>
      <c r="B90" s="10592" t="s">
        <v>3304</v>
      </c>
      <c r="C90" s="10592"/>
      <c r="D90" s="8083" t="s">
        <v>5369</v>
      </c>
      <c r="E90" s="8083" t="s">
        <v>5370</v>
      </c>
      <c r="F90" s="8084" t="s">
        <v>5371</v>
      </c>
      <c r="G90" s="8085" t="s">
        <v>5372</v>
      </c>
      <c r="H90" s="8086" t="s">
        <v>5373</v>
      </c>
      <c r="I90" s="8086" t="s">
        <v>5374</v>
      </c>
      <c r="J90" s="140"/>
      <c r="K90" s="140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  <c r="AP90" s="165"/>
      <c r="AQ90" s="165"/>
      <c r="AR90" s="165"/>
      <c r="AS90" s="165"/>
      <c r="AT90" s="165"/>
      <c r="AU90" s="165"/>
      <c r="AV90" s="165"/>
      <c r="AW90" s="165"/>
      <c r="AX90" s="165"/>
      <c r="AY90" s="165"/>
      <c r="AZ90" s="165"/>
      <c r="BA90" s="165"/>
      <c r="BB90" s="165"/>
      <c r="BC90" s="165"/>
      <c r="BD90" s="165"/>
      <c r="BE90" s="165"/>
      <c r="BF90" s="165"/>
      <c r="BG90" s="165"/>
      <c r="BH90" s="165"/>
      <c r="BI90" s="165"/>
      <c r="BJ90" s="165"/>
      <c r="BK90" s="165"/>
      <c r="BL90" s="165"/>
      <c r="BM90" s="165"/>
      <c r="BN90" s="165"/>
      <c r="BO90" s="165"/>
      <c r="BP90" s="165"/>
      <c r="BQ90" s="165"/>
      <c r="BR90" s="165"/>
      <c r="BS90" s="165"/>
      <c r="BT90" s="165"/>
      <c r="BU90" s="165"/>
      <c r="BV90" s="165"/>
      <c r="BW90" s="165"/>
      <c r="BX90" s="165"/>
      <c r="BY90" s="165"/>
      <c r="BZ90" s="1430"/>
      <c r="CA90" s="1430"/>
      <c r="CB90" s="1429"/>
      <c r="CC90" s="1429"/>
      <c r="CD90" s="1429"/>
      <c r="CE90" s="1429"/>
      <c r="CF90" s="1429"/>
      <c r="CG90" s="1429"/>
      <c r="CH90" s="1432"/>
      <c r="CI90" s="1432"/>
      <c r="CJ90" s="1432"/>
      <c r="CK90" s="1432"/>
      <c r="CL90" s="1432"/>
      <c r="CM90" s="1432"/>
      <c r="CN90" s="1432"/>
      <c r="CO90" s="1432"/>
    </row>
    <row r="91" spans="1:93" ht="16.2" customHeight="1" x14ac:dyDescent="0.3">
      <c r="A91" s="7320">
        <v>29101424</v>
      </c>
      <c r="B91" s="10592" t="s">
        <v>3305</v>
      </c>
      <c r="C91" s="10592"/>
      <c r="D91" s="8083" t="s">
        <v>5369</v>
      </c>
      <c r="E91" s="8083" t="s">
        <v>5370</v>
      </c>
      <c r="F91" s="8084" t="s">
        <v>5371</v>
      </c>
      <c r="G91" s="8085" t="s">
        <v>5372</v>
      </c>
      <c r="H91" s="8086" t="s">
        <v>5373</v>
      </c>
      <c r="I91" s="8086" t="s">
        <v>5374</v>
      </c>
      <c r="J91" s="140"/>
      <c r="K91" s="140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  <c r="AO91" s="165"/>
      <c r="AP91" s="165"/>
      <c r="AQ91" s="165"/>
      <c r="AR91" s="165"/>
      <c r="AS91" s="165"/>
      <c r="AT91" s="165"/>
      <c r="AU91" s="165"/>
      <c r="AV91" s="165"/>
      <c r="AW91" s="165"/>
      <c r="AX91" s="165"/>
      <c r="AY91" s="165"/>
      <c r="AZ91" s="165"/>
      <c r="BA91" s="165"/>
      <c r="BB91" s="165"/>
      <c r="BC91" s="165"/>
      <c r="BD91" s="165"/>
      <c r="BE91" s="165"/>
      <c r="BF91" s="165"/>
      <c r="BG91" s="165"/>
      <c r="BH91" s="165"/>
      <c r="BI91" s="165"/>
      <c r="BJ91" s="165"/>
      <c r="BK91" s="165"/>
      <c r="BL91" s="165"/>
      <c r="BM91" s="165"/>
      <c r="BN91" s="165"/>
      <c r="BO91" s="165"/>
      <c r="BP91" s="165"/>
      <c r="BQ91" s="165"/>
      <c r="BR91" s="165"/>
      <c r="BS91" s="165"/>
      <c r="BT91" s="165"/>
      <c r="BU91" s="165"/>
      <c r="BV91" s="165"/>
      <c r="BW91" s="165"/>
      <c r="BX91" s="165"/>
      <c r="BY91" s="165"/>
      <c r="BZ91" s="1430"/>
      <c r="CA91" s="1430"/>
      <c r="CB91" s="1429"/>
      <c r="CC91" s="1429"/>
      <c r="CD91" s="1429"/>
      <c r="CE91" s="1429"/>
      <c r="CF91" s="1429"/>
      <c r="CG91" s="1429"/>
      <c r="CH91" s="1432"/>
      <c r="CI91" s="1432"/>
      <c r="CJ91" s="1432"/>
      <c r="CK91" s="1432"/>
      <c r="CL91" s="1432"/>
      <c r="CM91" s="1432"/>
      <c r="CN91" s="1432"/>
      <c r="CO91" s="1432"/>
    </row>
    <row r="92" spans="1:93" ht="16.2" customHeight="1" x14ac:dyDescent="0.3">
      <c r="A92" s="7258">
        <v>25505000</v>
      </c>
      <c r="B92" s="10587" t="s">
        <v>70</v>
      </c>
      <c r="C92" s="10587"/>
      <c r="D92" s="8087" t="s">
        <v>5369</v>
      </c>
      <c r="E92" s="8087" t="s">
        <v>5370</v>
      </c>
      <c r="F92" s="8088" t="s">
        <v>5371</v>
      </c>
      <c r="G92" s="8089" t="s">
        <v>5372</v>
      </c>
      <c r="H92" s="8090" t="s">
        <v>5373</v>
      </c>
      <c r="I92" s="8090" t="s">
        <v>5374</v>
      </c>
      <c r="J92" s="140"/>
      <c r="K92" s="140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  <c r="AH92" s="165"/>
      <c r="AI92" s="165"/>
      <c r="AJ92" s="165"/>
      <c r="AK92" s="165"/>
      <c r="AL92" s="165"/>
      <c r="AM92" s="165"/>
      <c r="AN92" s="165"/>
      <c r="AO92" s="165"/>
      <c r="AP92" s="165"/>
      <c r="AQ92" s="165"/>
      <c r="AR92" s="165"/>
      <c r="AS92" s="165"/>
      <c r="AT92" s="165"/>
      <c r="AU92" s="165"/>
      <c r="AV92" s="165"/>
      <c r="AW92" s="165"/>
      <c r="AX92" s="165"/>
      <c r="AY92" s="165"/>
      <c r="AZ92" s="165"/>
      <c r="BA92" s="165"/>
      <c r="BB92" s="165"/>
      <c r="BC92" s="165"/>
      <c r="BD92" s="165"/>
      <c r="BE92" s="165"/>
      <c r="BF92" s="165"/>
      <c r="BG92" s="165"/>
      <c r="BH92" s="165"/>
      <c r="BI92" s="165"/>
      <c r="BJ92" s="165"/>
      <c r="BK92" s="165"/>
      <c r="BL92" s="165"/>
      <c r="BM92" s="165"/>
      <c r="BN92" s="165"/>
      <c r="BO92" s="165"/>
      <c r="BP92" s="165"/>
      <c r="BQ92" s="165"/>
      <c r="BR92" s="165"/>
      <c r="BS92" s="165"/>
      <c r="BT92" s="165"/>
      <c r="BU92" s="165"/>
      <c r="BV92" s="165"/>
      <c r="BW92" s="165"/>
      <c r="BX92" s="165"/>
      <c r="BY92" s="165"/>
      <c r="BZ92" s="1430"/>
      <c r="CA92" s="1430"/>
      <c r="CB92" s="1429"/>
      <c r="CC92" s="1429"/>
      <c r="CD92" s="1429"/>
      <c r="CE92" s="1429"/>
      <c r="CF92" s="1429"/>
      <c r="CG92" s="1429"/>
      <c r="CH92" s="1432"/>
      <c r="CI92" s="1432"/>
      <c r="CJ92" s="1432"/>
      <c r="CK92" s="1432"/>
      <c r="CL92" s="1432"/>
      <c r="CM92" s="1432"/>
      <c r="CN92" s="1432"/>
      <c r="CO92" s="1432"/>
    </row>
    <row r="93" spans="1:93" ht="16.2" customHeight="1" x14ac:dyDescent="0.3">
      <c r="A93" s="7298"/>
      <c r="B93" s="10588" t="s">
        <v>24</v>
      </c>
      <c r="C93" s="10588"/>
      <c r="D93" s="1232">
        <f t="shared" ref="D93:I93" si="3">SUM(D88:D92)</f>
        <v>0</v>
      </c>
      <c r="E93" s="1232">
        <f t="shared" si="3"/>
        <v>0</v>
      </c>
      <c r="F93" s="1109">
        <f t="shared" si="3"/>
        <v>0</v>
      </c>
      <c r="G93" s="1224">
        <f t="shared" si="3"/>
        <v>0</v>
      </c>
      <c r="H93" s="1258">
        <f t="shared" si="3"/>
        <v>0</v>
      </c>
      <c r="I93" s="1108">
        <f t="shared" si="3"/>
        <v>0</v>
      </c>
      <c r="J93" s="153"/>
      <c r="K93" s="140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  <c r="AH93" s="165"/>
      <c r="AI93" s="165"/>
      <c r="AJ93" s="165"/>
      <c r="AK93" s="165"/>
      <c r="AL93" s="165"/>
      <c r="AM93" s="165"/>
      <c r="AN93" s="165"/>
      <c r="AO93" s="165"/>
      <c r="AP93" s="165"/>
      <c r="AQ93" s="165"/>
      <c r="AR93" s="165"/>
      <c r="AS93" s="165"/>
      <c r="AT93" s="165"/>
      <c r="AU93" s="165"/>
      <c r="AV93" s="165"/>
      <c r="AW93" s="165"/>
      <c r="AX93" s="165"/>
      <c r="AY93" s="165"/>
      <c r="AZ93" s="165"/>
      <c r="BA93" s="165"/>
      <c r="BB93" s="165"/>
      <c r="BC93" s="165"/>
      <c r="BD93" s="165"/>
      <c r="BE93" s="165"/>
      <c r="BF93" s="165"/>
      <c r="BG93" s="165"/>
      <c r="BH93" s="165"/>
      <c r="BI93" s="165"/>
      <c r="BJ93" s="165"/>
      <c r="BK93" s="165"/>
      <c r="BL93" s="165"/>
      <c r="BM93" s="165"/>
      <c r="BN93" s="165"/>
      <c r="BO93" s="165"/>
      <c r="BP93" s="165"/>
      <c r="BQ93" s="165"/>
      <c r="BR93" s="165"/>
      <c r="BS93" s="165"/>
      <c r="BT93" s="165"/>
      <c r="BU93" s="165"/>
      <c r="BV93" s="165"/>
      <c r="BW93" s="165"/>
      <c r="BX93" s="165"/>
      <c r="BY93" s="165"/>
      <c r="BZ93" s="1430"/>
      <c r="CA93" s="1430"/>
      <c r="CB93" s="1429"/>
      <c r="CC93" s="1429"/>
      <c r="CD93" s="1429"/>
      <c r="CE93" s="1429"/>
      <c r="CF93" s="1429"/>
      <c r="CG93" s="1429"/>
      <c r="CH93" s="1432"/>
      <c r="CI93" s="1432"/>
      <c r="CJ93" s="1432"/>
      <c r="CK93" s="1432"/>
      <c r="CL93" s="1432"/>
      <c r="CM93" s="1432"/>
      <c r="CN93" s="1432"/>
      <c r="CO93" s="1432"/>
    </row>
    <row r="94" spans="1:93" ht="16.2" customHeight="1" x14ac:dyDescent="0.3">
      <c r="A94"/>
      <c r="B94" s="1310" t="s">
        <v>2022</v>
      </c>
      <c r="C94" s="165"/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  <c r="AH94" s="165"/>
      <c r="AI94" s="165"/>
      <c r="AJ94" s="165"/>
      <c r="AK94" s="165"/>
      <c r="AL94" s="165"/>
      <c r="AM94" s="165"/>
      <c r="AN94" s="165"/>
      <c r="AO94" s="165"/>
      <c r="AP94" s="165"/>
      <c r="AQ94" s="165"/>
      <c r="AR94" s="165"/>
      <c r="AS94" s="165"/>
      <c r="AT94" s="165"/>
      <c r="AU94" s="165"/>
      <c r="AV94" s="165"/>
      <c r="AW94" s="165"/>
      <c r="AX94" s="165"/>
      <c r="AY94" s="165"/>
      <c r="AZ94" s="165"/>
      <c r="BA94" s="165"/>
      <c r="BB94" s="165"/>
      <c r="BC94" s="165"/>
      <c r="BD94" s="165"/>
      <c r="BE94" s="165"/>
      <c r="BF94" s="165"/>
      <c r="BG94" s="165"/>
      <c r="BH94" s="165"/>
      <c r="BI94" s="165"/>
      <c r="BJ94" s="165"/>
      <c r="BK94" s="165"/>
      <c r="BL94" s="165"/>
      <c r="BM94" s="165"/>
      <c r="BN94" s="165"/>
      <c r="BO94" s="165"/>
      <c r="BP94" s="165"/>
      <c r="BQ94" s="165"/>
      <c r="BR94" s="165"/>
      <c r="BS94" s="165"/>
      <c r="BT94" s="165"/>
      <c r="BU94" s="165"/>
      <c r="BV94" s="165"/>
      <c r="BW94" s="165"/>
      <c r="BX94" s="165"/>
      <c r="BY94" s="165"/>
      <c r="BZ94" s="1430"/>
      <c r="CA94" s="1430"/>
      <c r="CB94" s="1429"/>
      <c r="CC94" s="1429"/>
      <c r="CD94" s="1429"/>
      <c r="CE94" s="1429"/>
      <c r="CF94" s="1429"/>
      <c r="CG94" s="1429"/>
      <c r="CH94" s="1432"/>
      <c r="CI94" s="1432"/>
      <c r="CJ94" s="1432"/>
      <c r="CK94" s="1432"/>
      <c r="CL94" s="1432"/>
      <c r="CM94" s="1432"/>
      <c r="CN94" s="1432"/>
      <c r="CO94" s="1432"/>
    </row>
    <row r="95" spans="1:93" ht="31.95" customHeight="1" x14ac:dyDescent="0.3">
      <c r="A95"/>
      <c r="B95" s="10527" t="s">
        <v>2023</v>
      </c>
      <c r="C95" s="10527"/>
      <c r="D95" s="10527"/>
      <c r="E95" s="10527"/>
      <c r="F95" s="10527"/>
      <c r="G95" s="10527"/>
      <c r="H95" s="10527"/>
      <c r="I95" s="10527"/>
      <c r="J95" s="10527"/>
      <c r="K95" s="10527"/>
      <c r="L95" s="10527"/>
      <c r="M95" s="10527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  <c r="AH95" s="165"/>
      <c r="AI95" s="165"/>
      <c r="AJ95" s="165"/>
      <c r="AK95" s="165"/>
      <c r="AL95" s="165"/>
      <c r="AM95" s="165"/>
      <c r="AN95" s="165"/>
      <c r="AO95" s="165"/>
      <c r="AP95" s="165"/>
      <c r="AQ95" s="165"/>
      <c r="AR95" s="165"/>
      <c r="AS95" s="165"/>
      <c r="AT95" s="165"/>
      <c r="AU95" s="165"/>
      <c r="AV95" s="165"/>
      <c r="AW95" s="165"/>
      <c r="AX95" s="165"/>
      <c r="AY95" s="165"/>
      <c r="AZ95" s="165"/>
      <c r="BA95" s="165"/>
      <c r="BB95" s="165"/>
      <c r="BC95" s="165"/>
      <c r="BD95" s="165"/>
      <c r="BE95" s="165"/>
      <c r="BF95" s="165"/>
      <c r="BG95" s="165"/>
      <c r="BH95" s="165"/>
      <c r="BI95" s="165"/>
      <c r="BJ95" s="165"/>
      <c r="BK95" s="165"/>
      <c r="BL95" s="165"/>
      <c r="BM95" s="165"/>
      <c r="BN95" s="165"/>
      <c r="BO95" s="165"/>
      <c r="BP95" s="165"/>
      <c r="BQ95" s="165"/>
      <c r="BR95" s="165"/>
      <c r="BS95" s="165"/>
      <c r="BT95" s="165"/>
      <c r="BU95" s="165"/>
      <c r="BV95" s="165"/>
      <c r="BW95" s="165"/>
      <c r="BX95" s="165"/>
      <c r="BY95" s="165"/>
      <c r="BZ95" s="1430"/>
      <c r="CA95" s="1430"/>
      <c r="CB95" s="1429"/>
      <c r="CC95" s="1429"/>
      <c r="CD95" s="1429"/>
      <c r="CE95" s="1429"/>
      <c r="CF95" s="1429"/>
      <c r="CG95" s="1429"/>
      <c r="CH95" s="1432"/>
      <c r="CI95" s="1432"/>
      <c r="CJ95" s="1432"/>
      <c r="CK95" s="1432"/>
      <c r="CL95" s="1432"/>
      <c r="CM95" s="1432"/>
      <c r="CN95" s="1432"/>
      <c r="CO95" s="1432"/>
    </row>
    <row r="96" spans="1:93" ht="16.2" customHeight="1" x14ac:dyDescent="0.3">
      <c r="A96"/>
      <c r="B96" s="10582" t="s">
        <v>2013</v>
      </c>
      <c r="C96" s="10582"/>
      <c r="D96" s="10583" t="s">
        <v>2014</v>
      </c>
      <c r="E96" s="10583" t="s">
        <v>2015</v>
      </c>
      <c r="F96" s="10589" t="s">
        <v>2003</v>
      </c>
      <c r="G96" s="10590"/>
      <c r="H96" s="10591"/>
      <c r="I96" s="10584" t="s">
        <v>2016</v>
      </c>
      <c r="J96" s="140"/>
      <c r="K96" s="140"/>
      <c r="L96" s="140"/>
      <c r="M96" s="71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  <c r="AH96" s="165"/>
      <c r="AI96" s="165"/>
      <c r="AJ96" s="165"/>
      <c r="AK96" s="165"/>
      <c r="AL96" s="165"/>
      <c r="AM96" s="165"/>
      <c r="AN96" s="165"/>
      <c r="AO96" s="165"/>
      <c r="AP96" s="165"/>
      <c r="AQ96" s="165"/>
      <c r="AR96" s="165"/>
      <c r="AS96" s="165"/>
      <c r="AT96" s="165"/>
      <c r="AU96" s="165"/>
      <c r="AV96" s="165"/>
      <c r="AW96" s="165"/>
      <c r="AX96" s="165"/>
      <c r="AY96" s="165"/>
      <c r="AZ96" s="165"/>
      <c r="BA96" s="165"/>
      <c r="BB96" s="165"/>
      <c r="BC96" s="165"/>
      <c r="BD96" s="165"/>
      <c r="BE96" s="165"/>
      <c r="BF96" s="165"/>
      <c r="BG96" s="165"/>
      <c r="BH96" s="165"/>
      <c r="BI96" s="165"/>
      <c r="BJ96" s="165"/>
      <c r="BK96" s="165"/>
      <c r="BL96" s="165"/>
      <c r="BM96" s="165"/>
      <c r="BN96" s="165"/>
      <c r="BO96" s="165"/>
      <c r="BP96" s="165"/>
      <c r="BQ96" s="165"/>
      <c r="BR96" s="165"/>
      <c r="BS96" s="165"/>
      <c r="BT96" s="165"/>
      <c r="BU96" s="165"/>
      <c r="BV96" s="165"/>
      <c r="BW96" s="165"/>
      <c r="BX96" s="165"/>
      <c r="BY96" s="165"/>
      <c r="BZ96" s="1430"/>
      <c r="CA96" s="1430"/>
      <c r="CB96" s="1429"/>
      <c r="CC96" s="1429"/>
      <c r="CD96" s="1429"/>
      <c r="CE96" s="1429"/>
      <c r="CF96" s="1429"/>
      <c r="CG96" s="1429"/>
      <c r="CH96" s="1432"/>
      <c r="CI96" s="1432"/>
      <c r="CJ96" s="1432"/>
      <c r="CK96" s="1432"/>
      <c r="CL96" s="1432"/>
      <c r="CM96" s="1432"/>
      <c r="CN96" s="1432"/>
      <c r="CO96" s="1432"/>
    </row>
    <row r="97" spans="1:93" ht="16.2" customHeight="1" x14ac:dyDescent="0.3">
      <c r="A97"/>
      <c r="B97" s="10582"/>
      <c r="C97" s="10582"/>
      <c r="D97" s="10583"/>
      <c r="E97" s="10583"/>
      <c r="F97" s="1259" t="s">
        <v>2017</v>
      </c>
      <c r="G97" s="1256" t="s">
        <v>2018</v>
      </c>
      <c r="H97" s="1250" t="s">
        <v>2019</v>
      </c>
      <c r="I97" s="10584"/>
      <c r="J97" s="140"/>
      <c r="K97" s="140"/>
      <c r="L97" s="140"/>
      <c r="M97" s="71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  <c r="AH97" s="165"/>
      <c r="AI97" s="165"/>
      <c r="AJ97" s="165"/>
      <c r="AK97" s="165"/>
      <c r="AL97" s="165"/>
      <c r="AM97" s="165"/>
      <c r="AN97" s="165"/>
      <c r="AO97" s="165"/>
      <c r="AP97" s="165"/>
      <c r="AQ97" s="165"/>
      <c r="AR97" s="165"/>
      <c r="AS97" s="165"/>
      <c r="AT97" s="165"/>
      <c r="AU97" s="165"/>
      <c r="AV97" s="165"/>
      <c r="AW97" s="165"/>
      <c r="AX97" s="165"/>
      <c r="AY97" s="165"/>
      <c r="AZ97" s="165"/>
      <c r="BA97" s="165"/>
      <c r="BB97" s="165"/>
      <c r="BC97" s="165"/>
      <c r="BD97" s="165"/>
      <c r="BE97" s="165"/>
      <c r="BF97" s="165"/>
      <c r="BG97" s="165"/>
      <c r="BH97" s="165"/>
      <c r="BI97" s="165"/>
      <c r="BJ97" s="165"/>
      <c r="BK97" s="165"/>
      <c r="BL97" s="165"/>
      <c r="BM97" s="165"/>
      <c r="BN97" s="165"/>
      <c r="BO97" s="165"/>
      <c r="BP97" s="165"/>
      <c r="BQ97" s="165"/>
      <c r="BR97" s="165"/>
      <c r="BS97" s="165"/>
      <c r="BT97" s="165"/>
      <c r="BU97" s="165"/>
      <c r="BV97" s="165"/>
      <c r="BW97" s="165"/>
      <c r="BX97" s="165"/>
      <c r="BY97" s="165"/>
      <c r="BZ97" s="1430"/>
      <c r="CA97" s="1430"/>
      <c r="CB97" s="1429"/>
      <c r="CC97" s="1429"/>
      <c r="CD97" s="1429"/>
      <c r="CE97" s="1429"/>
      <c r="CF97" s="1429"/>
      <c r="CG97" s="1429"/>
      <c r="CH97" s="1432"/>
      <c r="CI97" s="1432"/>
      <c r="CJ97" s="1432"/>
      <c r="CK97" s="1432"/>
      <c r="CL97" s="1432"/>
      <c r="CM97" s="1432"/>
      <c r="CN97" s="1432"/>
      <c r="CO97" s="1432"/>
    </row>
    <row r="98" spans="1:93" ht="16.2" customHeight="1" x14ac:dyDescent="0.3">
      <c r="A98" s="7258" t="s">
        <v>5074</v>
      </c>
      <c r="B98" s="10585" t="s">
        <v>2021</v>
      </c>
      <c r="C98" s="10585"/>
      <c r="D98" s="8075" t="s">
        <v>5369</v>
      </c>
      <c r="E98" s="8075" t="s">
        <v>5370</v>
      </c>
      <c r="F98" s="8091" t="s">
        <v>5371</v>
      </c>
      <c r="G98" s="8077" t="s">
        <v>5372</v>
      </c>
      <c r="H98" s="8092" t="s">
        <v>5373</v>
      </c>
      <c r="I98" s="8078" t="s">
        <v>5374</v>
      </c>
      <c r="J98" s="140"/>
      <c r="K98" s="140"/>
      <c r="L98" s="140"/>
      <c r="M98" s="140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  <c r="AH98" s="165"/>
      <c r="AI98" s="165"/>
      <c r="AJ98" s="165"/>
      <c r="AK98" s="165"/>
      <c r="AL98" s="165"/>
      <c r="AM98" s="165"/>
      <c r="AN98" s="165"/>
      <c r="AO98" s="165"/>
      <c r="AP98" s="165"/>
      <c r="AQ98" s="165"/>
      <c r="AR98" s="165"/>
      <c r="AS98" s="165"/>
      <c r="AT98" s="165"/>
      <c r="AU98" s="165"/>
      <c r="AV98" s="165"/>
      <c r="AW98" s="165"/>
      <c r="AX98" s="165"/>
      <c r="AY98" s="165"/>
      <c r="AZ98" s="165"/>
      <c r="BA98" s="165"/>
      <c r="BB98" s="165"/>
      <c r="BC98" s="165"/>
      <c r="BD98" s="165"/>
      <c r="BE98" s="165"/>
      <c r="BF98" s="165"/>
      <c r="BG98" s="165"/>
      <c r="BH98" s="165"/>
      <c r="BI98" s="165"/>
      <c r="BJ98" s="165"/>
      <c r="BK98" s="165"/>
      <c r="BL98" s="165"/>
      <c r="BM98" s="165"/>
      <c r="BN98" s="165"/>
      <c r="BO98" s="165"/>
      <c r="BP98" s="165"/>
      <c r="BQ98" s="165"/>
      <c r="BR98" s="165"/>
      <c r="BS98" s="165"/>
      <c r="BT98" s="165"/>
      <c r="BU98" s="165"/>
      <c r="BV98" s="165"/>
      <c r="BW98" s="165"/>
      <c r="BX98" s="165"/>
      <c r="BY98" s="165"/>
      <c r="BZ98" s="1430"/>
      <c r="CA98" s="1430"/>
      <c r="CB98" s="1429"/>
      <c r="CC98" s="1429"/>
      <c r="CD98" s="1429"/>
      <c r="CE98" s="1429"/>
      <c r="CF98" s="1429"/>
      <c r="CG98" s="1429"/>
      <c r="CH98" s="1432"/>
      <c r="CI98" s="1432"/>
      <c r="CJ98" s="1432"/>
      <c r="CK98" s="1432"/>
      <c r="CL98" s="1432"/>
      <c r="CM98" s="1432"/>
      <c r="CN98" s="1432"/>
      <c r="CO98" s="1432"/>
    </row>
    <row r="99" spans="1:93" ht="16.2" customHeight="1" x14ac:dyDescent="0.3">
      <c r="A99" s="7258">
        <v>25502300</v>
      </c>
      <c r="B99" s="10586" t="s">
        <v>2024</v>
      </c>
      <c r="C99" s="10586"/>
      <c r="D99" s="8093" t="s">
        <v>5369</v>
      </c>
      <c r="E99" s="8093" t="s">
        <v>5370</v>
      </c>
      <c r="F99" s="8094" t="s">
        <v>5371</v>
      </c>
      <c r="G99" s="8095" t="s">
        <v>5372</v>
      </c>
      <c r="H99" s="8096" t="s">
        <v>5373</v>
      </c>
      <c r="I99" s="8097" t="s">
        <v>5374</v>
      </c>
      <c r="J99" s="140"/>
      <c r="K99" s="140"/>
      <c r="L99" s="140"/>
      <c r="M99" s="140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  <c r="AH99" s="165"/>
      <c r="AI99" s="165"/>
      <c r="AJ99" s="165"/>
      <c r="AK99" s="165"/>
      <c r="AL99" s="165"/>
      <c r="AM99" s="165"/>
      <c r="AN99" s="165"/>
      <c r="AO99" s="165"/>
      <c r="AP99" s="165"/>
      <c r="AQ99" s="165"/>
      <c r="AR99" s="165"/>
      <c r="AS99" s="165"/>
      <c r="AT99" s="165"/>
      <c r="AU99" s="165"/>
      <c r="AV99" s="165"/>
      <c r="AW99" s="165"/>
      <c r="AX99" s="165"/>
      <c r="AY99" s="165"/>
      <c r="AZ99" s="165"/>
      <c r="BA99" s="165"/>
      <c r="BB99" s="165"/>
      <c r="BC99" s="165"/>
      <c r="BD99" s="165"/>
      <c r="BE99" s="165"/>
      <c r="BF99" s="165"/>
      <c r="BG99" s="165"/>
      <c r="BH99" s="165"/>
      <c r="BI99" s="165"/>
      <c r="BJ99" s="165"/>
      <c r="BK99" s="165"/>
      <c r="BL99" s="165"/>
      <c r="BM99" s="165"/>
      <c r="BN99" s="165"/>
      <c r="BO99" s="165"/>
      <c r="BP99" s="165"/>
      <c r="BQ99" s="165"/>
      <c r="BR99" s="165"/>
      <c r="BS99" s="165"/>
      <c r="BT99" s="165"/>
      <c r="BU99" s="165"/>
      <c r="BV99" s="165"/>
      <c r="BW99" s="165"/>
      <c r="BX99" s="165"/>
      <c r="BY99" s="165"/>
      <c r="BZ99" s="1430"/>
      <c r="CA99" s="1430"/>
      <c r="CB99" s="1429"/>
      <c r="CC99" s="1429"/>
      <c r="CD99" s="1429"/>
      <c r="CE99" s="1429"/>
      <c r="CF99" s="1429"/>
      <c r="CG99" s="1429"/>
      <c r="CH99" s="1432"/>
      <c r="CI99" s="1432"/>
      <c r="CJ99" s="1432"/>
      <c r="CK99" s="1432"/>
      <c r="CL99" s="1432"/>
      <c r="CM99" s="1432"/>
      <c r="CN99" s="1432"/>
      <c r="CO99" s="1432"/>
    </row>
    <row r="100" spans="1:93" ht="16.2" customHeight="1" x14ac:dyDescent="0.3">
      <c r="A100" s="7258">
        <v>25502400</v>
      </c>
      <c r="B100" s="10602" t="s">
        <v>2025</v>
      </c>
      <c r="C100" s="10602"/>
      <c r="D100" s="8093" t="s">
        <v>5369</v>
      </c>
      <c r="E100" s="8093" t="s">
        <v>5370</v>
      </c>
      <c r="F100" s="8094" t="s">
        <v>5371</v>
      </c>
      <c r="G100" s="8095" t="s">
        <v>5372</v>
      </c>
      <c r="H100" s="8096" t="s">
        <v>5373</v>
      </c>
      <c r="I100" s="8097" t="s">
        <v>5374</v>
      </c>
      <c r="J100" s="140"/>
      <c r="K100" s="140"/>
      <c r="L100" s="140"/>
      <c r="M100" s="140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  <c r="AH100" s="165"/>
      <c r="AI100" s="165"/>
      <c r="AJ100" s="165"/>
      <c r="AK100" s="165"/>
      <c r="AL100" s="165"/>
      <c r="AM100" s="165"/>
      <c r="AN100" s="165"/>
      <c r="AO100" s="165"/>
      <c r="AP100" s="165"/>
      <c r="AQ100" s="165"/>
      <c r="AR100" s="165"/>
      <c r="AS100" s="165"/>
      <c r="AT100" s="165"/>
      <c r="AU100" s="165"/>
      <c r="AV100" s="165"/>
      <c r="AW100" s="165"/>
      <c r="AX100" s="165"/>
      <c r="AY100" s="165"/>
      <c r="AZ100" s="165"/>
      <c r="BA100" s="165"/>
      <c r="BB100" s="165"/>
      <c r="BC100" s="165"/>
      <c r="BD100" s="165"/>
      <c r="BE100" s="165"/>
      <c r="BF100" s="165"/>
      <c r="BG100" s="165"/>
      <c r="BH100" s="165"/>
      <c r="BI100" s="165"/>
      <c r="BJ100" s="165"/>
      <c r="BK100" s="165"/>
      <c r="BL100" s="165"/>
      <c r="BM100" s="165"/>
      <c r="BN100" s="165"/>
      <c r="BO100" s="165"/>
      <c r="BP100" s="165"/>
      <c r="BQ100" s="165"/>
      <c r="BR100" s="165"/>
      <c r="BS100" s="165"/>
      <c r="BT100" s="165"/>
      <c r="BU100" s="165"/>
      <c r="BV100" s="165"/>
      <c r="BW100" s="165"/>
      <c r="BX100" s="165"/>
      <c r="BY100" s="165"/>
      <c r="BZ100" s="1430"/>
      <c r="CA100" s="1430"/>
      <c r="CB100" s="1429"/>
      <c r="CC100" s="1429"/>
      <c r="CD100" s="1429"/>
      <c r="CE100" s="1429"/>
      <c r="CF100" s="1429"/>
      <c r="CG100" s="1429"/>
      <c r="CH100" s="1432"/>
      <c r="CI100" s="1432"/>
      <c r="CJ100" s="1432"/>
      <c r="CK100" s="1432"/>
      <c r="CL100" s="1432"/>
      <c r="CM100" s="1432"/>
      <c r="CN100" s="1432"/>
      <c r="CO100" s="1432"/>
    </row>
    <row r="101" spans="1:93" ht="16.2" customHeight="1" x14ac:dyDescent="0.3">
      <c r="A101" s="7258">
        <v>25502500</v>
      </c>
      <c r="B101" s="10586" t="s">
        <v>2026</v>
      </c>
      <c r="C101" s="10586"/>
      <c r="D101" s="8093" t="s">
        <v>5369</v>
      </c>
      <c r="E101" s="8093" t="s">
        <v>5370</v>
      </c>
      <c r="F101" s="8094" t="s">
        <v>5371</v>
      </c>
      <c r="G101" s="8095" t="s">
        <v>5372</v>
      </c>
      <c r="H101" s="8096" t="s">
        <v>5373</v>
      </c>
      <c r="I101" s="8097" t="s">
        <v>5374</v>
      </c>
      <c r="J101" s="140"/>
      <c r="K101" s="140"/>
      <c r="L101" s="140"/>
      <c r="M101" s="140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  <c r="AH101" s="165"/>
      <c r="AI101" s="165"/>
      <c r="AJ101" s="165"/>
      <c r="AK101" s="165"/>
      <c r="AL101" s="165"/>
      <c r="AM101" s="165"/>
      <c r="AN101" s="165"/>
      <c r="AO101" s="165"/>
      <c r="AP101" s="165"/>
      <c r="AQ101" s="165"/>
      <c r="AR101" s="165"/>
      <c r="AS101" s="165"/>
      <c r="AT101" s="165"/>
      <c r="AU101" s="165"/>
      <c r="AV101" s="165"/>
      <c r="AW101" s="165"/>
      <c r="AX101" s="165"/>
      <c r="AY101" s="165"/>
      <c r="AZ101" s="165"/>
      <c r="BA101" s="165"/>
      <c r="BB101" s="165"/>
      <c r="BC101" s="165"/>
      <c r="BD101" s="165"/>
      <c r="BE101" s="165"/>
      <c r="BF101" s="165"/>
      <c r="BG101" s="165"/>
      <c r="BH101" s="165"/>
      <c r="BI101" s="165"/>
      <c r="BJ101" s="165"/>
      <c r="BK101" s="165"/>
      <c r="BL101" s="165"/>
      <c r="BM101" s="165"/>
      <c r="BN101" s="165"/>
      <c r="BO101" s="165"/>
      <c r="BP101" s="165"/>
      <c r="BQ101" s="165"/>
      <c r="BR101" s="165"/>
      <c r="BS101" s="165"/>
      <c r="BT101" s="165"/>
      <c r="BU101" s="165"/>
      <c r="BV101" s="165"/>
      <c r="BW101" s="165"/>
      <c r="BX101" s="165"/>
      <c r="BY101" s="165"/>
      <c r="BZ101" s="1430"/>
      <c r="CA101" s="1430"/>
      <c r="CB101" s="1429"/>
      <c r="CC101" s="1429"/>
      <c r="CD101" s="1429"/>
      <c r="CE101" s="1429"/>
      <c r="CF101" s="1429"/>
      <c r="CG101" s="1429"/>
      <c r="CH101" s="1432"/>
      <c r="CI101" s="1432"/>
      <c r="CJ101" s="1432"/>
      <c r="CK101" s="1432"/>
      <c r="CL101" s="1432"/>
      <c r="CM101" s="1432"/>
      <c r="CN101" s="1432"/>
      <c r="CO101" s="1432"/>
    </row>
    <row r="102" spans="1:93" ht="16.2" customHeight="1" x14ac:dyDescent="0.3">
      <c r="A102" s="7258">
        <v>25502600</v>
      </c>
      <c r="B102" s="10603" t="s">
        <v>70</v>
      </c>
      <c r="C102" s="10603"/>
      <c r="D102" s="8087" t="s">
        <v>5369</v>
      </c>
      <c r="E102" s="8098" t="s">
        <v>5370</v>
      </c>
      <c r="F102" s="8099" t="s">
        <v>5371</v>
      </c>
      <c r="G102" s="8089" t="s">
        <v>5372</v>
      </c>
      <c r="H102" s="8100" t="s">
        <v>5373</v>
      </c>
      <c r="I102" s="8090" t="s">
        <v>5374</v>
      </c>
      <c r="J102" s="140"/>
      <c r="K102" s="140"/>
      <c r="L102" s="140"/>
      <c r="M102" s="140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  <c r="AH102" s="165"/>
      <c r="AI102" s="165"/>
      <c r="AJ102" s="165"/>
      <c r="AK102" s="165"/>
      <c r="AL102" s="165"/>
      <c r="AM102" s="165"/>
      <c r="AN102" s="165"/>
      <c r="AO102" s="165"/>
      <c r="AP102" s="165"/>
      <c r="AQ102" s="165"/>
      <c r="AR102" s="165"/>
      <c r="AS102" s="165"/>
      <c r="AT102" s="165"/>
      <c r="AU102" s="165"/>
      <c r="AV102" s="165"/>
      <c r="AW102" s="165"/>
      <c r="AX102" s="165"/>
      <c r="AY102" s="165"/>
      <c r="AZ102" s="165"/>
      <c r="BA102" s="165"/>
      <c r="BB102" s="165"/>
      <c r="BC102" s="165"/>
      <c r="BD102" s="165"/>
      <c r="BE102" s="165"/>
      <c r="BF102" s="165"/>
      <c r="BG102" s="165"/>
      <c r="BH102" s="165"/>
      <c r="BI102" s="165"/>
      <c r="BJ102" s="165"/>
      <c r="BK102" s="165"/>
      <c r="BL102" s="165"/>
      <c r="BM102" s="165"/>
      <c r="BN102" s="165"/>
      <c r="BO102" s="165"/>
      <c r="BP102" s="165"/>
      <c r="BQ102" s="165"/>
      <c r="BR102" s="165"/>
      <c r="BS102" s="165"/>
      <c r="BT102" s="165"/>
      <c r="BU102" s="165"/>
      <c r="BV102" s="165"/>
      <c r="BW102" s="165"/>
      <c r="BX102" s="165"/>
      <c r="BY102" s="165"/>
      <c r="BZ102" s="1430"/>
      <c r="CA102" s="1430"/>
      <c r="CB102" s="1429"/>
      <c r="CC102" s="1429"/>
      <c r="CD102" s="1429"/>
      <c r="CE102" s="1429"/>
      <c r="CF102" s="1429"/>
      <c r="CG102" s="1429"/>
      <c r="CH102" s="1432"/>
      <c r="CI102" s="1432"/>
      <c r="CJ102" s="1432"/>
      <c r="CK102" s="1432"/>
      <c r="CL102" s="1432"/>
      <c r="CM102" s="1432"/>
      <c r="CN102" s="1432"/>
      <c r="CO102" s="1432"/>
    </row>
    <row r="103" spans="1:93" ht="16.2" customHeight="1" x14ac:dyDescent="0.3">
      <c r="A103" s="7298"/>
      <c r="B103" s="10588" t="s">
        <v>24</v>
      </c>
      <c r="C103" s="10588"/>
      <c r="D103" s="1232">
        <f t="shared" ref="D103:I103" si="4">SUM(D98:D102)</f>
        <v>0</v>
      </c>
      <c r="E103" s="1108">
        <f t="shared" si="4"/>
        <v>0</v>
      </c>
      <c r="F103" s="1109">
        <f t="shared" si="4"/>
        <v>0</v>
      </c>
      <c r="G103" s="1225">
        <f t="shared" si="4"/>
        <v>0</v>
      </c>
      <c r="H103" s="1110">
        <f t="shared" si="4"/>
        <v>0</v>
      </c>
      <c r="I103" s="1110">
        <f t="shared" si="4"/>
        <v>0</v>
      </c>
      <c r="J103" s="153"/>
      <c r="K103" s="140"/>
      <c r="L103" s="140"/>
      <c r="M103" s="140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  <c r="AH103" s="165"/>
      <c r="AI103" s="165"/>
      <c r="AJ103" s="165"/>
      <c r="AK103" s="165"/>
      <c r="AL103" s="165"/>
      <c r="AM103" s="165"/>
      <c r="AN103" s="165"/>
      <c r="AO103" s="165"/>
      <c r="AP103" s="165"/>
      <c r="AQ103" s="165"/>
      <c r="AR103" s="165"/>
      <c r="AS103" s="165"/>
      <c r="AT103" s="165"/>
      <c r="AU103" s="165"/>
      <c r="AV103" s="165"/>
      <c r="AW103" s="165"/>
      <c r="AX103" s="165"/>
      <c r="AY103" s="165"/>
      <c r="AZ103" s="165"/>
      <c r="BA103" s="165"/>
      <c r="BB103" s="165"/>
      <c r="BC103" s="165"/>
      <c r="BD103" s="165"/>
      <c r="BE103" s="165"/>
      <c r="BF103" s="165"/>
      <c r="BG103" s="165"/>
      <c r="BH103" s="165"/>
      <c r="BI103" s="165"/>
      <c r="BJ103" s="165"/>
      <c r="BK103" s="165"/>
      <c r="BL103" s="165"/>
      <c r="BM103" s="165"/>
      <c r="BN103" s="165"/>
      <c r="BO103" s="165"/>
      <c r="BP103" s="165"/>
      <c r="BQ103" s="165"/>
      <c r="BR103" s="165"/>
      <c r="BS103" s="165"/>
      <c r="BT103" s="165"/>
      <c r="BU103" s="165"/>
      <c r="BV103" s="165"/>
      <c r="BW103" s="165"/>
      <c r="BX103" s="165"/>
      <c r="BY103" s="165"/>
      <c r="BZ103" s="1430"/>
      <c r="CA103" s="1430"/>
      <c r="CB103" s="1429"/>
      <c r="CC103" s="1429"/>
      <c r="CD103" s="1429"/>
      <c r="CE103" s="1429"/>
      <c r="CF103" s="1429"/>
      <c r="CG103" s="1429"/>
      <c r="CH103" s="1432"/>
      <c r="CI103" s="1432"/>
      <c r="CJ103" s="1432"/>
      <c r="CK103" s="1432"/>
      <c r="CL103" s="1432"/>
      <c r="CM103" s="1432"/>
      <c r="CN103" s="1432"/>
      <c r="CO103" s="1432"/>
    </row>
    <row r="104" spans="1:93" ht="16.2" customHeight="1" x14ac:dyDescent="0.3">
      <c r="A104"/>
      <c r="B104" s="1310" t="s">
        <v>2022</v>
      </c>
      <c r="C104" s="750"/>
      <c r="D104" s="1260"/>
      <c r="E104" s="1260"/>
      <c r="F104" s="1260"/>
      <c r="G104" s="1260"/>
      <c r="H104" s="1260"/>
      <c r="I104" s="1260"/>
      <c r="J104" s="140"/>
      <c r="K104" s="140"/>
      <c r="L104" s="140"/>
      <c r="M104" s="140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  <c r="AH104" s="165"/>
      <c r="AI104" s="165"/>
      <c r="AJ104" s="165"/>
      <c r="AK104" s="165"/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165"/>
      <c r="BU104" s="165"/>
      <c r="BV104" s="165"/>
      <c r="BW104" s="165"/>
      <c r="BX104" s="165"/>
      <c r="BY104" s="165"/>
      <c r="BZ104" s="1430"/>
      <c r="CA104" s="1430"/>
      <c r="CB104" s="1429"/>
      <c r="CC104" s="1429"/>
      <c r="CD104" s="1429"/>
      <c r="CE104" s="1429"/>
      <c r="CF104" s="1429"/>
      <c r="CG104" s="1429"/>
      <c r="CH104" s="1432"/>
      <c r="CI104" s="1432"/>
      <c r="CJ104" s="1432"/>
      <c r="CK104" s="1432"/>
      <c r="CL104" s="1432"/>
      <c r="CM104" s="1432"/>
      <c r="CN104" s="1432"/>
      <c r="CO104" s="1432"/>
    </row>
    <row r="105" spans="1:93" ht="31.95" customHeight="1" x14ac:dyDescent="0.3">
      <c r="A105"/>
      <c r="B105" s="10593" t="s">
        <v>2027</v>
      </c>
      <c r="C105" s="10593"/>
      <c r="D105" s="10593"/>
      <c r="E105" s="10593"/>
      <c r="F105" s="10593"/>
      <c r="G105" s="10593"/>
      <c r="H105" s="10593"/>
      <c r="I105" s="10593"/>
      <c r="J105" s="140"/>
      <c r="K105" s="140"/>
      <c r="L105" s="140"/>
      <c r="M105" s="140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  <c r="AH105" s="165"/>
      <c r="AI105" s="165"/>
      <c r="AJ105" s="165"/>
      <c r="AK105" s="165"/>
      <c r="AL105" s="165"/>
      <c r="AM105" s="165"/>
      <c r="AN105" s="165"/>
      <c r="AO105" s="165"/>
      <c r="AP105" s="165"/>
      <c r="AQ105" s="165"/>
      <c r="AR105" s="165"/>
      <c r="AS105" s="165"/>
      <c r="AT105" s="165"/>
      <c r="AU105" s="165"/>
      <c r="AV105" s="165"/>
      <c r="AW105" s="165"/>
      <c r="AX105" s="165"/>
      <c r="AY105" s="165"/>
      <c r="AZ105" s="165"/>
      <c r="BA105" s="165"/>
      <c r="BB105" s="165"/>
      <c r="BC105" s="165"/>
      <c r="BD105" s="165"/>
      <c r="BE105" s="165"/>
      <c r="BF105" s="165"/>
      <c r="BG105" s="165"/>
      <c r="BH105" s="165"/>
      <c r="BI105" s="165"/>
      <c r="BJ105" s="165"/>
      <c r="BK105" s="165"/>
      <c r="BL105" s="165"/>
      <c r="BM105" s="165"/>
      <c r="BN105" s="165"/>
      <c r="BO105" s="165"/>
      <c r="BP105" s="165"/>
      <c r="BQ105" s="165"/>
      <c r="BR105" s="165"/>
      <c r="BS105" s="165"/>
      <c r="BT105" s="165"/>
      <c r="BU105" s="165"/>
      <c r="BV105" s="165"/>
      <c r="BW105" s="165"/>
      <c r="BX105" s="165"/>
      <c r="BY105" s="165"/>
      <c r="BZ105" s="1430"/>
      <c r="CA105" s="1430"/>
      <c r="CB105" s="1429"/>
      <c r="CC105" s="1429"/>
      <c r="CD105" s="1429"/>
      <c r="CE105" s="1429"/>
      <c r="CF105" s="1429"/>
      <c r="CG105" s="1429"/>
      <c r="CH105" s="1432"/>
      <c r="CI105" s="1432"/>
      <c r="CJ105" s="1432"/>
      <c r="CK105" s="1432"/>
      <c r="CL105" s="1432"/>
      <c r="CM105" s="1432"/>
      <c r="CN105" s="1432"/>
      <c r="CO105" s="1432"/>
    </row>
    <row r="106" spans="1:93" ht="61.95" customHeight="1" x14ac:dyDescent="0.3">
      <c r="A106"/>
      <c r="B106" s="10594" t="s">
        <v>1629</v>
      </c>
      <c r="C106" s="10595"/>
      <c r="D106" s="1261" t="s">
        <v>44</v>
      </c>
      <c r="E106" s="1255" t="s">
        <v>3444</v>
      </c>
      <c r="F106" s="1256" t="s">
        <v>3445</v>
      </c>
      <c r="G106" s="1256" t="s">
        <v>3449</v>
      </c>
      <c r="H106" s="1256" t="s">
        <v>3446</v>
      </c>
      <c r="I106" s="3142" t="s">
        <v>3447</v>
      </c>
      <c r="J106" s="8367" t="s">
        <v>5488</v>
      </c>
      <c r="K106" s="140"/>
      <c r="L106" s="140"/>
      <c r="M106" s="140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65"/>
      <c r="AV106" s="165"/>
      <c r="AW106" s="165"/>
      <c r="AX106" s="165"/>
      <c r="AY106" s="165"/>
      <c r="AZ106" s="165"/>
      <c r="BA106" s="165"/>
      <c r="BB106" s="165"/>
      <c r="BC106" s="165"/>
      <c r="BD106" s="165"/>
      <c r="BE106" s="165"/>
      <c r="BF106" s="165"/>
      <c r="BG106" s="165"/>
      <c r="BH106" s="165"/>
      <c r="BI106" s="165"/>
      <c r="BJ106" s="165"/>
      <c r="BK106" s="165"/>
      <c r="BL106" s="165"/>
      <c r="BM106" s="165"/>
      <c r="BN106" s="165"/>
      <c r="BO106" s="165"/>
      <c r="BP106" s="165"/>
      <c r="BQ106" s="165"/>
      <c r="BR106" s="165"/>
      <c r="BS106" s="165"/>
      <c r="BT106" s="165"/>
      <c r="BU106" s="165"/>
      <c r="BV106" s="165"/>
      <c r="BW106" s="165"/>
      <c r="BX106" s="165"/>
      <c r="BY106" s="165"/>
      <c r="BZ106" s="1430"/>
      <c r="CA106" s="1430"/>
      <c r="CB106" s="1429"/>
      <c r="CC106" s="1429"/>
      <c r="CD106" s="1429"/>
      <c r="CE106" s="1429"/>
      <c r="CF106" s="1429"/>
      <c r="CG106" s="1429"/>
      <c r="CH106" s="1432"/>
      <c r="CI106" s="1432"/>
      <c r="CJ106" s="1432"/>
      <c r="CK106" s="1432"/>
      <c r="CL106" s="1432"/>
      <c r="CM106" s="1432"/>
      <c r="CN106" s="1432"/>
      <c r="CO106" s="1432"/>
    </row>
    <row r="107" spans="1:93" ht="16.2" customHeight="1" x14ac:dyDescent="0.3">
      <c r="A107" s="7258">
        <v>25502700</v>
      </c>
      <c r="B107" s="10596" t="s">
        <v>2014</v>
      </c>
      <c r="C107" s="10597"/>
      <c r="D107" s="8359" t="s">
        <v>5369</v>
      </c>
      <c r="E107" s="8101" t="s">
        <v>5370</v>
      </c>
      <c r="F107" s="8102" t="s">
        <v>5371</v>
      </c>
      <c r="G107" s="8102" t="s">
        <v>5372</v>
      </c>
      <c r="H107" s="8102" t="s">
        <v>5373</v>
      </c>
      <c r="I107" s="8103" t="s">
        <v>5374</v>
      </c>
      <c r="J107" s="8104" t="s">
        <v>5375</v>
      </c>
      <c r="K107" s="140"/>
      <c r="L107" s="140"/>
      <c r="M107" s="140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65"/>
      <c r="AV107" s="165"/>
      <c r="AW107" s="165"/>
      <c r="AX107" s="165"/>
      <c r="AY107" s="165"/>
      <c r="AZ107" s="165"/>
      <c r="BA107" s="165"/>
      <c r="BB107" s="165"/>
      <c r="BC107" s="165"/>
      <c r="BD107" s="165"/>
      <c r="BE107" s="165"/>
      <c r="BF107" s="165"/>
      <c r="BG107" s="165"/>
      <c r="BH107" s="165"/>
      <c r="BI107" s="165"/>
      <c r="BJ107" s="165"/>
      <c r="BK107" s="165"/>
      <c r="BL107" s="165"/>
      <c r="BM107" s="165"/>
      <c r="BN107" s="165"/>
      <c r="BO107" s="165"/>
      <c r="BP107" s="165"/>
      <c r="BQ107" s="165"/>
      <c r="BR107" s="165"/>
      <c r="BS107" s="165"/>
      <c r="BT107" s="165"/>
      <c r="BU107" s="165"/>
      <c r="BV107" s="165"/>
      <c r="BW107" s="165"/>
      <c r="BX107" s="165"/>
      <c r="BY107" s="165"/>
      <c r="BZ107" s="1430"/>
      <c r="CA107" s="1430"/>
      <c r="CB107" s="1429"/>
      <c r="CC107" s="1429"/>
      <c r="CD107" s="1429"/>
      <c r="CE107" s="1429"/>
      <c r="CF107" s="1429"/>
      <c r="CG107" s="1429"/>
      <c r="CH107" s="1432"/>
      <c r="CI107" s="1432"/>
      <c r="CJ107" s="1432"/>
      <c r="CK107" s="1432"/>
      <c r="CL107" s="1432"/>
      <c r="CM107" s="1432"/>
      <c r="CN107" s="1432"/>
      <c r="CO107" s="1432"/>
    </row>
    <row r="108" spans="1:93" ht="16.2" customHeight="1" x14ac:dyDescent="0.3">
      <c r="A108" s="7258">
        <v>25502800</v>
      </c>
      <c r="B108" s="8638" t="s">
        <v>2003</v>
      </c>
      <c r="C108" s="1262" t="s">
        <v>2004</v>
      </c>
      <c r="D108" s="8360" t="s">
        <v>5369</v>
      </c>
      <c r="E108" s="8105" t="s">
        <v>5370</v>
      </c>
      <c r="F108" s="8106" t="s">
        <v>5371</v>
      </c>
      <c r="G108" s="8106" t="s">
        <v>5372</v>
      </c>
      <c r="H108" s="8106" t="s">
        <v>5373</v>
      </c>
      <c r="I108" s="8107" t="s">
        <v>5374</v>
      </c>
      <c r="J108" s="8108" t="s">
        <v>5375</v>
      </c>
      <c r="K108" s="140"/>
      <c r="L108" s="140"/>
      <c r="M108" s="140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165"/>
      <c r="AZ108" s="165"/>
      <c r="BA108" s="165"/>
      <c r="BB108" s="165"/>
      <c r="BC108" s="165"/>
      <c r="BD108" s="165"/>
      <c r="BE108" s="165"/>
      <c r="BF108" s="165"/>
      <c r="BG108" s="165"/>
      <c r="BH108" s="165"/>
      <c r="BI108" s="165"/>
      <c r="BJ108" s="165"/>
      <c r="BK108" s="165"/>
      <c r="BL108" s="165"/>
      <c r="BM108" s="165"/>
      <c r="BN108" s="165"/>
      <c r="BO108" s="165"/>
      <c r="BP108" s="165"/>
      <c r="BQ108" s="165"/>
      <c r="BR108" s="165"/>
      <c r="BS108" s="165"/>
      <c r="BT108" s="165"/>
      <c r="BU108" s="165"/>
      <c r="BV108" s="165"/>
      <c r="BW108" s="165"/>
      <c r="BX108" s="165"/>
      <c r="BY108" s="165"/>
      <c r="BZ108" s="1430"/>
      <c r="CA108" s="1430"/>
      <c r="CB108" s="1429"/>
      <c r="CC108" s="1429"/>
      <c r="CD108" s="1429"/>
      <c r="CE108" s="1429"/>
      <c r="CF108" s="1429"/>
      <c r="CG108" s="1429"/>
      <c r="CH108" s="1432"/>
      <c r="CI108" s="1432"/>
      <c r="CJ108" s="1432"/>
      <c r="CK108" s="1432"/>
      <c r="CL108" s="1432"/>
      <c r="CM108" s="1432"/>
      <c r="CN108" s="1432"/>
      <c r="CO108" s="1432"/>
    </row>
    <row r="109" spans="1:93" ht="16.2" customHeight="1" x14ac:dyDescent="0.3">
      <c r="A109" s="7258">
        <v>25502900</v>
      </c>
      <c r="B109" s="8705"/>
      <c r="C109" s="1263" t="s">
        <v>2028</v>
      </c>
      <c r="D109" s="8361" t="s">
        <v>5369</v>
      </c>
      <c r="E109" s="8080" t="s">
        <v>5370</v>
      </c>
      <c r="F109" s="8081" t="s">
        <v>5371</v>
      </c>
      <c r="G109" s="8081" t="s">
        <v>5372</v>
      </c>
      <c r="H109" s="8081" t="s">
        <v>5373</v>
      </c>
      <c r="I109" s="8109" t="s">
        <v>5374</v>
      </c>
      <c r="J109" s="8108" t="s">
        <v>5375</v>
      </c>
      <c r="K109" s="140"/>
      <c r="L109" s="140"/>
      <c r="M109" s="140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  <c r="AH109" s="165"/>
      <c r="AI109" s="165"/>
      <c r="AJ109" s="165"/>
      <c r="AK109" s="165"/>
      <c r="AL109" s="165"/>
      <c r="AM109" s="165"/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165"/>
      <c r="AZ109" s="165"/>
      <c r="BA109" s="165"/>
      <c r="BB109" s="165"/>
      <c r="BC109" s="165"/>
      <c r="BD109" s="165"/>
      <c r="BE109" s="165"/>
      <c r="BF109" s="165"/>
      <c r="BG109" s="165"/>
      <c r="BH109" s="165"/>
      <c r="BI109" s="165"/>
      <c r="BJ109" s="165"/>
      <c r="BK109" s="165"/>
      <c r="BL109" s="165"/>
      <c r="BM109" s="165"/>
      <c r="BN109" s="165"/>
      <c r="BO109" s="165"/>
      <c r="BP109" s="165"/>
      <c r="BQ109" s="165"/>
      <c r="BR109" s="165"/>
      <c r="BS109" s="165"/>
      <c r="BT109" s="165"/>
      <c r="BU109" s="165"/>
      <c r="BV109" s="165"/>
      <c r="BW109" s="165"/>
      <c r="BX109" s="165"/>
      <c r="BY109" s="165"/>
      <c r="BZ109" s="1430"/>
      <c r="CA109" s="1430"/>
      <c r="CB109" s="1429"/>
      <c r="CC109" s="1429"/>
      <c r="CD109" s="1429"/>
      <c r="CE109" s="1429"/>
      <c r="CF109" s="1429"/>
      <c r="CG109" s="1429"/>
      <c r="CH109" s="1432"/>
      <c r="CI109" s="1432"/>
      <c r="CJ109" s="1432"/>
      <c r="CK109" s="1432"/>
      <c r="CL109" s="1432"/>
      <c r="CM109" s="1432"/>
      <c r="CN109" s="1432"/>
      <c r="CO109" s="1432"/>
    </row>
    <row r="110" spans="1:93" ht="16.2" customHeight="1" x14ac:dyDescent="0.3">
      <c r="A110" s="7258">
        <v>25503000</v>
      </c>
      <c r="B110" s="10049"/>
      <c r="C110" s="1100" t="s">
        <v>2007</v>
      </c>
      <c r="D110" s="8362" t="s">
        <v>5369</v>
      </c>
      <c r="E110" s="8110" t="s">
        <v>5370</v>
      </c>
      <c r="F110" s="8111" t="s">
        <v>5371</v>
      </c>
      <c r="G110" s="8111" t="s">
        <v>5372</v>
      </c>
      <c r="H110" s="8111" t="s">
        <v>5373</v>
      </c>
      <c r="I110" s="8112" t="s">
        <v>5374</v>
      </c>
      <c r="J110" s="8113" t="s">
        <v>5375</v>
      </c>
      <c r="K110" s="140"/>
      <c r="L110" s="140"/>
      <c r="M110" s="140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165"/>
      <c r="AZ110" s="165"/>
      <c r="BA110" s="165"/>
      <c r="BB110" s="165"/>
      <c r="BC110" s="165"/>
      <c r="BD110" s="165"/>
      <c r="BE110" s="165"/>
      <c r="BF110" s="165"/>
      <c r="BG110" s="165"/>
      <c r="BH110" s="165"/>
      <c r="BI110" s="165"/>
      <c r="BJ110" s="165"/>
      <c r="BK110" s="165"/>
      <c r="BL110" s="165"/>
      <c r="BM110" s="165"/>
      <c r="BN110" s="165"/>
      <c r="BO110" s="165"/>
      <c r="BP110" s="165"/>
      <c r="BQ110" s="165"/>
      <c r="BR110" s="165"/>
      <c r="BS110" s="165"/>
      <c r="BT110" s="165"/>
      <c r="BU110" s="165"/>
      <c r="BV110" s="165"/>
      <c r="BW110" s="165"/>
      <c r="BX110" s="165"/>
      <c r="BY110" s="165"/>
      <c r="BZ110" s="1430"/>
      <c r="CA110" s="1430"/>
      <c r="CB110" s="1429"/>
      <c r="CC110" s="1429"/>
      <c r="CD110" s="1429"/>
      <c r="CE110" s="1429"/>
      <c r="CF110" s="1429"/>
      <c r="CG110" s="1429"/>
      <c r="CH110" s="1432"/>
      <c r="CI110" s="1432"/>
      <c r="CJ110" s="1432"/>
      <c r="CK110" s="1432"/>
      <c r="CL110" s="1432"/>
      <c r="CM110" s="1432"/>
      <c r="CN110" s="1432"/>
      <c r="CO110" s="1432"/>
    </row>
    <row r="111" spans="1:93" ht="16.2" customHeight="1" x14ac:dyDescent="0.3">
      <c r="A111" s="7258">
        <v>25503100</v>
      </c>
      <c r="B111" s="10598" t="s">
        <v>2015</v>
      </c>
      <c r="C111" s="10599"/>
      <c r="D111" s="8360" t="s">
        <v>5369</v>
      </c>
      <c r="E111" s="8105" t="s">
        <v>5370</v>
      </c>
      <c r="F111" s="8106" t="s">
        <v>5371</v>
      </c>
      <c r="G111" s="8106" t="s">
        <v>5372</v>
      </c>
      <c r="H111" s="8106" t="s">
        <v>5373</v>
      </c>
      <c r="I111" s="8107" t="s">
        <v>5374</v>
      </c>
      <c r="J111" s="6970" t="s">
        <v>5375</v>
      </c>
      <c r="K111" s="140"/>
      <c r="L111" s="140"/>
      <c r="M111" s="140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  <c r="AH111" s="165"/>
      <c r="AI111" s="165"/>
      <c r="AJ111" s="165"/>
      <c r="AK111" s="165"/>
      <c r="AL111" s="165"/>
      <c r="AM111" s="165"/>
      <c r="AN111" s="165"/>
      <c r="AO111" s="165"/>
      <c r="AP111" s="165"/>
      <c r="AQ111" s="165"/>
      <c r="AR111" s="165"/>
      <c r="AS111" s="165"/>
      <c r="AT111" s="165"/>
      <c r="AU111" s="165"/>
      <c r="AV111" s="165"/>
      <c r="AW111" s="165"/>
      <c r="AX111" s="165"/>
      <c r="AY111" s="165"/>
      <c r="AZ111" s="165"/>
      <c r="BA111" s="165"/>
      <c r="BB111" s="165"/>
      <c r="BC111" s="165"/>
      <c r="BD111" s="165"/>
      <c r="BE111" s="165"/>
      <c r="BF111" s="165"/>
      <c r="BG111" s="165"/>
      <c r="BH111" s="165"/>
      <c r="BI111" s="165"/>
      <c r="BJ111" s="165"/>
      <c r="BK111" s="165"/>
      <c r="BL111" s="165"/>
      <c r="BM111" s="165"/>
      <c r="BN111" s="165"/>
      <c r="BO111" s="165"/>
      <c r="BP111" s="165"/>
      <c r="BQ111" s="165"/>
      <c r="BR111" s="165"/>
      <c r="BS111" s="165"/>
      <c r="BT111" s="165"/>
      <c r="BU111" s="165"/>
      <c r="BV111" s="165"/>
      <c r="BW111" s="165"/>
      <c r="BX111" s="165"/>
      <c r="BY111" s="165"/>
      <c r="BZ111" s="1430"/>
      <c r="CA111" s="1430"/>
      <c r="CB111" s="1429"/>
      <c r="CC111" s="1429"/>
      <c r="CD111" s="1429"/>
      <c r="CE111" s="1429"/>
      <c r="CF111" s="1429"/>
      <c r="CG111" s="1429"/>
      <c r="CH111" s="1432"/>
      <c r="CI111" s="1432"/>
      <c r="CJ111" s="1432"/>
      <c r="CK111" s="1432"/>
      <c r="CL111" s="1432"/>
      <c r="CM111" s="1432"/>
      <c r="CN111" s="1432"/>
      <c r="CO111" s="1432"/>
    </row>
    <row r="112" spans="1:93" ht="16.2" customHeight="1" x14ac:dyDescent="0.3">
      <c r="A112" s="7258">
        <v>25503200</v>
      </c>
      <c r="B112" s="10600" t="s">
        <v>2011</v>
      </c>
      <c r="C112" s="10601"/>
      <c r="D112" s="8363" t="s">
        <v>5369</v>
      </c>
      <c r="E112" s="8088" t="s">
        <v>5370</v>
      </c>
      <c r="F112" s="8089" t="s">
        <v>5371</v>
      </c>
      <c r="G112" s="8089" t="s">
        <v>5372</v>
      </c>
      <c r="H112" s="8089" t="s">
        <v>5373</v>
      </c>
      <c r="I112" s="8114" t="s">
        <v>5374</v>
      </c>
      <c r="J112" s="6971" t="s">
        <v>5375</v>
      </c>
      <c r="K112" s="140"/>
      <c r="L112" s="140"/>
      <c r="M112" s="140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  <c r="AQ112" s="165"/>
      <c r="AR112" s="165"/>
      <c r="AS112" s="165"/>
      <c r="AT112" s="165"/>
      <c r="AU112" s="165"/>
      <c r="AV112" s="165"/>
      <c r="AW112" s="165"/>
      <c r="AX112" s="165"/>
      <c r="AY112" s="165"/>
      <c r="AZ112" s="165"/>
      <c r="BA112" s="165"/>
      <c r="BB112" s="165"/>
      <c r="BC112" s="165"/>
      <c r="BD112" s="165"/>
      <c r="BE112" s="165"/>
      <c r="BF112" s="165"/>
      <c r="BG112" s="165"/>
      <c r="BH112" s="165"/>
      <c r="BI112" s="165"/>
      <c r="BJ112" s="165"/>
      <c r="BK112" s="165"/>
      <c r="BL112" s="165"/>
      <c r="BM112" s="165"/>
      <c r="BN112" s="165"/>
      <c r="BO112" s="165"/>
      <c r="BP112" s="165"/>
      <c r="BQ112" s="165"/>
      <c r="BR112" s="165"/>
      <c r="BS112" s="165"/>
      <c r="BT112" s="165"/>
      <c r="BU112" s="165"/>
      <c r="BV112" s="165"/>
      <c r="BW112" s="165"/>
      <c r="BX112" s="165"/>
      <c r="BY112" s="165"/>
      <c r="BZ112" s="1430"/>
      <c r="CA112" s="1430"/>
      <c r="CB112" s="1429"/>
      <c r="CC112" s="1429"/>
      <c r="CD112" s="1429"/>
      <c r="CE112" s="1429"/>
      <c r="CF112" s="1429"/>
      <c r="CG112" s="1429"/>
      <c r="CH112" s="1432"/>
      <c r="CI112" s="1432"/>
      <c r="CJ112" s="1432"/>
      <c r="CK112" s="1432"/>
      <c r="CL112" s="1432"/>
      <c r="CM112" s="1432"/>
      <c r="CN112" s="1432"/>
      <c r="CO112" s="1432"/>
    </row>
    <row r="113" spans="1:93" ht="16.2" customHeight="1" x14ac:dyDescent="0.3">
      <c r="A113"/>
      <c r="B113" s="1310" t="s">
        <v>2022</v>
      </c>
      <c r="C113" s="605"/>
      <c r="D113" s="1264"/>
      <c r="E113" s="71"/>
      <c r="F113" s="71"/>
      <c r="G113" s="71"/>
      <c r="H113" s="71"/>
      <c r="I113" s="71"/>
      <c r="J113" s="140"/>
      <c r="K113" s="140"/>
      <c r="L113" s="140"/>
      <c r="M113" s="140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  <c r="AG113" s="165"/>
      <c r="AH113" s="165"/>
      <c r="AI113" s="165"/>
      <c r="AJ113" s="165"/>
      <c r="AK113" s="165"/>
      <c r="AL113" s="165"/>
      <c r="AM113" s="165"/>
      <c r="AN113" s="165"/>
      <c r="AO113" s="165"/>
      <c r="AP113" s="165"/>
      <c r="AQ113" s="165"/>
      <c r="AR113" s="165"/>
      <c r="AS113" s="165"/>
      <c r="AT113" s="165"/>
      <c r="AU113" s="165"/>
      <c r="AV113" s="165"/>
      <c r="AW113" s="165"/>
      <c r="AX113" s="165"/>
      <c r="AY113" s="165"/>
      <c r="AZ113" s="165"/>
      <c r="BA113" s="165"/>
      <c r="BB113" s="165"/>
      <c r="BC113" s="165"/>
      <c r="BD113" s="165"/>
      <c r="BE113" s="165"/>
      <c r="BF113" s="165"/>
      <c r="BG113" s="165"/>
      <c r="BH113" s="165"/>
      <c r="BI113" s="165"/>
      <c r="BJ113" s="165"/>
      <c r="BK113" s="165"/>
      <c r="BL113" s="165"/>
      <c r="BM113" s="165"/>
      <c r="BN113" s="165"/>
      <c r="BO113" s="165"/>
      <c r="BP113" s="165"/>
      <c r="BQ113" s="165"/>
      <c r="BR113" s="165"/>
      <c r="BS113" s="165"/>
      <c r="BT113" s="165"/>
      <c r="BU113" s="165"/>
      <c r="BV113" s="165"/>
      <c r="BW113" s="165"/>
      <c r="BX113" s="165"/>
      <c r="BY113" s="165"/>
      <c r="BZ113" s="1430"/>
      <c r="CA113" s="1430"/>
      <c r="CB113" s="1429"/>
      <c r="CC113" s="1429"/>
      <c r="CD113" s="1429"/>
      <c r="CE113" s="1429"/>
      <c r="CF113" s="1429"/>
      <c r="CG113" s="1429"/>
      <c r="CH113" s="1432"/>
      <c r="CI113" s="1432"/>
      <c r="CJ113" s="1432"/>
      <c r="CK113" s="1432"/>
      <c r="CL113" s="1432"/>
      <c r="CM113" s="1432"/>
      <c r="CN113" s="1432"/>
      <c r="CO113" s="1432"/>
    </row>
    <row r="114" spans="1:93" ht="31.95" customHeight="1" x14ac:dyDescent="0.3">
      <c r="A114"/>
      <c r="B114" s="10581" t="s">
        <v>2029</v>
      </c>
      <c r="C114" s="10581"/>
      <c r="D114" s="10581"/>
      <c r="E114" s="10581"/>
      <c r="F114" s="10581"/>
      <c r="G114" s="10581"/>
      <c r="H114" s="10581"/>
      <c r="I114" s="10581"/>
      <c r="J114" s="10581"/>
      <c r="K114" s="140"/>
      <c r="L114" s="140"/>
      <c r="M114" s="140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  <c r="AQ114" s="165"/>
      <c r="AR114" s="165"/>
      <c r="AS114" s="165"/>
      <c r="AT114" s="165"/>
      <c r="AU114" s="165"/>
      <c r="AV114" s="165"/>
      <c r="AW114" s="165"/>
      <c r="AX114" s="165"/>
      <c r="AY114" s="165"/>
      <c r="AZ114" s="165"/>
      <c r="BA114" s="165"/>
      <c r="BB114" s="165"/>
      <c r="BC114" s="165"/>
      <c r="BD114" s="165"/>
      <c r="BE114" s="165"/>
      <c r="BF114" s="165"/>
      <c r="BG114" s="165"/>
      <c r="BH114" s="165"/>
      <c r="BI114" s="165"/>
      <c r="BJ114" s="165"/>
      <c r="BK114" s="165"/>
      <c r="BL114" s="165"/>
      <c r="BM114" s="165"/>
      <c r="BN114" s="165"/>
      <c r="BO114" s="165"/>
      <c r="BP114" s="165"/>
      <c r="BQ114" s="165"/>
      <c r="BR114" s="165"/>
      <c r="BS114" s="165"/>
      <c r="BT114" s="165"/>
      <c r="BU114" s="165"/>
      <c r="BV114" s="165"/>
      <c r="BW114" s="165"/>
      <c r="BX114" s="165"/>
      <c r="BY114" s="165"/>
      <c r="BZ114" s="1430"/>
      <c r="CA114" s="1430"/>
      <c r="CB114" s="1429"/>
      <c r="CC114" s="1429"/>
      <c r="CD114" s="1429"/>
      <c r="CE114" s="1429"/>
      <c r="CF114" s="1429"/>
      <c r="CG114" s="1429"/>
      <c r="CH114" s="1432"/>
      <c r="CI114" s="1432"/>
      <c r="CJ114" s="1432"/>
      <c r="CK114" s="1432"/>
      <c r="CL114" s="1432"/>
      <c r="CM114" s="1432"/>
      <c r="CN114" s="1432"/>
      <c r="CO114" s="1432"/>
    </row>
    <row r="115" spans="1:93" ht="51.75" customHeight="1" x14ac:dyDescent="0.3">
      <c r="A115"/>
      <c r="B115" s="10594" t="s">
        <v>1629</v>
      </c>
      <c r="C115" s="10595"/>
      <c r="D115" s="1261" t="s">
        <v>44</v>
      </c>
      <c r="E115" s="1255" t="s">
        <v>3444</v>
      </c>
      <c r="F115" s="1256" t="s">
        <v>3445</v>
      </c>
      <c r="G115" s="1256" t="s">
        <v>3817</v>
      </c>
      <c r="H115" s="1256" t="s">
        <v>3446</v>
      </c>
      <c r="I115" s="3142" t="s">
        <v>3447</v>
      </c>
      <c r="J115" s="3504" t="s">
        <v>3448</v>
      </c>
      <c r="K115" s="140"/>
      <c r="L115" s="140"/>
      <c r="M115" s="140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5"/>
      <c r="Y115" s="165"/>
      <c r="Z115" s="165"/>
      <c r="AA115" s="165"/>
      <c r="AB115" s="165"/>
      <c r="AC115" s="165"/>
      <c r="AD115" s="165"/>
      <c r="AE115" s="165"/>
      <c r="AF115" s="165"/>
      <c r="AG115" s="165"/>
      <c r="AH115" s="165"/>
      <c r="AI115" s="165"/>
      <c r="AJ115" s="165"/>
      <c r="AK115" s="165"/>
      <c r="AL115" s="165"/>
      <c r="AM115" s="165"/>
      <c r="AN115" s="165"/>
      <c r="AO115" s="165"/>
      <c r="AP115" s="165"/>
      <c r="AQ115" s="165"/>
      <c r="AR115" s="165"/>
      <c r="AS115" s="165"/>
      <c r="AT115" s="165"/>
      <c r="AU115" s="165"/>
      <c r="AV115" s="165"/>
      <c r="AW115" s="165"/>
      <c r="AX115" s="165"/>
      <c r="AY115" s="165"/>
      <c r="AZ115" s="165"/>
      <c r="BA115" s="165"/>
      <c r="BB115" s="165"/>
      <c r="BC115" s="165"/>
      <c r="BD115" s="165"/>
      <c r="BE115" s="165"/>
      <c r="BF115" s="165"/>
      <c r="BG115" s="165"/>
      <c r="BH115" s="165"/>
      <c r="BI115" s="165"/>
      <c r="BJ115" s="165"/>
      <c r="BK115" s="165"/>
      <c r="BL115" s="165"/>
      <c r="BM115" s="165"/>
      <c r="BN115" s="165"/>
      <c r="BO115" s="165"/>
      <c r="BP115" s="165"/>
      <c r="BQ115" s="165"/>
      <c r="BR115" s="165"/>
      <c r="BS115" s="165"/>
      <c r="BT115" s="165"/>
      <c r="BU115" s="165"/>
      <c r="BV115" s="165"/>
      <c r="BW115" s="165"/>
      <c r="BX115" s="165"/>
      <c r="BY115" s="165"/>
      <c r="BZ115" s="1430"/>
      <c r="CA115" s="1430"/>
      <c r="CB115" s="1429"/>
      <c r="CC115" s="1429"/>
      <c r="CD115" s="1429"/>
      <c r="CE115" s="1429"/>
      <c r="CF115" s="1429"/>
      <c r="CG115" s="1429"/>
      <c r="CH115" s="1432"/>
      <c r="CI115" s="1432"/>
      <c r="CJ115" s="1432"/>
      <c r="CK115" s="1432"/>
      <c r="CL115" s="1432"/>
      <c r="CM115" s="1432"/>
      <c r="CN115" s="1432"/>
      <c r="CO115" s="1432"/>
    </row>
    <row r="116" spans="1:93" ht="18" customHeight="1" x14ac:dyDescent="0.3">
      <c r="A116" s="7258">
        <v>25503300</v>
      </c>
      <c r="B116" s="10596" t="s">
        <v>2014</v>
      </c>
      <c r="C116" s="10597"/>
      <c r="D116" s="8364" t="s">
        <v>5369</v>
      </c>
      <c r="E116" s="6972" t="s">
        <v>5370</v>
      </c>
      <c r="F116" s="3145" t="s">
        <v>5371</v>
      </c>
      <c r="G116" s="3145" t="s">
        <v>5372</v>
      </c>
      <c r="H116" s="3145" t="s">
        <v>5373</v>
      </c>
      <c r="I116" s="3145" t="s">
        <v>5374</v>
      </c>
      <c r="J116" s="6973" t="s">
        <v>5375</v>
      </c>
      <c r="K116" s="223"/>
      <c r="L116" s="140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5"/>
      <c r="Y116" s="165"/>
      <c r="Z116" s="165"/>
      <c r="AA116" s="165"/>
      <c r="AB116" s="165"/>
      <c r="AC116" s="165"/>
      <c r="AD116" s="165"/>
      <c r="AE116" s="165"/>
      <c r="AF116" s="165"/>
      <c r="AG116" s="165"/>
      <c r="AH116" s="165"/>
      <c r="AI116" s="165"/>
      <c r="AJ116" s="165"/>
      <c r="AK116" s="165"/>
      <c r="AL116" s="165"/>
      <c r="AM116" s="165"/>
      <c r="AN116" s="165"/>
      <c r="AO116" s="165"/>
      <c r="AP116" s="165"/>
      <c r="AQ116" s="165"/>
      <c r="AR116" s="165"/>
      <c r="AS116" s="165"/>
      <c r="AT116" s="165"/>
      <c r="AU116" s="165"/>
      <c r="AV116" s="165"/>
      <c r="AW116" s="165"/>
      <c r="AX116" s="165"/>
      <c r="AY116" s="165"/>
      <c r="AZ116" s="165"/>
      <c r="BA116" s="165"/>
      <c r="BB116" s="165"/>
      <c r="BC116" s="165"/>
      <c r="BD116" s="165"/>
      <c r="BE116" s="165"/>
      <c r="BF116" s="165"/>
      <c r="BG116" s="165"/>
      <c r="BH116" s="165"/>
      <c r="BI116" s="165"/>
      <c r="BJ116" s="165"/>
      <c r="BK116" s="165"/>
      <c r="BL116" s="165"/>
      <c r="BM116" s="165"/>
      <c r="BN116" s="165"/>
      <c r="BO116" s="165"/>
      <c r="BP116" s="165"/>
      <c r="BQ116" s="165"/>
      <c r="BR116" s="165"/>
      <c r="BS116" s="165"/>
      <c r="BT116" s="165"/>
      <c r="BU116" s="165"/>
      <c r="BV116" s="165"/>
      <c r="BW116" s="165"/>
      <c r="BX116" s="165"/>
      <c r="BY116" s="165"/>
      <c r="BZ116" s="1430"/>
      <c r="CA116" s="1430"/>
      <c r="CB116" s="1429"/>
      <c r="CC116" s="1429"/>
      <c r="CD116" s="1429"/>
      <c r="CE116" s="1429"/>
      <c r="CF116" s="1429"/>
      <c r="CG116" s="1429"/>
      <c r="CH116" s="1432"/>
      <c r="CI116" s="1432"/>
      <c r="CJ116" s="1432"/>
      <c r="CK116" s="1432"/>
      <c r="CL116" s="1432"/>
      <c r="CM116" s="1432"/>
      <c r="CN116" s="1432"/>
      <c r="CO116" s="1432"/>
    </row>
    <row r="117" spans="1:93" ht="16.2" customHeight="1" x14ac:dyDescent="0.3">
      <c r="A117" s="7258">
        <v>25503400</v>
      </c>
      <c r="B117" s="10611" t="s">
        <v>2003</v>
      </c>
      <c r="C117" s="3286" t="s">
        <v>2004</v>
      </c>
      <c r="D117" s="8365" t="s">
        <v>5369</v>
      </c>
      <c r="E117" s="6974" t="s">
        <v>5370</v>
      </c>
      <c r="F117" s="6975" t="s">
        <v>5371</v>
      </c>
      <c r="G117" s="6975" t="s">
        <v>5372</v>
      </c>
      <c r="H117" s="6975" t="s">
        <v>5373</v>
      </c>
      <c r="I117" s="6975" t="s">
        <v>5374</v>
      </c>
      <c r="J117" s="3143" t="s">
        <v>5375</v>
      </c>
      <c r="K117" s="153"/>
      <c r="L117" s="223"/>
      <c r="M117" s="140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5"/>
      <c r="Y117" s="165"/>
      <c r="Z117" s="165"/>
      <c r="AA117" s="165"/>
      <c r="AB117" s="165"/>
      <c r="AC117" s="165"/>
      <c r="AD117" s="165"/>
      <c r="AE117" s="165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65"/>
      <c r="AP117" s="165"/>
      <c r="AQ117" s="165"/>
      <c r="AR117" s="165"/>
      <c r="AS117" s="165"/>
      <c r="AT117" s="165"/>
      <c r="AU117" s="165"/>
      <c r="AV117" s="165"/>
      <c r="AW117" s="165"/>
      <c r="AX117" s="165"/>
      <c r="AY117" s="165"/>
      <c r="AZ117" s="165"/>
      <c r="BA117" s="165"/>
      <c r="BB117" s="165"/>
      <c r="BC117" s="165"/>
      <c r="BD117" s="165"/>
      <c r="BE117" s="165"/>
      <c r="BF117" s="165"/>
      <c r="BG117" s="165"/>
      <c r="BH117" s="165"/>
      <c r="BI117" s="165"/>
      <c r="BJ117" s="165"/>
      <c r="BK117" s="165"/>
      <c r="BL117" s="165"/>
      <c r="BM117" s="165"/>
      <c r="BN117" s="165"/>
      <c r="BO117" s="165"/>
      <c r="BP117" s="165"/>
      <c r="BQ117" s="165"/>
      <c r="BR117" s="165"/>
      <c r="BS117" s="165"/>
      <c r="BT117" s="165"/>
      <c r="BU117" s="165"/>
      <c r="BV117" s="165"/>
      <c r="BW117" s="165"/>
      <c r="BX117" s="165"/>
      <c r="BY117" s="165"/>
      <c r="BZ117" s="1430"/>
      <c r="CA117" s="1430"/>
      <c r="CB117" s="1429"/>
      <c r="CC117" s="1429"/>
      <c r="CD117" s="1429"/>
      <c r="CE117" s="1429"/>
      <c r="CF117" s="1429"/>
      <c r="CG117" s="1429"/>
      <c r="CH117" s="1432"/>
      <c r="CI117" s="1432"/>
      <c r="CJ117" s="1432"/>
      <c r="CK117" s="1432"/>
      <c r="CL117" s="1432"/>
      <c r="CM117" s="1432"/>
      <c r="CN117" s="1432"/>
      <c r="CO117" s="1432"/>
    </row>
    <row r="118" spans="1:93" ht="16.2" customHeight="1" x14ac:dyDescent="0.3">
      <c r="A118" s="7258">
        <v>25503500</v>
      </c>
      <c r="B118" s="10611"/>
      <c r="C118" s="1265" t="s">
        <v>2028</v>
      </c>
      <c r="D118" s="8365" t="s">
        <v>5369</v>
      </c>
      <c r="E118" s="6974" t="s">
        <v>5370</v>
      </c>
      <c r="F118" s="6975" t="s">
        <v>5371</v>
      </c>
      <c r="G118" s="6975" t="s">
        <v>5372</v>
      </c>
      <c r="H118" s="6975" t="s">
        <v>5373</v>
      </c>
      <c r="I118" s="6975" t="s">
        <v>5374</v>
      </c>
      <c r="J118" s="3143" t="s">
        <v>5375</v>
      </c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65"/>
      <c r="AP118" s="165"/>
      <c r="AQ118" s="165"/>
      <c r="AR118" s="165"/>
      <c r="AS118" s="165"/>
      <c r="AT118" s="165"/>
      <c r="AU118" s="165"/>
      <c r="AV118" s="165"/>
      <c r="AW118" s="165"/>
      <c r="AX118" s="165"/>
      <c r="AY118" s="165"/>
      <c r="AZ118" s="165"/>
      <c r="BA118" s="165"/>
      <c r="BB118" s="165"/>
      <c r="BC118" s="165"/>
      <c r="BD118" s="165"/>
      <c r="BE118" s="165"/>
      <c r="BF118" s="165"/>
      <c r="BG118" s="165"/>
      <c r="BH118" s="165"/>
      <c r="BI118" s="165"/>
      <c r="BJ118" s="165"/>
      <c r="BK118" s="165"/>
      <c r="BL118" s="165"/>
      <c r="BM118" s="165"/>
      <c r="BN118" s="165"/>
      <c r="BO118" s="165"/>
      <c r="BP118" s="165"/>
      <c r="BQ118" s="165"/>
      <c r="BR118" s="165"/>
      <c r="BS118" s="165"/>
      <c r="BT118" s="165"/>
      <c r="BU118" s="165"/>
      <c r="BV118" s="165"/>
      <c r="BW118" s="165"/>
      <c r="BX118" s="165"/>
      <c r="BY118" s="165"/>
      <c r="BZ118" s="1430"/>
      <c r="CA118" s="1430"/>
      <c r="CB118" s="1429"/>
      <c r="CC118" s="1429"/>
      <c r="CD118" s="1429"/>
      <c r="CE118" s="1429"/>
      <c r="CF118" s="1429"/>
      <c r="CG118" s="1429"/>
      <c r="CH118" s="1432"/>
      <c r="CI118" s="1432"/>
      <c r="CJ118" s="1432"/>
      <c r="CK118" s="1432"/>
      <c r="CL118" s="1432"/>
      <c r="CM118" s="1432"/>
      <c r="CN118" s="1432"/>
      <c r="CO118" s="1432"/>
    </row>
    <row r="119" spans="1:93" ht="16.2" customHeight="1" x14ac:dyDescent="0.3">
      <c r="A119" s="7258">
        <v>25503600</v>
      </c>
      <c r="B119" s="10532"/>
      <c r="C119" s="1266" t="s">
        <v>2007</v>
      </c>
      <c r="D119" s="8366" t="s">
        <v>5369</v>
      </c>
      <c r="E119" s="6976" t="s">
        <v>5370</v>
      </c>
      <c r="F119" s="6977" t="s">
        <v>5371</v>
      </c>
      <c r="G119" s="6977" t="s">
        <v>5372</v>
      </c>
      <c r="H119" s="6977" t="s">
        <v>5373</v>
      </c>
      <c r="I119" s="6977" t="s">
        <v>5374</v>
      </c>
      <c r="J119" s="3144" t="s">
        <v>5375</v>
      </c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5"/>
      <c r="Y119" s="165"/>
      <c r="Z119" s="165"/>
      <c r="AA119" s="165"/>
      <c r="AB119" s="165"/>
      <c r="AC119" s="165"/>
      <c r="AD119" s="165"/>
      <c r="AE119" s="165"/>
      <c r="AF119" s="165"/>
      <c r="AG119" s="165"/>
      <c r="AH119" s="165"/>
      <c r="AI119" s="165"/>
      <c r="AJ119" s="165"/>
      <c r="AK119" s="165"/>
      <c r="AL119" s="165"/>
      <c r="AM119" s="165"/>
      <c r="AN119" s="165"/>
      <c r="AO119" s="165"/>
      <c r="AP119" s="165"/>
      <c r="AQ119" s="165"/>
      <c r="AR119" s="165"/>
      <c r="AS119" s="165"/>
      <c r="AT119" s="165"/>
      <c r="AU119" s="165"/>
      <c r="AV119" s="165"/>
      <c r="AW119" s="165"/>
      <c r="AX119" s="165"/>
      <c r="AY119" s="165"/>
      <c r="AZ119" s="165"/>
      <c r="BA119" s="165"/>
      <c r="BB119" s="165"/>
      <c r="BC119" s="165"/>
      <c r="BD119" s="165"/>
      <c r="BE119" s="165"/>
      <c r="BF119" s="165"/>
      <c r="BG119" s="165"/>
      <c r="BH119" s="165"/>
      <c r="BI119" s="165"/>
      <c r="BJ119" s="165"/>
      <c r="BK119" s="165"/>
      <c r="BL119" s="165"/>
      <c r="BM119" s="165"/>
      <c r="BN119" s="165"/>
      <c r="BO119" s="165"/>
      <c r="BP119" s="165"/>
      <c r="BQ119" s="165"/>
      <c r="BR119" s="165"/>
      <c r="BS119" s="165"/>
      <c r="BT119" s="165"/>
      <c r="BU119" s="165"/>
      <c r="BV119" s="165"/>
      <c r="BW119" s="165"/>
      <c r="BX119" s="165"/>
      <c r="BY119" s="165"/>
      <c r="BZ119" s="1430"/>
      <c r="CA119" s="1430"/>
      <c r="CB119" s="1429"/>
      <c r="CC119" s="1429"/>
      <c r="CD119" s="1429"/>
      <c r="CE119" s="1429"/>
      <c r="CF119" s="1429"/>
      <c r="CG119" s="1429"/>
      <c r="CH119" s="1432"/>
      <c r="CI119" s="1432"/>
      <c r="CJ119" s="1432"/>
      <c r="CK119" s="1432"/>
      <c r="CL119" s="1432"/>
      <c r="CM119" s="1432"/>
      <c r="CN119" s="1432"/>
      <c r="CO119" s="1432"/>
    </row>
    <row r="120" spans="1:93" ht="16.2" customHeight="1" x14ac:dyDescent="0.3">
      <c r="A120" s="7258">
        <v>25503700</v>
      </c>
      <c r="B120" s="10598" t="s">
        <v>2015</v>
      </c>
      <c r="C120" s="10599"/>
      <c r="D120" s="8365" t="s">
        <v>5369</v>
      </c>
      <c r="E120" s="6974" t="s">
        <v>5370</v>
      </c>
      <c r="F120" s="6975" t="s">
        <v>5371</v>
      </c>
      <c r="G120" s="6975" t="s">
        <v>5372</v>
      </c>
      <c r="H120" s="6975" t="s">
        <v>5373</v>
      </c>
      <c r="I120" s="6975" t="s">
        <v>5374</v>
      </c>
      <c r="J120" s="3143" t="s">
        <v>5375</v>
      </c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5"/>
      <c r="Y120" s="165"/>
      <c r="Z120" s="165"/>
      <c r="AA120" s="165"/>
      <c r="AB120" s="165"/>
      <c r="AC120" s="165"/>
      <c r="AD120" s="165"/>
      <c r="AE120" s="165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  <c r="AQ120" s="165"/>
      <c r="AR120" s="165"/>
      <c r="AS120" s="165"/>
      <c r="AT120" s="165"/>
      <c r="AU120" s="165"/>
      <c r="AV120" s="165"/>
      <c r="AW120" s="165"/>
      <c r="AX120" s="165"/>
      <c r="AY120" s="165"/>
      <c r="AZ120" s="165"/>
      <c r="BA120" s="165"/>
      <c r="BB120" s="165"/>
      <c r="BC120" s="165"/>
      <c r="BD120" s="165"/>
      <c r="BE120" s="165"/>
      <c r="BF120" s="165"/>
      <c r="BG120" s="165"/>
      <c r="BH120" s="165"/>
      <c r="BI120" s="165"/>
      <c r="BJ120" s="165"/>
      <c r="BK120" s="165"/>
      <c r="BL120" s="165"/>
      <c r="BM120" s="165"/>
      <c r="BN120" s="165"/>
      <c r="BO120" s="165"/>
      <c r="BP120" s="165"/>
      <c r="BQ120" s="165"/>
      <c r="BR120" s="165"/>
      <c r="BS120" s="165"/>
      <c r="BT120" s="165"/>
      <c r="BU120" s="165"/>
      <c r="BV120" s="165"/>
      <c r="BW120" s="165"/>
      <c r="BX120" s="165"/>
      <c r="BY120" s="165"/>
      <c r="BZ120" s="1430"/>
      <c r="CA120" s="1430"/>
      <c r="CB120" s="1429"/>
      <c r="CC120" s="1429"/>
      <c r="CD120" s="1429"/>
      <c r="CE120" s="1429"/>
      <c r="CF120" s="1429"/>
      <c r="CG120" s="1429"/>
      <c r="CH120" s="1432"/>
      <c r="CI120" s="1432"/>
      <c r="CJ120" s="1432"/>
      <c r="CK120" s="1432"/>
      <c r="CL120" s="1432"/>
      <c r="CM120" s="1432"/>
      <c r="CN120" s="1432"/>
      <c r="CO120" s="1432"/>
    </row>
    <row r="121" spans="1:93" ht="16.2" customHeight="1" x14ac:dyDescent="0.3">
      <c r="A121" s="7258">
        <v>25503800</v>
      </c>
      <c r="B121" s="10600" t="s">
        <v>2011</v>
      </c>
      <c r="C121" s="10601"/>
      <c r="D121" s="8366" t="s">
        <v>5369</v>
      </c>
      <c r="E121" s="6976" t="s">
        <v>5370</v>
      </c>
      <c r="F121" s="6977" t="s">
        <v>5371</v>
      </c>
      <c r="G121" s="6977" t="s">
        <v>5372</v>
      </c>
      <c r="H121" s="6977" t="s">
        <v>5373</v>
      </c>
      <c r="I121" s="6977" t="s">
        <v>5374</v>
      </c>
      <c r="J121" s="3144" t="s">
        <v>5375</v>
      </c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5"/>
      <c r="Y121" s="165"/>
      <c r="Z121" s="165"/>
      <c r="AA121" s="165"/>
      <c r="AB121" s="165"/>
      <c r="AC121" s="165"/>
      <c r="AD121" s="165"/>
      <c r="AE121" s="165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  <c r="AQ121" s="165"/>
      <c r="AR121" s="165"/>
      <c r="AS121" s="165"/>
      <c r="AT121" s="165"/>
      <c r="AU121" s="165"/>
      <c r="AV121" s="165"/>
      <c r="AW121" s="165"/>
      <c r="AX121" s="165"/>
      <c r="AY121" s="165"/>
      <c r="AZ121" s="165"/>
      <c r="BA121" s="165"/>
      <c r="BB121" s="165"/>
      <c r="BC121" s="165"/>
      <c r="BD121" s="165"/>
      <c r="BE121" s="165"/>
      <c r="BF121" s="165"/>
      <c r="BG121" s="165"/>
      <c r="BH121" s="165"/>
      <c r="BI121" s="165"/>
      <c r="BJ121" s="165"/>
      <c r="BK121" s="165"/>
      <c r="BL121" s="165"/>
      <c r="BM121" s="165"/>
      <c r="BN121" s="165"/>
      <c r="BO121" s="165"/>
      <c r="BP121" s="165"/>
      <c r="BQ121" s="165"/>
      <c r="BR121" s="165"/>
      <c r="BS121" s="165"/>
      <c r="BT121" s="165"/>
      <c r="BU121" s="165"/>
      <c r="BV121" s="165"/>
      <c r="BW121" s="165"/>
      <c r="BX121" s="165"/>
      <c r="BY121" s="165"/>
      <c r="BZ121" s="1430"/>
      <c r="CA121" s="1430"/>
      <c r="CB121" s="1429"/>
      <c r="CC121" s="1429"/>
      <c r="CD121" s="1429"/>
      <c r="CE121" s="1429"/>
      <c r="CF121" s="1429"/>
      <c r="CG121" s="1429"/>
      <c r="CH121" s="1432"/>
      <c r="CI121" s="1432"/>
      <c r="CJ121" s="1432"/>
      <c r="CK121" s="1432"/>
      <c r="CL121" s="1432"/>
      <c r="CM121" s="1432"/>
      <c r="CN121" s="1432"/>
      <c r="CO121" s="1432"/>
    </row>
    <row r="122" spans="1:93" ht="13.5" customHeight="1" x14ac:dyDescent="0.3">
      <c r="A122"/>
      <c r="B122" s="1310" t="s">
        <v>2022</v>
      </c>
      <c r="C122" s="605"/>
      <c r="D122" s="1264"/>
      <c r="E122" s="140"/>
      <c r="F122" s="165"/>
      <c r="G122" s="165"/>
      <c r="H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  <c r="AQ122" s="165"/>
      <c r="AR122" s="165"/>
      <c r="AS122" s="165"/>
      <c r="AT122" s="165"/>
      <c r="AU122" s="165"/>
      <c r="AV122" s="165"/>
      <c r="AW122" s="165"/>
      <c r="AX122" s="165"/>
      <c r="AY122" s="165"/>
      <c r="AZ122" s="165"/>
      <c r="BA122" s="165"/>
      <c r="BB122" s="165"/>
      <c r="BC122" s="165"/>
      <c r="BD122" s="165"/>
      <c r="BE122" s="165"/>
      <c r="BF122" s="165"/>
      <c r="BG122" s="165"/>
      <c r="BH122" s="165"/>
      <c r="BI122" s="165"/>
      <c r="BJ122" s="165"/>
      <c r="BK122" s="165"/>
      <c r="BL122" s="165"/>
      <c r="BM122" s="165"/>
      <c r="BN122" s="165"/>
      <c r="BO122" s="165"/>
      <c r="BP122" s="165"/>
      <c r="BQ122" s="165"/>
      <c r="BR122" s="165"/>
      <c r="BS122" s="165"/>
      <c r="BT122" s="165"/>
      <c r="BU122" s="165"/>
      <c r="BV122" s="165"/>
      <c r="BW122" s="165"/>
      <c r="BX122" s="165"/>
      <c r="BY122" s="165"/>
      <c r="BZ122" s="1430"/>
      <c r="CA122" s="1430"/>
      <c r="CB122" s="1429"/>
      <c r="CC122" s="1429"/>
      <c r="CD122" s="1429"/>
      <c r="CE122" s="1429"/>
      <c r="CF122" s="1429"/>
      <c r="CG122" s="1429"/>
      <c r="CH122" s="1432"/>
      <c r="CI122" s="1432"/>
      <c r="CJ122" s="1432"/>
      <c r="CK122" s="1432"/>
      <c r="CL122" s="1432"/>
      <c r="CM122" s="1432"/>
      <c r="CN122" s="1432"/>
      <c r="CO122" s="1432"/>
    </row>
    <row r="123" spans="1:93" ht="22.5" customHeight="1" x14ac:dyDescent="0.3">
      <c r="A123"/>
      <c r="B123" s="10606" t="s">
        <v>3290</v>
      </c>
      <c r="C123" s="10606"/>
      <c r="D123" s="10606"/>
      <c r="E123" s="10606"/>
      <c r="F123" s="10606"/>
      <c r="G123" s="165"/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  <c r="AH123" s="165"/>
      <c r="AI123" s="165"/>
      <c r="AJ123" s="165"/>
      <c r="AK123" s="165"/>
      <c r="AL123" s="165"/>
      <c r="AM123" s="165"/>
      <c r="AN123" s="165"/>
      <c r="AO123" s="165"/>
      <c r="AP123" s="165"/>
      <c r="AQ123" s="165"/>
      <c r="AR123" s="165"/>
      <c r="AS123" s="165"/>
      <c r="AT123" s="165"/>
      <c r="AU123" s="165"/>
      <c r="AV123" s="165"/>
      <c r="AW123" s="165"/>
      <c r="AX123" s="165"/>
      <c r="AY123" s="165"/>
      <c r="AZ123" s="165"/>
      <c r="BA123" s="165"/>
      <c r="BB123" s="165"/>
      <c r="BC123" s="165"/>
      <c r="BD123" s="165"/>
      <c r="BE123" s="165"/>
      <c r="BF123" s="165"/>
      <c r="BG123" s="165"/>
      <c r="BH123" s="165"/>
      <c r="BI123" s="165"/>
      <c r="BJ123" s="165"/>
      <c r="BK123" s="165"/>
      <c r="BL123" s="165"/>
      <c r="BM123" s="165"/>
      <c r="BN123" s="165"/>
      <c r="BO123" s="165"/>
      <c r="BP123" s="165"/>
      <c r="BQ123" s="165"/>
      <c r="BR123" s="165"/>
      <c r="BS123" s="165"/>
      <c r="BT123" s="165"/>
      <c r="BU123" s="165"/>
      <c r="BV123" s="165"/>
      <c r="BW123" s="165"/>
      <c r="BX123" s="165"/>
      <c r="BY123" s="165"/>
      <c r="BZ123" s="1430"/>
      <c r="CA123" s="1430"/>
      <c r="CB123" s="1429"/>
      <c r="CC123" s="1429"/>
      <c r="CD123" s="1429"/>
      <c r="CE123" s="1429"/>
      <c r="CF123" s="1429"/>
      <c r="CG123" s="1429"/>
      <c r="CH123" s="1432"/>
      <c r="CI123" s="1432"/>
      <c r="CJ123" s="1432"/>
      <c r="CK123" s="1432"/>
      <c r="CL123" s="1432"/>
      <c r="CM123" s="1432"/>
      <c r="CN123" s="1432"/>
      <c r="CO123" s="1432"/>
    </row>
    <row r="124" spans="1:93" ht="33.6" customHeight="1" x14ac:dyDescent="0.3">
      <c r="A124"/>
      <c r="B124" s="1267" t="s">
        <v>2030</v>
      </c>
      <c r="C124" s="3110" t="s">
        <v>2031</v>
      </c>
      <c r="D124" s="1268"/>
      <c r="E124" s="688"/>
      <c r="F124" s="165"/>
      <c r="G124" s="165"/>
      <c r="H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5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65"/>
      <c r="AL124" s="165"/>
      <c r="AM124" s="165"/>
      <c r="AN124" s="165"/>
      <c r="AO124" s="165"/>
      <c r="AP124" s="165"/>
      <c r="AQ124" s="165"/>
      <c r="AR124" s="165"/>
      <c r="AS124" s="165"/>
      <c r="AT124" s="165"/>
      <c r="AU124" s="165"/>
      <c r="AV124" s="165"/>
      <c r="AW124" s="165"/>
      <c r="AX124" s="165"/>
      <c r="AY124" s="165"/>
      <c r="AZ124" s="165"/>
      <c r="BA124" s="165"/>
      <c r="BB124" s="165"/>
      <c r="BC124" s="165"/>
      <c r="BD124" s="165"/>
      <c r="BE124" s="165"/>
      <c r="BF124" s="165"/>
      <c r="BG124" s="165"/>
      <c r="BH124" s="165"/>
      <c r="BI124" s="165"/>
      <c r="BJ124" s="165"/>
      <c r="BK124" s="165"/>
      <c r="BL124" s="165"/>
      <c r="BM124" s="165"/>
      <c r="BN124" s="165"/>
      <c r="BO124" s="165"/>
      <c r="BP124" s="165"/>
      <c r="BQ124" s="165"/>
      <c r="BR124" s="165"/>
      <c r="BS124" s="165"/>
      <c r="BT124" s="165"/>
      <c r="BU124" s="165"/>
      <c r="BV124" s="165"/>
      <c r="BW124" s="165"/>
      <c r="BX124" s="165"/>
      <c r="BY124" s="165"/>
      <c r="BZ124" s="1430"/>
      <c r="CA124" s="1430"/>
      <c r="CB124" s="1429"/>
      <c r="CC124" s="1429"/>
      <c r="CD124" s="1429"/>
      <c r="CE124" s="1429"/>
      <c r="CF124" s="1429"/>
      <c r="CG124" s="1429"/>
      <c r="CH124" s="1432"/>
      <c r="CI124" s="1432"/>
      <c r="CJ124" s="1432"/>
      <c r="CK124" s="1432"/>
      <c r="CL124" s="1432"/>
      <c r="CM124" s="1432"/>
      <c r="CN124" s="1432"/>
      <c r="CO124" s="1432"/>
    </row>
    <row r="125" spans="1:93" x14ac:dyDescent="0.3">
      <c r="A125" s="7258">
        <v>25503900</v>
      </c>
      <c r="B125" s="1263" t="s">
        <v>2032</v>
      </c>
      <c r="C125" s="1269" t="s">
        <v>5369</v>
      </c>
      <c r="D125" s="1268"/>
      <c r="E125" s="688"/>
      <c r="F125" s="165"/>
      <c r="G125" s="165"/>
      <c r="H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5"/>
      <c r="Y125" s="165"/>
      <c r="Z125" s="165"/>
      <c r="AA125" s="165"/>
      <c r="AB125" s="165"/>
      <c r="AC125" s="165"/>
      <c r="AD125" s="165"/>
      <c r="AE125" s="165"/>
      <c r="AF125" s="165"/>
      <c r="AG125" s="165"/>
      <c r="AH125" s="165"/>
      <c r="AI125" s="165"/>
      <c r="AJ125" s="165"/>
      <c r="AK125" s="165"/>
      <c r="AL125" s="165"/>
      <c r="AM125" s="165"/>
      <c r="AN125" s="165"/>
      <c r="AO125" s="165"/>
      <c r="AP125" s="165"/>
      <c r="AQ125" s="165"/>
      <c r="AR125" s="165"/>
      <c r="AS125" s="165"/>
      <c r="AT125" s="165"/>
      <c r="AU125" s="165"/>
      <c r="AV125" s="165"/>
      <c r="AW125" s="165"/>
      <c r="AX125" s="165"/>
      <c r="AY125" s="165"/>
      <c r="AZ125" s="165"/>
      <c r="BA125" s="165"/>
      <c r="BB125" s="165"/>
      <c r="BC125" s="165"/>
      <c r="BD125" s="165"/>
      <c r="BE125" s="165"/>
      <c r="BF125" s="165"/>
      <c r="BG125" s="165"/>
      <c r="BH125" s="165"/>
      <c r="BI125" s="165"/>
      <c r="BJ125" s="165"/>
      <c r="BK125" s="165"/>
      <c r="BL125" s="165"/>
      <c r="BM125" s="165"/>
      <c r="BN125" s="165"/>
      <c r="BO125" s="165"/>
      <c r="BP125" s="165"/>
      <c r="BQ125" s="165"/>
      <c r="BR125" s="165"/>
      <c r="BS125" s="165"/>
      <c r="BT125" s="165"/>
      <c r="BU125" s="165"/>
      <c r="BV125" s="165"/>
      <c r="BW125" s="165"/>
      <c r="BX125" s="165"/>
      <c r="BY125" s="165"/>
      <c r="BZ125" s="1430"/>
      <c r="CA125" s="1430"/>
      <c r="CB125" s="1429"/>
      <c r="CC125" s="1429"/>
      <c r="CD125" s="1429"/>
      <c r="CE125" s="1429"/>
      <c r="CF125" s="1429"/>
      <c r="CG125" s="1429"/>
      <c r="CH125" s="1432"/>
      <c r="CI125" s="1432"/>
      <c r="CJ125" s="1432"/>
      <c r="CK125" s="1432"/>
      <c r="CL125" s="1432"/>
      <c r="CM125" s="1432"/>
      <c r="CN125" s="1432"/>
      <c r="CO125" s="1432"/>
    </row>
    <row r="126" spans="1:93" x14ac:dyDescent="0.3">
      <c r="A126" s="7258">
        <v>25504000</v>
      </c>
      <c r="B126" s="1263" t="s">
        <v>2033</v>
      </c>
      <c r="C126" s="1270" t="s">
        <v>5369</v>
      </c>
      <c r="D126" s="1268"/>
      <c r="E126" s="688"/>
      <c r="F126" s="165"/>
      <c r="G126" s="165"/>
      <c r="H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5"/>
      <c r="Y126" s="165"/>
      <c r="Z126" s="165"/>
      <c r="AA126" s="165"/>
      <c r="AB126" s="165"/>
      <c r="AC126" s="165"/>
      <c r="AD126" s="165"/>
      <c r="AE126" s="165"/>
      <c r="AF126" s="165"/>
      <c r="AG126" s="165"/>
      <c r="AH126" s="165"/>
      <c r="AI126" s="165"/>
      <c r="AJ126" s="165"/>
      <c r="AK126" s="165"/>
      <c r="AL126" s="165"/>
      <c r="AM126" s="165"/>
      <c r="AN126" s="165"/>
      <c r="AO126" s="165"/>
      <c r="AP126" s="165"/>
      <c r="AQ126" s="165"/>
      <c r="AR126" s="165"/>
      <c r="AS126" s="165"/>
      <c r="AT126" s="165"/>
      <c r="AU126" s="165"/>
      <c r="AV126" s="165"/>
      <c r="AW126" s="165"/>
      <c r="AX126" s="165"/>
      <c r="AY126" s="165"/>
      <c r="AZ126" s="165"/>
      <c r="BA126" s="165"/>
      <c r="BB126" s="165"/>
      <c r="BC126" s="165"/>
      <c r="BD126" s="165"/>
      <c r="BE126" s="165"/>
      <c r="BF126" s="165"/>
      <c r="BG126" s="165"/>
      <c r="BH126" s="165"/>
      <c r="BI126" s="165"/>
      <c r="BJ126" s="165"/>
      <c r="BK126" s="165"/>
      <c r="BL126" s="165"/>
      <c r="BM126" s="165"/>
      <c r="BN126" s="165"/>
      <c r="BO126" s="165"/>
      <c r="BP126" s="165"/>
      <c r="BQ126" s="165"/>
      <c r="BR126" s="165"/>
      <c r="BS126" s="165"/>
      <c r="BT126" s="165"/>
      <c r="BU126" s="165"/>
      <c r="BV126" s="165"/>
      <c r="BW126" s="165"/>
      <c r="BX126" s="165"/>
      <c r="BY126" s="165"/>
      <c r="BZ126" s="1430"/>
      <c r="CA126" s="1430"/>
      <c r="CB126" s="1429"/>
      <c r="CC126" s="1429"/>
      <c r="CD126" s="1429"/>
      <c r="CE126" s="1429"/>
      <c r="CF126" s="1429"/>
      <c r="CG126" s="1429"/>
      <c r="CH126" s="1432"/>
      <c r="CI126" s="1432"/>
      <c r="CJ126" s="1432"/>
      <c r="CK126" s="1432"/>
      <c r="CL126" s="1432"/>
      <c r="CM126" s="1432"/>
      <c r="CN126" s="1432"/>
      <c r="CO126" s="1432"/>
    </row>
    <row r="127" spans="1:93" x14ac:dyDescent="0.3">
      <c r="A127" s="7258">
        <v>25504100</v>
      </c>
      <c r="B127" s="1263" t="s">
        <v>2034</v>
      </c>
      <c r="C127" s="1270" t="s">
        <v>5369</v>
      </c>
      <c r="D127" s="1268"/>
      <c r="E127" s="688"/>
      <c r="F127" s="165"/>
      <c r="G127" s="165"/>
      <c r="H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5"/>
      <c r="AB127" s="165"/>
      <c r="AC127" s="165"/>
      <c r="AD127" s="165"/>
      <c r="AE127" s="165"/>
      <c r="AF127" s="165"/>
      <c r="AG127" s="165"/>
      <c r="AH127" s="165"/>
      <c r="AI127" s="165"/>
      <c r="AJ127" s="165"/>
      <c r="AK127" s="165"/>
      <c r="AL127" s="165"/>
      <c r="AM127" s="165"/>
      <c r="AN127" s="165"/>
      <c r="AO127" s="165"/>
      <c r="AP127" s="165"/>
      <c r="AQ127" s="165"/>
      <c r="AR127" s="165"/>
      <c r="AS127" s="165"/>
      <c r="AT127" s="165"/>
      <c r="AU127" s="165"/>
      <c r="AV127" s="165"/>
      <c r="AW127" s="165"/>
      <c r="AX127" s="165"/>
      <c r="AY127" s="165"/>
      <c r="AZ127" s="165"/>
      <c r="BA127" s="165"/>
      <c r="BB127" s="165"/>
      <c r="BC127" s="165"/>
      <c r="BD127" s="165"/>
      <c r="BE127" s="165"/>
      <c r="BF127" s="165"/>
      <c r="BG127" s="165"/>
      <c r="BH127" s="165"/>
      <c r="BI127" s="165"/>
      <c r="BJ127" s="165"/>
      <c r="BK127" s="165"/>
      <c r="BL127" s="165"/>
      <c r="BM127" s="165"/>
      <c r="BN127" s="165"/>
      <c r="BO127" s="165"/>
      <c r="BP127" s="165"/>
      <c r="BQ127" s="165"/>
      <c r="BR127" s="165"/>
      <c r="BS127" s="165"/>
      <c r="BT127" s="165"/>
      <c r="BU127" s="165"/>
      <c r="BV127" s="165"/>
      <c r="BW127" s="165"/>
      <c r="BX127" s="165"/>
      <c r="BY127" s="165"/>
      <c r="BZ127" s="1430"/>
      <c r="CA127" s="1430"/>
      <c r="CB127" s="1429"/>
      <c r="CC127" s="1429"/>
      <c r="CD127" s="1429"/>
      <c r="CE127" s="1429"/>
      <c r="CF127" s="1429"/>
      <c r="CG127" s="1429"/>
      <c r="CH127" s="1432"/>
      <c r="CI127" s="1432"/>
      <c r="CJ127" s="1432"/>
      <c r="CK127" s="1432"/>
      <c r="CL127" s="1432"/>
      <c r="CM127" s="1432"/>
      <c r="CN127" s="1432"/>
      <c r="CO127" s="1432"/>
    </row>
    <row r="128" spans="1:93" x14ac:dyDescent="0.3">
      <c r="A128" s="7258">
        <v>25504200</v>
      </c>
      <c r="B128" s="1263" t="s">
        <v>2035</v>
      </c>
      <c r="C128" s="1270" t="s">
        <v>5369</v>
      </c>
      <c r="D128" s="1271"/>
      <c r="E128" s="688"/>
      <c r="F128" s="165"/>
      <c r="G128" s="165"/>
      <c r="H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  <c r="AH128" s="165"/>
      <c r="AI128" s="165"/>
      <c r="AJ128" s="165"/>
      <c r="AK128" s="165"/>
      <c r="AL128" s="165"/>
      <c r="AM128" s="165"/>
      <c r="AN128" s="165"/>
      <c r="AO128" s="165"/>
      <c r="AP128" s="165"/>
      <c r="AQ128" s="165"/>
      <c r="AR128" s="165"/>
      <c r="AS128" s="165"/>
      <c r="AT128" s="165"/>
      <c r="AU128" s="165"/>
      <c r="AV128" s="165"/>
      <c r="AW128" s="165"/>
      <c r="AX128" s="165"/>
      <c r="AY128" s="165"/>
      <c r="AZ128" s="165"/>
      <c r="BA128" s="165"/>
      <c r="BB128" s="165"/>
      <c r="BC128" s="165"/>
      <c r="BD128" s="165"/>
      <c r="BE128" s="165"/>
      <c r="BF128" s="165"/>
      <c r="BG128" s="165"/>
      <c r="BH128" s="165"/>
      <c r="BI128" s="165"/>
      <c r="BJ128" s="165"/>
      <c r="BK128" s="165"/>
      <c r="BL128" s="165"/>
      <c r="BM128" s="165"/>
      <c r="BN128" s="165"/>
      <c r="BO128" s="165"/>
      <c r="BP128" s="165"/>
      <c r="BQ128" s="165"/>
      <c r="BR128" s="165"/>
      <c r="BS128" s="165"/>
      <c r="BT128" s="165"/>
      <c r="BU128" s="165"/>
      <c r="BV128" s="165"/>
      <c r="BW128" s="165"/>
      <c r="BX128" s="165"/>
      <c r="BY128" s="165"/>
      <c r="BZ128" s="1430"/>
      <c r="CA128" s="1430"/>
      <c r="CB128" s="1429"/>
      <c r="CC128" s="1429"/>
      <c r="CD128" s="1429"/>
      <c r="CE128" s="1429"/>
      <c r="CF128" s="1429"/>
      <c r="CG128" s="1429"/>
      <c r="CH128" s="1432"/>
      <c r="CI128" s="1432"/>
      <c r="CJ128" s="1432"/>
      <c r="CK128" s="1432"/>
      <c r="CL128" s="1432"/>
      <c r="CM128" s="1432"/>
      <c r="CN128" s="1432"/>
      <c r="CO128" s="1432"/>
    </row>
    <row r="129" spans="1:93" x14ac:dyDescent="0.3">
      <c r="A129" s="7258">
        <v>25504300</v>
      </c>
      <c r="B129" s="1100" t="s">
        <v>2036</v>
      </c>
      <c r="C129" s="1272" t="s">
        <v>5369</v>
      </c>
      <c r="D129" s="1271"/>
      <c r="E129" s="688"/>
      <c r="F129" s="165"/>
      <c r="G129" s="165"/>
      <c r="H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  <c r="AH129" s="165"/>
      <c r="AI129" s="165"/>
      <c r="AJ129" s="165"/>
      <c r="AK129" s="165"/>
      <c r="AL129" s="165"/>
      <c r="AM129" s="165"/>
      <c r="AN129" s="165"/>
      <c r="AO129" s="165"/>
      <c r="AP129" s="165"/>
      <c r="AQ129" s="165"/>
      <c r="AR129" s="165"/>
      <c r="AS129" s="165"/>
      <c r="AT129" s="165"/>
      <c r="AU129" s="165"/>
      <c r="AV129" s="165"/>
      <c r="AW129" s="165"/>
      <c r="AX129" s="165"/>
      <c r="AY129" s="165"/>
      <c r="AZ129" s="165"/>
      <c r="BA129" s="165"/>
      <c r="BB129" s="165"/>
      <c r="BC129" s="165"/>
      <c r="BD129" s="165"/>
      <c r="BE129" s="165"/>
      <c r="BF129" s="165"/>
      <c r="BG129" s="165"/>
      <c r="BH129" s="165"/>
      <c r="BI129" s="165"/>
      <c r="BJ129" s="165"/>
      <c r="BK129" s="165"/>
      <c r="BL129" s="165"/>
      <c r="BM129" s="165"/>
      <c r="BN129" s="165"/>
      <c r="BO129" s="165"/>
      <c r="BP129" s="165"/>
      <c r="BQ129" s="165"/>
      <c r="BR129" s="165"/>
      <c r="BS129" s="165"/>
      <c r="BT129" s="165"/>
      <c r="BU129" s="165"/>
      <c r="BV129" s="165"/>
      <c r="BW129" s="165"/>
      <c r="BX129" s="165"/>
      <c r="BY129" s="165"/>
      <c r="BZ129" s="1430"/>
      <c r="CA129" s="1430"/>
      <c r="CB129" s="1429"/>
      <c r="CC129" s="1429"/>
      <c r="CD129" s="1429"/>
      <c r="CE129" s="1429"/>
      <c r="CF129" s="1429"/>
      <c r="CG129" s="1429"/>
      <c r="CH129" s="1432"/>
      <c r="CI129" s="1432"/>
      <c r="CJ129" s="1432"/>
      <c r="CK129" s="1432"/>
      <c r="CL129" s="1432"/>
      <c r="CM129" s="1432"/>
      <c r="CN129" s="1432"/>
      <c r="CO129" s="1432"/>
    </row>
    <row r="130" spans="1:93" ht="24.75" customHeight="1" x14ac:dyDescent="0.3">
      <c r="A130"/>
      <c r="B130" s="10607" t="s">
        <v>3291</v>
      </c>
      <c r="C130" s="10608"/>
      <c r="D130" s="10608"/>
      <c r="E130" s="10608"/>
      <c r="F130" s="165"/>
      <c r="G130" s="165"/>
      <c r="H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  <c r="X130" s="165"/>
      <c r="Y130" s="165"/>
      <c r="Z130" s="165"/>
      <c r="AA130" s="165"/>
      <c r="AB130" s="165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65"/>
      <c r="AN130" s="165"/>
      <c r="AO130" s="165"/>
      <c r="AP130" s="165"/>
      <c r="AQ130" s="165"/>
      <c r="AR130" s="165"/>
      <c r="AS130" s="165"/>
      <c r="AT130" s="165"/>
      <c r="AU130" s="165"/>
      <c r="AV130" s="165"/>
      <c r="AW130" s="165"/>
      <c r="AX130" s="165"/>
      <c r="AY130" s="165"/>
      <c r="AZ130" s="165"/>
      <c r="BA130" s="165"/>
      <c r="BB130" s="165"/>
      <c r="BC130" s="165"/>
      <c r="BD130" s="165"/>
      <c r="BE130" s="165"/>
      <c r="BF130" s="165"/>
      <c r="BG130" s="165"/>
      <c r="BH130" s="165"/>
      <c r="BI130" s="165"/>
      <c r="BJ130" s="165"/>
      <c r="BK130" s="165"/>
      <c r="BL130" s="165"/>
      <c r="BM130" s="165"/>
      <c r="BN130" s="165"/>
      <c r="BO130" s="165"/>
      <c r="BP130" s="165"/>
      <c r="BQ130" s="165"/>
      <c r="BR130" s="165"/>
      <c r="BS130" s="165"/>
      <c r="BT130" s="165"/>
      <c r="BU130" s="165"/>
      <c r="BV130" s="165"/>
      <c r="BW130" s="165"/>
      <c r="BX130" s="165"/>
      <c r="BY130" s="165"/>
      <c r="BZ130" s="1430"/>
      <c r="CA130" s="1430"/>
      <c r="CB130" s="1429"/>
      <c r="CC130" s="1429"/>
      <c r="CD130" s="1429"/>
      <c r="CE130" s="1429"/>
      <c r="CF130" s="1429"/>
      <c r="CG130" s="1429"/>
      <c r="CH130" s="1432"/>
      <c r="CI130" s="1432"/>
      <c r="CJ130" s="1432"/>
      <c r="CK130" s="1432"/>
      <c r="CL130" s="1432"/>
      <c r="CM130" s="1432"/>
      <c r="CN130" s="1432"/>
      <c r="CO130" s="1432"/>
    </row>
    <row r="131" spans="1:93" ht="28.2" customHeight="1" x14ac:dyDescent="0.3">
      <c r="A131"/>
      <c r="B131" s="1267" t="s">
        <v>2030</v>
      </c>
      <c r="C131" s="3110" t="s">
        <v>3292</v>
      </c>
      <c r="D131" s="1268"/>
      <c r="E131" s="688"/>
      <c r="F131" s="153"/>
      <c r="G131" s="165"/>
      <c r="H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  <c r="AH131" s="165"/>
      <c r="AI131" s="165"/>
      <c r="AJ131" s="165"/>
      <c r="AK131" s="165"/>
      <c r="AL131" s="165"/>
      <c r="AM131" s="165"/>
      <c r="AN131" s="165"/>
      <c r="AO131" s="165"/>
      <c r="AP131" s="165"/>
      <c r="AQ131" s="165"/>
      <c r="AR131" s="165"/>
      <c r="AS131" s="165"/>
      <c r="AT131" s="165"/>
      <c r="AU131" s="165"/>
      <c r="AV131" s="165"/>
      <c r="AW131" s="165"/>
      <c r="AX131" s="165"/>
      <c r="AY131" s="165"/>
      <c r="AZ131" s="165"/>
      <c r="BA131" s="165"/>
      <c r="BB131" s="165"/>
      <c r="BC131" s="165"/>
      <c r="BD131" s="165"/>
      <c r="BE131" s="165"/>
      <c r="BF131" s="165"/>
      <c r="BG131" s="165"/>
      <c r="BH131" s="165"/>
      <c r="BI131" s="165"/>
      <c r="BJ131" s="165"/>
      <c r="BK131" s="165"/>
      <c r="BL131" s="165"/>
      <c r="BM131" s="165"/>
      <c r="BN131" s="165"/>
      <c r="BO131" s="165"/>
      <c r="BP131" s="165"/>
      <c r="BQ131" s="165"/>
      <c r="BR131" s="165"/>
      <c r="BS131" s="165"/>
      <c r="BT131" s="165"/>
      <c r="BU131" s="165"/>
      <c r="BV131" s="165"/>
      <c r="BW131" s="165"/>
      <c r="BX131" s="165"/>
      <c r="BY131" s="165"/>
      <c r="BZ131" s="1430"/>
      <c r="CA131" s="1430"/>
      <c r="CB131" s="1429"/>
      <c r="CC131" s="1429"/>
      <c r="CD131" s="1429"/>
      <c r="CE131" s="1429"/>
      <c r="CF131" s="1429"/>
      <c r="CG131" s="1429"/>
      <c r="CH131" s="1432"/>
      <c r="CI131" s="1432"/>
      <c r="CJ131" s="1432"/>
      <c r="CK131" s="1432"/>
      <c r="CL131" s="1432"/>
      <c r="CM131" s="1432"/>
      <c r="CN131" s="1432"/>
      <c r="CO131" s="1432"/>
    </row>
    <row r="132" spans="1:93" ht="16.2" customHeight="1" x14ac:dyDescent="0.3">
      <c r="A132" s="7258">
        <v>25504400</v>
      </c>
      <c r="B132" s="1263" t="s">
        <v>2032</v>
      </c>
      <c r="C132" s="1269" t="s">
        <v>5369</v>
      </c>
      <c r="D132" s="1268"/>
      <c r="E132" s="688"/>
      <c r="F132" s="1268"/>
      <c r="G132" s="223"/>
      <c r="H132" s="140"/>
      <c r="I132" s="140"/>
      <c r="J132" s="688"/>
      <c r="K132" s="1268"/>
      <c r="L132" s="223"/>
      <c r="M132" s="140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  <c r="X132" s="165"/>
      <c r="Y132" s="165"/>
      <c r="Z132" s="165"/>
      <c r="AA132" s="165"/>
      <c r="AB132" s="165"/>
      <c r="AC132" s="165"/>
      <c r="AD132" s="165"/>
      <c r="AE132" s="165"/>
      <c r="AF132" s="165"/>
      <c r="AG132" s="165"/>
      <c r="AH132" s="165"/>
      <c r="AI132" s="165"/>
      <c r="AJ132" s="165"/>
      <c r="AK132" s="165"/>
      <c r="AL132" s="165"/>
      <c r="AM132" s="165"/>
      <c r="AN132" s="165"/>
      <c r="AO132" s="165"/>
      <c r="AP132" s="165"/>
      <c r="AQ132" s="165"/>
      <c r="AR132" s="165"/>
      <c r="AS132" s="165"/>
      <c r="AT132" s="165"/>
      <c r="AU132" s="165"/>
      <c r="AV132" s="165"/>
      <c r="AW132" s="165"/>
      <c r="AX132" s="165"/>
      <c r="AY132" s="165"/>
      <c r="AZ132" s="165"/>
      <c r="BA132" s="165"/>
      <c r="BB132" s="165"/>
      <c r="BC132" s="165"/>
      <c r="BD132" s="165"/>
      <c r="BE132" s="165"/>
      <c r="BF132" s="165"/>
      <c r="BG132" s="165"/>
      <c r="BH132" s="165"/>
      <c r="BI132" s="165"/>
      <c r="BJ132" s="165"/>
      <c r="BK132" s="165"/>
      <c r="BL132" s="165"/>
      <c r="BM132" s="165"/>
      <c r="BN132" s="165"/>
      <c r="BO132" s="165"/>
      <c r="BP132" s="165"/>
      <c r="BQ132" s="165"/>
      <c r="BR132" s="165"/>
      <c r="BS132" s="165"/>
      <c r="BT132" s="165"/>
      <c r="BU132" s="165"/>
      <c r="BV132" s="165"/>
      <c r="BW132" s="165"/>
      <c r="BX132" s="165"/>
      <c r="BY132" s="165"/>
      <c r="BZ132" s="1430"/>
      <c r="CA132" s="1430"/>
      <c r="CB132" s="1429"/>
      <c r="CC132" s="1429"/>
      <c r="CD132" s="1429"/>
      <c r="CE132" s="1429"/>
      <c r="CF132" s="1429"/>
      <c r="CG132" s="1429"/>
      <c r="CH132" s="1432"/>
      <c r="CI132" s="1432"/>
      <c r="CJ132" s="1432"/>
      <c r="CK132" s="1432"/>
      <c r="CL132" s="1432"/>
      <c r="CM132" s="1432"/>
      <c r="CN132" s="1432"/>
      <c r="CO132" s="1432"/>
    </row>
    <row r="133" spans="1:93" ht="16.2" customHeight="1" x14ac:dyDescent="0.3">
      <c r="A133" s="7258">
        <v>25504500</v>
      </c>
      <c r="B133" s="1263" t="s">
        <v>2033</v>
      </c>
      <c r="C133" s="1270" t="s">
        <v>5369</v>
      </c>
      <c r="D133" s="1268"/>
      <c r="E133" s="688"/>
      <c r="F133" s="1268"/>
      <c r="G133" s="223"/>
      <c r="H133" s="140"/>
      <c r="I133" s="140"/>
      <c r="J133" s="688"/>
      <c r="K133" s="1268"/>
      <c r="L133" s="223"/>
      <c r="M133" s="140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  <c r="X133" s="165"/>
      <c r="Y133" s="165"/>
      <c r="Z133" s="165"/>
      <c r="AA133" s="165"/>
      <c r="AB133" s="165"/>
      <c r="AC133" s="165"/>
      <c r="AD133" s="165"/>
      <c r="AE133" s="165"/>
      <c r="AF133" s="165"/>
      <c r="AG133" s="165"/>
      <c r="AH133" s="165"/>
      <c r="AI133" s="165"/>
      <c r="AJ133" s="165"/>
      <c r="AK133" s="165"/>
      <c r="AL133" s="165"/>
      <c r="AM133" s="165"/>
      <c r="AN133" s="165"/>
      <c r="AO133" s="165"/>
      <c r="AP133" s="165"/>
      <c r="AQ133" s="165"/>
      <c r="AR133" s="165"/>
      <c r="AS133" s="165"/>
      <c r="AT133" s="165"/>
      <c r="AU133" s="165"/>
      <c r="AV133" s="165"/>
      <c r="AW133" s="165"/>
      <c r="AX133" s="165"/>
      <c r="AY133" s="165"/>
      <c r="AZ133" s="165"/>
      <c r="BA133" s="165"/>
      <c r="BB133" s="165"/>
      <c r="BC133" s="165"/>
      <c r="BD133" s="165"/>
      <c r="BE133" s="165"/>
      <c r="BF133" s="165"/>
      <c r="BG133" s="165"/>
      <c r="BH133" s="165"/>
      <c r="BI133" s="165"/>
      <c r="BJ133" s="165"/>
      <c r="BK133" s="165"/>
      <c r="BL133" s="165"/>
      <c r="BM133" s="165"/>
      <c r="BN133" s="165"/>
      <c r="BO133" s="165"/>
      <c r="BP133" s="165"/>
      <c r="BQ133" s="165"/>
      <c r="BR133" s="165"/>
      <c r="BS133" s="165"/>
      <c r="BT133" s="165"/>
      <c r="BU133" s="165"/>
      <c r="BV133" s="165"/>
      <c r="BW133" s="165"/>
      <c r="BX133" s="165"/>
      <c r="BY133" s="165"/>
      <c r="BZ133" s="1430"/>
      <c r="CA133" s="1430"/>
      <c r="CB133" s="1429"/>
      <c r="CC133" s="1429"/>
      <c r="CD133" s="1429"/>
      <c r="CE133" s="1429"/>
      <c r="CF133" s="1429"/>
      <c r="CG133" s="1429"/>
      <c r="CH133" s="1432"/>
      <c r="CI133" s="1432"/>
      <c r="CJ133" s="1432"/>
      <c r="CK133" s="1432"/>
      <c r="CL133" s="1432"/>
      <c r="CM133" s="1432"/>
      <c r="CN133" s="1432"/>
      <c r="CO133" s="1432"/>
    </row>
    <row r="134" spans="1:93" ht="16.2" customHeight="1" x14ac:dyDescent="0.3">
      <c r="A134" s="7258">
        <v>25504600</v>
      </c>
      <c r="B134" s="1263" t="s">
        <v>2034</v>
      </c>
      <c r="C134" s="1270" t="s">
        <v>5369</v>
      </c>
      <c r="D134" s="1268"/>
      <c r="E134" s="688"/>
      <c r="F134" s="1268"/>
      <c r="G134" s="223"/>
      <c r="H134" s="140"/>
      <c r="I134" s="140"/>
      <c r="J134" s="688"/>
      <c r="K134" s="1268"/>
      <c r="L134" s="223"/>
      <c r="M134" s="140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  <c r="X134" s="165"/>
      <c r="Y134" s="165"/>
      <c r="Z134" s="165"/>
      <c r="AA134" s="165"/>
      <c r="AB134" s="165"/>
      <c r="AC134" s="165"/>
      <c r="AD134" s="165"/>
      <c r="AE134" s="165"/>
      <c r="AF134" s="165"/>
      <c r="AG134" s="165"/>
      <c r="AH134" s="165"/>
      <c r="AI134" s="165"/>
      <c r="AJ134" s="165"/>
      <c r="AK134" s="165"/>
      <c r="AL134" s="165"/>
      <c r="AM134" s="165"/>
      <c r="AN134" s="165"/>
      <c r="AO134" s="165"/>
      <c r="AP134" s="165"/>
      <c r="AQ134" s="165"/>
      <c r="AR134" s="165"/>
      <c r="AS134" s="165"/>
      <c r="AT134" s="165"/>
      <c r="AU134" s="165"/>
      <c r="AV134" s="165"/>
      <c r="AW134" s="165"/>
      <c r="AX134" s="165"/>
      <c r="AY134" s="165"/>
      <c r="AZ134" s="165"/>
      <c r="BA134" s="165"/>
      <c r="BB134" s="165"/>
      <c r="BC134" s="165"/>
      <c r="BD134" s="165"/>
      <c r="BE134" s="165"/>
      <c r="BF134" s="165"/>
      <c r="BG134" s="165"/>
      <c r="BH134" s="165"/>
      <c r="BI134" s="165"/>
      <c r="BJ134" s="165"/>
      <c r="BK134" s="165"/>
      <c r="BL134" s="165"/>
      <c r="BM134" s="165"/>
      <c r="BN134" s="165"/>
      <c r="BO134" s="165"/>
      <c r="BP134" s="165"/>
      <c r="BQ134" s="165"/>
      <c r="BR134" s="165"/>
      <c r="BS134" s="165"/>
      <c r="BT134" s="165"/>
      <c r="BU134" s="165"/>
      <c r="BV134" s="165"/>
      <c r="BW134" s="165"/>
      <c r="BX134" s="165"/>
      <c r="BY134" s="165"/>
      <c r="BZ134" s="1430"/>
      <c r="CA134" s="1430"/>
      <c r="CB134" s="1429"/>
      <c r="CC134" s="1429"/>
      <c r="CD134" s="1429"/>
      <c r="CE134" s="1429"/>
      <c r="CF134" s="1429"/>
      <c r="CG134" s="1429"/>
      <c r="CH134" s="1432"/>
      <c r="CI134" s="1432"/>
      <c r="CJ134" s="1432"/>
      <c r="CK134" s="1432"/>
      <c r="CL134" s="1432"/>
      <c r="CM134" s="1432"/>
      <c r="CN134" s="1432"/>
      <c r="CO134" s="1432"/>
    </row>
    <row r="135" spans="1:93" ht="16.2" customHeight="1" x14ac:dyDescent="0.3">
      <c r="A135" s="7258">
        <v>25504700</v>
      </c>
      <c r="B135" s="1263" t="s">
        <v>2035</v>
      </c>
      <c r="C135" s="1270" t="s">
        <v>5369</v>
      </c>
      <c r="D135" s="1271"/>
      <c r="E135" s="10609"/>
      <c r="F135" s="10610"/>
      <c r="G135" s="223"/>
      <c r="H135" s="140"/>
      <c r="I135" s="140"/>
      <c r="J135" s="688"/>
      <c r="K135" s="1268"/>
      <c r="L135" s="223"/>
      <c r="M135" s="140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  <c r="X135" s="165"/>
      <c r="Y135" s="165"/>
      <c r="Z135" s="165"/>
      <c r="AA135" s="165"/>
      <c r="AB135" s="165"/>
      <c r="AC135" s="165"/>
      <c r="AD135" s="165"/>
      <c r="AE135" s="165"/>
      <c r="AF135" s="165"/>
      <c r="AG135" s="165"/>
      <c r="AH135" s="165"/>
      <c r="AI135" s="165"/>
      <c r="AJ135" s="165"/>
      <c r="AK135" s="165"/>
      <c r="AL135" s="165"/>
      <c r="AM135" s="165"/>
      <c r="AN135" s="165"/>
      <c r="AO135" s="165"/>
      <c r="AP135" s="165"/>
      <c r="AQ135" s="165"/>
      <c r="AR135" s="165"/>
      <c r="AS135" s="165"/>
      <c r="AT135" s="165"/>
      <c r="AU135" s="165"/>
      <c r="AV135" s="165"/>
      <c r="AW135" s="165"/>
      <c r="AX135" s="165"/>
      <c r="AY135" s="165"/>
      <c r="AZ135" s="165"/>
      <c r="BA135" s="165"/>
      <c r="BB135" s="165"/>
      <c r="BC135" s="165"/>
      <c r="BD135" s="165"/>
      <c r="BE135" s="165"/>
      <c r="BF135" s="165"/>
      <c r="BG135" s="165"/>
      <c r="BH135" s="165"/>
      <c r="BI135" s="165"/>
      <c r="BJ135" s="165"/>
      <c r="BK135" s="165"/>
      <c r="BL135" s="165"/>
      <c r="BM135" s="165"/>
      <c r="BN135" s="165"/>
      <c r="BO135" s="165"/>
      <c r="BP135" s="165"/>
      <c r="BQ135" s="165"/>
      <c r="BR135" s="165"/>
      <c r="BS135" s="165"/>
      <c r="BT135" s="165"/>
      <c r="BU135" s="165"/>
      <c r="BV135" s="165"/>
      <c r="BW135" s="165"/>
      <c r="BX135" s="165"/>
      <c r="BY135" s="165"/>
      <c r="BZ135" s="1430"/>
      <c r="CA135" s="1430"/>
      <c r="CB135" s="1429"/>
      <c r="CC135" s="1429"/>
      <c r="CD135" s="1429"/>
      <c r="CE135" s="1429"/>
      <c r="CF135" s="1429"/>
      <c r="CG135" s="1429"/>
      <c r="CH135" s="1432"/>
      <c r="CI135" s="1432"/>
      <c r="CJ135" s="1432"/>
      <c r="CK135" s="1432"/>
      <c r="CL135" s="1432"/>
      <c r="CM135" s="1432"/>
      <c r="CN135" s="1432"/>
      <c r="CO135" s="1432"/>
    </row>
    <row r="136" spans="1:93" ht="16.2" customHeight="1" x14ac:dyDescent="0.3">
      <c r="A136" s="7258">
        <v>25504800</v>
      </c>
      <c r="B136" s="1100" t="s">
        <v>2036</v>
      </c>
      <c r="C136" s="1272" t="s">
        <v>5369</v>
      </c>
      <c r="D136" s="1271"/>
      <c r="E136" s="10609"/>
      <c r="F136" s="10610"/>
      <c r="G136" s="223"/>
      <c r="H136" s="140"/>
      <c r="I136" s="140"/>
      <c r="J136" s="688"/>
      <c r="K136" s="1268"/>
      <c r="L136" s="223"/>
      <c r="M136" s="140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  <c r="X136" s="165"/>
      <c r="Y136" s="165"/>
      <c r="Z136" s="165"/>
      <c r="AA136" s="165"/>
      <c r="AB136" s="165"/>
      <c r="AC136" s="165"/>
      <c r="AD136" s="165"/>
      <c r="AE136" s="165"/>
      <c r="AF136" s="165"/>
      <c r="AG136" s="165"/>
      <c r="AH136" s="165"/>
      <c r="AI136" s="165"/>
      <c r="AJ136" s="165"/>
      <c r="AK136" s="165"/>
      <c r="AL136" s="165"/>
      <c r="AM136" s="165"/>
      <c r="AN136" s="165"/>
      <c r="AO136" s="165"/>
      <c r="AP136" s="165"/>
      <c r="AQ136" s="165"/>
      <c r="AR136" s="165"/>
      <c r="AS136" s="165"/>
      <c r="AT136" s="165"/>
      <c r="AU136" s="165"/>
      <c r="AV136" s="165"/>
      <c r="AW136" s="165"/>
      <c r="AX136" s="165"/>
      <c r="AY136" s="165"/>
      <c r="AZ136" s="165"/>
      <c r="BA136" s="165"/>
      <c r="BB136" s="165"/>
      <c r="BC136" s="165"/>
      <c r="BD136" s="165"/>
      <c r="BE136" s="165"/>
      <c r="BF136" s="165"/>
      <c r="BG136" s="165"/>
      <c r="BH136" s="165"/>
      <c r="BI136" s="165"/>
      <c r="BJ136" s="165"/>
      <c r="BK136" s="165"/>
      <c r="BL136" s="165"/>
      <c r="BM136" s="165"/>
      <c r="BN136" s="165"/>
      <c r="BO136" s="165"/>
      <c r="BP136" s="165"/>
      <c r="BQ136" s="165"/>
      <c r="BR136" s="165"/>
      <c r="BS136" s="165"/>
      <c r="BT136" s="165"/>
      <c r="BU136" s="165"/>
      <c r="BV136" s="165"/>
      <c r="BW136" s="165"/>
      <c r="BX136" s="165"/>
      <c r="BY136" s="165"/>
      <c r="BZ136" s="1430"/>
      <c r="CA136" s="1430"/>
      <c r="CB136" s="1429"/>
      <c r="CC136" s="1429"/>
      <c r="CD136" s="1429"/>
      <c r="CE136" s="1429"/>
      <c r="CF136" s="1429"/>
      <c r="CG136" s="1429"/>
      <c r="CH136" s="1432"/>
      <c r="CI136" s="1432"/>
      <c r="CJ136" s="1432"/>
      <c r="CK136" s="1432"/>
      <c r="CL136" s="1432"/>
      <c r="CM136" s="1432"/>
      <c r="CN136" s="1432"/>
      <c r="CO136" s="1432"/>
    </row>
    <row r="137" spans="1:93" ht="26.25" customHeight="1" x14ac:dyDescent="0.3">
      <c r="A137"/>
      <c r="B137" s="1273" t="s">
        <v>2037</v>
      </c>
      <c r="C137" s="1274"/>
      <c r="D137" s="1274"/>
      <c r="E137" s="1274"/>
      <c r="F137" s="1274"/>
      <c r="G137" s="1274"/>
      <c r="H137" s="165"/>
      <c r="I137" s="165"/>
      <c r="J137" s="165"/>
      <c r="K137" s="153"/>
      <c r="L137" s="223"/>
      <c r="M137" s="140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165"/>
      <c r="Y137" s="165"/>
      <c r="Z137" s="165"/>
      <c r="AA137" s="165"/>
      <c r="AB137" s="165"/>
      <c r="AC137" s="165"/>
      <c r="AD137" s="165"/>
      <c r="AE137" s="165"/>
      <c r="AF137" s="165"/>
      <c r="AG137" s="165"/>
      <c r="AH137" s="165"/>
      <c r="AI137" s="165"/>
      <c r="AJ137" s="165"/>
      <c r="AK137" s="165"/>
      <c r="AL137" s="165"/>
      <c r="AM137" s="165"/>
      <c r="AN137" s="165"/>
      <c r="AO137" s="165"/>
      <c r="AP137" s="165"/>
      <c r="AQ137" s="165"/>
      <c r="AR137" s="165"/>
      <c r="AS137" s="165"/>
      <c r="AT137" s="165"/>
      <c r="AU137" s="165"/>
      <c r="AV137" s="165"/>
      <c r="AW137" s="165"/>
      <c r="AX137" s="165"/>
      <c r="AY137" s="165"/>
      <c r="AZ137" s="165"/>
      <c r="BA137" s="165"/>
      <c r="BB137" s="165"/>
      <c r="BC137" s="165"/>
      <c r="BD137" s="165"/>
      <c r="BE137" s="165"/>
      <c r="BF137" s="165"/>
      <c r="BG137" s="165"/>
      <c r="BH137" s="165"/>
      <c r="BI137" s="165"/>
      <c r="BJ137" s="165"/>
      <c r="BK137" s="165"/>
      <c r="BL137" s="165"/>
      <c r="BM137" s="165"/>
      <c r="BN137" s="165"/>
      <c r="BO137" s="165"/>
      <c r="BP137" s="165"/>
      <c r="BQ137" s="165"/>
      <c r="BR137" s="165"/>
      <c r="BS137" s="165"/>
      <c r="BT137" s="165"/>
      <c r="BU137" s="165"/>
      <c r="BV137" s="165"/>
      <c r="BW137" s="165"/>
      <c r="BX137" s="165"/>
      <c r="BY137" s="165"/>
      <c r="BZ137" s="1430"/>
      <c r="CA137" s="1430"/>
      <c r="CB137" s="1429"/>
      <c r="CC137" s="1429"/>
      <c r="CD137" s="1429"/>
      <c r="CE137" s="1429"/>
      <c r="CF137" s="1429"/>
      <c r="CG137" s="1429"/>
      <c r="CH137" s="1432"/>
      <c r="CI137" s="1432"/>
      <c r="CJ137" s="1432"/>
      <c r="CK137" s="1432"/>
      <c r="CL137" s="1432"/>
      <c r="CM137" s="1432"/>
      <c r="CN137" s="1432"/>
      <c r="CO137" s="1432"/>
    </row>
    <row r="138" spans="1:93" ht="16.2" customHeight="1" x14ac:dyDescent="0.3">
      <c r="A138"/>
      <c r="B138" s="10594" t="s">
        <v>1984</v>
      </c>
      <c r="C138" s="10595"/>
      <c r="D138" s="1261" t="s">
        <v>24</v>
      </c>
      <c r="E138" s="1255" t="s">
        <v>2038</v>
      </c>
      <c r="F138" s="1256" t="s">
        <v>2039</v>
      </c>
      <c r="G138" s="1257" t="s">
        <v>2040</v>
      </c>
      <c r="H138" s="165"/>
      <c r="I138" s="165"/>
      <c r="J138" s="165"/>
      <c r="K138" s="223"/>
      <c r="L138" s="140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5"/>
      <c r="Y138" s="165"/>
      <c r="Z138" s="165"/>
      <c r="AA138" s="165"/>
      <c r="AB138" s="165"/>
      <c r="AC138" s="165"/>
      <c r="AD138" s="165"/>
      <c r="AE138" s="165"/>
      <c r="AF138" s="165"/>
      <c r="AG138" s="165"/>
      <c r="AH138" s="165"/>
      <c r="AI138" s="165"/>
      <c r="AJ138" s="165"/>
      <c r="AK138" s="165"/>
      <c r="AL138" s="165"/>
      <c r="AM138" s="165"/>
      <c r="AN138" s="165"/>
      <c r="AO138" s="165"/>
      <c r="AP138" s="165"/>
      <c r="AQ138" s="165"/>
      <c r="AR138" s="165"/>
      <c r="AS138" s="165"/>
      <c r="AT138" s="165"/>
      <c r="AU138" s="165"/>
      <c r="AV138" s="165"/>
      <c r="AW138" s="165"/>
      <c r="AX138" s="165"/>
      <c r="AY138" s="165"/>
      <c r="AZ138" s="165"/>
      <c r="BA138" s="165"/>
      <c r="BB138" s="165"/>
      <c r="BC138" s="165"/>
      <c r="BD138" s="165"/>
      <c r="BE138" s="165"/>
      <c r="BF138" s="165"/>
      <c r="BG138" s="165"/>
      <c r="BH138" s="165"/>
      <c r="BI138" s="165"/>
      <c r="BJ138" s="165"/>
      <c r="BK138" s="165"/>
      <c r="BL138" s="165"/>
      <c r="BM138" s="165"/>
      <c r="BN138" s="165"/>
      <c r="BO138" s="165"/>
      <c r="BP138" s="165"/>
      <c r="BQ138" s="165"/>
      <c r="BR138" s="165"/>
      <c r="BS138" s="165"/>
      <c r="BT138" s="165"/>
      <c r="BU138" s="165"/>
      <c r="BV138" s="165"/>
      <c r="BW138" s="165"/>
      <c r="BX138" s="165"/>
      <c r="BY138" s="165"/>
      <c r="BZ138" s="1430"/>
      <c r="CA138" s="1430"/>
      <c r="CB138" s="1429"/>
      <c r="CC138" s="1429"/>
      <c r="CD138" s="1429"/>
      <c r="CE138" s="1429"/>
      <c r="CF138" s="1429"/>
      <c r="CG138" s="1429"/>
      <c r="CH138" s="1432"/>
      <c r="CI138" s="1432"/>
      <c r="CJ138" s="1432"/>
      <c r="CK138" s="1432"/>
      <c r="CL138" s="1432"/>
      <c r="CM138" s="1432"/>
      <c r="CN138" s="1432"/>
      <c r="CO138" s="1432"/>
    </row>
    <row r="139" spans="1:93" ht="16.2" customHeight="1" x14ac:dyDescent="0.3">
      <c r="A139" s="7258">
        <v>25400270</v>
      </c>
      <c r="B139" s="10618" t="s">
        <v>2014</v>
      </c>
      <c r="C139" s="10619"/>
      <c r="D139" s="8115" t="s">
        <v>5369</v>
      </c>
      <c r="E139" s="8116" t="s">
        <v>5370</v>
      </c>
      <c r="F139" s="8117" t="s">
        <v>5371</v>
      </c>
      <c r="G139" s="8118" t="s">
        <v>5372</v>
      </c>
      <c r="H139" s="72"/>
      <c r="I139" s="165"/>
      <c r="J139" s="165"/>
      <c r="K139" s="223"/>
      <c r="L139" s="140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5"/>
      <c r="Y139" s="165"/>
      <c r="Z139" s="165"/>
      <c r="AA139" s="165"/>
      <c r="AB139" s="165"/>
      <c r="AC139" s="165"/>
      <c r="AD139" s="165"/>
      <c r="AE139" s="165"/>
      <c r="AF139" s="165"/>
      <c r="AG139" s="165"/>
      <c r="AH139" s="165"/>
      <c r="AI139" s="165"/>
      <c r="AJ139" s="165"/>
      <c r="AK139" s="165"/>
      <c r="AL139" s="165"/>
      <c r="AM139" s="165"/>
      <c r="AN139" s="165"/>
      <c r="AO139" s="165"/>
      <c r="AP139" s="165"/>
      <c r="AQ139" s="165"/>
      <c r="AR139" s="165"/>
      <c r="AS139" s="165"/>
      <c r="AT139" s="165"/>
      <c r="AU139" s="165"/>
      <c r="AV139" s="165"/>
      <c r="AW139" s="165"/>
      <c r="AX139" s="165"/>
      <c r="AY139" s="165"/>
      <c r="AZ139" s="165"/>
      <c r="BA139" s="165"/>
      <c r="BB139" s="165"/>
      <c r="BC139" s="165"/>
      <c r="BD139" s="165"/>
      <c r="BE139" s="165"/>
      <c r="BF139" s="165"/>
      <c r="BG139" s="165"/>
      <c r="BH139" s="165"/>
      <c r="BI139" s="165"/>
      <c r="BJ139" s="165"/>
      <c r="BK139" s="165"/>
      <c r="BL139" s="165"/>
      <c r="BM139" s="165"/>
      <c r="BN139" s="165"/>
      <c r="BO139" s="165"/>
      <c r="BP139" s="165"/>
      <c r="BQ139" s="165"/>
      <c r="BR139" s="165"/>
      <c r="BS139" s="165"/>
      <c r="BT139" s="165"/>
      <c r="BU139" s="165"/>
      <c r="BV139" s="165"/>
      <c r="BW139" s="165"/>
      <c r="BX139" s="165"/>
      <c r="BY139" s="165"/>
      <c r="BZ139" s="1430"/>
      <c r="CA139" s="1430"/>
      <c r="CB139" s="1429"/>
      <c r="CC139" s="1429"/>
      <c r="CD139" s="1429"/>
      <c r="CE139" s="1429"/>
      <c r="CF139" s="1429"/>
      <c r="CG139" s="1429"/>
      <c r="CH139" s="1432"/>
      <c r="CI139" s="1432"/>
      <c r="CJ139" s="1432"/>
      <c r="CK139" s="1432"/>
      <c r="CL139" s="1432"/>
      <c r="CM139" s="1432"/>
      <c r="CN139" s="1432"/>
      <c r="CO139" s="1432"/>
    </row>
    <row r="140" spans="1:93" ht="16.2" customHeight="1" x14ac:dyDescent="0.3">
      <c r="A140" s="7258">
        <v>25400280</v>
      </c>
      <c r="B140" s="8643" t="s">
        <v>2003</v>
      </c>
      <c r="C140" s="1275" t="s">
        <v>2041</v>
      </c>
      <c r="D140" s="1262" t="s">
        <v>5369</v>
      </c>
      <c r="E140" s="8076" t="s">
        <v>5370</v>
      </c>
      <c r="F140" s="8077" t="s">
        <v>5371</v>
      </c>
      <c r="G140" s="8078" t="s">
        <v>5372</v>
      </c>
      <c r="H140" s="72"/>
      <c r="I140" s="165"/>
      <c r="J140" s="165"/>
      <c r="K140" s="223"/>
      <c r="L140" s="140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  <c r="X140" s="165"/>
      <c r="Y140" s="165"/>
      <c r="Z140" s="165"/>
      <c r="AA140" s="165"/>
      <c r="AB140" s="165"/>
      <c r="AC140" s="165"/>
      <c r="AD140" s="165"/>
      <c r="AE140" s="165"/>
      <c r="AF140" s="165"/>
      <c r="AG140" s="165"/>
      <c r="AH140" s="165"/>
      <c r="AI140" s="165"/>
      <c r="AJ140" s="165"/>
      <c r="AK140" s="165"/>
      <c r="AL140" s="165"/>
      <c r="AM140" s="165"/>
      <c r="AN140" s="165"/>
      <c r="AO140" s="165"/>
      <c r="AP140" s="165"/>
      <c r="AQ140" s="165"/>
      <c r="AR140" s="165"/>
      <c r="AS140" s="165"/>
      <c r="AT140" s="165"/>
      <c r="AU140" s="165"/>
      <c r="AV140" s="165"/>
      <c r="AW140" s="165"/>
      <c r="AX140" s="165"/>
      <c r="AY140" s="165"/>
      <c r="AZ140" s="165"/>
      <c r="BA140" s="165"/>
      <c r="BB140" s="165"/>
      <c r="BC140" s="165"/>
      <c r="BD140" s="165"/>
      <c r="BE140" s="165"/>
      <c r="BF140" s="165"/>
      <c r="BG140" s="165"/>
      <c r="BH140" s="165"/>
      <c r="BI140" s="165"/>
      <c r="BJ140" s="165"/>
      <c r="BK140" s="165"/>
      <c r="BL140" s="165"/>
      <c r="BM140" s="165"/>
      <c r="BN140" s="165"/>
      <c r="BO140" s="165"/>
      <c r="BP140" s="165"/>
      <c r="BQ140" s="165"/>
      <c r="BR140" s="165"/>
      <c r="BS140" s="165"/>
      <c r="BT140" s="165"/>
      <c r="BU140" s="165"/>
      <c r="BV140" s="165"/>
      <c r="BW140" s="165"/>
      <c r="BX140" s="165"/>
      <c r="BY140" s="165"/>
      <c r="BZ140" s="1430"/>
      <c r="CA140" s="1430"/>
      <c r="CB140" s="1429"/>
      <c r="CC140" s="1429"/>
      <c r="CD140" s="1429"/>
      <c r="CE140" s="1429"/>
      <c r="CF140" s="1429"/>
      <c r="CG140" s="1429"/>
      <c r="CH140" s="1432"/>
      <c r="CI140" s="1432"/>
      <c r="CJ140" s="1432"/>
      <c r="CK140" s="1432"/>
      <c r="CL140" s="1432"/>
      <c r="CM140" s="1432"/>
      <c r="CN140" s="1432"/>
      <c r="CO140" s="1432"/>
    </row>
    <row r="141" spans="1:93" ht="16.2" customHeight="1" x14ac:dyDescent="0.3">
      <c r="A141" s="7258">
        <v>25400290</v>
      </c>
      <c r="B141" s="10611"/>
      <c r="C141" s="1265" t="s">
        <v>2028</v>
      </c>
      <c r="D141" s="8119" t="s">
        <v>5369</v>
      </c>
      <c r="E141" s="8120" t="s">
        <v>5370</v>
      </c>
      <c r="F141" s="8095" t="s">
        <v>5371</v>
      </c>
      <c r="G141" s="8097" t="s">
        <v>5372</v>
      </c>
      <c r="H141" s="72"/>
      <c r="I141" s="165"/>
      <c r="J141" s="165"/>
      <c r="K141" s="223"/>
      <c r="L141" s="140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  <c r="X141" s="165"/>
      <c r="Y141" s="165"/>
      <c r="Z141" s="165"/>
      <c r="AA141" s="165"/>
      <c r="AB141" s="165"/>
      <c r="AC141" s="165"/>
      <c r="AD141" s="165"/>
      <c r="AE141" s="165"/>
      <c r="AF141" s="165"/>
      <c r="AG141" s="165"/>
      <c r="AH141" s="165"/>
      <c r="AI141" s="165"/>
      <c r="AJ141" s="165"/>
      <c r="AK141" s="165"/>
      <c r="AL141" s="165"/>
      <c r="AM141" s="165"/>
      <c r="AN141" s="165"/>
      <c r="AO141" s="165"/>
      <c r="AP141" s="165"/>
      <c r="AQ141" s="165"/>
      <c r="AR141" s="165"/>
      <c r="AS141" s="165"/>
      <c r="AT141" s="165"/>
      <c r="AU141" s="165"/>
      <c r="AV141" s="165"/>
      <c r="AW141" s="165"/>
      <c r="AX141" s="165"/>
      <c r="AY141" s="165"/>
      <c r="AZ141" s="165"/>
      <c r="BA141" s="165"/>
      <c r="BB141" s="165"/>
      <c r="BC141" s="165"/>
      <c r="BD141" s="165"/>
      <c r="BE141" s="165"/>
      <c r="BF141" s="165"/>
      <c r="BG141" s="165"/>
      <c r="BH141" s="165"/>
      <c r="BI141" s="165"/>
      <c r="BJ141" s="165"/>
      <c r="BK141" s="165"/>
      <c r="BL141" s="165"/>
      <c r="BM141" s="165"/>
      <c r="BN141" s="165"/>
      <c r="BO141" s="165"/>
      <c r="BP141" s="165"/>
      <c r="BQ141" s="165"/>
      <c r="BR141" s="165"/>
      <c r="BS141" s="165"/>
      <c r="BT141" s="165"/>
      <c r="BU141" s="165"/>
      <c r="BV141" s="165"/>
      <c r="BW141" s="165"/>
      <c r="BX141" s="165"/>
      <c r="BY141" s="165"/>
      <c r="BZ141" s="1430"/>
      <c r="CA141" s="1430"/>
      <c r="CB141" s="1429"/>
      <c r="CC141" s="1429"/>
      <c r="CD141" s="1429"/>
      <c r="CE141" s="1429"/>
      <c r="CF141" s="1429"/>
      <c r="CG141" s="1429"/>
      <c r="CH141" s="1432"/>
      <c r="CI141" s="1432"/>
      <c r="CJ141" s="1432"/>
      <c r="CK141" s="1432"/>
      <c r="CL141" s="1432"/>
      <c r="CM141" s="1432"/>
      <c r="CN141" s="1432"/>
      <c r="CO141" s="1432"/>
    </row>
    <row r="142" spans="1:93" ht="16.2" customHeight="1" x14ac:dyDescent="0.3">
      <c r="A142" s="7258">
        <v>25400300</v>
      </c>
      <c r="B142" s="10532"/>
      <c r="C142" s="1266" t="s">
        <v>2042</v>
      </c>
      <c r="D142" s="8121" t="s">
        <v>5369</v>
      </c>
      <c r="E142" s="8088" t="s">
        <v>5370</v>
      </c>
      <c r="F142" s="8089" t="s">
        <v>5371</v>
      </c>
      <c r="G142" s="8122" t="s">
        <v>5372</v>
      </c>
      <c r="H142" s="72"/>
      <c r="I142" s="165"/>
      <c r="J142" s="165"/>
      <c r="K142" s="223"/>
      <c r="L142" s="140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  <c r="X142" s="165"/>
      <c r="Y142" s="165"/>
      <c r="Z142" s="165"/>
      <c r="AA142" s="165"/>
      <c r="AB142" s="165"/>
      <c r="AC142" s="165"/>
      <c r="AD142" s="165"/>
      <c r="AE142" s="165"/>
      <c r="AF142" s="165"/>
      <c r="AG142" s="165"/>
      <c r="AH142" s="165"/>
      <c r="AI142" s="165"/>
      <c r="AJ142" s="165"/>
      <c r="AK142" s="165"/>
      <c r="AL142" s="165"/>
      <c r="AM142" s="165"/>
      <c r="AN142" s="165"/>
      <c r="AO142" s="165"/>
      <c r="AP142" s="165"/>
      <c r="AQ142" s="165"/>
      <c r="AR142" s="165"/>
      <c r="AS142" s="165"/>
      <c r="AT142" s="165"/>
      <c r="AU142" s="165"/>
      <c r="AV142" s="165"/>
      <c r="AW142" s="165"/>
      <c r="AX142" s="165"/>
      <c r="AY142" s="165"/>
      <c r="AZ142" s="165"/>
      <c r="BA142" s="165"/>
      <c r="BB142" s="165"/>
      <c r="BC142" s="165"/>
      <c r="BD142" s="165"/>
      <c r="BE142" s="165"/>
      <c r="BF142" s="165"/>
      <c r="BG142" s="165"/>
      <c r="BH142" s="165"/>
      <c r="BI142" s="165"/>
      <c r="BJ142" s="165"/>
      <c r="BK142" s="165"/>
      <c r="BL142" s="165"/>
      <c r="BM142" s="165"/>
      <c r="BN142" s="165"/>
      <c r="BO142" s="165"/>
      <c r="BP142" s="165"/>
      <c r="BQ142" s="165"/>
      <c r="BR142" s="165"/>
      <c r="BS142" s="165"/>
      <c r="BT142" s="165"/>
      <c r="BU142" s="165"/>
      <c r="BV142" s="165"/>
      <c r="BW142" s="165"/>
      <c r="BX142" s="165"/>
      <c r="BY142" s="165"/>
      <c r="BZ142" s="1430"/>
      <c r="CA142" s="1430"/>
      <c r="CB142" s="1429"/>
      <c r="CC142" s="1429"/>
      <c r="CD142" s="1429"/>
      <c r="CE142" s="1429"/>
      <c r="CF142" s="1429"/>
      <c r="CG142" s="1429"/>
      <c r="CH142" s="1432"/>
      <c r="CI142" s="1432"/>
      <c r="CJ142" s="1432"/>
      <c r="CK142" s="1432"/>
      <c r="CL142" s="1432"/>
      <c r="CM142" s="1432"/>
      <c r="CN142" s="1432"/>
      <c r="CO142" s="1432"/>
    </row>
    <row r="143" spans="1:93" ht="16.2" customHeight="1" x14ac:dyDescent="0.3">
      <c r="A143" s="7258">
        <v>25400322</v>
      </c>
      <c r="B143" s="10620" t="s">
        <v>2015</v>
      </c>
      <c r="C143" s="10621"/>
      <c r="D143" s="8123" t="s">
        <v>5369</v>
      </c>
      <c r="E143" s="8124" t="s">
        <v>5370</v>
      </c>
      <c r="F143" s="8125" t="s">
        <v>5371</v>
      </c>
      <c r="G143" s="7984" t="s">
        <v>5372</v>
      </c>
      <c r="H143" s="72"/>
      <c r="I143" s="165"/>
      <c r="J143" s="165"/>
      <c r="K143" s="223"/>
      <c r="L143" s="140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  <c r="X143" s="165"/>
      <c r="Y143" s="165"/>
      <c r="Z143" s="165"/>
      <c r="AA143" s="165"/>
      <c r="AB143" s="165"/>
      <c r="AC143" s="165"/>
      <c r="AD143" s="165"/>
      <c r="AE143" s="165"/>
      <c r="AF143" s="165"/>
      <c r="AG143" s="165"/>
      <c r="AH143" s="165"/>
      <c r="AI143" s="165"/>
      <c r="AJ143" s="165"/>
      <c r="AK143" s="165"/>
      <c r="AL143" s="165"/>
      <c r="AM143" s="165"/>
      <c r="AN143" s="165"/>
      <c r="AO143" s="165"/>
      <c r="AP143" s="165"/>
      <c r="AQ143" s="165"/>
      <c r="AR143" s="165"/>
      <c r="AS143" s="165"/>
      <c r="AT143" s="165"/>
      <c r="AU143" s="165"/>
      <c r="AV143" s="165"/>
      <c r="AW143" s="165"/>
      <c r="AX143" s="165"/>
      <c r="AY143" s="165"/>
      <c r="AZ143" s="165"/>
      <c r="BA143" s="165"/>
      <c r="BB143" s="165"/>
      <c r="BC143" s="165"/>
      <c r="BD143" s="165"/>
      <c r="BE143" s="165"/>
      <c r="BF143" s="165"/>
      <c r="BG143" s="165"/>
      <c r="BH143" s="165"/>
      <c r="BI143" s="165"/>
      <c r="BJ143" s="165"/>
      <c r="BK143" s="165"/>
      <c r="BL143" s="165"/>
      <c r="BM143" s="165"/>
      <c r="BN143" s="165"/>
      <c r="BO143" s="165"/>
      <c r="BP143" s="165"/>
      <c r="BQ143" s="165"/>
      <c r="BR143" s="165"/>
      <c r="BS143" s="165"/>
      <c r="BT143" s="165"/>
      <c r="BU143" s="165"/>
      <c r="BV143" s="165"/>
      <c r="BW143" s="165"/>
      <c r="BX143" s="165"/>
      <c r="BY143" s="165"/>
      <c r="BZ143" s="1430"/>
      <c r="CA143" s="1430"/>
      <c r="CB143" s="1429"/>
      <c r="CC143" s="1429"/>
      <c r="CD143" s="1429"/>
      <c r="CE143" s="1429"/>
      <c r="CF143" s="1429"/>
      <c r="CG143" s="1429"/>
      <c r="CH143" s="1432"/>
      <c r="CI143" s="1432"/>
      <c r="CJ143" s="1432"/>
      <c r="CK143" s="1432"/>
      <c r="CL143" s="1432"/>
      <c r="CM143" s="1432"/>
      <c r="CN143" s="1432"/>
      <c r="CO143" s="1432"/>
    </row>
    <row r="144" spans="1:93" ht="16.2" customHeight="1" x14ac:dyDescent="0.3">
      <c r="A144" s="7258">
        <v>25400330</v>
      </c>
      <c r="B144" s="10600" t="s">
        <v>2011</v>
      </c>
      <c r="C144" s="10601"/>
      <c r="D144" s="8121" t="s">
        <v>5369</v>
      </c>
      <c r="E144" s="8088" t="s">
        <v>5370</v>
      </c>
      <c r="F144" s="8089" t="s">
        <v>5371</v>
      </c>
      <c r="G144" s="8122" t="s">
        <v>5372</v>
      </c>
      <c r="H144" s="72"/>
      <c r="I144" s="165"/>
      <c r="J144" s="165"/>
      <c r="K144" s="223"/>
      <c r="L144" s="140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  <c r="X144" s="165"/>
      <c r="Y144" s="165"/>
      <c r="Z144" s="165"/>
      <c r="AA144" s="165"/>
      <c r="AB144" s="165"/>
      <c r="AC144" s="165"/>
      <c r="AD144" s="165"/>
      <c r="AE144" s="165"/>
      <c r="AF144" s="165"/>
      <c r="AG144" s="165"/>
      <c r="AH144" s="165"/>
      <c r="AI144" s="165"/>
      <c r="AJ144" s="165"/>
      <c r="AK144" s="165"/>
      <c r="AL144" s="165"/>
      <c r="AM144" s="165"/>
      <c r="AN144" s="165"/>
      <c r="AO144" s="165"/>
      <c r="AP144" s="165"/>
      <c r="AQ144" s="165"/>
      <c r="AR144" s="165"/>
      <c r="AS144" s="165"/>
      <c r="AT144" s="165"/>
      <c r="AU144" s="165"/>
      <c r="AV144" s="165"/>
      <c r="AW144" s="165"/>
      <c r="AX144" s="165"/>
      <c r="AY144" s="165"/>
      <c r="AZ144" s="165"/>
      <c r="BA144" s="165"/>
      <c r="BB144" s="165"/>
      <c r="BC144" s="165"/>
      <c r="BD144" s="165"/>
      <c r="BE144" s="165"/>
      <c r="BF144" s="165"/>
      <c r="BG144" s="165"/>
      <c r="BH144" s="165"/>
      <c r="BI144" s="165"/>
      <c r="BJ144" s="165"/>
      <c r="BK144" s="165"/>
      <c r="BL144" s="165"/>
      <c r="BM144" s="165"/>
      <c r="BN144" s="165"/>
      <c r="BO144" s="165"/>
      <c r="BP144" s="165"/>
      <c r="BQ144" s="165"/>
      <c r="BR144" s="165"/>
      <c r="BS144" s="165"/>
      <c r="BT144" s="165"/>
      <c r="BU144" s="165"/>
      <c r="BV144" s="165"/>
      <c r="BW144" s="165"/>
      <c r="BX144" s="165"/>
      <c r="BY144" s="165"/>
      <c r="BZ144" s="1430"/>
      <c r="CA144" s="1430"/>
      <c r="CB144" s="1429"/>
      <c r="CC144" s="1429"/>
      <c r="CD144" s="1429"/>
      <c r="CE144" s="1429"/>
      <c r="CF144" s="1429"/>
      <c r="CG144" s="1429"/>
      <c r="CH144" s="1432"/>
      <c r="CI144" s="1432"/>
      <c r="CJ144" s="1432"/>
      <c r="CK144" s="1432"/>
      <c r="CL144" s="1432"/>
      <c r="CM144" s="1432"/>
      <c r="CN144" s="1432"/>
      <c r="CO144" s="1432"/>
    </row>
    <row r="145" spans="1:95" ht="16.2" customHeight="1" x14ac:dyDescent="0.3">
      <c r="A145"/>
      <c r="B145" s="1310" t="s">
        <v>2022</v>
      </c>
      <c r="C145" s="689"/>
      <c r="D145" s="1260"/>
      <c r="E145" s="1260"/>
      <c r="F145" s="71"/>
      <c r="G145" s="140"/>
      <c r="H145" s="165"/>
      <c r="I145" s="165"/>
      <c r="J145" s="165"/>
      <c r="K145" s="223"/>
      <c r="L145" s="140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  <c r="X145" s="165"/>
      <c r="Y145" s="165"/>
      <c r="Z145" s="165"/>
      <c r="AA145" s="165"/>
      <c r="AB145" s="165"/>
      <c r="AC145" s="165"/>
      <c r="AD145" s="165"/>
      <c r="AE145" s="165"/>
      <c r="AF145" s="165"/>
      <c r="AG145" s="165"/>
      <c r="AH145" s="165"/>
      <c r="AI145" s="165"/>
      <c r="AJ145" s="165"/>
      <c r="AK145" s="165"/>
      <c r="AL145" s="165"/>
      <c r="AM145" s="165"/>
      <c r="AN145" s="165"/>
      <c r="AO145" s="165"/>
      <c r="AP145" s="165"/>
      <c r="AQ145" s="165"/>
      <c r="AR145" s="165"/>
      <c r="AS145" s="165"/>
      <c r="AT145" s="165"/>
      <c r="AU145" s="165"/>
      <c r="AV145" s="165"/>
      <c r="AW145" s="165"/>
      <c r="AX145" s="165"/>
      <c r="AY145" s="165"/>
      <c r="AZ145" s="165"/>
      <c r="BA145" s="165"/>
      <c r="BB145" s="165"/>
      <c r="BC145" s="165"/>
      <c r="BD145" s="165"/>
      <c r="BE145" s="165"/>
      <c r="BF145" s="165"/>
      <c r="BG145" s="165"/>
      <c r="BH145" s="165"/>
      <c r="BI145" s="165"/>
      <c r="BJ145" s="165"/>
      <c r="BK145" s="165"/>
      <c r="BL145" s="165"/>
      <c r="BM145" s="165"/>
      <c r="BN145" s="165"/>
      <c r="BO145" s="165"/>
      <c r="BP145" s="165"/>
      <c r="BQ145" s="165"/>
      <c r="BR145" s="165"/>
      <c r="BS145" s="165"/>
      <c r="BT145" s="165"/>
      <c r="BU145" s="165"/>
      <c r="BV145" s="165"/>
      <c r="BW145" s="165"/>
      <c r="BX145" s="165"/>
      <c r="BY145" s="165"/>
      <c r="BZ145" s="1430"/>
      <c r="CA145" s="1430"/>
      <c r="CB145" s="1429"/>
      <c r="CC145" s="1429"/>
      <c r="CD145" s="1429"/>
      <c r="CE145" s="1429"/>
      <c r="CF145" s="1429"/>
      <c r="CG145" s="1429"/>
      <c r="CH145" s="1432"/>
      <c r="CI145" s="1432"/>
      <c r="CJ145" s="1432"/>
      <c r="CK145" s="1432"/>
      <c r="CL145" s="1432"/>
      <c r="CM145" s="1432"/>
      <c r="CN145" s="1432"/>
      <c r="CO145" s="1432"/>
    </row>
    <row r="146" spans="1:95" ht="16.2" customHeight="1" x14ac:dyDescent="0.3">
      <c r="A146"/>
      <c r="B146" s="1310" t="s">
        <v>2043</v>
      </c>
      <c r="C146" s="1104"/>
      <c r="D146" s="1260"/>
      <c r="E146" s="1260"/>
      <c r="F146" s="1260"/>
      <c r="G146" s="1260"/>
      <c r="H146" s="165"/>
      <c r="I146" s="165"/>
      <c r="J146" s="165"/>
      <c r="K146" s="223"/>
      <c r="L146" s="140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  <c r="X146" s="165"/>
      <c r="Y146" s="165"/>
      <c r="Z146" s="165"/>
      <c r="AA146" s="165"/>
      <c r="AB146" s="165"/>
      <c r="AC146" s="165"/>
      <c r="AD146" s="165"/>
      <c r="AE146" s="165"/>
      <c r="AF146" s="165"/>
      <c r="AG146" s="165"/>
      <c r="AH146" s="165"/>
      <c r="AI146" s="165"/>
      <c r="AJ146" s="165"/>
      <c r="AK146" s="165"/>
      <c r="AL146" s="165"/>
      <c r="AM146" s="165"/>
      <c r="AN146" s="165"/>
      <c r="AO146" s="165"/>
      <c r="AP146" s="165"/>
      <c r="AQ146" s="165"/>
      <c r="AR146" s="165"/>
      <c r="AS146" s="165"/>
      <c r="AT146" s="165"/>
      <c r="AU146" s="165"/>
      <c r="AV146" s="165"/>
      <c r="AW146" s="165"/>
      <c r="AX146" s="165"/>
      <c r="AY146" s="165"/>
      <c r="AZ146" s="165"/>
      <c r="BA146" s="165"/>
      <c r="BB146" s="165"/>
      <c r="BC146" s="165"/>
      <c r="BD146" s="165"/>
      <c r="BE146" s="165"/>
      <c r="BF146" s="165"/>
      <c r="BG146" s="165"/>
      <c r="BH146" s="165"/>
      <c r="BI146" s="165"/>
      <c r="BJ146" s="165"/>
      <c r="BK146" s="165"/>
      <c r="BL146" s="165"/>
      <c r="BM146" s="165"/>
      <c r="BN146" s="165"/>
      <c r="BO146" s="165"/>
      <c r="BP146" s="165"/>
      <c r="BQ146" s="165"/>
      <c r="BR146" s="165"/>
      <c r="BS146" s="165"/>
      <c r="BT146" s="165"/>
      <c r="BU146" s="165"/>
      <c r="BV146" s="165"/>
      <c r="BW146" s="165"/>
      <c r="BX146" s="165"/>
      <c r="BY146" s="165"/>
      <c r="BZ146" s="1430"/>
      <c r="CA146" s="1430"/>
      <c r="CB146" s="1429"/>
      <c r="CC146" s="1429"/>
      <c r="CD146" s="1429"/>
      <c r="CE146" s="1429"/>
      <c r="CF146" s="1429"/>
      <c r="CG146" s="1429"/>
      <c r="CH146" s="1432"/>
      <c r="CI146" s="1432"/>
      <c r="CJ146" s="1432"/>
      <c r="CK146" s="1432"/>
      <c r="CL146" s="1432"/>
      <c r="CM146" s="1432"/>
      <c r="CN146" s="1432"/>
      <c r="CO146" s="1432"/>
    </row>
    <row r="147" spans="1:95" ht="31.95" customHeight="1" x14ac:dyDescent="0.3">
      <c r="A147"/>
      <c r="B147" s="1236" t="s">
        <v>2044</v>
      </c>
      <c r="C147" s="1236"/>
      <c r="D147" s="1236"/>
      <c r="E147" s="1236"/>
      <c r="F147" s="1236"/>
      <c r="G147" s="1276"/>
      <c r="H147" s="1276"/>
      <c r="I147" s="165"/>
      <c r="J147" s="165"/>
      <c r="K147" s="223"/>
      <c r="L147" s="140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  <c r="X147" s="165"/>
      <c r="Y147" s="165"/>
      <c r="Z147" s="165"/>
      <c r="AA147" s="165"/>
      <c r="AB147" s="165"/>
      <c r="AC147" s="165"/>
      <c r="AD147" s="165"/>
      <c r="AE147" s="165"/>
      <c r="AF147" s="165"/>
      <c r="AG147" s="165"/>
      <c r="AH147" s="165"/>
      <c r="AI147" s="165"/>
      <c r="AJ147" s="165"/>
      <c r="AK147" s="165"/>
      <c r="AL147" s="165"/>
      <c r="AM147" s="165"/>
      <c r="AN147" s="165"/>
      <c r="AO147" s="165"/>
      <c r="AP147" s="165"/>
      <c r="AQ147" s="165"/>
      <c r="AR147" s="165"/>
      <c r="AS147" s="165"/>
      <c r="AT147" s="165"/>
      <c r="AU147" s="165"/>
      <c r="AV147" s="165"/>
      <c r="AW147" s="165"/>
      <c r="AX147" s="165"/>
      <c r="AY147" s="165"/>
      <c r="AZ147" s="165"/>
      <c r="BA147" s="165"/>
      <c r="BB147" s="165"/>
      <c r="BC147" s="165"/>
      <c r="BD147" s="165"/>
      <c r="BE147" s="165"/>
      <c r="BF147" s="165"/>
      <c r="BG147" s="165"/>
      <c r="BH147" s="165"/>
      <c r="BI147" s="165"/>
      <c r="BJ147" s="165"/>
      <c r="BK147" s="165"/>
      <c r="BL147" s="165"/>
      <c r="BM147" s="165"/>
      <c r="BN147" s="165"/>
      <c r="BO147" s="165"/>
      <c r="BP147" s="165"/>
      <c r="BQ147" s="165"/>
      <c r="BR147" s="165"/>
      <c r="BS147" s="165"/>
      <c r="BT147" s="165"/>
      <c r="BU147" s="165"/>
      <c r="BV147" s="165"/>
      <c r="BW147" s="165"/>
      <c r="BX147" s="165"/>
      <c r="BY147" s="165"/>
      <c r="BZ147" s="1430"/>
      <c r="CA147" s="1430"/>
      <c r="CB147" s="1429"/>
      <c r="CC147" s="1429"/>
      <c r="CD147" s="1429"/>
      <c r="CE147" s="1429"/>
      <c r="CF147" s="1429"/>
      <c r="CG147" s="1429"/>
      <c r="CH147" s="1432"/>
      <c r="CI147" s="1432"/>
      <c r="CJ147" s="1432"/>
      <c r="CK147" s="1432"/>
      <c r="CL147" s="1432"/>
      <c r="CM147" s="1432"/>
      <c r="CN147" s="1432"/>
      <c r="CO147" s="1432"/>
    </row>
    <row r="148" spans="1:95" ht="27" customHeight="1" x14ac:dyDescent="0.3">
      <c r="A148"/>
      <c r="B148" s="9976" t="s">
        <v>2045</v>
      </c>
      <c r="C148" s="9978"/>
      <c r="D148" s="10604" t="s">
        <v>24</v>
      </c>
      <c r="E148" s="10612" t="s">
        <v>2046</v>
      </c>
      <c r="F148" s="8703"/>
      <c r="G148" s="8686"/>
      <c r="H148" s="10612" t="s">
        <v>2047</v>
      </c>
      <c r="I148" s="8703"/>
      <c r="J148" s="8686"/>
      <c r="K148" s="165"/>
      <c r="L148" s="165"/>
      <c r="M148" s="223"/>
      <c r="N148" s="140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5"/>
      <c r="AA148" s="165"/>
      <c r="AB148" s="165"/>
      <c r="AC148" s="165"/>
      <c r="AD148" s="165"/>
      <c r="AE148" s="165"/>
      <c r="AF148" s="165"/>
      <c r="AG148" s="165"/>
      <c r="AH148" s="165"/>
      <c r="AI148" s="165"/>
      <c r="AJ148" s="165"/>
      <c r="AK148" s="165"/>
      <c r="AL148" s="165"/>
      <c r="AM148" s="165"/>
      <c r="AN148" s="165"/>
      <c r="AO148" s="165"/>
      <c r="AP148" s="165"/>
      <c r="AQ148" s="165"/>
      <c r="AR148" s="165"/>
      <c r="AS148" s="165"/>
      <c r="AT148" s="165"/>
      <c r="AU148" s="165"/>
      <c r="AV148" s="165"/>
      <c r="AW148" s="165"/>
      <c r="AX148" s="165"/>
      <c r="AY148" s="165"/>
      <c r="AZ148" s="165"/>
      <c r="BA148" s="165"/>
      <c r="BB148" s="165"/>
      <c r="BC148" s="165"/>
      <c r="BD148" s="165"/>
      <c r="BE148" s="165"/>
      <c r="BF148" s="165"/>
      <c r="BG148" s="165"/>
      <c r="BH148" s="165"/>
      <c r="BI148" s="165"/>
      <c r="BJ148" s="165"/>
      <c r="BK148" s="165"/>
      <c r="BL148" s="165"/>
      <c r="BM148" s="165"/>
      <c r="BN148" s="165"/>
      <c r="BO148" s="165"/>
      <c r="BP148" s="165"/>
      <c r="BQ148" s="165"/>
      <c r="BR148" s="165"/>
      <c r="BS148" s="165"/>
      <c r="BT148" s="165"/>
      <c r="BU148" s="165"/>
      <c r="BV148" s="165"/>
      <c r="BW148" s="165"/>
      <c r="BX148" s="165"/>
      <c r="BY148" s="165"/>
      <c r="BZ148" s="165"/>
      <c r="CA148" s="165"/>
      <c r="CB148" s="1430"/>
      <c r="CC148" s="1430"/>
      <c r="CD148" s="1429"/>
      <c r="CE148" s="1429"/>
      <c r="CF148" s="1429"/>
      <c r="CG148" s="1429"/>
      <c r="CH148" s="1429"/>
      <c r="CI148" s="1429"/>
      <c r="CJ148" s="1432"/>
      <c r="CK148" s="1432"/>
      <c r="CL148" s="1432"/>
      <c r="CM148" s="1432"/>
      <c r="CN148" s="1432"/>
      <c r="CO148" s="1432"/>
      <c r="CP148" s="1432"/>
      <c r="CQ148" s="1432"/>
    </row>
    <row r="149" spans="1:95" ht="24" customHeight="1" x14ac:dyDescent="0.3">
      <c r="A149"/>
      <c r="B149" s="10001"/>
      <c r="C149" s="8582"/>
      <c r="D149" s="10605"/>
      <c r="E149" s="7747" t="s">
        <v>5489</v>
      </c>
      <c r="F149" s="3124" t="s">
        <v>2048</v>
      </c>
      <c r="G149" s="3287" t="s">
        <v>3303</v>
      </c>
      <c r="H149" s="7747" t="s">
        <v>5489</v>
      </c>
      <c r="I149" s="3124" t="s">
        <v>2048</v>
      </c>
      <c r="J149" s="3287" t="s">
        <v>3303</v>
      </c>
      <c r="K149" s="165"/>
      <c r="L149" s="165"/>
      <c r="M149" s="223"/>
      <c r="N149" s="140"/>
      <c r="O149" s="165"/>
      <c r="P149" s="165"/>
      <c r="Q149" s="165"/>
      <c r="R149" s="165"/>
      <c r="S149" s="165"/>
      <c r="T149" s="165"/>
      <c r="U149" s="165"/>
      <c r="V149" s="165"/>
      <c r="W149" s="165"/>
      <c r="X149" s="165"/>
      <c r="Y149" s="165"/>
      <c r="Z149" s="165"/>
      <c r="AA149" s="165"/>
      <c r="AB149" s="165"/>
      <c r="AC149" s="165"/>
      <c r="AD149" s="165"/>
      <c r="AE149" s="165"/>
      <c r="AF149" s="165"/>
      <c r="AG149" s="165"/>
      <c r="AH149" s="165"/>
      <c r="AI149" s="165"/>
      <c r="AJ149" s="165"/>
      <c r="AK149" s="165"/>
      <c r="AL149" s="165"/>
      <c r="AM149" s="165"/>
      <c r="AN149" s="165"/>
      <c r="AO149" s="165"/>
      <c r="AP149" s="165"/>
      <c r="AQ149" s="165"/>
      <c r="AR149" s="165"/>
      <c r="AS149" s="165"/>
      <c r="AT149" s="165"/>
      <c r="AU149" s="165"/>
      <c r="AV149" s="165"/>
      <c r="AW149" s="165"/>
      <c r="AX149" s="165"/>
      <c r="AY149" s="165"/>
      <c r="AZ149" s="165"/>
      <c r="BA149" s="165"/>
      <c r="BB149" s="165"/>
      <c r="BC149" s="165"/>
      <c r="BD149" s="165"/>
      <c r="BE149" s="165"/>
      <c r="BF149" s="165"/>
      <c r="BG149" s="165"/>
      <c r="BH149" s="165"/>
      <c r="BI149" s="165"/>
      <c r="BJ149" s="165"/>
      <c r="BK149" s="165"/>
      <c r="BL149" s="165"/>
      <c r="BM149" s="165"/>
      <c r="BN149" s="165"/>
      <c r="BO149" s="165"/>
      <c r="BP149" s="165"/>
      <c r="BQ149" s="165"/>
      <c r="BR149" s="165"/>
      <c r="BS149" s="165"/>
      <c r="BT149" s="165"/>
      <c r="BU149" s="165"/>
      <c r="BV149" s="165"/>
      <c r="BW149" s="165"/>
      <c r="BX149" s="165"/>
      <c r="BY149" s="165"/>
      <c r="BZ149" s="165"/>
      <c r="CA149" s="165"/>
      <c r="CB149" s="1430"/>
      <c r="CC149" s="1430"/>
      <c r="CD149" s="1429"/>
      <c r="CE149" s="1429"/>
      <c r="CF149" s="1429"/>
      <c r="CG149" s="1429"/>
      <c r="CH149" s="1429"/>
      <c r="CI149" s="1429"/>
      <c r="CJ149" s="1432"/>
      <c r="CK149" s="1432"/>
      <c r="CL149" s="1432"/>
      <c r="CM149" s="1432"/>
      <c r="CN149" s="1432"/>
      <c r="CO149" s="1432"/>
      <c r="CP149" s="1432"/>
      <c r="CQ149" s="1432"/>
    </row>
    <row r="150" spans="1:95" ht="16.2" customHeight="1" x14ac:dyDescent="0.3">
      <c r="A150" s="7258">
        <v>25200500</v>
      </c>
      <c r="B150" s="10596" t="s">
        <v>2014</v>
      </c>
      <c r="C150" s="10597"/>
      <c r="D150" s="8368" t="s">
        <v>5369</v>
      </c>
      <c r="E150" s="691" t="s">
        <v>5370</v>
      </c>
      <c r="F150" s="3125" t="s">
        <v>5371</v>
      </c>
      <c r="G150" s="3123" t="s">
        <v>5372</v>
      </c>
      <c r="H150" s="691" t="s">
        <v>5373</v>
      </c>
      <c r="I150" s="3125" t="s">
        <v>5374</v>
      </c>
      <c r="J150" s="3123" t="s">
        <v>5375</v>
      </c>
      <c r="K150" s="72"/>
      <c r="L150" s="165"/>
      <c r="M150" s="223"/>
      <c r="N150" s="140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5"/>
      <c r="AF150" s="165"/>
      <c r="AG150" s="165"/>
      <c r="AH150" s="165"/>
      <c r="AI150" s="165"/>
      <c r="AJ150" s="165"/>
      <c r="AK150" s="165"/>
      <c r="AL150" s="165"/>
      <c r="AM150" s="165"/>
      <c r="AN150" s="165"/>
      <c r="AO150" s="165"/>
      <c r="AP150" s="165"/>
      <c r="AQ150" s="165"/>
      <c r="AR150" s="165"/>
      <c r="AS150" s="165"/>
      <c r="AT150" s="165"/>
      <c r="AU150" s="165"/>
      <c r="AV150" s="165"/>
      <c r="AW150" s="165"/>
      <c r="AX150" s="165"/>
      <c r="AY150" s="165"/>
      <c r="AZ150" s="165"/>
      <c r="BA150" s="165"/>
      <c r="BB150" s="165"/>
      <c r="BC150" s="165"/>
      <c r="BD150" s="165"/>
      <c r="BE150" s="165"/>
      <c r="BF150" s="165"/>
      <c r="BG150" s="165"/>
      <c r="BH150" s="165"/>
      <c r="BI150" s="165"/>
      <c r="BJ150" s="165"/>
      <c r="BK150" s="165"/>
      <c r="BL150" s="165"/>
      <c r="BM150" s="165"/>
      <c r="BN150" s="165"/>
      <c r="BO150" s="165"/>
      <c r="BP150" s="165"/>
      <c r="BQ150" s="165"/>
      <c r="BR150" s="165"/>
      <c r="BS150" s="165"/>
      <c r="BT150" s="165"/>
      <c r="BU150" s="165"/>
      <c r="BV150" s="165"/>
      <c r="BW150" s="165"/>
      <c r="BX150" s="165"/>
      <c r="BY150" s="165"/>
      <c r="BZ150" s="165"/>
      <c r="CA150" s="165"/>
      <c r="CB150" s="1430"/>
      <c r="CC150" s="1430"/>
      <c r="CD150" s="1429"/>
      <c r="CE150" s="1429"/>
      <c r="CF150" s="1429"/>
      <c r="CG150" s="1429"/>
      <c r="CH150" s="1429"/>
      <c r="CI150" s="1429"/>
      <c r="CJ150" s="1432"/>
      <c r="CK150" s="1432"/>
      <c r="CL150" s="1432"/>
      <c r="CM150" s="1432"/>
      <c r="CN150" s="1432"/>
      <c r="CO150" s="1432"/>
      <c r="CP150" s="1432"/>
      <c r="CQ150" s="1432"/>
    </row>
    <row r="151" spans="1:95" ht="16.2" customHeight="1" x14ac:dyDescent="0.3">
      <c r="A151" s="7258">
        <v>25200600</v>
      </c>
      <c r="B151" s="8643" t="s">
        <v>2003</v>
      </c>
      <c r="C151" s="1275" t="s">
        <v>2041</v>
      </c>
      <c r="D151" s="8369" t="s">
        <v>5369</v>
      </c>
      <c r="E151" s="691" t="s">
        <v>5370</v>
      </c>
      <c r="F151" s="3125" t="s">
        <v>5371</v>
      </c>
      <c r="G151" s="3123" t="s">
        <v>5372</v>
      </c>
      <c r="H151" s="691" t="s">
        <v>5373</v>
      </c>
      <c r="I151" s="3125" t="s">
        <v>5374</v>
      </c>
      <c r="J151" s="3123" t="s">
        <v>5375</v>
      </c>
      <c r="K151" s="72"/>
      <c r="L151" s="165"/>
      <c r="M151" s="223"/>
      <c r="N151" s="140"/>
      <c r="O151" s="165"/>
      <c r="P151" s="165"/>
      <c r="Q151" s="165"/>
      <c r="R151" s="165"/>
      <c r="S151" s="165"/>
      <c r="T151" s="165"/>
      <c r="U151" s="165"/>
      <c r="V151" s="165"/>
      <c r="W151" s="165"/>
      <c r="X151" s="165"/>
      <c r="Y151" s="165"/>
      <c r="Z151" s="165"/>
      <c r="AA151" s="165"/>
      <c r="AB151" s="165"/>
      <c r="AC151" s="165"/>
      <c r="AD151" s="165"/>
      <c r="AE151" s="165"/>
      <c r="AF151" s="165"/>
      <c r="AG151" s="165"/>
      <c r="AH151" s="165"/>
      <c r="AI151" s="165"/>
      <c r="AJ151" s="165"/>
      <c r="AK151" s="165"/>
      <c r="AL151" s="165"/>
      <c r="AM151" s="165"/>
      <c r="AN151" s="165"/>
      <c r="AO151" s="165"/>
      <c r="AP151" s="165"/>
      <c r="AQ151" s="165"/>
      <c r="AR151" s="165"/>
      <c r="AS151" s="165"/>
      <c r="AT151" s="165"/>
      <c r="AU151" s="165"/>
      <c r="AV151" s="165"/>
      <c r="AW151" s="165"/>
      <c r="AX151" s="165"/>
      <c r="AY151" s="165"/>
      <c r="AZ151" s="165"/>
      <c r="BA151" s="165"/>
      <c r="BB151" s="165"/>
      <c r="BC151" s="165"/>
      <c r="BD151" s="165"/>
      <c r="BE151" s="165"/>
      <c r="BF151" s="165"/>
      <c r="BG151" s="165"/>
      <c r="BH151" s="165"/>
      <c r="BI151" s="165"/>
      <c r="BJ151" s="165"/>
      <c r="BK151" s="165"/>
      <c r="BL151" s="165"/>
      <c r="BM151" s="165"/>
      <c r="BN151" s="165"/>
      <c r="BO151" s="165"/>
      <c r="BP151" s="165"/>
      <c r="BQ151" s="165"/>
      <c r="BR151" s="165"/>
      <c r="BS151" s="165"/>
      <c r="BT151" s="165"/>
      <c r="BU151" s="165"/>
      <c r="BV151" s="165"/>
      <c r="BW151" s="165"/>
      <c r="BX151" s="165"/>
      <c r="BY151" s="165"/>
      <c r="BZ151" s="165"/>
      <c r="CA151" s="165"/>
      <c r="CB151" s="1430"/>
      <c r="CC151" s="1430"/>
      <c r="CD151" s="1429"/>
      <c r="CE151" s="1429"/>
      <c r="CF151" s="1429"/>
      <c r="CG151" s="1429"/>
      <c r="CH151" s="1429"/>
      <c r="CI151" s="1429"/>
      <c r="CJ151" s="1432"/>
      <c r="CK151" s="1432"/>
      <c r="CL151" s="1432"/>
      <c r="CM151" s="1432"/>
      <c r="CN151" s="1432"/>
      <c r="CO151" s="1432"/>
      <c r="CP151" s="1432"/>
      <c r="CQ151" s="1432"/>
    </row>
    <row r="152" spans="1:95" ht="16.2" customHeight="1" x14ac:dyDescent="0.3">
      <c r="A152" s="7258">
        <v>25400340</v>
      </c>
      <c r="B152" s="10611"/>
      <c r="C152" s="1265" t="s">
        <v>2028</v>
      </c>
      <c r="D152" s="8370" t="s">
        <v>5369</v>
      </c>
      <c r="E152" s="1166" t="s">
        <v>5370</v>
      </c>
      <c r="F152" s="3121" t="s">
        <v>5371</v>
      </c>
      <c r="G152" s="1817" t="s">
        <v>5372</v>
      </c>
      <c r="H152" s="1166" t="s">
        <v>5373</v>
      </c>
      <c r="I152" s="3121" t="s">
        <v>5374</v>
      </c>
      <c r="J152" s="1817" t="s">
        <v>5375</v>
      </c>
      <c r="K152" s="72"/>
      <c r="L152" s="165"/>
      <c r="M152" s="223"/>
      <c r="N152" s="140"/>
      <c r="O152" s="165"/>
      <c r="P152" s="165"/>
      <c r="Q152" s="165"/>
      <c r="R152" s="165"/>
      <c r="S152" s="165"/>
      <c r="T152" s="165"/>
      <c r="U152" s="165"/>
      <c r="V152" s="165"/>
      <c r="W152" s="165"/>
      <c r="X152" s="165"/>
      <c r="Y152" s="165"/>
      <c r="Z152" s="165"/>
      <c r="AA152" s="165"/>
      <c r="AB152" s="165"/>
      <c r="AC152" s="165"/>
      <c r="AD152" s="165"/>
      <c r="AE152" s="165"/>
      <c r="AF152" s="165"/>
      <c r="AG152" s="165"/>
      <c r="AH152" s="165"/>
      <c r="AI152" s="165"/>
      <c r="AJ152" s="165"/>
      <c r="AK152" s="165"/>
      <c r="AL152" s="165"/>
      <c r="AM152" s="165"/>
      <c r="AN152" s="165"/>
      <c r="AO152" s="165"/>
      <c r="AP152" s="165"/>
      <c r="AQ152" s="165"/>
      <c r="AR152" s="165"/>
      <c r="AS152" s="165"/>
      <c r="AT152" s="165"/>
      <c r="AU152" s="165"/>
      <c r="AV152" s="165"/>
      <c r="AW152" s="165"/>
      <c r="AX152" s="165"/>
      <c r="AY152" s="165"/>
      <c r="AZ152" s="165"/>
      <c r="BA152" s="165"/>
      <c r="BB152" s="165"/>
      <c r="BC152" s="165"/>
      <c r="BD152" s="165"/>
      <c r="BE152" s="165"/>
      <c r="BF152" s="165"/>
      <c r="BG152" s="165"/>
      <c r="BH152" s="165"/>
      <c r="BI152" s="165"/>
      <c r="BJ152" s="165"/>
      <c r="BK152" s="165"/>
      <c r="BL152" s="165"/>
      <c r="BM152" s="165"/>
      <c r="BN152" s="165"/>
      <c r="BO152" s="165"/>
      <c r="BP152" s="165"/>
      <c r="BQ152" s="165"/>
      <c r="BR152" s="165"/>
      <c r="BS152" s="165"/>
      <c r="BT152" s="165"/>
      <c r="BU152" s="165"/>
      <c r="BV152" s="165"/>
      <c r="BW152" s="165"/>
      <c r="BX152" s="165"/>
      <c r="BY152" s="165"/>
      <c r="BZ152" s="165"/>
      <c r="CA152" s="165"/>
      <c r="CB152" s="1430"/>
      <c r="CC152" s="1430"/>
      <c r="CD152" s="1429"/>
      <c r="CE152" s="1429"/>
      <c r="CF152" s="1429"/>
      <c r="CG152" s="1429"/>
      <c r="CH152" s="1429"/>
      <c r="CI152" s="1429"/>
      <c r="CJ152" s="1432"/>
      <c r="CK152" s="1432"/>
      <c r="CL152" s="1432"/>
      <c r="CM152" s="1432"/>
      <c r="CN152" s="1432"/>
      <c r="CO152" s="1432"/>
      <c r="CP152" s="1432"/>
      <c r="CQ152" s="1432"/>
    </row>
    <row r="153" spans="1:95" ht="16.2" customHeight="1" x14ac:dyDescent="0.3">
      <c r="A153" s="7258">
        <v>25400350</v>
      </c>
      <c r="B153" s="10532"/>
      <c r="C153" s="1266" t="s">
        <v>2042</v>
      </c>
      <c r="D153" s="8371" t="s">
        <v>5369</v>
      </c>
      <c r="E153" s="252" t="s">
        <v>5370</v>
      </c>
      <c r="F153" s="1813" t="s">
        <v>5371</v>
      </c>
      <c r="G153" s="3122" t="s">
        <v>5372</v>
      </c>
      <c r="H153" s="252" t="s">
        <v>5373</v>
      </c>
      <c r="I153" s="1813" t="s">
        <v>5374</v>
      </c>
      <c r="J153" s="3122" t="s">
        <v>5375</v>
      </c>
      <c r="K153" s="72"/>
      <c r="L153" s="165"/>
      <c r="M153" s="223"/>
      <c r="N153" s="140"/>
      <c r="O153" s="165"/>
      <c r="P153" s="165"/>
      <c r="Q153" s="165"/>
      <c r="R153" s="165"/>
      <c r="S153" s="165"/>
      <c r="T153" s="165"/>
      <c r="U153" s="165"/>
      <c r="V153" s="165"/>
      <c r="W153" s="165"/>
      <c r="X153" s="165"/>
      <c r="Y153" s="165"/>
      <c r="Z153" s="165"/>
      <c r="AA153" s="165"/>
      <c r="AB153" s="165"/>
      <c r="AC153" s="165"/>
      <c r="AD153" s="165"/>
      <c r="AE153" s="165"/>
      <c r="AF153" s="165"/>
      <c r="AG153" s="165"/>
      <c r="AH153" s="165"/>
      <c r="AI153" s="165"/>
      <c r="AJ153" s="165"/>
      <c r="AK153" s="165"/>
      <c r="AL153" s="165"/>
      <c r="AM153" s="165"/>
      <c r="AN153" s="165"/>
      <c r="AO153" s="165"/>
      <c r="AP153" s="165"/>
      <c r="AQ153" s="165"/>
      <c r="AR153" s="165"/>
      <c r="AS153" s="165"/>
      <c r="AT153" s="165"/>
      <c r="AU153" s="165"/>
      <c r="AV153" s="165"/>
      <c r="AW153" s="165"/>
      <c r="AX153" s="165"/>
      <c r="AY153" s="165"/>
      <c r="AZ153" s="165"/>
      <c r="BA153" s="165"/>
      <c r="BB153" s="165"/>
      <c r="BC153" s="165"/>
      <c r="BD153" s="165"/>
      <c r="BE153" s="165"/>
      <c r="BF153" s="165"/>
      <c r="BG153" s="165"/>
      <c r="BH153" s="165"/>
      <c r="BI153" s="165"/>
      <c r="BJ153" s="165"/>
      <c r="BK153" s="165"/>
      <c r="BL153" s="165"/>
      <c r="BM153" s="165"/>
      <c r="BN153" s="165"/>
      <c r="BO153" s="165"/>
      <c r="BP153" s="165"/>
      <c r="BQ153" s="165"/>
      <c r="BR153" s="165"/>
      <c r="BS153" s="165"/>
      <c r="BT153" s="165"/>
      <c r="BU153" s="165"/>
      <c r="BV153" s="165"/>
      <c r="BW153" s="165"/>
      <c r="BX153" s="165"/>
      <c r="BY153" s="165"/>
      <c r="BZ153" s="165"/>
      <c r="CA153" s="165"/>
      <c r="CB153" s="1430"/>
      <c r="CC153" s="1430"/>
      <c r="CD153" s="1429"/>
      <c r="CE153" s="1429"/>
      <c r="CF153" s="1429"/>
      <c r="CG153" s="1429"/>
      <c r="CH153" s="1429"/>
      <c r="CI153" s="1429"/>
      <c r="CJ153" s="1432"/>
      <c r="CK153" s="1432"/>
      <c r="CL153" s="1432"/>
      <c r="CM153" s="1432"/>
      <c r="CN153" s="1432"/>
      <c r="CO153" s="1432"/>
      <c r="CP153" s="1432"/>
      <c r="CQ153" s="1432"/>
    </row>
    <row r="154" spans="1:95" ht="16.2" customHeight="1" x14ac:dyDescent="0.3">
      <c r="A154" s="7258">
        <v>25400362</v>
      </c>
      <c r="B154" s="10598" t="s">
        <v>2015</v>
      </c>
      <c r="C154" s="10599"/>
      <c r="D154" s="799" t="s">
        <v>5369</v>
      </c>
      <c r="E154" s="695" t="s">
        <v>5370</v>
      </c>
      <c r="F154" s="6978" t="s">
        <v>5371</v>
      </c>
      <c r="G154" s="6979" t="s">
        <v>5372</v>
      </c>
      <c r="H154" s="695" t="s">
        <v>5373</v>
      </c>
      <c r="I154" s="6978" t="s">
        <v>5374</v>
      </c>
      <c r="J154" s="6979" t="s">
        <v>5375</v>
      </c>
      <c r="K154" s="72"/>
      <c r="L154" s="165"/>
      <c r="M154" s="223"/>
      <c r="N154" s="140"/>
      <c r="O154" s="165"/>
      <c r="P154" s="165"/>
      <c r="Q154" s="165"/>
      <c r="R154" s="165"/>
      <c r="S154" s="165"/>
      <c r="T154" s="165"/>
      <c r="U154" s="165"/>
      <c r="V154" s="165"/>
      <c r="W154" s="165"/>
      <c r="X154" s="165"/>
      <c r="Y154" s="165"/>
      <c r="Z154" s="165"/>
      <c r="AA154" s="165"/>
      <c r="AB154" s="165"/>
      <c r="AC154" s="165"/>
      <c r="AD154" s="165"/>
      <c r="AE154" s="165"/>
      <c r="AF154" s="165"/>
      <c r="AG154" s="165"/>
      <c r="AH154" s="165"/>
      <c r="AI154" s="165"/>
      <c r="AJ154" s="165"/>
      <c r="AK154" s="165"/>
      <c r="AL154" s="165"/>
      <c r="AM154" s="165"/>
      <c r="AN154" s="165"/>
      <c r="AO154" s="165"/>
      <c r="AP154" s="165"/>
      <c r="AQ154" s="165"/>
      <c r="AR154" s="165"/>
      <c r="AS154" s="165"/>
      <c r="AT154" s="165"/>
      <c r="AU154" s="165"/>
      <c r="AV154" s="165"/>
      <c r="AW154" s="165"/>
      <c r="AX154" s="165"/>
      <c r="AY154" s="165"/>
      <c r="AZ154" s="165"/>
      <c r="BA154" s="165"/>
      <c r="BB154" s="165"/>
      <c r="BC154" s="165"/>
      <c r="BD154" s="165"/>
      <c r="BE154" s="165"/>
      <c r="BF154" s="165"/>
      <c r="BG154" s="165"/>
      <c r="BH154" s="165"/>
      <c r="BI154" s="165"/>
      <c r="BJ154" s="165"/>
      <c r="BK154" s="165"/>
      <c r="BL154" s="165"/>
      <c r="BM154" s="165"/>
      <c r="BN154" s="165"/>
      <c r="BO154" s="165"/>
      <c r="BP154" s="165"/>
      <c r="BQ154" s="165"/>
      <c r="BR154" s="165"/>
      <c r="BS154" s="165"/>
      <c r="BT154" s="165"/>
      <c r="BU154" s="165"/>
      <c r="BV154" s="165"/>
      <c r="BW154" s="165"/>
      <c r="BX154" s="165"/>
      <c r="BY154" s="165"/>
      <c r="BZ154" s="165"/>
      <c r="CA154" s="165"/>
      <c r="CB154" s="1430"/>
      <c r="CC154" s="1430"/>
      <c r="CD154" s="1429"/>
      <c r="CE154" s="1429"/>
      <c r="CF154" s="1429"/>
      <c r="CG154" s="1429"/>
      <c r="CH154" s="1429"/>
      <c r="CI154" s="1429"/>
      <c r="CJ154" s="1432"/>
      <c r="CK154" s="1432"/>
      <c r="CL154" s="1432"/>
      <c r="CM154" s="1432"/>
      <c r="CN154" s="1432"/>
      <c r="CO154" s="1432"/>
      <c r="CP154" s="1432"/>
      <c r="CQ154" s="1432"/>
    </row>
    <row r="155" spans="1:95" ht="16.2" customHeight="1" x14ac:dyDescent="0.3">
      <c r="A155" s="7258">
        <v>25200700</v>
      </c>
      <c r="B155" s="10600" t="s">
        <v>2011</v>
      </c>
      <c r="C155" s="10601"/>
      <c r="D155" s="8372" t="s">
        <v>5369</v>
      </c>
      <c r="E155" s="1239" t="s">
        <v>5370</v>
      </c>
      <c r="F155" s="6980" t="s">
        <v>5371</v>
      </c>
      <c r="G155" s="6981" t="s">
        <v>5372</v>
      </c>
      <c r="H155" s="1239" t="s">
        <v>5373</v>
      </c>
      <c r="I155" s="6980" t="s">
        <v>5374</v>
      </c>
      <c r="J155" s="6981" t="s">
        <v>5375</v>
      </c>
      <c r="K155" s="72"/>
      <c r="L155" s="165"/>
      <c r="M155" s="223"/>
      <c r="N155" s="140"/>
      <c r="O155" s="165"/>
      <c r="P155" s="165"/>
      <c r="Q155" s="165"/>
      <c r="R155" s="165"/>
      <c r="S155" s="165"/>
      <c r="T155" s="165"/>
      <c r="U155" s="165"/>
      <c r="V155" s="165"/>
      <c r="W155" s="165"/>
      <c r="X155" s="165"/>
      <c r="Y155" s="165"/>
      <c r="Z155" s="165"/>
      <c r="AA155" s="165"/>
      <c r="AB155" s="165"/>
      <c r="AC155" s="165"/>
      <c r="AD155" s="165"/>
      <c r="AE155" s="165"/>
      <c r="AF155" s="165"/>
      <c r="AG155" s="165"/>
      <c r="AH155" s="165"/>
      <c r="AI155" s="165"/>
      <c r="AJ155" s="165"/>
      <c r="AK155" s="165"/>
      <c r="AL155" s="165"/>
      <c r="AM155" s="165"/>
      <c r="AN155" s="165"/>
      <c r="AO155" s="165"/>
      <c r="AP155" s="165"/>
      <c r="AQ155" s="165"/>
      <c r="AR155" s="165"/>
      <c r="AS155" s="165"/>
      <c r="AT155" s="165"/>
      <c r="AU155" s="165"/>
      <c r="AV155" s="165"/>
      <c r="AW155" s="165"/>
      <c r="AX155" s="165"/>
      <c r="AY155" s="165"/>
      <c r="AZ155" s="165"/>
      <c r="BA155" s="165"/>
      <c r="BB155" s="165"/>
      <c r="BC155" s="165"/>
      <c r="BD155" s="165"/>
      <c r="BE155" s="165"/>
      <c r="BF155" s="165"/>
      <c r="BG155" s="165"/>
      <c r="BH155" s="165"/>
      <c r="BI155" s="165"/>
      <c r="BJ155" s="165"/>
      <c r="BK155" s="165"/>
      <c r="BL155" s="165"/>
      <c r="BM155" s="165"/>
      <c r="BN155" s="165"/>
      <c r="BO155" s="165"/>
      <c r="BP155" s="165"/>
      <c r="BQ155" s="165"/>
      <c r="BR155" s="165"/>
      <c r="BS155" s="165"/>
      <c r="BT155" s="165"/>
      <c r="BU155" s="165"/>
      <c r="BV155" s="165"/>
      <c r="BW155" s="165"/>
      <c r="BX155" s="165"/>
      <c r="BY155" s="165"/>
      <c r="BZ155" s="165"/>
      <c r="CA155" s="165"/>
      <c r="CB155" s="1430"/>
      <c r="CC155" s="1430"/>
      <c r="CD155" s="1429"/>
      <c r="CE155" s="1429"/>
      <c r="CF155" s="1429"/>
      <c r="CG155" s="1429"/>
      <c r="CH155" s="1429"/>
      <c r="CI155" s="1429"/>
      <c r="CJ155" s="1432"/>
      <c r="CK155" s="1432"/>
      <c r="CL155" s="1432"/>
      <c r="CM155" s="1432"/>
      <c r="CN155" s="1432"/>
      <c r="CO155" s="1432"/>
      <c r="CP155" s="1432"/>
      <c r="CQ155" s="1432"/>
    </row>
    <row r="156" spans="1:95" ht="16.2" customHeight="1" x14ac:dyDescent="0.3">
      <c r="A156" s="7298"/>
      <c r="B156" s="10613" t="s">
        <v>24</v>
      </c>
      <c r="C156" s="10614"/>
      <c r="D156" s="8373">
        <f>SUM(E156:J156)</f>
        <v>0</v>
      </c>
      <c r="E156" s="1109">
        <f>SUM(E150:E155)</f>
        <v>0</v>
      </c>
      <c r="F156" s="7098">
        <f>SUM(F150:F153)</f>
        <v>0</v>
      </c>
      <c r="G156" s="7099">
        <f>SUM(G150:G153)</f>
        <v>0</v>
      </c>
      <c r="H156" s="1109">
        <f>SUM(H150:H155)</f>
        <v>0</v>
      </c>
      <c r="I156" s="7098">
        <f>SUM(I150:I153)</f>
        <v>0</v>
      </c>
      <c r="J156" s="7099">
        <f>SUM(J150:J153)</f>
        <v>0</v>
      </c>
      <c r="K156" s="165"/>
      <c r="L156" s="165"/>
      <c r="M156" s="223"/>
      <c r="N156" s="140"/>
      <c r="O156" s="165"/>
      <c r="P156" s="165"/>
      <c r="Q156" s="165"/>
      <c r="R156" s="165"/>
      <c r="S156" s="165"/>
      <c r="T156" s="165"/>
      <c r="U156" s="165"/>
      <c r="V156" s="165"/>
      <c r="W156" s="165"/>
      <c r="X156" s="165"/>
      <c r="Y156" s="165"/>
      <c r="Z156" s="165"/>
      <c r="AA156" s="165"/>
      <c r="AB156" s="165"/>
      <c r="AC156" s="165"/>
      <c r="AD156" s="165"/>
      <c r="AE156" s="165"/>
      <c r="AF156" s="165"/>
      <c r="AG156" s="165"/>
      <c r="AH156" s="165"/>
      <c r="AI156" s="165"/>
      <c r="AJ156" s="165"/>
      <c r="AK156" s="165"/>
      <c r="AL156" s="165"/>
      <c r="AM156" s="165"/>
      <c r="AN156" s="165"/>
      <c r="AO156" s="165"/>
      <c r="AP156" s="165"/>
      <c r="AQ156" s="165"/>
      <c r="AR156" s="165"/>
      <c r="AS156" s="165"/>
      <c r="AT156" s="165"/>
      <c r="AU156" s="165"/>
      <c r="AV156" s="165"/>
      <c r="AW156" s="165"/>
      <c r="AX156" s="165"/>
      <c r="AY156" s="165"/>
      <c r="AZ156" s="165"/>
      <c r="BA156" s="165"/>
      <c r="BB156" s="165"/>
      <c r="BC156" s="165"/>
      <c r="BD156" s="165"/>
      <c r="BE156" s="165"/>
      <c r="BF156" s="165"/>
      <c r="BG156" s="165"/>
      <c r="BH156" s="165"/>
      <c r="BI156" s="165"/>
      <c r="BJ156" s="165"/>
      <c r="BK156" s="165"/>
      <c r="BL156" s="165"/>
      <c r="BM156" s="165"/>
      <c r="BN156" s="165"/>
      <c r="BO156" s="165"/>
      <c r="BP156" s="165"/>
      <c r="BQ156" s="165"/>
      <c r="BR156" s="165"/>
      <c r="BS156" s="165"/>
      <c r="BT156" s="165"/>
      <c r="BU156" s="165"/>
      <c r="BV156" s="165"/>
      <c r="BW156" s="165"/>
      <c r="BX156" s="165"/>
      <c r="BY156" s="165"/>
      <c r="BZ156" s="165"/>
      <c r="CA156" s="165"/>
      <c r="CB156" s="1430"/>
      <c r="CC156" s="1430"/>
      <c r="CD156" s="1429"/>
      <c r="CE156" s="1429"/>
      <c r="CF156" s="1429"/>
      <c r="CG156" s="1429"/>
      <c r="CH156" s="1429"/>
      <c r="CI156" s="1429"/>
      <c r="CJ156" s="1432"/>
      <c r="CK156" s="1432"/>
      <c r="CL156" s="1432"/>
      <c r="CM156" s="1432"/>
      <c r="CN156" s="1432"/>
      <c r="CO156" s="1432"/>
      <c r="CP156" s="1432"/>
      <c r="CQ156" s="1432"/>
    </row>
    <row r="157" spans="1:95" ht="31.95" customHeight="1" x14ac:dyDescent="0.3">
      <c r="A157"/>
      <c r="B157" s="1277" t="s">
        <v>2049</v>
      </c>
      <c r="C157" s="1277"/>
      <c r="D157" s="1277"/>
      <c r="E157" s="1276"/>
      <c r="F157" s="1276"/>
      <c r="G157" s="1260"/>
      <c r="H157" s="165"/>
      <c r="I157" s="165"/>
      <c r="J157" s="165"/>
      <c r="K157" s="223"/>
      <c r="L157" s="140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  <c r="X157" s="165"/>
      <c r="Y157" s="165"/>
      <c r="Z157" s="165"/>
      <c r="AA157" s="165"/>
      <c r="AB157" s="165"/>
      <c r="AC157" s="165"/>
      <c r="AD157" s="165"/>
      <c r="AE157" s="165"/>
      <c r="AF157" s="165"/>
      <c r="AG157" s="165"/>
      <c r="AH157" s="165"/>
      <c r="AI157" s="165"/>
      <c r="AJ157" s="165"/>
      <c r="AK157" s="165"/>
      <c r="AL157" s="165"/>
      <c r="AM157" s="165"/>
      <c r="AN157" s="165"/>
      <c r="AO157" s="165"/>
      <c r="AP157" s="165"/>
      <c r="AQ157" s="165"/>
      <c r="AR157" s="165"/>
      <c r="AS157" s="165"/>
      <c r="AT157" s="165"/>
      <c r="AU157" s="165"/>
      <c r="AV157" s="165"/>
      <c r="AW157" s="165"/>
      <c r="AX157" s="165"/>
      <c r="AY157" s="165"/>
      <c r="AZ157" s="165"/>
      <c r="BA157" s="165"/>
      <c r="BB157" s="165"/>
      <c r="BC157" s="165"/>
      <c r="BD157" s="165"/>
      <c r="BE157" s="165"/>
      <c r="BF157" s="165"/>
      <c r="BG157" s="165"/>
      <c r="BH157" s="165"/>
      <c r="BI157" s="165"/>
      <c r="BJ157" s="165"/>
      <c r="BK157" s="165"/>
      <c r="BL157" s="165"/>
      <c r="BM157" s="165"/>
      <c r="BN157" s="165"/>
      <c r="BO157" s="165"/>
      <c r="BP157" s="165"/>
      <c r="BQ157" s="165"/>
      <c r="BR157" s="165"/>
      <c r="BS157" s="165"/>
      <c r="BT157" s="165"/>
      <c r="BU157" s="165"/>
      <c r="BV157" s="165"/>
      <c r="BW157" s="165"/>
      <c r="BX157" s="165"/>
      <c r="BY157" s="165"/>
      <c r="BZ157" s="1430"/>
      <c r="CA157" s="1430"/>
      <c r="CB157" s="1429"/>
      <c r="CC157" s="1429"/>
      <c r="CD157" s="1429"/>
      <c r="CE157" s="1429"/>
      <c r="CF157" s="1429"/>
      <c r="CG157" s="1429"/>
      <c r="CH157" s="1432"/>
      <c r="CI157" s="1432"/>
      <c r="CJ157" s="1432"/>
      <c r="CK157" s="1432"/>
      <c r="CL157" s="1432"/>
      <c r="CM157" s="1432"/>
      <c r="CN157" s="1432"/>
      <c r="CO157" s="1432"/>
    </row>
    <row r="158" spans="1:95" ht="16.2" customHeight="1" x14ac:dyDescent="0.3">
      <c r="A158"/>
      <c r="B158" s="9976" t="s">
        <v>47</v>
      </c>
      <c r="C158" s="10615"/>
      <c r="D158" s="1189" t="s">
        <v>24</v>
      </c>
      <c r="E158" s="1276"/>
      <c r="F158" s="1276"/>
      <c r="G158" s="214"/>
      <c r="H158" s="165"/>
      <c r="I158" s="165"/>
      <c r="J158" s="165"/>
      <c r="K158" s="223"/>
      <c r="L158" s="140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5"/>
      <c r="AW158" s="165"/>
      <c r="AX158" s="165"/>
      <c r="AY158" s="165"/>
      <c r="AZ158" s="165"/>
      <c r="BA158" s="165"/>
      <c r="BB158" s="165"/>
      <c r="BC158" s="165"/>
      <c r="BD158" s="165"/>
      <c r="BE158" s="165"/>
      <c r="BF158" s="165"/>
      <c r="BG158" s="165"/>
      <c r="BH158" s="165"/>
      <c r="BI158" s="165"/>
      <c r="BJ158" s="165"/>
      <c r="BK158" s="165"/>
      <c r="BL158" s="165"/>
      <c r="BM158" s="165"/>
      <c r="BN158" s="165"/>
      <c r="BO158" s="165"/>
      <c r="BP158" s="165"/>
      <c r="BQ158" s="165"/>
      <c r="BR158" s="165"/>
      <c r="BS158" s="165"/>
      <c r="BT158" s="165"/>
      <c r="BU158" s="165"/>
      <c r="BV158" s="165"/>
      <c r="BW158" s="165"/>
      <c r="BX158" s="165"/>
      <c r="BY158" s="165"/>
      <c r="BZ158" s="1430"/>
      <c r="CA158" s="1430"/>
      <c r="CB158" s="1429"/>
      <c r="CC158" s="1429"/>
      <c r="CD158" s="1429"/>
      <c r="CE158" s="1429"/>
      <c r="CF158" s="1429"/>
      <c r="CG158" s="1429"/>
      <c r="CH158" s="1432"/>
      <c r="CI158" s="1432"/>
      <c r="CJ158" s="1432"/>
      <c r="CK158" s="1432"/>
      <c r="CL158" s="1432"/>
      <c r="CM158" s="1432"/>
      <c r="CN158" s="1432"/>
      <c r="CO158" s="1432"/>
    </row>
    <row r="159" spans="1:95" ht="16.2" customHeight="1" x14ac:dyDescent="0.3">
      <c r="A159" s="7258">
        <v>25200900</v>
      </c>
      <c r="B159" s="10616" t="s">
        <v>2050</v>
      </c>
      <c r="C159" s="1278" t="s">
        <v>190</v>
      </c>
      <c r="D159" s="1279" t="s">
        <v>5369</v>
      </c>
      <c r="E159" s="1276"/>
      <c r="F159" s="1276"/>
      <c r="G159" s="214"/>
      <c r="H159" s="165"/>
      <c r="I159" s="165"/>
      <c r="J159" s="165"/>
      <c r="K159" s="223"/>
      <c r="L159" s="140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  <c r="X159" s="165"/>
      <c r="Y159" s="165"/>
      <c r="Z159" s="165"/>
      <c r="AA159" s="165"/>
      <c r="AB159" s="165"/>
      <c r="AC159" s="165"/>
      <c r="AD159" s="165"/>
      <c r="AE159" s="165"/>
      <c r="AF159" s="165"/>
      <c r="AG159" s="165"/>
      <c r="AH159" s="165"/>
      <c r="AI159" s="165"/>
      <c r="AJ159" s="165"/>
      <c r="AK159" s="165"/>
      <c r="AL159" s="165"/>
      <c r="AM159" s="165"/>
      <c r="AN159" s="165"/>
      <c r="AO159" s="165"/>
      <c r="AP159" s="165"/>
      <c r="AQ159" s="165"/>
      <c r="AR159" s="165"/>
      <c r="AS159" s="165"/>
      <c r="AT159" s="165"/>
      <c r="AU159" s="165"/>
      <c r="AV159" s="165"/>
      <c r="AW159" s="165"/>
      <c r="AX159" s="165"/>
      <c r="AY159" s="165"/>
      <c r="AZ159" s="165"/>
      <c r="BA159" s="165"/>
      <c r="BB159" s="165"/>
      <c r="BC159" s="165"/>
      <c r="BD159" s="165"/>
      <c r="BE159" s="165"/>
      <c r="BF159" s="165"/>
      <c r="BG159" s="165"/>
      <c r="BH159" s="165"/>
      <c r="BI159" s="165"/>
      <c r="BJ159" s="165"/>
      <c r="BK159" s="165"/>
      <c r="BL159" s="165"/>
      <c r="BM159" s="165"/>
      <c r="BN159" s="165"/>
      <c r="BO159" s="165"/>
      <c r="BP159" s="165"/>
      <c r="BQ159" s="165"/>
      <c r="BR159" s="165"/>
      <c r="BS159" s="165"/>
      <c r="BT159" s="165"/>
      <c r="BU159" s="165"/>
      <c r="BV159" s="165"/>
      <c r="BW159" s="165"/>
      <c r="BX159" s="165"/>
      <c r="BY159" s="165"/>
      <c r="BZ159" s="1430"/>
      <c r="CA159" s="1430"/>
      <c r="CB159" s="1429"/>
      <c r="CC159" s="1429"/>
      <c r="CD159" s="1429"/>
      <c r="CE159" s="1429"/>
      <c r="CF159" s="1429"/>
      <c r="CG159" s="1429"/>
      <c r="CH159" s="1432"/>
      <c r="CI159" s="1432"/>
      <c r="CJ159" s="1432"/>
      <c r="CK159" s="1432"/>
      <c r="CL159" s="1432"/>
      <c r="CM159" s="1432"/>
      <c r="CN159" s="1432"/>
      <c r="CO159" s="1432"/>
    </row>
    <row r="160" spans="1:95" ht="16.2" customHeight="1" x14ac:dyDescent="0.3">
      <c r="A160" s="7258">
        <v>25300100</v>
      </c>
      <c r="B160" s="10617"/>
      <c r="C160" s="1280" t="s">
        <v>2051</v>
      </c>
      <c r="D160" s="1281" t="s">
        <v>5369</v>
      </c>
      <c r="E160" s="1276"/>
      <c r="F160" s="1276"/>
      <c r="G160" s="214"/>
      <c r="H160" s="165"/>
      <c r="I160" s="165"/>
      <c r="J160" s="165"/>
      <c r="K160" s="223"/>
      <c r="L160" s="140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  <c r="X160" s="165"/>
      <c r="Y160" s="165"/>
      <c r="Z160" s="165"/>
      <c r="AA160" s="165"/>
      <c r="AB160" s="165"/>
      <c r="AC160" s="165"/>
      <c r="AD160" s="165"/>
      <c r="AE160" s="165"/>
      <c r="AF160" s="165"/>
      <c r="AG160" s="165"/>
      <c r="AH160" s="165"/>
      <c r="AI160" s="165"/>
      <c r="AJ160" s="165"/>
      <c r="AK160" s="165"/>
      <c r="AL160" s="165"/>
      <c r="AM160" s="165"/>
      <c r="AN160" s="165"/>
      <c r="AO160" s="165"/>
      <c r="AP160" s="165"/>
      <c r="AQ160" s="165"/>
      <c r="AR160" s="165"/>
      <c r="AS160" s="165"/>
      <c r="AT160" s="165"/>
      <c r="AU160" s="165"/>
      <c r="AV160" s="165"/>
      <c r="AW160" s="165"/>
      <c r="AX160" s="165"/>
      <c r="AY160" s="165"/>
      <c r="AZ160" s="165"/>
      <c r="BA160" s="165"/>
      <c r="BB160" s="165"/>
      <c r="BC160" s="165"/>
      <c r="BD160" s="165"/>
      <c r="BE160" s="165"/>
      <c r="BF160" s="165"/>
      <c r="BG160" s="165"/>
      <c r="BH160" s="165"/>
      <c r="BI160" s="165"/>
      <c r="BJ160" s="165"/>
      <c r="BK160" s="165"/>
      <c r="BL160" s="165"/>
      <c r="BM160" s="165"/>
      <c r="BN160" s="165"/>
      <c r="BO160" s="165"/>
      <c r="BP160" s="165"/>
      <c r="BQ160" s="165"/>
      <c r="BR160" s="165"/>
      <c r="BS160" s="165"/>
      <c r="BT160" s="165"/>
      <c r="BU160" s="165"/>
      <c r="BV160" s="165"/>
      <c r="BW160" s="165"/>
      <c r="BX160" s="165"/>
      <c r="BY160" s="165"/>
      <c r="BZ160" s="1430"/>
      <c r="CA160" s="1430"/>
      <c r="CB160" s="1429"/>
      <c r="CC160" s="1429"/>
      <c r="CD160" s="1429"/>
      <c r="CE160" s="1429"/>
      <c r="CF160" s="1429"/>
      <c r="CG160" s="1429"/>
      <c r="CH160" s="1432"/>
      <c r="CI160" s="1432"/>
      <c r="CJ160" s="1432"/>
      <c r="CK160" s="1432"/>
      <c r="CL160" s="1432"/>
      <c r="CM160" s="1432"/>
      <c r="CN160" s="1432"/>
      <c r="CO160" s="1432"/>
    </row>
    <row r="161" spans="1:93" ht="29.4" customHeight="1" x14ac:dyDescent="0.3">
      <c r="A161"/>
      <c r="B161" s="803" t="s">
        <v>3267</v>
      </c>
      <c r="C161" s="290"/>
      <c r="D161" s="290"/>
      <c r="E161" s="165"/>
      <c r="F161" s="165"/>
      <c r="G161" s="140"/>
      <c r="H161" s="140"/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  <c r="X161" s="165"/>
      <c r="Y161" s="165"/>
      <c r="Z161" s="165"/>
      <c r="AA161" s="165"/>
      <c r="AB161" s="165"/>
      <c r="AC161" s="165"/>
      <c r="AD161" s="165"/>
      <c r="AE161" s="165"/>
      <c r="AF161" s="165"/>
      <c r="AG161" s="165"/>
      <c r="AH161" s="165"/>
      <c r="AI161" s="165"/>
      <c r="AJ161" s="165"/>
      <c r="AK161" s="165"/>
      <c r="AL161" s="165"/>
      <c r="AM161" s="165"/>
      <c r="AN161" s="165"/>
      <c r="AO161" s="165"/>
      <c r="AP161" s="165"/>
      <c r="AQ161" s="165"/>
      <c r="AR161" s="165"/>
      <c r="AS161" s="165"/>
      <c r="AT161" s="165"/>
      <c r="AU161" s="165"/>
      <c r="AV161" s="165"/>
      <c r="AW161" s="165"/>
      <c r="AX161" s="165"/>
      <c r="AY161" s="165"/>
      <c r="AZ161" s="165"/>
      <c r="BA161" s="165"/>
      <c r="BB161" s="165"/>
      <c r="BC161" s="165"/>
      <c r="BD161" s="165"/>
      <c r="BE161" s="165"/>
      <c r="BF161" s="165"/>
      <c r="BG161" s="165"/>
      <c r="BH161" s="165"/>
      <c r="BI161" s="165"/>
      <c r="BJ161" s="165"/>
      <c r="BK161" s="165"/>
      <c r="BL161" s="165"/>
      <c r="BM161" s="165"/>
      <c r="BN161" s="165"/>
      <c r="BO161" s="165"/>
      <c r="BP161" s="165"/>
      <c r="BQ161" s="165"/>
      <c r="BR161" s="165"/>
      <c r="BS161" s="165"/>
      <c r="BT161" s="165"/>
      <c r="BU161" s="165"/>
      <c r="BV161" s="165"/>
      <c r="BW161" s="165"/>
      <c r="BX161" s="165"/>
      <c r="BY161" s="165"/>
      <c r="BZ161" s="1430"/>
      <c r="CA161" s="1430"/>
      <c r="CB161" s="1429"/>
      <c r="CC161" s="1429"/>
      <c r="CD161" s="1429"/>
      <c r="CE161" s="1429"/>
      <c r="CF161" s="1429"/>
      <c r="CG161" s="1429"/>
      <c r="CH161" s="1432"/>
      <c r="CI161" s="1432"/>
      <c r="CJ161" s="1432"/>
      <c r="CK161" s="1432"/>
      <c r="CL161" s="1432"/>
      <c r="CM161" s="1432"/>
      <c r="CN161" s="1432"/>
      <c r="CO161" s="1432"/>
    </row>
    <row r="162" spans="1:93" ht="16.2" customHeight="1" x14ac:dyDescent="0.3">
      <c r="A162"/>
      <c r="B162" s="10646" t="s">
        <v>3268</v>
      </c>
      <c r="C162" s="10646" t="s">
        <v>3269</v>
      </c>
      <c r="D162" s="10659" t="s">
        <v>3270</v>
      </c>
      <c r="E162" s="10660"/>
      <c r="F162" s="10661"/>
      <c r="G162" s="8704" t="s">
        <v>44</v>
      </c>
      <c r="H162" s="8918" t="s">
        <v>3439</v>
      </c>
      <c r="I162" s="10656" t="s">
        <v>3440</v>
      </c>
      <c r="J162" s="8920" t="s">
        <v>3441</v>
      </c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  <c r="X162" s="165"/>
      <c r="Y162" s="165"/>
      <c r="Z162" s="165"/>
      <c r="AA162" s="165"/>
      <c r="AB162" s="165"/>
      <c r="AC162" s="165"/>
      <c r="AD162" s="165"/>
      <c r="AE162" s="165"/>
      <c r="AF162" s="165"/>
      <c r="AG162" s="165"/>
      <c r="AH162" s="165"/>
      <c r="AI162" s="165"/>
      <c r="AJ162" s="165"/>
      <c r="AK162" s="165"/>
      <c r="AL162" s="165"/>
      <c r="AM162" s="165"/>
      <c r="AN162" s="165"/>
      <c r="AO162" s="165"/>
      <c r="AP162" s="165"/>
      <c r="AQ162" s="165"/>
      <c r="AR162" s="165"/>
      <c r="AS162" s="165"/>
      <c r="AT162" s="165"/>
      <c r="AU162" s="165"/>
      <c r="AV162" s="165"/>
      <c r="AW162" s="165"/>
      <c r="AX162" s="165"/>
      <c r="AY162" s="165"/>
      <c r="AZ162" s="165"/>
      <c r="BA162" s="165"/>
      <c r="BB162" s="165"/>
      <c r="BC162" s="165"/>
      <c r="BD162" s="165"/>
      <c r="BE162" s="165"/>
      <c r="BF162" s="165"/>
      <c r="BG162" s="165"/>
      <c r="BH162" s="165"/>
      <c r="BI162" s="165"/>
      <c r="BJ162" s="165"/>
      <c r="BK162" s="165"/>
      <c r="BL162" s="165"/>
      <c r="BM162" s="165"/>
      <c r="BN162" s="165"/>
      <c r="BO162" s="165"/>
      <c r="BP162" s="165"/>
      <c r="BQ162" s="165"/>
      <c r="BR162" s="165"/>
      <c r="BS162" s="165"/>
      <c r="BT162" s="165"/>
      <c r="BU162" s="165"/>
      <c r="BV162" s="165"/>
      <c r="BW162" s="165"/>
      <c r="BX162" s="165"/>
      <c r="BY162" s="165"/>
      <c r="BZ162" s="1430"/>
      <c r="CA162" s="1430"/>
      <c r="CB162" s="1429"/>
      <c r="CC162" s="1429"/>
      <c r="CD162" s="1429"/>
      <c r="CE162" s="1429"/>
      <c r="CF162" s="1429"/>
      <c r="CG162" s="1429"/>
      <c r="CH162" s="1432"/>
      <c r="CI162" s="1432"/>
      <c r="CJ162" s="1432"/>
      <c r="CK162" s="1432"/>
      <c r="CL162" s="1432"/>
      <c r="CM162" s="1432"/>
      <c r="CN162" s="1432"/>
      <c r="CO162" s="1432"/>
    </row>
    <row r="163" spans="1:93" ht="16.2" customHeight="1" x14ac:dyDescent="0.3">
      <c r="A163"/>
      <c r="B163" s="10646"/>
      <c r="C163" s="10646"/>
      <c r="D163" s="10662"/>
      <c r="E163" s="10663"/>
      <c r="F163" s="10664"/>
      <c r="G163" s="8706"/>
      <c r="H163" s="10642"/>
      <c r="I163" s="10657"/>
      <c r="J163" s="10658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  <c r="X163" s="165"/>
      <c r="Y163" s="165"/>
      <c r="Z163" s="165"/>
      <c r="AA163" s="165"/>
      <c r="AB163" s="165"/>
      <c r="AC163" s="165"/>
      <c r="AD163" s="165"/>
      <c r="AE163" s="165"/>
      <c r="AF163" s="165"/>
      <c r="AG163" s="165"/>
      <c r="AH163" s="165"/>
      <c r="AI163" s="165"/>
      <c r="AJ163" s="165"/>
      <c r="AK163" s="165"/>
      <c r="AL163" s="165"/>
      <c r="AM163" s="165"/>
      <c r="AN163" s="165"/>
      <c r="AO163" s="165"/>
      <c r="AP163" s="165"/>
      <c r="AQ163" s="165"/>
      <c r="AR163" s="165"/>
      <c r="AS163" s="165"/>
      <c r="AT163" s="165"/>
      <c r="AU163" s="165"/>
      <c r="AV163" s="165"/>
      <c r="AW163" s="165"/>
      <c r="AX163" s="165"/>
      <c r="AY163" s="165"/>
      <c r="AZ163" s="165"/>
      <c r="BA163" s="165"/>
      <c r="BB163" s="165"/>
      <c r="BC163" s="165"/>
      <c r="BD163" s="165"/>
      <c r="BE163" s="165"/>
      <c r="BF163" s="165"/>
      <c r="BG163" s="165"/>
      <c r="BH163" s="165"/>
      <c r="BI163" s="165"/>
      <c r="BJ163" s="165"/>
      <c r="BK163" s="165"/>
      <c r="BL163" s="165"/>
      <c r="BM163" s="165"/>
      <c r="BN163" s="165"/>
      <c r="BO163" s="165"/>
      <c r="BP163" s="165"/>
      <c r="BQ163" s="165"/>
      <c r="BR163" s="165"/>
      <c r="BS163" s="165"/>
      <c r="BT163" s="165"/>
      <c r="BU163" s="165"/>
      <c r="BV163" s="165"/>
      <c r="BW163" s="165"/>
      <c r="BX163" s="165"/>
      <c r="BY163" s="165"/>
      <c r="BZ163" s="1430"/>
      <c r="CA163" s="1430"/>
      <c r="CB163" s="1429"/>
      <c r="CC163" s="1429"/>
      <c r="CD163" s="1429"/>
      <c r="CE163" s="1429"/>
      <c r="CF163" s="1429"/>
      <c r="CG163" s="1429"/>
      <c r="CH163" s="1432"/>
      <c r="CI163" s="1432"/>
      <c r="CJ163" s="1432"/>
      <c r="CK163" s="1432"/>
      <c r="CL163" s="1432"/>
      <c r="CM163" s="1432"/>
      <c r="CN163" s="1432"/>
      <c r="CO163" s="1432"/>
    </row>
    <row r="164" spans="1:93" ht="16.2" customHeight="1" x14ac:dyDescent="0.3">
      <c r="A164" s="7320">
        <v>29101425</v>
      </c>
      <c r="B164" s="10643" t="s">
        <v>3271</v>
      </c>
      <c r="C164" s="10644" t="s">
        <v>3272</v>
      </c>
      <c r="D164" s="10665" t="s">
        <v>3273</v>
      </c>
      <c r="E164" s="10666"/>
      <c r="F164" s="10667"/>
      <c r="G164" s="1632" t="s">
        <v>5369</v>
      </c>
      <c r="H164" s="3505" t="s">
        <v>5370</v>
      </c>
      <c r="I164" s="3121" t="s">
        <v>5371</v>
      </c>
      <c r="J164" s="1817" t="s">
        <v>5372</v>
      </c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  <c r="AH164" s="165"/>
      <c r="AI164" s="165"/>
      <c r="AJ164" s="165"/>
      <c r="AK164" s="165"/>
      <c r="AL164" s="165"/>
      <c r="AM164" s="165"/>
      <c r="AN164" s="165"/>
      <c r="AO164" s="165"/>
      <c r="AP164" s="165"/>
      <c r="AQ164" s="165"/>
      <c r="AR164" s="165"/>
      <c r="AS164" s="165"/>
      <c r="AT164" s="165"/>
      <c r="AU164" s="165"/>
      <c r="AV164" s="165"/>
      <c r="AW164" s="165"/>
      <c r="AX164" s="165"/>
      <c r="AY164" s="165"/>
      <c r="AZ164" s="165"/>
      <c r="BA164" s="165"/>
      <c r="BB164" s="165"/>
      <c r="BC164" s="165"/>
      <c r="BD164" s="165"/>
      <c r="BE164" s="165"/>
      <c r="BF164" s="165"/>
      <c r="BG164" s="165"/>
      <c r="BH164" s="165"/>
      <c r="BI164" s="165"/>
      <c r="BJ164" s="165"/>
      <c r="BK164" s="165"/>
      <c r="BL164" s="165"/>
      <c r="BM164" s="165"/>
      <c r="BN164" s="165"/>
      <c r="BO164" s="165"/>
      <c r="BP164" s="165"/>
      <c r="BQ164" s="165"/>
      <c r="BR164" s="165"/>
      <c r="BS164" s="165"/>
      <c r="BT164" s="165"/>
      <c r="BU164" s="165"/>
      <c r="BV164" s="165"/>
      <c r="BW164" s="165"/>
      <c r="BX164" s="165"/>
      <c r="BY164" s="165"/>
      <c r="BZ164" s="1430"/>
      <c r="CA164" s="1430"/>
      <c r="CB164" s="1429"/>
      <c r="CC164" s="1429"/>
      <c r="CD164" s="1429"/>
      <c r="CE164" s="1429"/>
      <c r="CF164" s="1429"/>
      <c r="CG164" s="1429"/>
      <c r="CH164" s="1432"/>
      <c r="CI164" s="1432"/>
      <c r="CJ164" s="1432"/>
      <c r="CK164" s="1432"/>
      <c r="CL164" s="1432"/>
      <c r="CM164" s="1432"/>
      <c r="CN164" s="1432"/>
      <c r="CO164" s="1432"/>
    </row>
    <row r="165" spans="1:93" ht="16.2" customHeight="1" x14ac:dyDescent="0.3">
      <c r="A165" s="7258">
        <v>25400390</v>
      </c>
      <c r="B165" s="10643"/>
      <c r="C165" s="10644"/>
      <c r="D165" s="10668" t="s">
        <v>3274</v>
      </c>
      <c r="E165" s="10669"/>
      <c r="F165" s="10670"/>
      <c r="G165" s="1632" t="s">
        <v>5369</v>
      </c>
      <c r="H165" s="3505" t="s">
        <v>5370</v>
      </c>
      <c r="I165" s="3121" t="s">
        <v>5371</v>
      </c>
      <c r="J165" s="1817" t="s">
        <v>5372</v>
      </c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  <c r="AH165" s="165"/>
      <c r="AI165" s="165"/>
      <c r="AJ165" s="165"/>
      <c r="AK165" s="165"/>
      <c r="AL165" s="165"/>
      <c r="AM165" s="165"/>
      <c r="AN165" s="165"/>
      <c r="AO165" s="165"/>
      <c r="AP165" s="165"/>
      <c r="AQ165" s="165"/>
      <c r="AR165" s="165"/>
      <c r="AS165" s="165"/>
      <c r="AT165" s="165"/>
      <c r="AU165" s="165"/>
      <c r="AV165" s="165"/>
      <c r="AW165" s="165"/>
      <c r="AX165" s="165"/>
      <c r="AY165" s="165"/>
      <c r="AZ165" s="165"/>
      <c r="BA165" s="165"/>
      <c r="BB165" s="165"/>
      <c r="BC165" s="165"/>
      <c r="BD165" s="165"/>
      <c r="BE165" s="165"/>
      <c r="BF165" s="165"/>
      <c r="BG165" s="165"/>
      <c r="BH165" s="165"/>
      <c r="BI165" s="165"/>
      <c r="BJ165" s="165"/>
      <c r="BK165" s="165"/>
      <c r="BL165" s="165"/>
      <c r="BM165" s="165"/>
      <c r="BN165" s="165"/>
      <c r="BO165" s="165"/>
      <c r="BP165" s="165"/>
      <c r="BQ165" s="165"/>
      <c r="BR165" s="165"/>
      <c r="BS165" s="165"/>
      <c r="BT165" s="165"/>
      <c r="BU165" s="165"/>
      <c r="BV165" s="165"/>
      <c r="BW165" s="165"/>
      <c r="BX165" s="165"/>
      <c r="BY165" s="165"/>
      <c r="BZ165" s="1430"/>
      <c r="CA165" s="1430"/>
      <c r="CB165" s="1429"/>
      <c r="CC165" s="1429"/>
      <c r="CD165" s="1429"/>
      <c r="CE165" s="1429"/>
      <c r="CF165" s="1429"/>
      <c r="CG165" s="1429"/>
      <c r="CH165" s="1432"/>
      <c r="CI165" s="1432"/>
      <c r="CJ165" s="1432"/>
      <c r="CK165" s="1432"/>
      <c r="CL165" s="1432"/>
      <c r="CM165" s="1432"/>
      <c r="CN165" s="1432"/>
      <c r="CO165" s="1432"/>
    </row>
    <row r="166" spans="1:93" ht="16.2" customHeight="1" x14ac:dyDescent="0.3">
      <c r="A166" s="7320">
        <v>29101426</v>
      </c>
      <c r="B166" s="10643"/>
      <c r="C166" s="10644"/>
      <c r="D166" s="10647" t="s">
        <v>3275</v>
      </c>
      <c r="E166" s="10648"/>
      <c r="F166" s="10649"/>
      <c r="G166" s="1632" t="s">
        <v>5369</v>
      </c>
      <c r="H166" s="3505" t="s">
        <v>5370</v>
      </c>
      <c r="I166" s="3121" t="s">
        <v>5371</v>
      </c>
      <c r="J166" s="1817" t="s">
        <v>5372</v>
      </c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  <c r="X166" s="165"/>
      <c r="Y166" s="165"/>
      <c r="Z166" s="165"/>
      <c r="AA166" s="165"/>
      <c r="AB166" s="165"/>
      <c r="AC166" s="165"/>
      <c r="AD166" s="165"/>
      <c r="AE166" s="165"/>
      <c r="AF166" s="165"/>
      <c r="AG166" s="165"/>
      <c r="AH166" s="165"/>
      <c r="AI166" s="165"/>
      <c r="AJ166" s="165"/>
      <c r="AK166" s="165"/>
      <c r="AL166" s="165"/>
      <c r="AM166" s="165"/>
      <c r="AN166" s="165"/>
      <c r="AO166" s="165"/>
      <c r="AP166" s="165"/>
      <c r="AQ166" s="165"/>
      <c r="AR166" s="165"/>
      <c r="AS166" s="165"/>
      <c r="AT166" s="165"/>
      <c r="AU166" s="165"/>
      <c r="AV166" s="165"/>
      <c r="AW166" s="165"/>
      <c r="AX166" s="165"/>
      <c r="AY166" s="165"/>
      <c r="AZ166" s="165"/>
      <c r="BA166" s="165"/>
      <c r="BB166" s="165"/>
      <c r="BC166" s="165"/>
      <c r="BD166" s="165"/>
      <c r="BE166" s="165"/>
      <c r="BF166" s="165"/>
      <c r="BG166" s="165"/>
      <c r="BH166" s="165"/>
      <c r="BI166" s="165"/>
      <c r="BJ166" s="165"/>
      <c r="BK166" s="165"/>
      <c r="BL166" s="165"/>
      <c r="BM166" s="165"/>
      <c r="BN166" s="165"/>
      <c r="BO166" s="165"/>
      <c r="BP166" s="165"/>
      <c r="BQ166" s="165"/>
      <c r="BR166" s="165"/>
      <c r="BS166" s="165"/>
      <c r="BT166" s="165"/>
      <c r="BU166" s="165"/>
      <c r="BV166" s="165"/>
      <c r="BW166" s="165"/>
      <c r="BX166" s="165"/>
      <c r="BY166" s="165"/>
      <c r="BZ166" s="1430"/>
      <c r="CA166" s="1430"/>
      <c r="CB166" s="1429"/>
      <c r="CC166" s="1429"/>
      <c r="CD166" s="1429"/>
      <c r="CE166" s="1429"/>
      <c r="CF166" s="1429"/>
      <c r="CG166" s="1429"/>
      <c r="CH166" s="1432"/>
      <c r="CI166" s="1432"/>
      <c r="CJ166" s="1432"/>
      <c r="CK166" s="1432"/>
      <c r="CL166" s="1432"/>
      <c r="CM166" s="1432"/>
      <c r="CN166" s="1432"/>
      <c r="CO166" s="1432"/>
    </row>
    <row r="167" spans="1:93" ht="16.2" customHeight="1" x14ac:dyDescent="0.3">
      <c r="A167" s="7258">
        <v>25400380</v>
      </c>
      <c r="B167" s="10643"/>
      <c r="C167" s="10644"/>
      <c r="D167" s="10668" t="s">
        <v>3293</v>
      </c>
      <c r="E167" s="10669"/>
      <c r="F167" s="10670"/>
      <c r="G167" s="1632" t="s">
        <v>5369</v>
      </c>
      <c r="H167" s="3505" t="s">
        <v>5370</v>
      </c>
      <c r="I167" s="3121" t="s">
        <v>5371</v>
      </c>
      <c r="J167" s="1817" t="s">
        <v>5372</v>
      </c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  <c r="X167" s="165"/>
      <c r="Y167" s="165"/>
      <c r="Z167" s="165"/>
      <c r="AA167" s="165"/>
      <c r="AB167" s="165"/>
      <c r="AC167" s="165"/>
      <c r="AD167" s="165"/>
      <c r="AE167" s="165"/>
      <c r="AF167" s="165"/>
      <c r="AG167" s="165"/>
      <c r="AH167" s="165"/>
      <c r="AI167" s="165"/>
      <c r="AJ167" s="165"/>
      <c r="AK167" s="165"/>
      <c r="AL167" s="165"/>
      <c r="AM167" s="165"/>
      <c r="AN167" s="165"/>
      <c r="AO167" s="165"/>
      <c r="AP167" s="165"/>
      <c r="AQ167" s="165"/>
      <c r="AR167" s="165"/>
      <c r="AS167" s="165"/>
      <c r="AT167" s="165"/>
      <c r="AU167" s="165"/>
      <c r="AV167" s="165"/>
      <c r="AW167" s="165"/>
      <c r="AX167" s="165"/>
      <c r="AY167" s="165"/>
      <c r="AZ167" s="165"/>
      <c r="BA167" s="165"/>
      <c r="BB167" s="165"/>
      <c r="BC167" s="165"/>
      <c r="BD167" s="165"/>
      <c r="BE167" s="165"/>
      <c r="BF167" s="165"/>
      <c r="BG167" s="165"/>
      <c r="BH167" s="165"/>
      <c r="BI167" s="165"/>
      <c r="BJ167" s="165"/>
      <c r="BK167" s="165"/>
      <c r="BL167" s="165"/>
      <c r="BM167" s="165"/>
      <c r="BN167" s="165"/>
      <c r="BO167" s="165"/>
      <c r="BP167" s="165"/>
      <c r="BQ167" s="165"/>
      <c r="BR167" s="165"/>
      <c r="BS167" s="165"/>
      <c r="BT167" s="165"/>
      <c r="BU167" s="165"/>
      <c r="BV167" s="165"/>
      <c r="BW167" s="165"/>
      <c r="BX167" s="165"/>
      <c r="BY167" s="165"/>
      <c r="BZ167" s="1430"/>
      <c r="CA167" s="1430"/>
      <c r="CB167" s="1429"/>
      <c r="CC167" s="1429"/>
      <c r="CD167" s="1429"/>
      <c r="CE167" s="1429"/>
      <c r="CF167" s="1429"/>
      <c r="CG167" s="1429"/>
      <c r="CH167" s="1432"/>
      <c r="CI167" s="1432"/>
      <c r="CJ167" s="1432"/>
      <c r="CK167" s="1432"/>
      <c r="CL167" s="1432"/>
      <c r="CM167" s="1432"/>
      <c r="CN167" s="1432"/>
      <c r="CO167" s="1432"/>
    </row>
    <row r="168" spans="1:93" ht="16.2" customHeight="1" x14ac:dyDescent="0.3">
      <c r="A168" s="7258">
        <v>25400450</v>
      </c>
      <c r="B168" s="10643"/>
      <c r="C168" s="10644"/>
      <c r="D168" s="10668" t="s">
        <v>3276</v>
      </c>
      <c r="E168" s="10669"/>
      <c r="F168" s="10670"/>
      <c r="G168" s="1632" t="s">
        <v>5369</v>
      </c>
      <c r="H168" s="3505" t="s">
        <v>5370</v>
      </c>
      <c r="I168" s="3121" t="s">
        <v>5371</v>
      </c>
      <c r="J168" s="1817" t="s">
        <v>5372</v>
      </c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65"/>
      <c r="AF168" s="165"/>
      <c r="AG168" s="165"/>
      <c r="AH168" s="165"/>
      <c r="AI168" s="165"/>
      <c r="AJ168" s="165"/>
      <c r="AK168" s="165"/>
      <c r="AL168" s="165"/>
      <c r="AM168" s="165"/>
      <c r="AN168" s="165"/>
      <c r="AO168" s="165"/>
      <c r="AP168" s="165"/>
      <c r="AQ168" s="165"/>
      <c r="AR168" s="165"/>
      <c r="AS168" s="165"/>
      <c r="AT168" s="165"/>
      <c r="AU168" s="165"/>
      <c r="AV168" s="165"/>
      <c r="AW168" s="165"/>
      <c r="AX168" s="165"/>
      <c r="AY168" s="165"/>
      <c r="AZ168" s="165"/>
      <c r="BA168" s="165"/>
      <c r="BB168" s="165"/>
      <c r="BC168" s="165"/>
      <c r="BD168" s="165"/>
      <c r="BE168" s="165"/>
      <c r="BF168" s="165"/>
      <c r="BG168" s="165"/>
      <c r="BH168" s="165"/>
      <c r="BI168" s="165"/>
      <c r="BJ168" s="165"/>
      <c r="BK168" s="165"/>
      <c r="BL168" s="165"/>
      <c r="BM168" s="165"/>
      <c r="BN168" s="165"/>
      <c r="BO168" s="165"/>
      <c r="BP168" s="165"/>
      <c r="BQ168" s="165"/>
      <c r="BR168" s="165"/>
      <c r="BS168" s="165"/>
      <c r="BT168" s="165"/>
      <c r="BU168" s="165"/>
      <c r="BV168" s="165"/>
      <c r="BW168" s="165"/>
      <c r="BX168" s="165"/>
      <c r="BY168" s="165"/>
      <c r="BZ168" s="1430"/>
      <c r="CA168" s="1430"/>
      <c r="CB168" s="1429"/>
      <c r="CC168" s="1429"/>
      <c r="CD168" s="1429"/>
      <c r="CE168" s="1429"/>
      <c r="CF168" s="1429"/>
      <c r="CG168" s="1429"/>
      <c r="CH168" s="1432"/>
      <c r="CI168" s="1432"/>
      <c r="CJ168" s="1432"/>
      <c r="CK168" s="1432"/>
      <c r="CL168" s="1432"/>
      <c r="CM168" s="1432"/>
      <c r="CN168" s="1432"/>
      <c r="CO168" s="1432"/>
    </row>
    <row r="169" spans="1:93" ht="16.2" customHeight="1" x14ac:dyDescent="0.3">
      <c r="A169" s="7320">
        <v>29101427</v>
      </c>
      <c r="B169" s="10643"/>
      <c r="C169" s="10644"/>
      <c r="D169" s="10647" t="s">
        <v>3277</v>
      </c>
      <c r="E169" s="10648"/>
      <c r="F169" s="10649"/>
      <c r="G169" s="1632" t="s">
        <v>5369</v>
      </c>
      <c r="H169" s="3505" t="s">
        <v>5370</v>
      </c>
      <c r="I169" s="3121" t="s">
        <v>5371</v>
      </c>
      <c r="J169" s="1817" t="s">
        <v>5372</v>
      </c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  <c r="X169" s="165"/>
      <c r="Y169" s="165"/>
      <c r="Z169" s="165"/>
      <c r="AA169" s="165"/>
      <c r="AB169" s="165"/>
      <c r="AC169" s="165"/>
      <c r="AD169" s="165"/>
      <c r="AE169" s="165"/>
      <c r="AF169" s="165"/>
      <c r="AG169" s="165"/>
      <c r="AH169" s="165"/>
      <c r="AI169" s="165"/>
      <c r="AJ169" s="165"/>
      <c r="AK169" s="165"/>
      <c r="AL169" s="165"/>
      <c r="AM169" s="165"/>
      <c r="AN169" s="165"/>
      <c r="AO169" s="165"/>
      <c r="AP169" s="165"/>
      <c r="AQ169" s="165"/>
      <c r="AR169" s="165"/>
      <c r="AS169" s="165"/>
      <c r="AT169" s="165"/>
      <c r="AU169" s="165"/>
      <c r="AV169" s="165"/>
      <c r="AW169" s="165"/>
      <c r="AX169" s="165"/>
      <c r="AY169" s="165"/>
      <c r="AZ169" s="165"/>
      <c r="BA169" s="165"/>
      <c r="BB169" s="165"/>
      <c r="BC169" s="165"/>
      <c r="BD169" s="165"/>
      <c r="BE169" s="165"/>
      <c r="BF169" s="165"/>
      <c r="BG169" s="165"/>
      <c r="BH169" s="165"/>
      <c r="BI169" s="165"/>
      <c r="BJ169" s="165"/>
      <c r="BK169" s="165"/>
      <c r="BL169" s="165"/>
      <c r="BM169" s="165"/>
      <c r="BN169" s="165"/>
      <c r="BO169" s="165"/>
      <c r="BP169" s="165"/>
      <c r="BQ169" s="165"/>
      <c r="BR169" s="165"/>
      <c r="BS169" s="165"/>
      <c r="BT169" s="165"/>
      <c r="BU169" s="165"/>
      <c r="BV169" s="165"/>
      <c r="BW169" s="165"/>
      <c r="BX169" s="165"/>
      <c r="BY169" s="165"/>
      <c r="BZ169" s="1430"/>
      <c r="CA169" s="1430"/>
      <c r="CB169" s="1429"/>
      <c r="CC169" s="1429"/>
      <c r="CD169" s="1429"/>
      <c r="CE169" s="1429"/>
      <c r="CF169" s="1429"/>
      <c r="CG169" s="1429"/>
      <c r="CH169" s="1432"/>
      <c r="CI169" s="1432"/>
      <c r="CJ169" s="1432"/>
      <c r="CK169" s="1432"/>
      <c r="CL169" s="1432"/>
      <c r="CM169" s="1432"/>
      <c r="CN169" s="1432"/>
      <c r="CO169" s="1432"/>
    </row>
    <row r="170" spans="1:93" ht="16.2" customHeight="1" x14ac:dyDescent="0.3">
      <c r="A170" s="7299">
        <v>25400400</v>
      </c>
      <c r="B170" s="10643"/>
      <c r="C170" s="10644"/>
      <c r="D170" s="10668" t="s">
        <v>3294</v>
      </c>
      <c r="E170" s="10669"/>
      <c r="F170" s="10670"/>
      <c r="G170" s="1632" t="s">
        <v>5369</v>
      </c>
      <c r="H170" s="3505" t="s">
        <v>5370</v>
      </c>
      <c r="I170" s="3121" t="s">
        <v>5371</v>
      </c>
      <c r="J170" s="1817" t="s">
        <v>5372</v>
      </c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5"/>
      <c r="Y170" s="165"/>
      <c r="Z170" s="165"/>
      <c r="AA170" s="165"/>
      <c r="AB170" s="165"/>
      <c r="AC170" s="165"/>
      <c r="AD170" s="165"/>
      <c r="AE170" s="165"/>
      <c r="AF170" s="165"/>
      <c r="AG170" s="165"/>
      <c r="AH170" s="165"/>
      <c r="AI170" s="165"/>
      <c r="AJ170" s="165"/>
      <c r="AK170" s="165"/>
      <c r="AL170" s="165"/>
      <c r="AM170" s="165"/>
      <c r="AN170" s="165"/>
      <c r="AO170" s="165"/>
      <c r="AP170" s="165"/>
      <c r="AQ170" s="165"/>
      <c r="AR170" s="165"/>
      <c r="AS170" s="165"/>
      <c r="AT170" s="165"/>
      <c r="AU170" s="165"/>
      <c r="AV170" s="165"/>
      <c r="AW170" s="165"/>
      <c r="AX170" s="165"/>
      <c r="AY170" s="165"/>
      <c r="AZ170" s="165"/>
      <c r="BA170" s="165"/>
      <c r="BB170" s="165"/>
      <c r="BC170" s="165"/>
      <c r="BD170" s="165"/>
      <c r="BE170" s="165"/>
      <c r="BF170" s="165"/>
      <c r="BG170" s="165"/>
      <c r="BH170" s="165"/>
      <c r="BI170" s="165"/>
      <c r="BJ170" s="165"/>
      <c r="BK170" s="165"/>
      <c r="BL170" s="165"/>
      <c r="BM170" s="165"/>
      <c r="BN170" s="165"/>
      <c r="BO170" s="165"/>
      <c r="BP170" s="165"/>
      <c r="BQ170" s="165"/>
      <c r="BR170" s="165"/>
      <c r="BS170" s="165"/>
      <c r="BT170" s="165"/>
      <c r="BU170" s="165"/>
      <c r="BV170" s="165"/>
      <c r="BW170" s="165"/>
      <c r="BX170" s="165"/>
      <c r="BY170" s="165"/>
      <c r="BZ170" s="1430"/>
      <c r="CA170" s="1430"/>
      <c r="CB170" s="1429"/>
      <c r="CC170" s="1429"/>
      <c r="CD170" s="1429"/>
      <c r="CE170" s="1429"/>
      <c r="CF170" s="1429"/>
      <c r="CG170" s="1429"/>
      <c r="CH170" s="1432"/>
      <c r="CI170" s="1432"/>
      <c r="CJ170" s="1432"/>
      <c r="CK170" s="1432"/>
      <c r="CL170" s="1432"/>
      <c r="CM170" s="1432"/>
      <c r="CN170" s="1432"/>
      <c r="CO170" s="1432"/>
    </row>
    <row r="171" spans="1:93" ht="16.2" customHeight="1" x14ac:dyDescent="0.3">
      <c r="A171" s="7258">
        <v>25400410</v>
      </c>
      <c r="B171" s="10643"/>
      <c r="C171" s="10644"/>
      <c r="D171" s="10671" t="s">
        <v>3295</v>
      </c>
      <c r="E171" s="10672"/>
      <c r="F171" s="10673"/>
      <c r="G171" s="3506" t="s">
        <v>5369</v>
      </c>
      <c r="H171" s="3241" t="s">
        <v>5370</v>
      </c>
      <c r="I171" s="1813" t="s">
        <v>5371</v>
      </c>
      <c r="J171" s="3122" t="s">
        <v>5372</v>
      </c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  <c r="X171" s="165"/>
      <c r="Y171" s="165"/>
      <c r="Z171" s="165"/>
      <c r="AA171" s="165"/>
      <c r="AB171" s="165"/>
      <c r="AC171" s="165"/>
      <c r="AD171" s="165"/>
      <c r="AE171" s="165"/>
      <c r="AF171" s="165"/>
      <c r="AG171" s="165"/>
      <c r="AH171" s="165"/>
      <c r="AI171" s="165"/>
      <c r="AJ171" s="165"/>
      <c r="AK171" s="165"/>
      <c r="AL171" s="165"/>
      <c r="AM171" s="165"/>
      <c r="AN171" s="165"/>
      <c r="AO171" s="165"/>
      <c r="AP171" s="165"/>
      <c r="AQ171" s="165"/>
      <c r="AR171" s="165"/>
      <c r="AS171" s="165"/>
      <c r="AT171" s="165"/>
      <c r="AU171" s="165"/>
      <c r="AV171" s="165"/>
      <c r="AW171" s="165"/>
      <c r="AX171" s="165"/>
      <c r="AY171" s="165"/>
      <c r="AZ171" s="165"/>
      <c r="BA171" s="165"/>
      <c r="BB171" s="165"/>
      <c r="BC171" s="165"/>
      <c r="BD171" s="165"/>
      <c r="BE171" s="165"/>
      <c r="BF171" s="165"/>
      <c r="BG171" s="165"/>
      <c r="BH171" s="165"/>
      <c r="BI171" s="165"/>
      <c r="BJ171" s="165"/>
      <c r="BK171" s="165"/>
      <c r="BL171" s="165"/>
      <c r="BM171" s="165"/>
      <c r="BN171" s="165"/>
      <c r="BO171" s="165"/>
      <c r="BP171" s="165"/>
      <c r="BQ171" s="165"/>
      <c r="BR171" s="165"/>
      <c r="BS171" s="165"/>
      <c r="BT171" s="165"/>
      <c r="BU171" s="165"/>
      <c r="BV171" s="165"/>
      <c r="BW171" s="165"/>
      <c r="BX171" s="165"/>
      <c r="BY171" s="165"/>
      <c r="BZ171" s="1430"/>
      <c r="CA171" s="1430"/>
      <c r="CB171" s="1429"/>
      <c r="CC171" s="1429"/>
      <c r="CD171" s="1429"/>
      <c r="CE171" s="1429"/>
      <c r="CF171" s="1429"/>
      <c r="CG171" s="1429"/>
      <c r="CH171" s="1432"/>
      <c r="CI171" s="1432"/>
      <c r="CJ171" s="1432"/>
      <c r="CK171" s="1432"/>
      <c r="CL171" s="1432"/>
      <c r="CM171" s="1432"/>
      <c r="CN171" s="1432"/>
      <c r="CO171" s="1432"/>
    </row>
    <row r="172" spans="1:93" ht="16.2" customHeight="1" x14ac:dyDescent="0.3">
      <c r="A172" s="7320">
        <v>29101428</v>
      </c>
      <c r="B172" s="10643"/>
      <c r="C172" s="10645" t="s">
        <v>3278</v>
      </c>
      <c r="D172" s="10665" t="s">
        <v>3279</v>
      </c>
      <c r="E172" s="10666"/>
      <c r="F172" s="10667"/>
      <c r="G172" s="3507" t="s">
        <v>5369</v>
      </c>
      <c r="H172" s="3508" t="s">
        <v>5370</v>
      </c>
      <c r="I172" s="3509" t="s">
        <v>5371</v>
      </c>
      <c r="J172" s="2925" t="s">
        <v>5372</v>
      </c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  <c r="X172" s="165"/>
      <c r="Y172" s="165"/>
      <c r="Z172" s="165"/>
      <c r="AA172" s="165"/>
      <c r="AB172" s="165"/>
      <c r="AC172" s="165"/>
      <c r="AD172" s="165"/>
      <c r="AE172" s="165"/>
      <c r="AF172" s="165"/>
      <c r="AG172" s="165"/>
      <c r="AH172" s="165"/>
      <c r="AI172" s="165"/>
      <c r="AJ172" s="165"/>
      <c r="AK172" s="165"/>
      <c r="AL172" s="165"/>
      <c r="AM172" s="165"/>
      <c r="AN172" s="165"/>
      <c r="AO172" s="165"/>
      <c r="AP172" s="165"/>
      <c r="AQ172" s="165"/>
      <c r="AR172" s="165"/>
      <c r="AS172" s="165"/>
      <c r="AT172" s="165"/>
      <c r="AU172" s="165"/>
      <c r="AV172" s="165"/>
      <c r="AW172" s="165"/>
      <c r="AX172" s="165"/>
      <c r="AY172" s="165"/>
      <c r="AZ172" s="165"/>
      <c r="BA172" s="165"/>
      <c r="BB172" s="165"/>
      <c r="BC172" s="165"/>
      <c r="BD172" s="165"/>
      <c r="BE172" s="165"/>
      <c r="BF172" s="165"/>
      <c r="BG172" s="165"/>
      <c r="BH172" s="165"/>
      <c r="BI172" s="165"/>
      <c r="BJ172" s="165"/>
      <c r="BK172" s="165"/>
      <c r="BL172" s="165"/>
      <c r="BM172" s="165"/>
      <c r="BN172" s="165"/>
      <c r="BO172" s="165"/>
      <c r="BP172" s="165"/>
      <c r="BQ172" s="165"/>
      <c r="BR172" s="165"/>
      <c r="BS172" s="165"/>
      <c r="BT172" s="165"/>
      <c r="BU172" s="165"/>
      <c r="BV172" s="165"/>
      <c r="BW172" s="165"/>
      <c r="BX172" s="165"/>
      <c r="BY172" s="165"/>
      <c r="BZ172" s="1430"/>
      <c r="CA172" s="1430"/>
      <c r="CB172" s="1429"/>
      <c r="CC172" s="1429"/>
      <c r="CD172" s="1429"/>
      <c r="CE172" s="1429"/>
      <c r="CF172" s="1429"/>
      <c r="CG172" s="1429"/>
      <c r="CH172" s="1432"/>
      <c r="CI172" s="1432"/>
      <c r="CJ172" s="1432"/>
      <c r="CK172" s="1432"/>
      <c r="CL172" s="1432"/>
      <c r="CM172" s="1432"/>
      <c r="CN172" s="1432"/>
      <c r="CO172" s="1432"/>
    </row>
    <row r="173" spans="1:93" ht="16.2" customHeight="1" x14ac:dyDescent="0.3">
      <c r="A173" s="7258">
        <v>25400420</v>
      </c>
      <c r="B173" s="10643"/>
      <c r="C173" s="10645"/>
      <c r="D173" s="10668" t="s">
        <v>3280</v>
      </c>
      <c r="E173" s="10669"/>
      <c r="F173" s="10670"/>
      <c r="G173" s="3507" t="s">
        <v>5369</v>
      </c>
      <c r="H173" s="3505" t="s">
        <v>5370</v>
      </c>
      <c r="I173" s="3121" t="s">
        <v>5371</v>
      </c>
      <c r="J173" s="1817" t="s">
        <v>5372</v>
      </c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  <c r="X173" s="165"/>
      <c r="Y173" s="165"/>
      <c r="Z173" s="165"/>
      <c r="AA173" s="165"/>
      <c r="AB173" s="165"/>
      <c r="AC173" s="165"/>
      <c r="AD173" s="165"/>
      <c r="AE173" s="165"/>
      <c r="AF173" s="165"/>
      <c r="AG173" s="165"/>
      <c r="AH173" s="165"/>
      <c r="AI173" s="165"/>
      <c r="AJ173" s="165"/>
      <c r="AK173" s="165"/>
      <c r="AL173" s="165"/>
      <c r="AM173" s="165"/>
      <c r="AN173" s="165"/>
      <c r="AO173" s="165"/>
      <c r="AP173" s="165"/>
      <c r="AQ173" s="165"/>
      <c r="AR173" s="165"/>
      <c r="AS173" s="165"/>
      <c r="AT173" s="165"/>
      <c r="AU173" s="165"/>
      <c r="AV173" s="165"/>
      <c r="AW173" s="165"/>
      <c r="AX173" s="165"/>
      <c r="AY173" s="165"/>
      <c r="AZ173" s="165"/>
      <c r="BA173" s="165"/>
      <c r="BB173" s="165"/>
      <c r="BC173" s="165"/>
      <c r="BD173" s="165"/>
      <c r="BE173" s="165"/>
      <c r="BF173" s="165"/>
      <c r="BG173" s="165"/>
      <c r="BH173" s="165"/>
      <c r="BI173" s="165"/>
      <c r="BJ173" s="165"/>
      <c r="BK173" s="165"/>
      <c r="BL173" s="165"/>
      <c r="BM173" s="165"/>
      <c r="BN173" s="165"/>
      <c r="BO173" s="165"/>
      <c r="BP173" s="165"/>
      <c r="BQ173" s="165"/>
      <c r="BR173" s="165"/>
      <c r="BS173" s="165"/>
      <c r="BT173" s="165"/>
      <c r="BU173" s="165"/>
      <c r="BV173" s="165"/>
      <c r="BW173" s="165"/>
      <c r="BX173" s="165"/>
      <c r="BY173" s="165"/>
      <c r="BZ173" s="1430"/>
      <c r="CA173" s="1430"/>
      <c r="CB173" s="1429"/>
      <c r="CC173" s="1429"/>
      <c r="CD173" s="1429"/>
      <c r="CE173" s="1429"/>
      <c r="CF173" s="1429"/>
      <c r="CG173" s="1429"/>
      <c r="CH173" s="1432"/>
      <c r="CI173" s="1432"/>
      <c r="CJ173" s="1432"/>
      <c r="CK173" s="1432"/>
      <c r="CL173" s="1432"/>
      <c r="CM173" s="1432"/>
      <c r="CN173" s="1432"/>
      <c r="CO173" s="1432"/>
    </row>
    <row r="174" spans="1:93" ht="16.2" customHeight="1" x14ac:dyDescent="0.3">
      <c r="A174" s="7320">
        <v>29101429</v>
      </c>
      <c r="B174" s="10643"/>
      <c r="C174" s="10645"/>
      <c r="D174" s="10674" t="s">
        <v>3281</v>
      </c>
      <c r="E174" s="10675"/>
      <c r="F174" s="10676"/>
      <c r="G174" s="3510" t="s">
        <v>5369</v>
      </c>
      <c r="H174" s="3241" t="s">
        <v>5370</v>
      </c>
      <c r="I174" s="1813" t="s">
        <v>5371</v>
      </c>
      <c r="J174" s="3122" t="s">
        <v>5372</v>
      </c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5"/>
      <c r="Y174" s="165"/>
      <c r="Z174" s="165"/>
      <c r="AA174" s="165"/>
      <c r="AB174" s="165"/>
      <c r="AC174" s="165"/>
      <c r="AD174" s="165"/>
      <c r="AE174" s="165"/>
      <c r="AF174" s="165"/>
      <c r="AG174" s="165"/>
      <c r="AH174" s="165"/>
      <c r="AI174" s="165"/>
      <c r="AJ174" s="165"/>
      <c r="AK174" s="165"/>
      <c r="AL174" s="165"/>
      <c r="AM174" s="165"/>
      <c r="AN174" s="165"/>
      <c r="AO174" s="165"/>
      <c r="AP174" s="165"/>
      <c r="AQ174" s="165"/>
      <c r="AR174" s="165"/>
      <c r="AS174" s="165"/>
      <c r="AT174" s="165"/>
      <c r="AU174" s="165"/>
      <c r="AV174" s="165"/>
      <c r="AW174" s="165"/>
      <c r="AX174" s="165"/>
      <c r="AY174" s="165"/>
      <c r="AZ174" s="165"/>
      <c r="BA174" s="165"/>
      <c r="BB174" s="165"/>
      <c r="BC174" s="165"/>
      <c r="BD174" s="165"/>
      <c r="BE174" s="165"/>
      <c r="BF174" s="165"/>
      <c r="BG174" s="165"/>
      <c r="BH174" s="165"/>
      <c r="BI174" s="165"/>
      <c r="BJ174" s="165"/>
      <c r="BK174" s="165"/>
      <c r="BL174" s="165"/>
      <c r="BM174" s="165"/>
      <c r="BN174" s="165"/>
      <c r="BO174" s="165"/>
      <c r="BP174" s="165"/>
      <c r="BQ174" s="165"/>
      <c r="BR174" s="165"/>
      <c r="BS174" s="165"/>
      <c r="BT174" s="165"/>
      <c r="BU174" s="165"/>
      <c r="BV174" s="165"/>
      <c r="BW174" s="165"/>
      <c r="BX174" s="165"/>
      <c r="BY174" s="165"/>
      <c r="BZ174" s="1430"/>
      <c r="CA174" s="1430"/>
      <c r="CB174" s="1429"/>
      <c r="CC174" s="1429"/>
      <c r="CD174" s="1429"/>
      <c r="CE174" s="1429"/>
      <c r="CF174" s="1429"/>
      <c r="CG174" s="1429"/>
      <c r="CH174" s="1432"/>
      <c r="CI174" s="1432"/>
      <c r="CJ174" s="1432"/>
      <c r="CK174" s="1432"/>
      <c r="CL174" s="1432"/>
      <c r="CM174" s="1432"/>
      <c r="CN174" s="1432"/>
      <c r="CO174" s="1432"/>
    </row>
    <row r="175" spans="1:93" ht="16.2" customHeight="1" x14ac:dyDescent="0.3">
      <c r="A175" s="7258">
        <v>25400430</v>
      </c>
      <c r="B175" s="10643" t="s">
        <v>3282</v>
      </c>
      <c r="C175" s="10645" t="s">
        <v>3272</v>
      </c>
      <c r="D175" s="10677" t="s">
        <v>3283</v>
      </c>
      <c r="E175" s="10678"/>
      <c r="F175" s="10679"/>
      <c r="G175" s="3511" t="s">
        <v>5369</v>
      </c>
      <c r="H175" s="3508" t="s">
        <v>5370</v>
      </c>
      <c r="I175" s="3509" t="s">
        <v>5371</v>
      </c>
      <c r="J175" s="2925" t="s">
        <v>5372</v>
      </c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65"/>
      <c r="Z175" s="165"/>
      <c r="AA175" s="165"/>
      <c r="AB175" s="165"/>
      <c r="AC175" s="165"/>
      <c r="AD175" s="165"/>
      <c r="AE175" s="165"/>
      <c r="AF175" s="165"/>
      <c r="AG175" s="165"/>
      <c r="AH175" s="165"/>
      <c r="AI175" s="165"/>
      <c r="AJ175" s="165"/>
      <c r="AK175" s="165"/>
      <c r="AL175" s="165"/>
      <c r="AM175" s="165"/>
      <c r="AN175" s="165"/>
      <c r="AO175" s="165"/>
      <c r="AP175" s="165"/>
      <c r="AQ175" s="165"/>
      <c r="AR175" s="165"/>
      <c r="AS175" s="165"/>
      <c r="AT175" s="165"/>
      <c r="AU175" s="165"/>
      <c r="AV175" s="165"/>
      <c r="AW175" s="165"/>
      <c r="AX175" s="165"/>
      <c r="AY175" s="165"/>
      <c r="AZ175" s="165"/>
      <c r="BA175" s="165"/>
      <c r="BB175" s="165"/>
      <c r="BC175" s="165"/>
      <c r="BD175" s="165"/>
      <c r="BE175" s="165"/>
      <c r="BF175" s="165"/>
      <c r="BG175" s="165"/>
      <c r="BH175" s="165"/>
      <c r="BI175" s="165"/>
      <c r="BJ175" s="165"/>
      <c r="BK175" s="165"/>
      <c r="BL175" s="165"/>
      <c r="BM175" s="165"/>
      <c r="BN175" s="165"/>
      <c r="BO175" s="165"/>
      <c r="BP175" s="165"/>
      <c r="BQ175" s="165"/>
      <c r="BR175" s="165"/>
      <c r="BS175" s="165"/>
      <c r="BT175" s="165"/>
      <c r="BU175" s="165"/>
      <c r="BV175" s="165"/>
      <c r="BW175" s="165"/>
      <c r="BX175" s="165"/>
      <c r="BY175" s="165"/>
      <c r="BZ175" s="1430"/>
      <c r="CA175" s="1430"/>
      <c r="CB175" s="1429"/>
      <c r="CC175" s="1429"/>
      <c r="CD175" s="1429"/>
      <c r="CE175" s="1429"/>
      <c r="CF175" s="1429"/>
      <c r="CG175" s="1429"/>
      <c r="CH175" s="1432"/>
      <c r="CI175" s="1432"/>
      <c r="CJ175" s="1432"/>
      <c r="CK175" s="1432"/>
      <c r="CL175" s="1432"/>
      <c r="CM175" s="1432"/>
      <c r="CN175" s="1432"/>
      <c r="CO175" s="1432"/>
    </row>
    <row r="176" spans="1:93" ht="16.2" customHeight="1" x14ac:dyDescent="0.3">
      <c r="A176" s="7320">
        <v>29101430</v>
      </c>
      <c r="B176" s="10643"/>
      <c r="C176" s="10645"/>
      <c r="D176" s="10647" t="s">
        <v>3284</v>
      </c>
      <c r="E176" s="10648"/>
      <c r="F176" s="10649"/>
      <c r="G176" s="3507" t="s">
        <v>5369</v>
      </c>
      <c r="H176" s="3505" t="s">
        <v>5370</v>
      </c>
      <c r="I176" s="3121" t="s">
        <v>5371</v>
      </c>
      <c r="J176" s="1817" t="s">
        <v>5372</v>
      </c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  <c r="X176" s="165"/>
      <c r="Y176" s="165"/>
      <c r="Z176" s="165"/>
      <c r="AA176" s="165"/>
      <c r="AB176" s="165"/>
      <c r="AC176" s="165"/>
      <c r="AD176" s="165"/>
      <c r="AE176" s="165"/>
      <c r="AF176" s="165"/>
      <c r="AG176" s="165"/>
      <c r="AH176" s="165"/>
      <c r="AI176" s="165"/>
      <c r="AJ176" s="165"/>
      <c r="AK176" s="165"/>
      <c r="AL176" s="165"/>
      <c r="AM176" s="165"/>
      <c r="AN176" s="165"/>
      <c r="AO176" s="165"/>
      <c r="AP176" s="165"/>
      <c r="AQ176" s="165"/>
      <c r="AR176" s="165"/>
      <c r="AS176" s="165"/>
      <c r="AT176" s="165"/>
      <c r="AU176" s="165"/>
      <c r="AV176" s="165"/>
      <c r="AW176" s="165"/>
      <c r="AX176" s="165"/>
      <c r="AY176" s="165"/>
      <c r="AZ176" s="165"/>
      <c r="BA176" s="165"/>
      <c r="BB176" s="165"/>
      <c r="BC176" s="165"/>
      <c r="BD176" s="165"/>
      <c r="BE176" s="165"/>
      <c r="BF176" s="165"/>
      <c r="BG176" s="165"/>
      <c r="BH176" s="165"/>
      <c r="BI176" s="165"/>
      <c r="BJ176" s="165"/>
      <c r="BK176" s="165"/>
      <c r="BL176" s="165"/>
      <c r="BM176" s="165"/>
      <c r="BN176" s="165"/>
      <c r="BO176" s="165"/>
      <c r="BP176" s="165"/>
      <c r="BQ176" s="165"/>
      <c r="BR176" s="165"/>
      <c r="BS176" s="165"/>
      <c r="BT176" s="165"/>
      <c r="BU176" s="165"/>
      <c r="BV176" s="165"/>
      <c r="BW176" s="165"/>
      <c r="BX176" s="165"/>
      <c r="BY176" s="165"/>
      <c r="BZ176" s="1430"/>
      <c r="CA176" s="1430"/>
      <c r="CB176" s="1429"/>
      <c r="CC176" s="1429"/>
      <c r="CD176" s="1429"/>
      <c r="CE176" s="1429"/>
      <c r="CF176" s="1429"/>
      <c r="CG176" s="1429"/>
      <c r="CH176" s="1432"/>
      <c r="CI176" s="1432"/>
      <c r="CJ176" s="1432"/>
      <c r="CK176" s="1432"/>
      <c r="CL176" s="1432"/>
      <c r="CM176" s="1432"/>
      <c r="CN176" s="1432"/>
      <c r="CO176" s="1432"/>
    </row>
    <row r="177" spans="1:93" ht="16.2" customHeight="1" x14ac:dyDescent="0.3">
      <c r="A177" s="7320">
        <v>29101431</v>
      </c>
      <c r="B177" s="10643"/>
      <c r="C177" s="10645"/>
      <c r="D177" s="10647" t="s">
        <v>3285</v>
      </c>
      <c r="E177" s="10648"/>
      <c r="F177" s="10649"/>
      <c r="G177" s="3507" t="s">
        <v>5369</v>
      </c>
      <c r="H177" s="3505" t="s">
        <v>5370</v>
      </c>
      <c r="I177" s="3121" t="s">
        <v>5371</v>
      </c>
      <c r="J177" s="1817" t="s">
        <v>5372</v>
      </c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5"/>
      <c r="Y177" s="165"/>
      <c r="Z177" s="165"/>
      <c r="AA177" s="165"/>
      <c r="AB177" s="165"/>
      <c r="AC177" s="165"/>
      <c r="AD177" s="165"/>
      <c r="AE177" s="165"/>
      <c r="AF177" s="165"/>
      <c r="AG177" s="165"/>
      <c r="AH177" s="165"/>
      <c r="AI177" s="165"/>
      <c r="AJ177" s="165"/>
      <c r="AK177" s="165"/>
      <c r="AL177" s="165"/>
      <c r="AM177" s="165"/>
      <c r="AN177" s="165"/>
      <c r="AO177" s="165"/>
      <c r="AP177" s="165"/>
      <c r="AQ177" s="165"/>
      <c r="AR177" s="165"/>
      <c r="AS177" s="165"/>
      <c r="AT177" s="165"/>
      <c r="AU177" s="165"/>
      <c r="AV177" s="165"/>
      <c r="AW177" s="165"/>
      <c r="AX177" s="165"/>
      <c r="AY177" s="165"/>
      <c r="AZ177" s="165"/>
      <c r="BA177" s="165"/>
      <c r="BB177" s="165"/>
      <c r="BC177" s="165"/>
      <c r="BD177" s="165"/>
      <c r="BE177" s="165"/>
      <c r="BF177" s="165"/>
      <c r="BG177" s="165"/>
      <c r="BH177" s="165"/>
      <c r="BI177" s="165"/>
      <c r="BJ177" s="165"/>
      <c r="BK177" s="165"/>
      <c r="BL177" s="165"/>
      <c r="BM177" s="165"/>
      <c r="BN177" s="165"/>
      <c r="BO177" s="165"/>
      <c r="BP177" s="165"/>
      <c r="BQ177" s="165"/>
      <c r="BR177" s="165"/>
      <c r="BS177" s="165"/>
      <c r="BT177" s="165"/>
      <c r="BU177" s="165"/>
      <c r="BV177" s="165"/>
      <c r="BW177" s="165"/>
      <c r="BX177" s="165"/>
      <c r="BY177" s="165"/>
      <c r="BZ177" s="1430"/>
      <c r="CA177" s="1430"/>
      <c r="CB177" s="1429"/>
      <c r="CC177" s="1429"/>
      <c r="CD177" s="1429"/>
      <c r="CE177" s="1429"/>
      <c r="CF177" s="1429"/>
      <c r="CG177" s="1429"/>
      <c r="CH177" s="1432"/>
      <c r="CI177" s="1432"/>
      <c r="CJ177" s="1432"/>
      <c r="CK177" s="1432"/>
      <c r="CL177" s="1432"/>
      <c r="CM177" s="1432"/>
      <c r="CN177" s="1432"/>
      <c r="CO177" s="1432"/>
    </row>
    <row r="178" spans="1:93" ht="16.2" customHeight="1" x14ac:dyDescent="0.3">
      <c r="A178" s="7320">
        <v>29101432</v>
      </c>
      <c r="B178" s="10643"/>
      <c r="C178" s="10645"/>
      <c r="D178" s="10650" t="s">
        <v>3286</v>
      </c>
      <c r="E178" s="10651"/>
      <c r="F178" s="10652"/>
      <c r="G178" s="3512" t="s">
        <v>5369</v>
      </c>
      <c r="H178" s="3241" t="s">
        <v>5370</v>
      </c>
      <c r="I178" s="1813" t="s">
        <v>5371</v>
      </c>
      <c r="J178" s="3122" t="s">
        <v>5372</v>
      </c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5"/>
      <c r="Y178" s="165"/>
      <c r="Z178" s="165"/>
      <c r="AA178" s="165"/>
      <c r="AB178" s="165"/>
      <c r="AC178" s="165"/>
      <c r="AD178" s="165"/>
      <c r="AE178" s="165"/>
      <c r="AF178" s="165"/>
      <c r="AG178" s="165"/>
      <c r="AH178" s="165"/>
      <c r="AI178" s="165"/>
      <c r="AJ178" s="165"/>
      <c r="AK178" s="165"/>
      <c r="AL178" s="165"/>
      <c r="AM178" s="165"/>
      <c r="AN178" s="165"/>
      <c r="AO178" s="165"/>
      <c r="AP178" s="165"/>
      <c r="AQ178" s="165"/>
      <c r="AR178" s="165"/>
      <c r="AS178" s="165"/>
      <c r="AT178" s="165"/>
      <c r="AU178" s="165"/>
      <c r="AV178" s="165"/>
      <c r="AW178" s="165"/>
      <c r="AX178" s="165"/>
      <c r="AY178" s="165"/>
      <c r="AZ178" s="165"/>
      <c r="BA178" s="165"/>
      <c r="BB178" s="165"/>
      <c r="BC178" s="165"/>
      <c r="BD178" s="165"/>
      <c r="BE178" s="165"/>
      <c r="BF178" s="165"/>
      <c r="BG178" s="165"/>
      <c r="BH178" s="165"/>
      <c r="BI178" s="165"/>
      <c r="BJ178" s="165"/>
      <c r="BK178" s="165"/>
      <c r="BL178" s="165"/>
      <c r="BM178" s="165"/>
      <c r="BN178" s="165"/>
      <c r="BO178" s="165"/>
      <c r="BP178" s="165"/>
      <c r="BQ178" s="165"/>
      <c r="BR178" s="165"/>
      <c r="BS178" s="165"/>
      <c r="BT178" s="165"/>
      <c r="BU178" s="165"/>
      <c r="BV178" s="165"/>
      <c r="BW178" s="165"/>
      <c r="BX178" s="165"/>
      <c r="BY178" s="165"/>
      <c r="BZ178" s="1430"/>
      <c r="CA178" s="1430"/>
      <c r="CB178" s="1429"/>
      <c r="CC178" s="1429"/>
      <c r="CD178" s="1429"/>
      <c r="CE178" s="1429"/>
      <c r="CF178" s="1429"/>
      <c r="CG178" s="1429"/>
      <c r="CH178" s="1432"/>
      <c r="CI178" s="1432"/>
      <c r="CJ178" s="1432"/>
      <c r="CK178" s="1432"/>
      <c r="CL178" s="1432"/>
      <c r="CM178" s="1432"/>
      <c r="CN178" s="1432"/>
      <c r="CO178" s="1432"/>
    </row>
    <row r="179" spans="1:93" ht="16.2" customHeight="1" x14ac:dyDescent="0.3">
      <c r="A179" s="7320">
        <v>29101433</v>
      </c>
      <c r="B179" s="10643"/>
      <c r="C179" s="10645" t="s">
        <v>3278</v>
      </c>
      <c r="D179" s="10680" t="s">
        <v>3287</v>
      </c>
      <c r="E179" s="10681"/>
      <c r="F179" s="10682"/>
      <c r="G179" s="3507" t="s">
        <v>5369</v>
      </c>
      <c r="H179" s="3508" t="s">
        <v>5370</v>
      </c>
      <c r="I179" s="3509" t="s">
        <v>5371</v>
      </c>
      <c r="J179" s="2925" t="s">
        <v>5372</v>
      </c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  <c r="X179" s="165"/>
      <c r="Y179" s="165"/>
      <c r="Z179" s="165"/>
      <c r="AA179" s="165"/>
      <c r="AB179" s="165"/>
      <c r="AC179" s="165"/>
      <c r="AD179" s="165"/>
      <c r="AE179" s="165"/>
      <c r="AF179" s="165"/>
      <c r="AG179" s="165"/>
      <c r="AH179" s="165"/>
      <c r="AI179" s="165"/>
      <c r="AJ179" s="165"/>
      <c r="AK179" s="165"/>
      <c r="AL179" s="165"/>
      <c r="AM179" s="165"/>
      <c r="AN179" s="165"/>
      <c r="AO179" s="165"/>
      <c r="AP179" s="165"/>
      <c r="AQ179" s="165"/>
      <c r="AR179" s="165"/>
      <c r="AS179" s="165"/>
      <c r="AT179" s="165"/>
      <c r="AU179" s="165"/>
      <c r="AV179" s="165"/>
      <c r="AW179" s="165"/>
      <c r="AX179" s="165"/>
      <c r="AY179" s="165"/>
      <c r="AZ179" s="165"/>
      <c r="BA179" s="165"/>
      <c r="BB179" s="165"/>
      <c r="BC179" s="165"/>
      <c r="BD179" s="165"/>
      <c r="BE179" s="165"/>
      <c r="BF179" s="165"/>
      <c r="BG179" s="165"/>
      <c r="BH179" s="165"/>
      <c r="BI179" s="165"/>
      <c r="BJ179" s="165"/>
      <c r="BK179" s="165"/>
      <c r="BL179" s="165"/>
      <c r="BM179" s="165"/>
      <c r="BN179" s="165"/>
      <c r="BO179" s="165"/>
      <c r="BP179" s="165"/>
      <c r="BQ179" s="165"/>
      <c r="BR179" s="165"/>
      <c r="BS179" s="165"/>
      <c r="BT179" s="165"/>
      <c r="BU179" s="165"/>
      <c r="BV179" s="165"/>
      <c r="BW179" s="165"/>
      <c r="BX179" s="165"/>
      <c r="BY179" s="165"/>
      <c r="BZ179" s="1430"/>
      <c r="CA179" s="1430"/>
      <c r="CB179" s="1429"/>
      <c r="CC179" s="1429"/>
      <c r="CD179" s="1429"/>
      <c r="CE179" s="1429"/>
      <c r="CF179" s="1429"/>
      <c r="CG179" s="1429"/>
      <c r="CH179" s="1432"/>
      <c r="CI179" s="1432"/>
      <c r="CJ179" s="1432"/>
      <c r="CK179" s="1432"/>
      <c r="CL179" s="1432"/>
      <c r="CM179" s="1432"/>
      <c r="CN179" s="1432"/>
      <c r="CO179" s="1432"/>
    </row>
    <row r="180" spans="1:93" ht="16.2" customHeight="1" x14ac:dyDescent="0.3">
      <c r="A180" s="7320">
        <v>29101434</v>
      </c>
      <c r="B180" s="10643"/>
      <c r="C180" s="10645"/>
      <c r="D180" s="10647" t="s">
        <v>3288</v>
      </c>
      <c r="E180" s="10648"/>
      <c r="F180" s="10649"/>
      <c r="G180" s="3507" t="s">
        <v>5369</v>
      </c>
      <c r="H180" s="3505" t="s">
        <v>5370</v>
      </c>
      <c r="I180" s="3121" t="s">
        <v>5371</v>
      </c>
      <c r="J180" s="1817" t="s">
        <v>5372</v>
      </c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5"/>
      <c r="Y180" s="165"/>
      <c r="Z180" s="165"/>
      <c r="AA180" s="165"/>
      <c r="AB180" s="165"/>
      <c r="AC180" s="165"/>
      <c r="AD180" s="165"/>
      <c r="AE180" s="165"/>
      <c r="AF180" s="165"/>
      <c r="AG180" s="165"/>
      <c r="AH180" s="165"/>
      <c r="AI180" s="165"/>
      <c r="AJ180" s="165"/>
      <c r="AK180" s="165"/>
      <c r="AL180" s="165"/>
      <c r="AM180" s="165"/>
      <c r="AN180" s="165"/>
      <c r="AO180" s="165"/>
      <c r="AP180" s="165"/>
      <c r="AQ180" s="165"/>
      <c r="AR180" s="165"/>
      <c r="AS180" s="165"/>
      <c r="AT180" s="165"/>
      <c r="AU180" s="165"/>
      <c r="AV180" s="165"/>
      <c r="AW180" s="165"/>
      <c r="AX180" s="165"/>
      <c r="AY180" s="165"/>
      <c r="AZ180" s="165"/>
      <c r="BA180" s="165"/>
      <c r="BB180" s="165"/>
      <c r="BC180" s="165"/>
      <c r="BD180" s="165"/>
      <c r="BE180" s="165"/>
      <c r="BF180" s="165"/>
      <c r="BG180" s="165"/>
      <c r="BH180" s="165"/>
      <c r="BI180" s="165"/>
      <c r="BJ180" s="165"/>
      <c r="BK180" s="165"/>
      <c r="BL180" s="165"/>
      <c r="BM180" s="165"/>
      <c r="BN180" s="165"/>
      <c r="BO180" s="165"/>
      <c r="BP180" s="165"/>
      <c r="BQ180" s="165"/>
      <c r="BR180" s="165"/>
      <c r="BS180" s="165"/>
      <c r="BT180" s="165"/>
      <c r="BU180" s="165"/>
      <c r="BV180" s="165"/>
      <c r="BW180" s="165"/>
      <c r="BX180" s="165"/>
      <c r="BY180" s="165"/>
      <c r="BZ180" s="1430"/>
      <c r="CA180" s="1430"/>
      <c r="CB180" s="1429"/>
      <c r="CC180" s="1429"/>
      <c r="CD180" s="1429"/>
      <c r="CE180" s="1429"/>
      <c r="CF180" s="1429"/>
      <c r="CG180" s="1429"/>
      <c r="CH180" s="1432"/>
      <c r="CI180" s="1432"/>
      <c r="CJ180" s="1432"/>
      <c r="CK180" s="1432"/>
      <c r="CL180" s="1432"/>
      <c r="CM180" s="1432"/>
      <c r="CN180" s="1432"/>
      <c r="CO180" s="1432"/>
    </row>
    <row r="181" spans="1:93" ht="16.2" customHeight="1" x14ac:dyDescent="0.3">
      <c r="A181" s="7320">
        <v>29101435</v>
      </c>
      <c r="B181" s="10643"/>
      <c r="C181" s="10645"/>
      <c r="D181" s="10647" t="s">
        <v>3289</v>
      </c>
      <c r="E181" s="10648"/>
      <c r="F181" s="10649"/>
      <c r="G181" s="3507" t="s">
        <v>5369</v>
      </c>
      <c r="H181" s="3505" t="s">
        <v>5370</v>
      </c>
      <c r="I181" s="3121" t="s">
        <v>5371</v>
      </c>
      <c r="J181" s="1817" t="s">
        <v>5372</v>
      </c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5"/>
      <c r="Y181" s="165"/>
      <c r="Z181" s="165"/>
      <c r="AA181" s="165"/>
      <c r="AB181" s="165"/>
      <c r="AC181" s="165"/>
      <c r="AD181" s="165"/>
      <c r="AE181" s="165"/>
      <c r="AF181" s="165"/>
      <c r="AG181" s="165"/>
      <c r="AH181" s="165"/>
      <c r="AI181" s="165"/>
      <c r="AJ181" s="165"/>
      <c r="AK181" s="165"/>
      <c r="AL181" s="165"/>
      <c r="AM181" s="165"/>
      <c r="AN181" s="165"/>
      <c r="AO181" s="165"/>
      <c r="AP181" s="165"/>
      <c r="AQ181" s="165"/>
      <c r="AR181" s="165"/>
      <c r="AS181" s="165"/>
      <c r="AT181" s="165"/>
      <c r="AU181" s="165"/>
      <c r="AV181" s="165"/>
      <c r="AW181" s="165"/>
      <c r="AX181" s="165"/>
      <c r="AY181" s="165"/>
      <c r="AZ181" s="165"/>
      <c r="BA181" s="165"/>
      <c r="BB181" s="165"/>
      <c r="BC181" s="165"/>
      <c r="BD181" s="165"/>
      <c r="BE181" s="165"/>
      <c r="BF181" s="165"/>
      <c r="BG181" s="165"/>
      <c r="BH181" s="165"/>
      <c r="BI181" s="165"/>
      <c r="BJ181" s="165"/>
      <c r="BK181" s="165"/>
      <c r="BL181" s="165"/>
      <c r="BM181" s="165"/>
      <c r="BN181" s="165"/>
      <c r="BO181" s="165"/>
      <c r="BP181" s="165"/>
      <c r="BQ181" s="165"/>
      <c r="BR181" s="165"/>
      <c r="BS181" s="165"/>
      <c r="BT181" s="165"/>
      <c r="BU181" s="165"/>
      <c r="BV181" s="165"/>
      <c r="BW181" s="165"/>
      <c r="BX181" s="165"/>
      <c r="BY181" s="165"/>
      <c r="BZ181" s="1430"/>
      <c r="CA181" s="1430"/>
      <c r="CB181" s="1429"/>
      <c r="CC181" s="1429"/>
      <c r="CD181" s="1429"/>
      <c r="CE181" s="1429"/>
      <c r="CF181" s="1429"/>
      <c r="CG181" s="1429"/>
      <c r="CH181" s="1432"/>
      <c r="CI181" s="1432"/>
      <c r="CJ181" s="1432"/>
      <c r="CK181" s="1432"/>
      <c r="CL181" s="1432"/>
      <c r="CM181" s="1432"/>
      <c r="CN181" s="1432"/>
      <c r="CO181" s="1432"/>
    </row>
    <row r="182" spans="1:93" ht="16.2" customHeight="1" x14ac:dyDescent="0.3">
      <c r="A182" s="7520">
        <v>25400440</v>
      </c>
      <c r="B182" s="10643"/>
      <c r="C182" s="10645"/>
      <c r="D182" s="10668" t="s">
        <v>3296</v>
      </c>
      <c r="E182" s="10669"/>
      <c r="F182" s="10670"/>
      <c r="G182" s="3507" t="s">
        <v>5369</v>
      </c>
      <c r="H182" s="3505" t="s">
        <v>5370</v>
      </c>
      <c r="I182" s="3121" t="s">
        <v>5371</v>
      </c>
      <c r="J182" s="1817" t="s">
        <v>5372</v>
      </c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5"/>
      <c r="Y182" s="165"/>
      <c r="Z182" s="165"/>
      <c r="AA182" s="165"/>
      <c r="AB182" s="165"/>
      <c r="AC182" s="165"/>
      <c r="AD182" s="165"/>
      <c r="AE182" s="165"/>
      <c r="AF182" s="165"/>
      <c r="AG182" s="165"/>
      <c r="AH182" s="165"/>
      <c r="AI182" s="165"/>
      <c r="AJ182" s="165"/>
      <c r="AK182" s="165"/>
      <c r="AL182" s="165"/>
      <c r="AM182" s="165"/>
      <c r="AN182" s="165"/>
      <c r="AO182" s="165"/>
      <c r="AP182" s="165"/>
      <c r="AQ182" s="165"/>
      <c r="AR182" s="165"/>
      <c r="AS182" s="165"/>
      <c r="AT182" s="165"/>
      <c r="AU182" s="165"/>
      <c r="AV182" s="165"/>
      <c r="AW182" s="165"/>
      <c r="AX182" s="165"/>
      <c r="AY182" s="165"/>
      <c r="AZ182" s="165"/>
      <c r="BA182" s="165"/>
      <c r="BB182" s="165"/>
      <c r="BC182" s="165"/>
      <c r="BD182" s="165"/>
      <c r="BE182" s="165"/>
      <c r="BF182" s="165"/>
      <c r="BG182" s="165"/>
      <c r="BH182" s="165"/>
      <c r="BI182" s="165"/>
      <c r="BJ182" s="165"/>
      <c r="BK182" s="165"/>
      <c r="BL182" s="165"/>
      <c r="BM182" s="165"/>
      <c r="BN182" s="165"/>
      <c r="BO182" s="165"/>
      <c r="BP182" s="165"/>
      <c r="BQ182" s="165"/>
      <c r="BR182" s="165"/>
      <c r="BS182" s="165"/>
      <c r="BT182" s="165"/>
      <c r="BU182" s="165"/>
      <c r="BV182" s="165"/>
      <c r="BW182" s="165"/>
      <c r="BX182" s="165"/>
      <c r="BY182" s="165"/>
      <c r="BZ182" s="1430"/>
      <c r="CA182" s="1430"/>
      <c r="CB182" s="1429"/>
      <c r="CC182" s="1429"/>
      <c r="CD182" s="1429"/>
      <c r="CE182" s="1429"/>
      <c r="CF182" s="1429"/>
      <c r="CG182" s="1429"/>
      <c r="CH182" s="1432"/>
      <c r="CI182" s="1432"/>
      <c r="CJ182" s="1432"/>
      <c r="CK182" s="1432"/>
      <c r="CL182" s="1432"/>
      <c r="CM182" s="1432"/>
      <c r="CN182" s="1432"/>
      <c r="CO182" s="1432"/>
    </row>
    <row r="183" spans="1:93" ht="16.2" customHeight="1" x14ac:dyDescent="0.3">
      <c r="A183" s="7320">
        <v>29101436</v>
      </c>
      <c r="B183" s="10643"/>
      <c r="C183" s="10645"/>
      <c r="D183" s="10647" t="s">
        <v>3297</v>
      </c>
      <c r="E183" s="10648"/>
      <c r="F183" s="10649"/>
      <c r="G183" s="3507" t="s">
        <v>5369</v>
      </c>
      <c r="H183" s="3505" t="s">
        <v>5370</v>
      </c>
      <c r="I183" s="3121" t="s">
        <v>5371</v>
      </c>
      <c r="J183" s="1817" t="s">
        <v>5372</v>
      </c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  <c r="X183" s="165"/>
      <c r="Y183" s="165"/>
      <c r="Z183" s="165"/>
      <c r="AA183" s="165"/>
      <c r="AB183" s="165"/>
      <c r="AC183" s="165"/>
      <c r="AD183" s="165"/>
      <c r="AE183" s="165"/>
      <c r="AF183" s="165"/>
      <c r="AG183" s="165"/>
      <c r="AH183" s="165"/>
      <c r="AI183" s="165"/>
      <c r="AJ183" s="165"/>
      <c r="AK183" s="165"/>
      <c r="AL183" s="165"/>
      <c r="AM183" s="165"/>
      <c r="AN183" s="165"/>
      <c r="AO183" s="165"/>
      <c r="AP183" s="165"/>
      <c r="AQ183" s="165"/>
      <c r="AR183" s="165"/>
      <c r="AS183" s="165"/>
      <c r="AT183" s="165"/>
      <c r="AU183" s="165"/>
      <c r="AV183" s="165"/>
      <c r="AW183" s="165"/>
      <c r="AX183" s="165"/>
      <c r="AY183" s="165"/>
      <c r="AZ183" s="165"/>
      <c r="BA183" s="165"/>
      <c r="BB183" s="165"/>
      <c r="BC183" s="165"/>
      <c r="BD183" s="165"/>
      <c r="BE183" s="165"/>
      <c r="BF183" s="165"/>
      <c r="BG183" s="165"/>
      <c r="BH183" s="165"/>
      <c r="BI183" s="165"/>
      <c r="BJ183" s="165"/>
      <c r="BK183" s="165"/>
      <c r="BL183" s="165"/>
      <c r="BM183" s="165"/>
      <c r="BN183" s="165"/>
      <c r="BO183" s="165"/>
      <c r="BP183" s="165"/>
      <c r="BQ183" s="165"/>
      <c r="BR183" s="165"/>
      <c r="BS183" s="165"/>
      <c r="BT183" s="165"/>
      <c r="BU183" s="165"/>
      <c r="BV183" s="165"/>
      <c r="BW183" s="165"/>
      <c r="BX183" s="165"/>
      <c r="BY183" s="165"/>
      <c r="BZ183" s="1430"/>
      <c r="CA183" s="1430"/>
      <c r="CB183" s="1429"/>
      <c r="CC183" s="1429"/>
      <c r="CD183" s="1429"/>
      <c r="CE183" s="1429"/>
      <c r="CF183" s="1429"/>
      <c r="CG183" s="1429"/>
      <c r="CH183" s="1432"/>
      <c r="CI183" s="1432"/>
      <c r="CJ183" s="1432"/>
      <c r="CK183" s="1432"/>
      <c r="CL183" s="1432"/>
      <c r="CM183" s="1432"/>
      <c r="CN183" s="1432"/>
      <c r="CO183" s="1432"/>
    </row>
    <row r="184" spans="1:93" ht="16.2" customHeight="1" x14ac:dyDescent="0.3">
      <c r="A184" s="7320">
        <v>29101437</v>
      </c>
      <c r="B184" s="10643"/>
      <c r="C184" s="10645"/>
      <c r="D184" s="10647" t="s">
        <v>3298</v>
      </c>
      <c r="E184" s="10648"/>
      <c r="F184" s="10649"/>
      <c r="G184" s="3507" t="s">
        <v>5369</v>
      </c>
      <c r="H184" s="3505" t="s">
        <v>5370</v>
      </c>
      <c r="I184" s="3121" t="s">
        <v>5371</v>
      </c>
      <c r="J184" s="1817" t="s">
        <v>5372</v>
      </c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  <c r="X184" s="165"/>
      <c r="Y184" s="165"/>
      <c r="Z184" s="165"/>
      <c r="AA184" s="165"/>
      <c r="AB184" s="165"/>
      <c r="AC184" s="165"/>
      <c r="AD184" s="165"/>
      <c r="AE184" s="165"/>
      <c r="AF184" s="165"/>
      <c r="AG184" s="165"/>
      <c r="AH184" s="165"/>
      <c r="AI184" s="165"/>
      <c r="AJ184" s="165"/>
      <c r="AK184" s="165"/>
      <c r="AL184" s="165"/>
      <c r="AM184" s="165"/>
      <c r="AN184" s="165"/>
      <c r="AO184" s="165"/>
      <c r="AP184" s="165"/>
      <c r="AQ184" s="165"/>
      <c r="AR184" s="165"/>
      <c r="AS184" s="165"/>
      <c r="AT184" s="165"/>
      <c r="AU184" s="165"/>
      <c r="AV184" s="165"/>
      <c r="AW184" s="165"/>
      <c r="AX184" s="165"/>
      <c r="AY184" s="165"/>
      <c r="AZ184" s="165"/>
      <c r="BA184" s="165"/>
      <c r="BB184" s="165"/>
      <c r="BC184" s="165"/>
      <c r="BD184" s="165"/>
      <c r="BE184" s="165"/>
      <c r="BF184" s="165"/>
      <c r="BG184" s="165"/>
      <c r="BH184" s="165"/>
      <c r="BI184" s="165"/>
      <c r="BJ184" s="165"/>
      <c r="BK184" s="165"/>
      <c r="BL184" s="165"/>
      <c r="BM184" s="165"/>
      <c r="BN184" s="165"/>
      <c r="BO184" s="165"/>
      <c r="BP184" s="165"/>
      <c r="BQ184" s="165"/>
      <c r="BR184" s="165"/>
      <c r="BS184" s="165"/>
      <c r="BT184" s="165"/>
      <c r="BU184" s="165"/>
      <c r="BV184" s="165"/>
      <c r="BW184" s="165"/>
      <c r="BX184" s="165"/>
      <c r="BY184" s="165"/>
      <c r="BZ184" s="1430"/>
      <c r="CA184" s="1430"/>
      <c r="CB184" s="1429"/>
      <c r="CC184" s="1429"/>
      <c r="CD184" s="1429"/>
      <c r="CE184" s="1429"/>
      <c r="CF184" s="1429"/>
      <c r="CG184" s="1429"/>
      <c r="CH184" s="1432"/>
      <c r="CI184" s="1432"/>
      <c r="CJ184" s="1432"/>
      <c r="CK184" s="1432"/>
      <c r="CL184" s="1432"/>
      <c r="CM184" s="1432"/>
      <c r="CN184" s="1432"/>
      <c r="CO184" s="1432"/>
    </row>
    <row r="185" spans="1:93" ht="16.2" customHeight="1" x14ac:dyDescent="0.3">
      <c r="A185" s="7320">
        <v>29101438</v>
      </c>
      <c r="B185" s="10643"/>
      <c r="C185" s="10645"/>
      <c r="D185" s="10647" t="s">
        <v>3299</v>
      </c>
      <c r="E185" s="10648"/>
      <c r="F185" s="10649"/>
      <c r="G185" s="3507" t="s">
        <v>5369</v>
      </c>
      <c r="H185" s="3505" t="s">
        <v>5370</v>
      </c>
      <c r="I185" s="3121" t="s">
        <v>5371</v>
      </c>
      <c r="J185" s="1817" t="s">
        <v>5372</v>
      </c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  <c r="X185" s="165"/>
      <c r="Y185" s="165"/>
      <c r="Z185" s="165"/>
      <c r="AA185" s="165"/>
      <c r="AB185" s="165"/>
      <c r="AC185" s="165"/>
      <c r="AD185" s="165"/>
      <c r="AE185" s="165"/>
      <c r="AF185" s="165"/>
      <c r="AG185" s="165"/>
      <c r="AH185" s="165"/>
      <c r="AI185" s="165"/>
      <c r="AJ185" s="165"/>
      <c r="AK185" s="165"/>
      <c r="AL185" s="165"/>
      <c r="AM185" s="165"/>
      <c r="AN185" s="165"/>
      <c r="AO185" s="165"/>
      <c r="AP185" s="165"/>
      <c r="AQ185" s="165"/>
      <c r="AR185" s="165"/>
      <c r="AS185" s="165"/>
      <c r="AT185" s="165"/>
      <c r="AU185" s="165"/>
      <c r="AV185" s="165"/>
      <c r="AW185" s="165"/>
      <c r="AX185" s="165"/>
      <c r="AY185" s="165"/>
      <c r="AZ185" s="165"/>
      <c r="BA185" s="165"/>
      <c r="BB185" s="165"/>
      <c r="BC185" s="165"/>
      <c r="BD185" s="165"/>
      <c r="BE185" s="165"/>
      <c r="BF185" s="165"/>
      <c r="BG185" s="165"/>
      <c r="BH185" s="165"/>
      <c r="BI185" s="165"/>
      <c r="BJ185" s="165"/>
      <c r="BK185" s="165"/>
      <c r="BL185" s="165"/>
      <c r="BM185" s="165"/>
      <c r="BN185" s="165"/>
      <c r="BO185" s="165"/>
      <c r="BP185" s="165"/>
      <c r="BQ185" s="165"/>
      <c r="BR185" s="165"/>
      <c r="BS185" s="165"/>
      <c r="BT185" s="165"/>
      <c r="BU185" s="165"/>
      <c r="BV185" s="165"/>
      <c r="BW185" s="165"/>
      <c r="BX185" s="165"/>
      <c r="BY185" s="165"/>
      <c r="BZ185" s="1430"/>
      <c r="CA185" s="1430"/>
      <c r="CB185" s="1429"/>
      <c r="CC185" s="1429"/>
      <c r="CD185" s="1429"/>
      <c r="CE185" s="1429"/>
      <c r="CF185" s="1429"/>
      <c r="CG185" s="1429"/>
      <c r="CH185" s="1432"/>
      <c r="CI185" s="1432"/>
      <c r="CJ185" s="1432"/>
      <c r="CK185" s="1432"/>
      <c r="CL185" s="1432"/>
      <c r="CM185" s="1432"/>
      <c r="CN185" s="1432"/>
      <c r="CO185" s="1432"/>
    </row>
    <row r="186" spans="1:93" ht="16.2" customHeight="1" x14ac:dyDescent="0.3">
      <c r="A186" s="7320">
        <v>29101439</v>
      </c>
      <c r="B186" s="10643"/>
      <c r="C186" s="10645"/>
      <c r="D186" s="10647" t="s">
        <v>3300</v>
      </c>
      <c r="E186" s="10648"/>
      <c r="F186" s="10649"/>
      <c r="G186" s="3507" t="s">
        <v>5369</v>
      </c>
      <c r="H186" s="3505" t="s">
        <v>5370</v>
      </c>
      <c r="I186" s="3121" t="s">
        <v>5371</v>
      </c>
      <c r="J186" s="1817" t="s">
        <v>5372</v>
      </c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  <c r="X186" s="165"/>
      <c r="Y186" s="165"/>
      <c r="Z186" s="165"/>
      <c r="AA186" s="165"/>
      <c r="AB186" s="165"/>
      <c r="AC186" s="165"/>
      <c r="AD186" s="165"/>
      <c r="AE186" s="165"/>
      <c r="AF186" s="165"/>
      <c r="AG186" s="165"/>
      <c r="AH186" s="165"/>
      <c r="AI186" s="165"/>
      <c r="AJ186" s="165"/>
      <c r="AK186" s="165"/>
      <c r="AL186" s="165"/>
      <c r="AM186" s="165"/>
      <c r="AN186" s="165"/>
      <c r="AO186" s="165"/>
      <c r="AP186" s="165"/>
      <c r="AQ186" s="165"/>
      <c r="AR186" s="165"/>
      <c r="AS186" s="165"/>
      <c r="AT186" s="165"/>
      <c r="AU186" s="165"/>
      <c r="AV186" s="165"/>
      <c r="AW186" s="165"/>
      <c r="AX186" s="165"/>
      <c r="AY186" s="165"/>
      <c r="AZ186" s="165"/>
      <c r="BA186" s="165"/>
      <c r="BB186" s="165"/>
      <c r="BC186" s="165"/>
      <c r="BD186" s="165"/>
      <c r="BE186" s="165"/>
      <c r="BF186" s="165"/>
      <c r="BG186" s="165"/>
      <c r="BH186" s="165"/>
      <c r="BI186" s="165"/>
      <c r="BJ186" s="165"/>
      <c r="BK186" s="165"/>
      <c r="BL186" s="165"/>
      <c r="BM186" s="165"/>
      <c r="BN186" s="165"/>
      <c r="BO186" s="165"/>
      <c r="BP186" s="165"/>
      <c r="BQ186" s="165"/>
      <c r="BR186" s="165"/>
      <c r="BS186" s="165"/>
      <c r="BT186" s="165"/>
      <c r="BU186" s="165"/>
      <c r="BV186" s="165"/>
      <c r="BW186" s="165"/>
      <c r="BX186" s="165"/>
      <c r="BY186" s="165"/>
      <c r="BZ186" s="1430"/>
      <c r="CA186" s="1430"/>
      <c r="CB186" s="1429"/>
      <c r="CC186" s="1429"/>
      <c r="CD186" s="1429"/>
      <c r="CE186" s="1429"/>
      <c r="CF186" s="1429"/>
      <c r="CG186" s="1429"/>
      <c r="CH186" s="1432"/>
      <c r="CI186" s="1432"/>
      <c r="CJ186" s="1432"/>
      <c r="CK186" s="1432"/>
      <c r="CL186" s="1432"/>
      <c r="CM186" s="1432"/>
      <c r="CN186" s="1432"/>
      <c r="CO186" s="1432"/>
    </row>
    <row r="187" spans="1:93" ht="16.2" customHeight="1" x14ac:dyDescent="0.3">
      <c r="A187" s="7320">
        <v>29101440</v>
      </c>
      <c r="B187" s="10643"/>
      <c r="C187" s="10645"/>
      <c r="D187" s="10647" t="s">
        <v>3301</v>
      </c>
      <c r="E187" s="10648"/>
      <c r="F187" s="10649"/>
      <c r="G187" s="3507" t="s">
        <v>5369</v>
      </c>
      <c r="H187" s="3505" t="s">
        <v>5370</v>
      </c>
      <c r="I187" s="3121" t="s">
        <v>5371</v>
      </c>
      <c r="J187" s="1817" t="s">
        <v>5372</v>
      </c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  <c r="X187" s="165"/>
      <c r="Y187" s="165"/>
      <c r="Z187" s="165"/>
      <c r="AA187" s="165"/>
      <c r="AB187" s="165"/>
      <c r="AC187" s="165"/>
      <c r="AD187" s="165"/>
      <c r="AE187" s="165"/>
      <c r="AF187" s="165"/>
      <c r="AG187" s="165"/>
      <c r="AH187" s="165"/>
      <c r="AI187" s="165"/>
      <c r="AJ187" s="165"/>
      <c r="AK187" s="165"/>
      <c r="AL187" s="165"/>
      <c r="AM187" s="165"/>
      <c r="AN187" s="165"/>
      <c r="AO187" s="165"/>
      <c r="AP187" s="165"/>
      <c r="AQ187" s="165"/>
      <c r="AR187" s="165"/>
      <c r="AS187" s="165"/>
      <c r="AT187" s="165"/>
      <c r="AU187" s="165"/>
      <c r="AV187" s="165"/>
      <c r="AW187" s="165"/>
      <c r="AX187" s="165"/>
      <c r="AY187" s="165"/>
      <c r="AZ187" s="165"/>
      <c r="BA187" s="165"/>
      <c r="BB187" s="165"/>
      <c r="BC187" s="165"/>
      <c r="BD187" s="165"/>
      <c r="BE187" s="165"/>
      <c r="BF187" s="165"/>
      <c r="BG187" s="165"/>
      <c r="BH187" s="165"/>
      <c r="BI187" s="165"/>
      <c r="BJ187" s="165"/>
      <c r="BK187" s="165"/>
      <c r="BL187" s="165"/>
      <c r="BM187" s="165"/>
      <c r="BN187" s="165"/>
      <c r="BO187" s="165"/>
      <c r="BP187" s="165"/>
      <c r="BQ187" s="165"/>
      <c r="BR187" s="165"/>
      <c r="BS187" s="165"/>
      <c r="BT187" s="165"/>
      <c r="BU187" s="165"/>
      <c r="BV187" s="165"/>
      <c r="BW187" s="165"/>
      <c r="BX187" s="165"/>
      <c r="BY187" s="165"/>
      <c r="BZ187" s="1430"/>
      <c r="CA187" s="1430"/>
      <c r="CB187" s="1429"/>
      <c r="CC187" s="1429"/>
      <c r="CD187" s="1429"/>
      <c r="CE187" s="1429"/>
      <c r="CF187" s="1429"/>
      <c r="CG187" s="1429"/>
      <c r="CH187" s="1432"/>
      <c r="CI187" s="1432"/>
      <c r="CJ187" s="1432"/>
      <c r="CK187" s="1432"/>
      <c r="CL187" s="1432"/>
      <c r="CM187" s="1432"/>
      <c r="CN187" s="1432"/>
      <c r="CO187" s="1432"/>
    </row>
    <row r="188" spans="1:93" ht="16.2" customHeight="1" x14ac:dyDescent="0.3">
      <c r="A188" s="7320">
        <v>29101441</v>
      </c>
      <c r="B188" s="10643"/>
      <c r="C188" s="10645"/>
      <c r="D188" s="10650" t="s">
        <v>3302</v>
      </c>
      <c r="E188" s="10651"/>
      <c r="F188" s="10652"/>
      <c r="G188" s="3507" t="s">
        <v>5369</v>
      </c>
      <c r="H188" s="3505" t="s">
        <v>5370</v>
      </c>
      <c r="I188" s="3121" t="s">
        <v>5371</v>
      </c>
      <c r="J188" s="3240" t="s">
        <v>5372</v>
      </c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  <c r="X188" s="165"/>
      <c r="Y188" s="165"/>
      <c r="Z188" s="165"/>
      <c r="AA188" s="165"/>
      <c r="AB188" s="165"/>
      <c r="AC188" s="165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165"/>
      <c r="AR188" s="165"/>
      <c r="AS188" s="165"/>
      <c r="AT188" s="165"/>
      <c r="AU188" s="165"/>
      <c r="AV188" s="165"/>
      <c r="AW188" s="165"/>
      <c r="AX188" s="165"/>
      <c r="AY188" s="165"/>
      <c r="AZ188" s="165"/>
      <c r="BA188" s="165"/>
      <c r="BB188" s="165"/>
      <c r="BC188" s="165"/>
      <c r="BD188" s="165"/>
      <c r="BE188" s="165"/>
      <c r="BF188" s="165"/>
      <c r="BG188" s="165"/>
      <c r="BH188" s="165"/>
      <c r="BI188" s="165"/>
      <c r="BJ188" s="165"/>
      <c r="BK188" s="165"/>
      <c r="BL188" s="165"/>
      <c r="BM188" s="165"/>
      <c r="BN188" s="165"/>
      <c r="BO188" s="165"/>
      <c r="BP188" s="165"/>
      <c r="BQ188" s="165"/>
      <c r="BR188" s="165"/>
      <c r="BS188" s="165"/>
      <c r="BT188" s="165"/>
      <c r="BU188" s="165"/>
      <c r="BV188" s="165"/>
      <c r="BW188" s="165"/>
      <c r="BX188" s="165"/>
      <c r="BY188" s="165"/>
      <c r="BZ188" s="1430"/>
      <c r="CA188" s="1430"/>
      <c r="CB188" s="1429"/>
      <c r="CC188" s="1429"/>
      <c r="CD188" s="1429"/>
      <c r="CE188" s="1429"/>
      <c r="CF188" s="1429"/>
      <c r="CG188" s="1429"/>
      <c r="CH188" s="1432"/>
      <c r="CI188" s="1432"/>
      <c r="CJ188" s="1432"/>
      <c r="CK188" s="1432"/>
      <c r="CL188" s="1432"/>
      <c r="CM188" s="1432"/>
      <c r="CN188" s="1432"/>
      <c r="CO188" s="1432"/>
    </row>
    <row r="189" spans="1:93" ht="16.2" customHeight="1" x14ac:dyDescent="0.3">
      <c r="A189" s="7519"/>
      <c r="B189" s="3513"/>
      <c r="C189" s="3514"/>
      <c r="D189" s="10653" t="s">
        <v>44</v>
      </c>
      <c r="E189" s="10654"/>
      <c r="F189" s="10655"/>
      <c r="G189" s="3515">
        <f>+SUM(G164:G188)</f>
        <v>0</v>
      </c>
      <c r="H189" s="3516">
        <f>+SUM(H164:H188)</f>
        <v>0</v>
      </c>
      <c r="I189" s="3242">
        <f>+SUM(I164:I188)</f>
        <v>0</v>
      </c>
      <c r="J189" s="3517">
        <f>+SUM(J164:J188)</f>
        <v>0</v>
      </c>
      <c r="K189" s="165"/>
      <c r="L189" s="165"/>
      <c r="M189" s="165"/>
      <c r="N189" s="165"/>
      <c r="O189" s="165"/>
      <c r="P189" s="165"/>
      <c r="Q189" s="165"/>
      <c r="R189" s="165"/>
      <c r="S189" s="165"/>
      <c r="T189" s="165"/>
      <c r="U189" s="165"/>
      <c r="V189" s="165"/>
      <c r="W189" s="165"/>
      <c r="X189" s="165"/>
      <c r="Y189" s="165"/>
      <c r="Z189" s="165"/>
      <c r="AA189" s="165"/>
      <c r="AB189" s="165"/>
      <c r="AC189" s="165"/>
      <c r="AD189" s="165"/>
      <c r="AE189" s="165"/>
      <c r="AF189" s="165"/>
      <c r="AG189" s="165"/>
      <c r="AH189" s="165"/>
      <c r="AI189" s="165"/>
      <c r="AJ189" s="165"/>
      <c r="AK189" s="165"/>
      <c r="AL189" s="165"/>
      <c r="AM189" s="165"/>
      <c r="AN189" s="165"/>
      <c r="AO189" s="165"/>
      <c r="AP189" s="165"/>
      <c r="AQ189" s="165"/>
      <c r="AR189" s="165"/>
      <c r="AS189" s="165"/>
      <c r="AT189" s="165"/>
      <c r="AU189" s="165"/>
      <c r="AV189" s="165"/>
      <c r="AW189" s="165"/>
      <c r="AX189" s="165"/>
      <c r="AY189" s="165"/>
      <c r="AZ189" s="165"/>
      <c r="BA189" s="165"/>
      <c r="BB189" s="165"/>
      <c r="BC189" s="165"/>
      <c r="BD189" s="165"/>
      <c r="BE189" s="165"/>
      <c r="BF189" s="165"/>
      <c r="BG189" s="165"/>
      <c r="BH189" s="165"/>
      <c r="BI189" s="165"/>
      <c r="BJ189" s="165"/>
      <c r="BK189" s="165"/>
      <c r="BL189" s="165"/>
      <c r="BM189" s="165"/>
      <c r="BN189" s="165"/>
      <c r="BO189" s="165"/>
      <c r="BP189" s="165"/>
      <c r="BQ189" s="165"/>
      <c r="BR189" s="165"/>
      <c r="BS189" s="165"/>
      <c r="BT189" s="165"/>
      <c r="BU189" s="165"/>
      <c r="BV189" s="165"/>
      <c r="BW189" s="165"/>
      <c r="BX189" s="165"/>
      <c r="BY189" s="165"/>
      <c r="BZ189" s="1430"/>
      <c r="CA189" s="1430"/>
      <c r="CB189" s="1429"/>
      <c r="CC189" s="1429"/>
      <c r="CD189" s="1429"/>
      <c r="CE189" s="1429"/>
      <c r="CF189" s="1429"/>
      <c r="CG189" s="1429"/>
      <c r="CH189" s="1432"/>
      <c r="CI189" s="1432"/>
      <c r="CJ189" s="1432"/>
      <c r="CK189" s="1432"/>
      <c r="CL189" s="1432"/>
      <c r="CM189" s="1432"/>
      <c r="CN189" s="1432"/>
      <c r="CO189" s="1432"/>
    </row>
    <row r="190" spans="1:93" ht="24" customHeight="1" x14ac:dyDescent="0.3">
      <c r="A190"/>
      <c r="B190" s="3518" t="s">
        <v>3266</v>
      </c>
      <c r="C190" s="2141"/>
      <c r="D190" s="140"/>
      <c r="E190" s="140"/>
      <c r="F190" s="140"/>
      <c r="G190" s="140"/>
      <c r="H190" s="140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430"/>
      <c r="CA190" s="1430"/>
      <c r="CB190" s="1429"/>
      <c r="CC190" s="1429"/>
      <c r="CD190" s="1429"/>
      <c r="CE190" s="1429"/>
      <c r="CF190" s="1429"/>
      <c r="CG190" s="1429"/>
      <c r="CH190" s="1432"/>
      <c r="CI190" s="1432"/>
      <c r="CJ190" s="1432"/>
      <c r="CK190" s="1432"/>
      <c r="CL190" s="1432"/>
      <c r="CM190" s="1432"/>
      <c r="CN190" s="1432"/>
      <c r="CO190" s="1432"/>
    </row>
    <row r="191" spans="1:93" ht="24" customHeight="1" x14ac:dyDescent="0.3">
      <c r="A191"/>
      <c r="B191" s="7571" t="s">
        <v>3255</v>
      </c>
      <c r="C191" s="2384"/>
      <c r="D191" s="2384"/>
      <c r="E191" s="2384"/>
      <c r="F191" s="140"/>
      <c r="G191" s="140"/>
      <c r="H191" s="140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430"/>
      <c r="CA191" s="1430"/>
      <c r="CB191" s="1429"/>
      <c r="CC191" s="1429"/>
      <c r="CD191" s="1429"/>
      <c r="CE191" s="1429"/>
      <c r="CF191" s="1429"/>
      <c r="CG191" s="1429"/>
      <c r="CH191" s="1432"/>
      <c r="CI191" s="1432"/>
      <c r="CJ191" s="1432"/>
      <c r="CK191" s="1432"/>
      <c r="CL191" s="1432"/>
      <c r="CM191" s="1432"/>
      <c r="CN191" s="1432"/>
      <c r="CO191" s="1432"/>
    </row>
    <row r="192" spans="1:93" ht="24" customHeight="1" x14ac:dyDescent="0.3">
      <c r="A192"/>
      <c r="B192" s="7572" t="s">
        <v>3199</v>
      </c>
      <c r="C192" s="7572" t="s">
        <v>44</v>
      </c>
      <c r="D192" s="7573" t="s">
        <v>3434</v>
      </c>
      <c r="E192" s="7573" t="s">
        <v>374</v>
      </c>
      <c r="F192" s="140"/>
      <c r="G192" s="140"/>
      <c r="H192" s="140"/>
      <c r="I192" s="165"/>
      <c r="J192" s="165"/>
      <c r="K192" s="165"/>
      <c r="L192" s="165"/>
      <c r="M192" s="165"/>
      <c r="N192" s="165"/>
      <c r="O192" s="165"/>
      <c r="P192" s="165"/>
      <c r="Q192" s="165"/>
      <c r="R192" s="165"/>
      <c r="S192" s="165"/>
      <c r="T192" s="165"/>
      <c r="U192" s="165"/>
      <c r="V192" s="165"/>
      <c r="W192" s="165"/>
      <c r="X192" s="165"/>
      <c r="Y192" s="165"/>
      <c r="Z192" s="165"/>
      <c r="AA192" s="165"/>
      <c r="AB192" s="165"/>
      <c r="AC192" s="165"/>
      <c r="AD192" s="165"/>
      <c r="AE192" s="165"/>
      <c r="AF192" s="165"/>
      <c r="AG192" s="165"/>
      <c r="AH192" s="165"/>
      <c r="AI192" s="165"/>
      <c r="AJ192" s="165"/>
      <c r="AK192" s="165"/>
      <c r="AL192" s="165"/>
      <c r="AM192" s="165"/>
      <c r="AN192" s="165"/>
      <c r="AO192" s="165"/>
      <c r="AP192" s="165"/>
      <c r="AQ192" s="165"/>
      <c r="AR192" s="165"/>
      <c r="AS192" s="165"/>
      <c r="AT192" s="165"/>
      <c r="AU192" s="165"/>
      <c r="AV192" s="165"/>
      <c r="AW192" s="165"/>
      <c r="AX192" s="165"/>
      <c r="AY192" s="165"/>
      <c r="AZ192" s="165"/>
      <c r="BA192" s="165"/>
      <c r="BB192" s="165"/>
      <c r="BC192" s="165"/>
      <c r="BD192" s="165"/>
      <c r="BE192" s="165"/>
      <c r="BF192" s="165"/>
      <c r="BG192" s="165"/>
      <c r="BH192" s="165"/>
      <c r="BI192" s="165"/>
      <c r="BJ192" s="165"/>
      <c r="BK192" s="165"/>
      <c r="BL192" s="165"/>
      <c r="BM192" s="165"/>
      <c r="BN192" s="165"/>
      <c r="BO192" s="165"/>
      <c r="BP192" s="165"/>
      <c r="BQ192" s="165"/>
      <c r="BR192" s="165"/>
      <c r="BS192" s="165"/>
      <c r="BT192" s="165"/>
      <c r="BU192" s="165"/>
      <c r="BV192" s="165"/>
      <c r="BW192" s="165"/>
      <c r="BX192" s="165"/>
      <c r="BY192" s="165"/>
      <c r="BZ192" s="1430"/>
      <c r="CA192" s="1430"/>
      <c r="CB192" s="1429"/>
      <c r="CC192" s="1429"/>
      <c r="CD192" s="1429"/>
      <c r="CE192" s="1429"/>
      <c r="CF192" s="1429"/>
      <c r="CG192" s="1429"/>
      <c r="CH192" s="1432"/>
      <c r="CI192" s="1432"/>
      <c r="CJ192" s="1432"/>
      <c r="CK192" s="1432"/>
      <c r="CL192" s="1432"/>
      <c r="CM192" s="1432"/>
      <c r="CN192" s="1432"/>
      <c r="CO192" s="1432"/>
    </row>
    <row r="193" spans="1:93" ht="16.2" customHeight="1" x14ac:dyDescent="0.3">
      <c r="A193" s="7320">
        <v>29101442</v>
      </c>
      <c r="B193" s="7574" t="s">
        <v>3256</v>
      </c>
      <c r="C193" s="7575" t="s">
        <v>5369</v>
      </c>
      <c r="D193" s="7576" t="s">
        <v>5370</v>
      </c>
      <c r="E193" s="7577" t="s">
        <v>5371</v>
      </c>
      <c r="F193" s="140"/>
      <c r="G193" s="140"/>
      <c r="H193" s="140"/>
      <c r="I193" s="165"/>
      <c r="J193" s="165"/>
      <c r="K193" s="165"/>
      <c r="L193" s="165"/>
      <c r="M193" s="165"/>
      <c r="N193" s="165"/>
      <c r="O193" s="165"/>
      <c r="P193" s="165"/>
      <c r="Q193" s="165"/>
      <c r="R193" s="165"/>
      <c r="S193" s="165"/>
      <c r="T193" s="165"/>
      <c r="U193" s="165"/>
      <c r="V193" s="165"/>
      <c r="W193" s="165"/>
      <c r="X193" s="165"/>
      <c r="Y193" s="165"/>
      <c r="Z193" s="165"/>
      <c r="AA193" s="165"/>
      <c r="AB193" s="165"/>
      <c r="AC193" s="165"/>
      <c r="AD193" s="165"/>
      <c r="AE193" s="165"/>
      <c r="AF193" s="165"/>
      <c r="AG193" s="165"/>
      <c r="AH193" s="165"/>
      <c r="AI193" s="165"/>
      <c r="AJ193" s="165"/>
      <c r="AK193" s="165"/>
      <c r="AL193" s="165"/>
      <c r="AM193" s="165"/>
      <c r="AN193" s="165"/>
      <c r="AO193" s="165"/>
      <c r="AP193" s="165"/>
      <c r="AQ193" s="165"/>
      <c r="AR193" s="165"/>
      <c r="AS193" s="165"/>
      <c r="AT193" s="165"/>
      <c r="AU193" s="165"/>
      <c r="AV193" s="165"/>
      <c r="AW193" s="165"/>
      <c r="AX193" s="165"/>
      <c r="AY193" s="165"/>
      <c r="AZ193" s="165"/>
      <c r="BA193" s="165"/>
      <c r="BB193" s="165"/>
      <c r="BC193" s="165"/>
      <c r="BD193" s="165"/>
      <c r="BE193" s="165"/>
      <c r="BF193" s="165"/>
      <c r="BG193" s="165"/>
      <c r="BH193" s="165"/>
      <c r="BI193" s="165"/>
      <c r="BJ193" s="165"/>
      <c r="BK193" s="165"/>
      <c r="BL193" s="165"/>
      <c r="BM193" s="165"/>
      <c r="BN193" s="165"/>
      <c r="BO193" s="165"/>
      <c r="BP193" s="165"/>
      <c r="BQ193" s="165"/>
      <c r="BR193" s="165"/>
      <c r="BS193" s="165"/>
      <c r="BT193" s="165"/>
      <c r="BU193" s="165"/>
      <c r="BV193" s="165"/>
      <c r="BW193" s="165"/>
      <c r="BX193" s="165"/>
      <c r="BY193" s="165"/>
      <c r="BZ193" s="1430"/>
      <c r="CA193" s="1430"/>
      <c r="CB193" s="1429"/>
      <c r="CC193" s="1429"/>
      <c r="CD193" s="1429"/>
      <c r="CE193" s="1429"/>
      <c r="CF193" s="1429"/>
      <c r="CG193" s="1429"/>
      <c r="CH193" s="1432"/>
      <c r="CI193" s="1432"/>
      <c r="CJ193" s="1432"/>
      <c r="CK193" s="1432"/>
      <c r="CL193" s="1432"/>
      <c r="CM193" s="1432"/>
      <c r="CN193" s="1432"/>
      <c r="CO193" s="1432"/>
    </row>
    <row r="194" spans="1:93" ht="16.2" customHeight="1" x14ac:dyDescent="0.3">
      <c r="A194" s="7320">
        <v>29101443</v>
      </c>
      <c r="B194" s="7578" t="s">
        <v>3257</v>
      </c>
      <c r="C194" s="7575" t="s">
        <v>5369</v>
      </c>
      <c r="D194" s="7576" t="s">
        <v>5370</v>
      </c>
      <c r="E194" s="7577" t="s">
        <v>5371</v>
      </c>
      <c r="F194" s="140"/>
      <c r="G194" s="140"/>
      <c r="H194" s="140"/>
      <c r="I194" s="165"/>
      <c r="J194" s="165"/>
      <c r="K194" s="165"/>
      <c r="L194" s="165"/>
      <c r="M194" s="165"/>
      <c r="N194" s="165"/>
      <c r="O194" s="165"/>
      <c r="P194" s="165"/>
      <c r="Q194" s="165"/>
      <c r="R194" s="165"/>
      <c r="S194" s="165"/>
      <c r="T194" s="165"/>
      <c r="U194" s="165"/>
      <c r="V194" s="165"/>
      <c r="W194" s="165"/>
      <c r="X194" s="165"/>
      <c r="Y194" s="165"/>
      <c r="Z194" s="165"/>
      <c r="AA194" s="165"/>
      <c r="AB194" s="165"/>
      <c r="AC194" s="165"/>
      <c r="AD194" s="165"/>
      <c r="AE194" s="165"/>
      <c r="AF194" s="165"/>
      <c r="AG194" s="165"/>
      <c r="AH194" s="165"/>
      <c r="AI194" s="165"/>
      <c r="AJ194" s="165"/>
      <c r="AK194" s="165"/>
      <c r="AL194" s="165"/>
      <c r="AM194" s="165"/>
      <c r="AN194" s="165"/>
      <c r="AO194" s="165"/>
      <c r="AP194" s="165"/>
      <c r="AQ194" s="165"/>
      <c r="AR194" s="165"/>
      <c r="AS194" s="165"/>
      <c r="AT194" s="165"/>
      <c r="AU194" s="165"/>
      <c r="AV194" s="165"/>
      <c r="AW194" s="165"/>
      <c r="AX194" s="165"/>
      <c r="AY194" s="165"/>
      <c r="AZ194" s="165"/>
      <c r="BA194" s="165"/>
      <c r="BB194" s="165"/>
      <c r="BC194" s="165"/>
      <c r="BD194" s="165"/>
      <c r="BE194" s="165"/>
      <c r="BF194" s="165"/>
      <c r="BG194" s="165"/>
      <c r="BH194" s="165"/>
      <c r="BI194" s="165"/>
      <c r="BJ194" s="165"/>
      <c r="BK194" s="165"/>
      <c r="BL194" s="165"/>
      <c r="BM194" s="165"/>
      <c r="BN194" s="165"/>
      <c r="BO194" s="165"/>
      <c r="BP194" s="165"/>
      <c r="BQ194" s="165"/>
      <c r="BR194" s="165"/>
      <c r="BS194" s="165"/>
      <c r="BT194" s="165"/>
      <c r="BU194" s="165"/>
      <c r="BV194" s="165"/>
      <c r="BW194" s="165"/>
      <c r="BX194" s="165"/>
      <c r="BY194" s="165"/>
      <c r="BZ194" s="1430"/>
      <c r="CA194" s="1430"/>
      <c r="CB194" s="1429"/>
      <c r="CC194" s="1429"/>
      <c r="CD194" s="1429"/>
      <c r="CE194" s="1429"/>
      <c r="CF194" s="1429"/>
      <c r="CG194" s="1429"/>
      <c r="CH194" s="1432"/>
      <c r="CI194" s="1432"/>
      <c r="CJ194" s="1432"/>
      <c r="CK194" s="1432"/>
      <c r="CL194" s="1432"/>
      <c r="CM194" s="1432"/>
      <c r="CN194" s="1432"/>
      <c r="CO194" s="1432"/>
    </row>
    <row r="195" spans="1:93" ht="16.2" customHeight="1" x14ac:dyDescent="0.3">
      <c r="A195" s="7320">
        <v>29101444</v>
      </c>
      <c r="B195" s="7578" t="s">
        <v>3258</v>
      </c>
      <c r="C195" s="7575" t="s">
        <v>5369</v>
      </c>
      <c r="D195" s="7576" t="s">
        <v>5370</v>
      </c>
      <c r="E195" s="7577" t="s">
        <v>5371</v>
      </c>
      <c r="F195" s="140"/>
      <c r="G195" s="140"/>
      <c r="H195" s="140"/>
      <c r="I195" s="165"/>
      <c r="J195" s="165"/>
      <c r="K195" s="165"/>
      <c r="L195" s="165"/>
      <c r="M195" s="165"/>
      <c r="N195" s="165"/>
      <c r="O195" s="165"/>
      <c r="P195" s="165"/>
      <c r="Q195" s="165"/>
      <c r="R195" s="165"/>
      <c r="S195" s="165"/>
      <c r="T195" s="165"/>
      <c r="U195" s="165"/>
      <c r="V195" s="165"/>
      <c r="W195" s="165"/>
      <c r="X195" s="165"/>
      <c r="Y195" s="165"/>
      <c r="Z195" s="165"/>
      <c r="AA195" s="165"/>
      <c r="AB195" s="165"/>
      <c r="AC195" s="165"/>
      <c r="AD195" s="165"/>
      <c r="AE195" s="165"/>
      <c r="AF195" s="165"/>
      <c r="AG195" s="165"/>
      <c r="AH195" s="165"/>
      <c r="AI195" s="165"/>
      <c r="AJ195" s="165"/>
      <c r="AK195" s="165"/>
      <c r="AL195" s="165"/>
      <c r="AM195" s="165"/>
      <c r="AN195" s="165"/>
      <c r="AO195" s="165"/>
      <c r="AP195" s="165"/>
      <c r="AQ195" s="165"/>
      <c r="AR195" s="165"/>
      <c r="AS195" s="165"/>
      <c r="AT195" s="165"/>
      <c r="AU195" s="165"/>
      <c r="AV195" s="165"/>
      <c r="AW195" s="165"/>
      <c r="AX195" s="165"/>
      <c r="AY195" s="165"/>
      <c r="AZ195" s="165"/>
      <c r="BA195" s="165"/>
      <c r="BB195" s="165"/>
      <c r="BC195" s="165"/>
      <c r="BD195" s="165"/>
      <c r="BE195" s="165"/>
      <c r="BF195" s="165"/>
      <c r="BG195" s="165"/>
      <c r="BH195" s="165"/>
      <c r="BI195" s="165"/>
      <c r="BJ195" s="165"/>
      <c r="BK195" s="165"/>
      <c r="BL195" s="165"/>
      <c r="BM195" s="165"/>
      <c r="BN195" s="165"/>
      <c r="BO195" s="165"/>
      <c r="BP195" s="165"/>
      <c r="BQ195" s="165"/>
      <c r="BR195" s="165"/>
      <c r="BS195" s="165"/>
      <c r="BT195" s="165"/>
      <c r="BU195" s="165"/>
      <c r="BV195" s="165"/>
      <c r="BW195" s="165"/>
      <c r="BX195" s="165"/>
      <c r="BY195" s="165"/>
      <c r="BZ195" s="1430"/>
      <c r="CA195" s="1430"/>
      <c r="CB195" s="1429"/>
      <c r="CC195" s="1429"/>
      <c r="CD195" s="1429"/>
      <c r="CE195" s="1429"/>
      <c r="CF195" s="1429"/>
      <c r="CG195" s="1429"/>
      <c r="CH195" s="1432"/>
      <c r="CI195" s="1432"/>
      <c r="CJ195" s="1432"/>
      <c r="CK195" s="1432"/>
      <c r="CL195" s="1432"/>
      <c r="CM195" s="1432"/>
      <c r="CN195" s="1432"/>
      <c r="CO195" s="1432"/>
    </row>
    <row r="196" spans="1:93" ht="16.2" customHeight="1" x14ac:dyDescent="0.3">
      <c r="A196" s="7320">
        <v>29101445</v>
      </c>
      <c r="B196" s="7578" t="s">
        <v>3259</v>
      </c>
      <c r="C196" s="7575" t="s">
        <v>5369</v>
      </c>
      <c r="D196" s="7576" t="s">
        <v>5370</v>
      </c>
      <c r="E196" s="7577" t="s">
        <v>5371</v>
      </c>
      <c r="F196" s="140"/>
      <c r="G196" s="140"/>
      <c r="H196" s="140"/>
      <c r="I196" s="165"/>
      <c r="J196" s="165"/>
      <c r="K196" s="165"/>
      <c r="L196" s="165"/>
      <c r="M196" s="165"/>
      <c r="N196" s="165"/>
      <c r="O196" s="165"/>
      <c r="P196" s="165"/>
      <c r="Q196" s="165"/>
      <c r="R196" s="165"/>
      <c r="S196" s="165"/>
      <c r="T196" s="165"/>
      <c r="U196" s="165"/>
      <c r="V196" s="165"/>
      <c r="W196" s="165"/>
      <c r="X196" s="165"/>
      <c r="Y196" s="165"/>
      <c r="Z196" s="165"/>
      <c r="AA196" s="165"/>
      <c r="AB196" s="165"/>
      <c r="AC196" s="165"/>
      <c r="AD196" s="165"/>
      <c r="AE196" s="165"/>
      <c r="AF196" s="165"/>
      <c r="AG196" s="165"/>
      <c r="AH196" s="165"/>
      <c r="AI196" s="165"/>
      <c r="AJ196" s="165"/>
      <c r="AK196" s="165"/>
      <c r="AL196" s="165"/>
      <c r="AM196" s="165"/>
      <c r="AN196" s="165"/>
      <c r="AO196" s="165"/>
      <c r="AP196" s="165"/>
      <c r="AQ196" s="165"/>
      <c r="AR196" s="165"/>
      <c r="AS196" s="165"/>
      <c r="AT196" s="165"/>
      <c r="AU196" s="165"/>
      <c r="AV196" s="165"/>
      <c r="AW196" s="165"/>
      <c r="AX196" s="165"/>
      <c r="AY196" s="165"/>
      <c r="AZ196" s="165"/>
      <c r="BA196" s="165"/>
      <c r="BB196" s="165"/>
      <c r="BC196" s="165"/>
      <c r="BD196" s="165"/>
      <c r="BE196" s="165"/>
      <c r="BF196" s="165"/>
      <c r="BG196" s="165"/>
      <c r="BH196" s="165"/>
      <c r="BI196" s="165"/>
      <c r="BJ196" s="165"/>
      <c r="BK196" s="165"/>
      <c r="BL196" s="165"/>
      <c r="BM196" s="165"/>
      <c r="BN196" s="165"/>
      <c r="BO196" s="165"/>
      <c r="BP196" s="165"/>
      <c r="BQ196" s="165"/>
      <c r="BR196" s="165"/>
      <c r="BS196" s="165"/>
      <c r="BT196" s="165"/>
      <c r="BU196" s="165"/>
      <c r="BV196" s="165"/>
      <c r="BW196" s="165"/>
      <c r="BX196" s="165"/>
      <c r="BY196" s="165"/>
      <c r="BZ196" s="1430"/>
      <c r="CA196" s="1430"/>
      <c r="CB196" s="1429"/>
      <c r="CC196" s="1429"/>
      <c r="CD196" s="1429"/>
      <c r="CE196" s="1429"/>
      <c r="CF196" s="1429"/>
      <c r="CG196" s="1429"/>
      <c r="CH196" s="1432"/>
      <c r="CI196" s="1432"/>
      <c r="CJ196" s="1432"/>
      <c r="CK196" s="1432"/>
      <c r="CL196" s="1432"/>
      <c r="CM196" s="1432"/>
      <c r="CN196" s="1432"/>
      <c r="CO196" s="1432"/>
    </row>
    <row r="197" spans="1:93" ht="16.2" customHeight="1" x14ac:dyDescent="0.3">
      <c r="A197" s="7320">
        <v>29101446</v>
      </c>
      <c r="B197" s="7578" t="s">
        <v>3260</v>
      </c>
      <c r="C197" s="7575" t="s">
        <v>5369</v>
      </c>
      <c r="D197" s="7576" t="s">
        <v>5370</v>
      </c>
      <c r="E197" s="7577" t="s">
        <v>5371</v>
      </c>
      <c r="F197" s="140"/>
      <c r="G197" s="140"/>
      <c r="H197" s="140"/>
      <c r="I197" s="165"/>
      <c r="J197" s="165"/>
      <c r="K197" s="165"/>
      <c r="L197" s="165"/>
      <c r="M197" s="165"/>
      <c r="N197" s="165"/>
      <c r="O197" s="165"/>
      <c r="P197" s="165"/>
      <c r="Q197" s="165"/>
      <c r="R197" s="165"/>
      <c r="S197" s="165"/>
      <c r="T197" s="165"/>
      <c r="U197" s="165"/>
      <c r="V197" s="165"/>
      <c r="W197" s="165"/>
      <c r="X197" s="165"/>
      <c r="Y197" s="165"/>
      <c r="Z197" s="165"/>
      <c r="AA197" s="165"/>
      <c r="AB197" s="165"/>
      <c r="AC197" s="165"/>
      <c r="AD197" s="165"/>
      <c r="AE197" s="165"/>
      <c r="AF197" s="165"/>
      <c r="AG197" s="165"/>
      <c r="AH197" s="165"/>
      <c r="AI197" s="165"/>
      <c r="AJ197" s="165"/>
      <c r="AK197" s="165"/>
      <c r="AL197" s="165"/>
      <c r="AM197" s="165"/>
      <c r="AN197" s="165"/>
      <c r="AO197" s="165"/>
      <c r="AP197" s="165"/>
      <c r="AQ197" s="165"/>
      <c r="AR197" s="165"/>
      <c r="AS197" s="165"/>
      <c r="AT197" s="165"/>
      <c r="AU197" s="165"/>
      <c r="AV197" s="165"/>
      <c r="AW197" s="165"/>
      <c r="AX197" s="165"/>
      <c r="AY197" s="165"/>
      <c r="AZ197" s="165"/>
      <c r="BA197" s="165"/>
      <c r="BB197" s="165"/>
      <c r="BC197" s="165"/>
      <c r="BD197" s="165"/>
      <c r="BE197" s="165"/>
      <c r="BF197" s="165"/>
      <c r="BG197" s="165"/>
      <c r="BH197" s="165"/>
      <c r="BI197" s="165"/>
      <c r="BJ197" s="165"/>
      <c r="BK197" s="165"/>
      <c r="BL197" s="165"/>
      <c r="BM197" s="165"/>
      <c r="BN197" s="165"/>
      <c r="BO197" s="165"/>
      <c r="BP197" s="165"/>
      <c r="BQ197" s="165"/>
      <c r="BR197" s="165"/>
      <c r="BS197" s="165"/>
      <c r="BT197" s="165"/>
      <c r="BU197" s="165"/>
      <c r="BV197" s="165"/>
      <c r="BW197" s="165"/>
      <c r="BX197" s="165"/>
      <c r="BY197" s="165"/>
      <c r="BZ197" s="1430"/>
      <c r="CA197" s="1430"/>
      <c r="CB197" s="1429"/>
      <c r="CC197" s="1429"/>
      <c r="CD197" s="1429"/>
      <c r="CE197" s="1429"/>
      <c r="CF197" s="1429"/>
      <c r="CG197" s="1429"/>
      <c r="CH197" s="1432"/>
      <c r="CI197" s="1432"/>
      <c r="CJ197" s="1432"/>
      <c r="CK197" s="1432"/>
      <c r="CL197" s="1432"/>
      <c r="CM197" s="1432"/>
      <c r="CN197" s="1432"/>
      <c r="CO197" s="1432"/>
    </row>
    <row r="198" spans="1:93" ht="16.2" customHeight="1" x14ac:dyDescent="0.3">
      <c r="A198" s="7320">
        <v>29101447</v>
      </c>
      <c r="B198" s="7578" t="s">
        <v>3261</v>
      </c>
      <c r="C198" s="7575" t="s">
        <v>5369</v>
      </c>
      <c r="D198" s="7576" t="s">
        <v>5370</v>
      </c>
      <c r="E198" s="7577" t="s">
        <v>5371</v>
      </c>
      <c r="F198" s="140"/>
      <c r="G198" s="140"/>
      <c r="H198" s="140"/>
      <c r="I198" s="165"/>
      <c r="J198" s="165"/>
      <c r="K198" s="165"/>
      <c r="L198" s="165"/>
      <c r="M198" s="165"/>
      <c r="N198" s="165"/>
      <c r="O198" s="165"/>
      <c r="P198" s="165"/>
      <c r="Q198" s="165"/>
      <c r="R198" s="165"/>
      <c r="S198" s="165"/>
      <c r="T198" s="165"/>
      <c r="U198" s="165"/>
      <c r="V198" s="165"/>
      <c r="W198" s="165"/>
      <c r="X198" s="165"/>
      <c r="Y198" s="165"/>
      <c r="Z198" s="165"/>
      <c r="AA198" s="165"/>
      <c r="AB198" s="165"/>
      <c r="AC198" s="165"/>
      <c r="AD198" s="165"/>
      <c r="AE198" s="165"/>
      <c r="AF198" s="165"/>
      <c r="AG198" s="165"/>
      <c r="AH198" s="165"/>
      <c r="AI198" s="165"/>
      <c r="AJ198" s="165"/>
      <c r="AK198" s="165"/>
      <c r="AL198" s="165"/>
      <c r="AM198" s="165"/>
      <c r="AN198" s="165"/>
      <c r="AO198" s="165"/>
      <c r="AP198" s="165"/>
      <c r="AQ198" s="165"/>
      <c r="AR198" s="165"/>
      <c r="AS198" s="165"/>
      <c r="AT198" s="165"/>
      <c r="AU198" s="165"/>
      <c r="AV198" s="165"/>
      <c r="AW198" s="165"/>
      <c r="AX198" s="165"/>
      <c r="AY198" s="165"/>
      <c r="AZ198" s="165"/>
      <c r="BA198" s="165"/>
      <c r="BB198" s="165"/>
      <c r="BC198" s="165"/>
      <c r="BD198" s="165"/>
      <c r="BE198" s="165"/>
      <c r="BF198" s="165"/>
      <c r="BG198" s="165"/>
      <c r="BH198" s="165"/>
      <c r="BI198" s="165"/>
      <c r="BJ198" s="165"/>
      <c r="BK198" s="165"/>
      <c r="BL198" s="165"/>
      <c r="BM198" s="165"/>
      <c r="BN198" s="165"/>
      <c r="BO198" s="165"/>
      <c r="BP198" s="165"/>
      <c r="BQ198" s="165"/>
      <c r="BR198" s="165"/>
      <c r="BS198" s="165"/>
      <c r="BT198" s="165"/>
      <c r="BU198" s="165"/>
      <c r="BV198" s="165"/>
      <c r="BW198" s="165"/>
      <c r="BX198" s="165"/>
      <c r="BY198" s="165"/>
      <c r="BZ198" s="1430"/>
      <c r="CA198" s="1430"/>
      <c r="CB198" s="1429"/>
      <c r="CC198" s="1429"/>
      <c r="CD198" s="1429"/>
      <c r="CE198" s="1429"/>
      <c r="CF198" s="1429"/>
      <c r="CG198" s="1429"/>
      <c r="CH198" s="1432"/>
      <c r="CI198" s="1432"/>
      <c r="CJ198" s="1432"/>
      <c r="CK198" s="1432"/>
      <c r="CL198" s="1432"/>
      <c r="CM198" s="1432"/>
      <c r="CN198" s="1432"/>
      <c r="CO198" s="1432"/>
    </row>
    <row r="199" spans="1:93" ht="16.2" customHeight="1" x14ac:dyDescent="0.3">
      <c r="A199" s="7320">
        <v>29101448</v>
      </c>
      <c r="B199" s="7578" t="s">
        <v>3262</v>
      </c>
      <c r="C199" s="7575" t="s">
        <v>5369</v>
      </c>
      <c r="D199" s="7576" t="s">
        <v>5370</v>
      </c>
      <c r="E199" s="7577" t="s">
        <v>5371</v>
      </c>
      <c r="F199" s="140"/>
      <c r="G199" s="140"/>
      <c r="H199" s="140"/>
      <c r="I199" s="165"/>
      <c r="J199" s="165"/>
      <c r="K199" s="165"/>
      <c r="L199" s="165"/>
      <c r="M199" s="165"/>
      <c r="N199" s="165"/>
      <c r="O199" s="165"/>
      <c r="P199" s="165"/>
      <c r="Q199" s="165"/>
      <c r="R199" s="165"/>
      <c r="S199" s="165"/>
      <c r="T199" s="165"/>
      <c r="U199" s="165"/>
      <c r="V199" s="165"/>
      <c r="W199" s="165"/>
      <c r="X199" s="165"/>
      <c r="Y199" s="165"/>
      <c r="Z199" s="165"/>
      <c r="AA199" s="165"/>
      <c r="AB199" s="165"/>
      <c r="AC199" s="165"/>
      <c r="AD199" s="165"/>
      <c r="AE199" s="165"/>
      <c r="AF199" s="165"/>
      <c r="AG199" s="165"/>
      <c r="AH199" s="165"/>
      <c r="AI199" s="165"/>
      <c r="AJ199" s="165"/>
      <c r="AK199" s="165"/>
      <c r="AL199" s="165"/>
      <c r="AM199" s="165"/>
      <c r="AN199" s="165"/>
      <c r="AO199" s="165"/>
      <c r="AP199" s="165"/>
      <c r="AQ199" s="165"/>
      <c r="AR199" s="165"/>
      <c r="AS199" s="165"/>
      <c r="AT199" s="165"/>
      <c r="AU199" s="165"/>
      <c r="AV199" s="165"/>
      <c r="AW199" s="165"/>
      <c r="AX199" s="165"/>
      <c r="AY199" s="165"/>
      <c r="AZ199" s="165"/>
      <c r="BA199" s="165"/>
      <c r="BB199" s="165"/>
      <c r="BC199" s="165"/>
      <c r="BD199" s="165"/>
      <c r="BE199" s="165"/>
      <c r="BF199" s="165"/>
      <c r="BG199" s="165"/>
      <c r="BH199" s="165"/>
      <c r="BI199" s="165"/>
      <c r="BJ199" s="165"/>
      <c r="BK199" s="165"/>
      <c r="BL199" s="165"/>
      <c r="BM199" s="165"/>
      <c r="BN199" s="165"/>
      <c r="BO199" s="165"/>
      <c r="BP199" s="165"/>
      <c r="BQ199" s="165"/>
      <c r="BR199" s="165"/>
      <c r="BS199" s="165"/>
      <c r="BT199" s="165"/>
      <c r="BU199" s="165"/>
      <c r="BV199" s="165"/>
      <c r="BW199" s="165"/>
      <c r="BX199" s="165"/>
      <c r="BY199" s="165"/>
      <c r="BZ199" s="1430"/>
      <c r="CA199" s="1430"/>
      <c r="CB199" s="1429"/>
      <c r="CC199" s="1429"/>
      <c r="CD199" s="1429"/>
      <c r="CE199" s="1429"/>
      <c r="CF199" s="1429"/>
      <c r="CG199" s="1429"/>
      <c r="CH199" s="1432"/>
      <c r="CI199" s="1432"/>
      <c r="CJ199" s="1432"/>
      <c r="CK199" s="1432"/>
      <c r="CL199" s="1432"/>
      <c r="CM199" s="1432"/>
      <c r="CN199" s="1432"/>
      <c r="CO199" s="1432"/>
    </row>
    <row r="200" spans="1:93" ht="16.2" customHeight="1" x14ac:dyDescent="0.3">
      <c r="A200" s="7320">
        <v>29101449</v>
      </c>
      <c r="B200" s="7578" t="s">
        <v>3263</v>
      </c>
      <c r="C200" s="7575" t="s">
        <v>5369</v>
      </c>
      <c r="D200" s="7576" t="s">
        <v>5370</v>
      </c>
      <c r="E200" s="7577" t="s">
        <v>5371</v>
      </c>
      <c r="F200" s="140"/>
      <c r="G200" s="140"/>
      <c r="H200" s="140"/>
      <c r="I200" s="165"/>
      <c r="J200" s="165"/>
      <c r="K200" s="165"/>
      <c r="L200" s="165"/>
      <c r="M200" s="165"/>
      <c r="N200" s="165"/>
      <c r="O200" s="165"/>
      <c r="P200" s="165"/>
      <c r="Q200" s="165"/>
      <c r="R200" s="165"/>
      <c r="S200" s="165"/>
      <c r="T200" s="165"/>
      <c r="U200" s="165"/>
      <c r="V200" s="165"/>
      <c r="W200" s="165"/>
      <c r="X200" s="165"/>
      <c r="Y200" s="165"/>
      <c r="Z200" s="165"/>
      <c r="AA200" s="165"/>
      <c r="AB200" s="165"/>
      <c r="AC200" s="165"/>
      <c r="AD200" s="165"/>
      <c r="AE200" s="165"/>
      <c r="AF200" s="165"/>
      <c r="AG200" s="165"/>
      <c r="AH200" s="165"/>
      <c r="AI200" s="165"/>
      <c r="AJ200" s="165"/>
      <c r="AK200" s="165"/>
      <c r="AL200" s="165"/>
      <c r="AM200" s="165"/>
      <c r="AN200" s="165"/>
      <c r="AO200" s="165"/>
      <c r="AP200" s="165"/>
      <c r="AQ200" s="165"/>
      <c r="AR200" s="165"/>
      <c r="AS200" s="165"/>
      <c r="AT200" s="165"/>
      <c r="AU200" s="165"/>
      <c r="AV200" s="165"/>
      <c r="AW200" s="165"/>
      <c r="AX200" s="165"/>
      <c r="AY200" s="165"/>
      <c r="AZ200" s="165"/>
      <c r="BA200" s="165"/>
      <c r="BB200" s="165"/>
      <c r="BC200" s="165"/>
      <c r="BD200" s="165"/>
      <c r="BE200" s="165"/>
      <c r="BF200" s="165"/>
      <c r="BG200" s="165"/>
      <c r="BH200" s="165"/>
      <c r="BI200" s="165"/>
      <c r="BJ200" s="165"/>
      <c r="BK200" s="165"/>
      <c r="BL200" s="165"/>
      <c r="BM200" s="165"/>
      <c r="BN200" s="165"/>
      <c r="BO200" s="165"/>
      <c r="BP200" s="165"/>
      <c r="BQ200" s="165"/>
      <c r="BR200" s="165"/>
      <c r="BS200" s="165"/>
      <c r="BT200" s="165"/>
      <c r="BU200" s="165"/>
      <c r="BV200" s="165"/>
      <c r="BW200" s="165"/>
      <c r="BX200" s="165"/>
      <c r="BY200" s="165"/>
      <c r="BZ200" s="1430"/>
      <c r="CA200" s="1430"/>
      <c r="CB200" s="1429"/>
      <c r="CC200" s="1429"/>
      <c r="CD200" s="1429"/>
      <c r="CE200" s="1429"/>
      <c r="CF200" s="1429"/>
      <c r="CG200" s="1429"/>
      <c r="CH200" s="1432"/>
      <c r="CI200" s="1432"/>
      <c r="CJ200" s="1432"/>
      <c r="CK200" s="1432"/>
      <c r="CL200" s="1432"/>
      <c r="CM200" s="1432"/>
      <c r="CN200" s="1432"/>
      <c r="CO200" s="1432"/>
    </row>
    <row r="201" spans="1:93" ht="16.2" customHeight="1" x14ac:dyDescent="0.3">
      <c r="A201" s="7320">
        <v>29101450</v>
      </c>
      <c r="B201" s="7578" t="s">
        <v>3264</v>
      </c>
      <c r="C201" s="7575" t="s">
        <v>5369</v>
      </c>
      <c r="D201" s="7576" t="s">
        <v>5370</v>
      </c>
      <c r="E201" s="7577" t="s">
        <v>5371</v>
      </c>
      <c r="F201" s="140"/>
      <c r="G201" s="140"/>
      <c r="H201" s="140"/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165"/>
      <c r="U201" s="165"/>
      <c r="V201" s="165"/>
      <c r="W201" s="165"/>
      <c r="X201" s="165"/>
      <c r="Y201" s="165"/>
      <c r="Z201" s="165"/>
      <c r="AA201" s="165"/>
      <c r="AB201" s="165"/>
      <c r="AC201" s="165"/>
      <c r="AD201" s="165"/>
      <c r="AE201" s="165"/>
      <c r="AF201" s="165"/>
      <c r="AG201" s="165"/>
      <c r="AH201" s="165"/>
      <c r="AI201" s="165"/>
      <c r="AJ201" s="165"/>
      <c r="AK201" s="165"/>
      <c r="AL201" s="165"/>
      <c r="AM201" s="165"/>
      <c r="AN201" s="165"/>
      <c r="AO201" s="165"/>
      <c r="AP201" s="165"/>
      <c r="AQ201" s="165"/>
      <c r="AR201" s="165"/>
      <c r="AS201" s="165"/>
      <c r="AT201" s="165"/>
      <c r="AU201" s="165"/>
      <c r="AV201" s="165"/>
      <c r="AW201" s="165"/>
      <c r="AX201" s="165"/>
      <c r="AY201" s="165"/>
      <c r="AZ201" s="165"/>
      <c r="BA201" s="165"/>
      <c r="BB201" s="165"/>
      <c r="BC201" s="165"/>
      <c r="BD201" s="165"/>
      <c r="BE201" s="165"/>
      <c r="BF201" s="165"/>
      <c r="BG201" s="165"/>
      <c r="BH201" s="165"/>
      <c r="BI201" s="165"/>
      <c r="BJ201" s="165"/>
      <c r="BK201" s="165"/>
      <c r="BL201" s="165"/>
      <c r="BM201" s="165"/>
      <c r="BN201" s="165"/>
      <c r="BO201" s="165"/>
      <c r="BP201" s="165"/>
      <c r="BQ201" s="165"/>
      <c r="BR201" s="165"/>
      <c r="BS201" s="165"/>
      <c r="BT201" s="165"/>
      <c r="BU201" s="165"/>
      <c r="BV201" s="165"/>
      <c r="BW201" s="165"/>
      <c r="BX201" s="165"/>
      <c r="BY201" s="165"/>
      <c r="BZ201" s="1430"/>
      <c r="CA201" s="1430"/>
      <c r="CB201" s="1429"/>
      <c r="CC201" s="1429"/>
      <c r="CD201" s="1429"/>
      <c r="CE201" s="1429"/>
      <c r="CF201" s="1429"/>
      <c r="CG201" s="1429"/>
      <c r="CH201" s="1432"/>
      <c r="CI201" s="1432"/>
      <c r="CJ201" s="1432"/>
      <c r="CK201" s="1432"/>
      <c r="CL201" s="1432"/>
      <c r="CM201" s="1432"/>
      <c r="CN201" s="1432"/>
      <c r="CO201" s="1432"/>
    </row>
    <row r="202" spans="1:93" ht="16.2" customHeight="1" x14ac:dyDescent="0.3">
      <c r="A202" s="7320">
        <v>29101451</v>
      </c>
      <c r="B202" s="7579" t="s">
        <v>3265</v>
      </c>
      <c r="C202" s="7575" t="s">
        <v>5369</v>
      </c>
      <c r="D202" s="7576" t="s">
        <v>5370</v>
      </c>
      <c r="E202" s="7577" t="s">
        <v>5371</v>
      </c>
      <c r="F202" s="140"/>
      <c r="G202" s="140"/>
      <c r="H202" s="140"/>
      <c r="I202" s="165"/>
      <c r="J202" s="165"/>
      <c r="K202" s="165"/>
      <c r="L202" s="165"/>
      <c r="M202" s="165"/>
      <c r="N202" s="165"/>
      <c r="O202" s="165"/>
      <c r="P202" s="165"/>
      <c r="Q202" s="165"/>
      <c r="R202" s="165"/>
      <c r="S202" s="165"/>
      <c r="T202" s="165"/>
      <c r="U202" s="165"/>
      <c r="V202" s="165"/>
      <c r="W202" s="165"/>
      <c r="X202" s="165"/>
      <c r="Y202" s="165"/>
      <c r="Z202" s="165"/>
      <c r="AA202" s="165"/>
      <c r="AB202" s="165"/>
      <c r="AC202" s="165"/>
      <c r="AD202" s="165"/>
      <c r="AE202" s="165"/>
      <c r="AF202" s="165"/>
      <c r="AG202" s="165"/>
      <c r="AH202" s="165"/>
      <c r="AI202" s="165"/>
      <c r="AJ202" s="165"/>
      <c r="AK202" s="165"/>
      <c r="AL202" s="165"/>
      <c r="AM202" s="165"/>
      <c r="AN202" s="165"/>
      <c r="AO202" s="165"/>
      <c r="AP202" s="165"/>
      <c r="AQ202" s="165"/>
      <c r="AR202" s="165"/>
      <c r="AS202" s="165"/>
      <c r="AT202" s="165"/>
      <c r="AU202" s="165"/>
      <c r="AV202" s="165"/>
      <c r="AW202" s="165"/>
      <c r="AX202" s="165"/>
      <c r="AY202" s="165"/>
      <c r="AZ202" s="165"/>
      <c r="BA202" s="165"/>
      <c r="BB202" s="165"/>
      <c r="BC202" s="165"/>
      <c r="BD202" s="165"/>
      <c r="BE202" s="165"/>
      <c r="BF202" s="165"/>
      <c r="BG202" s="165"/>
      <c r="BH202" s="165"/>
      <c r="BI202" s="165"/>
      <c r="BJ202" s="165"/>
      <c r="BK202" s="165"/>
      <c r="BL202" s="165"/>
      <c r="BM202" s="165"/>
      <c r="BN202" s="165"/>
      <c r="BO202" s="165"/>
      <c r="BP202" s="165"/>
      <c r="BQ202" s="165"/>
      <c r="BR202" s="165"/>
      <c r="BS202" s="165"/>
      <c r="BT202" s="165"/>
      <c r="BU202" s="165"/>
      <c r="BV202" s="165"/>
      <c r="BW202" s="165"/>
      <c r="BX202" s="165"/>
      <c r="BY202" s="165"/>
      <c r="BZ202" s="1430"/>
      <c r="CA202" s="1430"/>
      <c r="CB202" s="1429"/>
      <c r="CC202" s="1429"/>
      <c r="CD202" s="1429"/>
      <c r="CE202" s="1429"/>
      <c r="CF202" s="1429"/>
      <c r="CG202" s="1429"/>
      <c r="CH202" s="1432"/>
      <c r="CI202" s="1432"/>
      <c r="CJ202" s="1432"/>
      <c r="CK202" s="1432"/>
      <c r="CL202" s="1432"/>
      <c r="CM202" s="1432"/>
      <c r="CN202" s="1432"/>
      <c r="CO202" s="1432"/>
    </row>
    <row r="203" spans="1:93" ht="16.2" customHeight="1" x14ac:dyDescent="0.3">
      <c r="A203" s="7519"/>
      <c r="B203" s="7580" t="s">
        <v>24</v>
      </c>
      <c r="C203" s="7581">
        <f>+SUM(C193:C202)</f>
        <v>0</v>
      </c>
      <c r="D203" s="7581">
        <f>+SUM(D193:D202)</f>
        <v>0</v>
      </c>
      <c r="E203" s="7581">
        <f>+SUM(E193:E202)</f>
        <v>0</v>
      </c>
      <c r="F203" s="140"/>
      <c r="G203" s="140"/>
      <c r="H203" s="140"/>
      <c r="I203" s="165"/>
      <c r="J203" s="165"/>
      <c r="K203" s="165"/>
      <c r="L203" s="165"/>
      <c r="M203" s="165"/>
      <c r="N203" s="165"/>
      <c r="O203" s="165"/>
      <c r="P203" s="165"/>
      <c r="Q203" s="165"/>
      <c r="R203" s="165"/>
      <c r="S203" s="165"/>
      <c r="T203" s="165"/>
      <c r="U203" s="165"/>
      <c r="V203" s="165"/>
      <c r="W203" s="165"/>
      <c r="X203" s="165"/>
      <c r="Y203" s="165"/>
      <c r="Z203" s="165"/>
      <c r="AA203" s="165"/>
      <c r="AB203" s="165"/>
      <c r="AC203" s="165"/>
      <c r="AD203" s="165"/>
      <c r="AE203" s="165"/>
      <c r="AF203" s="165"/>
      <c r="AG203" s="165"/>
      <c r="AH203" s="165"/>
      <c r="AI203" s="165"/>
      <c r="AJ203" s="165"/>
      <c r="AK203" s="165"/>
      <c r="AL203" s="165"/>
      <c r="AM203" s="165"/>
      <c r="AN203" s="165"/>
      <c r="AO203" s="165"/>
      <c r="AP203" s="165"/>
      <c r="AQ203" s="165"/>
      <c r="AR203" s="165"/>
      <c r="AS203" s="165"/>
      <c r="AT203" s="165"/>
      <c r="AU203" s="165"/>
      <c r="AV203" s="165"/>
      <c r="AW203" s="165"/>
      <c r="AX203" s="165"/>
      <c r="AY203" s="165"/>
      <c r="AZ203" s="165"/>
      <c r="BA203" s="165"/>
      <c r="BB203" s="165"/>
      <c r="BC203" s="165"/>
      <c r="BD203" s="165"/>
      <c r="BE203" s="165"/>
      <c r="BF203" s="165"/>
      <c r="BG203" s="165"/>
      <c r="BH203" s="165"/>
      <c r="BI203" s="165"/>
      <c r="BJ203" s="165"/>
      <c r="BK203" s="165"/>
      <c r="BL203" s="165"/>
      <c r="BM203" s="165"/>
      <c r="BN203" s="165"/>
      <c r="BO203" s="165"/>
      <c r="BP203" s="165"/>
      <c r="BQ203" s="165"/>
      <c r="BR203" s="165"/>
      <c r="BS203" s="165"/>
      <c r="BT203" s="165"/>
      <c r="BU203" s="165"/>
      <c r="BV203" s="165"/>
      <c r="BW203" s="165"/>
      <c r="BX203" s="165"/>
      <c r="BY203" s="165"/>
      <c r="BZ203" s="1430"/>
      <c r="CA203" s="1430"/>
      <c r="CB203" s="1429"/>
      <c r="CC203" s="1429"/>
      <c r="CD203" s="1429"/>
      <c r="CE203" s="1429"/>
      <c r="CF203" s="1429"/>
      <c r="CG203" s="1429"/>
      <c r="CH203" s="1432"/>
      <c r="CI203" s="1432"/>
      <c r="CJ203" s="1432"/>
      <c r="CK203" s="1432"/>
      <c r="CL203" s="1432"/>
      <c r="CM203" s="1432"/>
      <c r="CN203" s="1432"/>
      <c r="CO203" s="1432"/>
    </row>
    <row r="204" spans="1:93" ht="28.2" customHeight="1" x14ac:dyDescent="0.3">
      <c r="A204"/>
      <c r="B204" s="7582" t="s">
        <v>3253</v>
      </c>
      <c r="C204" s="2384"/>
      <c r="D204" s="2384"/>
      <c r="E204" s="2384"/>
      <c r="F204" s="140"/>
      <c r="G204" s="140"/>
      <c r="H204" s="140"/>
      <c r="I204" s="165"/>
      <c r="J204" s="165"/>
      <c r="K204" s="165"/>
      <c r="L204" s="165"/>
      <c r="M204" s="165"/>
      <c r="N204" s="165"/>
      <c r="O204" s="165"/>
      <c r="P204" s="165"/>
      <c r="Q204" s="165"/>
      <c r="R204" s="165"/>
      <c r="S204" s="165"/>
      <c r="T204" s="165"/>
      <c r="U204" s="165"/>
      <c r="V204" s="165"/>
      <c r="W204" s="165"/>
      <c r="X204" s="165"/>
      <c r="Y204" s="165"/>
      <c r="Z204" s="165"/>
      <c r="AA204" s="165"/>
      <c r="AB204" s="165"/>
      <c r="AC204" s="165"/>
      <c r="AD204" s="165"/>
      <c r="AE204" s="165"/>
      <c r="AF204" s="165"/>
      <c r="AG204" s="165"/>
      <c r="AH204" s="165"/>
      <c r="AI204" s="165"/>
      <c r="AJ204" s="165"/>
      <c r="AK204" s="165"/>
      <c r="AL204" s="165"/>
      <c r="AM204" s="165"/>
      <c r="AN204" s="165"/>
      <c r="AO204" s="165"/>
      <c r="AP204" s="165"/>
      <c r="AQ204" s="165"/>
      <c r="AR204" s="165"/>
      <c r="AS204" s="165"/>
      <c r="AT204" s="165"/>
      <c r="AU204" s="165"/>
      <c r="AV204" s="165"/>
      <c r="AW204" s="165"/>
      <c r="AX204" s="165"/>
      <c r="AY204" s="165"/>
      <c r="AZ204" s="165"/>
      <c r="BA204" s="165"/>
      <c r="BB204" s="165"/>
      <c r="BC204" s="165"/>
      <c r="BD204" s="165"/>
      <c r="BE204" s="165"/>
      <c r="BF204" s="165"/>
      <c r="BG204" s="165"/>
      <c r="BH204" s="165"/>
      <c r="BI204" s="165"/>
      <c r="BJ204" s="165"/>
      <c r="BK204" s="165"/>
      <c r="BL204" s="165"/>
      <c r="BM204" s="165"/>
      <c r="BN204" s="165"/>
      <c r="BO204" s="165"/>
      <c r="BP204" s="165"/>
      <c r="BQ204" s="165"/>
      <c r="BR204" s="165"/>
      <c r="BS204" s="165"/>
      <c r="BT204" s="165"/>
      <c r="BU204" s="165"/>
      <c r="BV204" s="165"/>
      <c r="BW204" s="165"/>
      <c r="BX204" s="165"/>
      <c r="BY204" s="165"/>
      <c r="BZ204" s="1430"/>
      <c r="CA204" s="1430"/>
      <c r="CB204" s="1429"/>
      <c r="CC204" s="1429"/>
      <c r="CD204" s="1429"/>
      <c r="CE204" s="1429"/>
      <c r="CF204" s="1429"/>
      <c r="CG204" s="1429"/>
      <c r="CH204" s="1432"/>
      <c r="CI204" s="1432"/>
      <c r="CJ204" s="1432"/>
      <c r="CK204" s="1432"/>
      <c r="CL204" s="1432"/>
      <c r="CM204" s="1432"/>
      <c r="CN204" s="1432"/>
      <c r="CO204" s="1432"/>
    </row>
    <row r="205" spans="1:93" ht="22.2" customHeight="1" x14ac:dyDescent="0.3">
      <c r="A205"/>
      <c r="B205" s="7572" t="s">
        <v>3254</v>
      </c>
      <c r="C205" s="7573" t="s">
        <v>3434</v>
      </c>
      <c r="D205" s="7573" t="s">
        <v>374</v>
      </c>
      <c r="E205" s="7573" t="s">
        <v>3433</v>
      </c>
      <c r="F205" s="140"/>
      <c r="G205" s="140"/>
      <c r="H205" s="140"/>
      <c r="I205" s="165"/>
      <c r="J205" s="165"/>
      <c r="K205" s="165"/>
      <c r="L205" s="165"/>
      <c r="M205" s="165"/>
      <c r="N205" s="165"/>
      <c r="O205" s="165"/>
      <c r="P205" s="165"/>
      <c r="Q205" s="165"/>
      <c r="R205" s="165"/>
      <c r="S205" s="165"/>
      <c r="T205" s="165"/>
      <c r="U205" s="165"/>
      <c r="V205" s="165"/>
      <c r="W205" s="165"/>
      <c r="X205" s="165"/>
      <c r="Y205" s="165"/>
      <c r="Z205" s="165"/>
      <c r="AA205" s="165"/>
      <c r="AB205" s="165"/>
      <c r="AC205" s="165"/>
      <c r="AD205" s="165"/>
      <c r="AE205" s="165"/>
      <c r="AF205" s="165"/>
      <c r="AG205" s="165"/>
      <c r="AH205" s="165"/>
      <c r="AI205" s="165"/>
      <c r="AJ205" s="165"/>
      <c r="AK205" s="165"/>
      <c r="AL205" s="165"/>
      <c r="AM205" s="165"/>
      <c r="AN205" s="165"/>
      <c r="AO205" s="165"/>
      <c r="AP205" s="165"/>
      <c r="AQ205" s="165"/>
      <c r="AR205" s="165"/>
      <c r="AS205" s="165"/>
      <c r="AT205" s="165"/>
      <c r="AU205" s="165"/>
      <c r="AV205" s="165"/>
      <c r="AW205" s="165"/>
      <c r="AX205" s="165"/>
      <c r="AY205" s="165"/>
      <c r="AZ205" s="165"/>
      <c r="BA205" s="165"/>
      <c r="BB205" s="165"/>
      <c r="BC205" s="165"/>
      <c r="BD205" s="165"/>
      <c r="BE205" s="165"/>
      <c r="BF205" s="165"/>
      <c r="BG205" s="165"/>
      <c r="BH205" s="165"/>
      <c r="BI205" s="165"/>
      <c r="BJ205" s="165"/>
      <c r="BK205" s="165"/>
      <c r="BL205" s="165"/>
      <c r="BM205" s="165"/>
      <c r="BN205" s="165"/>
      <c r="BO205" s="165"/>
      <c r="BP205" s="165"/>
      <c r="BQ205" s="165"/>
      <c r="BR205" s="165"/>
      <c r="BS205" s="165"/>
      <c r="BT205" s="165"/>
      <c r="BU205" s="165"/>
      <c r="BV205" s="165"/>
      <c r="BW205" s="165"/>
      <c r="BX205" s="165"/>
      <c r="BY205" s="165"/>
      <c r="BZ205" s="1430"/>
      <c r="CA205" s="1430"/>
      <c r="CB205" s="1429"/>
      <c r="CC205" s="1429"/>
      <c r="CD205" s="1429"/>
      <c r="CE205" s="1429"/>
      <c r="CF205" s="1429"/>
      <c r="CG205" s="1429"/>
      <c r="CH205" s="1432"/>
      <c r="CI205" s="1432"/>
      <c r="CJ205" s="1432"/>
      <c r="CK205" s="1432"/>
      <c r="CL205" s="1432"/>
      <c r="CM205" s="1432"/>
      <c r="CN205" s="1432"/>
      <c r="CO205" s="1432"/>
    </row>
    <row r="206" spans="1:93" ht="16.2" customHeight="1" x14ac:dyDescent="0.3">
      <c r="A206" s="7320">
        <v>29101452</v>
      </c>
      <c r="B206" s="7583" t="s">
        <v>3436</v>
      </c>
      <c r="C206" s="7576" t="s">
        <v>5369</v>
      </c>
      <c r="D206" s="7576" t="s">
        <v>5370</v>
      </c>
      <c r="E206" s="7577" t="s">
        <v>5371</v>
      </c>
      <c r="F206" s="140"/>
      <c r="G206" s="140"/>
      <c r="H206" s="140"/>
      <c r="I206" s="165"/>
      <c r="J206" s="165"/>
      <c r="K206" s="165"/>
      <c r="L206" s="165"/>
      <c r="M206" s="165"/>
      <c r="N206" s="165"/>
      <c r="O206" s="165"/>
      <c r="P206" s="165"/>
      <c r="Q206" s="165"/>
      <c r="R206" s="165"/>
      <c r="S206" s="165"/>
      <c r="T206" s="165"/>
      <c r="U206" s="165"/>
      <c r="V206" s="165"/>
      <c r="W206" s="165"/>
      <c r="X206" s="165"/>
      <c r="Y206" s="165"/>
      <c r="Z206" s="165"/>
      <c r="AA206" s="165"/>
      <c r="AB206" s="165"/>
      <c r="AC206" s="165"/>
      <c r="AD206" s="165"/>
      <c r="AE206" s="165"/>
      <c r="AF206" s="165"/>
      <c r="AG206" s="165"/>
      <c r="AH206" s="165"/>
      <c r="AI206" s="165"/>
      <c r="AJ206" s="165"/>
      <c r="AK206" s="165"/>
      <c r="AL206" s="165"/>
      <c r="AM206" s="165"/>
      <c r="AN206" s="165"/>
      <c r="AO206" s="165"/>
      <c r="AP206" s="165"/>
      <c r="AQ206" s="165"/>
      <c r="AR206" s="165"/>
      <c r="AS206" s="165"/>
      <c r="AT206" s="165"/>
      <c r="AU206" s="165"/>
      <c r="AV206" s="165"/>
      <c r="AW206" s="165"/>
      <c r="AX206" s="165"/>
      <c r="AY206" s="165"/>
      <c r="AZ206" s="165"/>
      <c r="BA206" s="165"/>
      <c r="BB206" s="165"/>
      <c r="BC206" s="165"/>
      <c r="BD206" s="165"/>
      <c r="BE206" s="165"/>
      <c r="BF206" s="165"/>
      <c r="BG206" s="165"/>
      <c r="BH206" s="165"/>
      <c r="BI206" s="165"/>
      <c r="BJ206" s="165"/>
      <c r="BK206" s="165"/>
      <c r="BL206" s="165"/>
      <c r="BM206" s="165"/>
      <c r="BN206" s="165"/>
      <c r="BO206" s="165"/>
      <c r="BP206" s="165"/>
      <c r="BQ206" s="165"/>
      <c r="BR206" s="165"/>
      <c r="BS206" s="165"/>
      <c r="BT206" s="165"/>
      <c r="BU206" s="165"/>
      <c r="BV206" s="165"/>
      <c r="BW206" s="165"/>
      <c r="BX206" s="165"/>
      <c r="BY206" s="165"/>
      <c r="BZ206" s="1430"/>
      <c r="CA206" s="1430"/>
      <c r="CB206" s="1429"/>
      <c r="CC206" s="1429"/>
      <c r="CD206" s="1429"/>
      <c r="CE206" s="1429"/>
      <c r="CF206" s="1429"/>
      <c r="CG206" s="1429"/>
      <c r="CH206" s="1432"/>
      <c r="CI206" s="1432"/>
      <c r="CJ206" s="1432"/>
      <c r="CK206" s="1432"/>
      <c r="CL206" s="1432"/>
      <c r="CM206" s="1432"/>
      <c r="CN206" s="1432"/>
      <c r="CO206" s="1432"/>
    </row>
    <row r="207" spans="1:93" ht="16.2" customHeight="1" x14ac:dyDescent="0.3">
      <c r="A207" s="7320">
        <v>29101453</v>
      </c>
      <c r="B207" s="7584" t="s">
        <v>3437</v>
      </c>
      <c r="C207" s="7576" t="s">
        <v>5369</v>
      </c>
      <c r="D207" s="7576" t="s">
        <v>5370</v>
      </c>
      <c r="E207" s="7577" t="s">
        <v>5371</v>
      </c>
      <c r="F207" s="140"/>
      <c r="G207" s="140"/>
      <c r="H207" s="140"/>
      <c r="I207" s="165"/>
      <c r="J207" s="165"/>
      <c r="K207" s="165"/>
      <c r="L207" s="165"/>
      <c r="M207" s="165"/>
      <c r="N207" s="165"/>
      <c r="O207" s="165"/>
      <c r="P207" s="165"/>
      <c r="Q207" s="165"/>
      <c r="R207" s="165"/>
      <c r="S207" s="165"/>
      <c r="T207" s="165"/>
      <c r="U207" s="165"/>
      <c r="V207" s="165"/>
      <c r="W207" s="165"/>
      <c r="X207" s="165"/>
      <c r="Y207" s="165"/>
      <c r="Z207" s="165"/>
      <c r="AA207" s="165"/>
      <c r="AB207" s="165"/>
      <c r="AC207" s="165"/>
      <c r="AD207" s="165"/>
      <c r="AE207" s="165"/>
      <c r="AF207" s="165"/>
      <c r="AG207" s="165"/>
      <c r="AH207" s="165"/>
      <c r="AI207" s="165"/>
      <c r="AJ207" s="165"/>
      <c r="AK207" s="165"/>
      <c r="AL207" s="165"/>
      <c r="AM207" s="165"/>
      <c r="AN207" s="165"/>
      <c r="AO207" s="165"/>
      <c r="AP207" s="165"/>
      <c r="AQ207" s="165"/>
      <c r="AR207" s="165"/>
      <c r="AS207" s="165"/>
      <c r="AT207" s="165"/>
      <c r="AU207" s="165"/>
      <c r="AV207" s="165"/>
      <c r="AW207" s="165"/>
      <c r="AX207" s="165"/>
      <c r="AY207" s="165"/>
      <c r="AZ207" s="165"/>
      <c r="BA207" s="165"/>
      <c r="BB207" s="165"/>
      <c r="BC207" s="165"/>
      <c r="BD207" s="165"/>
      <c r="BE207" s="165"/>
      <c r="BF207" s="165"/>
      <c r="BG207" s="165"/>
      <c r="BH207" s="165"/>
      <c r="BI207" s="165"/>
      <c r="BJ207" s="165"/>
      <c r="BK207" s="165"/>
      <c r="BL207" s="165"/>
      <c r="BM207" s="165"/>
      <c r="BN207" s="165"/>
      <c r="BO207" s="165"/>
      <c r="BP207" s="165"/>
      <c r="BQ207" s="165"/>
      <c r="BR207" s="165"/>
      <c r="BS207" s="165"/>
      <c r="BT207" s="165"/>
      <c r="BU207" s="165"/>
      <c r="BV207" s="165"/>
      <c r="BW207" s="165"/>
      <c r="BX207" s="165"/>
      <c r="BY207" s="165"/>
      <c r="BZ207" s="1430"/>
      <c r="CA207" s="1430"/>
      <c r="CB207" s="1429"/>
      <c r="CC207" s="1429"/>
      <c r="CD207" s="1429"/>
      <c r="CE207" s="1429"/>
      <c r="CF207" s="1429"/>
      <c r="CG207" s="1429"/>
      <c r="CH207" s="1432"/>
      <c r="CI207" s="1432"/>
      <c r="CJ207" s="1432"/>
      <c r="CK207" s="1432"/>
      <c r="CL207" s="1432"/>
      <c r="CM207" s="1432"/>
      <c r="CN207" s="1432"/>
      <c r="CO207" s="1432"/>
    </row>
    <row r="208" spans="1:93" ht="16.2" customHeight="1" x14ac:dyDescent="0.3">
      <c r="A208" s="7320">
        <v>29101454</v>
      </c>
      <c r="B208" s="7585" t="s">
        <v>3438</v>
      </c>
      <c r="C208" s="7576" t="s">
        <v>5369</v>
      </c>
      <c r="D208" s="7576" t="s">
        <v>5370</v>
      </c>
      <c r="E208" s="7586" t="s">
        <v>5371</v>
      </c>
      <c r="F208" s="140"/>
      <c r="G208" s="140"/>
      <c r="H208" s="140"/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165"/>
      <c r="U208" s="165"/>
      <c r="V208" s="165"/>
      <c r="W208" s="165"/>
      <c r="X208" s="165"/>
      <c r="Y208" s="165"/>
      <c r="Z208" s="165"/>
      <c r="AA208" s="165"/>
      <c r="AB208" s="165"/>
      <c r="AC208" s="165"/>
      <c r="AD208" s="165"/>
      <c r="AE208" s="165"/>
      <c r="AF208" s="165"/>
      <c r="AG208" s="165"/>
      <c r="AH208" s="165"/>
      <c r="AI208" s="165"/>
      <c r="AJ208" s="165"/>
      <c r="AK208" s="165"/>
      <c r="AL208" s="165"/>
      <c r="AM208" s="165"/>
      <c r="AN208" s="165"/>
      <c r="AO208" s="165"/>
      <c r="AP208" s="165"/>
      <c r="AQ208" s="165"/>
      <c r="AR208" s="165"/>
      <c r="AS208" s="165"/>
      <c r="AT208" s="165"/>
      <c r="AU208" s="165"/>
      <c r="AV208" s="165"/>
      <c r="AW208" s="165"/>
      <c r="AX208" s="165"/>
      <c r="AY208" s="165"/>
      <c r="AZ208" s="165"/>
      <c r="BA208" s="165"/>
      <c r="BB208" s="165"/>
      <c r="BC208" s="165"/>
      <c r="BD208" s="165"/>
      <c r="BE208" s="165"/>
      <c r="BF208" s="165"/>
      <c r="BG208" s="165"/>
      <c r="BH208" s="165"/>
      <c r="BI208" s="165"/>
      <c r="BJ208" s="165"/>
      <c r="BK208" s="165"/>
      <c r="BL208" s="165"/>
      <c r="BM208" s="165"/>
      <c r="BN208" s="165"/>
      <c r="BO208" s="165"/>
      <c r="BP208" s="165"/>
      <c r="BQ208" s="165"/>
      <c r="BR208" s="165"/>
      <c r="BS208" s="165"/>
      <c r="BT208" s="165"/>
      <c r="BU208" s="165"/>
      <c r="BV208" s="165"/>
      <c r="BW208" s="165"/>
      <c r="BX208" s="165"/>
      <c r="BY208" s="165"/>
      <c r="BZ208" s="1430"/>
      <c r="CA208" s="1430"/>
      <c r="CB208" s="1429"/>
      <c r="CC208" s="1429"/>
      <c r="CD208" s="1429"/>
      <c r="CE208" s="1429"/>
      <c r="CF208" s="1429"/>
      <c r="CG208" s="1429"/>
      <c r="CH208" s="1432"/>
      <c r="CI208" s="1432"/>
      <c r="CJ208" s="1432"/>
      <c r="CK208" s="1432"/>
      <c r="CL208" s="1432"/>
      <c r="CM208" s="1432"/>
      <c r="CN208" s="1432"/>
      <c r="CO208" s="1432"/>
    </row>
    <row r="209" spans="1:93" ht="16.2" customHeight="1" x14ac:dyDescent="0.3">
      <c r="A209" s="7519"/>
      <c r="B209" s="7587" t="s">
        <v>44</v>
      </c>
      <c r="C209" s="7588">
        <f>+SUM(C206:C208)</f>
        <v>0</v>
      </c>
      <c r="D209" s="7588">
        <f>+SUM(D206:D208)</f>
        <v>0</v>
      </c>
      <c r="E209" s="7588">
        <f>+SUM(E206:E208)</f>
        <v>0</v>
      </c>
      <c r="G209" s="140"/>
      <c r="H209" s="140"/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165"/>
      <c r="U209" s="165"/>
      <c r="V209" s="165"/>
      <c r="W209" s="165"/>
      <c r="X209" s="165"/>
      <c r="Y209" s="165"/>
      <c r="Z209" s="165"/>
      <c r="AA209" s="165"/>
      <c r="AB209" s="165"/>
      <c r="AC209" s="165"/>
      <c r="AD209" s="165"/>
      <c r="AE209" s="165"/>
      <c r="AF209" s="165"/>
      <c r="AG209" s="165"/>
      <c r="AH209" s="165"/>
      <c r="AI209" s="165"/>
      <c r="AJ209" s="165"/>
      <c r="AK209" s="165"/>
      <c r="AL209" s="165"/>
      <c r="AM209" s="165"/>
      <c r="AN209" s="165"/>
      <c r="AO209" s="165"/>
      <c r="AP209" s="165"/>
      <c r="AQ209" s="165"/>
      <c r="AR209" s="165"/>
      <c r="AS209" s="165"/>
      <c r="AT209" s="165"/>
      <c r="AU209" s="165"/>
      <c r="AV209" s="165"/>
      <c r="AW209" s="165"/>
      <c r="AX209" s="165"/>
      <c r="AY209" s="165"/>
      <c r="AZ209" s="165"/>
      <c r="BA209" s="165"/>
      <c r="BB209" s="165"/>
      <c r="BC209" s="165"/>
      <c r="BD209" s="165"/>
      <c r="BE209" s="165"/>
      <c r="BF209" s="165"/>
      <c r="BG209" s="165"/>
      <c r="BH209" s="165"/>
      <c r="BI209" s="165"/>
      <c r="BJ209" s="165"/>
      <c r="BK209" s="165"/>
      <c r="BL209" s="165"/>
      <c r="BM209" s="165"/>
      <c r="BN209" s="165"/>
      <c r="BO209" s="165"/>
      <c r="BP209" s="165"/>
      <c r="BQ209" s="165"/>
      <c r="BR209" s="165"/>
      <c r="BS209" s="165"/>
      <c r="BT209" s="165"/>
      <c r="BU209" s="165"/>
      <c r="BV209" s="165"/>
      <c r="BW209" s="165"/>
      <c r="BX209" s="165"/>
      <c r="BY209" s="165"/>
      <c r="BZ209" s="1430"/>
      <c r="CA209" s="1430"/>
      <c r="CB209" s="1429"/>
      <c r="CC209" s="1429"/>
      <c r="CD209" s="1429"/>
      <c r="CE209" s="1429"/>
      <c r="CF209" s="1429"/>
      <c r="CG209" s="1429"/>
      <c r="CH209" s="1432"/>
      <c r="CI209" s="1432"/>
      <c r="CJ209" s="1432"/>
      <c r="CK209" s="1432"/>
      <c r="CL209" s="1432"/>
      <c r="CM209" s="1432"/>
      <c r="CN209" s="1432"/>
      <c r="CO209" s="1432"/>
    </row>
    <row r="210" spans="1:93" ht="28.2" customHeight="1" x14ac:dyDescent="0.3">
      <c r="A210"/>
      <c r="B210" s="7582" t="s">
        <v>3236</v>
      </c>
      <c r="C210" s="2384"/>
      <c r="D210" s="2384"/>
      <c r="E210" s="2384"/>
      <c r="F210" s="2384"/>
      <c r="G210" s="140"/>
      <c r="H210" s="140"/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165"/>
      <c r="U210" s="165"/>
      <c r="V210" s="165"/>
      <c r="W210" s="165"/>
      <c r="X210" s="165"/>
      <c r="Y210" s="165"/>
      <c r="Z210" s="165"/>
      <c r="AA210" s="165"/>
      <c r="AB210" s="165"/>
      <c r="AC210" s="165"/>
      <c r="AD210" s="165"/>
      <c r="AE210" s="165"/>
      <c r="AF210" s="165"/>
      <c r="AG210" s="165"/>
      <c r="AH210" s="165"/>
      <c r="AI210" s="165"/>
      <c r="AJ210" s="165"/>
      <c r="AK210" s="165"/>
      <c r="AL210" s="165"/>
      <c r="AM210" s="165"/>
      <c r="AN210" s="165"/>
      <c r="AO210" s="165"/>
      <c r="AP210" s="165"/>
      <c r="AQ210" s="165"/>
      <c r="AR210" s="165"/>
      <c r="AS210" s="165"/>
      <c r="AT210" s="165"/>
      <c r="AU210" s="165"/>
      <c r="AV210" s="165"/>
      <c r="AW210" s="165"/>
      <c r="AX210" s="165"/>
      <c r="AY210" s="165"/>
      <c r="AZ210" s="165"/>
      <c r="BA210" s="165"/>
      <c r="BB210" s="165"/>
      <c r="BC210" s="165"/>
      <c r="BD210" s="165"/>
      <c r="BE210" s="165"/>
      <c r="BF210" s="165"/>
      <c r="BG210" s="165"/>
      <c r="BH210" s="165"/>
      <c r="BI210" s="165"/>
      <c r="BJ210" s="165"/>
      <c r="BK210" s="165"/>
      <c r="BL210" s="165"/>
      <c r="BM210" s="165"/>
      <c r="BN210" s="165"/>
      <c r="BO210" s="165"/>
      <c r="BP210" s="165"/>
      <c r="BQ210" s="165"/>
      <c r="BR210" s="165"/>
      <c r="BS210" s="165"/>
      <c r="BT210" s="165"/>
      <c r="BU210" s="165"/>
      <c r="BV210" s="165"/>
      <c r="BW210" s="165"/>
      <c r="BX210" s="165"/>
      <c r="BY210" s="165"/>
      <c r="BZ210" s="1430"/>
      <c r="CA210" s="1430"/>
      <c r="CB210" s="1429"/>
      <c r="CC210" s="1429"/>
      <c r="CD210" s="1429"/>
      <c r="CE210" s="1429"/>
      <c r="CF210" s="1429"/>
      <c r="CG210" s="1429"/>
      <c r="CH210" s="1432"/>
      <c r="CI210" s="1432"/>
      <c r="CJ210" s="1432"/>
      <c r="CK210" s="1432"/>
      <c r="CL210" s="1432"/>
      <c r="CM210" s="1432"/>
      <c r="CN210" s="1432"/>
      <c r="CO210" s="1432"/>
    </row>
    <row r="211" spans="1:93" ht="27.6" customHeight="1" x14ac:dyDescent="0.3">
      <c r="A211"/>
      <c r="B211" s="7573" t="s">
        <v>3198</v>
      </c>
      <c r="C211" s="7573" t="s">
        <v>3435</v>
      </c>
      <c r="D211" s="7573" t="s">
        <v>3434</v>
      </c>
      <c r="E211" s="7573" t="s">
        <v>374</v>
      </c>
      <c r="F211" s="7573" t="s">
        <v>112</v>
      </c>
      <c r="G211" s="140"/>
      <c r="H211" s="140"/>
      <c r="I211" s="165"/>
      <c r="J211" s="165"/>
      <c r="K211" s="165"/>
      <c r="L211" s="165"/>
      <c r="M211" s="165"/>
      <c r="N211" s="165"/>
      <c r="O211" s="165"/>
      <c r="P211" s="165"/>
      <c r="Q211" s="165"/>
      <c r="R211" s="165"/>
      <c r="S211" s="165"/>
      <c r="T211" s="165"/>
      <c r="U211" s="165"/>
      <c r="V211" s="165"/>
      <c r="W211" s="165"/>
      <c r="X211" s="165"/>
      <c r="Y211" s="165"/>
      <c r="Z211" s="165"/>
      <c r="AA211" s="165"/>
      <c r="AB211" s="165"/>
      <c r="AC211" s="165"/>
      <c r="AD211" s="165"/>
      <c r="AE211" s="165"/>
      <c r="AF211" s="165"/>
      <c r="AG211" s="165"/>
      <c r="AH211" s="165"/>
      <c r="AI211" s="165"/>
      <c r="AJ211" s="165"/>
      <c r="AK211" s="165"/>
      <c r="AL211" s="165"/>
      <c r="AM211" s="165"/>
      <c r="AN211" s="165"/>
      <c r="AO211" s="165"/>
      <c r="AP211" s="165"/>
      <c r="AQ211" s="165"/>
      <c r="AR211" s="165"/>
      <c r="AS211" s="165"/>
      <c r="AT211" s="165"/>
      <c r="AU211" s="165"/>
      <c r="AV211" s="165"/>
      <c r="AW211" s="165"/>
      <c r="AX211" s="165"/>
      <c r="AY211" s="165"/>
      <c r="AZ211" s="165"/>
      <c r="BA211" s="165"/>
      <c r="BB211" s="165"/>
      <c r="BC211" s="165"/>
      <c r="BD211" s="165"/>
      <c r="BE211" s="165"/>
      <c r="BF211" s="165"/>
      <c r="BG211" s="165"/>
      <c r="BH211" s="165"/>
      <c r="BI211" s="165"/>
      <c r="BJ211" s="165"/>
      <c r="BK211" s="165"/>
      <c r="BL211" s="165"/>
      <c r="BM211" s="165"/>
      <c r="BN211" s="165"/>
      <c r="BO211" s="165"/>
      <c r="BP211" s="165"/>
      <c r="BQ211" s="165"/>
      <c r="BR211" s="165"/>
      <c r="BS211" s="165"/>
      <c r="BT211" s="165"/>
      <c r="BU211" s="165"/>
      <c r="BV211" s="165"/>
      <c r="BW211" s="165"/>
      <c r="BX211" s="165"/>
      <c r="BY211" s="165"/>
      <c r="BZ211" s="1430"/>
      <c r="CA211" s="1430"/>
      <c r="CB211" s="1429"/>
      <c r="CC211" s="1429"/>
      <c r="CD211" s="1429"/>
      <c r="CE211" s="1429"/>
      <c r="CF211" s="1429"/>
      <c r="CG211" s="1429"/>
      <c r="CH211" s="1432"/>
      <c r="CI211" s="1432"/>
      <c r="CJ211" s="1432"/>
      <c r="CK211" s="1432"/>
      <c r="CL211" s="1432"/>
      <c r="CM211" s="1432"/>
      <c r="CN211" s="1432"/>
      <c r="CO211" s="1432"/>
    </row>
    <row r="212" spans="1:93" ht="16.2" customHeight="1" x14ac:dyDescent="0.3">
      <c r="A212" s="7320">
        <v>29101455</v>
      </c>
      <c r="B212" s="10510" t="s">
        <v>3237</v>
      </c>
      <c r="C212" s="7589" t="s">
        <v>3238</v>
      </c>
      <c r="D212" s="7576" t="s">
        <v>5369</v>
      </c>
      <c r="E212" s="7576" t="s">
        <v>5370</v>
      </c>
      <c r="F212" s="7590" t="s">
        <v>5371</v>
      </c>
      <c r="G212" s="140"/>
      <c r="H212" s="140"/>
      <c r="I212" s="165"/>
      <c r="J212" s="165"/>
      <c r="K212" s="165"/>
      <c r="L212" s="165"/>
      <c r="M212" s="165"/>
      <c r="N212" s="165"/>
      <c r="O212" s="165"/>
      <c r="P212" s="165"/>
      <c r="Q212" s="165"/>
      <c r="R212" s="165"/>
      <c r="S212" s="165"/>
      <c r="T212" s="165"/>
      <c r="U212" s="165"/>
      <c r="V212" s="165"/>
      <c r="W212" s="165"/>
      <c r="X212" s="165"/>
      <c r="Y212" s="165"/>
      <c r="Z212" s="165"/>
      <c r="AA212" s="165"/>
      <c r="AB212" s="165"/>
      <c r="AC212" s="165"/>
      <c r="AD212" s="165"/>
      <c r="AE212" s="165"/>
      <c r="AF212" s="165"/>
      <c r="AG212" s="165"/>
      <c r="AH212" s="165"/>
      <c r="AI212" s="165"/>
      <c r="AJ212" s="165"/>
      <c r="AK212" s="165"/>
      <c r="AL212" s="165"/>
      <c r="AM212" s="165"/>
      <c r="AN212" s="165"/>
      <c r="AO212" s="165"/>
      <c r="AP212" s="165"/>
      <c r="AQ212" s="165"/>
      <c r="AR212" s="165"/>
      <c r="AS212" s="165"/>
      <c r="AT212" s="165"/>
      <c r="AU212" s="165"/>
      <c r="AV212" s="165"/>
      <c r="AW212" s="165"/>
      <c r="AX212" s="165"/>
      <c r="AY212" s="165"/>
      <c r="AZ212" s="165"/>
      <c r="BA212" s="165"/>
      <c r="BB212" s="165"/>
      <c r="BC212" s="165"/>
      <c r="BD212" s="165"/>
      <c r="BE212" s="165"/>
      <c r="BF212" s="165"/>
      <c r="BG212" s="165"/>
      <c r="BH212" s="165"/>
      <c r="BI212" s="165"/>
      <c r="BJ212" s="165"/>
      <c r="BK212" s="165"/>
      <c r="BL212" s="165"/>
      <c r="BM212" s="165"/>
      <c r="BN212" s="165"/>
      <c r="BO212" s="165"/>
      <c r="BP212" s="165"/>
      <c r="BQ212" s="165"/>
      <c r="BR212" s="165"/>
      <c r="BS212" s="165"/>
      <c r="BT212" s="165"/>
      <c r="BU212" s="165"/>
      <c r="BV212" s="165"/>
      <c r="BW212" s="165"/>
      <c r="BX212" s="165"/>
      <c r="BY212" s="165"/>
      <c r="BZ212" s="1430"/>
      <c r="CA212" s="1430"/>
      <c r="CB212" s="1429"/>
      <c r="CC212" s="1429"/>
      <c r="CD212" s="1429"/>
      <c r="CE212" s="1429"/>
      <c r="CF212" s="1429"/>
      <c r="CG212" s="1429"/>
      <c r="CH212" s="1432"/>
      <c r="CI212" s="1432"/>
      <c r="CJ212" s="1432"/>
      <c r="CK212" s="1432"/>
      <c r="CL212" s="1432"/>
      <c r="CM212" s="1432"/>
      <c r="CN212" s="1432"/>
      <c r="CO212" s="1432"/>
    </row>
    <row r="213" spans="1:93" ht="16.2" customHeight="1" x14ac:dyDescent="0.3">
      <c r="A213" s="7320">
        <v>29101456</v>
      </c>
      <c r="B213" s="10511"/>
      <c r="C213" s="7591" t="s">
        <v>3239</v>
      </c>
      <c r="D213" s="7576" t="s">
        <v>5369</v>
      </c>
      <c r="E213" s="7576" t="s">
        <v>5370</v>
      </c>
      <c r="F213" s="7592" t="s">
        <v>5371</v>
      </c>
      <c r="G213" s="140"/>
      <c r="H213" s="140"/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165"/>
      <c r="U213" s="165"/>
      <c r="V213" s="165"/>
      <c r="W213" s="165"/>
      <c r="X213" s="165"/>
      <c r="Y213" s="165"/>
      <c r="Z213" s="165"/>
      <c r="AA213" s="165"/>
      <c r="AB213" s="165"/>
      <c r="AC213" s="165"/>
      <c r="AD213" s="165"/>
      <c r="AE213" s="165"/>
      <c r="AF213" s="165"/>
      <c r="AG213" s="165"/>
      <c r="AH213" s="165"/>
      <c r="AI213" s="165"/>
      <c r="AJ213" s="165"/>
      <c r="AK213" s="165"/>
      <c r="AL213" s="165"/>
      <c r="AM213" s="165"/>
      <c r="AN213" s="165"/>
      <c r="AO213" s="165"/>
      <c r="AP213" s="165"/>
      <c r="AQ213" s="165"/>
      <c r="AR213" s="165"/>
      <c r="AS213" s="165"/>
      <c r="AT213" s="165"/>
      <c r="AU213" s="165"/>
      <c r="AV213" s="165"/>
      <c r="AW213" s="165"/>
      <c r="AX213" s="165"/>
      <c r="AY213" s="165"/>
      <c r="AZ213" s="165"/>
      <c r="BA213" s="165"/>
      <c r="BB213" s="165"/>
      <c r="BC213" s="165"/>
      <c r="BD213" s="165"/>
      <c r="BE213" s="165"/>
      <c r="BF213" s="165"/>
      <c r="BG213" s="165"/>
      <c r="BH213" s="165"/>
      <c r="BI213" s="165"/>
      <c r="BJ213" s="165"/>
      <c r="BK213" s="165"/>
      <c r="BL213" s="165"/>
      <c r="BM213" s="165"/>
      <c r="BN213" s="165"/>
      <c r="BO213" s="165"/>
      <c r="BP213" s="165"/>
      <c r="BQ213" s="165"/>
      <c r="BR213" s="165"/>
      <c r="BS213" s="165"/>
      <c r="BT213" s="165"/>
      <c r="BU213" s="165"/>
      <c r="BV213" s="165"/>
      <c r="BW213" s="165"/>
      <c r="BX213" s="165"/>
      <c r="BY213" s="165"/>
      <c r="BZ213" s="1430"/>
      <c r="CA213" s="1430"/>
      <c r="CB213" s="1429"/>
      <c r="CC213" s="1429"/>
      <c r="CD213" s="1429"/>
      <c r="CE213" s="1429"/>
      <c r="CF213" s="1429"/>
      <c r="CG213" s="1429"/>
      <c r="CH213" s="1432"/>
      <c r="CI213" s="1432"/>
      <c r="CJ213" s="1432"/>
      <c r="CK213" s="1432"/>
      <c r="CL213" s="1432"/>
      <c r="CM213" s="1432"/>
      <c r="CN213" s="1432"/>
      <c r="CO213" s="1432"/>
    </row>
    <row r="214" spans="1:93" ht="16.2" customHeight="1" x14ac:dyDescent="0.3">
      <c r="A214" s="7320">
        <v>29101457</v>
      </c>
      <c r="B214" s="10511"/>
      <c r="C214" s="7593" t="s">
        <v>3240</v>
      </c>
      <c r="D214" s="7594" t="s">
        <v>5369</v>
      </c>
      <c r="E214" s="7594" t="s">
        <v>5370</v>
      </c>
      <c r="F214" s="7577" t="s">
        <v>5371</v>
      </c>
      <c r="G214" s="140"/>
      <c r="H214" s="140"/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165"/>
      <c r="U214" s="165"/>
      <c r="V214" s="165"/>
      <c r="W214" s="165"/>
      <c r="X214" s="165"/>
      <c r="Y214" s="165"/>
      <c r="Z214" s="165"/>
      <c r="AA214" s="165"/>
      <c r="AB214" s="165"/>
      <c r="AC214" s="165"/>
      <c r="AD214" s="165"/>
      <c r="AE214" s="165"/>
      <c r="AF214" s="165"/>
      <c r="AG214" s="165"/>
      <c r="AH214" s="165"/>
      <c r="AI214" s="165"/>
      <c r="AJ214" s="165"/>
      <c r="AK214" s="165"/>
      <c r="AL214" s="165"/>
      <c r="AM214" s="165"/>
      <c r="AN214" s="165"/>
      <c r="AO214" s="165"/>
      <c r="AP214" s="165"/>
      <c r="AQ214" s="165"/>
      <c r="AR214" s="165"/>
      <c r="AS214" s="165"/>
      <c r="AT214" s="165"/>
      <c r="AU214" s="165"/>
      <c r="AV214" s="165"/>
      <c r="AW214" s="165"/>
      <c r="AX214" s="165"/>
      <c r="AY214" s="165"/>
      <c r="AZ214" s="165"/>
      <c r="BA214" s="165"/>
      <c r="BB214" s="165"/>
      <c r="BC214" s="165"/>
      <c r="BD214" s="165"/>
      <c r="BE214" s="165"/>
      <c r="BF214" s="165"/>
      <c r="BG214" s="165"/>
      <c r="BH214" s="165"/>
      <c r="BI214" s="165"/>
      <c r="BJ214" s="165"/>
      <c r="BK214" s="165"/>
      <c r="BL214" s="165"/>
      <c r="BM214" s="165"/>
      <c r="BN214" s="165"/>
      <c r="BO214" s="165"/>
      <c r="BP214" s="165"/>
      <c r="BQ214" s="165"/>
      <c r="BR214" s="165"/>
      <c r="BS214" s="165"/>
      <c r="BT214" s="165"/>
      <c r="BU214" s="165"/>
      <c r="BV214" s="165"/>
      <c r="BW214" s="165"/>
      <c r="BX214" s="165"/>
      <c r="BY214" s="165"/>
      <c r="BZ214" s="1430"/>
      <c r="CA214" s="1430"/>
      <c r="CB214" s="1429"/>
      <c r="CC214" s="1429"/>
      <c r="CD214" s="1429"/>
      <c r="CE214" s="1429"/>
      <c r="CF214" s="1429"/>
      <c r="CG214" s="1429"/>
      <c r="CH214" s="1432"/>
      <c r="CI214" s="1432"/>
      <c r="CJ214" s="1432"/>
      <c r="CK214" s="1432"/>
      <c r="CL214" s="1432"/>
      <c r="CM214" s="1432"/>
      <c r="CN214" s="1432"/>
      <c r="CO214" s="1432"/>
    </row>
    <row r="215" spans="1:93" ht="16.2" customHeight="1" x14ac:dyDescent="0.3">
      <c r="A215" s="7320">
        <v>29101458</v>
      </c>
      <c r="B215" s="10512"/>
      <c r="C215" s="7595" t="s">
        <v>3241</v>
      </c>
      <c r="D215" s="7596" t="s">
        <v>5369</v>
      </c>
      <c r="E215" s="7596" t="s">
        <v>5370</v>
      </c>
      <c r="F215" s="7586" t="s">
        <v>5371</v>
      </c>
      <c r="G215" s="140"/>
      <c r="H215" s="140"/>
      <c r="I215" s="165"/>
      <c r="J215" s="165"/>
      <c r="K215" s="165"/>
      <c r="L215" s="165"/>
      <c r="M215" s="165"/>
      <c r="N215" s="165"/>
      <c r="O215" s="165"/>
      <c r="P215" s="165"/>
      <c r="Q215" s="165"/>
      <c r="R215" s="165"/>
      <c r="S215" s="165"/>
      <c r="T215" s="165"/>
      <c r="U215" s="165"/>
      <c r="V215" s="165"/>
      <c r="W215" s="165"/>
      <c r="X215" s="165"/>
      <c r="Y215" s="165"/>
      <c r="Z215" s="165"/>
      <c r="AA215" s="165"/>
      <c r="AB215" s="165"/>
      <c r="AC215" s="165"/>
      <c r="AD215" s="165"/>
      <c r="AE215" s="165"/>
      <c r="AF215" s="165"/>
      <c r="AG215" s="165"/>
      <c r="AH215" s="165"/>
      <c r="AI215" s="165"/>
      <c r="AJ215" s="165"/>
      <c r="AK215" s="165"/>
      <c r="AL215" s="165"/>
      <c r="AM215" s="165"/>
      <c r="AN215" s="165"/>
      <c r="AO215" s="165"/>
      <c r="AP215" s="165"/>
      <c r="AQ215" s="165"/>
      <c r="AR215" s="165"/>
      <c r="AS215" s="165"/>
      <c r="AT215" s="165"/>
      <c r="AU215" s="165"/>
      <c r="AV215" s="165"/>
      <c r="AW215" s="165"/>
      <c r="AX215" s="165"/>
      <c r="AY215" s="165"/>
      <c r="AZ215" s="165"/>
      <c r="BA215" s="165"/>
      <c r="BB215" s="165"/>
      <c r="BC215" s="165"/>
      <c r="BD215" s="165"/>
      <c r="BE215" s="165"/>
      <c r="BF215" s="165"/>
      <c r="BG215" s="165"/>
      <c r="BH215" s="165"/>
      <c r="BI215" s="165"/>
      <c r="BJ215" s="165"/>
      <c r="BK215" s="165"/>
      <c r="BL215" s="165"/>
      <c r="BM215" s="165"/>
      <c r="BN215" s="165"/>
      <c r="BO215" s="165"/>
      <c r="BP215" s="165"/>
      <c r="BQ215" s="165"/>
      <c r="BR215" s="165"/>
      <c r="BS215" s="165"/>
      <c r="BT215" s="165"/>
      <c r="BU215" s="165"/>
      <c r="BV215" s="165"/>
      <c r="BW215" s="165"/>
      <c r="BX215" s="165"/>
      <c r="BY215" s="165"/>
      <c r="BZ215" s="1430"/>
      <c r="CA215" s="1430"/>
      <c r="CB215" s="1429"/>
      <c r="CC215" s="1429"/>
      <c r="CD215" s="1429"/>
      <c r="CE215" s="1429"/>
      <c r="CF215" s="1429"/>
      <c r="CG215" s="1429"/>
      <c r="CH215" s="1432"/>
      <c r="CI215" s="1432"/>
      <c r="CJ215" s="1432"/>
      <c r="CK215" s="1432"/>
      <c r="CL215" s="1432"/>
      <c r="CM215" s="1432"/>
      <c r="CN215" s="1432"/>
      <c r="CO215" s="1432"/>
    </row>
    <row r="216" spans="1:93" ht="16.2" customHeight="1" x14ac:dyDescent="0.3">
      <c r="A216" s="7320">
        <v>29101459</v>
      </c>
      <c r="B216" s="7573" t="s">
        <v>3242</v>
      </c>
      <c r="C216" s="7573" t="s">
        <v>3243</v>
      </c>
      <c r="D216" s="7597" t="s">
        <v>5369</v>
      </c>
      <c r="E216" s="7597" t="s">
        <v>5370</v>
      </c>
      <c r="F216" s="7598" t="s">
        <v>5371</v>
      </c>
      <c r="G216" s="140"/>
      <c r="H216" s="140"/>
      <c r="I216" s="165"/>
      <c r="J216" s="165"/>
      <c r="K216" s="165"/>
      <c r="L216" s="165"/>
      <c r="M216" s="165"/>
      <c r="N216" s="165"/>
      <c r="O216" s="165"/>
      <c r="P216" s="165"/>
      <c r="Q216" s="165"/>
      <c r="R216" s="165"/>
      <c r="S216" s="165"/>
      <c r="T216" s="165"/>
      <c r="U216" s="165"/>
      <c r="V216" s="165"/>
      <c r="W216" s="165"/>
      <c r="X216" s="165"/>
      <c r="Y216" s="165"/>
      <c r="Z216" s="165"/>
      <c r="AA216" s="165"/>
      <c r="AB216" s="165"/>
      <c r="AC216" s="165"/>
      <c r="AD216" s="165"/>
      <c r="AE216" s="165"/>
      <c r="AF216" s="165"/>
      <c r="AG216" s="165"/>
      <c r="AH216" s="165"/>
      <c r="AI216" s="165"/>
      <c r="AJ216" s="165"/>
      <c r="AK216" s="165"/>
      <c r="AL216" s="165"/>
      <c r="AM216" s="165"/>
      <c r="AN216" s="165"/>
      <c r="AO216" s="165"/>
      <c r="AP216" s="165"/>
      <c r="AQ216" s="165"/>
      <c r="AR216" s="165"/>
      <c r="AS216" s="165"/>
      <c r="AT216" s="165"/>
      <c r="AU216" s="165"/>
      <c r="AV216" s="165"/>
      <c r="AW216" s="165"/>
      <c r="AX216" s="165"/>
      <c r="AY216" s="165"/>
      <c r="AZ216" s="165"/>
      <c r="BA216" s="165"/>
      <c r="BB216" s="165"/>
      <c r="BC216" s="165"/>
      <c r="BD216" s="165"/>
      <c r="BE216" s="165"/>
      <c r="BF216" s="165"/>
      <c r="BG216" s="165"/>
      <c r="BH216" s="165"/>
      <c r="BI216" s="165"/>
      <c r="BJ216" s="165"/>
      <c r="BK216" s="165"/>
      <c r="BL216" s="165"/>
      <c r="BM216" s="165"/>
      <c r="BN216" s="165"/>
      <c r="BO216" s="165"/>
      <c r="BP216" s="165"/>
      <c r="BQ216" s="165"/>
      <c r="BR216" s="165"/>
      <c r="BS216" s="165"/>
      <c r="BT216" s="165"/>
      <c r="BU216" s="165"/>
      <c r="BV216" s="165"/>
      <c r="BW216" s="165"/>
      <c r="BX216" s="165"/>
      <c r="BY216" s="165"/>
      <c r="BZ216" s="1430"/>
      <c r="CA216" s="1430"/>
      <c r="CB216" s="1429"/>
      <c r="CC216" s="1429"/>
      <c r="CD216" s="1429"/>
      <c r="CE216" s="1429"/>
      <c r="CF216" s="1429"/>
      <c r="CG216" s="1429"/>
      <c r="CH216" s="1432"/>
      <c r="CI216" s="1432"/>
      <c r="CJ216" s="1432"/>
      <c r="CK216" s="1432"/>
      <c r="CL216" s="1432"/>
      <c r="CM216" s="1432"/>
      <c r="CN216" s="1432"/>
      <c r="CO216" s="1432"/>
    </row>
    <row r="217" spans="1:93" ht="16.2" customHeight="1" x14ac:dyDescent="0.3">
      <c r="A217" s="7320">
        <v>29101460</v>
      </c>
      <c r="B217" s="10510" t="s">
        <v>3201</v>
      </c>
      <c r="C217" s="7589" t="s">
        <v>3244</v>
      </c>
      <c r="D217" s="7599" t="s">
        <v>5369</v>
      </c>
      <c r="E217" s="7599" t="s">
        <v>5370</v>
      </c>
      <c r="F217" s="7590" t="s">
        <v>5371</v>
      </c>
      <c r="G217" s="140"/>
      <c r="H217" s="140"/>
      <c r="I217" s="165"/>
      <c r="J217" s="165"/>
      <c r="K217" s="165"/>
      <c r="L217" s="165"/>
      <c r="M217" s="165"/>
      <c r="N217" s="165"/>
      <c r="O217" s="165"/>
      <c r="P217" s="165"/>
      <c r="Q217" s="165"/>
      <c r="R217" s="165"/>
      <c r="S217" s="165"/>
      <c r="T217" s="165"/>
      <c r="U217" s="165"/>
      <c r="V217" s="165"/>
      <c r="W217" s="165"/>
      <c r="X217" s="165"/>
      <c r="Y217" s="165"/>
      <c r="Z217" s="165"/>
      <c r="AA217" s="165"/>
      <c r="AB217" s="165"/>
      <c r="AC217" s="165"/>
      <c r="AD217" s="165"/>
      <c r="AE217" s="165"/>
      <c r="AF217" s="165"/>
      <c r="AG217" s="165"/>
      <c r="AH217" s="165"/>
      <c r="AI217" s="165"/>
      <c r="AJ217" s="165"/>
      <c r="AK217" s="165"/>
      <c r="AL217" s="165"/>
      <c r="AM217" s="165"/>
      <c r="AN217" s="165"/>
      <c r="AO217" s="165"/>
      <c r="AP217" s="165"/>
      <c r="AQ217" s="165"/>
      <c r="AR217" s="165"/>
      <c r="AS217" s="165"/>
      <c r="AT217" s="165"/>
      <c r="AU217" s="165"/>
      <c r="AV217" s="165"/>
      <c r="AW217" s="165"/>
      <c r="AX217" s="165"/>
      <c r="AY217" s="165"/>
      <c r="AZ217" s="165"/>
      <c r="BA217" s="165"/>
      <c r="BB217" s="165"/>
      <c r="BC217" s="165"/>
      <c r="BD217" s="165"/>
      <c r="BE217" s="165"/>
      <c r="BF217" s="165"/>
      <c r="BG217" s="165"/>
      <c r="BH217" s="165"/>
      <c r="BI217" s="165"/>
      <c r="BJ217" s="165"/>
      <c r="BK217" s="165"/>
      <c r="BL217" s="165"/>
      <c r="BM217" s="165"/>
      <c r="BN217" s="165"/>
      <c r="BO217" s="165"/>
      <c r="BP217" s="165"/>
      <c r="BQ217" s="165"/>
      <c r="BR217" s="165"/>
      <c r="BS217" s="165"/>
      <c r="BT217" s="165"/>
      <c r="BU217" s="165"/>
      <c r="BV217" s="165"/>
      <c r="BW217" s="165"/>
      <c r="BX217" s="165"/>
      <c r="BY217" s="165"/>
      <c r="BZ217" s="1430"/>
      <c r="CA217" s="1430"/>
      <c r="CB217" s="1429"/>
      <c r="CC217" s="1429"/>
      <c r="CD217" s="1429"/>
      <c r="CE217" s="1429"/>
      <c r="CF217" s="1429"/>
      <c r="CG217" s="1429"/>
      <c r="CH217" s="1432"/>
      <c r="CI217" s="1432"/>
      <c r="CJ217" s="1432"/>
      <c r="CK217" s="1432"/>
      <c r="CL217" s="1432"/>
      <c r="CM217" s="1432"/>
      <c r="CN217" s="1432"/>
      <c r="CO217" s="1432"/>
    </row>
    <row r="218" spans="1:93" ht="16.2" customHeight="1" x14ac:dyDescent="0.3">
      <c r="A218" s="7320">
        <v>29101461</v>
      </c>
      <c r="B218" s="10511"/>
      <c r="C218" s="7593" t="s">
        <v>3245</v>
      </c>
      <c r="D218" s="7594" t="s">
        <v>5369</v>
      </c>
      <c r="E218" s="7594" t="s">
        <v>5370</v>
      </c>
      <c r="F218" s="7592" t="s">
        <v>5371</v>
      </c>
      <c r="G218" s="140"/>
      <c r="H218" s="140"/>
      <c r="I218" s="165"/>
      <c r="J218" s="165"/>
      <c r="K218" s="165"/>
      <c r="L218" s="165"/>
      <c r="M218" s="165"/>
      <c r="N218" s="165"/>
      <c r="O218" s="165"/>
      <c r="P218" s="165"/>
      <c r="Q218" s="165"/>
      <c r="R218" s="165"/>
      <c r="S218" s="165"/>
      <c r="T218" s="165"/>
      <c r="U218" s="165"/>
      <c r="V218" s="165"/>
      <c r="W218" s="165"/>
      <c r="X218" s="165"/>
      <c r="Y218" s="165"/>
      <c r="Z218" s="165"/>
      <c r="AA218" s="165"/>
      <c r="AB218" s="165"/>
      <c r="AC218" s="165"/>
      <c r="AD218" s="165"/>
      <c r="AE218" s="165"/>
      <c r="AF218" s="165"/>
      <c r="AG218" s="165"/>
      <c r="AH218" s="165"/>
      <c r="AI218" s="165"/>
      <c r="AJ218" s="165"/>
      <c r="AK218" s="165"/>
      <c r="AL218" s="165"/>
      <c r="AM218" s="165"/>
      <c r="AN218" s="165"/>
      <c r="AO218" s="165"/>
      <c r="AP218" s="165"/>
      <c r="AQ218" s="165"/>
      <c r="AR218" s="165"/>
      <c r="AS218" s="165"/>
      <c r="AT218" s="165"/>
      <c r="AU218" s="165"/>
      <c r="AV218" s="165"/>
      <c r="AW218" s="165"/>
      <c r="AX218" s="165"/>
      <c r="AY218" s="165"/>
      <c r="AZ218" s="165"/>
      <c r="BA218" s="165"/>
      <c r="BB218" s="165"/>
      <c r="BC218" s="165"/>
      <c r="BD218" s="165"/>
      <c r="BE218" s="165"/>
      <c r="BF218" s="165"/>
      <c r="BG218" s="165"/>
      <c r="BH218" s="165"/>
      <c r="BI218" s="165"/>
      <c r="BJ218" s="165"/>
      <c r="BK218" s="165"/>
      <c r="BL218" s="165"/>
      <c r="BM218" s="165"/>
      <c r="BN218" s="165"/>
      <c r="BO218" s="165"/>
      <c r="BP218" s="165"/>
      <c r="BQ218" s="165"/>
      <c r="BR218" s="165"/>
      <c r="BS218" s="165"/>
      <c r="BT218" s="165"/>
      <c r="BU218" s="165"/>
      <c r="BV218" s="165"/>
      <c r="BW218" s="165"/>
      <c r="BX218" s="165"/>
      <c r="BY218" s="165"/>
      <c r="BZ218" s="1430"/>
      <c r="CA218" s="1430"/>
      <c r="CB218" s="1429"/>
      <c r="CC218" s="1429"/>
      <c r="CD218" s="1429"/>
      <c r="CE218" s="1429"/>
      <c r="CF218" s="1429"/>
      <c r="CG218" s="1429"/>
      <c r="CH218" s="1432"/>
      <c r="CI218" s="1432"/>
      <c r="CJ218" s="1432"/>
      <c r="CK218" s="1432"/>
      <c r="CL218" s="1432"/>
      <c r="CM218" s="1432"/>
      <c r="CN218" s="1432"/>
      <c r="CO218" s="1432"/>
    </row>
    <row r="219" spans="1:93" ht="16.2" customHeight="1" x14ac:dyDescent="0.3">
      <c r="A219" s="7320">
        <v>29101462</v>
      </c>
      <c r="B219" s="10511"/>
      <c r="C219" s="7591" t="s">
        <v>3246</v>
      </c>
      <c r="D219" s="7576" t="s">
        <v>5369</v>
      </c>
      <c r="E219" s="7576" t="s">
        <v>5370</v>
      </c>
      <c r="F219" s="7577" t="s">
        <v>5371</v>
      </c>
      <c r="G219" s="140"/>
      <c r="H219" s="140"/>
      <c r="I219" s="165"/>
      <c r="J219" s="165"/>
      <c r="K219" s="165"/>
      <c r="L219" s="165"/>
      <c r="M219" s="165"/>
      <c r="N219" s="165"/>
      <c r="O219" s="165"/>
      <c r="P219" s="165"/>
      <c r="Q219" s="165"/>
      <c r="R219" s="165"/>
      <c r="S219" s="165"/>
      <c r="T219" s="165"/>
      <c r="U219" s="165"/>
      <c r="V219" s="165"/>
      <c r="W219" s="165"/>
      <c r="X219" s="165"/>
      <c r="Y219" s="165"/>
      <c r="Z219" s="165"/>
      <c r="AA219" s="165"/>
      <c r="AB219" s="165"/>
      <c r="AC219" s="165"/>
      <c r="AD219" s="165"/>
      <c r="AE219" s="165"/>
      <c r="AF219" s="165"/>
      <c r="AG219" s="165"/>
      <c r="AH219" s="165"/>
      <c r="AI219" s="165"/>
      <c r="AJ219" s="165"/>
      <c r="AK219" s="165"/>
      <c r="AL219" s="165"/>
      <c r="AM219" s="165"/>
      <c r="AN219" s="165"/>
      <c r="AO219" s="165"/>
      <c r="AP219" s="165"/>
      <c r="AQ219" s="165"/>
      <c r="AR219" s="165"/>
      <c r="AS219" s="165"/>
      <c r="AT219" s="165"/>
      <c r="AU219" s="165"/>
      <c r="AV219" s="165"/>
      <c r="AW219" s="165"/>
      <c r="AX219" s="165"/>
      <c r="AY219" s="165"/>
      <c r="AZ219" s="165"/>
      <c r="BA219" s="165"/>
      <c r="BB219" s="165"/>
      <c r="BC219" s="165"/>
      <c r="BD219" s="165"/>
      <c r="BE219" s="165"/>
      <c r="BF219" s="165"/>
      <c r="BG219" s="165"/>
      <c r="BH219" s="165"/>
      <c r="BI219" s="165"/>
      <c r="BJ219" s="165"/>
      <c r="BK219" s="165"/>
      <c r="BL219" s="165"/>
      <c r="BM219" s="165"/>
      <c r="BN219" s="165"/>
      <c r="BO219" s="165"/>
      <c r="BP219" s="165"/>
      <c r="BQ219" s="165"/>
      <c r="BR219" s="165"/>
      <c r="BS219" s="165"/>
      <c r="BT219" s="165"/>
      <c r="BU219" s="165"/>
      <c r="BV219" s="165"/>
      <c r="BW219" s="165"/>
      <c r="BX219" s="165"/>
      <c r="BY219" s="165"/>
      <c r="BZ219" s="1430"/>
      <c r="CA219" s="1430"/>
      <c r="CB219" s="1429"/>
      <c r="CC219" s="1429"/>
      <c r="CD219" s="1429"/>
      <c r="CE219" s="1429"/>
      <c r="CF219" s="1429"/>
      <c r="CG219" s="1429"/>
      <c r="CH219" s="1432"/>
      <c r="CI219" s="1432"/>
      <c r="CJ219" s="1432"/>
      <c r="CK219" s="1432"/>
      <c r="CL219" s="1432"/>
      <c r="CM219" s="1432"/>
      <c r="CN219" s="1432"/>
      <c r="CO219" s="1432"/>
    </row>
    <row r="220" spans="1:93" ht="16.2" customHeight="1" x14ac:dyDescent="0.3">
      <c r="A220" s="7320">
        <v>29101463</v>
      </c>
      <c r="B220" s="10511"/>
      <c r="C220" s="7593" t="s">
        <v>3247</v>
      </c>
      <c r="D220" s="7594" t="s">
        <v>5369</v>
      </c>
      <c r="E220" s="7594" t="s">
        <v>5370</v>
      </c>
      <c r="F220" s="7592" t="s">
        <v>5371</v>
      </c>
      <c r="G220" s="140"/>
      <c r="H220" s="140"/>
      <c r="I220" s="165"/>
      <c r="J220" s="165"/>
      <c r="K220" s="165"/>
      <c r="L220" s="165"/>
      <c r="M220" s="165"/>
      <c r="N220" s="165"/>
      <c r="O220" s="165"/>
      <c r="P220" s="165"/>
      <c r="Q220" s="165"/>
      <c r="R220" s="165"/>
      <c r="S220" s="165"/>
      <c r="T220" s="165"/>
      <c r="U220" s="165"/>
      <c r="V220" s="165"/>
      <c r="W220" s="165"/>
      <c r="X220" s="165"/>
      <c r="Y220" s="165"/>
      <c r="Z220" s="165"/>
      <c r="AA220" s="165"/>
      <c r="AB220" s="165"/>
      <c r="AC220" s="165"/>
      <c r="AD220" s="165"/>
      <c r="AE220" s="165"/>
      <c r="AF220" s="165"/>
      <c r="AG220" s="165"/>
      <c r="AH220" s="165"/>
      <c r="AI220" s="165"/>
      <c r="AJ220" s="165"/>
      <c r="AK220" s="165"/>
      <c r="AL220" s="165"/>
      <c r="AM220" s="165"/>
      <c r="AN220" s="165"/>
      <c r="AO220" s="165"/>
      <c r="AP220" s="165"/>
      <c r="AQ220" s="165"/>
      <c r="AR220" s="165"/>
      <c r="AS220" s="165"/>
      <c r="AT220" s="165"/>
      <c r="AU220" s="165"/>
      <c r="AV220" s="165"/>
      <c r="AW220" s="165"/>
      <c r="AX220" s="165"/>
      <c r="AY220" s="165"/>
      <c r="AZ220" s="165"/>
      <c r="BA220" s="165"/>
      <c r="BB220" s="165"/>
      <c r="BC220" s="165"/>
      <c r="BD220" s="165"/>
      <c r="BE220" s="165"/>
      <c r="BF220" s="165"/>
      <c r="BG220" s="165"/>
      <c r="BH220" s="165"/>
      <c r="BI220" s="165"/>
      <c r="BJ220" s="165"/>
      <c r="BK220" s="165"/>
      <c r="BL220" s="165"/>
      <c r="BM220" s="165"/>
      <c r="BN220" s="165"/>
      <c r="BO220" s="165"/>
      <c r="BP220" s="165"/>
      <c r="BQ220" s="165"/>
      <c r="BR220" s="165"/>
      <c r="BS220" s="165"/>
      <c r="BT220" s="165"/>
      <c r="BU220" s="165"/>
      <c r="BV220" s="165"/>
      <c r="BW220" s="165"/>
      <c r="BX220" s="165"/>
      <c r="BY220" s="165"/>
      <c r="BZ220" s="1430"/>
      <c r="CA220" s="1430"/>
      <c r="CB220" s="1429"/>
      <c r="CC220" s="1429"/>
      <c r="CD220" s="1429"/>
      <c r="CE220" s="1429"/>
      <c r="CF220" s="1429"/>
      <c r="CG220" s="1429"/>
      <c r="CH220" s="1432"/>
      <c r="CI220" s="1432"/>
      <c r="CJ220" s="1432"/>
      <c r="CK220" s="1432"/>
      <c r="CL220" s="1432"/>
      <c r="CM220" s="1432"/>
      <c r="CN220" s="1432"/>
      <c r="CO220" s="1432"/>
    </row>
    <row r="221" spans="1:93" ht="16.2" customHeight="1" x14ac:dyDescent="0.3">
      <c r="A221" s="7320">
        <v>29101464</v>
      </c>
      <c r="B221" s="10512"/>
      <c r="C221" s="7595" t="s">
        <v>3248</v>
      </c>
      <c r="D221" s="7596" t="s">
        <v>5369</v>
      </c>
      <c r="E221" s="7596" t="s">
        <v>5370</v>
      </c>
      <c r="F221" s="7586" t="s">
        <v>5371</v>
      </c>
      <c r="G221" s="140"/>
      <c r="H221" s="140"/>
      <c r="I221" s="165"/>
      <c r="J221" s="165"/>
      <c r="K221" s="165"/>
      <c r="L221" s="165"/>
      <c r="M221" s="165"/>
      <c r="N221" s="165"/>
      <c r="O221" s="165"/>
      <c r="P221" s="165"/>
      <c r="Q221" s="165"/>
      <c r="R221" s="165"/>
      <c r="S221" s="165"/>
      <c r="T221" s="165"/>
      <c r="U221" s="165"/>
      <c r="V221" s="165"/>
      <c r="W221" s="165"/>
      <c r="X221" s="165"/>
      <c r="Y221" s="165"/>
      <c r="Z221" s="165"/>
      <c r="AA221" s="165"/>
      <c r="AB221" s="165"/>
      <c r="AC221" s="165"/>
      <c r="AD221" s="165"/>
      <c r="AE221" s="165"/>
      <c r="AF221" s="165"/>
      <c r="AG221" s="165"/>
      <c r="AH221" s="165"/>
      <c r="AI221" s="165"/>
      <c r="AJ221" s="165"/>
      <c r="AK221" s="165"/>
      <c r="AL221" s="165"/>
      <c r="AM221" s="165"/>
      <c r="AN221" s="165"/>
      <c r="AO221" s="165"/>
      <c r="AP221" s="165"/>
      <c r="AQ221" s="165"/>
      <c r="AR221" s="165"/>
      <c r="AS221" s="165"/>
      <c r="AT221" s="165"/>
      <c r="AU221" s="165"/>
      <c r="AV221" s="165"/>
      <c r="AW221" s="165"/>
      <c r="AX221" s="165"/>
      <c r="AY221" s="165"/>
      <c r="AZ221" s="165"/>
      <c r="BA221" s="165"/>
      <c r="BB221" s="165"/>
      <c r="BC221" s="165"/>
      <c r="BD221" s="165"/>
      <c r="BE221" s="165"/>
      <c r="BF221" s="165"/>
      <c r="BG221" s="165"/>
      <c r="BH221" s="165"/>
      <c r="BI221" s="165"/>
      <c r="BJ221" s="165"/>
      <c r="BK221" s="165"/>
      <c r="BL221" s="165"/>
      <c r="BM221" s="165"/>
      <c r="BN221" s="165"/>
      <c r="BO221" s="165"/>
      <c r="BP221" s="165"/>
      <c r="BQ221" s="165"/>
      <c r="BR221" s="165"/>
      <c r="BS221" s="165"/>
      <c r="BT221" s="165"/>
      <c r="BU221" s="165"/>
      <c r="BV221" s="165"/>
      <c r="BW221" s="165"/>
      <c r="BX221" s="165"/>
      <c r="BY221" s="165"/>
      <c r="BZ221" s="1430"/>
      <c r="CA221" s="1430"/>
      <c r="CB221" s="1429"/>
      <c r="CC221" s="1429"/>
      <c r="CD221" s="1429"/>
      <c r="CE221" s="1429"/>
      <c r="CF221" s="1429"/>
      <c r="CG221" s="1429"/>
      <c r="CH221" s="1432"/>
      <c r="CI221" s="1432"/>
      <c r="CJ221" s="1432"/>
      <c r="CK221" s="1432"/>
      <c r="CL221" s="1432"/>
      <c r="CM221" s="1432"/>
      <c r="CN221" s="1432"/>
      <c r="CO221" s="1432"/>
    </row>
    <row r="222" spans="1:93" ht="16.2" customHeight="1" x14ac:dyDescent="0.3">
      <c r="A222" s="7320">
        <v>29101465</v>
      </c>
      <c r="B222" s="10510" t="s">
        <v>3249</v>
      </c>
      <c r="C222" s="7589" t="s">
        <v>5075</v>
      </c>
      <c r="D222" s="7594" t="s">
        <v>5369</v>
      </c>
      <c r="E222" s="7594" t="s">
        <v>5370</v>
      </c>
      <c r="F222" s="7592" t="s">
        <v>5371</v>
      </c>
      <c r="G222" s="140"/>
      <c r="H222" s="140"/>
      <c r="I222" s="165"/>
      <c r="J222" s="165"/>
      <c r="K222" s="165"/>
      <c r="L222" s="165"/>
      <c r="M222" s="165"/>
      <c r="N222" s="165"/>
      <c r="O222" s="165"/>
      <c r="P222" s="165"/>
      <c r="Q222" s="165"/>
      <c r="R222" s="165"/>
      <c r="S222" s="165"/>
      <c r="T222" s="165"/>
      <c r="U222" s="165"/>
      <c r="V222" s="165"/>
      <c r="W222" s="165"/>
      <c r="X222" s="165"/>
      <c r="Y222" s="165"/>
      <c r="Z222" s="165"/>
      <c r="AA222" s="165"/>
      <c r="AB222" s="165"/>
      <c r="AC222" s="165"/>
      <c r="AD222" s="165"/>
      <c r="AE222" s="165"/>
      <c r="AF222" s="165"/>
      <c r="AG222" s="165"/>
      <c r="AH222" s="165"/>
      <c r="AI222" s="165"/>
      <c r="AJ222" s="165"/>
      <c r="AK222" s="165"/>
      <c r="AL222" s="165"/>
      <c r="AM222" s="165"/>
      <c r="AN222" s="165"/>
      <c r="AO222" s="165"/>
      <c r="AP222" s="165"/>
      <c r="AQ222" s="165"/>
      <c r="AR222" s="165"/>
      <c r="AS222" s="165"/>
      <c r="AT222" s="165"/>
      <c r="AU222" s="165"/>
      <c r="AV222" s="165"/>
      <c r="AW222" s="165"/>
      <c r="AX222" s="165"/>
      <c r="AY222" s="165"/>
      <c r="AZ222" s="165"/>
      <c r="BA222" s="165"/>
      <c r="BB222" s="165"/>
      <c r="BC222" s="165"/>
      <c r="BD222" s="165"/>
      <c r="BE222" s="165"/>
      <c r="BF222" s="165"/>
      <c r="BG222" s="165"/>
      <c r="BH222" s="165"/>
      <c r="BI222" s="165"/>
      <c r="BJ222" s="165"/>
      <c r="BK222" s="165"/>
      <c r="BL222" s="165"/>
      <c r="BM222" s="165"/>
      <c r="BN222" s="165"/>
      <c r="BO222" s="165"/>
      <c r="BP222" s="165"/>
      <c r="BQ222" s="165"/>
      <c r="BR222" s="165"/>
      <c r="BS222" s="165"/>
      <c r="BT222" s="165"/>
      <c r="BU222" s="165"/>
      <c r="BV222" s="165"/>
      <c r="BW222" s="165"/>
      <c r="BX222" s="165"/>
      <c r="BY222" s="165"/>
      <c r="BZ222" s="1430"/>
      <c r="CA222" s="1430"/>
      <c r="CB222" s="1429"/>
      <c r="CC222" s="1429"/>
      <c r="CD222" s="1429"/>
      <c r="CE222" s="1429"/>
      <c r="CF222" s="1429"/>
      <c r="CG222" s="1429"/>
      <c r="CH222" s="1432"/>
      <c r="CI222" s="1432"/>
      <c r="CJ222" s="1432"/>
      <c r="CK222" s="1432"/>
      <c r="CL222" s="1432"/>
      <c r="CM222" s="1432"/>
      <c r="CN222" s="1432"/>
      <c r="CO222" s="1432"/>
    </row>
    <row r="223" spans="1:93" ht="16.2" customHeight="1" x14ac:dyDescent="0.3">
      <c r="A223" s="7320">
        <v>29101466</v>
      </c>
      <c r="B223" s="10512"/>
      <c r="C223" s="7595" t="s">
        <v>5076</v>
      </c>
      <c r="D223" s="7596" t="s">
        <v>5369</v>
      </c>
      <c r="E223" s="7596" t="s">
        <v>5370</v>
      </c>
      <c r="F223" s="7586" t="s">
        <v>5371</v>
      </c>
      <c r="G223" s="140"/>
      <c r="H223" s="140"/>
      <c r="I223" s="165"/>
      <c r="J223" s="165"/>
      <c r="K223" s="165"/>
      <c r="L223" s="165"/>
      <c r="M223" s="165"/>
      <c r="N223" s="165"/>
      <c r="O223" s="165"/>
      <c r="P223" s="165"/>
      <c r="Q223" s="165"/>
      <c r="R223" s="165"/>
      <c r="S223" s="165"/>
      <c r="T223" s="165"/>
      <c r="U223" s="165"/>
      <c r="V223" s="165"/>
      <c r="W223" s="165"/>
      <c r="X223" s="165"/>
      <c r="Y223" s="165"/>
      <c r="Z223" s="165"/>
      <c r="AA223" s="165"/>
      <c r="AB223" s="165"/>
      <c r="AC223" s="165"/>
      <c r="AD223" s="165"/>
      <c r="AE223" s="165"/>
      <c r="AF223" s="165"/>
      <c r="AG223" s="165"/>
      <c r="AH223" s="165"/>
      <c r="AI223" s="165"/>
      <c r="AJ223" s="165"/>
      <c r="AK223" s="165"/>
      <c r="AL223" s="165"/>
      <c r="AM223" s="165"/>
      <c r="AN223" s="165"/>
      <c r="AO223" s="165"/>
      <c r="AP223" s="165"/>
      <c r="AQ223" s="165"/>
      <c r="AR223" s="165"/>
      <c r="AS223" s="165"/>
      <c r="AT223" s="165"/>
      <c r="AU223" s="165"/>
      <c r="AV223" s="165"/>
      <c r="AW223" s="165"/>
      <c r="AX223" s="165"/>
      <c r="AY223" s="165"/>
      <c r="AZ223" s="165"/>
      <c r="BA223" s="165"/>
      <c r="BB223" s="165"/>
      <c r="BC223" s="165"/>
      <c r="BD223" s="165"/>
      <c r="BE223" s="165"/>
      <c r="BF223" s="165"/>
      <c r="BG223" s="165"/>
      <c r="BH223" s="165"/>
      <c r="BI223" s="165"/>
      <c r="BJ223" s="165"/>
      <c r="BK223" s="165"/>
      <c r="BL223" s="165"/>
      <c r="BM223" s="165"/>
      <c r="BN223" s="165"/>
      <c r="BO223" s="165"/>
      <c r="BP223" s="165"/>
      <c r="BQ223" s="165"/>
      <c r="BR223" s="165"/>
      <c r="BS223" s="165"/>
      <c r="BT223" s="165"/>
      <c r="BU223" s="165"/>
      <c r="BV223" s="165"/>
      <c r="BW223" s="165"/>
      <c r="BX223" s="165"/>
      <c r="BY223" s="165"/>
      <c r="BZ223" s="1430"/>
      <c r="CA223" s="1430"/>
      <c r="CB223" s="1429"/>
      <c r="CC223" s="1429"/>
      <c r="CD223" s="1429"/>
      <c r="CE223" s="1429"/>
      <c r="CF223" s="1429"/>
      <c r="CG223" s="1429"/>
      <c r="CH223" s="1432"/>
      <c r="CI223" s="1432"/>
      <c r="CJ223" s="1432"/>
      <c r="CK223" s="1432"/>
      <c r="CL223" s="1432"/>
      <c r="CM223" s="1432"/>
      <c r="CN223" s="1432"/>
      <c r="CO223" s="1432"/>
    </row>
    <row r="224" spans="1:93" ht="16.2" customHeight="1" x14ac:dyDescent="0.3">
      <c r="A224" s="7320">
        <v>29101467</v>
      </c>
      <c r="B224" s="10641" t="s">
        <v>3216</v>
      </c>
      <c r="C224" s="7589" t="s">
        <v>3431</v>
      </c>
      <c r="D224" s="7599" t="s">
        <v>5369</v>
      </c>
      <c r="E224" s="7599" t="s">
        <v>5370</v>
      </c>
      <c r="F224" s="7590" t="s">
        <v>5371</v>
      </c>
      <c r="G224" s="140"/>
      <c r="H224" s="140"/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  <c r="X224" s="165"/>
      <c r="Y224" s="165"/>
      <c r="Z224" s="165"/>
      <c r="AA224" s="165"/>
      <c r="AB224" s="165"/>
      <c r="AC224" s="165"/>
      <c r="AD224" s="165"/>
      <c r="AE224" s="165"/>
      <c r="AF224" s="165"/>
      <c r="AG224" s="165"/>
      <c r="AH224" s="165"/>
      <c r="AI224" s="165"/>
      <c r="AJ224" s="165"/>
      <c r="AK224" s="165"/>
      <c r="AL224" s="165"/>
      <c r="AM224" s="165"/>
      <c r="AN224" s="165"/>
      <c r="AO224" s="165"/>
      <c r="AP224" s="165"/>
      <c r="AQ224" s="165"/>
      <c r="AR224" s="165"/>
      <c r="AS224" s="165"/>
      <c r="AT224" s="165"/>
      <c r="AU224" s="165"/>
      <c r="AV224" s="165"/>
      <c r="AW224" s="165"/>
      <c r="AX224" s="165"/>
      <c r="AY224" s="165"/>
      <c r="AZ224" s="165"/>
      <c r="BA224" s="165"/>
      <c r="BB224" s="165"/>
      <c r="BC224" s="165"/>
      <c r="BD224" s="165"/>
      <c r="BE224" s="165"/>
      <c r="BF224" s="165"/>
      <c r="BG224" s="165"/>
      <c r="BH224" s="165"/>
      <c r="BI224" s="165"/>
      <c r="BJ224" s="165"/>
      <c r="BK224" s="165"/>
      <c r="BL224" s="165"/>
      <c r="BM224" s="165"/>
      <c r="BN224" s="165"/>
      <c r="BO224" s="165"/>
      <c r="BP224" s="165"/>
      <c r="BQ224" s="165"/>
      <c r="BR224" s="165"/>
      <c r="BS224" s="165"/>
      <c r="BT224" s="165"/>
      <c r="BU224" s="165"/>
      <c r="BV224" s="165"/>
      <c r="BW224" s="165"/>
      <c r="BX224" s="165"/>
      <c r="BY224" s="165"/>
      <c r="BZ224" s="1430"/>
      <c r="CA224" s="1430"/>
      <c r="CB224" s="1429"/>
      <c r="CC224" s="1429"/>
      <c r="CD224" s="1429"/>
      <c r="CE224" s="1429"/>
      <c r="CF224" s="1429"/>
      <c r="CG224" s="1429"/>
      <c r="CH224" s="1432"/>
      <c r="CI224" s="1432"/>
      <c r="CJ224" s="1432"/>
      <c r="CK224" s="1432"/>
      <c r="CL224" s="1432"/>
      <c r="CM224" s="1432"/>
      <c r="CN224" s="1432"/>
      <c r="CO224" s="1432"/>
    </row>
    <row r="225" spans="1:93" ht="16.2" customHeight="1" x14ac:dyDescent="0.3">
      <c r="A225" s="7320">
        <v>29101468</v>
      </c>
      <c r="B225" s="10511"/>
      <c r="C225" s="7600" t="s">
        <v>3432</v>
      </c>
      <c r="D225" s="7594" t="s">
        <v>5369</v>
      </c>
      <c r="E225" s="7594" t="s">
        <v>5370</v>
      </c>
      <c r="F225" s="7592" t="s">
        <v>5371</v>
      </c>
      <c r="G225" s="140"/>
      <c r="H225" s="140"/>
      <c r="I225" s="165"/>
      <c r="J225" s="165"/>
      <c r="K225" s="165"/>
      <c r="L225" s="165"/>
      <c r="M225" s="165"/>
      <c r="N225" s="165"/>
      <c r="O225" s="165"/>
      <c r="P225" s="165"/>
      <c r="Q225" s="165"/>
      <c r="R225" s="165"/>
      <c r="S225" s="165"/>
      <c r="T225" s="165"/>
      <c r="U225" s="165"/>
      <c r="V225" s="165"/>
      <c r="W225" s="165"/>
      <c r="X225" s="165"/>
      <c r="Y225" s="165"/>
      <c r="Z225" s="165"/>
      <c r="AA225" s="165"/>
      <c r="AB225" s="165"/>
      <c r="AC225" s="165"/>
      <c r="AD225" s="165"/>
      <c r="AE225" s="165"/>
      <c r="AF225" s="165"/>
      <c r="AG225" s="165"/>
      <c r="AH225" s="165"/>
      <c r="AI225" s="165"/>
      <c r="AJ225" s="165"/>
      <c r="AK225" s="165"/>
      <c r="AL225" s="165"/>
      <c r="AM225" s="165"/>
      <c r="AN225" s="165"/>
      <c r="AO225" s="165"/>
      <c r="AP225" s="165"/>
      <c r="AQ225" s="165"/>
      <c r="AR225" s="165"/>
      <c r="AS225" s="165"/>
      <c r="AT225" s="165"/>
      <c r="AU225" s="165"/>
      <c r="AV225" s="165"/>
      <c r="AW225" s="165"/>
      <c r="AX225" s="165"/>
      <c r="AY225" s="165"/>
      <c r="AZ225" s="165"/>
      <c r="BA225" s="165"/>
      <c r="BB225" s="165"/>
      <c r="BC225" s="165"/>
      <c r="BD225" s="165"/>
      <c r="BE225" s="165"/>
      <c r="BF225" s="165"/>
      <c r="BG225" s="165"/>
      <c r="BH225" s="165"/>
      <c r="BI225" s="165"/>
      <c r="BJ225" s="165"/>
      <c r="BK225" s="165"/>
      <c r="BL225" s="165"/>
      <c r="BM225" s="165"/>
      <c r="BN225" s="165"/>
      <c r="BO225" s="165"/>
      <c r="BP225" s="165"/>
      <c r="BQ225" s="165"/>
      <c r="BR225" s="165"/>
      <c r="BS225" s="165"/>
      <c r="BT225" s="165"/>
      <c r="BU225" s="165"/>
      <c r="BV225" s="165"/>
      <c r="BW225" s="165"/>
      <c r="BX225" s="165"/>
      <c r="BY225" s="165"/>
      <c r="BZ225" s="1430"/>
      <c r="CA225" s="1430"/>
      <c r="CB225" s="1429"/>
      <c r="CC225" s="1429"/>
      <c r="CD225" s="1429"/>
      <c r="CE225" s="1429"/>
      <c r="CF225" s="1429"/>
      <c r="CG225" s="1429"/>
      <c r="CH225" s="1432"/>
      <c r="CI225" s="1432"/>
      <c r="CJ225" s="1432"/>
      <c r="CK225" s="1432"/>
      <c r="CL225" s="1432"/>
      <c r="CM225" s="1432"/>
      <c r="CN225" s="1432"/>
      <c r="CO225" s="1432"/>
    </row>
    <row r="226" spans="1:93" ht="21" customHeight="1" x14ac:dyDescent="0.3">
      <c r="A226" s="7320">
        <v>29101469</v>
      </c>
      <c r="B226" s="10512"/>
      <c r="C226" s="7593" t="s">
        <v>5077</v>
      </c>
      <c r="D226" s="7601" t="s">
        <v>5369</v>
      </c>
      <c r="E226" s="7601" t="s">
        <v>5370</v>
      </c>
      <c r="F226" s="7598" t="s">
        <v>5371</v>
      </c>
      <c r="G226" s="140"/>
      <c r="H226" s="140"/>
      <c r="I226" s="165"/>
      <c r="J226" s="165"/>
      <c r="K226" s="165"/>
      <c r="L226" s="165"/>
      <c r="M226" s="165"/>
      <c r="N226" s="165"/>
      <c r="O226" s="165"/>
      <c r="P226" s="165"/>
      <c r="Q226" s="165"/>
      <c r="R226" s="165"/>
      <c r="S226" s="165"/>
      <c r="T226" s="165"/>
      <c r="U226" s="165"/>
      <c r="V226" s="165"/>
      <c r="W226" s="165"/>
      <c r="X226" s="165"/>
      <c r="Y226" s="165"/>
      <c r="Z226" s="165"/>
      <c r="AA226" s="165"/>
      <c r="AB226" s="165"/>
      <c r="AC226" s="165"/>
      <c r="AD226" s="165"/>
      <c r="AE226" s="165"/>
      <c r="AF226" s="165"/>
      <c r="AG226" s="165"/>
      <c r="AH226" s="165"/>
      <c r="AI226" s="165"/>
      <c r="AJ226" s="165"/>
      <c r="AK226" s="165"/>
      <c r="AL226" s="165"/>
      <c r="AM226" s="165"/>
      <c r="AN226" s="165"/>
      <c r="AO226" s="165"/>
      <c r="AP226" s="165"/>
      <c r="AQ226" s="165"/>
      <c r="AR226" s="165"/>
      <c r="AS226" s="165"/>
      <c r="AT226" s="165"/>
      <c r="AU226" s="165"/>
      <c r="AV226" s="165"/>
      <c r="AW226" s="165"/>
      <c r="AX226" s="165"/>
      <c r="AY226" s="165"/>
      <c r="AZ226" s="165"/>
      <c r="BA226" s="165"/>
      <c r="BB226" s="165"/>
      <c r="BC226" s="165"/>
      <c r="BD226" s="165"/>
      <c r="BE226" s="165"/>
      <c r="BF226" s="165"/>
      <c r="BG226" s="165"/>
      <c r="BH226" s="165"/>
      <c r="BI226" s="165"/>
      <c r="BJ226" s="165"/>
      <c r="BK226" s="165"/>
      <c r="BL226" s="165"/>
      <c r="BM226" s="165"/>
      <c r="BN226" s="165"/>
      <c r="BO226" s="165"/>
      <c r="BP226" s="165"/>
      <c r="BQ226" s="165"/>
      <c r="BR226" s="165"/>
      <c r="BS226" s="165"/>
      <c r="BT226" s="165"/>
      <c r="BU226" s="165"/>
      <c r="BV226" s="165"/>
      <c r="BW226" s="165"/>
      <c r="BX226" s="165"/>
      <c r="BY226" s="165"/>
      <c r="BZ226" s="1430"/>
      <c r="CA226" s="1430"/>
      <c r="CB226" s="1429"/>
      <c r="CC226" s="1429"/>
      <c r="CD226" s="1429"/>
      <c r="CE226" s="1429"/>
      <c r="CF226" s="1429"/>
      <c r="CG226" s="1429"/>
      <c r="CH226" s="1432"/>
      <c r="CI226" s="1432"/>
      <c r="CJ226" s="1432"/>
      <c r="CK226" s="1432"/>
      <c r="CL226" s="1432"/>
      <c r="CM226" s="1432"/>
      <c r="CN226" s="1432"/>
      <c r="CO226" s="1432"/>
    </row>
    <row r="227" spans="1:93" ht="16.2" customHeight="1" x14ac:dyDescent="0.3">
      <c r="A227" s="7320">
        <v>29101470</v>
      </c>
      <c r="B227" s="10510" t="s">
        <v>3250</v>
      </c>
      <c r="C227" s="7589" t="s">
        <v>5078</v>
      </c>
      <c r="D227" s="7594" t="s">
        <v>5369</v>
      </c>
      <c r="E227" s="7594" t="s">
        <v>5370</v>
      </c>
      <c r="F227" s="7592" t="s">
        <v>5371</v>
      </c>
      <c r="G227" s="140"/>
      <c r="H227" s="140"/>
      <c r="I227" s="165"/>
      <c r="J227" s="165"/>
      <c r="K227" s="165"/>
      <c r="L227" s="165"/>
      <c r="M227" s="165"/>
      <c r="N227" s="165"/>
      <c r="O227" s="165"/>
      <c r="P227" s="165"/>
      <c r="Q227" s="165"/>
      <c r="R227" s="165"/>
      <c r="S227" s="165"/>
      <c r="T227" s="165"/>
      <c r="U227" s="165"/>
      <c r="V227" s="165"/>
      <c r="W227" s="165"/>
      <c r="X227" s="165"/>
      <c r="Y227" s="165"/>
      <c r="Z227" s="165"/>
      <c r="AA227" s="165"/>
      <c r="AB227" s="165"/>
      <c r="AC227" s="165"/>
      <c r="AD227" s="165"/>
      <c r="AE227" s="165"/>
      <c r="AF227" s="165"/>
      <c r="AG227" s="165"/>
      <c r="AH227" s="165"/>
      <c r="AI227" s="165"/>
      <c r="AJ227" s="165"/>
      <c r="AK227" s="165"/>
      <c r="AL227" s="165"/>
      <c r="AM227" s="165"/>
      <c r="AN227" s="165"/>
      <c r="AO227" s="165"/>
      <c r="AP227" s="165"/>
      <c r="AQ227" s="165"/>
      <c r="AR227" s="165"/>
      <c r="AS227" s="165"/>
      <c r="AT227" s="165"/>
      <c r="AU227" s="165"/>
      <c r="AV227" s="165"/>
      <c r="AW227" s="165"/>
      <c r="AX227" s="165"/>
      <c r="AY227" s="165"/>
      <c r="AZ227" s="165"/>
      <c r="BA227" s="165"/>
      <c r="BB227" s="165"/>
      <c r="BC227" s="165"/>
      <c r="BD227" s="165"/>
      <c r="BE227" s="165"/>
      <c r="BF227" s="165"/>
      <c r="BG227" s="165"/>
      <c r="BH227" s="165"/>
      <c r="BI227" s="165"/>
      <c r="BJ227" s="165"/>
      <c r="BK227" s="165"/>
      <c r="BL227" s="165"/>
      <c r="BM227" s="165"/>
      <c r="BN227" s="165"/>
      <c r="BO227" s="165"/>
      <c r="BP227" s="165"/>
      <c r="BQ227" s="165"/>
      <c r="BR227" s="165"/>
      <c r="BS227" s="165"/>
      <c r="BT227" s="165"/>
      <c r="BU227" s="165"/>
      <c r="BV227" s="165"/>
      <c r="BW227" s="165"/>
      <c r="BX227" s="165"/>
      <c r="BY227" s="165"/>
      <c r="BZ227" s="1430"/>
      <c r="CA227" s="1430"/>
      <c r="CB227" s="1429"/>
      <c r="CC227" s="1429"/>
      <c r="CD227" s="1429"/>
      <c r="CE227" s="1429"/>
      <c r="CF227" s="1429"/>
      <c r="CG227" s="1429"/>
      <c r="CH227" s="1432"/>
      <c r="CI227" s="1432"/>
      <c r="CJ227" s="1432"/>
      <c r="CK227" s="1432"/>
      <c r="CL227" s="1432"/>
      <c r="CM227" s="1432"/>
      <c r="CN227" s="1432"/>
      <c r="CO227" s="1432"/>
    </row>
    <row r="228" spans="1:93" ht="16.2" customHeight="1" x14ac:dyDescent="0.3">
      <c r="A228" s="7320">
        <v>29101471</v>
      </c>
      <c r="B228" s="10512"/>
      <c r="C228" s="7595" t="s">
        <v>5079</v>
      </c>
      <c r="D228" s="7596" t="s">
        <v>5369</v>
      </c>
      <c r="E228" s="7596" t="s">
        <v>5370</v>
      </c>
      <c r="F228" s="7586" t="s">
        <v>5371</v>
      </c>
      <c r="G228" s="140"/>
      <c r="H228" s="140"/>
      <c r="I228" s="165"/>
      <c r="J228" s="165"/>
      <c r="K228" s="165"/>
      <c r="L228" s="165"/>
      <c r="M228" s="165"/>
      <c r="N228" s="165"/>
      <c r="O228" s="165"/>
      <c r="P228" s="165"/>
      <c r="Q228" s="165"/>
      <c r="R228" s="165"/>
      <c r="S228" s="165"/>
      <c r="T228" s="165"/>
      <c r="U228" s="165"/>
      <c r="V228" s="165"/>
      <c r="W228" s="165"/>
      <c r="X228" s="165"/>
      <c r="Y228" s="165"/>
      <c r="Z228" s="165"/>
      <c r="AA228" s="165"/>
      <c r="AB228" s="165"/>
      <c r="AC228" s="165"/>
      <c r="AD228" s="165"/>
      <c r="AE228" s="165"/>
      <c r="AF228" s="165"/>
      <c r="AG228" s="165"/>
      <c r="AH228" s="165"/>
      <c r="AI228" s="165"/>
      <c r="AJ228" s="165"/>
      <c r="AK228" s="165"/>
      <c r="AL228" s="165"/>
      <c r="AM228" s="165"/>
      <c r="AN228" s="165"/>
      <c r="AO228" s="165"/>
      <c r="AP228" s="165"/>
      <c r="AQ228" s="165"/>
      <c r="AR228" s="165"/>
      <c r="AS228" s="165"/>
      <c r="AT228" s="165"/>
      <c r="AU228" s="165"/>
      <c r="AV228" s="165"/>
      <c r="AW228" s="165"/>
      <c r="AX228" s="165"/>
      <c r="AY228" s="165"/>
      <c r="AZ228" s="165"/>
      <c r="BA228" s="165"/>
      <c r="BB228" s="165"/>
      <c r="BC228" s="165"/>
      <c r="BD228" s="165"/>
      <c r="BE228" s="165"/>
      <c r="BF228" s="165"/>
      <c r="BG228" s="165"/>
      <c r="BH228" s="165"/>
      <c r="BI228" s="165"/>
      <c r="BJ228" s="165"/>
      <c r="BK228" s="165"/>
      <c r="BL228" s="165"/>
      <c r="BM228" s="165"/>
      <c r="BN228" s="165"/>
      <c r="BO228" s="165"/>
      <c r="BP228" s="165"/>
      <c r="BQ228" s="165"/>
      <c r="BR228" s="165"/>
      <c r="BS228" s="165"/>
      <c r="BT228" s="165"/>
      <c r="BU228" s="165"/>
      <c r="BV228" s="165"/>
      <c r="BW228" s="165"/>
      <c r="BX228" s="165"/>
      <c r="BY228" s="165"/>
      <c r="BZ228" s="1430"/>
      <c r="CA228" s="1430"/>
      <c r="CB228" s="1429"/>
      <c r="CC228" s="1429"/>
      <c r="CD228" s="1429"/>
      <c r="CE228" s="1429"/>
      <c r="CF228" s="1429"/>
      <c r="CG228" s="1429"/>
      <c r="CH228" s="1432"/>
      <c r="CI228" s="1432"/>
      <c r="CJ228" s="1432"/>
      <c r="CK228" s="1432"/>
      <c r="CL228" s="1432"/>
      <c r="CM228" s="1432"/>
      <c r="CN228" s="1432"/>
      <c r="CO228" s="1432"/>
    </row>
    <row r="229" spans="1:93" ht="16.2" customHeight="1" x14ac:dyDescent="0.3">
      <c r="A229" s="7320">
        <v>29101472</v>
      </c>
      <c r="B229" s="10510" t="s">
        <v>3221</v>
      </c>
      <c r="C229" s="7589" t="s">
        <v>5080</v>
      </c>
      <c r="D229" s="7594" t="s">
        <v>5369</v>
      </c>
      <c r="E229" s="7594" t="s">
        <v>5370</v>
      </c>
      <c r="F229" s="7592" t="s">
        <v>5371</v>
      </c>
      <c r="G229" s="140"/>
      <c r="H229" s="140"/>
      <c r="I229" s="165"/>
      <c r="J229" s="165"/>
      <c r="K229" s="165"/>
      <c r="L229" s="165"/>
      <c r="M229" s="165"/>
      <c r="N229" s="165"/>
      <c r="O229" s="165"/>
      <c r="P229" s="165"/>
      <c r="Q229" s="165"/>
      <c r="R229" s="165"/>
      <c r="S229" s="165"/>
      <c r="T229" s="165"/>
      <c r="U229" s="165"/>
      <c r="V229" s="165"/>
      <c r="W229" s="165"/>
      <c r="X229" s="165"/>
      <c r="Y229" s="165"/>
      <c r="Z229" s="165"/>
      <c r="AA229" s="165"/>
      <c r="AB229" s="165"/>
      <c r="AC229" s="165"/>
      <c r="AD229" s="165"/>
      <c r="AE229" s="165"/>
      <c r="AF229" s="165"/>
      <c r="AG229" s="165"/>
      <c r="AH229" s="165"/>
      <c r="AI229" s="165"/>
      <c r="AJ229" s="165"/>
      <c r="AK229" s="165"/>
      <c r="AL229" s="165"/>
      <c r="AM229" s="165"/>
      <c r="AN229" s="165"/>
      <c r="AO229" s="165"/>
      <c r="AP229" s="165"/>
      <c r="AQ229" s="165"/>
      <c r="AR229" s="165"/>
      <c r="AS229" s="165"/>
      <c r="AT229" s="165"/>
      <c r="AU229" s="165"/>
      <c r="AV229" s="165"/>
      <c r="AW229" s="165"/>
      <c r="AX229" s="165"/>
      <c r="AY229" s="165"/>
      <c r="AZ229" s="165"/>
      <c r="BA229" s="165"/>
      <c r="BB229" s="165"/>
      <c r="BC229" s="165"/>
      <c r="BD229" s="165"/>
      <c r="BE229" s="165"/>
      <c r="BF229" s="165"/>
      <c r="BG229" s="165"/>
      <c r="BH229" s="165"/>
      <c r="BI229" s="165"/>
      <c r="BJ229" s="165"/>
      <c r="BK229" s="165"/>
      <c r="BL229" s="165"/>
      <c r="BM229" s="165"/>
      <c r="BN229" s="165"/>
      <c r="BO229" s="165"/>
      <c r="BP229" s="165"/>
      <c r="BQ229" s="165"/>
      <c r="BR229" s="165"/>
      <c r="BS229" s="165"/>
      <c r="BT229" s="165"/>
      <c r="BU229" s="165"/>
      <c r="BV229" s="165"/>
      <c r="BW229" s="165"/>
      <c r="BX229" s="165"/>
      <c r="BY229" s="165"/>
      <c r="BZ229" s="1430"/>
      <c r="CA229" s="1430"/>
      <c r="CB229" s="1429"/>
      <c r="CC229" s="1429"/>
      <c r="CD229" s="1429"/>
      <c r="CE229" s="1429"/>
      <c r="CF229" s="1429"/>
      <c r="CG229" s="1429"/>
      <c r="CH229" s="1432"/>
      <c r="CI229" s="1432"/>
      <c r="CJ229" s="1432"/>
      <c r="CK229" s="1432"/>
      <c r="CL229" s="1432"/>
      <c r="CM229" s="1432"/>
      <c r="CN229" s="1432"/>
      <c r="CO229" s="1432"/>
    </row>
    <row r="230" spans="1:93" ht="16.2" customHeight="1" x14ac:dyDescent="0.3">
      <c r="A230" s="7320">
        <v>29101473</v>
      </c>
      <c r="B230" s="10512"/>
      <c r="C230" s="7595" t="s">
        <v>5081</v>
      </c>
      <c r="D230" s="7596" t="s">
        <v>5369</v>
      </c>
      <c r="E230" s="7596" t="s">
        <v>5370</v>
      </c>
      <c r="F230" s="7586" t="s">
        <v>5371</v>
      </c>
      <c r="G230" s="140"/>
      <c r="H230" s="140"/>
      <c r="I230" s="165"/>
      <c r="J230" s="165"/>
      <c r="K230" s="165"/>
      <c r="L230" s="165"/>
      <c r="M230" s="165"/>
      <c r="N230" s="165"/>
      <c r="O230" s="165"/>
      <c r="P230" s="165"/>
      <c r="Q230" s="165"/>
      <c r="R230" s="165"/>
      <c r="S230" s="165"/>
      <c r="T230" s="165"/>
      <c r="U230" s="165"/>
      <c r="V230" s="165"/>
      <c r="W230" s="165"/>
      <c r="X230" s="165"/>
      <c r="Y230" s="165"/>
      <c r="Z230" s="165"/>
      <c r="AA230" s="165"/>
      <c r="AB230" s="165"/>
      <c r="AC230" s="165"/>
      <c r="AD230" s="165"/>
      <c r="AE230" s="165"/>
      <c r="AF230" s="165"/>
      <c r="AG230" s="165"/>
      <c r="AH230" s="165"/>
      <c r="AI230" s="165"/>
      <c r="AJ230" s="165"/>
      <c r="AK230" s="165"/>
      <c r="AL230" s="165"/>
      <c r="AM230" s="165"/>
      <c r="AN230" s="165"/>
      <c r="AO230" s="165"/>
      <c r="AP230" s="165"/>
      <c r="AQ230" s="165"/>
      <c r="AR230" s="165"/>
      <c r="AS230" s="165"/>
      <c r="AT230" s="165"/>
      <c r="AU230" s="165"/>
      <c r="AV230" s="165"/>
      <c r="AW230" s="165"/>
      <c r="AX230" s="165"/>
      <c r="AY230" s="165"/>
      <c r="AZ230" s="165"/>
      <c r="BA230" s="165"/>
      <c r="BB230" s="165"/>
      <c r="BC230" s="165"/>
      <c r="BD230" s="165"/>
      <c r="BE230" s="165"/>
      <c r="BF230" s="165"/>
      <c r="BG230" s="165"/>
      <c r="BH230" s="165"/>
      <c r="BI230" s="165"/>
      <c r="BJ230" s="165"/>
      <c r="BK230" s="165"/>
      <c r="BL230" s="165"/>
      <c r="BM230" s="165"/>
      <c r="BN230" s="165"/>
      <c r="BO230" s="165"/>
      <c r="BP230" s="165"/>
      <c r="BQ230" s="165"/>
      <c r="BR230" s="165"/>
      <c r="BS230" s="165"/>
      <c r="BT230" s="165"/>
      <c r="BU230" s="165"/>
      <c r="BV230" s="165"/>
      <c r="BW230" s="165"/>
      <c r="BX230" s="165"/>
      <c r="BY230" s="165"/>
      <c r="BZ230" s="1430"/>
      <c r="CA230" s="1430"/>
      <c r="CB230" s="1429"/>
      <c r="CC230" s="1429"/>
      <c r="CD230" s="1429"/>
      <c r="CE230" s="1429"/>
      <c r="CF230" s="1429"/>
      <c r="CG230" s="1429"/>
      <c r="CH230" s="1432"/>
      <c r="CI230" s="1432"/>
      <c r="CJ230" s="1432"/>
      <c r="CK230" s="1432"/>
      <c r="CL230" s="1432"/>
      <c r="CM230" s="1432"/>
      <c r="CN230" s="1432"/>
      <c r="CO230" s="1432"/>
    </row>
    <row r="231" spans="1:93" ht="15.75" customHeight="1" x14ac:dyDescent="0.3">
      <c r="A231" s="7320">
        <v>29101474</v>
      </c>
      <c r="B231" s="10510" t="s">
        <v>3227</v>
      </c>
      <c r="C231" s="7589" t="s">
        <v>5082</v>
      </c>
      <c r="D231" s="7594" t="s">
        <v>5369</v>
      </c>
      <c r="E231" s="7594" t="s">
        <v>5370</v>
      </c>
      <c r="F231" s="7592" t="s">
        <v>5371</v>
      </c>
      <c r="G231" s="140"/>
      <c r="H231" s="140"/>
      <c r="I231" s="165"/>
      <c r="J231" s="165"/>
      <c r="K231" s="165"/>
      <c r="L231" s="165"/>
      <c r="M231" s="165"/>
      <c r="N231" s="165"/>
      <c r="O231" s="165"/>
      <c r="P231" s="165"/>
      <c r="Q231" s="165"/>
      <c r="R231" s="165"/>
      <c r="S231" s="165"/>
      <c r="T231" s="165"/>
      <c r="U231" s="165"/>
      <c r="V231" s="165"/>
      <c r="W231" s="165"/>
      <c r="X231" s="165"/>
      <c r="Y231" s="165"/>
      <c r="Z231" s="165"/>
      <c r="AA231" s="165"/>
      <c r="AB231" s="165"/>
      <c r="AC231" s="165"/>
      <c r="AD231" s="165"/>
      <c r="AE231" s="165"/>
      <c r="AF231" s="165"/>
      <c r="AG231" s="165"/>
      <c r="AH231" s="165"/>
      <c r="AI231" s="165"/>
      <c r="AJ231" s="165"/>
      <c r="AK231" s="165"/>
      <c r="AL231" s="165"/>
      <c r="AM231" s="165"/>
      <c r="AN231" s="165"/>
      <c r="AO231" s="165"/>
      <c r="AP231" s="165"/>
      <c r="AQ231" s="165"/>
      <c r="AR231" s="165"/>
      <c r="AS231" s="165"/>
      <c r="AT231" s="165"/>
      <c r="AU231" s="165"/>
      <c r="AV231" s="165"/>
      <c r="AW231" s="165"/>
      <c r="AX231" s="165"/>
      <c r="AY231" s="165"/>
      <c r="AZ231" s="165"/>
      <c r="BA231" s="165"/>
      <c r="BB231" s="165"/>
      <c r="BC231" s="165"/>
      <c r="BD231" s="165"/>
      <c r="BE231" s="165"/>
      <c r="BF231" s="165"/>
      <c r="BG231" s="165"/>
      <c r="BH231" s="165"/>
      <c r="BI231" s="165"/>
      <c r="BJ231" s="165"/>
      <c r="BK231" s="165"/>
      <c r="BL231" s="165"/>
      <c r="BM231" s="165"/>
      <c r="BN231" s="165"/>
      <c r="BO231" s="165"/>
      <c r="BP231" s="165"/>
      <c r="BQ231" s="165"/>
      <c r="BR231" s="165"/>
      <c r="BS231" s="165"/>
      <c r="BT231" s="165"/>
      <c r="BU231" s="165"/>
      <c r="BV231" s="165"/>
      <c r="BW231" s="165"/>
      <c r="BX231" s="165"/>
      <c r="BY231" s="165"/>
      <c r="BZ231" s="1430"/>
      <c r="CA231" s="1430"/>
      <c r="CB231" s="1429"/>
      <c r="CC231" s="1429"/>
      <c r="CD231" s="1429"/>
      <c r="CE231" s="1429"/>
      <c r="CF231" s="1429"/>
      <c r="CG231" s="1429"/>
      <c r="CH231" s="1432"/>
      <c r="CI231" s="1432"/>
      <c r="CJ231" s="1432"/>
      <c r="CK231" s="1432"/>
      <c r="CL231" s="1432"/>
      <c r="CM231" s="1432"/>
      <c r="CN231" s="1432"/>
      <c r="CO231" s="1432"/>
    </row>
    <row r="232" spans="1:93" ht="15" customHeight="1" x14ac:dyDescent="0.3">
      <c r="A232" s="7320">
        <v>29101475</v>
      </c>
      <c r="B232" s="10512"/>
      <c r="C232" s="7595" t="s">
        <v>5083</v>
      </c>
      <c r="D232" s="7596" t="s">
        <v>5369</v>
      </c>
      <c r="E232" s="7596" t="s">
        <v>5370</v>
      </c>
      <c r="F232" s="7586" t="s">
        <v>5371</v>
      </c>
      <c r="G232" s="140"/>
      <c r="H232" s="140"/>
      <c r="I232" s="165"/>
      <c r="J232" s="165"/>
      <c r="K232" s="165"/>
      <c r="L232" s="165"/>
      <c r="M232" s="165"/>
      <c r="N232" s="165"/>
      <c r="O232" s="165"/>
      <c r="P232" s="165"/>
      <c r="Q232" s="165"/>
      <c r="R232" s="165"/>
      <c r="S232" s="165"/>
      <c r="T232" s="165"/>
      <c r="U232" s="165"/>
      <c r="V232" s="165"/>
      <c r="W232" s="165"/>
      <c r="X232" s="165"/>
      <c r="Y232" s="165"/>
      <c r="Z232" s="165"/>
      <c r="AA232" s="165"/>
      <c r="AB232" s="165"/>
      <c r="AC232" s="165"/>
      <c r="AD232" s="165"/>
      <c r="AE232" s="165"/>
      <c r="AF232" s="165"/>
      <c r="AG232" s="165"/>
      <c r="AH232" s="165"/>
      <c r="AI232" s="165"/>
      <c r="AJ232" s="165"/>
      <c r="AK232" s="165"/>
      <c r="AL232" s="165"/>
      <c r="AM232" s="165"/>
      <c r="AN232" s="165"/>
      <c r="AO232" s="165"/>
      <c r="AP232" s="165"/>
      <c r="AQ232" s="165"/>
      <c r="AR232" s="165"/>
      <c r="AS232" s="165"/>
      <c r="AT232" s="165"/>
      <c r="AU232" s="165"/>
      <c r="AV232" s="165"/>
      <c r="AW232" s="165"/>
      <c r="AX232" s="165"/>
      <c r="AY232" s="165"/>
      <c r="AZ232" s="165"/>
      <c r="BA232" s="165"/>
      <c r="BB232" s="165"/>
      <c r="BC232" s="165"/>
      <c r="BD232" s="165"/>
      <c r="BE232" s="165"/>
      <c r="BF232" s="165"/>
      <c r="BG232" s="165"/>
      <c r="BH232" s="165"/>
      <c r="BI232" s="165"/>
      <c r="BJ232" s="165"/>
      <c r="BK232" s="165"/>
      <c r="BL232" s="165"/>
      <c r="BM232" s="165"/>
      <c r="BN232" s="165"/>
      <c r="BO232" s="165"/>
      <c r="BP232" s="165"/>
      <c r="BQ232" s="165"/>
      <c r="BR232" s="165"/>
      <c r="BS232" s="165"/>
      <c r="BT232" s="165"/>
      <c r="BU232" s="165"/>
      <c r="BV232" s="165"/>
      <c r="BW232" s="165"/>
      <c r="BX232" s="165"/>
      <c r="BY232" s="165"/>
      <c r="BZ232" s="1430"/>
      <c r="CA232" s="1430"/>
      <c r="CB232" s="1429"/>
      <c r="CC232" s="1429"/>
      <c r="CD232" s="1429"/>
      <c r="CE232" s="1429"/>
      <c r="CF232" s="1429"/>
      <c r="CG232" s="1429"/>
      <c r="CH232" s="1432"/>
      <c r="CI232" s="1432"/>
      <c r="CJ232" s="1432"/>
      <c r="CK232" s="1432"/>
      <c r="CL232" s="1432"/>
      <c r="CM232" s="1432"/>
      <c r="CN232" s="1432"/>
      <c r="CO232" s="1432"/>
    </row>
    <row r="233" spans="1:93" ht="16.2" customHeight="1" x14ac:dyDescent="0.3">
      <c r="A233" s="7320">
        <v>29101476</v>
      </c>
      <c r="B233" s="10510" t="s">
        <v>3251</v>
      </c>
      <c r="C233" s="7589" t="s">
        <v>5084</v>
      </c>
      <c r="D233" s="7594" t="s">
        <v>5369</v>
      </c>
      <c r="E233" s="7594" t="s">
        <v>5370</v>
      </c>
      <c r="F233" s="7592" t="s">
        <v>5371</v>
      </c>
      <c r="G233" s="140"/>
      <c r="H233" s="140"/>
      <c r="I233" s="165"/>
      <c r="J233" s="165"/>
      <c r="K233" s="165"/>
      <c r="L233" s="165"/>
      <c r="M233" s="165"/>
      <c r="N233" s="165"/>
      <c r="O233" s="165"/>
      <c r="P233" s="165"/>
      <c r="Q233" s="165"/>
      <c r="R233" s="165"/>
      <c r="S233" s="165"/>
      <c r="T233" s="165"/>
      <c r="U233" s="165"/>
      <c r="V233" s="165"/>
      <c r="W233" s="165"/>
      <c r="X233" s="165"/>
      <c r="Y233" s="165"/>
      <c r="Z233" s="165"/>
      <c r="AA233" s="165"/>
      <c r="AB233" s="165"/>
      <c r="AC233" s="165"/>
      <c r="AD233" s="165"/>
      <c r="AE233" s="165"/>
      <c r="AF233" s="165"/>
      <c r="AG233" s="165"/>
      <c r="AH233" s="165"/>
      <c r="AI233" s="165"/>
      <c r="AJ233" s="165"/>
      <c r="AK233" s="165"/>
      <c r="AL233" s="165"/>
      <c r="AM233" s="165"/>
      <c r="AN233" s="165"/>
      <c r="AO233" s="165"/>
      <c r="AP233" s="165"/>
      <c r="AQ233" s="165"/>
      <c r="AR233" s="165"/>
      <c r="AS233" s="165"/>
      <c r="AT233" s="165"/>
      <c r="AU233" s="165"/>
      <c r="AV233" s="165"/>
      <c r="AW233" s="165"/>
      <c r="AX233" s="165"/>
      <c r="AY233" s="165"/>
      <c r="AZ233" s="165"/>
      <c r="BA233" s="165"/>
      <c r="BB233" s="165"/>
      <c r="BC233" s="165"/>
      <c r="BD233" s="165"/>
      <c r="BE233" s="165"/>
      <c r="BF233" s="165"/>
      <c r="BG233" s="165"/>
      <c r="BH233" s="165"/>
      <c r="BI233" s="165"/>
      <c r="BJ233" s="165"/>
      <c r="BK233" s="165"/>
      <c r="BL233" s="165"/>
      <c r="BM233" s="165"/>
      <c r="BN233" s="165"/>
      <c r="BO233" s="165"/>
      <c r="BP233" s="165"/>
      <c r="BQ233" s="165"/>
      <c r="BR233" s="165"/>
      <c r="BS233" s="165"/>
      <c r="BT233" s="165"/>
      <c r="BU233" s="165"/>
      <c r="BV233" s="165"/>
      <c r="BW233" s="165"/>
      <c r="BX233" s="165"/>
      <c r="BY233" s="165"/>
      <c r="BZ233" s="1430"/>
      <c r="CA233" s="1430"/>
      <c r="CB233" s="1429"/>
      <c r="CC233" s="1429"/>
      <c r="CD233" s="1429"/>
      <c r="CE233" s="1429"/>
      <c r="CF233" s="1429"/>
      <c r="CG233" s="1429"/>
      <c r="CH233" s="1432"/>
      <c r="CI233" s="1432"/>
      <c r="CJ233" s="1432"/>
      <c r="CK233" s="1432"/>
      <c r="CL233" s="1432"/>
      <c r="CM233" s="1432"/>
      <c r="CN233" s="1432"/>
      <c r="CO233" s="1432"/>
    </row>
    <row r="234" spans="1:93" ht="16.2" customHeight="1" x14ac:dyDescent="0.3">
      <c r="A234" s="7320">
        <v>29101477</v>
      </c>
      <c r="B234" s="10512"/>
      <c r="C234" s="7602" t="s">
        <v>5085</v>
      </c>
      <c r="D234" s="7596" t="s">
        <v>5369</v>
      </c>
      <c r="E234" s="7596" t="s">
        <v>5370</v>
      </c>
      <c r="F234" s="7586" t="s">
        <v>5371</v>
      </c>
      <c r="G234" s="140"/>
      <c r="H234" s="140"/>
      <c r="I234" s="165"/>
      <c r="J234" s="165"/>
      <c r="K234" s="165"/>
      <c r="L234" s="165"/>
      <c r="M234" s="165"/>
      <c r="N234" s="165"/>
      <c r="O234" s="165"/>
      <c r="P234" s="165"/>
      <c r="Q234" s="165"/>
      <c r="R234" s="165"/>
      <c r="S234" s="165"/>
      <c r="T234" s="165"/>
      <c r="U234" s="165"/>
      <c r="V234" s="165"/>
      <c r="W234" s="165"/>
      <c r="X234" s="165"/>
      <c r="Y234" s="165"/>
      <c r="Z234" s="165"/>
      <c r="AA234" s="165"/>
      <c r="AB234" s="165"/>
      <c r="AC234" s="165"/>
      <c r="AD234" s="165"/>
      <c r="AE234" s="165"/>
      <c r="AF234" s="165"/>
      <c r="AG234" s="165"/>
      <c r="AH234" s="165"/>
      <c r="AI234" s="165"/>
      <c r="AJ234" s="165"/>
      <c r="AK234" s="165"/>
      <c r="AL234" s="165"/>
      <c r="AM234" s="165"/>
      <c r="AN234" s="165"/>
      <c r="AO234" s="165"/>
      <c r="AP234" s="165"/>
      <c r="AQ234" s="165"/>
      <c r="AR234" s="165"/>
      <c r="AS234" s="165"/>
      <c r="AT234" s="165"/>
      <c r="AU234" s="165"/>
      <c r="AV234" s="165"/>
      <c r="AW234" s="165"/>
      <c r="AX234" s="165"/>
      <c r="AY234" s="165"/>
      <c r="AZ234" s="165"/>
      <c r="BA234" s="165"/>
      <c r="BB234" s="165"/>
      <c r="BC234" s="165"/>
      <c r="BD234" s="165"/>
      <c r="BE234" s="165"/>
      <c r="BF234" s="165"/>
      <c r="BG234" s="165"/>
      <c r="BH234" s="165"/>
      <c r="BI234" s="165"/>
      <c r="BJ234" s="165"/>
      <c r="BK234" s="165"/>
      <c r="BL234" s="165"/>
      <c r="BM234" s="165"/>
      <c r="BN234" s="165"/>
      <c r="BO234" s="165"/>
      <c r="BP234" s="165"/>
      <c r="BQ234" s="165"/>
      <c r="BR234" s="165"/>
      <c r="BS234" s="165"/>
      <c r="BT234" s="165"/>
      <c r="BU234" s="165"/>
      <c r="BV234" s="165"/>
      <c r="BW234" s="165"/>
      <c r="BX234" s="165"/>
      <c r="BY234" s="165"/>
      <c r="BZ234" s="1430"/>
      <c r="CA234" s="1430"/>
      <c r="CB234" s="1429"/>
      <c r="CC234" s="1429"/>
      <c r="CD234" s="1429"/>
      <c r="CE234" s="1429"/>
      <c r="CF234" s="1429"/>
      <c r="CG234" s="1429"/>
      <c r="CH234" s="1432"/>
      <c r="CI234" s="1432"/>
      <c r="CJ234" s="1432"/>
      <c r="CK234" s="1432"/>
      <c r="CL234" s="1432"/>
      <c r="CM234" s="1432"/>
      <c r="CN234" s="1432"/>
      <c r="CO234" s="1432"/>
    </row>
    <row r="235" spans="1:93" ht="16.2" customHeight="1" x14ac:dyDescent="0.3">
      <c r="A235" s="7320">
        <v>29101478</v>
      </c>
      <c r="B235" s="10630" t="s">
        <v>3252</v>
      </c>
      <c r="C235" s="10640"/>
      <c r="D235" s="7594" t="s">
        <v>5369</v>
      </c>
      <c r="E235" s="7594" t="s">
        <v>5370</v>
      </c>
      <c r="F235" s="7592" t="s">
        <v>5371</v>
      </c>
      <c r="G235" s="140"/>
      <c r="H235" s="140"/>
      <c r="I235" s="165"/>
      <c r="J235" s="165"/>
      <c r="K235" s="165"/>
      <c r="L235" s="165"/>
      <c r="M235" s="165"/>
      <c r="N235" s="165"/>
      <c r="O235" s="165"/>
      <c r="P235" s="165"/>
      <c r="Q235" s="165"/>
      <c r="R235" s="165"/>
      <c r="S235" s="165"/>
      <c r="T235" s="165"/>
      <c r="U235" s="165"/>
      <c r="V235" s="165"/>
      <c r="W235" s="165"/>
      <c r="X235" s="165"/>
      <c r="Y235" s="165"/>
      <c r="Z235" s="165"/>
      <c r="AA235" s="165"/>
      <c r="AB235" s="165"/>
      <c r="AC235" s="165"/>
      <c r="AD235" s="165"/>
      <c r="AE235" s="165"/>
      <c r="AF235" s="165"/>
      <c r="AG235" s="165"/>
      <c r="AH235" s="165"/>
      <c r="AI235" s="165"/>
      <c r="AJ235" s="165"/>
      <c r="AK235" s="165"/>
      <c r="AL235" s="165"/>
      <c r="AM235" s="165"/>
      <c r="AN235" s="165"/>
      <c r="AO235" s="165"/>
      <c r="AP235" s="165"/>
      <c r="AQ235" s="165"/>
      <c r="AR235" s="165"/>
      <c r="AS235" s="165"/>
      <c r="AT235" s="165"/>
      <c r="AU235" s="165"/>
      <c r="AV235" s="165"/>
      <c r="AW235" s="165"/>
      <c r="AX235" s="165"/>
      <c r="AY235" s="165"/>
      <c r="AZ235" s="165"/>
      <c r="BA235" s="165"/>
      <c r="BB235" s="165"/>
      <c r="BC235" s="165"/>
      <c r="BD235" s="165"/>
      <c r="BE235" s="165"/>
      <c r="BF235" s="165"/>
      <c r="BG235" s="165"/>
      <c r="BH235" s="165"/>
      <c r="BI235" s="165"/>
      <c r="BJ235" s="165"/>
      <c r="BK235" s="165"/>
      <c r="BL235" s="165"/>
      <c r="BM235" s="165"/>
      <c r="BN235" s="165"/>
      <c r="BO235" s="165"/>
      <c r="BP235" s="165"/>
      <c r="BQ235" s="165"/>
      <c r="BR235" s="165"/>
      <c r="BS235" s="165"/>
      <c r="BT235" s="165"/>
      <c r="BU235" s="165"/>
      <c r="BV235" s="165"/>
      <c r="BW235" s="165"/>
      <c r="BX235" s="165"/>
      <c r="BY235" s="165"/>
      <c r="BZ235" s="1430"/>
      <c r="CA235" s="1430"/>
      <c r="CB235" s="1429"/>
      <c r="CC235" s="1429"/>
      <c r="CD235" s="1429"/>
      <c r="CE235" s="1429"/>
      <c r="CF235" s="1429"/>
      <c r="CG235" s="1429"/>
      <c r="CH235" s="1432"/>
      <c r="CI235" s="1432"/>
      <c r="CJ235" s="1432"/>
      <c r="CK235" s="1432"/>
      <c r="CL235" s="1432"/>
      <c r="CM235" s="1432"/>
      <c r="CN235" s="1432"/>
      <c r="CO235" s="1432"/>
    </row>
    <row r="236" spans="1:93" ht="21.6" customHeight="1" x14ac:dyDescent="0.3">
      <c r="A236" s="7320">
        <v>29101479</v>
      </c>
      <c r="B236" s="10636" t="s">
        <v>70</v>
      </c>
      <c r="C236" s="10637"/>
      <c r="D236" s="7576" t="s">
        <v>5369</v>
      </c>
      <c r="E236" s="7576" t="s">
        <v>5370</v>
      </c>
      <c r="F236" s="7577" t="s">
        <v>5371</v>
      </c>
    </row>
    <row r="237" spans="1:93" x14ac:dyDescent="0.3">
      <c r="A237" s="7519"/>
      <c r="B237" s="10638" t="s">
        <v>24</v>
      </c>
      <c r="C237" s="10639"/>
      <c r="D237" s="7588">
        <f>+SUM(D212:D236)</f>
        <v>0</v>
      </c>
      <c r="E237" s="7588">
        <f>+SUM(E212:E236)</f>
        <v>0</v>
      </c>
      <c r="F237" s="7588">
        <f>+SUM(F212:F236)</f>
        <v>0</v>
      </c>
    </row>
    <row r="238" spans="1:93" ht="29.4" customHeight="1" x14ac:dyDescent="0.3">
      <c r="A238"/>
      <c r="B238" s="7582" t="s">
        <v>3232</v>
      </c>
      <c r="C238" s="2384"/>
      <c r="D238" s="2384"/>
      <c r="E238" s="2384"/>
      <c r="F238" s="2385"/>
    </row>
    <row r="239" spans="1:93" ht="21" customHeight="1" x14ac:dyDescent="0.3">
      <c r="A239"/>
      <c r="B239" s="10514" t="s">
        <v>3233</v>
      </c>
      <c r="C239" s="10514"/>
      <c r="D239" s="7604" t="s">
        <v>24</v>
      </c>
      <c r="E239" s="7605" t="s">
        <v>1605</v>
      </c>
      <c r="F239" s="7606" t="s">
        <v>1604</v>
      </c>
    </row>
    <row r="240" spans="1:93" x14ac:dyDescent="0.3">
      <c r="A240" s="7320">
        <v>29101480</v>
      </c>
      <c r="B240" s="10515" t="s">
        <v>3234</v>
      </c>
      <c r="C240" s="10515"/>
      <c r="D240" s="7607" t="s">
        <v>5369</v>
      </c>
      <c r="E240" s="7608" t="s">
        <v>5370</v>
      </c>
      <c r="F240" s="7609" t="s">
        <v>5371</v>
      </c>
    </row>
    <row r="241" spans="1:6" x14ac:dyDescent="0.3">
      <c r="A241" s="7320">
        <v>29101481</v>
      </c>
      <c r="B241" s="10513" t="s">
        <v>3235</v>
      </c>
      <c r="C241" s="10513"/>
      <c r="D241" s="7607" t="s">
        <v>5369</v>
      </c>
      <c r="E241" s="7608" t="s">
        <v>5370</v>
      </c>
      <c r="F241" s="7609" t="s">
        <v>5371</v>
      </c>
    </row>
    <row r="242" spans="1:6" x14ac:dyDescent="0.3">
      <c r="A242" s="7519"/>
      <c r="B242" s="10516" t="s">
        <v>24</v>
      </c>
      <c r="C242" s="10516"/>
      <c r="D242" s="7611">
        <f>+SUM(D240:D241)</f>
        <v>0</v>
      </c>
      <c r="E242" s="7611">
        <f>+SUM(E240:E241)</f>
        <v>0</v>
      </c>
      <c r="F242" s="7612">
        <f>+SUM(F240:F241)</f>
        <v>0</v>
      </c>
    </row>
    <row r="243" spans="1:6" ht="27" customHeight="1" x14ac:dyDescent="0.3">
      <c r="A243"/>
      <c r="B243" s="7582" t="s">
        <v>3197</v>
      </c>
      <c r="C243" s="2384"/>
      <c r="D243" s="2384"/>
      <c r="E243" s="2384"/>
      <c r="F243" s="165"/>
    </row>
    <row r="244" spans="1:6" ht="22.2" customHeight="1" x14ac:dyDescent="0.3">
      <c r="A244"/>
      <c r="B244" s="7603" t="s">
        <v>3198</v>
      </c>
      <c r="C244" s="7603" t="s">
        <v>3199</v>
      </c>
      <c r="D244" s="7603" t="s">
        <v>1814</v>
      </c>
      <c r="E244" s="7603" t="s">
        <v>3200</v>
      </c>
      <c r="F244" s="165"/>
    </row>
    <row r="245" spans="1:6" x14ac:dyDescent="0.3">
      <c r="A245" s="7320">
        <v>29101482</v>
      </c>
      <c r="B245" s="10510" t="s">
        <v>3201</v>
      </c>
      <c r="C245" s="7613" t="s">
        <v>3202</v>
      </c>
      <c r="D245" s="7608" t="s">
        <v>5369</v>
      </c>
      <c r="E245" s="7614" t="s">
        <v>5370</v>
      </c>
      <c r="F245" s="165"/>
    </row>
    <row r="246" spans="1:6" x14ac:dyDescent="0.3">
      <c r="A246" s="7320">
        <v>29101483</v>
      </c>
      <c r="B246" s="10511"/>
      <c r="C246" s="7600" t="s">
        <v>3203</v>
      </c>
      <c r="D246" s="7608" t="s">
        <v>5369</v>
      </c>
      <c r="E246" s="7609" t="s">
        <v>5370</v>
      </c>
      <c r="F246" s="165"/>
    </row>
    <row r="247" spans="1:6" x14ac:dyDescent="0.3">
      <c r="A247" s="7320">
        <v>29101484</v>
      </c>
      <c r="B247" s="10511"/>
      <c r="C247" s="7600" t="s">
        <v>3204</v>
      </c>
      <c r="D247" s="7608" t="s">
        <v>5369</v>
      </c>
      <c r="E247" s="7609" t="s">
        <v>5370</v>
      </c>
      <c r="F247" s="165"/>
    </row>
    <row r="248" spans="1:6" x14ac:dyDescent="0.3">
      <c r="A248" s="7320">
        <v>29101485</v>
      </c>
      <c r="B248" s="10511"/>
      <c r="C248" s="7600" t="s">
        <v>3205</v>
      </c>
      <c r="D248" s="7608" t="s">
        <v>5369</v>
      </c>
      <c r="E248" s="7609" t="s">
        <v>5370</v>
      </c>
      <c r="F248" s="165"/>
    </row>
    <row r="249" spans="1:6" ht="24" customHeight="1" x14ac:dyDescent="0.3">
      <c r="A249" s="7320">
        <v>29101486</v>
      </c>
      <c r="B249" s="10511"/>
      <c r="C249" s="7600" t="s">
        <v>3206</v>
      </c>
      <c r="D249" s="7608" t="s">
        <v>5369</v>
      </c>
      <c r="E249" s="7609" t="s">
        <v>5370</v>
      </c>
      <c r="F249" s="165"/>
    </row>
    <row r="250" spans="1:6" ht="24.6" customHeight="1" x14ac:dyDescent="0.3">
      <c r="A250" s="7320">
        <v>29101487</v>
      </c>
      <c r="B250" s="10511"/>
      <c r="C250" s="7600" t="s">
        <v>3207</v>
      </c>
      <c r="D250" s="7608" t="s">
        <v>5369</v>
      </c>
      <c r="E250" s="7609" t="s">
        <v>5370</v>
      </c>
      <c r="F250" s="165"/>
    </row>
    <row r="251" spans="1:6" ht="16.2" customHeight="1" x14ac:dyDescent="0.3">
      <c r="A251" s="7320">
        <v>29101488</v>
      </c>
      <c r="B251" s="10511"/>
      <c r="C251" s="7600" t="s">
        <v>3208</v>
      </c>
      <c r="D251" s="7608" t="s">
        <v>5369</v>
      </c>
      <c r="E251" s="7609" t="s">
        <v>5370</v>
      </c>
      <c r="F251" s="165"/>
    </row>
    <row r="252" spans="1:6" ht="26.4" customHeight="1" x14ac:dyDescent="0.3">
      <c r="A252" s="7320">
        <v>29101489</v>
      </c>
      <c r="B252" s="10511"/>
      <c r="C252" s="7600" t="s">
        <v>3209</v>
      </c>
      <c r="D252" s="7608" t="s">
        <v>5369</v>
      </c>
      <c r="E252" s="7609" t="s">
        <v>5370</v>
      </c>
      <c r="F252" s="165"/>
    </row>
    <row r="253" spans="1:6" ht="18.600000000000001" customHeight="1" x14ac:dyDescent="0.3">
      <c r="A253" s="7320">
        <v>29101490</v>
      </c>
      <c r="B253" s="10511"/>
      <c r="C253" s="7600" t="s">
        <v>3210</v>
      </c>
      <c r="D253" s="7608" t="s">
        <v>5369</v>
      </c>
      <c r="E253" s="7609" t="s">
        <v>5370</v>
      </c>
      <c r="F253" s="165"/>
    </row>
    <row r="254" spans="1:6" x14ac:dyDescent="0.3">
      <c r="A254" s="7320">
        <v>29101491</v>
      </c>
      <c r="B254" s="10511"/>
      <c r="C254" s="7600" t="s">
        <v>3211</v>
      </c>
      <c r="D254" s="7608" t="s">
        <v>5369</v>
      </c>
      <c r="E254" s="7609" t="s">
        <v>5370</v>
      </c>
      <c r="F254" s="165"/>
    </row>
    <row r="255" spans="1:6" ht="15.6" customHeight="1" x14ac:dyDescent="0.3">
      <c r="A255" s="7320">
        <v>29101492</v>
      </c>
      <c r="B255" s="10511"/>
      <c r="C255" s="7600" t="s">
        <v>3212</v>
      </c>
      <c r="D255" s="7608" t="s">
        <v>5369</v>
      </c>
      <c r="E255" s="7609" t="s">
        <v>5370</v>
      </c>
      <c r="F255" s="165"/>
    </row>
    <row r="256" spans="1:6" x14ac:dyDescent="0.3">
      <c r="A256" s="7320">
        <v>29101493</v>
      </c>
      <c r="B256" s="10511"/>
      <c r="C256" s="7600" t="s">
        <v>3213</v>
      </c>
      <c r="D256" s="7608" t="s">
        <v>5369</v>
      </c>
      <c r="E256" s="7609" t="s">
        <v>5370</v>
      </c>
      <c r="F256" s="165"/>
    </row>
    <row r="257" spans="1:111" x14ac:dyDescent="0.3">
      <c r="A257" s="7320">
        <v>29101494</v>
      </c>
      <c r="B257" s="10511"/>
      <c r="C257" s="7602" t="s">
        <v>3214</v>
      </c>
      <c r="D257" s="7596" t="s">
        <v>5369</v>
      </c>
      <c r="E257" s="7586" t="s">
        <v>5370</v>
      </c>
      <c r="F257" s="165"/>
    </row>
    <row r="258" spans="1:111" x14ac:dyDescent="0.3">
      <c r="A258" s="7320"/>
      <c r="B258" s="10512"/>
      <c r="C258" s="7615" t="s">
        <v>3215</v>
      </c>
      <c r="D258" s="7616">
        <f>SUM(D245:D257)</f>
        <v>0</v>
      </c>
      <c r="E258" s="7617">
        <f>SUM(E245:E257)</f>
        <v>0</v>
      </c>
      <c r="F258" s="165"/>
    </row>
    <row r="259" spans="1:111" ht="11.25" customHeight="1" x14ac:dyDescent="0.3">
      <c r="A259" s="7320">
        <v>29101496</v>
      </c>
      <c r="B259" s="10510" t="s">
        <v>3216</v>
      </c>
      <c r="C259" s="7593" t="s">
        <v>3217</v>
      </c>
      <c r="D259" s="7618" t="s">
        <v>5369</v>
      </c>
      <c r="E259" s="7592" t="s">
        <v>5370</v>
      </c>
      <c r="F259" s="165"/>
      <c r="G259" s="165"/>
      <c r="H259" s="165"/>
      <c r="I259" s="165"/>
      <c r="J259" s="165"/>
      <c r="K259" s="165"/>
      <c r="L259" s="165"/>
      <c r="M259" s="165"/>
      <c r="N259" s="165"/>
      <c r="O259" s="165"/>
      <c r="P259" s="165"/>
      <c r="Q259" s="165"/>
      <c r="R259" s="165"/>
      <c r="S259" s="165"/>
      <c r="T259" s="165"/>
      <c r="U259" s="165"/>
      <c r="V259" s="165"/>
      <c r="W259" s="165"/>
      <c r="X259" s="165"/>
      <c r="Y259" s="165"/>
      <c r="Z259" s="165"/>
      <c r="AA259" s="165"/>
      <c r="AB259" s="165"/>
      <c r="AC259" s="165"/>
      <c r="AD259" s="165"/>
      <c r="AE259" s="165"/>
      <c r="AF259" s="165"/>
      <c r="AG259" s="165"/>
      <c r="AH259" s="165"/>
      <c r="AI259" s="165"/>
      <c r="AJ259" s="165"/>
      <c r="AK259" s="165"/>
      <c r="AL259" s="165"/>
      <c r="AM259" s="165"/>
      <c r="AN259" s="165"/>
      <c r="AO259" s="165"/>
      <c r="AP259" s="165"/>
      <c r="AQ259" s="165"/>
      <c r="AR259" s="165"/>
      <c r="AS259" s="165"/>
      <c r="AT259" s="165"/>
      <c r="AU259" s="165"/>
      <c r="AV259" s="165"/>
      <c r="AW259" s="165"/>
      <c r="AX259" s="165"/>
      <c r="AY259" s="165"/>
      <c r="AZ259" s="165"/>
      <c r="BA259" s="165"/>
      <c r="BB259" s="165"/>
      <c r="BC259" s="165"/>
      <c r="BD259" s="165"/>
      <c r="BE259" s="165"/>
      <c r="BF259" s="165"/>
      <c r="BG259" s="165"/>
      <c r="BH259" s="165"/>
      <c r="BI259" s="165"/>
      <c r="BJ259" s="165"/>
      <c r="BK259" s="165"/>
      <c r="BL259" s="165"/>
      <c r="BM259" s="165"/>
      <c r="BN259" s="165"/>
      <c r="BO259" s="165"/>
      <c r="BP259" s="165"/>
      <c r="BQ259" s="165"/>
      <c r="BR259" s="165"/>
      <c r="BS259" s="165"/>
      <c r="BT259" s="165"/>
      <c r="BU259" s="165"/>
      <c r="BV259" s="165"/>
      <c r="BW259" s="165"/>
      <c r="BX259" s="165"/>
      <c r="BY259" s="165"/>
      <c r="BZ259" s="1430"/>
      <c r="CA259" s="1430"/>
      <c r="CB259" s="1429"/>
      <c r="CC259" s="1429"/>
      <c r="CD259" s="1429"/>
      <c r="CE259" s="1429"/>
      <c r="CF259" s="1429"/>
      <c r="CG259" s="1429"/>
      <c r="CH259" s="1429"/>
      <c r="CI259" s="1429"/>
      <c r="CJ259" s="1429"/>
      <c r="CK259" s="1429"/>
      <c r="CL259" s="1429"/>
      <c r="CM259" s="1429"/>
      <c r="CN259" s="1429"/>
      <c r="CO259" s="1429"/>
      <c r="CP259" s="1429"/>
    </row>
    <row r="260" spans="1:111" s="1418" customFormat="1" ht="13.8" x14ac:dyDescent="0.25">
      <c r="A260" s="7320">
        <v>29101497</v>
      </c>
      <c r="B260" s="10511"/>
      <c r="C260" s="7600" t="s">
        <v>3218</v>
      </c>
      <c r="D260" s="7608" t="s">
        <v>5369</v>
      </c>
      <c r="E260" s="7609" t="s">
        <v>5370</v>
      </c>
      <c r="F260" s="165"/>
      <c r="G260" s="290"/>
      <c r="H260" s="290"/>
      <c r="I260" s="290"/>
      <c r="J260" s="290"/>
      <c r="K260" s="290"/>
      <c r="L260" s="290"/>
      <c r="M260" s="290"/>
      <c r="N260" s="290"/>
      <c r="O260" s="290"/>
      <c r="P260" s="290"/>
      <c r="Q260" s="290"/>
      <c r="R260" s="290"/>
      <c r="S260" s="290"/>
      <c r="T260" s="290"/>
      <c r="U260" s="290"/>
      <c r="V260" s="290"/>
      <c r="W260" s="290"/>
      <c r="X260" s="290"/>
      <c r="Y260" s="290"/>
      <c r="Z260" s="290"/>
      <c r="AA260" s="290"/>
      <c r="AB260" s="290"/>
      <c r="AC260" s="290"/>
      <c r="AD260" s="290"/>
      <c r="AE260" s="290"/>
      <c r="AF260" s="290"/>
      <c r="AG260" s="290"/>
      <c r="AH260" s="290"/>
      <c r="AI260" s="290"/>
      <c r="AJ260" s="290"/>
      <c r="AK260" s="290"/>
      <c r="AL260" s="290"/>
      <c r="AM260" s="290"/>
      <c r="AN260" s="290"/>
      <c r="AO260" s="290"/>
      <c r="AP260" s="290"/>
      <c r="AQ260" s="290"/>
      <c r="AR260" s="290"/>
      <c r="AS260" s="290"/>
      <c r="AT260" s="290"/>
      <c r="AU260" s="290"/>
      <c r="AV260" s="290"/>
      <c r="AW260" s="290"/>
      <c r="AX260" s="290"/>
      <c r="AY260" s="290"/>
      <c r="AZ260" s="290"/>
      <c r="BA260" s="290"/>
      <c r="BB260" s="290"/>
      <c r="BC260" s="290"/>
      <c r="BD260" s="290"/>
      <c r="BE260" s="290"/>
      <c r="BF260" s="290"/>
      <c r="BG260" s="290"/>
      <c r="BH260" s="290"/>
      <c r="BI260" s="290"/>
      <c r="BJ260" s="290"/>
      <c r="BK260" s="290"/>
      <c r="BL260" s="290"/>
      <c r="BM260" s="290"/>
      <c r="BN260" s="290"/>
      <c r="BO260" s="290"/>
      <c r="BP260" s="290"/>
      <c r="BQ260" s="290"/>
      <c r="BR260" s="290"/>
      <c r="BS260" s="290"/>
      <c r="BT260" s="290"/>
      <c r="BU260" s="290"/>
      <c r="BV260" s="290"/>
      <c r="BW260" s="290"/>
      <c r="BX260" s="290"/>
      <c r="BY260" s="290"/>
      <c r="BZ260" s="1438"/>
      <c r="CA260" s="1438"/>
      <c r="CB260" s="1438"/>
      <c r="CC260" s="1438"/>
      <c r="CD260" s="1438"/>
      <c r="CE260" s="1438"/>
      <c r="CF260" s="1438"/>
      <c r="CG260" s="1438"/>
      <c r="CH260" s="1438"/>
      <c r="CI260" s="1438"/>
      <c r="CJ260" s="1438"/>
      <c r="CK260" s="1438"/>
      <c r="CL260" s="1438"/>
      <c r="CM260" s="1438"/>
      <c r="CN260" s="1438"/>
      <c r="CO260" s="1438"/>
      <c r="CP260" s="1438"/>
      <c r="CQ260" s="290"/>
      <c r="CR260" s="290"/>
      <c r="CS260" s="290"/>
      <c r="CT260" s="290"/>
      <c r="CU260" s="290"/>
      <c r="CV260" s="290"/>
      <c r="CW260" s="290"/>
      <c r="CX260" s="290"/>
      <c r="CY260" s="290"/>
      <c r="CZ260" s="290"/>
      <c r="DA260" s="290"/>
      <c r="DB260" s="290"/>
      <c r="DC260" s="290"/>
      <c r="DD260" s="290"/>
      <c r="DE260" s="290"/>
      <c r="DF260" s="290"/>
      <c r="DG260" s="290"/>
    </row>
    <row r="261" spans="1:111" x14ac:dyDescent="0.3">
      <c r="A261" s="7320">
        <v>29101498</v>
      </c>
      <c r="B261" s="10511"/>
      <c r="C261" s="7602" t="s">
        <v>3219</v>
      </c>
      <c r="D261" s="7596" t="s">
        <v>5369</v>
      </c>
      <c r="E261" s="7586" t="s">
        <v>5370</v>
      </c>
      <c r="F261" s="165"/>
      <c r="G261" s="165"/>
      <c r="H261" s="165"/>
      <c r="I261" s="165"/>
      <c r="J261" s="165"/>
      <c r="K261" s="165"/>
      <c r="L261" s="165"/>
      <c r="M261" s="165"/>
      <c r="N261" s="165"/>
      <c r="O261" s="165"/>
      <c r="P261" s="165"/>
      <c r="Q261" s="165"/>
      <c r="R261" s="165"/>
      <c r="S261" s="165"/>
      <c r="T261" s="165"/>
      <c r="U261" s="165"/>
      <c r="V261" s="165"/>
      <c r="W261" s="165"/>
      <c r="X261" s="165"/>
      <c r="Y261" s="165"/>
      <c r="Z261" s="165"/>
      <c r="AA261" s="165"/>
      <c r="AB261" s="165"/>
      <c r="AC261" s="165"/>
      <c r="AD261" s="165"/>
      <c r="AE261" s="165"/>
      <c r="AF261" s="165"/>
      <c r="AG261" s="165"/>
      <c r="AH261" s="165"/>
      <c r="AI261" s="165"/>
      <c r="AJ261" s="165"/>
      <c r="AK261" s="165"/>
      <c r="AL261" s="165"/>
      <c r="AM261" s="165"/>
      <c r="AN261" s="165"/>
      <c r="AO261" s="165"/>
      <c r="AP261" s="165"/>
      <c r="AQ261" s="165"/>
      <c r="AR261" s="165"/>
      <c r="AS261" s="165"/>
      <c r="AT261" s="165"/>
      <c r="AU261" s="165"/>
      <c r="AV261" s="165"/>
      <c r="AW261" s="165"/>
      <c r="AX261" s="165"/>
      <c r="AY261" s="165"/>
      <c r="AZ261" s="165"/>
      <c r="BA261" s="165"/>
      <c r="BB261" s="165"/>
      <c r="BC261" s="165"/>
      <c r="BD261" s="165"/>
      <c r="BE261" s="165"/>
      <c r="BF261" s="165"/>
      <c r="BG261" s="165"/>
      <c r="BH261" s="165"/>
      <c r="BI261" s="165"/>
      <c r="BJ261" s="165"/>
      <c r="BK261" s="165"/>
      <c r="BL261" s="165"/>
      <c r="BM261" s="165"/>
      <c r="BN261" s="165"/>
      <c r="BO261" s="165"/>
      <c r="BP261" s="165"/>
      <c r="BQ261" s="165"/>
      <c r="BR261" s="165"/>
      <c r="BS261" s="165"/>
      <c r="BT261" s="165"/>
      <c r="BU261" s="165"/>
      <c r="BV261" s="165"/>
      <c r="BW261" s="165"/>
      <c r="BX261" s="165"/>
      <c r="BY261" s="165"/>
      <c r="BZ261" s="1430"/>
      <c r="CA261" s="1430"/>
      <c r="CB261" s="1429"/>
      <c r="CC261" s="1429"/>
      <c r="CD261" s="1429"/>
      <c r="CE261" s="1429"/>
      <c r="CF261" s="1429"/>
      <c r="CG261" s="1429"/>
      <c r="CH261" s="1429"/>
      <c r="CI261" s="1429"/>
      <c r="CJ261" s="1429"/>
      <c r="CK261" s="1429"/>
      <c r="CL261" s="1429"/>
      <c r="CM261" s="1429"/>
      <c r="CN261" s="1429"/>
      <c r="CO261" s="1429"/>
      <c r="CP261" s="1429"/>
    </row>
    <row r="262" spans="1:111" x14ac:dyDescent="0.3">
      <c r="A262" s="7320"/>
      <c r="B262" s="10512"/>
      <c r="C262" s="7615" t="s">
        <v>3220</v>
      </c>
      <c r="D262" s="7616">
        <f>SUM(D259:D261)</f>
        <v>0</v>
      </c>
      <c r="E262" s="7617">
        <f>SUM(E259:E261)</f>
        <v>0</v>
      </c>
      <c r="F262" s="165"/>
    </row>
    <row r="263" spans="1:111" x14ac:dyDescent="0.3">
      <c r="A263" s="7320">
        <v>29101500</v>
      </c>
      <c r="B263" s="10510" t="s">
        <v>3221</v>
      </c>
      <c r="C263" s="7593" t="s">
        <v>3222</v>
      </c>
      <c r="D263" s="7618" t="s">
        <v>5369</v>
      </c>
      <c r="E263" s="7592" t="s">
        <v>5370</v>
      </c>
      <c r="F263" s="165"/>
    </row>
    <row r="264" spans="1:111" x14ac:dyDescent="0.3">
      <c r="A264" s="7320">
        <v>29101501</v>
      </c>
      <c r="B264" s="10511"/>
      <c r="C264" s="7600" t="s">
        <v>3223</v>
      </c>
      <c r="D264" s="7608" t="s">
        <v>5369</v>
      </c>
      <c r="E264" s="7609" t="s">
        <v>5370</v>
      </c>
      <c r="F264" s="165"/>
    </row>
    <row r="265" spans="1:111" x14ac:dyDescent="0.3">
      <c r="A265" s="7320">
        <v>29101502</v>
      </c>
      <c r="B265" s="10511"/>
      <c r="C265" s="7600" t="s">
        <v>3224</v>
      </c>
      <c r="D265" s="7608" t="s">
        <v>5369</v>
      </c>
      <c r="E265" s="7609" t="s">
        <v>5370</v>
      </c>
      <c r="F265" s="165"/>
    </row>
    <row r="266" spans="1:111" x14ac:dyDescent="0.3">
      <c r="A266" s="7320">
        <v>29101503</v>
      </c>
      <c r="B266" s="10511"/>
      <c r="C266" s="7602" t="s">
        <v>3225</v>
      </c>
      <c r="D266" s="7596" t="s">
        <v>5369</v>
      </c>
      <c r="E266" s="7586" t="s">
        <v>5370</v>
      </c>
    </row>
    <row r="267" spans="1:111" x14ac:dyDescent="0.3">
      <c r="A267" s="7320"/>
      <c r="B267" s="10512"/>
      <c r="C267" s="7615" t="s">
        <v>3226</v>
      </c>
      <c r="D267" s="7616">
        <f>SUM(D263:D266)</f>
        <v>0</v>
      </c>
      <c r="E267" s="7617">
        <f>SUM(E263:E266)</f>
        <v>0</v>
      </c>
    </row>
    <row r="268" spans="1:111" x14ac:dyDescent="0.3">
      <c r="A268" s="7320">
        <v>29101505</v>
      </c>
      <c r="B268" s="10510" t="s">
        <v>3227</v>
      </c>
      <c r="C268" s="7593" t="s">
        <v>3228</v>
      </c>
      <c r="D268" s="7618" t="s">
        <v>5369</v>
      </c>
      <c r="E268" s="7592" t="s">
        <v>5370</v>
      </c>
    </row>
    <row r="269" spans="1:111" x14ac:dyDescent="0.3">
      <c r="A269" s="7320">
        <v>29101506</v>
      </c>
      <c r="B269" s="10511"/>
      <c r="C269" s="7600" t="s">
        <v>3229</v>
      </c>
      <c r="D269" s="7608" t="s">
        <v>5369</v>
      </c>
      <c r="E269" s="7609" t="s">
        <v>5370</v>
      </c>
    </row>
    <row r="270" spans="1:111" x14ac:dyDescent="0.3">
      <c r="A270" s="7320">
        <v>29101507</v>
      </c>
      <c r="B270" s="10511"/>
      <c r="C270" s="7602" t="s">
        <v>3230</v>
      </c>
      <c r="D270" s="7596" t="s">
        <v>5369</v>
      </c>
      <c r="E270" s="7586" t="s">
        <v>5370</v>
      </c>
    </row>
    <row r="271" spans="1:111" x14ac:dyDescent="0.3">
      <c r="A271" s="7320"/>
      <c r="B271" s="10513"/>
      <c r="C271" s="7615" t="s">
        <v>3231</v>
      </c>
      <c r="D271" s="7619">
        <f>SUM(D268:D270)</f>
        <v>0</v>
      </c>
      <c r="E271" s="7617">
        <f>SUM(E268:E270)</f>
        <v>0</v>
      </c>
    </row>
    <row r="272" spans="1:111" x14ac:dyDescent="0.3">
      <c r="A272" s="7519"/>
      <c r="B272" s="10626" t="s">
        <v>24</v>
      </c>
      <c r="C272" s="10627"/>
      <c r="D272" s="7621">
        <f>+D258+D262+D267+D271</f>
        <v>0</v>
      </c>
      <c r="E272" s="7621">
        <f>+E258+E262+E267+E271</f>
        <v>0</v>
      </c>
    </row>
    <row r="273" spans="1:5" ht="31.95" customHeight="1" x14ac:dyDescent="0.3">
      <c r="A273"/>
      <c r="B273" s="7582" t="s">
        <v>3192</v>
      </c>
      <c r="C273" s="2384"/>
      <c r="D273" s="2384"/>
      <c r="E273" s="2384"/>
    </row>
    <row r="274" spans="1:5" ht="30" customHeight="1" x14ac:dyDescent="0.3">
      <c r="A274"/>
      <c r="B274" s="7620" t="s">
        <v>3193</v>
      </c>
      <c r="C274" s="7620" t="s">
        <v>3430</v>
      </c>
      <c r="D274" s="7622" t="s">
        <v>3428</v>
      </c>
      <c r="E274" s="7622" t="s">
        <v>3429</v>
      </c>
    </row>
    <row r="275" spans="1:5" x14ac:dyDescent="0.3">
      <c r="A275" s="7320">
        <v>29101509</v>
      </c>
      <c r="B275" s="7623" t="s">
        <v>3194</v>
      </c>
      <c r="C275" s="7608" t="s">
        <v>5369</v>
      </c>
      <c r="D275" s="7608" t="s">
        <v>5370</v>
      </c>
      <c r="E275" s="7609" t="s">
        <v>5371</v>
      </c>
    </row>
    <row r="276" spans="1:5" x14ac:dyDescent="0.3">
      <c r="A276" s="7320">
        <v>29101510</v>
      </c>
      <c r="B276" s="7624" t="s">
        <v>3195</v>
      </c>
      <c r="C276" s="7608" t="s">
        <v>5369</v>
      </c>
      <c r="D276" s="7608" t="s">
        <v>5370</v>
      </c>
      <c r="E276" s="7609" t="s">
        <v>5371</v>
      </c>
    </row>
    <row r="277" spans="1:5" x14ac:dyDescent="0.3">
      <c r="A277" s="7320">
        <v>29101511</v>
      </c>
      <c r="B277" s="7585" t="s">
        <v>3196</v>
      </c>
      <c r="C277" s="7608" t="s">
        <v>5369</v>
      </c>
      <c r="D277" s="7608" t="s">
        <v>5370</v>
      </c>
      <c r="E277" s="7609" t="s">
        <v>5371</v>
      </c>
    </row>
    <row r="278" spans="1:5" x14ac:dyDescent="0.3">
      <c r="A278" s="7519"/>
      <c r="B278" s="7610" t="s">
        <v>24</v>
      </c>
      <c r="C278" s="7625">
        <f>+SUM(C275:C277)</f>
        <v>0</v>
      </c>
      <c r="D278" s="7625">
        <f>+SUM(D275:D277)</f>
        <v>0</v>
      </c>
      <c r="E278" s="7612">
        <f>+SUM(E275:E277)</f>
        <v>0</v>
      </c>
    </row>
    <row r="279" spans="1:5" ht="27" customHeight="1" x14ac:dyDescent="0.3">
      <c r="A279"/>
      <c r="B279" s="3518" t="s">
        <v>3180</v>
      </c>
      <c r="D279" s="165"/>
      <c r="E279" s="165"/>
    </row>
    <row r="280" spans="1:5" ht="20.25" customHeight="1" x14ac:dyDescent="0.3">
      <c r="A280"/>
      <c r="B280" s="7582" t="s">
        <v>3427</v>
      </c>
      <c r="C280" s="2384"/>
      <c r="D280" s="2385"/>
      <c r="E280" s="165"/>
    </row>
    <row r="281" spans="1:5" x14ac:dyDescent="0.3">
      <c r="A281"/>
      <c r="B281" s="10628" t="s">
        <v>3181</v>
      </c>
      <c r="C281" s="10629"/>
      <c r="D281" s="7626" t="s">
        <v>3191</v>
      </c>
      <c r="E281" s="165"/>
    </row>
    <row r="282" spans="1:5" x14ac:dyDescent="0.3">
      <c r="A282" s="7320">
        <v>29101512</v>
      </c>
      <c r="B282" s="10630" t="s">
        <v>3182</v>
      </c>
      <c r="C282" s="10631"/>
      <c r="D282" s="7609" t="s">
        <v>5369</v>
      </c>
      <c r="E282" s="165"/>
    </row>
    <row r="283" spans="1:5" x14ac:dyDescent="0.3">
      <c r="A283" s="7320">
        <v>29101513</v>
      </c>
      <c r="B283" s="10632" t="s">
        <v>3183</v>
      </c>
      <c r="C283" s="10633"/>
      <c r="D283" s="7609" t="s">
        <v>5369</v>
      </c>
      <c r="E283" s="165"/>
    </row>
    <row r="284" spans="1:5" x14ac:dyDescent="0.3">
      <c r="A284" s="7320">
        <v>29101514</v>
      </c>
      <c r="B284" s="10632" t="s">
        <v>3184</v>
      </c>
      <c r="C284" s="10633"/>
      <c r="D284" s="7609" t="s">
        <v>5369</v>
      </c>
      <c r="E284" s="165"/>
    </row>
    <row r="285" spans="1:5" x14ac:dyDescent="0.3">
      <c r="A285" s="7320">
        <v>29101515</v>
      </c>
      <c r="B285" s="10632" t="s">
        <v>3185</v>
      </c>
      <c r="C285" s="10633"/>
      <c r="D285" s="7609" t="s">
        <v>5369</v>
      </c>
      <c r="E285" s="165"/>
    </row>
    <row r="286" spans="1:5" ht="24" customHeight="1" x14ac:dyDescent="0.3">
      <c r="A286" s="7320">
        <v>29101516</v>
      </c>
      <c r="B286" s="10634" t="s">
        <v>3186</v>
      </c>
      <c r="C286" s="10635"/>
      <c r="D286" s="7609" t="s">
        <v>5369</v>
      </c>
      <c r="E286" s="165"/>
    </row>
    <row r="287" spans="1:5" ht="23.25" customHeight="1" x14ac:dyDescent="0.3">
      <c r="A287" s="7320">
        <v>29101517</v>
      </c>
      <c r="B287" s="10634" t="s">
        <v>3187</v>
      </c>
      <c r="C287" s="10635"/>
      <c r="D287" s="7609" t="s">
        <v>5369</v>
      </c>
      <c r="E287" s="165"/>
    </row>
    <row r="288" spans="1:5" ht="23.25" customHeight="1" x14ac:dyDescent="0.3">
      <c r="A288" s="7320">
        <v>29101518</v>
      </c>
      <c r="B288" s="10634" t="s">
        <v>3188</v>
      </c>
      <c r="C288" s="10635"/>
      <c r="D288" s="7609" t="s">
        <v>5369</v>
      </c>
      <c r="E288" s="165"/>
    </row>
    <row r="289" spans="1:6" ht="26.25" customHeight="1" x14ac:dyDescent="0.3">
      <c r="A289" s="7320">
        <v>29101519</v>
      </c>
      <c r="B289" s="10634" t="s">
        <v>3189</v>
      </c>
      <c r="C289" s="10635"/>
      <c r="D289" s="7609" t="s">
        <v>5369</v>
      </c>
      <c r="E289" s="165"/>
      <c r="F289" s="165"/>
    </row>
    <row r="290" spans="1:6" x14ac:dyDescent="0.3">
      <c r="A290" s="7320">
        <v>29101520</v>
      </c>
      <c r="B290" s="10622" t="s">
        <v>3190</v>
      </c>
      <c r="C290" s="10623"/>
      <c r="D290" s="7609" t="s">
        <v>5369</v>
      </c>
      <c r="E290" s="165"/>
      <c r="F290" s="290"/>
    </row>
    <row r="291" spans="1:6" x14ac:dyDescent="0.3">
      <c r="A291" s="7519"/>
      <c r="B291" s="10624" t="s">
        <v>24</v>
      </c>
      <c r="C291" s="10625"/>
      <c r="D291" s="7621">
        <f>+SUM(D282:D290)</f>
        <v>0</v>
      </c>
      <c r="E291" s="165"/>
      <c r="F291" s="165"/>
    </row>
    <row r="292" spans="1:6" ht="27" customHeight="1" x14ac:dyDescent="0.3">
      <c r="A292"/>
      <c r="B292" s="7582" t="s">
        <v>3426</v>
      </c>
      <c r="C292" s="2384"/>
      <c r="D292" s="165"/>
      <c r="E292" s="165"/>
    </row>
    <row r="293" spans="1:6" x14ac:dyDescent="0.3">
      <c r="A293"/>
      <c r="B293" s="7627" t="s">
        <v>3172</v>
      </c>
      <c r="C293" s="7628" t="s">
        <v>3173</v>
      </c>
      <c r="D293" s="165"/>
      <c r="E293" s="165"/>
    </row>
    <row r="294" spans="1:6" x14ac:dyDescent="0.3">
      <c r="A294" s="7320">
        <v>29101521</v>
      </c>
      <c r="B294" s="7574" t="s">
        <v>3174</v>
      </c>
      <c r="C294" s="7609" t="s">
        <v>5369</v>
      </c>
      <c r="D294" s="165"/>
      <c r="E294" s="165"/>
    </row>
    <row r="295" spans="1:6" x14ac:dyDescent="0.3">
      <c r="A295" s="7320">
        <v>29101522</v>
      </c>
      <c r="B295" s="7578" t="s">
        <v>3175</v>
      </c>
      <c r="C295" s="7609" t="s">
        <v>5369</v>
      </c>
      <c r="D295" s="165"/>
      <c r="E295" s="165"/>
    </row>
    <row r="296" spans="1:6" x14ac:dyDescent="0.3">
      <c r="A296" s="7320">
        <v>29101523</v>
      </c>
      <c r="B296" s="7578" t="s">
        <v>3176</v>
      </c>
      <c r="C296" s="7609" t="s">
        <v>5369</v>
      </c>
      <c r="D296" s="165"/>
      <c r="E296" s="165"/>
    </row>
    <row r="297" spans="1:6" x14ac:dyDescent="0.3">
      <c r="A297" s="7320">
        <v>29101524</v>
      </c>
      <c r="B297" s="7578" t="s">
        <v>3177</v>
      </c>
      <c r="C297" s="7609" t="s">
        <v>5369</v>
      </c>
      <c r="D297" s="165"/>
      <c r="E297" s="165"/>
    </row>
    <row r="298" spans="1:6" x14ac:dyDescent="0.3">
      <c r="A298" s="7320">
        <v>29101525</v>
      </c>
      <c r="B298" s="7578" t="s">
        <v>3178</v>
      </c>
      <c r="C298" s="7609" t="s">
        <v>5369</v>
      </c>
    </row>
    <row r="299" spans="1:6" x14ac:dyDescent="0.3">
      <c r="A299" s="7320">
        <v>29101526</v>
      </c>
      <c r="B299" s="7579" t="s">
        <v>3179</v>
      </c>
      <c r="C299" s="7609" t="s">
        <v>5369</v>
      </c>
    </row>
    <row r="300" spans="1:6" x14ac:dyDescent="0.3">
      <c r="A300" s="7519"/>
      <c r="B300" s="7629" t="s">
        <v>24</v>
      </c>
      <c r="C300" s="7588">
        <f>+SUM(C294:C299)</f>
        <v>0</v>
      </c>
    </row>
    <row r="303" spans="1:6" x14ac:dyDescent="0.3">
      <c r="A303" s="1192" t="s">
        <v>4068</v>
      </c>
    </row>
    <row r="304" spans="1:6" x14ac:dyDescent="0.3">
      <c r="A304" s="7320">
        <v>29101388</v>
      </c>
    </row>
    <row r="305" spans="1:1" x14ac:dyDescent="0.3">
      <c r="A305" s="7320">
        <v>29101389</v>
      </c>
    </row>
    <row r="306" spans="1:1" x14ac:dyDescent="0.3">
      <c r="A306" s="7320">
        <v>29101390</v>
      </c>
    </row>
    <row r="307" spans="1:1" x14ac:dyDescent="0.3">
      <c r="A307" s="7320">
        <v>29101391</v>
      </c>
    </row>
    <row r="308" spans="1:1" x14ac:dyDescent="0.3">
      <c r="A308" s="7320">
        <v>29101392</v>
      </c>
    </row>
    <row r="309" spans="1:1" x14ac:dyDescent="0.3">
      <c r="A309" s="7320">
        <v>29101393</v>
      </c>
    </row>
    <row r="310" spans="1:1" x14ac:dyDescent="0.3">
      <c r="A310" s="7320">
        <v>29101394</v>
      </c>
    </row>
    <row r="311" spans="1:1" x14ac:dyDescent="0.3">
      <c r="A311" s="7320">
        <v>29101395</v>
      </c>
    </row>
    <row r="312" spans="1:1" x14ac:dyDescent="0.3">
      <c r="A312" s="7320">
        <v>29101396</v>
      </c>
    </row>
    <row r="313" spans="1:1" x14ac:dyDescent="0.3">
      <c r="A313" s="7320">
        <v>29101397</v>
      </c>
    </row>
    <row r="314" spans="1:1" x14ac:dyDescent="0.3">
      <c r="A314" s="7320">
        <v>29101398</v>
      </c>
    </row>
    <row r="315" spans="1:1" x14ac:dyDescent="0.3">
      <c r="A315" s="7320">
        <v>29101399</v>
      </c>
    </row>
    <row r="316" spans="1:1" x14ac:dyDescent="0.3">
      <c r="A316" s="7320">
        <v>29101400</v>
      </c>
    </row>
    <row r="317" spans="1:1" x14ac:dyDescent="0.3">
      <c r="A317" s="7320">
        <v>29101401</v>
      </c>
    </row>
    <row r="318" spans="1:1" x14ac:dyDescent="0.3">
      <c r="A318" s="7320">
        <v>29101402</v>
      </c>
    </row>
    <row r="319" spans="1:1" x14ac:dyDescent="0.3">
      <c r="A319" s="7320">
        <v>29101403</v>
      </c>
    </row>
    <row r="320" spans="1:1" x14ac:dyDescent="0.3">
      <c r="A320" s="7320">
        <v>29101404</v>
      </c>
    </row>
    <row r="321" spans="1:5" x14ac:dyDescent="0.3">
      <c r="A321" s="7320">
        <v>29101405</v>
      </c>
    </row>
    <row r="322" spans="1:5" x14ac:dyDescent="0.3">
      <c r="A322" s="7320">
        <v>29101406</v>
      </c>
    </row>
    <row r="323" spans="1:5" x14ac:dyDescent="0.3">
      <c r="A323" s="7320">
        <v>29101407</v>
      </c>
    </row>
    <row r="324" spans="1:5" x14ac:dyDescent="0.3">
      <c r="A324" s="7320">
        <v>29101408</v>
      </c>
    </row>
    <row r="325" spans="1:5" x14ac:dyDescent="0.3">
      <c r="A325" s="7320">
        <v>29101409</v>
      </c>
    </row>
    <row r="326" spans="1:5" x14ac:dyDescent="0.3">
      <c r="A326" s="7320">
        <v>29101410</v>
      </c>
    </row>
    <row r="327" spans="1:5" x14ac:dyDescent="0.3">
      <c r="A327" s="7320">
        <v>29101411</v>
      </c>
    </row>
    <row r="328" spans="1:5" x14ac:dyDescent="0.3">
      <c r="A328" s="7320">
        <v>29101412</v>
      </c>
    </row>
    <row r="329" spans="1:5" x14ac:dyDescent="0.3">
      <c r="A329" s="7320">
        <v>29101413</v>
      </c>
    </row>
    <row r="330" spans="1:5" x14ac:dyDescent="0.3">
      <c r="A330" s="7320">
        <v>29101414</v>
      </c>
    </row>
    <row r="331" spans="1:5" x14ac:dyDescent="0.3">
      <c r="A331" s="7320">
        <v>29101415</v>
      </c>
    </row>
    <row r="332" spans="1:5" x14ac:dyDescent="0.3">
      <c r="A332" s="7320">
        <v>29101416</v>
      </c>
    </row>
    <row r="333" spans="1:5" x14ac:dyDescent="0.3">
      <c r="A333" s="7320">
        <v>29101417</v>
      </c>
    </row>
    <row r="334" spans="1:5" x14ac:dyDescent="0.3">
      <c r="A334" s="7320">
        <v>29101418</v>
      </c>
      <c r="B334" s="165"/>
      <c r="C334" s="165"/>
      <c r="D334" s="165"/>
      <c r="E334" s="165"/>
    </row>
    <row r="335" spans="1:5" hidden="1" x14ac:dyDescent="0.3">
      <c r="A335" s="7320">
        <v>29101419</v>
      </c>
      <c r="B335" s="1418" t="e">
        <f>SUM(E15,E16:E17,E28,F31:F61,C67,D71:D84,D93:I93,D103:I103,D107:J112,D116:J121,C125:C129,C132:C136,D139:D144,D156,D159:D160,G189,C203,C209:E209,D237:F237,D242,D272:E272,C278:E278,D291,C300)</f>
        <v>#VALUE!</v>
      </c>
      <c r="C335" s="1418">
        <f>SUM(CH5:CO235)</f>
        <v>0</v>
      </c>
      <c r="D335" s="1418"/>
      <c r="E335" s="1418"/>
    </row>
    <row r="336" spans="1:5" x14ac:dyDescent="0.3">
      <c r="A336" s="7320">
        <v>29101420</v>
      </c>
      <c r="B336" s="165"/>
      <c r="C336" s="165"/>
      <c r="D336" s="165"/>
      <c r="E336" s="165"/>
    </row>
    <row r="337" spans="1:1" x14ac:dyDescent="0.3">
      <c r="A337" s="7320">
        <v>29101421</v>
      </c>
    </row>
    <row r="338" spans="1:1" x14ac:dyDescent="0.3">
      <c r="A338" s="7320">
        <v>29101422</v>
      </c>
    </row>
    <row r="339" spans="1:1" x14ac:dyDescent="0.3">
      <c r="A339" s="7320">
        <v>29101423</v>
      </c>
    </row>
    <row r="340" spans="1:1" x14ac:dyDescent="0.3">
      <c r="A340" s="7320">
        <v>29101424</v>
      </c>
    </row>
    <row r="341" spans="1:1" x14ac:dyDescent="0.3">
      <c r="A341" s="7320">
        <v>29101425</v>
      </c>
    </row>
    <row r="342" spans="1:1" x14ac:dyDescent="0.3">
      <c r="A342" s="7320">
        <v>29101426</v>
      </c>
    </row>
    <row r="343" spans="1:1" x14ac:dyDescent="0.3">
      <c r="A343" s="7320">
        <v>29101427</v>
      </c>
    </row>
    <row r="344" spans="1:1" x14ac:dyDescent="0.3">
      <c r="A344" s="7320">
        <v>29101428</v>
      </c>
    </row>
    <row r="345" spans="1:1" x14ac:dyDescent="0.3">
      <c r="A345" s="7320">
        <v>29101429</v>
      </c>
    </row>
    <row r="346" spans="1:1" x14ac:dyDescent="0.3">
      <c r="A346" s="7320">
        <v>29101430</v>
      </c>
    </row>
    <row r="347" spans="1:1" x14ac:dyDescent="0.3">
      <c r="A347" s="7320">
        <v>29101431</v>
      </c>
    </row>
    <row r="348" spans="1:1" x14ac:dyDescent="0.3">
      <c r="A348" s="7320">
        <v>29101432</v>
      </c>
    </row>
    <row r="349" spans="1:1" x14ac:dyDescent="0.3">
      <c r="A349" s="7320">
        <v>29101433</v>
      </c>
    </row>
    <row r="350" spans="1:1" x14ac:dyDescent="0.3">
      <c r="A350" s="7320">
        <v>29101434</v>
      </c>
    </row>
    <row r="351" spans="1:1" x14ac:dyDescent="0.3">
      <c r="A351" s="7320">
        <v>29101435</v>
      </c>
    </row>
    <row r="352" spans="1:1" x14ac:dyDescent="0.3">
      <c r="A352" s="7320">
        <v>29101436</v>
      </c>
    </row>
    <row r="353" spans="1:1" x14ac:dyDescent="0.3">
      <c r="A353" s="7320">
        <v>29101437</v>
      </c>
    </row>
    <row r="354" spans="1:1" x14ac:dyDescent="0.3">
      <c r="A354" s="7320">
        <v>29101438</v>
      </c>
    </row>
    <row r="355" spans="1:1" x14ac:dyDescent="0.3">
      <c r="A355" s="7320">
        <v>29101439</v>
      </c>
    </row>
    <row r="356" spans="1:1" x14ac:dyDescent="0.3">
      <c r="A356" s="7320">
        <v>29101440</v>
      </c>
    </row>
    <row r="357" spans="1:1" x14ac:dyDescent="0.3">
      <c r="A357" s="7320">
        <v>29101441</v>
      </c>
    </row>
    <row r="358" spans="1:1" x14ac:dyDescent="0.3">
      <c r="A358" s="7320">
        <v>29101442</v>
      </c>
    </row>
    <row r="359" spans="1:1" x14ac:dyDescent="0.3">
      <c r="A359" s="7320">
        <v>29101443</v>
      </c>
    </row>
    <row r="360" spans="1:1" x14ac:dyDescent="0.3">
      <c r="A360" s="7320">
        <v>29101444</v>
      </c>
    </row>
    <row r="361" spans="1:1" x14ac:dyDescent="0.3">
      <c r="A361" s="7320">
        <v>29101445</v>
      </c>
    </row>
    <row r="362" spans="1:1" x14ac:dyDescent="0.3">
      <c r="A362" s="7320">
        <v>29101446</v>
      </c>
    </row>
    <row r="363" spans="1:1" x14ac:dyDescent="0.3">
      <c r="A363" s="7320">
        <v>29101447</v>
      </c>
    </row>
    <row r="364" spans="1:1" x14ac:dyDescent="0.3">
      <c r="A364" s="7320">
        <v>29101448</v>
      </c>
    </row>
    <row r="365" spans="1:1" x14ac:dyDescent="0.3">
      <c r="A365" s="7320">
        <v>29101449</v>
      </c>
    </row>
    <row r="366" spans="1:1" x14ac:dyDescent="0.3">
      <c r="A366" s="7320">
        <v>29101450</v>
      </c>
    </row>
    <row r="367" spans="1:1" x14ac:dyDescent="0.3">
      <c r="A367" s="7320">
        <v>29101451</v>
      </c>
    </row>
    <row r="368" spans="1:1" x14ac:dyDescent="0.3">
      <c r="A368" s="7320">
        <v>29101452</v>
      </c>
    </row>
    <row r="369" spans="1:1" x14ac:dyDescent="0.3">
      <c r="A369" s="7320">
        <v>29101453</v>
      </c>
    </row>
    <row r="370" spans="1:1" x14ac:dyDescent="0.3">
      <c r="A370" s="7320">
        <v>29101454</v>
      </c>
    </row>
    <row r="371" spans="1:1" x14ac:dyDescent="0.3">
      <c r="A371" s="7320">
        <v>29101455</v>
      </c>
    </row>
    <row r="372" spans="1:1" x14ac:dyDescent="0.3">
      <c r="A372" s="7320">
        <v>29101456</v>
      </c>
    </row>
    <row r="373" spans="1:1" x14ac:dyDescent="0.3">
      <c r="A373" s="7320">
        <v>29101457</v>
      </c>
    </row>
    <row r="374" spans="1:1" x14ac:dyDescent="0.3">
      <c r="A374" s="7320">
        <v>29101458</v>
      </c>
    </row>
    <row r="375" spans="1:1" x14ac:dyDescent="0.3">
      <c r="A375" s="7320">
        <v>29101459</v>
      </c>
    </row>
    <row r="376" spans="1:1" x14ac:dyDescent="0.3">
      <c r="A376" s="7320">
        <v>29101460</v>
      </c>
    </row>
    <row r="377" spans="1:1" x14ac:dyDescent="0.3">
      <c r="A377" s="7320">
        <v>29101461</v>
      </c>
    </row>
    <row r="378" spans="1:1" x14ac:dyDescent="0.3">
      <c r="A378" s="7320">
        <v>29101462</v>
      </c>
    </row>
    <row r="379" spans="1:1" x14ac:dyDescent="0.3">
      <c r="A379" s="7320">
        <v>29101463</v>
      </c>
    </row>
    <row r="380" spans="1:1" x14ac:dyDescent="0.3">
      <c r="A380" s="7320">
        <v>29101464</v>
      </c>
    </row>
    <row r="381" spans="1:1" x14ac:dyDescent="0.3">
      <c r="A381" s="7320">
        <v>29101465</v>
      </c>
    </row>
    <row r="382" spans="1:1" x14ac:dyDescent="0.3">
      <c r="A382" s="7320">
        <v>29101466</v>
      </c>
    </row>
    <row r="383" spans="1:1" x14ac:dyDescent="0.3">
      <c r="A383" s="7320">
        <v>29101467</v>
      </c>
    </row>
    <row r="384" spans="1:1" x14ac:dyDescent="0.3">
      <c r="A384" s="7320">
        <v>29101468</v>
      </c>
    </row>
    <row r="385" spans="1:1" x14ac:dyDescent="0.3">
      <c r="A385" s="7320">
        <v>29101469</v>
      </c>
    </row>
    <row r="386" spans="1:1" x14ac:dyDescent="0.3">
      <c r="A386" s="7320">
        <v>29101470</v>
      </c>
    </row>
    <row r="387" spans="1:1" x14ac:dyDescent="0.3">
      <c r="A387" s="7320">
        <v>29101471</v>
      </c>
    </row>
    <row r="388" spans="1:1" x14ac:dyDescent="0.3">
      <c r="A388" s="7320">
        <v>29101472</v>
      </c>
    </row>
    <row r="389" spans="1:1" x14ac:dyDescent="0.3">
      <c r="A389" s="7320">
        <v>29101473</v>
      </c>
    </row>
    <row r="390" spans="1:1" x14ac:dyDescent="0.3">
      <c r="A390" s="7320">
        <v>29101474</v>
      </c>
    </row>
    <row r="391" spans="1:1" x14ac:dyDescent="0.3">
      <c r="A391" s="7320">
        <v>29101475</v>
      </c>
    </row>
    <row r="392" spans="1:1" x14ac:dyDescent="0.3">
      <c r="A392" s="7320">
        <v>29101476</v>
      </c>
    </row>
    <row r="393" spans="1:1" x14ac:dyDescent="0.3">
      <c r="A393" s="7320">
        <v>29101477</v>
      </c>
    </row>
    <row r="394" spans="1:1" x14ac:dyDescent="0.3">
      <c r="A394" s="7320">
        <v>29101478</v>
      </c>
    </row>
    <row r="395" spans="1:1" x14ac:dyDescent="0.3">
      <c r="A395" s="7320">
        <v>29101479</v>
      </c>
    </row>
    <row r="396" spans="1:1" x14ac:dyDescent="0.3">
      <c r="A396" s="7320">
        <v>29101480</v>
      </c>
    </row>
    <row r="397" spans="1:1" x14ac:dyDescent="0.3">
      <c r="A397" s="7320">
        <v>29101481</v>
      </c>
    </row>
    <row r="398" spans="1:1" x14ac:dyDescent="0.3">
      <c r="A398" s="7320">
        <v>29101482</v>
      </c>
    </row>
    <row r="399" spans="1:1" x14ac:dyDescent="0.3">
      <c r="A399" s="7320">
        <v>29101483</v>
      </c>
    </row>
    <row r="400" spans="1:1" x14ac:dyDescent="0.3">
      <c r="A400" s="7320">
        <v>29101484</v>
      </c>
    </row>
    <row r="401" spans="1:1" x14ac:dyDescent="0.3">
      <c r="A401" s="7320">
        <v>29101485</v>
      </c>
    </row>
    <row r="402" spans="1:1" x14ac:dyDescent="0.3">
      <c r="A402" s="7320">
        <v>29101486</v>
      </c>
    </row>
    <row r="403" spans="1:1" x14ac:dyDescent="0.3">
      <c r="A403" s="7320">
        <v>29101487</v>
      </c>
    </row>
    <row r="404" spans="1:1" x14ac:dyDescent="0.3">
      <c r="A404" s="7320">
        <v>29101488</v>
      </c>
    </row>
    <row r="405" spans="1:1" x14ac:dyDescent="0.3">
      <c r="A405" s="7320">
        <v>29101489</v>
      </c>
    </row>
    <row r="406" spans="1:1" x14ac:dyDescent="0.3">
      <c r="A406" s="7320">
        <v>29101490</v>
      </c>
    </row>
    <row r="407" spans="1:1" x14ac:dyDescent="0.3">
      <c r="A407" s="7320">
        <v>29101491</v>
      </c>
    </row>
    <row r="408" spans="1:1" x14ac:dyDescent="0.3">
      <c r="A408" s="7320">
        <v>29101492</v>
      </c>
    </row>
    <row r="409" spans="1:1" x14ac:dyDescent="0.3">
      <c r="A409" s="7320">
        <v>29101493</v>
      </c>
    </row>
    <row r="410" spans="1:1" x14ac:dyDescent="0.3">
      <c r="A410" s="7320">
        <v>29101494</v>
      </c>
    </row>
    <row r="411" spans="1:1" x14ac:dyDescent="0.3">
      <c r="A411" s="7320">
        <v>29101496</v>
      </c>
    </row>
    <row r="412" spans="1:1" x14ac:dyDescent="0.3">
      <c r="A412" s="7320">
        <v>29101497</v>
      </c>
    </row>
    <row r="413" spans="1:1" x14ac:dyDescent="0.3">
      <c r="A413" s="7320">
        <v>29101498</v>
      </c>
    </row>
    <row r="414" spans="1:1" x14ac:dyDescent="0.3">
      <c r="A414" s="7320">
        <v>29101500</v>
      </c>
    </row>
    <row r="415" spans="1:1" x14ac:dyDescent="0.3">
      <c r="A415" s="7320">
        <v>29101501</v>
      </c>
    </row>
    <row r="416" spans="1:1" x14ac:dyDescent="0.3">
      <c r="A416" s="7320">
        <v>29101502</v>
      </c>
    </row>
    <row r="417" spans="1:1" x14ac:dyDescent="0.3">
      <c r="A417" s="7320">
        <v>29101503</v>
      </c>
    </row>
    <row r="418" spans="1:1" x14ac:dyDescent="0.3">
      <c r="A418" s="7320">
        <v>29101505</v>
      </c>
    </row>
    <row r="419" spans="1:1" x14ac:dyDescent="0.3">
      <c r="A419" s="7320">
        <v>29101506</v>
      </c>
    </row>
    <row r="420" spans="1:1" x14ac:dyDescent="0.3">
      <c r="A420" s="7320">
        <v>29101507</v>
      </c>
    </row>
    <row r="421" spans="1:1" x14ac:dyDescent="0.3">
      <c r="A421" s="7320">
        <v>29101509</v>
      </c>
    </row>
    <row r="422" spans="1:1" x14ac:dyDescent="0.3">
      <c r="A422" s="7320">
        <v>29101510</v>
      </c>
    </row>
    <row r="423" spans="1:1" x14ac:dyDescent="0.3">
      <c r="A423" s="7320">
        <v>29101511</v>
      </c>
    </row>
    <row r="424" spans="1:1" x14ac:dyDescent="0.3">
      <c r="A424" s="7320">
        <v>29101512</v>
      </c>
    </row>
    <row r="425" spans="1:1" x14ac:dyDescent="0.3">
      <c r="A425" s="7320">
        <v>29101513</v>
      </c>
    </row>
    <row r="426" spans="1:1" x14ac:dyDescent="0.3">
      <c r="A426" s="7320">
        <v>29101514</v>
      </c>
    </row>
    <row r="427" spans="1:1" x14ac:dyDescent="0.3">
      <c r="A427" s="7320">
        <v>29101515</v>
      </c>
    </row>
    <row r="428" spans="1:1" x14ac:dyDescent="0.3">
      <c r="A428" s="7320">
        <v>29101516</v>
      </c>
    </row>
    <row r="429" spans="1:1" x14ac:dyDescent="0.3">
      <c r="A429" s="7320">
        <v>29101517</v>
      </c>
    </row>
    <row r="430" spans="1:1" x14ac:dyDescent="0.3">
      <c r="A430" s="7320">
        <v>29101518</v>
      </c>
    </row>
    <row r="431" spans="1:1" x14ac:dyDescent="0.3">
      <c r="A431" s="7320">
        <v>29101519</v>
      </c>
    </row>
    <row r="432" spans="1:1" x14ac:dyDescent="0.3">
      <c r="A432" s="7320">
        <v>29101520</v>
      </c>
    </row>
    <row r="433" spans="1:1" x14ac:dyDescent="0.3">
      <c r="A433" s="7320">
        <v>29101521</v>
      </c>
    </row>
    <row r="434" spans="1:1" x14ac:dyDescent="0.3">
      <c r="A434" s="7320">
        <v>29101522</v>
      </c>
    </row>
    <row r="435" spans="1:1" x14ac:dyDescent="0.3">
      <c r="A435" s="7320">
        <v>29101523</v>
      </c>
    </row>
    <row r="436" spans="1:1" x14ac:dyDescent="0.3">
      <c r="A436" s="7320">
        <v>29101524</v>
      </c>
    </row>
    <row r="437" spans="1:1" x14ac:dyDescent="0.3">
      <c r="A437" s="7320">
        <v>29101525</v>
      </c>
    </row>
    <row r="438" spans="1:1" x14ac:dyDescent="0.3">
      <c r="A438" s="7320">
        <v>29101526</v>
      </c>
    </row>
    <row r="440" spans="1:1" x14ac:dyDescent="0.3">
      <c r="A440" s="1192" t="s">
        <v>5086</v>
      </c>
    </row>
    <row r="441" spans="1:1" ht="15.6" x14ac:dyDescent="0.3">
      <c r="A441" s="7630">
        <v>25100200</v>
      </c>
    </row>
    <row r="442" spans="1:1" ht="15.6" x14ac:dyDescent="0.3">
      <c r="A442" s="7630">
        <v>25400010</v>
      </c>
    </row>
    <row r="443" spans="1:1" ht="15.6" x14ac:dyDescent="0.3">
      <c r="A443" s="7630">
        <v>25100400</v>
      </c>
    </row>
    <row r="444" spans="1:1" ht="15.6" x14ac:dyDescent="0.3">
      <c r="A444" s="7630">
        <v>25400020</v>
      </c>
    </row>
    <row r="445" spans="1:1" ht="15.6" x14ac:dyDescent="0.3">
      <c r="A445" s="7630">
        <v>25100600</v>
      </c>
    </row>
    <row r="446" spans="1:1" ht="15.6" x14ac:dyDescent="0.3">
      <c r="A446" s="7630">
        <v>25400030</v>
      </c>
    </row>
    <row r="447" spans="1:1" ht="15.6" x14ac:dyDescent="0.3">
      <c r="A447" s="7630">
        <v>25501400</v>
      </c>
    </row>
    <row r="448" spans="1:1" ht="15.6" x14ac:dyDescent="0.3">
      <c r="A448" s="7630">
        <v>25501500</v>
      </c>
    </row>
    <row r="449" spans="1:1" ht="15.6" x14ac:dyDescent="0.3">
      <c r="A449" s="7630">
        <v>25501800</v>
      </c>
    </row>
    <row r="450" spans="1:1" ht="15.6" x14ac:dyDescent="0.3">
      <c r="A450" s="7630">
        <v>25501900</v>
      </c>
    </row>
    <row r="451" spans="1:1" ht="15.6" x14ac:dyDescent="0.3">
      <c r="A451" s="7630">
        <v>25502000</v>
      </c>
    </row>
    <row r="452" spans="1:1" ht="15.6" x14ac:dyDescent="0.3">
      <c r="A452" s="7630">
        <v>25502100</v>
      </c>
    </row>
    <row r="453" spans="1:1" ht="15.6" x14ac:dyDescent="0.3">
      <c r="A453" s="7630">
        <v>25502200</v>
      </c>
    </row>
    <row r="454" spans="1:1" ht="15.6" x14ac:dyDescent="0.3">
      <c r="A454" s="7630">
        <v>25400370</v>
      </c>
    </row>
    <row r="455" spans="1:1" ht="15.6" x14ac:dyDescent="0.3">
      <c r="A455" s="7630">
        <v>25400460</v>
      </c>
    </row>
    <row r="456" spans="1:1" x14ac:dyDescent="0.3">
      <c r="A456" s="7320">
        <v>29101420</v>
      </c>
    </row>
  </sheetData>
  <mergeCells count="221">
    <mergeCell ref="B6:W6"/>
    <mergeCell ref="D30:E30"/>
    <mergeCell ref="C52:E52"/>
    <mergeCell ref="B53:B54"/>
    <mergeCell ref="C53:E53"/>
    <mergeCell ref="C54:E54"/>
    <mergeCell ref="B55:B60"/>
    <mergeCell ref="C55:C60"/>
    <mergeCell ref="D55:E55"/>
    <mergeCell ref="D56:E56"/>
    <mergeCell ref="D57:E57"/>
    <mergeCell ref="D58:E58"/>
    <mergeCell ref="D59:E59"/>
    <mergeCell ref="D60:E60"/>
    <mergeCell ref="B42:B48"/>
    <mergeCell ref="C42:C48"/>
    <mergeCell ref="D42:E42"/>
    <mergeCell ref="D43:D44"/>
    <mergeCell ref="D45:E45"/>
    <mergeCell ref="D46:E46"/>
    <mergeCell ref="D47:E47"/>
    <mergeCell ref="D48:E48"/>
    <mergeCell ref="B49:B52"/>
    <mergeCell ref="C49:E49"/>
    <mergeCell ref="D189:F189"/>
    <mergeCell ref="I162:I163"/>
    <mergeCell ref="J162:J163"/>
    <mergeCell ref="D162:F163"/>
    <mergeCell ref="D164:F164"/>
    <mergeCell ref="D165:F165"/>
    <mergeCell ref="D166:F166"/>
    <mergeCell ref="D167:F167"/>
    <mergeCell ref="D168:F168"/>
    <mergeCell ref="D169:F169"/>
    <mergeCell ref="D170:F170"/>
    <mergeCell ref="D171:F171"/>
    <mergeCell ref="D172:F172"/>
    <mergeCell ref="D173:F173"/>
    <mergeCell ref="D174:F174"/>
    <mergeCell ref="D175:F175"/>
    <mergeCell ref="D176:F176"/>
    <mergeCell ref="D177:F177"/>
    <mergeCell ref="D178:F178"/>
    <mergeCell ref="D179:F179"/>
    <mergeCell ref="D180:F180"/>
    <mergeCell ref="D181:F181"/>
    <mergeCell ref="D182:F182"/>
    <mergeCell ref="D183:F183"/>
    <mergeCell ref="H162:H163"/>
    <mergeCell ref="B164:B174"/>
    <mergeCell ref="C164:C171"/>
    <mergeCell ref="C172:C174"/>
    <mergeCell ref="B175:B188"/>
    <mergeCell ref="C175:C178"/>
    <mergeCell ref="C179:C188"/>
    <mergeCell ref="B162:B163"/>
    <mergeCell ref="C162:C163"/>
    <mergeCell ref="G162:G163"/>
    <mergeCell ref="D184:F184"/>
    <mergeCell ref="D185:F185"/>
    <mergeCell ref="D186:F186"/>
    <mergeCell ref="D187:F187"/>
    <mergeCell ref="D188:F188"/>
    <mergeCell ref="B236:C236"/>
    <mergeCell ref="B237:C237"/>
    <mergeCell ref="B212:B215"/>
    <mergeCell ref="B217:B221"/>
    <mergeCell ref="B222:B223"/>
    <mergeCell ref="B227:B228"/>
    <mergeCell ref="B229:B230"/>
    <mergeCell ref="B231:B232"/>
    <mergeCell ref="B233:B234"/>
    <mergeCell ref="B235:C235"/>
    <mergeCell ref="B224:B226"/>
    <mergeCell ref="B290:C290"/>
    <mergeCell ref="B291:C291"/>
    <mergeCell ref="B272:C272"/>
    <mergeCell ref="B281:C281"/>
    <mergeCell ref="B282:C282"/>
    <mergeCell ref="B283:C283"/>
    <mergeCell ref="B284:C284"/>
    <mergeCell ref="B285:C285"/>
    <mergeCell ref="B286:C286"/>
    <mergeCell ref="B287:C287"/>
    <mergeCell ref="B288:C288"/>
    <mergeCell ref="B289:C289"/>
    <mergeCell ref="B156:C156"/>
    <mergeCell ref="B158:C158"/>
    <mergeCell ref="B159:B160"/>
    <mergeCell ref="B150:C150"/>
    <mergeCell ref="B151:B153"/>
    <mergeCell ref="B154:C154"/>
    <mergeCell ref="B155:C155"/>
    <mergeCell ref="B139:C139"/>
    <mergeCell ref="B140:B142"/>
    <mergeCell ref="B143:C143"/>
    <mergeCell ref="B144:C144"/>
    <mergeCell ref="B148:C149"/>
    <mergeCell ref="D148:D149"/>
    <mergeCell ref="B121:C121"/>
    <mergeCell ref="B123:F123"/>
    <mergeCell ref="B130:E130"/>
    <mergeCell ref="E135:E136"/>
    <mergeCell ref="F135:F136"/>
    <mergeCell ref="B138:C138"/>
    <mergeCell ref="B114:J114"/>
    <mergeCell ref="B115:C115"/>
    <mergeCell ref="B116:C116"/>
    <mergeCell ref="B117:B119"/>
    <mergeCell ref="B120:C120"/>
    <mergeCell ref="E148:G148"/>
    <mergeCell ref="H148:J148"/>
    <mergeCell ref="B105:I105"/>
    <mergeCell ref="B106:C106"/>
    <mergeCell ref="B107:C107"/>
    <mergeCell ref="B108:B110"/>
    <mergeCell ref="B111:C111"/>
    <mergeCell ref="B112:C112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5:M95"/>
    <mergeCell ref="B96:C97"/>
    <mergeCell ref="D96:D97"/>
    <mergeCell ref="E96:E97"/>
    <mergeCell ref="F96:H96"/>
    <mergeCell ref="I96:I97"/>
    <mergeCell ref="B90:C90"/>
    <mergeCell ref="B91:C91"/>
    <mergeCell ref="B85:J85"/>
    <mergeCell ref="B86:C87"/>
    <mergeCell ref="D86:D87"/>
    <mergeCell ref="E86:E87"/>
    <mergeCell ref="F86:H86"/>
    <mergeCell ref="I86:I87"/>
    <mergeCell ref="B81:B83"/>
    <mergeCell ref="B88:C88"/>
    <mergeCell ref="B89:C89"/>
    <mergeCell ref="C63:C64"/>
    <mergeCell ref="D40:E40"/>
    <mergeCell ref="D41:E41"/>
    <mergeCell ref="B76:B80"/>
    <mergeCell ref="B84:C84"/>
    <mergeCell ref="C61:E61"/>
    <mergeCell ref="B31:B41"/>
    <mergeCell ref="D31:E31"/>
    <mergeCell ref="D32:E32"/>
    <mergeCell ref="D33:E33"/>
    <mergeCell ref="C34:C35"/>
    <mergeCell ref="D34:E34"/>
    <mergeCell ref="D35:E35"/>
    <mergeCell ref="C36:C37"/>
    <mergeCell ref="D36:E36"/>
    <mergeCell ref="D37:E37"/>
    <mergeCell ref="C31:C33"/>
    <mergeCell ref="C38:C41"/>
    <mergeCell ref="B15:D15"/>
    <mergeCell ref="B16:D16"/>
    <mergeCell ref="AB20:AC20"/>
    <mergeCell ref="B22:B25"/>
    <mergeCell ref="C22:C23"/>
    <mergeCell ref="C24:C25"/>
    <mergeCell ref="X20:Y20"/>
    <mergeCell ref="Z20:AA20"/>
    <mergeCell ref="AB10:AC10"/>
    <mergeCell ref="T20:U20"/>
    <mergeCell ref="V20:W20"/>
    <mergeCell ref="B17:D17"/>
    <mergeCell ref="B19:B21"/>
    <mergeCell ref="C19:D21"/>
    <mergeCell ref="E19:G20"/>
    <mergeCell ref="T10:U10"/>
    <mergeCell ref="V10:W10"/>
    <mergeCell ref="X10:Y10"/>
    <mergeCell ref="J20:K20"/>
    <mergeCell ref="L20:M20"/>
    <mergeCell ref="N20:O20"/>
    <mergeCell ref="P20:Q20"/>
    <mergeCell ref="R20:S20"/>
    <mergeCell ref="Z10:AA10"/>
    <mergeCell ref="B12:B13"/>
    <mergeCell ref="B14:C14"/>
    <mergeCell ref="B9:B11"/>
    <mergeCell ref="C9:D11"/>
    <mergeCell ref="E9:G10"/>
    <mergeCell ref="H10:I10"/>
    <mergeCell ref="J10:K10"/>
    <mergeCell ref="L10:M10"/>
    <mergeCell ref="N10:O10"/>
    <mergeCell ref="H9:AC9"/>
    <mergeCell ref="P10:Q10"/>
    <mergeCell ref="R10:S10"/>
    <mergeCell ref="B29:G29"/>
    <mergeCell ref="H20:I20"/>
    <mergeCell ref="H19:AE19"/>
    <mergeCell ref="B259:B262"/>
    <mergeCell ref="B263:B267"/>
    <mergeCell ref="B268:B271"/>
    <mergeCell ref="B239:C239"/>
    <mergeCell ref="B240:C240"/>
    <mergeCell ref="B241:C241"/>
    <mergeCell ref="B242:C242"/>
    <mergeCell ref="AD20:AE20"/>
    <mergeCell ref="B245:B258"/>
    <mergeCell ref="C50:E50"/>
    <mergeCell ref="C51:E51"/>
    <mergeCell ref="B26:C27"/>
    <mergeCell ref="B28:D28"/>
    <mergeCell ref="B69:B70"/>
    <mergeCell ref="C69:C70"/>
    <mergeCell ref="D69:D70"/>
    <mergeCell ref="B71:B75"/>
    <mergeCell ref="B62:I62"/>
    <mergeCell ref="D38:E38"/>
    <mergeCell ref="D39:E39"/>
    <mergeCell ref="B63:B64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/>
  <dimension ref="A1:IA202"/>
  <sheetViews>
    <sheetView zoomScaleNormal="100" workbookViewId="0"/>
  </sheetViews>
  <sheetFormatPr baseColWidth="10" defaultColWidth="11.44140625" defaultRowHeight="13.8" x14ac:dyDescent="0.25"/>
  <cols>
    <col min="1" max="1" width="13.33203125" style="4258" customWidth="1"/>
    <col min="2" max="2" width="40.44140625" style="4258" customWidth="1"/>
    <col min="3" max="3" width="32.6640625" style="4258" customWidth="1"/>
    <col min="4" max="4" width="18.33203125" style="4258" customWidth="1"/>
    <col min="5" max="10" width="16" style="4258" customWidth="1"/>
    <col min="11" max="11" width="16.6640625" style="4258" customWidth="1"/>
    <col min="12" max="12" width="15.33203125" style="4258" customWidth="1"/>
    <col min="13" max="13" width="14.5546875" style="4258" customWidth="1"/>
    <col min="14" max="14" width="14.33203125" style="4258" customWidth="1"/>
    <col min="15" max="15" width="11.44140625" style="4258"/>
    <col min="16" max="16" width="10.88671875" style="4258" customWidth="1"/>
    <col min="17" max="17" width="11" style="4258" customWidth="1"/>
    <col min="18" max="74" width="11.44140625" style="4258"/>
    <col min="75" max="76" width="11.44140625" style="4259"/>
    <col min="77" max="77" width="11.44140625" style="4260" customWidth="1"/>
    <col min="78" max="79" width="11.33203125" style="4260" customWidth="1"/>
    <col min="80" max="104" width="11.33203125" style="4261" hidden="1" customWidth="1"/>
    <col min="105" max="105" width="11.33203125" style="4262" hidden="1" customWidth="1"/>
    <col min="106" max="121" width="11.44140625" style="4263" hidden="1" customWidth="1"/>
    <col min="122" max="131" width="11.44140625" style="4264" hidden="1" customWidth="1"/>
    <col min="132" max="234" width="11.44140625" style="4264"/>
    <col min="235" max="16384" width="11.44140625" style="4258"/>
  </cols>
  <sheetData>
    <row r="1" spans="1:235" ht="16.350000000000001" customHeight="1" x14ac:dyDescent="0.25">
      <c r="B1" s="3807" t="s">
        <v>207</v>
      </c>
    </row>
    <row r="2" spans="1:235" ht="16.350000000000001" customHeight="1" x14ac:dyDescent="0.25">
      <c r="B2" s="3807" t="str">
        <f>CONCATENATE("COMUNA: ",NOMBRE!B2," - ","( ",NOMBRE!C2,NOMBRE!D2,NOMBRE!E2,NOMBRE!F2,NOMBRE!G2," )")</f>
        <v>COMUNA:  - (  )</v>
      </c>
    </row>
    <row r="3" spans="1:235" ht="16.350000000000001" customHeight="1" x14ac:dyDescent="0.25">
      <c r="B3" s="3807" t="str">
        <f>CONCATENATE("ESTABLECIMIENTO/ESTRATEGIA: ",NOMBRE!B3," - ","( ",NOMBRE!C3,NOMBRE!D3,NOMBRE!E3,NOMBRE!F3,NOMBRE!G3,NOMBRE!H3," )")</f>
        <v>ESTABLECIMIENTO/ESTRATEGIA:  - (  )</v>
      </c>
    </row>
    <row r="4" spans="1:235" ht="16.350000000000001" customHeight="1" x14ac:dyDescent="0.25">
      <c r="B4" s="3807" t="str">
        <f>CONCATENATE("MES: ",NOMBRE!B6," - ","( ",NOMBRE!C6,NOMBRE!D6," )")</f>
        <v>MES:  - (  )</v>
      </c>
    </row>
    <row r="5" spans="1:235" ht="16.350000000000001" customHeight="1" x14ac:dyDescent="0.25">
      <c r="B5" s="3807" t="str">
        <f>CONCATENATE("AÑO: ",NOMBRE!B7)</f>
        <v>AÑO: 2023</v>
      </c>
    </row>
    <row r="6" spans="1:235" ht="15" customHeight="1" x14ac:dyDescent="0.25">
      <c r="B6" s="10760" t="s">
        <v>1733</v>
      </c>
      <c r="C6" s="10760"/>
      <c r="D6" s="10760"/>
      <c r="E6" s="10760"/>
      <c r="F6" s="10760"/>
      <c r="G6" s="10760"/>
      <c r="H6" s="10760"/>
      <c r="I6" s="10760"/>
      <c r="J6" s="10760"/>
      <c r="K6" s="10760"/>
      <c r="L6" s="10760"/>
      <c r="M6" s="10760"/>
      <c r="N6" s="10760"/>
      <c r="O6" s="10760"/>
      <c r="P6" s="10760"/>
      <c r="Q6" s="10760"/>
    </row>
    <row r="7" spans="1:235" ht="16.2" x14ac:dyDescent="0.3">
      <c r="B7" s="3804"/>
      <c r="C7" s="3804"/>
      <c r="D7" s="3804"/>
      <c r="E7" s="3804"/>
      <c r="F7" s="3804"/>
      <c r="G7" s="3804"/>
      <c r="H7" s="3804"/>
      <c r="I7" s="4266"/>
      <c r="J7" s="4267"/>
      <c r="K7" s="3940"/>
      <c r="L7" s="3940"/>
    </row>
    <row r="8" spans="1:235" ht="32.1" customHeight="1" x14ac:dyDescent="0.25">
      <c r="B8" s="4268" t="s">
        <v>1732</v>
      </c>
      <c r="H8" s="4268"/>
      <c r="J8" s="4269"/>
      <c r="K8" s="3940"/>
      <c r="L8" s="3940"/>
    </row>
    <row r="9" spans="1:235" ht="66.75" customHeight="1" x14ac:dyDescent="0.25">
      <c r="B9" s="10730" t="s">
        <v>1690</v>
      </c>
      <c r="C9" s="9262"/>
      <c r="D9" s="4270" t="s">
        <v>24</v>
      </c>
      <c r="E9" s="4271" t="s">
        <v>133</v>
      </c>
      <c r="F9" s="4272" t="s">
        <v>1731</v>
      </c>
      <c r="G9" s="4272" t="s">
        <v>3683</v>
      </c>
      <c r="H9" s="4273" t="s">
        <v>2794</v>
      </c>
      <c r="I9" s="4274" t="s">
        <v>518</v>
      </c>
      <c r="J9" s="4275" t="s">
        <v>1700</v>
      </c>
      <c r="K9" s="4275" t="s">
        <v>1704</v>
      </c>
      <c r="L9" s="4276" t="s">
        <v>1703</v>
      </c>
      <c r="M9" s="4277" t="s">
        <v>2058</v>
      </c>
      <c r="N9" s="4278" t="s">
        <v>1730</v>
      </c>
      <c r="O9" s="4279" t="s">
        <v>362</v>
      </c>
      <c r="P9" s="4279" t="s">
        <v>361</v>
      </c>
      <c r="Q9" s="4279" t="s">
        <v>3682</v>
      </c>
      <c r="R9" s="4264"/>
      <c r="S9" s="4264"/>
      <c r="T9" s="4264"/>
      <c r="U9" s="4264"/>
      <c r="V9" s="4264"/>
      <c r="W9" s="4264"/>
      <c r="X9" s="4264"/>
      <c r="Y9" s="4264"/>
      <c r="Z9" s="4264"/>
      <c r="AA9" s="4264"/>
      <c r="AB9" s="4264"/>
      <c r="BW9" s="4258"/>
      <c r="BX9" s="4258"/>
      <c r="BY9" s="4259"/>
      <c r="DA9" s="4261"/>
      <c r="IA9" s="4264"/>
    </row>
    <row r="10" spans="1:235" s="4295" customFormat="1" ht="17.25" customHeight="1" x14ac:dyDescent="0.25">
      <c r="A10" s="7631">
        <v>26261000</v>
      </c>
      <c r="B10" s="10720" t="s">
        <v>1729</v>
      </c>
      <c r="C10" s="10722"/>
      <c r="D10" s="4280" t="s">
        <v>5369</v>
      </c>
      <c r="E10" s="4281" t="s">
        <v>5370</v>
      </c>
      <c r="F10" s="4282" t="s">
        <v>5371</v>
      </c>
      <c r="G10" s="4282" t="s">
        <v>5372</v>
      </c>
      <c r="H10" s="4283" t="s">
        <v>5373</v>
      </c>
      <c r="I10" s="4284" t="s">
        <v>5374</v>
      </c>
      <c r="J10" s="4285" t="s">
        <v>5375</v>
      </c>
      <c r="K10" s="4286" t="s">
        <v>5376</v>
      </c>
      <c r="L10" s="4284" t="s">
        <v>5377</v>
      </c>
      <c r="M10" s="4287" t="s">
        <v>5378</v>
      </c>
      <c r="N10" s="4288" t="s">
        <v>5379</v>
      </c>
      <c r="O10" s="4289" t="s">
        <v>5380</v>
      </c>
      <c r="P10" s="4289" t="s">
        <v>5381</v>
      </c>
      <c r="Q10" s="4289" t="s">
        <v>5382</v>
      </c>
      <c r="R10" s="4290" t="e">
        <f>CB10&amp;CC10&amp;CD10&amp;CE10</f>
        <v>#VALUE!</v>
      </c>
      <c r="S10" s="4291"/>
      <c r="T10" s="4291"/>
      <c r="U10" s="4291"/>
      <c r="V10" s="4291"/>
      <c r="W10" s="4291"/>
      <c r="X10" s="4291"/>
      <c r="Y10" s="4291"/>
      <c r="Z10" s="4264"/>
      <c r="AA10" s="4264"/>
      <c r="AB10" s="4264"/>
      <c r="AC10" s="4258"/>
      <c r="AD10" s="4258"/>
      <c r="AE10" s="4258"/>
      <c r="AF10" s="4258"/>
      <c r="AG10" s="4258"/>
      <c r="AH10" s="4258"/>
      <c r="AI10" s="4258"/>
      <c r="AJ10" s="4258"/>
      <c r="AK10" s="4258"/>
      <c r="AL10" s="4258"/>
      <c r="AM10" s="4258"/>
      <c r="AN10" s="4258"/>
      <c r="AO10" s="4258"/>
      <c r="AP10" s="4258"/>
      <c r="AQ10" s="4258"/>
      <c r="AR10" s="4258"/>
      <c r="AS10" s="4258"/>
      <c r="AT10" s="4258"/>
      <c r="AU10" s="4258"/>
      <c r="AV10" s="4258"/>
      <c r="AW10" s="4258"/>
      <c r="AX10" s="4258"/>
      <c r="AY10" s="4258"/>
      <c r="AZ10" s="4258"/>
      <c r="BA10" s="4258"/>
      <c r="BB10" s="4258"/>
      <c r="BC10" s="4258"/>
      <c r="BD10" s="4258"/>
      <c r="BE10" s="4258"/>
      <c r="BF10" s="4258"/>
      <c r="BG10" s="4258"/>
      <c r="BH10" s="4258"/>
      <c r="BI10" s="4258"/>
      <c r="BJ10" s="4258"/>
      <c r="BK10" s="4258"/>
      <c r="BL10" s="4258"/>
      <c r="BM10" s="4258"/>
      <c r="BN10" s="4258"/>
      <c r="BO10" s="4258"/>
      <c r="BP10" s="4258"/>
      <c r="BQ10" s="4258"/>
      <c r="BR10" s="4258"/>
      <c r="BS10" s="4258"/>
      <c r="BT10" s="4258"/>
      <c r="BU10" s="4258"/>
      <c r="BV10" s="4258"/>
      <c r="BW10" s="4258"/>
      <c r="BX10" s="4258"/>
      <c r="BY10" s="4259"/>
      <c r="BZ10" s="4260"/>
      <c r="CA10" s="4260"/>
      <c r="CB10" s="4292" t="e">
        <f>IF(DB10=1,"* La suma del número de Primera, Segunda y Tercera o más Visitas de Seguimiento debe coincidir con el Total. ","")</f>
        <v>#VALUE!</v>
      </c>
      <c r="CC10" s="4262" t="str">
        <f t="shared" ref="CC10:CC31" si="0">IF(DC10=1,"* Programa de Atención Domiciliaria a Personas con Dependencia Severa debe ser MENOR O IGUAL al Total. ","")</f>
        <v/>
      </c>
      <c r="CD10" s="4292" t="str">
        <f>IF(DD10=1,"* Pueblos Originarios debe ser MENOR O IGUAL al Total. ","")</f>
        <v xml:space="preserve">* Pueblos Originarios debe ser MENOR O IGUAL al Total. </v>
      </c>
      <c r="CE10" s="4292" t="str">
        <f>IF(DE10=1,"* Migrantes debe ser MENOR O IGUAL al Total. ","")</f>
        <v xml:space="preserve">* Migrantes debe ser MENOR O IGUAL al Total. </v>
      </c>
      <c r="CF10" s="4262"/>
      <c r="CG10" s="4262"/>
      <c r="CH10" s="4261"/>
      <c r="CI10" s="4261"/>
      <c r="CJ10" s="4261"/>
      <c r="CK10" s="4261"/>
      <c r="CL10" s="4261"/>
      <c r="CM10" s="4261"/>
      <c r="CN10" s="4261"/>
      <c r="CO10" s="4261"/>
      <c r="CP10" s="4261"/>
      <c r="CQ10" s="4261"/>
      <c r="CR10" s="4261"/>
      <c r="CS10" s="4261"/>
      <c r="CT10" s="4261"/>
      <c r="CU10" s="4261"/>
      <c r="CV10" s="4261"/>
      <c r="CW10" s="4261"/>
      <c r="CX10" s="4261"/>
      <c r="CY10" s="4261"/>
      <c r="CZ10" s="4261"/>
      <c r="DA10" s="4261"/>
      <c r="DB10" s="4293" t="e">
        <f t="shared" ref="DB10:DB31" si="1">IF((L10+K10+M10)&lt;&gt;D10,1,0)</f>
        <v>#VALUE!</v>
      </c>
      <c r="DC10" s="4263"/>
      <c r="DD10" s="4293">
        <f t="shared" ref="DD10:DD17" si="2">IF(O10&gt;$D10,1,0)</f>
        <v>1</v>
      </c>
      <c r="DE10" s="4293">
        <f t="shared" ref="DE10:DE17" si="3">IF(P10&gt;$D10,1,0)</f>
        <v>1</v>
      </c>
      <c r="DF10" s="4294"/>
      <c r="DG10" s="4294"/>
      <c r="DH10" s="4294"/>
      <c r="DI10" s="4294"/>
      <c r="DJ10" s="4294"/>
      <c r="DK10" s="4294"/>
      <c r="DL10" s="4294"/>
      <c r="DM10" s="4294"/>
      <c r="DN10" s="4294"/>
      <c r="DO10" s="4294"/>
      <c r="DP10" s="4294"/>
      <c r="DQ10" s="4294"/>
      <c r="DR10" s="4260"/>
      <c r="DS10" s="4260"/>
      <c r="DT10" s="4260"/>
      <c r="DU10" s="4260"/>
      <c r="DV10" s="4260"/>
      <c r="DW10" s="4260"/>
      <c r="DX10" s="4260"/>
      <c r="DY10" s="4260"/>
      <c r="DZ10" s="4260"/>
      <c r="EA10" s="4260"/>
      <c r="EB10" s="4260"/>
      <c r="EC10" s="4260"/>
      <c r="ED10" s="4260"/>
      <c r="EE10" s="4260"/>
      <c r="EF10" s="4260"/>
      <c r="EG10" s="4260"/>
      <c r="EH10" s="4260"/>
      <c r="EI10" s="4260"/>
      <c r="EJ10" s="4260"/>
      <c r="EK10" s="4260"/>
      <c r="EL10" s="4260"/>
      <c r="EM10" s="4260"/>
      <c r="EN10" s="4260"/>
      <c r="EO10" s="4260"/>
      <c r="EP10" s="4260"/>
      <c r="EQ10" s="4260"/>
      <c r="ER10" s="4260"/>
      <c r="ES10" s="4260"/>
      <c r="ET10" s="4260"/>
      <c r="EU10" s="4260"/>
      <c r="EV10" s="4260"/>
      <c r="EW10" s="4260"/>
      <c r="EX10" s="4260"/>
      <c r="EY10" s="4260"/>
      <c r="EZ10" s="4260"/>
      <c r="FA10" s="4260"/>
      <c r="FB10" s="4260"/>
      <c r="FC10" s="4260"/>
      <c r="FD10" s="4260"/>
      <c r="FE10" s="4260"/>
      <c r="FF10" s="4260"/>
      <c r="FG10" s="4260"/>
      <c r="FH10" s="4260"/>
      <c r="FI10" s="4260"/>
      <c r="FJ10" s="4260"/>
      <c r="FK10" s="4260"/>
      <c r="FL10" s="4260"/>
      <c r="FM10" s="4260"/>
      <c r="FN10" s="4260"/>
      <c r="FO10" s="4260"/>
      <c r="FP10" s="4260"/>
      <c r="FQ10" s="4260"/>
      <c r="FR10" s="4260"/>
      <c r="FS10" s="4260"/>
      <c r="FT10" s="4260"/>
      <c r="FU10" s="4260"/>
      <c r="FV10" s="4260"/>
      <c r="FW10" s="4260"/>
      <c r="FX10" s="4260"/>
      <c r="FY10" s="4260"/>
      <c r="FZ10" s="4260"/>
      <c r="GA10" s="4260"/>
      <c r="GB10" s="4260"/>
      <c r="GC10" s="4260"/>
      <c r="GD10" s="4260"/>
      <c r="GE10" s="4260"/>
      <c r="GF10" s="4260"/>
      <c r="GG10" s="4260"/>
      <c r="GH10" s="4260"/>
      <c r="GI10" s="4260"/>
      <c r="GJ10" s="4260"/>
      <c r="GK10" s="4260"/>
      <c r="GL10" s="4260"/>
      <c r="GM10" s="4260"/>
      <c r="GN10" s="4260"/>
      <c r="GO10" s="4260"/>
      <c r="GP10" s="4260"/>
      <c r="GQ10" s="4260"/>
      <c r="GR10" s="4260"/>
      <c r="GS10" s="4260"/>
      <c r="GT10" s="4260"/>
      <c r="GU10" s="4260"/>
      <c r="GV10" s="4260"/>
      <c r="GW10" s="4260"/>
      <c r="GX10" s="4260"/>
      <c r="GY10" s="4260"/>
      <c r="GZ10" s="4260"/>
      <c r="HA10" s="4260"/>
      <c r="HB10" s="4260"/>
      <c r="HC10" s="4260"/>
      <c r="HD10" s="4260"/>
      <c r="HE10" s="4260"/>
      <c r="HF10" s="4260"/>
      <c r="HG10" s="4260"/>
      <c r="HH10" s="4260"/>
      <c r="HI10" s="4260"/>
      <c r="HJ10" s="4260"/>
      <c r="HK10" s="4260"/>
      <c r="HL10" s="4260"/>
      <c r="HM10" s="4260"/>
      <c r="HN10" s="4260"/>
      <c r="HO10" s="4260"/>
      <c r="HP10" s="4260"/>
      <c r="HQ10" s="4260"/>
      <c r="HR10" s="4260"/>
      <c r="HS10" s="4260"/>
      <c r="HT10" s="4260"/>
      <c r="HU10" s="4260"/>
      <c r="HV10" s="4260"/>
      <c r="HW10" s="4260"/>
      <c r="HX10" s="4260"/>
      <c r="HY10" s="4260"/>
      <c r="HZ10" s="4260"/>
      <c r="IA10" s="4260"/>
    </row>
    <row r="11" spans="1:235" s="4295" customFormat="1" ht="17.25" customHeight="1" x14ac:dyDescent="0.25">
      <c r="A11" s="7258">
        <v>26260100</v>
      </c>
      <c r="B11" s="10718" t="s">
        <v>1728</v>
      </c>
      <c r="C11" s="10723"/>
      <c r="D11" s="4280" t="s">
        <v>5369</v>
      </c>
      <c r="E11" s="4296" t="s">
        <v>5370</v>
      </c>
      <c r="F11" s="4297" t="s">
        <v>5371</v>
      </c>
      <c r="G11" s="4297" t="s">
        <v>5372</v>
      </c>
      <c r="H11" s="4298" t="s">
        <v>5373</v>
      </c>
      <c r="I11" s="4299" t="s">
        <v>5374</v>
      </c>
      <c r="J11" s="4300" t="s">
        <v>5375</v>
      </c>
      <c r="K11" s="4301" t="s">
        <v>5376</v>
      </c>
      <c r="L11" s="4299" t="s">
        <v>5377</v>
      </c>
      <c r="M11" s="4298" t="s">
        <v>5378</v>
      </c>
      <c r="N11" s="4302" t="s">
        <v>5379</v>
      </c>
      <c r="O11" s="4289" t="s">
        <v>5380</v>
      </c>
      <c r="P11" s="4289" t="s">
        <v>5381</v>
      </c>
      <c r="Q11" s="4289" t="s">
        <v>5382</v>
      </c>
      <c r="R11" s="4290" t="e">
        <f t="shared" ref="R11:R35" si="4">CB11&amp;CC11&amp;CD11&amp;CE11</f>
        <v>#VALUE!</v>
      </c>
      <c r="S11" s="4291"/>
      <c r="T11" s="4291"/>
      <c r="U11" s="4291"/>
      <c r="V11" s="4291"/>
      <c r="W11" s="4291"/>
      <c r="X11" s="4291"/>
      <c r="Y11" s="4291"/>
      <c r="Z11" s="4264"/>
      <c r="AA11" s="4264"/>
      <c r="AB11" s="4264"/>
      <c r="AC11" s="4258"/>
      <c r="AD11" s="4258"/>
      <c r="AE11" s="4258"/>
      <c r="AF11" s="4258"/>
      <c r="AG11" s="4258"/>
      <c r="AH11" s="4258"/>
      <c r="AI11" s="4258"/>
      <c r="AJ11" s="4258"/>
      <c r="AK11" s="4258"/>
      <c r="AL11" s="4258"/>
      <c r="AM11" s="4258"/>
      <c r="AN11" s="4258"/>
      <c r="AO11" s="4258"/>
      <c r="AP11" s="4258"/>
      <c r="AQ11" s="4258"/>
      <c r="AR11" s="4258"/>
      <c r="AS11" s="4258"/>
      <c r="AT11" s="4258"/>
      <c r="AU11" s="4258"/>
      <c r="AV11" s="4258"/>
      <c r="AW11" s="4258"/>
      <c r="AX11" s="4258"/>
      <c r="AY11" s="4258"/>
      <c r="AZ11" s="4258"/>
      <c r="BA11" s="4258"/>
      <c r="BB11" s="4258"/>
      <c r="BC11" s="4258"/>
      <c r="BD11" s="4258"/>
      <c r="BE11" s="4258"/>
      <c r="BF11" s="4258"/>
      <c r="BG11" s="4258"/>
      <c r="BH11" s="4258"/>
      <c r="BI11" s="4258"/>
      <c r="BJ11" s="4258"/>
      <c r="BK11" s="4258"/>
      <c r="BL11" s="4258"/>
      <c r="BM11" s="4258"/>
      <c r="BN11" s="4258"/>
      <c r="BO11" s="4258"/>
      <c r="BP11" s="4258"/>
      <c r="BQ11" s="4258"/>
      <c r="BR11" s="4258"/>
      <c r="BS11" s="4258"/>
      <c r="BT11" s="4258"/>
      <c r="BU11" s="4258"/>
      <c r="BV11" s="4258"/>
      <c r="BW11" s="4258"/>
      <c r="BX11" s="4258"/>
      <c r="BY11" s="4259"/>
      <c r="BZ11" s="4260"/>
      <c r="CA11" s="4260"/>
      <c r="CB11" s="4292" t="e">
        <f t="shared" ref="CB11:CB35" si="5">IF(DB11=1,"* La suma del número de Primera, Segunda y Tercera o más Visitas de Seguimiento debe coincidir con el Total. ","")</f>
        <v>#VALUE!</v>
      </c>
      <c r="CC11" s="4262" t="str">
        <f t="shared" si="0"/>
        <v/>
      </c>
      <c r="CD11" s="4292" t="str">
        <f t="shared" ref="CD11:CD35" si="6">IF(DD11=1,"* Pueblos Originarios debe ser MENOR O IGUAL al Total. ","")</f>
        <v xml:space="preserve">* Pueblos Originarios debe ser MENOR O IGUAL al Total. </v>
      </c>
      <c r="CE11" s="4292" t="str">
        <f t="shared" ref="CE11:CE35" si="7">IF(DE11=1,"* Migrantes debe ser MENOR O IGUAL al Total. ","")</f>
        <v xml:space="preserve">* Migrantes debe ser MENOR O IGUAL al Total. </v>
      </c>
      <c r="CF11" s="4262"/>
      <c r="CG11" s="4262"/>
      <c r="CH11" s="4261"/>
      <c r="CI11" s="4261"/>
      <c r="CJ11" s="4261"/>
      <c r="CK11" s="4261"/>
      <c r="CL11" s="4261"/>
      <c r="CM11" s="4261"/>
      <c r="CN11" s="4261"/>
      <c r="CO11" s="4261"/>
      <c r="CP11" s="4261"/>
      <c r="CQ11" s="4261"/>
      <c r="CR11" s="4261"/>
      <c r="CS11" s="4261"/>
      <c r="CT11" s="4261"/>
      <c r="CU11" s="4261"/>
      <c r="CV11" s="4261"/>
      <c r="CW11" s="4261"/>
      <c r="CX11" s="4261"/>
      <c r="CY11" s="4261"/>
      <c r="CZ11" s="4261"/>
      <c r="DA11" s="4261"/>
      <c r="DB11" s="4293" t="e">
        <f t="shared" si="1"/>
        <v>#VALUE!</v>
      </c>
      <c r="DC11" s="4263"/>
      <c r="DD11" s="4293">
        <f t="shared" si="2"/>
        <v>1</v>
      </c>
      <c r="DE11" s="4293">
        <f t="shared" si="3"/>
        <v>1</v>
      </c>
      <c r="DF11" s="4294"/>
      <c r="DG11" s="4294"/>
      <c r="DH11" s="4294"/>
      <c r="DI11" s="4294"/>
      <c r="DJ11" s="4294"/>
      <c r="DK11" s="4294"/>
      <c r="DL11" s="4294"/>
      <c r="DM11" s="4294"/>
      <c r="DN11" s="4294"/>
      <c r="DO11" s="4294"/>
      <c r="DP11" s="4294"/>
      <c r="DQ11" s="4294"/>
      <c r="DR11" s="4260"/>
      <c r="DS11" s="4260"/>
      <c r="DT11" s="4260"/>
      <c r="DU11" s="4260"/>
      <c r="DV11" s="4260"/>
      <c r="DW11" s="4260"/>
      <c r="DX11" s="4260"/>
      <c r="DY11" s="4260"/>
      <c r="DZ11" s="4260"/>
      <c r="EA11" s="4260"/>
      <c r="EB11" s="4260"/>
      <c r="EC11" s="4260"/>
      <c r="ED11" s="4260"/>
      <c r="EE11" s="4260"/>
      <c r="EF11" s="4260"/>
      <c r="EG11" s="4260"/>
      <c r="EH11" s="4260"/>
      <c r="EI11" s="4260"/>
      <c r="EJ11" s="4260"/>
      <c r="EK11" s="4260"/>
      <c r="EL11" s="4260"/>
      <c r="EM11" s="4260"/>
      <c r="EN11" s="4260"/>
      <c r="EO11" s="4260"/>
      <c r="EP11" s="4260"/>
      <c r="EQ11" s="4260"/>
      <c r="ER11" s="4260"/>
      <c r="ES11" s="4260"/>
      <c r="ET11" s="4260"/>
      <c r="EU11" s="4260"/>
      <c r="EV11" s="4260"/>
      <c r="EW11" s="4260"/>
      <c r="EX11" s="4260"/>
      <c r="EY11" s="4260"/>
      <c r="EZ11" s="4260"/>
      <c r="FA11" s="4260"/>
      <c r="FB11" s="4260"/>
      <c r="FC11" s="4260"/>
      <c r="FD11" s="4260"/>
      <c r="FE11" s="4260"/>
      <c r="FF11" s="4260"/>
      <c r="FG11" s="4260"/>
      <c r="FH11" s="4260"/>
      <c r="FI11" s="4260"/>
      <c r="FJ11" s="4260"/>
      <c r="FK11" s="4260"/>
      <c r="FL11" s="4260"/>
      <c r="FM11" s="4260"/>
      <c r="FN11" s="4260"/>
      <c r="FO11" s="4260"/>
      <c r="FP11" s="4260"/>
      <c r="FQ11" s="4260"/>
      <c r="FR11" s="4260"/>
      <c r="FS11" s="4260"/>
      <c r="FT11" s="4260"/>
      <c r="FU11" s="4260"/>
      <c r="FV11" s="4260"/>
      <c r="FW11" s="4260"/>
      <c r="FX11" s="4260"/>
      <c r="FY11" s="4260"/>
      <c r="FZ11" s="4260"/>
      <c r="GA11" s="4260"/>
      <c r="GB11" s="4260"/>
      <c r="GC11" s="4260"/>
      <c r="GD11" s="4260"/>
      <c r="GE11" s="4260"/>
      <c r="GF11" s="4260"/>
      <c r="GG11" s="4260"/>
      <c r="GH11" s="4260"/>
      <c r="GI11" s="4260"/>
      <c r="GJ11" s="4260"/>
      <c r="GK11" s="4260"/>
      <c r="GL11" s="4260"/>
      <c r="GM11" s="4260"/>
      <c r="GN11" s="4260"/>
      <c r="GO11" s="4260"/>
      <c r="GP11" s="4260"/>
      <c r="GQ11" s="4260"/>
      <c r="GR11" s="4260"/>
      <c r="GS11" s="4260"/>
      <c r="GT11" s="4260"/>
      <c r="GU11" s="4260"/>
      <c r="GV11" s="4260"/>
      <c r="GW11" s="4260"/>
      <c r="GX11" s="4260"/>
      <c r="GY11" s="4260"/>
      <c r="GZ11" s="4260"/>
      <c r="HA11" s="4260"/>
      <c r="HB11" s="4260"/>
      <c r="HC11" s="4260"/>
      <c r="HD11" s="4260"/>
      <c r="HE11" s="4260"/>
      <c r="HF11" s="4260"/>
      <c r="HG11" s="4260"/>
      <c r="HH11" s="4260"/>
      <c r="HI11" s="4260"/>
      <c r="HJ11" s="4260"/>
      <c r="HK11" s="4260"/>
      <c r="HL11" s="4260"/>
      <c r="HM11" s="4260"/>
      <c r="HN11" s="4260"/>
      <c r="HO11" s="4260"/>
      <c r="HP11" s="4260"/>
      <c r="HQ11" s="4260"/>
      <c r="HR11" s="4260"/>
      <c r="HS11" s="4260"/>
      <c r="HT11" s="4260"/>
      <c r="HU11" s="4260"/>
      <c r="HV11" s="4260"/>
      <c r="HW11" s="4260"/>
      <c r="HX11" s="4260"/>
      <c r="HY11" s="4260"/>
      <c r="HZ11" s="4260"/>
      <c r="IA11" s="4260"/>
    </row>
    <row r="12" spans="1:235" s="4295" customFormat="1" ht="17.25" customHeight="1" x14ac:dyDescent="0.25">
      <c r="A12" s="7258">
        <v>26273101</v>
      </c>
      <c r="B12" s="10718" t="s">
        <v>1727</v>
      </c>
      <c r="C12" s="10723"/>
      <c r="D12" s="4280" t="s">
        <v>5369</v>
      </c>
      <c r="E12" s="4296" t="s">
        <v>5370</v>
      </c>
      <c r="F12" s="4297" t="s">
        <v>5371</v>
      </c>
      <c r="G12" s="4297" t="s">
        <v>5372</v>
      </c>
      <c r="H12" s="4298" t="s">
        <v>5373</v>
      </c>
      <c r="I12" s="4299" t="s">
        <v>5374</v>
      </c>
      <c r="J12" s="4300" t="s">
        <v>5375</v>
      </c>
      <c r="K12" s="4301" t="s">
        <v>5376</v>
      </c>
      <c r="L12" s="4299" t="s">
        <v>5377</v>
      </c>
      <c r="M12" s="4298" t="s">
        <v>5378</v>
      </c>
      <c r="N12" s="4302" t="s">
        <v>5379</v>
      </c>
      <c r="O12" s="4289" t="s">
        <v>5380</v>
      </c>
      <c r="P12" s="4289" t="s">
        <v>5381</v>
      </c>
      <c r="Q12" s="4289" t="s">
        <v>5382</v>
      </c>
      <c r="R12" s="4290" t="e">
        <f t="shared" si="4"/>
        <v>#VALUE!</v>
      </c>
      <c r="S12" s="4291"/>
      <c r="T12" s="4291"/>
      <c r="U12" s="4291"/>
      <c r="V12" s="4291"/>
      <c r="W12" s="4291"/>
      <c r="X12" s="4291"/>
      <c r="Y12" s="4291"/>
      <c r="Z12" s="4264"/>
      <c r="AA12" s="4264"/>
      <c r="AB12" s="4264"/>
      <c r="AC12" s="4258"/>
      <c r="AD12" s="4258"/>
      <c r="AE12" s="4258"/>
      <c r="AF12" s="4258"/>
      <c r="AG12" s="4258"/>
      <c r="AH12" s="4258"/>
      <c r="AI12" s="4258"/>
      <c r="AJ12" s="4258"/>
      <c r="AK12" s="4258"/>
      <c r="AL12" s="4258"/>
      <c r="AM12" s="4258"/>
      <c r="AN12" s="4258"/>
      <c r="AO12" s="4258"/>
      <c r="AP12" s="4258"/>
      <c r="AQ12" s="4258"/>
      <c r="AR12" s="4258"/>
      <c r="AS12" s="4258"/>
      <c r="AT12" s="4258"/>
      <c r="AU12" s="4258"/>
      <c r="AV12" s="4258"/>
      <c r="AW12" s="4258"/>
      <c r="AX12" s="4258"/>
      <c r="AY12" s="4258"/>
      <c r="AZ12" s="4258"/>
      <c r="BA12" s="4258"/>
      <c r="BB12" s="4258"/>
      <c r="BC12" s="4258"/>
      <c r="BD12" s="4258"/>
      <c r="BE12" s="4258"/>
      <c r="BF12" s="4258"/>
      <c r="BG12" s="4258"/>
      <c r="BH12" s="4258"/>
      <c r="BI12" s="4258"/>
      <c r="BJ12" s="4258"/>
      <c r="BK12" s="4258"/>
      <c r="BL12" s="4258"/>
      <c r="BM12" s="4258"/>
      <c r="BN12" s="4258"/>
      <c r="BO12" s="4258"/>
      <c r="BP12" s="4258"/>
      <c r="BQ12" s="4258"/>
      <c r="BR12" s="4258"/>
      <c r="BS12" s="4258"/>
      <c r="BT12" s="4258"/>
      <c r="BU12" s="4258"/>
      <c r="BV12" s="4258"/>
      <c r="BW12" s="4258"/>
      <c r="BX12" s="4258"/>
      <c r="BY12" s="4259"/>
      <c r="BZ12" s="4260"/>
      <c r="CA12" s="4260"/>
      <c r="CB12" s="4292" t="e">
        <f t="shared" si="5"/>
        <v>#VALUE!</v>
      </c>
      <c r="CC12" s="4262" t="str">
        <f t="shared" si="0"/>
        <v/>
      </c>
      <c r="CD12" s="4292" t="str">
        <f t="shared" si="6"/>
        <v xml:space="preserve">* Pueblos Originarios debe ser MENOR O IGUAL al Total. </v>
      </c>
      <c r="CE12" s="4292" t="str">
        <f t="shared" si="7"/>
        <v xml:space="preserve">* Migrantes debe ser MENOR O IGUAL al Total. </v>
      </c>
      <c r="CF12" s="4262"/>
      <c r="CG12" s="4262"/>
      <c r="CH12" s="4261"/>
      <c r="CI12" s="4261"/>
      <c r="CJ12" s="4261"/>
      <c r="CK12" s="4261"/>
      <c r="CL12" s="4261"/>
      <c r="CM12" s="4261"/>
      <c r="CN12" s="4261"/>
      <c r="CO12" s="4261"/>
      <c r="CP12" s="4261"/>
      <c r="CQ12" s="4261"/>
      <c r="CR12" s="4261"/>
      <c r="CS12" s="4261"/>
      <c r="CT12" s="4261"/>
      <c r="CU12" s="4261"/>
      <c r="CV12" s="4261"/>
      <c r="CW12" s="4261"/>
      <c r="CX12" s="4261"/>
      <c r="CY12" s="4261"/>
      <c r="CZ12" s="4261"/>
      <c r="DA12" s="4261"/>
      <c r="DB12" s="4293" t="e">
        <f t="shared" si="1"/>
        <v>#VALUE!</v>
      </c>
      <c r="DC12" s="4263"/>
      <c r="DD12" s="4293">
        <f t="shared" si="2"/>
        <v>1</v>
      </c>
      <c r="DE12" s="4293">
        <f t="shared" si="3"/>
        <v>1</v>
      </c>
      <c r="DF12" s="4294"/>
      <c r="DG12" s="4294"/>
      <c r="DH12" s="4294"/>
      <c r="DI12" s="4294"/>
      <c r="DJ12" s="4294"/>
      <c r="DK12" s="4294"/>
      <c r="DL12" s="4294"/>
      <c r="DM12" s="4294"/>
      <c r="DN12" s="4294"/>
      <c r="DO12" s="4294"/>
      <c r="DP12" s="4294"/>
      <c r="DQ12" s="4294"/>
      <c r="DR12" s="4260"/>
      <c r="DS12" s="4260"/>
      <c r="DT12" s="4260"/>
      <c r="DU12" s="4260"/>
      <c r="DV12" s="4260"/>
      <c r="DW12" s="4260"/>
      <c r="DX12" s="4260"/>
      <c r="DY12" s="4260"/>
      <c r="DZ12" s="4260"/>
      <c r="EA12" s="4260"/>
      <c r="EB12" s="4260"/>
      <c r="EC12" s="4260"/>
      <c r="ED12" s="4260"/>
      <c r="EE12" s="4260"/>
      <c r="EF12" s="4260"/>
      <c r="EG12" s="4260"/>
      <c r="EH12" s="4260"/>
      <c r="EI12" s="4260"/>
      <c r="EJ12" s="4260"/>
      <c r="EK12" s="4260"/>
      <c r="EL12" s="4260"/>
      <c r="EM12" s="4260"/>
      <c r="EN12" s="4260"/>
      <c r="EO12" s="4260"/>
      <c r="EP12" s="4260"/>
      <c r="EQ12" s="4260"/>
      <c r="ER12" s="4260"/>
      <c r="ES12" s="4260"/>
      <c r="ET12" s="4260"/>
      <c r="EU12" s="4260"/>
      <c r="EV12" s="4260"/>
      <c r="EW12" s="4260"/>
      <c r="EX12" s="4260"/>
      <c r="EY12" s="4260"/>
      <c r="EZ12" s="4260"/>
      <c r="FA12" s="4260"/>
      <c r="FB12" s="4260"/>
      <c r="FC12" s="4260"/>
      <c r="FD12" s="4260"/>
      <c r="FE12" s="4260"/>
      <c r="FF12" s="4260"/>
      <c r="FG12" s="4260"/>
      <c r="FH12" s="4260"/>
      <c r="FI12" s="4260"/>
      <c r="FJ12" s="4260"/>
      <c r="FK12" s="4260"/>
      <c r="FL12" s="4260"/>
      <c r="FM12" s="4260"/>
      <c r="FN12" s="4260"/>
      <c r="FO12" s="4260"/>
      <c r="FP12" s="4260"/>
      <c r="FQ12" s="4260"/>
      <c r="FR12" s="4260"/>
      <c r="FS12" s="4260"/>
      <c r="FT12" s="4260"/>
      <c r="FU12" s="4260"/>
      <c r="FV12" s="4260"/>
      <c r="FW12" s="4260"/>
      <c r="FX12" s="4260"/>
      <c r="FY12" s="4260"/>
      <c r="FZ12" s="4260"/>
      <c r="GA12" s="4260"/>
      <c r="GB12" s="4260"/>
      <c r="GC12" s="4260"/>
      <c r="GD12" s="4260"/>
      <c r="GE12" s="4260"/>
      <c r="GF12" s="4260"/>
      <c r="GG12" s="4260"/>
      <c r="GH12" s="4260"/>
      <c r="GI12" s="4260"/>
      <c r="GJ12" s="4260"/>
      <c r="GK12" s="4260"/>
      <c r="GL12" s="4260"/>
      <c r="GM12" s="4260"/>
      <c r="GN12" s="4260"/>
      <c r="GO12" s="4260"/>
      <c r="GP12" s="4260"/>
      <c r="GQ12" s="4260"/>
      <c r="GR12" s="4260"/>
      <c r="GS12" s="4260"/>
      <c r="GT12" s="4260"/>
      <c r="GU12" s="4260"/>
      <c r="GV12" s="4260"/>
      <c r="GW12" s="4260"/>
      <c r="GX12" s="4260"/>
      <c r="GY12" s="4260"/>
      <c r="GZ12" s="4260"/>
      <c r="HA12" s="4260"/>
      <c r="HB12" s="4260"/>
      <c r="HC12" s="4260"/>
      <c r="HD12" s="4260"/>
      <c r="HE12" s="4260"/>
      <c r="HF12" s="4260"/>
      <c r="HG12" s="4260"/>
      <c r="HH12" s="4260"/>
      <c r="HI12" s="4260"/>
      <c r="HJ12" s="4260"/>
      <c r="HK12" s="4260"/>
      <c r="HL12" s="4260"/>
      <c r="HM12" s="4260"/>
      <c r="HN12" s="4260"/>
      <c r="HO12" s="4260"/>
      <c r="HP12" s="4260"/>
      <c r="HQ12" s="4260"/>
      <c r="HR12" s="4260"/>
      <c r="HS12" s="4260"/>
      <c r="HT12" s="4260"/>
      <c r="HU12" s="4260"/>
      <c r="HV12" s="4260"/>
      <c r="HW12" s="4260"/>
      <c r="HX12" s="4260"/>
      <c r="HY12" s="4260"/>
      <c r="HZ12" s="4260"/>
      <c r="IA12" s="4260"/>
    </row>
    <row r="13" spans="1:235" s="4295" customFormat="1" ht="17.25" customHeight="1" x14ac:dyDescent="0.25">
      <c r="A13" s="7631">
        <v>26274000</v>
      </c>
      <c r="B13" s="10718" t="s">
        <v>1726</v>
      </c>
      <c r="C13" s="10723"/>
      <c r="D13" s="4280" t="s">
        <v>5369</v>
      </c>
      <c r="E13" s="4296" t="s">
        <v>5370</v>
      </c>
      <c r="F13" s="4297" t="s">
        <v>5371</v>
      </c>
      <c r="G13" s="4297" t="s">
        <v>5372</v>
      </c>
      <c r="H13" s="4298" t="s">
        <v>5373</v>
      </c>
      <c r="I13" s="4299" t="s">
        <v>5374</v>
      </c>
      <c r="J13" s="4300" t="s">
        <v>5375</v>
      </c>
      <c r="K13" s="4301" t="s">
        <v>5376</v>
      </c>
      <c r="L13" s="4299" t="s">
        <v>5377</v>
      </c>
      <c r="M13" s="4298" t="s">
        <v>5378</v>
      </c>
      <c r="N13" s="4302" t="s">
        <v>5379</v>
      </c>
      <c r="O13" s="4289" t="s">
        <v>5380</v>
      </c>
      <c r="P13" s="4289" t="s">
        <v>5381</v>
      </c>
      <c r="Q13" s="4289" t="s">
        <v>5382</v>
      </c>
      <c r="R13" s="4290" t="e">
        <f t="shared" si="4"/>
        <v>#VALUE!</v>
      </c>
      <c r="S13" s="4291"/>
      <c r="T13" s="4291"/>
      <c r="U13" s="4291"/>
      <c r="V13" s="4291"/>
      <c r="W13" s="4291"/>
      <c r="X13" s="4291"/>
      <c r="Y13" s="4291"/>
      <c r="Z13" s="4264"/>
      <c r="AA13" s="4264"/>
      <c r="AB13" s="4264"/>
      <c r="AC13" s="4258"/>
      <c r="AD13" s="4258"/>
      <c r="AE13" s="4258"/>
      <c r="AF13" s="4258"/>
      <c r="AG13" s="4258"/>
      <c r="AH13" s="4258"/>
      <c r="AI13" s="4258"/>
      <c r="AJ13" s="4258"/>
      <c r="AK13" s="4258"/>
      <c r="AL13" s="4258"/>
      <c r="AM13" s="4258"/>
      <c r="AN13" s="4258"/>
      <c r="AO13" s="4258"/>
      <c r="AP13" s="4258"/>
      <c r="AQ13" s="4258"/>
      <c r="AR13" s="4258"/>
      <c r="AS13" s="4258"/>
      <c r="AT13" s="4258"/>
      <c r="AU13" s="4258"/>
      <c r="AV13" s="4258"/>
      <c r="AW13" s="4258"/>
      <c r="AX13" s="4258"/>
      <c r="AY13" s="4258"/>
      <c r="AZ13" s="4258"/>
      <c r="BA13" s="4258"/>
      <c r="BB13" s="4258"/>
      <c r="BC13" s="4258"/>
      <c r="BD13" s="4258"/>
      <c r="BE13" s="4258"/>
      <c r="BF13" s="4258"/>
      <c r="BG13" s="4258"/>
      <c r="BH13" s="4258"/>
      <c r="BI13" s="4258"/>
      <c r="BJ13" s="4258"/>
      <c r="BK13" s="4258"/>
      <c r="BL13" s="4258"/>
      <c r="BM13" s="4258"/>
      <c r="BN13" s="4258"/>
      <c r="BO13" s="4258"/>
      <c r="BP13" s="4258"/>
      <c r="BQ13" s="4258"/>
      <c r="BR13" s="4258"/>
      <c r="BS13" s="4258"/>
      <c r="BT13" s="4258"/>
      <c r="BU13" s="4258"/>
      <c r="BV13" s="4258"/>
      <c r="BW13" s="4258"/>
      <c r="BX13" s="4258"/>
      <c r="BY13" s="4259"/>
      <c r="BZ13" s="4260"/>
      <c r="CA13" s="4260"/>
      <c r="CB13" s="4292" t="e">
        <f t="shared" si="5"/>
        <v>#VALUE!</v>
      </c>
      <c r="CC13" s="4262" t="str">
        <f t="shared" si="0"/>
        <v/>
      </c>
      <c r="CD13" s="4292" t="str">
        <f t="shared" si="6"/>
        <v xml:space="preserve">* Pueblos Originarios debe ser MENOR O IGUAL al Total. </v>
      </c>
      <c r="CE13" s="4292" t="str">
        <f t="shared" si="7"/>
        <v xml:space="preserve">* Migrantes debe ser MENOR O IGUAL al Total. </v>
      </c>
      <c r="CF13" s="4262"/>
      <c r="CG13" s="4262"/>
      <c r="CH13" s="4261"/>
      <c r="CI13" s="4261"/>
      <c r="CJ13" s="4261"/>
      <c r="CK13" s="4261"/>
      <c r="CL13" s="4261"/>
      <c r="CM13" s="4261"/>
      <c r="CN13" s="4261"/>
      <c r="CO13" s="4261"/>
      <c r="CP13" s="4261"/>
      <c r="CQ13" s="4261"/>
      <c r="CR13" s="4261"/>
      <c r="CS13" s="4261"/>
      <c r="CT13" s="4261"/>
      <c r="CU13" s="4261"/>
      <c r="CV13" s="4261"/>
      <c r="CW13" s="4261"/>
      <c r="CX13" s="4261"/>
      <c r="CY13" s="4261"/>
      <c r="CZ13" s="4261"/>
      <c r="DA13" s="4261"/>
      <c r="DB13" s="4293" t="e">
        <f t="shared" si="1"/>
        <v>#VALUE!</v>
      </c>
      <c r="DC13" s="4263"/>
      <c r="DD13" s="4293">
        <f t="shared" si="2"/>
        <v>1</v>
      </c>
      <c r="DE13" s="4293">
        <f t="shared" si="3"/>
        <v>1</v>
      </c>
      <c r="DF13" s="4294"/>
      <c r="DG13" s="4294"/>
      <c r="DH13" s="4294"/>
      <c r="DI13" s="4294"/>
      <c r="DJ13" s="4294"/>
      <c r="DK13" s="4294"/>
      <c r="DL13" s="4294"/>
      <c r="DM13" s="4294"/>
      <c r="DN13" s="4294"/>
      <c r="DO13" s="4294"/>
      <c r="DP13" s="4294"/>
      <c r="DQ13" s="4294"/>
      <c r="DR13" s="4260"/>
      <c r="DS13" s="4260"/>
      <c r="DT13" s="4260"/>
      <c r="DU13" s="4260"/>
      <c r="DV13" s="4260"/>
      <c r="DW13" s="4260"/>
      <c r="DX13" s="4260"/>
      <c r="DY13" s="4260"/>
      <c r="DZ13" s="4260"/>
      <c r="EA13" s="4260"/>
      <c r="EB13" s="4260"/>
      <c r="EC13" s="4260"/>
      <c r="ED13" s="4260"/>
      <c r="EE13" s="4260"/>
      <c r="EF13" s="4260"/>
      <c r="EG13" s="4260"/>
      <c r="EH13" s="4260"/>
      <c r="EI13" s="4260"/>
      <c r="EJ13" s="4260"/>
      <c r="EK13" s="4260"/>
      <c r="EL13" s="4260"/>
      <c r="EM13" s="4260"/>
      <c r="EN13" s="4260"/>
      <c r="EO13" s="4260"/>
      <c r="EP13" s="4260"/>
      <c r="EQ13" s="4260"/>
      <c r="ER13" s="4260"/>
      <c r="ES13" s="4260"/>
      <c r="ET13" s="4260"/>
      <c r="EU13" s="4260"/>
      <c r="EV13" s="4260"/>
      <c r="EW13" s="4260"/>
      <c r="EX13" s="4260"/>
      <c r="EY13" s="4260"/>
      <c r="EZ13" s="4260"/>
      <c r="FA13" s="4260"/>
      <c r="FB13" s="4260"/>
      <c r="FC13" s="4260"/>
      <c r="FD13" s="4260"/>
      <c r="FE13" s="4260"/>
      <c r="FF13" s="4260"/>
      <c r="FG13" s="4260"/>
      <c r="FH13" s="4260"/>
      <c r="FI13" s="4260"/>
      <c r="FJ13" s="4260"/>
      <c r="FK13" s="4260"/>
      <c r="FL13" s="4260"/>
      <c r="FM13" s="4260"/>
      <c r="FN13" s="4260"/>
      <c r="FO13" s="4260"/>
      <c r="FP13" s="4260"/>
      <c r="FQ13" s="4260"/>
      <c r="FR13" s="4260"/>
      <c r="FS13" s="4260"/>
      <c r="FT13" s="4260"/>
      <c r="FU13" s="4260"/>
      <c r="FV13" s="4260"/>
      <c r="FW13" s="4260"/>
      <c r="FX13" s="4260"/>
      <c r="FY13" s="4260"/>
      <c r="FZ13" s="4260"/>
      <c r="GA13" s="4260"/>
      <c r="GB13" s="4260"/>
      <c r="GC13" s="4260"/>
      <c r="GD13" s="4260"/>
      <c r="GE13" s="4260"/>
      <c r="GF13" s="4260"/>
      <c r="GG13" s="4260"/>
      <c r="GH13" s="4260"/>
      <c r="GI13" s="4260"/>
      <c r="GJ13" s="4260"/>
      <c r="GK13" s="4260"/>
      <c r="GL13" s="4260"/>
      <c r="GM13" s="4260"/>
      <c r="GN13" s="4260"/>
      <c r="GO13" s="4260"/>
      <c r="GP13" s="4260"/>
      <c r="GQ13" s="4260"/>
      <c r="GR13" s="4260"/>
      <c r="GS13" s="4260"/>
      <c r="GT13" s="4260"/>
      <c r="GU13" s="4260"/>
      <c r="GV13" s="4260"/>
      <c r="GW13" s="4260"/>
      <c r="GX13" s="4260"/>
      <c r="GY13" s="4260"/>
      <c r="GZ13" s="4260"/>
      <c r="HA13" s="4260"/>
      <c r="HB13" s="4260"/>
      <c r="HC13" s="4260"/>
      <c r="HD13" s="4260"/>
      <c r="HE13" s="4260"/>
      <c r="HF13" s="4260"/>
      <c r="HG13" s="4260"/>
      <c r="HH13" s="4260"/>
      <c r="HI13" s="4260"/>
      <c r="HJ13" s="4260"/>
      <c r="HK13" s="4260"/>
      <c r="HL13" s="4260"/>
      <c r="HM13" s="4260"/>
      <c r="HN13" s="4260"/>
      <c r="HO13" s="4260"/>
      <c r="HP13" s="4260"/>
      <c r="HQ13" s="4260"/>
      <c r="HR13" s="4260"/>
      <c r="HS13" s="4260"/>
      <c r="HT13" s="4260"/>
      <c r="HU13" s="4260"/>
      <c r="HV13" s="4260"/>
      <c r="HW13" s="4260"/>
      <c r="HX13" s="4260"/>
      <c r="HY13" s="4260"/>
      <c r="HZ13" s="4260"/>
      <c r="IA13" s="4260"/>
    </row>
    <row r="14" spans="1:235" s="4295" customFormat="1" ht="25.5" customHeight="1" x14ac:dyDescent="0.25">
      <c r="A14" s="7631">
        <v>26291000</v>
      </c>
      <c r="B14" s="10718" t="s">
        <v>1725</v>
      </c>
      <c r="C14" s="10723"/>
      <c r="D14" s="4280" t="s">
        <v>5369</v>
      </c>
      <c r="E14" s="4296" t="s">
        <v>5370</v>
      </c>
      <c r="F14" s="4297" t="s">
        <v>5371</v>
      </c>
      <c r="G14" s="4297" t="s">
        <v>5372</v>
      </c>
      <c r="H14" s="4298" t="s">
        <v>5373</v>
      </c>
      <c r="I14" s="4299" t="s">
        <v>5374</v>
      </c>
      <c r="J14" s="4300" t="s">
        <v>5375</v>
      </c>
      <c r="K14" s="4301" t="s">
        <v>5376</v>
      </c>
      <c r="L14" s="4299" t="s">
        <v>5377</v>
      </c>
      <c r="M14" s="4298" t="s">
        <v>5378</v>
      </c>
      <c r="N14" s="4302" t="s">
        <v>5379</v>
      </c>
      <c r="O14" s="4289" t="s">
        <v>5380</v>
      </c>
      <c r="P14" s="4289" t="s">
        <v>5381</v>
      </c>
      <c r="Q14" s="4289" t="s">
        <v>5382</v>
      </c>
      <c r="R14" s="4290" t="e">
        <f t="shared" si="4"/>
        <v>#VALUE!</v>
      </c>
      <c r="S14" s="4291"/>
      <c r="T14" s="4291"/>
      <c r="U14" s="4291"/>
      <c r="V14" s="4291"/>
      <c r="W14" s="4291"/>
      <c r="X14" s="4291"/>
      <c r="Y14" s="4291"/>
      <c r="Z14" s="4264"/>
      <c r="AA14" s="4264"/>
      <c r="AB14" s="4264"/>
      <c r="AC14" s="4258"/>
      <c r="AD14" s="4258"/>
      <c r="AE14" s="4258"/>
      <c r="AF14" s="4258"/>
      <c r="AG14" s="4258"/>
      <c r="AH14" s="4258"/>
      <c r="AI14" s="4258"/>
      <c r="AJ14" s="4258"/>
      <c r="AK14" s="4258"/>
      <c r="AL14" s="4258"/>
      <c r="AM14" s="4258"/>
      <c r="AN14" s="4258"/>
      <c r="AO14" s="4258"/>
      <c r="AP14" s="4258"/>
      <c r="AQ14" s="4258"/>
      <c r="AR14" s="4258"/>
      <c r="AS14" s="4258"/>
      <c r="AT14" s="4258"/>
      <c r="AU14" s="4258"/>
      <c r="AV14" s="4258"/>
      <c r="AW14" s="4258"/>
      <c r="AX14" s="4258"/>
      <c r="AY14" s="4258"/>
      <c r="AZ14" s="4258"/>
      <c r="BA14" s="4258"/>
      <c r="BB14" s="4258"/>
      <c r="BC14" s="4258"/>
      <c r="BD14" s="4258"/>
      <c r="BE14" s="4258"/>
      <c r="BF14" s="4258"/>
      <c r="BG14" s="4258"/>
      <c r="BH14" s="4258"/>
      <c r="BI14" s="4258"/>
      <c r="BJ14" s="4258"/>
      <c r="BK14" s="4258"/>
      <c r="BL14" s="4258"/>
      <c r="BM14" s="4258"/>
      <c r="BN14" s="4258"/>
      <c r="BO14" s="4258"/>
      <c r="BP14" s="4258"/>
      <c r="BQ14" s="4258"/>
      <c r="BR14" s="4258"/>
      <c r="BS14" s="4258"/>
      <c r="BT14" s="4258"/>
      <c r="BU14" s="4258"/>
      <c r="BV14" s="4258"/>
      <c r="BW14" s="4258"/>
      <c r="BX14" s="4258"/>
      <c r="BY14" s="4259"/>
      <c r="BZ14" s="4260"/>
      <c r="CA14" s="4260"/>
      <c r="CB14" s="4292" t="e">
        <f t="shared" si="5"/>
        <v>#VALUE!</v>
      </c>
      <c r="CC14" s="4262" t="str">
        <f t="shared" si="0"/>
        <v/>
      </c>
      <c r="CD14" s="4292" t="str">
        <f t="shared" si="6"/>
        <v xml:space="preserve">* Pueblos Originarios debe ser MENOR O IGUAL al Total. </v>
      </c>
      <c r="CE14" s="4292" t="str">
        <f t="shared" si="7"/>
        <v xml:space="preserve">* Migrantes debe ser MENOR O IGUAL al Total. </v>
      </c>
      <c r="CF14" s="4262"/>
      <c r="CG14" s="4262"/>
      <c r="CH14" s="4261"/>
      <c r="CI14" s="4261"/>
      <c r="CJ14" s="4261"/>
      <c r="CK14" s="4261"/>
      <c r="CL14" s="4261"/>
      <c r="CM14" s="4261"/>
      <c r="CN14" s="4261"/>
      <c r="CO14" s="4261"/>
      <c r="CP14" s="4261"/>
      <c r="CQ14" s="4261"/>
      <c r="CR14" s="4261"/>
      <c r="CS14" s="4261"/>
      <c r="CT14" s="4261"/>
      <c r="CU14" s="4261"/>
      <c r="CV14" s="4261"/>
      <c r="CW14" s="4261"/>
      <c r="CX14" s="4261"/>
      <c r="CY14" s="4261"/>
      <c r="CZ14" s="4261"/>
      <c r="DA14" s="4261"/>
      <c r="DB14" s="4293" t="e">
        <f t="shared" si="1"/>
        <v>#VALUE!</v>
      </c>
      <c r="DC14" s="4263"/>
      <c r="DD14" s="4293">
        <f t="shared" si="2"/>
        <v>1</v>
      </c>
      <c r="DE14" s="4293">
        <f t="shared" si="3"/>
        <v>1</v>
      </c>
      <c r="DF14" s="4294"/>
      <c r="DG14" s="4294"/>
      <c r="DH14" s="4294"/>
      <c r="DI14" s="4294"/>
      <c r="DJ14" s="4294"/>
      <c r="DK14" s="4294"/>
      <c r="DL14" s="4294"/>
      <c r="DM14" s="4294"/>
      <c r="DN14" s="4294"/>
      <c r="DO14" s="4294"/>
      <c r="DP14" s="4294"/>
      <c r="DQ14" s="4294"/>
      <c r="DR14" s="4260"/>
      <c r="DS14" s="4260"/>
      <c r="DT14" s="4260"/>
      <c r="DU14" s="4260"/>
      <c r="DV14" s="4260"/>
      <c r="DW14" s="4260"/>
      <c r="DX14" s="4260"/>
      <c r="DY14" s="4260"/>
      <c r="DZ14" s="4260"/>
      <c r="EA14" s="4260"/>
      <c r="EB14" s="4260"/>
      <c r="EC14" s="4260"/>
      <c r="ED14" s="4260"/>
      <c r="EE14" s="4260"/>
      <c r="EF14" s="4260"/>
      <c r="EG14" s="4260"/>
      <c r="EH14" s="4260"/>
      <c r="EI14" s="4260"/>
      <c r="EJ14" s="4260"/>
      <c r="EK14" s="4260"/>
      <c r="EL14" s="4260"/>
      <c r="EM14" s="4260"/>
      <c r="EN14" s="4260"/>
      <c r="EO14" s="4260"/>
      <c r="EP14" s="4260"/>
      <c r="EQ14" s="4260"/>
      <c r="ER14" s="4260"/>
      <c r="ES14" s="4260"/>
      <c r="ET14" s="4260"/>
      <c r="EU14" s="4260"/>
      <c r="EV14" s="4260"/>
      <c r="EW14" s="4260"/>
      <c r="EX14" s="4260"/>
      <c r="EY14" s="4260"/>
      <c r="EZ14" s="4260"/>
      <c r="FA14" s="4260"/>
      <c r="FB14" s="4260"/>
      <c r="FC14" s="4260"/>
      <c r="FD14" s="4260"/>
      <c r="FE14" s="4260"/>
      <c r="FF14" s="4260"/>
      <c r="FG14" s="4260"/>
      <c r="FH14" s="4260"/>
      <c r="FI14" s="4260"/>
      <c r="FJ14" s="4260"/>
      <c r="FK14" s="4260"/>
      <c r="FL14" s="4260"/>
      <c r="FM14" s="4260"/>
      <c r="FN14" s="4260"/>
      <c r="FO14" s="4260"/>
      <c r="FP14" s="4260"/>
      <c r="FQ14" s="4260"/>
      <c r="FR14" s="4260"/>
      <c r="FS14" s="4260"/>
      <c r="FT14" s="4260"/>
      <c r="FU14" s="4260"/>
      <c r="FV14" s="4260"/>
      <c r="FW14" s="4260"/>
      <c r="FX14" s="4260"/>
      <c r="FY14" s="4260"/>
      <c r="FZ14" s="4260"/>
      <c r="GA14" s="4260"/>
      <c r="GB14" s="4260"/>
      <c r="GC14" s="4260"/>
      <c r="GD14" s="4260"/>
      <c r="GE14" s="4260"/>
      <c r="GF14" s="4260"/>
      <c r="GG14" s="4260"/>
      <c r="GH14" s="4260"/>
      <c r="GI14" s="4260"/>
      <c r="GJ14" s="4260"/>
      <c r="GK14" s="4260"/>
      <c r="GL14" s="4260"/>
      <c r="GM14" s="4260"/>
      <c r="GN14" s="4260"/>
      <c r="GO14" s="4260"/>
      <c r="GP14" s="4260"/>
      <c r="GQ14" s="4260"/>
      <c r="GR14" s="4260"/>
      <c r="GS14" s="4260"/>
      <c r="GT14" s="4260"/>
      <c r="GU14" s="4260"/>
      <c r="GV14" s="4260"/>
      <c r="GW14" s="4260"/>
      <c r="GX14" s="4260"/>
      <c r="GY14" s="4260"/>
      <c r="GZ14" s="4260"/>
      <c r="HA14" s="4260"/>
      <c r="HB14" s="4260"/>
      <c r="HC14" s="4260"/>
      <c r="HD14" s="4260"/>
      <c r="HE14" s="4260"/>
      <c r="HF14" s="4260"/>
      <c r="HG14" s="4260"/>
      <c r="HH14" s="4260"/>
      <c r="HI14" s="4260"/>
      <c r="HJ14" s="4260"/>
      <c r="HK14" s="4260"/>
      <c r="HL14" s="4260"/>
      <c r="HM14" s="4260"/>
      <c r="HN14" s="4260"/>
      <c r="HO14" s="4260"/>
      <c r="HP14" s="4260"/>
      <c r="HQ14" s="4260"/>
      <c r="HR14" s="4260"/>
      <c r="HS14" s="4260"/>
      <c r="HT14" s="4260"/>
      <c r="HU14" s="4260"/>
      <c r="HV14" s="4260"/>
      <c r="HW14" s="4260"/>
      <c r="HX14" s="4260"/>
      <c r="HY14" s="4260"/>
      <c r="HZ14" s="4260"/>
      <c r="IA14" s="4260"/>
    </row>
    <row r="15" spans="1:235" s="4295" customFormat="1" ht="27" customHeight="1" x14ac:dyDescent="0.25">
      <c r="A15" s="7631">
        <v>26291050</v>
      </c>
      <c r="B15" s="10718" t="s">
        <v>1724</v>
      </c>
      <c r="C15" s="10723"/>
      <c r="D15" s="4280" t="s">
        <v>5369</v>
      </c>
      <c r="E15" s="4296" t="s">
        <v>5370</v>
      </c>
      <c r="F15" s="4297" t="s">
        <v>5371</v>
      </c>
      <c r="G15" s="4297" t="s">
        <v>5372</v>
      </c>
      <c r="H15" s="4298" t="s">
        <v>5373</v>
      </c>
      <c r="I15" s="4299" t="s">
        <v>5374</v>
      </c>
      <c r="J15" s="4300" t="s">
        <v>5375</v>
      </c>
      <c r="K15" s="4301" t="s">
        <v>5376</v>
      </c>
      <c r="L15" s="4299" t="s">
        <v>5377</v>
      </c>
      <c r="M15" s="4298" t="s">
        <v>5378</v>
      </c>
      <c r="N15" s="4302" t="s">
        <v>5379</v>
      </c>
      <c r="O15" s="4289" t="s">
        <v>5380</v>
      </c>
      <c r="P15" s="4289" t="s">
        <v>5381</v>
      </c>
      <c r="Q15" s="4289" t="s">
        <v>5382</v>
      </c>
      <c r="R15" s="4290" t="e">
        <f t="shared" si="4"/>
        <v>#VALUE!</v>
      </c>
      <c r="S15" s="4291"/>
      <c r="T15" s="4291"/>
      <c r="U15" s="4291"/>
      <c r="V15" s="4291"/>
      <c r="W15" s="4291"/>
      <c r="X15" s="4291"/>
      <c r="Y15" s="4291"/>
      <c r="Z15" s="4264"/>
      <c r="AA15" s="4264"/>
      <c r="AB15" s="4264"/>
      <c r="AC15" s="4258"/>
      <c r="AD15" s="4258"/>
      <c r="AE15" s="4258"/>
      <c r="AF15" s="4258"/>
      <c r="AG15" s="4258"/>
      <c r="AH15" s="4258"/>
      <c r="AI15" s="4258"/>
      <c r="AJ15" s="4258"/>
      <c r="AK15" s="4258"/>
      <c r="AL15" s="4258"/>
      <c r="AM15" s="4258"/>
      <c r="AN15" s="4258"/>
      <c r="AO15" s="4258"/>
      <c r="AP15" s="4258"/>
      <c r="AQ15" s="4258"/>
      <c r="AR15" s="4258"/>
      <c r="AS15" s="4258"/>
      <c r="AT15" s="4258"/>
      <c r="AU15" s="4258"/>
      <c r="AV15" s="4258"/>
      <c r="AW15" s="4258"/>
      <c r="AX15" s="4258"/>
      <c r="AY15" s="4258"/>
      <c r="AZ15" s="4258"/>
      <c r="BA15" s="4258"/>
      <c r="BB15" s="4258"/>
      <c r="BC15" s="4258"/>
      <c r="BD15" s="4258"/>
      <c r="BE15" s="4258"/>
      <c r="BF15" s="4258"/>
      <c r="BG15" s="4258"/>
      <c r="BH15" s="4258"/>
      <c r="BI15" s="4258"/>
      <c r="BJ15" s="4258"/>
      <c r="BK15" s="4258"/>
      <c r="BL15" s="4258"/>
      <c r="BM15" s="4258"/>
      <c r="BN15" s="4258"/>
      <c r="BO15" s="4258"/>
      <c r="BP15" s="4258"/>
      <c r="BQ15" s="4258"/>
      <c r="BR15" s="4258"/>
      <c r="BS15" s="4258"/>
      <c r="BT15" s="4258"/>
      <c r="BU15" s="4258"/>
      <c r="BV15" s="4258"/>
      <c r="BW15" s="4258"/>
      <c r="BX15" s="4258"/>
      <c r="BY15" s="4259"/>
      <c r="BZ15" s="4260"/>
      <c r="CA15" s="4260"/>
      <c r="CB15" s="4292" t="e">
        <f t="shared" si="5"/>
        <v>#VALUE!</v>
      </c>
      <c r="CC15" s="4262" t="str">
        <f t="shared" si="0"/>
        <v/>
      </c>
      <c r="CD15" s="4292" t="str">
        <f t="shared" si="6"/>
        <v xml:space="preserve">* Pueblos Originarios debe ser MENOR O IGUAL al Total. </v>
      </c>
      <c r="CE15" s="4292" t="str">
        <f t="shared" si="7"/>
        <v xml:space="preserve">* Migrantes debe ser MENOR O IGUAL al Total. </v>
      </c>
      <c r="CF15" s="4262"/>
      <c r="CG15" s="4262"/>
      <c r="CH15" s="4261"/>
      <c r="CI15" s="4261"/>
      <c r="CJ15" s="4261"/>
      <c r="CK15" s="4261"/>
      <c r="CL15" s="4261"/>
      <c r="CM15" s="4261"/>
      <c r="CN15" s="4261"/>
      <c r="CO15" s="4261"/>
      <c r="CP15" s="4261"/>
      <c r="CQ15" s="4261"/>
      <c r="CR15" s="4261"/>
      <c r="CS15" s="4261"/>
      <c r="CT15" s="4261"/>
      <c r="CU15" s="4261"/>
      <c r="CV15" s="4261"/>
      <c r="CW15" s="4261"/>
      <c r="CX15" s="4261"/>
      <c r="CY15" s="4261"/>
      <c r="CZ15" s="4261"/>
      <c r="DA15" s="4261"/>
      <c r="DB15" s="4293" t="e">
        <f t="shared" si="1"/>
        <v>#VALUE!</v>
      </c>
      <c r="DC15" s="4263"/>
      <c r="DD15" s="4293">
        <f t="shared" si="2"/>
        <v>1</v>
      </c>
      <c r="DE15" s="4293">
        <f t="shared" si="3"/>
        <v>1</v>
      </c>
      <c r="DF15" s="4294"/>
      <c r="DG15" s="4294"/>
      <c r="DH15" s="4294"/>
      <c r="DI15" s="4294"/>
      <c r="DJ15" s="4294"/>
      <c r="DK15" s="4294"/>
      <c r="DL15" s="4294"/>
      <c r="DM15" s="4294"/>
      <c r="DN15" s="4294"/>
      <c r="DO15" s="4294"/>
      <c r="DP15" s="4294"/>
      <c r="DQ15" s="4294"/>
      <c r="DR15" s="4260"/>
      <c r="DS15" s="4260"/>
      <c r="DT15" s="4260"/>
      <c r="DU15" s="4260"/>
      <c r="DV15" s="4260"/>
      <c r="DW15" s="4260"/>
      <c r="DX15" s="4260"/>
      <c r="DY15" s="4260"/>
      <c r="DZ15" s="4260"/>
      <c r="EA15" s="4260"/>
      <c r="EB15" s="4260"/>
      <c r="EC15" s="4260"/>
      <c r="ED15" s="4260"/>
      <c r="EE15" s="4260"/>
      <c r="EF15" s="4260"/>
      <c r="EG15" s="4260"/>
      <c r="EH15" s="4260"/>
      <c r="EI15" s="4260"/>
      <c r="EJ15" s="4260"/>
      <c r="EK15" s="4260"/>
      <c r="EL15" s="4260"/>
      <c r="EM15" s="4260"/>
      <c r="EN15" s="4260"/>
      <c r="EO15" s="4260"/>
      <c r="EP15" s="4260"/>
      <c r="EQ15" s="4260"/>
      <c r="ER15" s="4260"/>
      <c r="ES15" s="4260"/>
      <c r="ET15" s="4260"/>
      <c r="EU15" s="4260"/>
      <c r="EV15" s="4260"/>
      <c r="EW15" s="4260"/>
      <c r="EX15" s="4260"/>
      <c r="EY15" s="4260"/>
      <c r="EZ15" s="4260"/>
      <c r="FA15" s="4260"/>
      <c r="FB15" s="4260"/>
      <c r="FC15" s="4260"/>
      <c r="FD15" s="4260"/>
      <c r="FE15" s="4260"/>
      <c r="FF15" s="4260"/>
      <c r="FG15" s="4260"/>
      <c r="FH15" s="4260"/>
      <c r="FI15" s="4260"/>
      <c r="FJ15" s="4260"/>
      <c r="FK15" s="4260"/>
      <c r="FL15" s="4260"/>
      <c r="FM15" s="4260"/>
      <c r="FN15" s="4260"/>
      <c r="FO15" s="4260"/>
      <c r="FP15" s="4260"/>
      <c r="FQ15" s="4260"/>
      <c r="FR15" s="4260"/>
      <c r="FS15" s="4260"/>
      <c r="FT15" s="4260"/>
      <c r="FU15" s="4260"/>
      <c r="FV15" s="4260"/>
      <c r="FW15" s="4260"/>
      <c r="FX15" s="4260"/>
      <c r="FY15" s="4260"/>
      <c r="FZ15" s="4260"/>
      <c r="GA15" s="4260"/>
      <c r="GB15" s="4260"/>
      <c r="GC15" s="4260"/>
      <c r="GD15" s="4260"/>
      <c r="GE15" s="4260"/>
      <c r="GF15" s="4260"/>
      <c r="GG15" s="4260"/>
      <c r="GH15" s="4260"/>
      <c r="GI15" s="4260"/>
      <c r="GJ15" s="4260"/>
      <c r="GK15" s="4260"/>
      <c r="GL15" s="4260"/>
      <c r="GM15" s="4260"/>
      <c r="GN15" s="4260"/>
      <c r="GO15" s="4260"/>
      <c r="GP15" s="4260"/>
      <c r="GQ15" s="4260"/>
      <c r="GR15" s="4260"/>
      <c r="GS15" s="4260"/>
      <c r="GT15" s="4260"/>
      <c r="GU15" s="4260"/>
      <c r="GV15" s="4260"/>
      <c r="GW15" s="4260"/>
      <c r="GX15" s="4260"/>
      <c r="GY15" s="4260"/>
      <c r="GZ15" s="4260"/>
      <c r="HA15" s="4260"/>
      <c r="HB15" s="4260"/>
      <c r="HC15" s="4260"/>
      <c r="HD15" s="4260"/>
      <c r="HE15" s="4260"/>
      <c r="HF15" s="4260"/>
      <c r="HG15" s="4260"/>
      <c r="HH15" s="4260"/>
      <c r="HI15" s="4260"/>
      <c r="HJ15" s="4260"/>
      <c r="HK15" s="4260"/>
      <c r="HL15" s="4260"/>
      <c r="HM15" s="4260"/>
      <c r="HN15" s="4260"/>
      <c r="HO15" s="4260"/>
      <c r="HP15" s="4260"/>
      <c r="HQ15" s="4260"/>
      <c r="HR15" s="4260"/>
      <c r="HS15" s="4260"/>
      <c r="HT15" s="4260"/>
      <c r="HU15" s="4260"/>
      <c r="HV15" s="4260"/>
      <c r="HW15" s="4260"/>
      <c r="HX15" s="4260"/>
      <c r="HY15" s="4260"/>
      <c r="HZ15" s="4260"/>
      <c r="IA15" s="4260"/>
    </row>
    <row r="16" spans="1:235" s="4295" customFormat="1" ht="22.5" customHeight="1" x14ac:dyDescent="0.25">
      <c r="A16" s="7631">
        <v>26291100</v>
      </c>
      <c r="B16" s="10718" t="s">
        <v>1723</v>
      </c>
      <c r="C16" s="10723"/>
      <c r="D16" s="4280" t="s">
        <v>5369</v>
      </c>
      <c r="E16" s="4296" t="s">
        <v>5370</v>
      </c>
      <c r="F16" s="4297" t="s">
        <v>5371</v>
      </c>
      <c r="G16" s="4297" t="s">
        <v>5372</v>
      </c>
      <c r="H16" s="4298" t="s">
        <v>5373</v>
      </c>
      <c r="I16" s="4299" t="s">
        <v>5374</v>
      </c>
      <c r="J16" s="4300" t="s">
        <v>5375</v>
      </c>
      <c r="K16" s="4301" t="s">
        <v>5376</v>
      </c>
      <c r="L16" s="4299" t="s">
        <v>5377</v>
      </c>
      <c r="M16" s="4298" t="s">
        <v>5378</v>
      </c>
      <c r="N16" s="4302" t="s">
        <v>5379</v>
      </c>
      <c r="O16" s="4289" t="s">
        <v>5380</v>
      </c>
      <c r="P16" s="4289" t="s">
        <v>5381</v>
      </c>
      <c r="Q16" s="4289" t="s">
        <v>5382</v>
      </c>
      <c r="R16" s="4290" t="e">
        <f t="shared" si="4"/>
        <v>#VALUE!</v>
      </c>
      <c r="S16" s="4291"/>
      <c r="T16" s="4291"/>
      <c r="U16" s="4291"/>
      <c r="V16" s="4291"/>
      <c r="W16" s="4291"/>
      <c r="X16" s="4291"/>
      <c r="Y16" s="4291"/>
      <c r="Z16" s="4264"/>
      <c r="AA16" s="4264"/>
      <c r="AB16" s="4264"/>
      <c r="AC16" s="4258"/>
      <c r="AD16" s="4258"/>
      <c r="AE16" s="4258"/>
      <c r="AF16" s="4258"/>
      <c r="AG16" s="4258"/>
      <c r="AH16" s="4258"/>
      <c r="AI16" s="4258"/>
      <c r="AJ16" s="4258"/>
      <c r="AK16" s="4258"/>
      <c r="AL16" s="4258"/>
      <c r="AM16" s="4258"/>
      <c r="AN16" s="4258"/>
      <c r="AO16" s="4258"/>
      <c r="AP16" s="4258"/>
      <c r="AQ16" s="4258"/>
      <c r="AR16" s="4258"/>
      <c r="AS16" s="4258"/>
      <c r="AT16" s="4258"/>
      <c r="AU16" s="4258"/>
      <c r="AV16" s="4258"/>
      <c r="AW16" s="4258"/>
      <c r="AX16" s="4258"/>
      <c r="AY16" s="4258"/>
      <c r="AZ16" s="4258"/>
      <c r="BA16" s="4258"/>
      <c r="BB16" s="4258"/>
      <c r="BC16" s="4258"/>
      <c r="BD16" s="4258"/>
      <c r="BE16" s="4258"/>
      <c r="BF16" s="4258"/>
      <c r="BG16" s="4258"/>
      <c r="BH16" s="4258"/>
      <c r="BI16" s="4258"/>
      <c r="BJ16" s="4258"/>
      <c r="BK16" s="4258"/>
      <c r="BL16" s="4258"/>
      <c r="BM16" s="4258"/>
      <c r="BN16" s="4258"/>
      <c r="BO16" s="4258"/>
      <c r="BP16" s="4258"/>
      <c r="BQ16" s="4258"/>
      <c r="BR16" s="4258"/>
      <c r="BS16" s="4258"/>
      <c r="BT16" s="4258"/>
      <c r="BU16" s="4258"/>
      <c r="BV16" s="4258"/>
      <c r="BW16" s="4258"/>
      <c r="BX16" s="4258"/>
      <c r="BY16" s="4259"/>
      <c r="BZ16" s="4260"/>
      <c r="CA16" s="4260"/>
      <c r="CB16" s="4292" t="e">
        <f t="shared" si="5"/>
        <v>#VALUE!</v>
      </c>
      <c r="CC16" s="4262" t="str">
        <f t="shared" si="0"/>
        <v/>
      </c>
      <c r="CD16" s="4292" t="str">
        <f t="shared" si="6"/>
        <v xml:space="preserve">* Pueblos Originarios debe ser MENOR O IGUAL al Total. </v>
      </c>
      <c r="CE16" s="4292" t="str">
        <f t="shared" si="7"/>
        <v xml:space="preserve">* Migrantes debe ser MENOR O IGUAL al Total. </v>
      </c>
      <c r="CF16" s="4262"/>
      <c r="CG16" s="4262"/>
      <c r="CH16" s="4261"/>
      <c r="CI16" s="4261"/>
      <c r="CJ16" s="4261"/>
      <c r="CK16" s="4261"/>
      <c r="CL16" s="4261"/>
      <c r="CM16" s="4261"/>
      <c r="CN16" s="4261"/>
      <c r="CO16" s="4261"/>
      <c r="CP16" s="4261"/>
      <c r="CQ16" s="4261"/>
      <c r="CR16" s="4261"/>
      <c r="CS16" s="4261"/>
      <c r="CT16" s="4261"/>
      <c r="CU16" s="4261"/>
      <c r="CV16" s="4261"/>
      <c r="CW16" s="4261"/>
      <c r="CX16" s="4261"/>
      <c r="CY16" s="4261"/>
      <c r="CZ16" s="4261"/>
      <c r="DA16" s="4261"/>
      <c r="DB16" s="4293" t="e">
        <f t="shared" si="1"/>
        <v>#VALUE!</v>
      </c>
      <c r="DC16" s="4263"/>
      <c r="DD16" s="4293">
        <f t="shared" si="2"/>
        <v>1</v>
      </c>
      <c r="DE16" s="4293">
        <f t="shared" si="3"/>
        <v>1</v>
      </c>
      <c r="DF16" s="4294"/>
      <c r="DG16" s="4294"/>
      <c r="DH16" s="4294"/>
      <c r="DI16" s="4294"/>
      <c r="DJ16" s="4294"/>
      <c r="DK16" s="4294"/>
      <c r="DL16" s="4294"/>
      <c r="DM16" s="4294"/>
      <c r="DN16" s="4294"/>
      <c r="DO16" s="4294"/>
      <c r="DP16" s="4294"/>
      <c r="DQ16" s="4294"/>
      <c r="DR16" s="4260"/>
      <c r="DS16" s="4260"/>
      <c r="DT16" s="4260"/>
      <c r="DU16" s="4260"/>
      <c r="DV16" s="4260"/>
      <c r="DW16" s="4260"/>
      <c r="DX16" s="4260"/>
      <c r="DY16" s="4260"/>
      <c r="DZ16" s="4260"/>
      <c r="EA16" s="4260"/>
      <c r="EB16" s="4260"/>
      <c r="EC16" s="4260"/>
      <c r="ED16" s="4260"/>
      <c r="EE16" s="4260"/>
      <c r="EF16" s="4260"/>
      <c r="EG16" s="4260"/>
      <c r="EH16" s="4260"/>
      <c r="EI16" s="4260"/>
      <c r="EJ16" s="4260"/>
      <c r="EK16" s="4260"/>
      <c r="EL16" s="4260"/>
      <c r="EM16" s="4260"/>
      <c r="EN16" s="4260"/>
      <c r="EO16" s="4260"/>
      <c r="EP16" s="4260"/>
      <c r="EQ16" s="4260"/>
      <c r="ER16" s="4260"/>
      <c r="ES16" s="4260"/>
      <c r="ET16" s="4260"/>
      <c r="EU16" s="4260"/>
      <c r="EV16" s="4260"/>
      <c r="EW16" s="4260"/>
      <c r="EX16" s="4260"/>
      <c r="EY16" s="4260"/>
      <c r="EZ16" s="4260"/>
      <c r="FA16" s="4260"/>
      <c r="FB16" s="4260"/>
      <c r="FC16" s="4260"/>
      <c r="FD16" s="4260"/>
      <c r="FE16" s="4260"/>
      <c r="FF16" s="4260"/>
      <c r="FG16" s="4260"/>
      <c r="FH16" s="4260"/>
      <c r="FI16" s="4260"/>
      <c r="FJ16" s="4260"/>
      <c r="FK16" s="4260"/>
      <c r="FL16" s="4260"/>
      <c r="FM16" s="4260"/>
      <c r="FN16" s="4260"/>
      <c r="FO16" s="4260"/>
      <c r="FP16" s="4260"/>
      <c r="FQ16" s="4260"/>
      <c r="FR16" s="4260"/>
      <c r="FS16" s="4260"/>
      <c r="FT16" s="4260"/>
      <c r="FU16" s="4260"/>
      <c r="FV16" s="4260"/>
      <c r="FW16" s="4260"/>
      <c r="FX16" s="4260"/>
      <c r="FY16" s="4260"/>
      <c r="FZ16" s="4260"/>
      <c r="GA16" s="4260"/>
      <c r="GB16" s="4260"/>
      <c r="GC16" s="4260"/>
      <c r="GD16" s="4260"/>
      <c r="GE16" s="4260"/>
      <c r="GF16" s="4260"/>
      <c r="GG16" s="4260"/>
      <c r="GH16" s="4260"/>
      <c r="GI16" s="4260"/>
      <c r="GJ16" s="4260"/>
      <c r="GK16" s="4260"/>
      <c r="GL16" s="4260"/>
      <c r="GM16" s="4260"/>
      <c r="GN16" s="4260"/>
      <c r="GO16" s="4260"/>
      <c r="GP16" s="4260"/>
      <c r="GQ16" s="4260"/>
      <c r="GR16" s="4260"/>
      <c r="GS16" s="4260"/>
      <c r="GT16" s="4260"/>
      <c r="GU16" s="4260"/>
      <c r="GV16" s="4260"/>
      <c r="GW16" s="4260"/>
      <c r="GX16" s="4260"/>
      <c r="GY16" s="4260"/>
      <c r="GZ16" s="4260"/>
      <c r="HA16" s="4260"/>
      <c r="HB16" s="4260"/>
      <c r="HC16" s="4260"/>
      <c r="HD16" s="4260"/>
      <c r="HE16" s="4260"/>
      <c r="HF16" s="4260"/>
      <c r="HG16" s="4260"/>
      <c r="HH16" s="4260"/>
      <c r="HI16" s="4260"/>
      <c r="HJ16" s="4260"/>
      <c r="HK16" s="4260"/>
      <c r="HL16" s="4260"/>
      <c r="HM16" s="4260"/>
      <c r="HN16" s="4260"/>
      <c r="HO16" s="4260"/>
      <c r="HP16" s="4260"/>
      <c r="HQ16" s="4260"/>
      <c r="HR16" s="4260"/>
      <c r="HS16" s="4260"/>
      <c r="HT16" s="4260"/>
      <c r="HU16" s="4260"/>
      <c r="HV16" s="4260"/>
      <c r="HW16" s="4260"/>
      <c r="HX16" s="4260"/>
      <c r="HY16" s="4260"/>
      <c r="HZ16" s="4260"/>
      <c r="IA16" s="4260"/>
    </row>
    <row r="17" spans="1:235" s="4295" customFormat="1" ht="17.25" customHeight="1" x14ac:dyDescent="0.25">
      <c r="A17" s="7631">
        <v>26273102</v>
      </c>
      <c r="B17" s="10718" t="s">
        <v>1722</v>
      </c>
      <c r="C17" s="10723"/>
      <c r="D17" s="4280" t="s">
        <v>5369</v>
      </c>
      <c r="E17" s="4296" t="s">
        <v>5370</v>
      </c>
      <c r="F17" s="4297" t="s">
        <v>5371</v>
      </c>
      <c r="G17" s="4297" t="s">
        <v>5372</v>
      </c>
      <c r="H17" s="4298" t="s">
        <v>5373</v>
      </c>
      <c r="I17" s="4299" t="s">
        <v>5374</v>
      </c>
      <c r="J17" s="4300" t="s">
        <v>5375</v>
      </c>
      <c r="K17" s="4301" t="s">
        <v>5376</v>
      </c>
      <c r="L17" s="4299" t="s">
        <v>5377</v>
      </c>
      <c r="M17" s="4298" t="s">
        <v>5378</v>
      </c>
      <c r="N17" s="4302" t="s">
        <v>5379</v>
      </c>
      <c r="O17" s="4289" t="s">
        <v>5380</v>
      </c>
      <c r="P17" s="4289" t="s">
        <v>5381</v>
      </c>
      <c r="Q17" s="4289" t="s">
        <v>5382</v>
      </c>
      <c r="R17" s="4290" t="e">
        <f t="shared" si="4"/>
        <v>#VALUE!</v>
      </c>
      <c r="S17" s="4291"/>
      <c r="T17" s="4291"/>
      <c r="U17" s="4291"/>
      <c r="V17" s="4291"/>
      <c r="W17" s="4291"/>
      <c r="X17" s="4291"/>
      <c r="Y17" s="4291"/>
      <c r="Z17" s="4264"/>
      <c r="AA17" s="4264"/>
      <c r="AB17" s="4264"/>
      <c r="AC17" s="4258"/>
      <c r="AD17" s="4258"/>
      <c r="AE17" s="4258"/>
      <c r="AF17" s="4258"/>
      <c r="AG17" s="4258"/>
      <c r="AH17" s="4258"/>
      <c r="AI17" s="4258"/>
      <c r="AJ17" s="4258"/>
      <c r="AK17" s="4258"/>
      <c r="AL17" s="4258"/>
      <c r="AM17" s="4258"/>
      <c r="AN17" s="4258"/>
      <c r="AO17" s="4258"/>
      <c r="AP17" s="4258"/>
      <c r="AQ17" s="4258"/>
      <c r="AR17" s="4258"/>
      <c r="AS17" s="4258"/>
      <c r="AT17" s="4258"/>
      <c r="AU17" s="4258"/>
      <c r="AV17" s="4258"/>
      <c r="AW17" s="4258"/>
      <c r="AX17" s="4258"/>
      <c r="AY17" s="4258"/>
      <c r="AZ17" s="4258"/>
      <c r="BA17" s="4258"/>
      <c r="BB17" s="4258"/>
      <c r="BC17" s="4258"/>
      <c r="BD17" s="4258"/>
      <c r="BE17" s="4258"/>
      <c r="BF17" s="4258"/>
      <c r="BG17" s="4258"/>
      <c r="BH17" s="4258"/>
      <c r="BI17" s="4258"/>
      <c r="BJ17" s="4258"/>
      <c r="BK17" s="4258"/>
      <c r="BL17" s="4258"/>
      <c r="BM17" s="4258"/>
      <c r="BN17" s="4258"/>
      <c r="BO17" s="4258"/>
      <c r="BP17" s="4258"/>
      <c r="BQ17" s="4258"/>
      <c r="BR17" s="4258"/>
      <c r="BS17" s="4258"/>
      <c r="BT17" s="4258"/>
      <c r="BU17" s="4258"/>
      <c r="BV17" s="4258"/>
      <c r="BW17" s="4258"/>
      <c r="BX17" s="4258"/>
      <c r="BY17" s="4259"/>
      <c r="BZ17" s="4260"/>
      <c r="CA17" s="4260"/>
      <c r="CB17" s="4292" t="e">
        <f t="shared" si="5"/>
        <v>#VALUE!</v>
      </c>
      <c r="CC17" s="4262" t="str">
        <f t="shared" si="0"/>
        <v/>
      </c>
      <c r="CD17" s="4292" t="str">
        <f t="shared" si="6"/>
        <v xml:space="preserve">* Pueblos Originarios debe ser MENOR O IGUAL al Total. </v>
      </c>
      <c r="CE17" s="4292" t="str">
        <f t="shared" si="7"/>
        <v xml:space="preserve">* Migrantes debe ser MENOR O IGUAL al Total. </v>
      </c>
      <c r="CF17" s="4262"/>
      <c r="CG17" s="4262"/>
      <c r="CH17" s="4261"/>
      <c r="CI17" s="4261"/>
      <c r="CJ17" s="4261"/>
      <c r="CK17" s="4261"/>
      <c r="CL17" s="4261"/>
      <c r="CM17" s="4261"/>
      <c r="CN17" s="4261"/>
      <c r="CO17" s="4261"/>
      <c r="CP17" s="4261"/>
      <c r="CQ17" s="4261"/>
      <c r="CR17" s="4261"/>
      <c r="CS17" s="4261"/>
      <c r="CT17" s="4261"/>
      <c r="CU17" s="4261"/>
      <c r="CV17" s="4261"/>
      <c r="CW17" s="4261"/>
      <c r="CX17" s="4261"/>
      <c r="CY17" s="4261"/>
      <c r="CZ17" s="4261"/>
      <c r="DA17" s="4261"/>
      <c r="DB17" s="4293" t="e">
        <f t="shared" si="1"/>
        <v>#VALUE!</v>
      </c>
      <c r="DC17" s="4263"/>
      <c r="DD17" s="4293">
        <f t="shared" si="2"/>
        <v>1</v>
      </c>
      <c r="DE17" s="4293">
        <f t="shared" si="3"/>
        <v>1</v>
      </c>
      <c r="DF17" s="4294"/>
      <c r="DG17" s="4294"/>
      <c r="DH17" s="4294"/>
      <c r="DI17" s="4294"/>
      <c r="DJ17" s="4294"/>
      <c r="DK17" s="4294"/>
      <c r="DL17" s="4294"/>
      <c r="DM17" s="4294"/>
      <c r="DN17" s="4294"/>
      <c r="DO17" s="4294"/>
      <c r="DP17" s="4294"/>
      <c r="DQ17" s="4294"/>
      <c r="DR17" s="4260"/>
      <c r="DS17" s="4260"/>
      <c r="DT17" s="4260"/>
      <c r="DU17" s="4260"/>
      <c r="DV17" s="4260"/>
      <c r="DW17" s="4260"/>
      <c r="DX17" s="4260"/>
      <c r="DY17" s="4260"/>
      <c r="DZ17" s="4260"/>
      <c r="EA17" s="4260"/>
      <c r="EB17" s="4260"/>
      <c r="EC17" s="4260"/>
      <c r="ED17" s="4260"/>
      <c r="EE17" s="4260"/>
      <c r="EF17" s="4260"/>
      <c r="EG17" s="4260"/>
      <c r="EH17" s="4260"/>
      <c r="EI17" s="4260"/>
      <c r="EJ17" s="4260"/>
      <c r="EK17" s="4260"/>
      <c r="EL17" s="4260"/>
      <c r="EM17" s="4260"/>
      <c r="EN17" s="4260"/>
      <c r="EO17" s="4260"/>
      <c r="EP17" s="4260"/>
      <c r="EQ17" s="4260"/>
      <c r="ER17" s="4260"/>
      <c r="ES17" s="4260"/>
      <c r="ET17" s="4260"/>
      <c r="EU17" s="4260"/>
      <c r="EV17" s="4260"/>
      <c r="EW17" s="4260"/>
      <c r="EX17" s="4260"/>
      <c r="EY17" s="4260"/>
      <c r="EZ17" s="4260"/>
      <c r="FA17" s="4260"/>
      <c r="FB17" s="4260"/>
      <c r="FC17" s="4260"/>
      <c r="FD17" s="4260"/>
      <c r="FE17" s="4260"/>
      <c r="FF17" s="4260"/>
      <c r="FG17" s="4260"/>
      <c r="FH17" s="4260"/>
      <c r="FI17" s="4260"/>
      <c r="FJ17" s="4260"/>
      <c r="FK17" s="4260"/>
      <c r="FL17" s="4260"/>
      <c r="FM17" s="4260"/>
      <c r="FN17" s="4260"/>
      <c r="FO17" s="4260"/>
      <c r="FP17" s="4260"/>
      <c r="FQ17" s="4260"/>
      <c r="FR17" s="4260"/>
      <c r="FS17" s="4260"/>
      <c r="FT17" s="4260"/>
      <c r="FU17" s="4260"/>
      <c r="FV17" s="4260"/>
      <c r="FW17" s="4260"/>
      <c r="FX17" s="4260"/>
      <c r="FY17" s="4260"/>
      <c r="FZ17" s="4260"/>
      <c r="GA17" s="4260"/>
      <c r="GB17" s="4260"/>
      <c r="GC17" s="4260"/>
      <c r="GD17" s="4260"/>
      <c r="GE17" s="4260"/>
      <c r="GF17" s="4260"/>
      <c r="GG17" s="4260"/>
      <c r="GH17" s="4260"/>
      <c r="GI17" s="4260"/>
      <c r="GJ17" s="4260"/>
      <c r="GK17" s="4260"/>
      <c r="GL17" s="4260"/>
      <c r="GM17" s="4260"/>
      <c r="GN17" s="4260"/>
      <c r="GO17" s="4260"/>
      <c r="GP17" s="4260"/>
      <c r="GQ17" s="4260"/>
      <c r="GR17" s="4260"/>
      <c r="GS17" s="4260"/>
      <c r="GT17" s="4260"/>
      <c r="GU17" s="4260"/>
      <c r="GV17" s="4260"/>
      <c r="GW17" s="4260"/>
      <c r="GX17" s="4260"/>
      <c r="GY17" s="4260"/>
      <c r="GZ17" s="4260"/>
      <c r="HA17" s="4260"/>
      <c r="HB17" s="4260"/>
      <c r="HC17" s="4260"/>
      <c r="HD17" s="4260"/>
      <c r="HE17" s="4260"/>
      <c r="HF17" s="4260"/>
      <c r="HG17" s="4260"/>
      <c r="HH17" s="4260"/>
      <c r="HI17" s="4260"/>
      <c r="HJ17" s="4260"/>
      <c r="HK17" s="4260"/>
      <c r="HL17" s="4260"/>
      <c r="HM17" s="4260"/>
      <c r="HN17" s="4260"/>
      <c r="HO17" s="4260"/>
      <c r="HP17" s="4260"/>
      <c r="HQ17" s="4260"/>
      <c r="HR17" s="4260"/>
      <c r="HS17" s="4260"/>
      <c r="HT17" s="4260"/>
      <c r="HU17" s="4260"/>
      <c r="HV17" s="4260"/>
      <c r="HW17" s="4260"/>
      <c r="HX17" s="4260"/>
      <c r="HY17" s="4260"/>
      <c r="HZ17" s="4260"/>
      <c r="IA17" s="4260"/>
    </row>
    <row r="18" spans="1:235" s="4295" customFormat="1" ht="23.25" customHeight="1" x14ac:dyDescent="0.25">
      <c r="A18" s="7258">
        <v>26274600</v>
      </c>
      <c r="B18" s="10718" t="s">
        <v>1721</v>
      </c>
      <c r="C18" s="10719"/>
      <c r="D18" s="4280" t="s">
        <v>5369</v>
      </c>
      <c r="E18" s="4296" t="s">
        <v>5370</v>
      </c>
      <c r="F18" s="4297" t="s">
        <v>5371</v>
      </c>
      <c r="G18" s="4297" t="s">
        <v>5372</v>
      </c>
      <c r="H18" s="4298" t="s">
        <v>5373</v>
      </c>
      <c r="I18" s="4299" t="s">
        <v>5374</v>
      </c>
      <c r="J18" s="4300" t="s">
        <v>5375</v>
      </c>
      <c r="K18" s="4301" t="s">
        <v>5376</v>
      </c>
      <c r="L18" s="4299" t="s">
        <v>5377</v>
      </c>
      <c r="M18" s="4298" t="s">
        <v>5378</v>
      </c>
      <c r="N18" s="4303" t="s">
        <v>5379</v>
      </c>
      <c r="O18" s="4289" t="s">
        <v>5380</v>
      </c>
      <c r="P18" s="4289" t="s">
        <v>5381</v>
      </c>
      <c r="Q18" s="4289" t="s">
        <v>5382</v>
      </c>
      <c r="R18" s="4290" t="e">
        <f t="shared" si="4"/>
        <v>#VALUE!</v>
      </c>
      <c r="S18" s="4291"/>
      <c r="T18" s="4291"/>
      <c r="U18" s="4291"/>
      <c r="V18" s="4291"/>
      <c r="W18" s="4291"/>
      <c r="X18" s="4291"/>
      <c r="Y18" s="4291"/>
      <c r="Z18" s="4264"/>
      <c r="AA18" s="4264"/>
      <c r="AB18" s="4264"/>
      <c r="AC18" s="4258"/>
      <c r="AD18" s="4258"/>
      <c r="AE18" s="4258"/>
      <c r="AF18" s="4258"/>
      <c r="AG18" s="4258"/>
      <c r="AH18" s="4258"/>
      <c r="AI18" s="4258"/>
      <c r="AJ18" s="4258"/>
      <c r="AK18" s="4258"/>
      <c r="AL18" s="4258"/>
      <c r="AM18" s="4258"/>
      <c r="AN18" s="4258"/>
      <c r="AO18" s="4258"/>
      <c r="AP18" s="4258"/>
      <c r="AQ18" s="4258"/>
      <c r="AR18" s="4258"/>
      <c r="AS18" s="4258"/>
      <c r="AT18" s="4258"/>
      <c r="AU18" s="4258"/>
      <c r="AV18" s="4258"/>
      <c r="AW18" s="4258"/>
      <c r="AX18" s="4258"/>
      <c r="AY18" s="4258"/>
      <c r="AZ18" s="4258"/>
      <c r="BA18" s="4258"/>
      <c r="BB18" s="4258"/>
      <c r="BC18" s="4258"/>
      <c r="BD18" s="4258"/>
      <c r="BE18" s="4258"/>
      <c r="BF18" s="4258"/>
      <c r="BG18" s="4258"/>
      <c r="BH18" s="4258"/>
      <c r="BI18" s="4258"/>
      <c r="BJ18" s="4258"/>
      <c r="BK18" s="4258"/>
      <c r="BL18" s="4258"/>
      <c r="BM18" s="4258"/>
      <c r="BN18" s="4258"/>
      <c r="BO18" s="4258"/>
      <c r="BP18" s="4258"/>
      <c r="BQ18" s="4258"/>
      <c r="BR18" s="4258"/>
      <c r="BS18" s="4258"/>
      <c r="BT18" s="4258"/>
      <c r="BU18" s="4258"/>
      <c r="BV18" s="4258"/>
      <c r="BW18" s="4258"/>
      <c r="BX18" s="4258"/>
      <c r="BY18" s="4259"/>
      <c r="BZ18" s="4260"/>
      <c r="CA18" s="4260"/>
      <c r="CB18" s="4292" t="e">
        <f t="shared" si="5"/>
        <v>#VALUE!</v>
      </c>
      <c r="CC18" s="4292" t="str">
        <f t="shared" si="0"/>
        <v xml:space="preserve">* Programa de Atención Domiciliaria a Personas con Dependencia Severa debe ser MENOR O IGUAL al Total. </v>
      </c>
      <c r="CD18" s="4292" t="str">
        <f t="shared" si="6"/>
        <v xml:space="preserve">* Pueblos Originarios debe ser MENOR O IGUAL al Total. </v>
      </c>
      <c r="CE18" s="4292" t="str">
        <f t="shared" si="7"/>
        <v xml:space="preserve">* Migrantes debe ser MENOR O IGUAL al Total. </v>
      </c>
      <c r="CF18" s="4262"/>
      <c r="CG18" s="4262"/>
      <c r="CH18" s="4261"/>
      <c r="CI18" s="4261"/>
      <c r="CJ18" s="4261"/>
      <c r="CK18" s="4261"/>
      <c r="CL18" s="4261"/>
      <c r="CM18" s="4261"/>
      <c r="CN18" s="4261"/>
      <c r="CO18" s="4261"/>
      <c r="CP18" s="4261"/>
      <c r="CQ18" s="4261"/>
      <c r="CR18" s="4261"/>
      <c r="CS18" s="4261"/>
      <c r="CT18" s="4261"/>
      <c r="CU18" s="4261"/>
      <c r="CV18" s="4261"/>
      <c r="CW18" s="4261"/>
      <c r="CX18" s="4261"/>
      <c r="CY18" s="4261"/>
      <c r="CZ18" s="4261"/>
      <c r="DA18" s="4261"/>
      <c r="DB18" s="4293" t="e">
        <f t="shared" si="1"/>
        <v>#VALUE!</v>
      </c>
      <c r="DC18" s="4293">
        <f>IF(N18&gt;$D18,1,0)</f>
        <v>1</v>
      </c>
      <c r="DD18" s="4293">
        <f>IF(O18&gt;$D18,1,0)</f>
        <v>1</v>
      </c>
      <c r="DE18" s="4293">
        <f>IF(P18&gt;$D18,1,0)</f>
        <v>1</v>
      </c>
      <c r="DF18" s="4294"/>
      <c r="DG18" s="4294"/>
      <c r="DH18" s="4294"/>
      <c r="DI18" s="4294"/>
      <c r="DJ18" s="4294"/>
      <c r="DK18" s="4294"/>
      <c r="DL18" s="4294"/>
      <c r="DM18" s="4294"/>
      <c r="DN18" s="4294"/>
      <c r="DO18" s="4294"/>
      <c r="DP18" s="4294"/>
      <c r="DQ18" s="4294"/>
      <c r="DR18" s="4260"/>
      <c r="DS18" s="4260"/>
      <c r="DT18" s="4260"/>
      <c r="DU18" s="4260"/>
      <c r="DV18" s="4260"/>
      <c r="DW18" s="4260"/>
      <c r="DX18" s="4260"/>
      <c r="DY18" s="4260"/>
      <c r="DZ18" s="4260"/>
      <c r="EA18" s="4260"/>
      <c r="EB18" s="4260"/>
      <c r="EC18" s="4260"/>
      <c r="ED18" s="4260"/>
      <c r="EE18" s="4260"/>
      <c r="EF18" s="4260"/>
      <c r="EG18" s="4260"/>
      <c r="EH18" s="4260"/>
      <c r="EI18" s="4260"/>
      <c r="EJ18" s="4260"/>
      <c r="EK18" s="4260"/>
      <c r="EL18" s="4260"/>
      <c r="EM18" s="4260"/>
      <c r="EN18" s="4260"/>
      <c r="EO18" s="4260"/>
      <c r="EP18" s="4260"/>
      <c r="EQ18" s="4260"/>
      <c r="ER18" s="4260"/>
      <c r="ES18" s="4260"/>
      <c r="ET18" s="4260"/>
      <c r="EU18" s="4260"/>
      <c r="EV18" s="4260"/>
      <c r="EW18" s="4260"/>
      <c r="EX18" s="4260"/>
      <c r="EY18" s="4260"/>
      <c r="EZ18" s="4260"/>
      <c r="FA18" s="4260"/>
      <c r="FB18" s="4260"/>
      <c r="FC18" s="4260"/>
      <c r="FD18" s="4260"/>
      <c r="FE18" s="4260"/>
      <c r="FF18" s="4260"/>
      <c r="FG18" s="4260"/>
      <c r="FH18" s="4260"/>
      <c r="FI18" s="4260"/>
      <c r="FJ18" s="4260"/>
      <c r="FK18" s="4260"/>
      <c r="FL18" s="4260"/>
      <c r="FM18" s="4260"/>
      <c r="FN18" s="4260"/>
      <c r="FO18" s="4260"/>
      <c r="FP18" s="4260"/>
      <c r="FQ18" s="4260"/>
      <c r="FR18" s="4260"/>
      <c r="FS18" s="4260"/>
      <c r="FT18" s="4260"/>
      <c r="FU18" s="4260"/>
      <c r="FV18" s="4260"/>
      <c r="FW18" s="4260"/>
      <c r="FX18" s="4260"/>
      <c r="FY18" s="4260"/>
      <c r="FZ18" s="4260"/>
      <c r="GA18" s="4260"/>
      <c r="GB18" s="4260"/>
      <c r="GC18" s="4260"/>
      <c r="GD18" s="4260"/>
      <c r="GE18" s="4260"/>
      <c r="GF18" s="4260"/>
      <c r="GG18" s="4260"/>
      <c r="GH18" s="4260"/>
      <c r="GI18" s="4260"/>
      <c r="GJ18" s="4260"/>
      <c r="GK18" s="4260"/>
      <c r="GL18" s="4260"/>
      <c r="GM18" s="4260"/>
      <c r="GN18" s="4260"/>
      <c r="GO18" s="4260"/>
      <c r="GP18" s="4260"/>
      <c r="GQ18" s="4260"/>
      <c r="GR18" s="4260"/>
      <c r="GS18" s="4260"/>
      <c r="GT18" s="4260"/>
      <c r="GU18" s="4260"/>
      <c r="GV18" s="4260"/>
      <c r="GW18" s="4260"/>
      <c r="GX18" s="4260"/>
      <c r="GY18" s="4260"/>
      <c r="GZ18" s="4260"/>
      <c r="HA18" s="4260"/>
      <c r="HB18" s="4260"/>
      <c r="HC18" s="4260"/>
      <c r="HD18" s="4260"/>
      <c r="HE18" s="4260"/>
      <c r="HF18" s="4260"/>
      <c r="HG18" s="4260"/>
      <c r="HH18" s="4260"/>
      <c r="HI18" s="4260"/>
      <c r="HJ18" s="4260"/>
      <c r="HK18" s="4260"/>
      <c r="HL18" s="4260"/>
      <c r="HM18" s="4260"/>
      <c r="HN18" s="4260"/>
      <c r="HO18" s="4260"/>
      <c r="HP18" s="4260"/>
      <c r="HQ18" s="4260"/>
      <c r="HR18" s="4260"/>
      <c r="HS18" s="4260"/>
      <c r="HT18" s="4260"/>
      <c r="HU18" s="4260"/>
      <c r="HV18" s="4260"/>
      <c r="HW18" s="4260"/>
      <c r="HX18" s="4260"/>
      <c r="HY18" s="4260"/>
      <c r="HZ18" s="4260"/>
      <c r="IA18" s="4260"/>
    </row>
    <row r="19" spans="1:235" s="4295" customFormat="1" ht="17.25" customHeight="1" x14ac:dyDescent="0.25">
      <c r="A19" s="7258">
        <v>26262300</v>
      </c>
      <c r="B19" s="10718" t="s">
        <v>1720</v>
      </c>
      <c r="C19" s="10723"/>
      <c r="D19" s="4280" t="s">
        <v>5369</v>
      </c>
      <c r="E19" s="4296" t="s">
        <v>5370</v>
      </c>
      <c r="F19" s="4297" t="s">
        <v>5371</v>
      </c>
      <c r="G19" s="4297" t="s">
        <v>5372</v>
      </c>
      <c r="H19" s="4298" t="s">
        <v>5373</v>
      </c>
      <c r="I19" s="4299" t="s">
        <v>5374</v>
      </c>
      <c r="J19" s="4300" t="s">
        <v>5375</v>
      </c>
      <c r="K19" s="4301" t="s">
        <v>5376</v>
      </c>
      <c r="L19" s="4299" t="s">
        <v>5377</v>
      </c>
      <c r="M19" s="4298" t="s">
        <v>5378</v>
      </c>
      <c r="N19" s="4303" t="s">
        <v>5379</v>
      </c>
      <c r="O19" s="4289" t="s">
        <v>5380</v>
      </c>
      <c r="P19" s="4289" t="s">
        <v>5381</v>
      </c>
      <c r="Q19" s="4289" t="s">
        <v>5382</v>
      </c>
      <c r="R19" s="4290" t="e">
        <f t="shared" si="4"/>
        <v>#VALUE!</v>
      </c>
      <c r="S19" s="4291"/>
      <c r="T19" s="4291"/>
      <c r="U19" s="4291"/>
      <c r="V19" s="4291"/>
      <c r="W19" s="4291"/>
      <c r="X19" s="4291"/>
      <c r="Y19" s="4291"/>
      <c r="Z19" s="4264"/>
      <c r="AA19" s="4264"/>
      <c r="AB19" s="4264"/>
      <c r="AC19" s="4258"/>
      <c r="AD19" s="4258"/>
      <c r="AE19" s="4258"/>
      <c r="AF19" s="4258"/>
      <c r="AG19" s="4258"/>
      <c r="AH19" s="4258"/>
      <c r="AI19" s="4258"/>
      <c r="AJ19" s="4258"/>
      <c r="AK19" s="4258"/>
      <c r="AL19" s="4258"/>
      <c r="AM19" s="4258"/>
      <c r="AN19" s="4258"/>
      <c r="AO19" s="4258"/>
      <c r="AP19" s="4258"/>
      <c r="AQ19" s="4258"/>
      <c r="AR19" s="4258"/>
      <c r="AS19" s="4258"/>
      <c r="AT19" s="4258"/>
      <c r="AU19" s="4258"/>
      <c r="AV19" s="4258"/>
      <c r="AW19" s="4258"/>
      <c r="AX19" s="4258"/>
      <c r="AY19" s="4258"/>
      <c r="AZ19" s="4258"/>
      <c r="BA19" s="4258"/>
      <c r="BB19" s="4258"/>
      <c r="BC19" s="4258"/>
      <c r="BD19" s="4258"/>
      <c r="BE19" s="4258"/>
      <c r="BF19" s="4258"/>
      <c r="BG19" s="4258"/>
      <c r="BH19" s="4258"/>
      <c r="BI19" s="4258"/>
      <c r="BJ19" s="4258"/>
      <c r="BK19" s="4258"/>
      <c r="BL19" s="4258"/>
      <c r="BM19" s="4258"/>
      <c r="BN19" s="4258"/>
      <c r="BO19" s="4258"/>
      <c r="BP19" s="4258"/>
      <c r="BQ19" s="4258"/>
      <c r="BR19" s="4258"/>
      <c r="BS19" s="4258"/>
      <c r="BT19" s="4258"/>
      <c r="BU19" s="4258"/>
      <c r="BV19" s="4258"/>
      <c r="BW19" s="4258"/>
      <c r="BX19" s="4258"/>
      <c r="BY19" s="4259"/>
      <c r="BZ19" s="4260"/>
      <c r="CA19" s="4260"/>
      <c r="CB19" s="4292" t="e">
        <f t="shared" si="5"/>
        <v>#VALUE!</v>
      </c>
      <c r="CC19" s="4292" t="str">
        <f t="shared" si="0"/>
        <v xml:space="preserve">* Programa de Atención Domiciliaria a Personas con Dependencia Severa debe ser MENOR O IGUAL al Total. </v>
      </c>
      <c r="CD19" s="4292" t="str">
        <f t="shared" si="6"/>
        <v xml:space="preserve">* Pueblos Originarios debe ser MENOR O IGUAL al Total. </v>
      </c>
      <c r="CE19" s="4292" t="str">
        <f t="shared" si="7"/>
        <v xml:space="preserve">* Migrantes debe ser MENOR O IGUAL al Total. </v>
      </c>
      <c r="CF19" s="4262"/>
      <c r="CG19" s="4262"/>
      <c r="CH19" s="4261"/>
      <c r="CI19" s="4261"/>
      <c r="CJ19" s="4261"/>
      <c r="CK19" s="4261"/>
      <c r="CL19" s="4261"/>
      <c r="CM19" s="4261"/>
      <c r="CN19" s="4261"/>
      <c r="CO19" s="4261"/>
      <c r="CP19" s="4261"/>
      <c r="CQ19" s="4261"/>
      <c r="CR19" s="4261"/>
      <c r="CS19" s="4261"/>
      <c r="CT19" s="4261"/>
      <c r="CU19" s="4261"/>
      <c r="CV19" s="4261"/>
      <c r="CW19" s="4261"/>
      <c r="CX19" s="4261"/>
      <c r="CY19" s="4261"/>
      <c r="CZ19" s="4261"/>
      <c r="DA19" s="4261"/>
      <c r="DB19" s="4293" t="e">
        <f t="shared" si="1"/>
        <v>#VALUE!</v>
      </c>
      <c r="DC19" s="4293">
        <f>IF(N19&gt;D19,1,0)</f>
        <v>1</v>
      </c>
      <c r="DD19" s="4293">
        <f t="shared" ref="DD19:DD35" si="8">IF(O19&gt;$D19,1,0)</f>
        <v>1</v>
      </c>
      <c r="DE19" s="4293">
        <f t="shared" ref="DE19:DE35" si="9">IF(P19&gt;$D19,1,0)</f>
        <v>1</v>
      </c>
      <c r="DF19" s="4294"/>
      <c r="DG19" s="4294"/>
      <c r="DH19" s="4294"/>
      <c r="DI19" s="4294"/>
      <c r="DJ19" s="4294"/>
      <c r="DK19" s="4294"/>
      <c r="DL19" s="4294"/>
      <c r="DM19" s="4294"/>
      <c r="DN19" s="4294"/>
      <c r="DO19" s="4294"/>
      <c r="DP19" s="4294"/>
      <c r="DQ19" s="4294"/>
      <c r="DR19" s="4260"/>
      <c r="DS19" s="4260"/>
      <c r="DT19" s="4260"/>
      <c r="DU19" s="4260"/>
      <c r="DV19" s="4260"/>
      <c r="DW19" s="4260"/>
      <c r="DX19" s="4260"/>
      <c r="DY19" s="4260"/>
      <c r="DZ19" s="4260"/>
      <c r="EA19" s="4260"/>
      <c r="EB19" s="4260"/>
      <c r="EC19" s="4260"/>
      <c r="ED19" s="4260"/>
      <c r="EE19" s="4260"/>
      <c r="EF19" s="4260"/>
      <c r="EG19" s="4260"/>
      <c r="EH19" s="4260"/>
      <c r="EI19" s="4260"/>
      <c r="EJ19" s="4260"/>
      <c r="EK19" s="4260"/>
      <c r="EL19" s="4260"/>
      <c r="EM19" s="4260"/>
      <c r="EN19" s="4260"/>
      <c r="EO19" s="4260"/>
      <c r="EP19" s="4260"/>
      <c r="EQ19" s="4260"/>
      <c r="ER19" s="4260"/>
      <c r="ES19" s="4260"/>
      <c r="ET19" s="4260"/>
      <c r="EU19" s="4260"/>
      <c r="EV19" s="4260"/>
      <c r="EW19" s="4260"/>
      <c r="EX19" s="4260"/>
      <c r="EY19" s="4260"/>
      <c r="EZ19" s="4260"/>
      <c r="FA19" s="4260"/>
      <c r="FB19" s="4260"/>
      <c r="FC19" s="4260"/>
      <c r="FD19" s="4260"/>
      <c r="FE19" s="4260"/>
      <c r="FF19" s="4260"/>
      <c r="FG19" s="4260"/>
      <c r="FH19" s="4260"/>
      <c r="FI19" s="4260"/>
      <c r="FJ19" s="4260"/>
      <c r="FK19" s="4260"/>
      <c r="FL19" s="4260"/>
      <c r="FM19" s="4260"/>
      <c r="FN19" s="4260"/>
      <c r="FO19" s="4260"/>
      <c r="FP19" s="4260"/>
      <c r="FQ19" s="4260"/>
      <c r="FR19" s="4260"/>
      <c r="FS19" s="4260"/>
      <c r="FT19" s="4260"/>
      <c r="FU19" s="4260"/>
      <c r="FV19" s="4260"/>
      <c r="FW19" s="4260"/>
      <c r="FX19" s="4260"/>
      <c r="FY19" s="4260"/>
      <c r="FZ19" s="4260"/>
      <c r="GA19" s="4260"/>
      <c r="GB19" s="4260"/>
      <c r="GC19" s="4260"/>
      <c r="GD19" s="4260"/>
      <c r="GE19" s="4260"/>
      <c r="GF19" s="4260"/>
      <c r="GG19" s="4260"/>
      <c r="GH19" s="4260"/>
      <c r="GI19" s="4260"/>
      <c r="GJ19" s="4260"/>
      <c r="GK19" s="4260"/>
      <c r="GL19" s="4260"/>
      <c r="GM19" s="4260"/>
      <c r="GN19" s="4260"/>
      <c r="GO19" s="4260"/>
      <c r="GP19" s="4260"/>
      <c r="GQ19" s="4260"/>
      <c r="GR19" s="4260"/>
      <c r="GS19" s="4260"/>
      <c r="GT19" s="4260"/>
      <c r="GU19" s="4260"/>
      <c r="GV19" s="4260"/>
      <c r="GW19" s="4260"/>
      <c r="GX19" s="4260"/>
      <c r="GY19" s="4260"/>
      <c r="GZ19" s="4260"/>
      <c r="HA19" s="4260"/>
      <c r="HB19" s="4260"/>
      <c r="HC19" s="4260"/>
      <c r="HD19" s="4260"/>
      <c r="HE19" s="4260"/>
      <c r="HF19" s="4260"/>
      <c r="HG19" s="4260"/>
      <c r="HH19" s="4260"/>
      <c r="HI19" s="4260"/>
      <c r="HJ19" s="4260"/>
      <c r="HK19" s="4260"/>
      <c r="HL19" s="4260"/>
      <c r="HM19" s="4260"/>
      <c r="HN19" s="4260"/>
      <c r="HO19" s="4260"/>
      <c r="HP19" s="4260"/>
      <c r="HQ19" s="4260"/>
      <c r="HR19" s="4260"/>
      <c r="HS19" s="4260"/>
      <c r="HT19" s="4260"/>
      <c r="HU19" s="4260"/>
      <c r="HV19" s="4260"/>
      <c r="HW19" s="4260"/>
      <c r="HX19" s="4260"/>
      <c r="HY19" s="4260"/>
      <c r="HZ19" s="4260"/>
      <c r="IA19" s="4260"/>
    </row>
    <row r="20" spans="1:235" s="4295" customFormat="1" ht="17.25" customHeight="1" x14ac:dyDescent="0.25">
      <c r="A20" s="7631">
        <v>26273103</v>
      </c>
      <c r="B20" s="10718" t="s">
        <v>1719</v>
      </c>
      <c r="C20" s="10723"/>
      <c r="D20" s="4280" t="s">
        <v>5369</v>
      </c>
      <c r="E20" s="4296" t="s">
        <v>5370</v>
      </c>
      <c r="F20" s="4297" t="s">
        <v>5371</v>
      </c>
      <c r="G20" s="4297" t="s">
        <v>5372</v>
      </c>
      <c r="H20" s="4298" t="s">
        <v>5373</v>
      </c>
      <c r="I20" s="4299" t="s">
        <v>5374</v>
      </c>
      <c r="J20" s="4300" t="s">
        <v>5375</v>
      </c>
      <c r="K20" s="4301" t="s">
        <v>5376</v>
      </c>
      <c r="L20" s="4299" t="s">
        <v>5377</v>
      </c>
      <c r="M20" s="4298" t="s">
        <v>5378</v>
      </c>
      <c r="N20" s="4303" t="s">
        <v>5379</v>
      </c>
      <c r="O20" s="4289" t="s">
        <v>5380</v>
      </c>
      <c r="P20" s="4289" t="s">
        <v>5381</v>
      </c>
      <c r="Q20" s="4289" t="s">
        <v>5382</v>
      </c>
      <c r="R20" s="4290" t="e">
        <f t="shared" si="4"/>
        <v>#VALUE!</v>
      </c>
      <c r="S20" s="4291"/>
      <c r="T20" s="4291"/>
      <c r="U20" s="4291"/>
      <c r="V20" s="4291"/>
      <c r="W20" s="4291"/>
      <c r="X20" s="4291"/>
      <c r="Y20" s="4291"/>
      <c r="Z20" s="4264"/>
      <c r="AA20" s="4264"/>
      <c r="AB20" s="4264"/>
      <c r="AC20" s="4258"/>
      <c r="AD20" s="4258"/>
      <c r="AE20" s="4258"/>
      <c r="AF20" s="4258"/>
      <c r="AG20" s="4258"/>
      <c r="AH20" s="4258"/>
      <c r="AI20" s="4258"/>
      <c r="AJ20" s="4258"/>
      <c r="AK20" s="4258"/>
      <c r="AL20" s="4258"/>
      <c r="AM20" s="4258"/>
      <c r="AN20" s="4258"/>
      <c r="AO20" s="4258"/>
      <c r="AP20" s="4258"/>
      <c r="AQ20" s="4258"/>
      <c r="AR20" s="4258"/>
      <c r="AS20" s="4258"/>
      <c r="AT20" s="4258"/>
      <c r="AU20" s="4258"/>
      <c r="AV20" s="4258"/>
      <c r="AW20" s="4258"/>
      <c r="AX20" s="4258"/>
      <c r="AY20" s="4258"/>
      <c r="AZ20" s="4258"/>
      <c r="BA20" s="4258"/>
      <c r="BB20" s="4258"/>
      <c r="BC20" s="4258"/>
      <c r="BD20" s="4258"/>
      <c r="BE20" s="4258"/>
      <c r="BF20" s="4258"/>
      <c r="BG20" s="4258"/>
      <c r="BH20" s="4258"/>
      <c r="BI20" s="4258"/>
      <c r="BJ20" s="4258"/>
      <c r="BK20" s="4258"/>
      <c r="BL20" s="4258"/>
      <c r="BM20" s="4258"/>
      <c r="BN20" s="4258"/>
      <c r="BO20" s="4258"/>
      <c r="BP20" s="4258"/>
      <c r="BQ20" s="4258"/>
      <c r="BR20" s="4258"/>
      <c r="BS20" s="4258"/>
      <c r="BT20" s="4258"/>
      <c r="BU20" s="4258"/>
      <c r="BV20" s="4258"/>
      <c r="BW20" s="4258"/>
      <c r="BX20" s="4258"/>
      <c r="BY20" s="4259"/>
      <c r="BZ20" s="4260"/>
      <c r="CA20" s="4260"/>
      <c r="CB20" s="4292" t="e">
        <f t="shared" si="5"/>
        <v>#VALUE!</v>
      </c>
      <c r="CC20" s="4292" t="str">
        <f t="shared" si="0"/>
        <v xml:space="preserve">* Programa de Atención Domiciliaria a Personas con Dependencia Severa debe ser MENOR O IGUAL al Total. </v>
      </c>
      <c r="CD20" s="4292" t="str">
        <f t="shared" si="6"/>
        <v xml:space="preserve">* Pueblos Originarios debe ser MENOR O IGUAL al Total. </v>
      </c>
      <c r="CE20" s="4292" t="str">
        <f t="shared" si="7"/>
        <v xml:space="preserve">* Migrantes debe ser MENOR O IGUAL al Total. </v>
      </c>
      <c r="CF20" s="4262"/>
      <c r="CG20" s="4262"/>
      <c r="CH20" s="4261"/>
      <c r="CI20" s="4261"/>
      <c r="CJ20" s="4261"/>
      <c r="CK20" s="4261"/>
      <c r="CL20" s="4261"/>
      <c r="CM20" s="4261"/>
      <c r="CN20" s="4261"/>
      <c r="CO20" s="4261"/>
      <c r="CP20" s="4261"/>
      <c r="CQ20" s="4261"/>
      <c r="CR20" s="4261"/>
      <c r="CS20" s="4261"/>
      <c r="CT20" s="4261"/>
      <c r="CU20" s="4261"/>
      <c r="CV20" s="4261"/>
      <c r="CW20" s="4261"/>
      <c r="CX20" s="4261"/>
      <c r="CY20" s="4261"/>
      <c r="CZ20" s="4261"/>
      <c r="DA20" s="4261"/>
      <c r="DB20" s="4293" t="e">
        <f t="shared" si="1"/>
        <v>#VALUE!</v>
      </c>
      <c r="DC20" s="4293">
        <f>IF(N20&gt;D20,1,0)</f>
        <v>1</v>
      </c>
      <c r="DD20" s="4293">
        <f t="shared" si="8"/>
        <v>1</v>
      </c>
      <c r="DE20" s="4293">
        <f t="shared" si="9"/>
        <v>1</v>
      </c>
      <c r="DF20" s="4294"/>
      <c r="DG20" s="4294"/>
      <c r="DH20" s="4294"/>
      <c r="DI20" s="4294"/>
      <c r="DJ20" s="4294"/>
      <c r="DK20" s="4294"/>
      <c r="DL20" s="4294"/>
      <c r="DM20" s="4294"/>
      <c r="DN20" s="4294"/>
      <c r="DO20" s="4294"/>
      <c r="DP20" s="4294"/>
      <c r="DQ20" s="4294"/>
      <c r="DR20" s="4260"/>
      <c r="DS20" s="4260"/>
      <c r="DT20" s="4260"/>
      <c r="DU20" s="4260"/>
      <c r="DV20" s="4260"/>
      <c r="DW20" s="4260"/>
      <c r="DX20" s="4260"/>
      <c r="DY20" s="4260"/>
      <c r="DZ20" s="4260"/>
      <c r="EA20" s="4260"/>
      <c r="EB20" s="4260"/>
      <c r="EC20" s="4260"/>
      <c r="ED20" s="4260"/>
      <c r="EE20" s="4260"/>
      <c r="EF20" s="4260"/>
      <c r="EG20" s="4260"/>
      <c r="EH20" s="4260"/>
      <c r="EI20" s="4260"/>
      <c r="EJ20" s="4260"/>
      <c r="EK20" s="4260"/>
      <c r="EL20" s="4260"/>
      <c r="EM20" s="4260"/>
      <c r="EN20" s="4260"/>
      <c r="EO20" s="4260"/>
      <c r="EP20" s="4260"/>
      <c r="EQ20" s="4260"/>
      <c r="ER20" s="4260"/>
      <c r="ES20" s="4260"/>
      <c r="ET20" s="4260"/>
      <c r="EU20" s="4260"/>
      <c r="EV20" s="4260"/>
      <c r="EW20" s="4260"/>
      <c r="EX20" s="4260"/>
      <c r="EY20" s="4260"/>
      <c r="EZ20" s="4260"/>
      <c r="FA20" s="4260"/>
      <c r="FB20" s="4260"/>
      <c r="FC20" s="4260"/>
      <c r="FD20" s="4260"/>
      <c r="FE20" s="4260"/>
      <c r="FF20" s="4260"/>
      <c r="FG20" s="4260"/>
      <c r="FH20" s="4260"/>
      <c r="FI20" s="4260"/>
      <c r="FJ20" s="4260"/>
      <c r="FK20" s="4260"/>
      <c r="FL20" s="4260"/>
      <c r="FM20" s="4260"/>
      <c r="FN20" s="4260"/>
      <c r="FO20" s="4260"/>
      <c r="FP20" s="4260"/>
      <c r="FQ20" s="4260"/>
      <c r="FR20" s="4260"/>
      <c r="FS20" s="4260"/>
      <c r="FT20" s="4260"/>
      <c r="FU20" s="4260"/>
      <c r="FV20" s="4260"/>
      <c r="FW20" s="4260"/>
      <c r="FX20" s="4260"/>
      <c r="FY20" s="4260"/>
      <c r="FZ20" s="4260"/>
      <c r="GA20" s="4260"/>
      <c r="GB20" s="4260"/>
      <c r="GC20" s="4260"/>
      <c r="GD20" s="4260"/>
      <c r="GE20" s="4260"/>
      <c r="GF20" s="4260"/>
      <c r="GG20" s="4260"/>
      <c r="GH20" s="4260"/>
      <c r="GI20" s="4260"/>
      <c r="GJ20" s="4260"/>
      <c r="GK20" s="4260"/>
      <c r="GL20" s="4260"/>
      <c r="GM20" s="4260"/>
      <c r="GN20" s="4260"/>
      <c r="GO20" s="4260"/>
      <c r="GP20" s="4260"/>
      <c r="GQ20" s="4260"/>
      <c r="GR20" s="4260"/>
      <c r="GS20" s="4260"/>
      <c r="GT20" s="4260"/>
      <c r="GU20" s="4260"/>
      <c r="GV20" s="4260"/>
      <c r="GW20" s="4260"/>
      <c r="GX20" s="4260"/>
      <c r="GY20" s="4260"/>
      <c r="GZ20" s="4260"/>
      <c r="HA20" s="4260"/>
      <c r="HB20" s="4260"/>
      <c r="HC20" s="4260"/>
      <c r="HD20" s="4260"/>
      <c r="HE20" s="4260"/>
      <c r="HF20" s="4260"/>
      <c r="HG20" s="4260"/>
      <c r="HH20" s="4260"/>
      <c r="HI20" s="4260"/>
      <c r="HJ20" s="4260"/>
      <c r="HK20" s="4260"/>
      <c r="HL20" s="4260"/>
      <c r="HM20" s="4260"/>
      <c r="HN20" s="4260"/>
      <c r="HO20" s="4260"/>
      <c r="HP20" s="4260"/>
      <c r="HQ20" s="4260"/>
      <c r="HR20" s="4260"/>
      <c r="HS20" s="4260"/>
      <c r="HT20" s="4260"/>
      <c r="HU20" s="4260"/>
      <c r="HV20" s="4260"/>
      <c r="HW20" s="4260"/>
      <c r="HX20" s="4260"/>
      <c r="HY20" s="4260"/>
      <c r="HZ20" s="4260"/>
      <c r="IA20" s="4260"/>
    </row>
    <row r="21" spans="1:235" s="4295" customFormat="1" ht="25.5" customHeight="1" x14ac:dyDescent="0.25">
      <c r="A21" s="7631">
        <v>26273105</v>
      </c>
      <c r="B21" s="10718" t="s">
        <v>1718</v>
      </c>
      <c r="C21" s="10723"/>
      <c r="D21" s="4280" t="s">
        <v>5369</v>
      </c>
      <c r="E21" s="4296" t="s">
        <v>5370</v>
      </c>
      <c r="F21" s="4297" t="s">
        <v>5371</v>
      </c>
      <c r="G21" s="4297" t="s">
        <v>5372</v>
      </c>
      <c r="H21" s="4298" t="s">
        <v>5373</v>
      </c>
      <c r="I21" s="4299" t="s">
        <v>5374</v>
      </c>
      <c r="J21" s="4300" t="s">
        <v>5375</v>
      </c>
      <c r="K21" s="4301" t="s">
        <v>5376</v>
      </c>
      <c r="L21" s="4299" t="s">
        <v>5377</v>
      </c>
      <c r="M21" s="4298" t="s">
        <v>5378</v>
      </c>
      <c r="N21" s="4302" t="s">
        <v>5379</v>
      </c>
      <c r="O21" s="4289" t="s">
        <v>5380</v>
      </c>
      <c r="P21" s="4289" t="s">
        <v>5381</v>
      </c>
      <c r="Q21" s="4289" t="s">
        <v>5382</v>
      </c>
      <c r="R21" s="4290" t="e">
        <f t="shared" si="4"/>
        <v>#VALUE!</v>
      </c>
      <c r="S21" s="4291"/>
      <c r="T21" s="4291"/>
      <c r="U21" s="4291"/>
      <c r="V21" s="4291"/>
      <c r="W21" s="4291"/>
      <c r="X21" s="4291"/>
      <c r="Y21" s="4291"/>
      <c r="Z21" s="4264"/>
      <c r="AA21" s="4264"/>
      <c r="AB21" s="4264"/>
      <c r="AC21" s="4258"/>
      <c r="AD21" s="4258"/>
      <c r="AE21" s="4258"/>
      <c r="AF21" s="4258"/>
      <c r="AG21" s="4258"/>
      <c r="AH21" s="4258"/>
      <c r="AI21" s="4258"/>
      <c r="AJ21" s="4258"/>
      <c r="AK21" s="4258"/>
      <c r="AL21" s="4258"/>
      <c r="AM21" s="4258"/>
      <c r="AN21" s="4258"/>
      <c r="AO21" s="4258"/>
      <c r="AP21" s="4258"/>
      <c r="AQ21" s="4258"/>
      <c r="AR21" s="4258"/>
      <c r="AS21" s="4258"/>
      <c r="AT21" s="4258"/>
      <c r="AU21" s="4258"/>
      <c r="AV21" s="4258"/>
      <c r="AW21" s="4258"/>
      <c r="AX21" s="4258"/>
      <c r="AY21" s="4258"/>
      <c r="AZ21" s="4258"/>
      <c r="BA21" s="4258"/>
      <c r="BB21" s="4258"/>
      <c r="BC21" s="4258"/>
      <c r="BD21" s="4258"/>
      <c r="BE21" s="4258"/>
      <c r="BF21" s="4258"/>
      <c r="BG21" s="4258"/>
      <c r="BH21" s="4258"/>
      <c r="BI21" s="4258"/>
      <c r="BJ21" s="4258"/>
      <c r="BK21" s="4258"/>
      <c r="BL21" s="4258"/>
      <c r="BM21" s="4258"/>
      <c r="BN21" s="4258"/>
      <c r="BO21" s="4258"/>
      <c r="BP21" s="4258"/>
      <c r="BQ21" s="4258"/>
      <c r="BR21" s="4258"/>
      <c r="BS21" s="4258"/>
      <c r="BT21" s="4258"/>
      <c r="BU21" s="4258"/>
      <c r="BV21" s="4258"/>
      <c r="BW21" s="4258"/>
      <c r="BX21" s="4258"/>
      <c r="BY21" s="4259"/>
      <c r="BZ21" s="4260"/>
      <c r="CA21" s="4260"/>
      <c r="CB21" s="4292" t="e">
        <f t="shared" si="5"/>
        <v>#VALUE!</v>
      </c>
      <c r="CC21" s="4262" t="str">
        <f t="shared" si="0"/>
        <v/>
      </c>
      <c r="CD21" s="4292" t="str">
        <f t="shared" si="6"/>
        <v xml:space="preserve">* Pueblos Originarios debe ser MENOR O IGUAL al Total. </v>
      </c>
      <c r="CE21" s="4292" t="str">
        <f t="shared" si="7"/>
        <v xml:space="preserve">* Migrantes debe ser MENOR O IGUAL al Total. </v>
      </c>
      <c r="CF21" s="4262"/>
      <c r="CG21" s="4262"/>
      <c r="CH21" s="4261"/>
      <c r="CI21" s="4261"/>
      <c r="CJ21" s="4261"/>
      <c r="CK21" s="4261"/>
      <c r="CL21" s="4261"/>
      <c r="CM21" s="4261"/>
      <c r="CN21" s="4261"/>
      <c r="CO21" s="4261"/>
      <c r="CP21" s="4261"/>
      <c r="CQ21" s="4261"/>
      <c r="CR21" s="4261"/>
      <c r="CS21" s="4261"/>
      <c r="CT21" s="4261"/>
      <c r="CU21" s="4261"/>
      <c r="CV21" s="4261"/>
      <c r="CW21" s="4261"/>
      <c r="CX21" s="4261"/>
      <c r="CY21" s="4261"/>
      <c r="CZ21" s="4261"/>
      <c r="DA21" s="4261"/>
      <c r="DB21" s="4293" t="e">
        <f t="shared" si="1"/>
        <v>#VALUE!</v>
      </c>
      <c r="DC21" s="4263"/>
      <c r="DD21" s="4293">
        <f t="shared" si="8"/>
        <v>1</v>
      </c>
      <c r="DE21" s="4293">
        <f t="shared" si="9"/>
        <v>1</v>
      </c>
      <c r="DF21" s="4294"/>
      <c r="DG21" s="4294"/>
      <c r="DH21" s="4294"/>
      <c r="DI21" s="4294"/>
      <c r="DJ21" s="4294"/>
      <c r="DK21" s="4294"/>
      <c r="DL21" s="4294"/>
      <c r="DM21" s="4294"/>
      <c r="DN21" s="4294"/>
      <c r="DO21" s="4294"/>
      <c r="DP21" s="4294"/>
      <c r="DQ21" s="4294"/>
      <c r="DR21" s="4260"/>
      <c r="DS21" s="4260"/>
      <c r="DT21" s="4260"/>
      <c r="DU21" s="4260"/>
      <c r="DV21" s="4260"/>
      <c r="DW21" s="4260"/>
      <c r="DX21" s="4260"/>
      <c r="DY21" s="4260"/>
      <c r="DZ21" s="4260"/>
      <c r="EA21" s="4260"/>
      <c r="EB21" s="4260"/>
      <c r="EC21" s="4260"/>
      <c r="ED21" s="4260"/>
      <c r="EE21" s="4260"/>
      <c r="EF21" s="4260"/>
      <c r="EG21" s="4260"/>
      <c r="EH21" s="4260"/>
      <c r="EI21" s="4260"/>
      <c r="EJ21" s="4260"/>
      <c r="EK21" s="4260"/>
      <c r="EL21" s="4260"/>
      <c r="EM21" s="4260"/>
      <c r="EN21" s="4260"/>
      <c r="EO21" s="4260"/>
      <c r="EP21" s="4260"/>
      <c r="EQ21" s="4260"/>
      <c r="ER21" s="4260"/>
      <c r="ES21" s="4260"/>
      <c r="ET21" s="4260"/>
      <c r="EU21" s="4260"/>
      <c r="EV21" s="4260"/>
      <c r="EW21" s="4260"/>
      <c r="EX21" s="4260"/>
      <c r="EY21" s="4260"/>
      <c r="EZ21" s="4260"/>
      <c r="FA21" s="4260"/>
      <c r="FB21" s="4260"/>
      <c r="FC21" s="4260"/>
      <c r="FD21" s="4260"/>
      <c r="FE21" s="4260"/>
      <c r="FF21" s="4260"/>
      <c r="FG21" s="4260"/>
      <c r="FH21" s="4260"/>
      <c r="FI21" s="4260"/>
      <c r="FJ21" s="4260"/>
      <c r="FK21" s="4260"/>
      <c r="FL21" s="4260"/>
      <c r="FM21" s="4260"/>
      <c r="FN21" s="4260"/>
      <c r="FO21" s="4260"/>
      <c r="FP21" s="4260"/>
      <c r="FQ21" s="4260"/>
      <c r="FR21" s="4260"/>
      <c r="FS21" s="4260"/>
      <c r="FT21" s="4260"/>
      <c r="FU21" s="4260"/>
      <c r="FV21" s="4260"/>
      <c r="FW21" s="4260"/>
      <c r="FX21" s="4260"/>
      <c r="FY21" s="4260"/>
      <c r="FZ21" s="4260"/>
      <c r="GA21" s="4260"/>
      <c r="GB21" s="4260"/>
      <c r="GC21" s="4260"/>
      <c r="GD21" s="4260"/>
      <c r="GE21" s="4260"/>
      <c r="GF21" s="4260"/>
      <c r="GG21" s="4260"/>
      <c r="GH21" s="4260"/>
      <c r="GI21" s="4260"/>
      <c r="GJ21" s="4260"/>
      <c r="GK21" s="4260"/>
      <c r="GL21" s="4260"/>
      <c r="GM21" s="4260"/>
      <c r="GN21" s="4260"/>
      <c r="GO21" s="4260"/>
      <c r="GP21" s="4260"/>
      <c r="GQ21" s="4260"/>
      <c r="GR21" s="4260"/>
      <c r="GS21" s="4260"/>
      <c r="GT21" s="4260"/>
      <c r="GU21" s="4260"/>
      <c r="GV21" s="4260"/>
      <c r="GW21" s="4260"/>
      <c r="GX21" s="4260"/>
      <c r="GY21" s="4260"/>
      <c r="GZ21" s="4260"/>
      <c r="HA21" s="4260"/>
      <c r="HB21" s="4260"/>
      <c r="HC21" s="4260"/>
      <c r="HD21" s="4260"/>
      <c r="HE21" s="4260"/>
      <c r="HF21" s="4260"/>
      <c r="HG21" s="4260"/>
      <c r="HH21" s="4260"/>
      <c r="HI21" s="4260"/>
      <c r="HJ21" s="4260"/>
      <c r="HK21" s="4260"/>
      <c r="HL21" s="4260"/>
      <c r="HM21" s="4260"/>
      <c r="HN21" s="4260"/>
      <c r="HO21" s="4260"/>
      <c r="HP21" s="4260"/>
      <c r="HQ21" s="4260"/>
      <c r="HR21" s="4260"/>
      <c r="HS21" s="4260"/>
      <c r="HT21" s="4260"/>
      <c r="HU21" s="4260"/>
      <c r="HV21" s="4260"/>
      <c r="HW21" s="4260"/>
      <c r="HX21" s="4260"/>
      <c r="HY21" s="4260"/>
      <c r="HZ21" s="4260"/>
      <c r="IA21" s="4260"/>
    </row>
    <row r="22" spans="1:235" s="4295" customFormat="1" ht="17.25" customHeight="1" x14ac:dyDescent="0.25">
      <c r="A22" s="7631">
        <v>26280010</v>
      </c>
      <c r="B22" s="10718" t="s">
        <v>1717</v>
      </c>
      <c r="C22" s="10723"/>
      <c r="D22" s="4280" t="s">
        <v>5369</v>
      </c>
      <c r="E22" s="4296" t="s">
        <v>5370</v>
      </c>
      <c r="F22" s="4297" t="s">
        <v>5371</v>
      </c>
      <c r="G22" s="4297" t="s">
        <v>5372</v>
      </c>
      <c r="H22" s="4298" t="s">
        <v>5373</v>
      </c>
      <c r="I22" s="4299" t="s">
        <v>5374</v>
      </c>
      <c r="J22" s="4300" t="s">
        <v>5375</v>
      </c>
      <c r="K22" s="4301" t="s">
        <v>5376</v>
      </c>
      <c r="L22" s="4299" t="s">
        <v>5377</v>
      </c>
      <c r="M22" s="4298" t="s">
        <v>5378</v>
      </c>
      <c r="N22" s="4302" t="s">
        <v>5379</v>
      </c>
      <c r="O22" s="4289" t="s">
        <v>5380</v>
      </c>
      <c r="P22" s="4289" t="s">
        <v>5381</v>
      </c>
      <c r="Q22" s="4289" t="s">
        <v>5382</v>
      </c>
      <c r="R22" s="4290" t="e">
        <f t="shared" si="4"/>
        <v>#VALUE!</v>
      </c>
      <c r="S22" s="4291"/>
      <c r="T22" s="4291"/>
      <c r="U22" s="4291"/>
      <c r="V22" s="4291"/>
      <c r="W22" s="4291"/>
      <c r="X22" s="4291"/>
      <c r="Y22" s="4291"/>
      <c r="Z22" s="4264"/>
      <c r="AA22" s="4264"/>
      <c r="AB22" s="4264"/>
      <c r="AC22" s="4258"/>
      <c r="AD22" s="4258"/>
      <c r="AE22" s="4258"/>
      <c r="AF22" s="4258"/>
      <c r="AG22" s="4258"/>
      <c r="AH22" s="4258"/>
      <c r="AI22" s="4258"/>
      <c r="AJ22" s="4258"/>
      <c r="AK22" s="4258"/>
      <c r="AL22" s="4258"/>
      <c r="AM22" s="4258"/>
      <c r="AN22" s="4258"/>
      <c r="AO22" s="4258"/>
      <c r="AP22" s="4258"/>
      <c r="AQ22" s="4258"/>
      <c r="AR22" s="4258"/>
      <c r="AS22" s="4258"/>
      <c r="AT22" s="4258"/>
      <c r="AU22" s="4258"/>
      <c r="AV22" s="4258"/>
      <c r="AW22" s="4258"/>
      <c r="AX22" s="4258"/>
      <c r="AY22" s="4258"/>
      <c r="AZ22" s="4258"/>
      <c r="BA22" s="4258"/>
      <c r="BB22" s="4258"/>
      <c r="BC22" s="4258"/>
      <c r="BD22" s="4258"/>
      <c r="BE22" s="4258"/>
      <c r="BF22" s="4258"/>
      <c r="BG22" s="4258"/>
      <c r="BH22" s="4258"/>
      <c r="BI22" s="4258"/>
      <c r="BJ22" s="4258"/>
      <c r="BK22" s="4258"/>
      <c r="BL22" s="4258"/>
      <c r="BM22" s="4258"/>
      <c r="BN22" s="4258"/>
      <c r="BO22" s="4258"/>
      <c r="BP22" s="4258"/>
      <c r="BQ22" s="4258"/>
      <c r="BR22" s="4258"/>
      <c r="BS22" s="4258"/>
      <c r="BT22" s="4258"/>
      <c r="BU22" s="4258"/>
      <c r="BV22" s="4258"/>
      <c r="BW22" s="4258"/>
      <c r="BX22" s="4258"/>
      <c r="BY22" s="4259"/>
      <c r="BZ22" s="4260"/>
      <c r="CA22" s="4260"/>
      <c r="CB22" s="4292" t="e">
        <f t="shared" si="5"/>
        <v>#VALUE!</v>
      </c>
      <c r="CC22" s="4262" t="str">
        <f t="shared" si="0"/>
        <v/>
      </c>
      <c r="CD22" s="4292" t="str">
        <f t="shared" si="6"/>
        <v xml:space="preserve">* Pueblos Originarios debe ser MENOR O IGUAL al Total. </v>
      </c>
      <c r="CE22" s="4292" t="str">
        <f t="shared" si="7"/>
        <v xml:space="preserve">* Migrantes debe ser MENOR O IGUAL al Total. </v>
      </c>
      <c r="CF22" s="4262"/>
      <c r="CG22" s="4262"/>
      <c r="CH22" s="4261"/>
      <c r="CI22" s="4261"/>
      <c r="CJ22" s="4261"/>
      <c r="CK22" s="4261"/>
      <c r="CL22" s="4261"/>
      <c r="CM22" s="4261"/>
      <c r="CN22" s="4261"/>
      <c r="CO22" s="4261"/>
      <c r="CP22" s="4261"/>
      <c r="CQ22" s="4261"/>
      <c r="CR22" s="4261"/>
      <c r="CS22" s="4261"/>
      <c r="CT22" s="4261"/>
      <c r="CU22" s="4261"/>
      <c r="CV22" s="4261"/>
      <c r="CW22" s="4261"/>
      <c r="CX22" s="4261"/>
      <c r="CY22" s="4261"/>
      <c r="CZ22" s="4261"/>
      <c r="DA22" s="4261"/>
      <c r="DB22" s="4293" t="e">
        <f t="shared" si="1"/>
        <v>#VALUE!</v>
      </c>
      <c r="DC22" s="4263"/>
      <c r="DD22" s="4293">
        <f t="shared" si="8"/>
        <v>1</v>
      </c>
      <c r="DE22" s="4293">
        <f t="shared" si="9"/>
        <v>1</v>
      </c>
      <c r="DF22" s="4294"/>
      <c r="DG22" s="4294"/>
      <c r="DH22" s="4294"/>
      <c r="DI22" s="4294"/>
      <c r="DJ22" s="4294"/>
      <c r="DK22" s="4294"/>
      <c r="DL22" s="4294"/>
      <c r="DM22" s="4294"/>
      <c r="DN22" s="4294"/>
      <c r="DO22" s="4294"/>
      <c r="DP22" s="4294"/>
      <c r="DQ22" s="4294"/>
      <c r="DR22" s="4260"/>
      <c r="DS22" s="4260"/>
      <c r="DT22" s="4260"/>
      <c r="DU22" s="4260"/>
      <c r="DV22" s="4260"/>
      <c r="DW22" s="4260"/>
      <c r="DX22" s="4260"/>
      <c r="DY22" s="4260"/>
      <c r="DZ22" s="4260"/>
      <c r="EA22" s="4260"/>
      <c r="EB22" s="4260"/>
      <c r="EC22" s="4260"/>
      <c r="ED22" s="4260"/>
      <c r="EE22" s="4260"/>
      <c r="EF22" s="4260"/>
      <c r="EG22" s="4260"/>
      <c r="EH22" s="4260"/>
      <c r="EI22" s="4260"/>
      <c r="EJ22" s="4260"/>
      <c r="EK22" s="4260"/>
      <c r="EL22" s="4260"/>
      <c r="EM22" s="4260"/>
      <c r="EN22" s="4260"/>
      <c r="EO22" s="4260"/>
      <c r="EP22" s="4260"/>
      <c r="EQ22" s="4260"/>
      <c r="ER22" s="4260"/>
      <c r="ES22" s="4260"/>
      <c r="ET22" s="4260"/>
      <c r="EU22" s="4260"/>
      <c r="EV22" s="4260"/>
      <c r="EW22" s="4260"/>
      <c r="EX22" s="4260"/>
      <c r="EY22" s="4260"/>
      <c r="EZ22" s="4260"/>
      <c r="FA22" s="4260"/>
      <c r="FB22" s="4260"/>
      <c r="FC22" s="4260"/>
      <c r="FD22" s="4260"/>
      <c r="FE22" s="4260"/>
      <c r="FF22" s="4260"/>
      <c r="FG22" s="4260"/>
      <c r="FH22" s="4260"/>
      <c r="FI22" s="4260"/>
      <c r="FJ22" s="4260"/>
      <c r="FK22" s="4260"/>
      <c r="FL22" s="4260"/>
      <c r="FM22" s="4260"/>
      <c r="FN22" s="4260"/>
      <c r="FO22" s="4260"/>
      <c r="FP22" s="4260"/>
      <c r="FQ22" s="4260"/>
      <c r="FR22" s="4260"/>
      <c r="FS22" s="4260"/>
      <c r="FT22" s="4260"/>
      <c r="FU22" s="4260"/>
      <c r="FV22" s="4260"/>
      <c r="FW22" s="4260"/>
      <c r="FX22" s="4260"/>
      <c r="FY22" s="4260"/>
      <c r="FZ22" s="4260"/>
      <c r="GA22" s="4260"/>
      <c r="GB22" s="4260"/>
      <c r="GC22" s="4260"/>
      <c r="GD22" s="4260"/>
      <c r="GE22" s="4260"/>
      <c r="GF22" s="4260"/>
      <c r="GG22" s="4260"/>
      <c r="GH22" s="4260"/>
      <c r="GI22" s="4260"/>
      <c r="GJ22" s="4260"/>
      <c r="GK22" s="4260"/>
      <c r="GL22" s="4260"/>
      <c r="GM22" s="4260"/>
      <c r="GN22" s="4260"/>
      <c r="GO22" s="4260"/>
      <c r="GP22" s="4260"/>
      <c r="GQ22" s="4260"/>
      <c r="GR22" s="4260"/>
      <c r="GS22" s="4260"/>
      <c r="GT22" s="4260"/>
      <c r="GU22" s="4260"/>
      <c r="GV22" s="4260"/>
      <c r="GW22" s="4260"/>
      <c r="GX22" s="4260"/>
      <c r="GY22" s="4260"/>
      <c r="GZ22" s="4260"/>
      <c r="HA22" s="4260"/>
      <c r="HB22" s="4260"/>
      <c r="HC22" s="4260"/>
      <c r="HD22" s="4260"/>
      <c r="HE22" s="4260"/>
      <c r="HF22" s="4260"/>
      <c r="HG22" s="4260"/>
      <c r="HH22" s="4260"/>
      <c r="HI22" s="4260"/>
      <c r="HJ22" s="4260"/>
      <c r="HK22" s="4260"/>
      <c r="HL22" s="4260"/>
      <c r="HM22" s="4260"/>
      <c r="HN22" s="4260"/>
      <c r="HO22" s="4260"/>
      <c r="HP22" s="4260"/>
      <c r="HQ22" s="4260"/>
      <c r="HR22" s="4260"/>
      <c r="HS22" s="4260"/>
      <c r="HT22" s="4260"/>
      <c r="HU22" s="4260"/>
      <c r="HV22" s="4260"/>
      <c r="HW22" s="4260"/>
      <c r="HX22" s="4260"/>
      <c r="HY22" s="4260"/>
      <c r="HZ22" s="4260"/>
      <c r="IA22" s="4260"/>
    </row>
    <row r="23" spans="1:235" s="4295" customFormat="1" ht="17.25" customHeight="1" x14ac:dyDescent="0.25">
      <c r="A23" s="7631">
        <v>26291150</v>
      </c>
      <c r="B23" s="10718" t="s">
        <v>1715</v>
      </c>
      <c r="C23" s="10719"/>
      <c r="D23" s="4280" t="s">
        <v>5369</v>
      </c>
      <c r="E23" s="4296" t="s">
        <v>5370</v>
      </c>
      <c r="F23" s="4297" t="s">
        <v>5371</v>
      </c>
      <c r="G23" s="4297" t="s">
        <v>5372</v>
      </c>
      <c r="H23" s="4298" t="s">
        <v>5373</v>
      </c>
      <c r="I23" s="4299" t="s">
        <v>5374</v>
      </c>
      <c r="J23" s="4300" t="s">
        <v>5375</v>
      </c>
      <c r="K23" s="4301" t="s">
        <v>5376</v>
      </c>
      <c r="L23" s="4299" t="s">
        <v>5377</v>
      </c>
      <c r="M23" s="4298" t="s">
        <v>5378</v>
      </c>
      <c r="N23" s="4303" t="s">
        <v>5379</v>
      </c>
      <c r="O23" s="4289" t="s">
        <v>5380</v>
      </c>
      <c r="P23" s="4289" t="s">
        <v>5381</v>
      </c>
      <c r="Q23" s="4289" t="s">
        <v>5382</v>
      </c>
      <c r="R23" s="4290" t="e">
        <f t="shared" si="4"/>
        <v>#VALUE!</v>
      </c>
      <c r="S23" s="4291"/>
      <c r="T23" s="4291"/>
      <c r="U23" s="4291"/>
      <c r="V23" s="4291"/>
      <c r="W23" s="4291"/>
      <c r="X23" s="4291"/>
      <c r="Y23" s="4291"/>
      <c r="Z23" s="4264"/>
      <c r="AA23" s="4264"/>
      <c r="AB23" s="4264"/>
      <c r="AC23" s="4258"/>
      <c r="AD23" s="4258"/>
      <c r="AE23" s="4258"/>
      <c r="AF23" s="4258"/>
      <c r="AG23" s="4258"/>
      <c r="AH23" s="4258"/>
      <c r="AI23" s="4258"/>
      <c r="AJ23" s="4258"/>
      <c r="AK23" s="4258"/>
      <c r="AL23" s="4258"/>
      <c r="AM23" s="4258"/>
      <c r="AN23" s="4258"/>
      <c r="AO23" s="4258"/>
      <c r="AP23" s="4258"/>
      <c r="AQ23" s="4258"/>
      <c r="AR23" s="4258"/>
      <c r="AS23" s="4258"/>
      <c r="AT23" s="4258"/>
      <c r="AU23" s="4258"/>
      <c r="AV23" s="4258"/>
      <c r="AW23" s="4258"/>
      <c r="AX23" s="4258"/>
      <c r="AY23" s="4258"/>
      <c r="AZ23" s="4258"/>
      <c r="BA23" s="4258"/>
      <c r="BB23" s="4258"/>
      <c r="BC23" s="4258"/>
      <c r="BD23" s="4258"/>
      <c r="BE23" s="4258"/>
      <c r="BF23" s="4258"/>
      <c r="BG23" s="4258"/>
      <c r="BH23" s="4258"/>
      <c r="BI23" s="4258"/>
      <c r="BJ23" s="4258"/>
      <c r="BK23" s="4258"/>
      <c r="BL23" s="4258"/>
      <c r="BM23" s="4258"/>
      <c r="BN23" s="4258"/>
      <c r="BO23" s="4258"/>
      <c r="BP23" s="4258"/>
      <c r="BQ23" s="4258"/>
      <c r="BR23" s="4258"/>
      <c r="BS23" s="4258"/>
      <c r="BT23" s="4258"/>
      <c r="BU23" s="4258"/>
      <c r="BV23" s="4258"/>
      <c r="BW23" s="4258"/>
      <c r="BX23" s="4258"/>
      <c r="BY23" s="4259"/>
      <c r="BZ23" s="4260"/>
      <c r="CA23" s="4260"/>
      <c r="CB23" s="4292" t="e">
        <f t="shared" si="5"/>
        <v>#VALUE!</v>
      </c>
      <c r="CC23" s="4292" t="str">
        <f t="shared" si="0"/>
        <v xml:space="preserve">* Programa de Atención Domiciliaria a Personas con Dependencia Severa debe ser MENOR O IGUAL al Total. </v>
      </c>
      <c r="CD23" s="4292" t="str">
        <f t="shared" si="6"/>
        <v xml:space="preserve">* Pueblos Originarios debe ser MENOR O IGUAL al Total. </v>
      </c>
      <c r="CE23" s="4292" t="str">
        <f t="shared" si="7"/>
        <v xml:space="preserve">* Migrantes debe ser MENOR O IGUAL al Total. </v>
      </c>
      <c r="CF23" s="4262"/>
      <c r="CG23" s="4262"/>
      <c r="CH23" s="4261"/>
      <c r="CI23" s="4261"/>
      <c r="CJ23" s="4261"/>
      <c r="CK23" s="4261"/>
      <c r="CL23" s="4261"/>
      <c r="CM23" s="4261"/>
      <c r="CN23" s="4261"/>
      <c r="CO23" s="4261"/>
      <c r="CP23" s="4261"/>
      <c r="CQ23" s="4261"/>
      <c r="CR23" s="4261"/>
      <c r="CS23" s="4261"/>
      <c r="CT23" s="4261"/>
      <c r="CU23" s="4261"/>
      <c r="CV23" s="4261"/>
      <c r="CW23" s="4261"/>
      <c r="CX23" s="4261"/>
      <c r="CY23" s="4261"/>
      <c r="CZ23" s="4261"/>
      <c r="DA23" s="4261"/>
      <c r="DB23" s="4293" t="e">
        <f t="shared" si="1"/>
        <v>#VALUE!</v>
      </c>
      <c r="DC23" s="4293">
        <f>IF(N23&gt;D23,1,0)</f>
        <v>1</v>
      </c>
      <c r="DD23" s="4293">
        <f t="shared" si="8"/>
        <v>1</v>
      </c>
      <c r="DE23" s="4293">
        <f t="shared" si="9"/>
        <v>1</v>
      </c>
      <c r="DF23" s="4294"/>
      <c r="DG23" s="4294"/>
      <c r="DH23" s="4294"/>
      <c r="DI23" s="4294"/>
      <c r="DJ23" s="4294"/>
      <c r="DK23" s="4294"/>
      <c r="DL23" s="4294"/>
      <c r="DM23" s="4294"/>
      <c r="DN23" s="4294"/>
      <c r="DO23" s="4294"/>
      <c r="DP23" s="4294"/>
      <c r="DQ23" s="4294"/>
      <c r="DR23" s="4260"/>
      <c r="DS23" s="4260"/>
      <c r="DT23" s="4260"/>
      <c r="DU23" s="4260"/>
      <c r="DV23" s="4260"/>
      <c r="DW23" s="4260"/>
      <c r="DX23" s="4260"/>
      <c r="DY23" s="4260"/>
      <c r="DZ23" s="4260"/>
      <c r="EA23" s="4260"/>
      <c r="EB23" s="4260"/>
      <c r="EC23" s="4260"/>
      <c r="ED23" s="4260"/>
      <c r="EE23" s="4260"/>
      <c r="EF23" s="4260"/>
      <c r="EG23" s="4260"/>
      <c r="EH23" s="4260"/>
      <c r="EI23" s="4260"/>
      <c r="EJ23" s="4260"/>
      <c r="EK23" s="4260"/>
      <c r="EL23" s="4260"/>
      <c r="EM23" s="4260"/>
      <c r="EN23" s="4260"/>
      <c r="EO23" s="4260"/>
      <c r="EP23" s="4260"/>
      <c r="EQ23" s="4260"/>
      <c r="ER23" s="4260"/>
      <c r="ES23" s="4260"/>
      <c r="ET23" s="4260"/>
      <c r="EU23" s="4260"/>
      <c r="EV23" s="4260"/>
      <c r="EW23" s="4260"/>
      <c r="EX23" s="4260"/>
      <c r="EY23" s="4260"/>
      <c r="EZ23" s="4260"/>
      <c r="FA23" s="4260"/>
      <c r="FB23" s="4260"/>
      <c r="FC23" s="4260"/>
      <c r="FD23" s="4260"/>
      <c r="FE23" s="4260"/>
      <c r="FF23" s="4260"/>
      <c r="FG23" s="4260"/>
      <c r="FH23" s="4260"/>
      <c r="FI23" s="4260"/>
      <c r="FJ23" s="4260"/>
      <c r="FK23" s="4260"/>
      <c r="FL23" s="4260"/>
      <c r="FM23" s="4260"/>
      <c r="FN23" s="4260"/>
      <c r="FO23" s="4260"/>
      <c r="FP23" s="4260"/>
      <c r="FQ23" s="4260"/>
      <c r="FR23" s="4260"/>
      <c r="FS23" s="4260"/>
      <c r="FT23" s="4260"/>
      <c r="FU23" s="4260"/>
      <c r="FV23" s="4260"/>
      <c r="FW23" s="4260"/>
      <c r="FX23" s="4260"/>
      <c r="FY23" s="4260"/>
      <c r="FZ23" s="4260"/>
      <c r="GA23" s="4260"/>
      <c r="GB23" s="4260"/>
      <c r="GC23" s="4260"/>
      <c r="GD23" s="4260"/>
      <c r="GE23" s="4260"/>
      <c r="GF23" s="4260"/>
      <c r="GG23" s="4260"/>
      <c r="GH23" s="4260"/>
      <c r="GI23" s="4260"/>
      <c r="GJ23" s="4260"/>
      <c r="GK23" s="4260"/>
      <c r="GL23" s="4260"/>
      <c r="GM23" s="4260"/>
      <c r="GN23" s="4260"/>
      <c r="GO23" s="4260"/>
      <c r="GP23" s="4260"/>
      <c r="GQ23" s="4260"/>
      <c r="GR23" s="4260"/>
      <c r="GS23" s="4260"/>
      <c r="GT23" s="4260"/>
      <c r="GU23" s="4260"/>
      <c r="GV23" s="4260"/>
      <c r="GW23" s="4260"/>
      <c r="GX23" s="4260"/>
      <c r="GY23" s="4260"/>
      <c r="GZ23" s="4260"/>
      <c r="HA23" s="4260"/>
      <c r="HB23" s="4260"/>
      <c r="HC23" s="4260"/>
      <c r="HD23" s="4260"/>
      <c r="HE23" s="4260"/>
      <c r="HF23" s="4260"/>
      <c r="HG23" s="4260"/>
      <c r="HH23" s="4260"/>
      <c r="HI23" s="4260"/>
      <c r="HJ23" s="4260"/>
      <c r="HK23" s="4260"/>
      <c r="HL23" s="4260"/>
      <c r="HM23" s="4260"/>
      <c r="HN23" s="4260"/>
      <c r="HO23" s="4260"/>
      <c r="HP23" s="4260"/>
      <c r="HQ23" s="4260"/>
      <c r="HR23" s="4260"/>
      <c r="HS23" s="4260"/>
      <c r="HT23" s="4260"/>
      <c r="HU23" s="4260"/>
      <c r="HV23" s="4260"/>
      <c r="HW23" s="4260"/>
      <c r="HX23" s="4260"/>
      <c r="HY23" s="4260"/>
      <c r="HZ23" s="4260"/>
      <c r="IA23" s="4260"/>
    </row>
    <row r="24" spans="1:235" s="4295" customFormat="1" ht="17.25" customHeight="1" x14ac:dyDescent="0.25">
      <c r="A24" s="7631">
        <v>26262400</v>
      </c>
      <c r="B24" s="10718" t="s">
        <v>1716</v>
      </c>
      <c r="C24" s="10719"/>
      <c r="D24" s="4280" t="s">
        <v>5369</v>
      </c>
      <c r="E24" s="4296" t="s">
        <v>5370</v>
      </c>
      <c r="F24" s="4297" t="s">
        <v>5371</v>
      </c>
      <c r="G24" s="4297" t="s">
        <v>5372</v>
      </c>
      <c r="H24" s="4298" t="s">
        <v>5373</v>
      </c>
      <c r="I24" s="4299" t="s">
        <v>5374</v>
      </c>
      <c r="J24" s="4300" t="s">
        <v>5375</v>
      </c>
      <c r="K24" s="4301" t="s">
        <v>5376</v>
      </c>
      <c r="L24" s="4299" t="s">
        <v>5377</v>
      </c>
      <c r="M24" s="4298" t="s">
        <v>5378</v>
      </c>
      <c r="N24" s="4303" t="s">
        <v>5379</v>
      </c>
      <c r="O24" s="4289" t="s">
        <v>5380</v>
      </c>
      <c r="P24" s="4289" t="s">
        <v>5381</v>
      </c>
      <c r="Q24" s="4289" t="s">
        <v>5382</v>
      </c>
      <c r="R24" s="4290" t="e">
        <f t="shared" si="4"/>
        <v>#VALUE!</v>
      </c>
      <c r="S24" s="4291"/>
      <c r="T24" s="4291"/>
      <c r="U24" s="4291"/>
      <c r="V24" s="4291"/>
      <c r="W24" s="4291"/>
      <c r="X24" s="4291"/>
      <c r="Y24" s="4291"/>
      <c r="Z24" s="4264"/>
      <c r="AA24" s="4264"/>
      <c r="AB24" s="4264"/>
      <c r="AC24" s="4258"/>
      <c r="AD24" s="4258"/>
      <c r="AE24" s="4258"/>
      <c r="AF24" s="4258"/>
      <c r="AG24" s="4258"/>
      <c r="AH24" s="4258"/>
      <c r="AI24" s="4258"/>
      <c r="AJ24" s="4258"/>
      <c r="AK24" s="4258"/>
      <c r="AL24" s="4258"/>
      <c r="AM24" s="4258"/>
      <c r="AN24" s="4258"/>
      <c r="AO24" s="4258"/>
      <c r="AP24" s="4258"/>
      <c r="AQ24" s="4258"/>
      <c r="AR24" s="4258"/>
      <c r="AS24" s="4258"/>
      <c r="AT24" s="4258"/>
      <c r="AU24" s="4258"/>
      <c r="AV24" s="4258"/>
      <c r="AW24" s="4258"/>
      <c r="AX24" s="4258"/>
      <c r="AY24" s="4258"/>
      <c r="AZ24" s="4258"/>
      <c r="BA24" s="4258"/>
      <c r="BB24" s="4258"/>
      <c r="BC24" s="4258"/>
      <c r="BD24" s="4258"/>
      <c r="BE24" s="4258"/>
      <c r="BF24" s="4258"/>
      <c r="BG24" s="4258"/>
      <c r="BH24" s="4258"/>
      <c r="BI24" s="4258"/>
      <c r="BJ24" s="4258"/>
      <c r="BK24" s="4258"/>
      <c r="BL24" s="4258"/>
      <c r="BM24" s="4258"/>
      <c r="BN24" s="4258"/>
      <c r="BO24" s="4258"/>
      <c r="BP24" s="4258"/>
      <c r="BQ24" s="4258"/>
      <c r="BR24" s="4258"/>
      <c r="BS24" s="4258"/>
      <c r="BT24" s="4258"/>
      <c r="BU24" s="4258"/>
      <c r="BV24" s="4258"/>
      <c r="BW24" s="4258"/>
      <c r="BX24" s="4258"/>
      <c r="BY24" s="4259"/>
      <c r="BZ24" s="4260"/>
      <c r="CA24" s="4260"/>
      <c r="CB24" s="4292" t="e">
        <f t="shared" si="5"/>
        <v>#VALUE!</v>
      </c>
      <c r="CC24" s="4292" t="str">
        <f t="shared" si="0"/>
        <v xml:space="preserve">* Programa de Atención Domiciliaria a Personas con Dependencia Severa debe ser MENOR O IGUAL al Total. </v>
      </c>
      <c r="CD24" s="4292" t="str">
        <f t="shared" si="6"/>
        <v xml:space="preserve">* Pueblos Originarios debe ser MENOR O IGUAL al Total. </v>
      </c>
      <c r="CE24" s="4292" t="str">
        <f t="shared" si="7"/>
        <v xml:space="preserve">* Migrantes debe ser MENOR O IGUAL al Total. </v>
      </c>
      <c r="CF24" s="4262"/>
      <c r="CG24" s="4262"/>
      <c r="CH24" s="4261"/>
      <c r="CI24" s="4261"/>
      <c r="CJ24" s="4261"/>
      <c r="CK24" s="4261"/>
      <c r="CL24" s="4261"/>
      <c r="CM24" s="4261"/>
      <c r="CN24" s="4261"/>
      <c r="CO24" s="4261"/>
      <c r="CP24" s="4261"/>
      <c r="CQ24" s="4261"/>
      <c r="CR24" s="4261"/>
      <c r="CS24" s="4261"/>
      <c r="CT24" s="4261"/>
      <c r="CU24" s="4261"/>
      <c r="CV24" s="4261"/>
      <c r="CW24" s="4261"/>
      <c r="CX24" s="4261"/>
      <c r="CY24" s="4261"/>
      <c r="CZ24" s="4261"/>
      <c r="DA24" s="4261"/>
      <c r="DB24" s="4293" t="e">
        <f t="shared" si="1"/>
        <v>#VALUE!</v>
      </c>
      <c r="DC24" s="4293">
        <f>IF(N24&gt;D24,1,0)</f>
        <v>1</v>
      </c>
      <c r="DD24" s="4293">
        <f t="shared" si="8"/>
        <v>1</v>
      </c>
      <c r="DE24" s="4293">
        <f t="shared" si="9"/>
        <v>1</v>
      </c>
      <c r="DF24" s="4294"/>
      <c r="DG24" s="4294"/>
      <c r="DH24" s="4294"/>
      <c r="DI24" s="4294"/>
      <c r="DJ24" s="4294"/>
      <c r="DK24" s="4294"/>
      <c r="DL24" s="4294"/>
      <c r="DM24" s="4294"/>
      <c r="DN24" s="4294"/>
      <c r="DO24" s="4294"/>
      <c r="DP24" s="4294"/>
      <c r="DQ24" s="4294"/>
      <c r="DR24" s="4260"/>
      <c r="DS24" s="4260"/>
      <c r="DT24" s="4260"/>
      <c r="DU24" s="4260"/>
      <c r="DV24" s="4260"/>
      <c r="DW24" s="4260"/>
      <c r="DX24" s="4260"/>
      <c r="DY24" s="4260"/>
      <c r="DZ24" s="4260"/>
      <c r="EA24" s="4260"/>
      <c r="EB24" s="4260"/>
      <c r="EC24" s="4260"/>
      <c r="ED24" s="4260"/>
      <c r="EE24" s="4260"/>
      <c r="EF24" s="4260"/>
      <c r="EG24" s="4260"/>
      <c r="EH24" s="4260"/>
      <c r="EI24" s="4260"/>
      <c r="EJ24" s="4260"/>
      <c r="EK24" s="4260"/>
      <c r="EL24" s="4260"/>
      <c r="EM24" s="4260"/>
      <c r="EN24" s="4260"/>
      <c r="EO24" s="4260"/>
      <c r="EP24" s="4260"/>
      <c r="EQ24" s="4260"/>
      <c r="ER24" s="4260"/>
      <c r="ES24" s="4260"/>
      <c r="ET24" s="4260"/>
      <c r="EU24" s="4260"/>
      <c r="EV24" s="4260"/>
      <c r="EW24" s="4260"/>
      <c r="EX24" s="4260"/>
      <c r="EY24" s="4260"/>
      <c r="EZ24" s="4260"/>
      <c r="FA24" s="4260"/>
      <c r="FB24" s="4260"/>
      <c r="FC24" s="4260"/>
      <c r="FD24" s="4260"/>
      <c r="FE24" s="4260"/>
      <c r="FF24" s="4260"/>
      <c r="FG24" s="4260"/>
      <c r="FH24" s="4260"/>
      <c r="FI24" s="4260"/>
      <c r="FJ24" s="4260"/>
      <c r="FK24" s="4260"/>
      <c r="FL24" s="4260"/>
      <c r="FM24" s="4260"/>
      <c r="FN24" s="4260"/>
      <c r="FO24" s="4260"/>
      <c r="FP24" s="4260"/>
      <c r="FQ24" s="4260"/>
      <c r="FR24" s="4260"/>
      <c r="FS24" s="4260"/>
      <c r="FT24" s="4260"/>
      <c r="FU24" s="4260"/>
      <c r="FV24" s="4260"/>
      <c r="FW24" s="4260"/>
      <c r="FX24" s="4260"/>
      <c r="FY24" s="4260"/>
      <c r="FZ24" s="4260"/>
      <c r="GA24" s="4260"/>
      <c r="GB24" s="4260"/>
      <c r="GC24" s="4260"/>
      <c r="GD24" s="4260"/>
      <c r="GE24" s="4260"/>
      <c r="GF24" s="4260"/>
      <c r="GG24" s="4260"/>
      <c r="GH24" s="4260"/>
      <c r="GI24" s="4260"/>
      <c r="GJ24" s="4260"/>
      <c r="GK24" s="4260"/>
      <c r="GL24" s="4260"/>
      <c r="GM24" s="4260"/>
      <c r="GN24" s="4260"/>
      <c r="GO24" s="4260"/>
      <c r="GP24" s="4260"/>
      <c r="GQ24" s="4260"/>
      <c r="GR24" s="4260"/>
      <c r="GS24" s="4260"/>
      <c r="GT24" s="4260"/>
      <c r="GU24" s="4260"/>
      <c r="GV24" s="4260"/>
      <c r="GW24" s="4260"/>
      <c r="GX24" s="4260"/>
      <c r="GY24" s="4260"/>
      <c r="GZ24" s="4260"/>
      <c r="HA24" s="4260"/>
      <c r="HB24" s="4260"/>
      <c r="HC24" s="4260"/>
      <c r="HD24" s="4260"/>
      <c r="HE24" s="4260"/>
      <c r="HF24" s="4260"/>
      <c r="HG24" s="4260"/>
      <c r="HH24" s="4260"/>
      <c r="HI24" s="4260"/>
      <c r="HJ24" s="4260"/>
      <c r="HK24" s="4260"/>
      <c r="HL24" s="4260"/>
      <c r="HM24" s="4260"/>
      <c r="HN24" s="4260"/>
      <c r="HO24" s="4260"/>
      <c r="HP24" s="4260"/>
      <c r="HQ24" s="4260"/>
      <c r="HR24" s="4260"/>
      <c r="HS24" s="4260"/>
      <c r="HT24" s="4260"/>
      <c r="HU24" s="4260"/>
      <c r="HV24" s="4260"/>
      <c r="HW24" s="4260"/>
      <c r="HX24" s="4260"/>
      <c r="HY24" s="4260"/>
      <c r="HZ24" s="4260"/>
      <c r="IA24" s="4260"/>
    </row>
    <row r="25" spans="1:235" s="4295" customFormat="1" ht="25.5" customHeight="1" x14ac:dyDescent="0.25">
      <c r="A25" s="7631">
        <v>26291200</v>
      </c>
      <c r="B25" s="10718" t="s">
        <v>1714</v>
      </c>
      <c r="C25" s="10719"/>
      <c r="D25" s="4280" t="s">
        <v>5369</v>
      </c>
      <c r="E25" s="4296" t="s">
        <v>5370</v>
      </c>
      <c r="F25" s="4297" t="s">
        <v>5371</v>
      </c>
      <c r="G25" s="4297" t="s">
        <v>5372</v>
      </c>
      <c r="H25" s="4298" t="s">
        <v>5373</v>
      </c>
      <c r="I25" s="4299" t="s">
        <v>5374</v>
      </c>
      <c r="J25" s="4300" t="s">
        <v>5375</v>
      </c>
      <c r="K25" s="4301" t="s">
        <v>5376</v>
      </c>
      <c r="L25" s="4299" t="s">
        <v>5377</v>
      </c>
      <c r="M25" s="4298" t="s">
        <v>5378</v>
      </c>
      <c r="N25" s="4303" t="s">
        <v>5379</v>
      </c>
      <c r="O25" s="4289" t="s">
        <v>5380</v>
      </c>
      <c r="P25" s="4289" t="s">
        <v>5381</v>
      </c>
      <c r="Q25" s="4289" t="s">
        <v>5382</v>
      </c>
      <c r="R25" s="4290" t="e">
        <f t="shared" si="4"/>
        <v>#VALUE!</v>
      </c>
      <c r="S25" s="4291"/>
      <c r="T25" s="4291"/>
      <c r="U25" s="4291"/>
      <c r="V25" s="4291"/>
      <c r="W25" s="4291"/>
      <c r="X25" s="4291"/>
      <c r="Y25" s="4291"/>
      <c r="Z25" s="4264"/>
      <c r="AA25" s="4264"/>
      <c r="AB25" s="4264"/>
      <c r="AC25" s="4258"/>
      <c r="AD25" s="4258"/>
      <c r="AE25" s="4258"/>
      <c r="AF25" s="4258"/>
      <c r="AG25" s="4258"/>
      <c r="AH25" s="4258"/>
      <c r="AI25" s="4258"/>
      <c r="AJ25" s="4258"/>
      <c r="AK25" s="4258"/>
      <c r="AL25" s="4258"/>
      <c r="AM25" s="4258"/>
      <c r="AN25" s="4258"/>
      <c r="AO25" s="4258"/>
      <c r="AP25" s="4258"/>
      <c r="AQ25" s="4258"/>
      <c r="AR25" s="4258"/>
      <c r="AS25" s="4258"/>
      <c r="AT25" s="4258"/>
      <c r="AU25" s="4258"/>
      <c r="AV25" s="4258"/>
      <c r="AW25" s="4258"/>
      <c r="AX25" s="4258"/>
      <c r="AY25" s="4258"/>
      <c r="AZ25" s="4258"/>
      <c r="BA25" s="4258"/>
      <c r="BB25" s="4258"/>
      <c r="BC25" s="4258"/>
      <c r="BD25" s="4258"/>
      <c r="BE25" s="4258"/>
      <c r="BF25" s="4258"/>
      <c r="BG25" s="4258"/>
      <c r="BH25" s="4258"/>
      <c r="BI25" s="4258"/>
      <c r="BJ25" s="4258"/>
      <c r="BK25" s="4258"/>
      <c r="BL25" s="4258"/>
      <c r="BM25" s="4258"/>
      <c r="BN25" s="4258"/>
      <c r="BO25" s="4258"/>
      <c r="BP25" s="4258"/>
      <c r="BQ25" s="4258"/>
      <c r="BR25" s="4258"/>
      <c r="BS25" s="4258"/>
      <c r="BT25" s="4258"/>
      <c r="BU25" s="4258"/>
      <c r="BV25" s="4258"/>
      <c r="BW25" s="4258"/>
      <c r="BX25" s="4258"/>
      <c r="BY25" s="4259"/>
      <c r="BZ25" s="4260"/>
      <c r="CA25" s="4260"/>
      <c r="CB25" s="4292" t="e">
        <f t="shared" si="5"/>
        <v>#VALUE!</v>
      </c>
      <c r="CC25" s="4292" t="str">
        <f t="shared" si="0"/>
        <v xml:space="preserve">* Programa de Atención Domiciliaria a Personas con Dependencia Severa debe ser MENOR O IGUAL al Total. </v>
      </c>
      <c r="CD25" s="4292" t="str">
        <f t="shared" si="6"/>
        <v xml:space="preserve">* Pueblos Originarios debe ser MENOR O IGUAL al Total. </v>
      </c>
      <c r="CE25" s="4292" t="str">
        <f t="shared" si="7"/>
        <v xml:space="preserve">* Migrantes debe ser MENOR O IGUAL al Total. </v>
      </c>
      <c r="CF25" s="4262"/>
      <c r="CG25" s="4262"/>
      <c r="CH25" s="4261"/>
      <c r="CI25" s="4261"/>
      <c r="CJ25" s="4261"/>
      <c r="CK25" s="4261"/>
      <c r="CL25" s="4261"/>
      <c r="CM25" s="4261"/>
      <c r="CN25" s="4261"/>
      <c r="CO25" s="4261"/>
      <c r="CP25" s="4261"/>
      <c r="CQ25" s="4261"/>
      <c r="CR25" s="4261"/>
      <c r="CS25" s="4261"/>
      <c r="CT25" s="4261"/>
      <c r="CU25" s="4261"/>
      <c r="CV25" s="4261"/>
      <c r="CW25" s="4261"/>
      <c r="CX25" s="4261"/>
      <c r="CY25" s="4261"/>
      <c r="CZ25" s="4261"/>
      <c r="DA25" s="4261"/>
      <c r="DB25" s="4293" t="e">
        <f t="shared" si="1"/>
        <v>#VALUE!</v>
      </c>
      <c r="DC25" s="4293">
        <f>IF(N25&gt;D25,1,0)</f>
        <v>1</v>
      </c>
      <c r="DD25" s="4293">
        <f t="shared" si="8"/>
        <v>1</v>
      </c>
      <c r="DE25" s="4293">
        <f t="shared" si="9"/>
        <v>1</v>
      </c>
      <c r="DF25" s="4294"/>
      <c r="DG25" s="4294"/>
      <c r="DH25" s="4294"/>
      <c r="DI25" s="4294"/>
      <c r="DJ25" s="4294"/>
      <c r="DK25" s="4294"/>
      <c r="DL25" s="4294"/>
      <c r="DM25" s="4294"/>
      <c r="DN25" s="4294"/>
      <c r="DO25" s="4294"/>
      <c r="DP25" s="4294"/>
      <c r="DQ25" s="4294"/>
      <c r="DR25" s="4260"/>
      <c r="DS25" s="4260"/>
      <c r="DT25" s="4260"/>
      <c r="DU25" s="4260"/>
      <c r="DV25" s="4260"/>
      <c r="DW25" s="4260"/>
      <c r="DX25" s="4260"/>
      <c r="DY25" s="4260"/>
      <c r="DZ25" s="4260"/>
      <c r="EA25" s="4260"/>
      <c r="EB25" s="4260"/>
      <c r="EC25" s="4260"/>
      <c r="ED25" s="4260"/>
      <c r="EE25" s="4260"/>
      <c r="EF25" s="4260"/>
      <c r="EG25" s="4260"/>
      <c r="EH25" s="4260"/>
      <c r="EI25" s="4260"/>
      <c r="EJ25" s="4260"/>
      <c r="EK25" s="4260"/>
      <c r="EL25" s="4260"/>
      <c r="EM25" s="4260"/>
      <c r="EN25" s="4260"/>
      <c r="EO25" s="4260"/>
      <c r="EP25" s="4260"/>
      <c r="EQ25" s="4260"/>
      <c r="ER25" s="4260"/>
      <c r="ES25" s="4260"/>
      <c r="ET25" s="4260"/>
      <c r="EU25" s="4260"/>
      <c r="EV25" s="4260"/>
      <c r="EW25" s="4260"/>
      <c r="EX25" s="4260"/>
      <c r="EY25" s="4260"/>
      <c r="EZ25" s="4260"/>
      <c r="FA25" s="4260"/>
      <c r="FB25" s="4260"/>
      <c r="FC25" s="4260"/>
      <c r="FD25" s="4260"/>
      <c r="FE25" s="4260"/>
      <c r="FF25" s="4260"/>
      <c r="FG25" s="4260"/>
      <c r="FH25" s="4260"/>
      <c r="FI25" s="4260"/>
      <c r="FJ25" s="4260"/>
      <c r="FK25" s="4260"/>
      <c r="FL25" s="4260"/>
      <c r="FM25" s="4260"/>
      <c r="FN25" s="4260"/>
      <c r="FO25" s="4260"/>
      <c r="FP25" s="4260"/>
      <c r="FQ25" s="4260"/>
      <c r="FR25" s="4260"/>
      <c r="FS25" s="4260"/>
      <c r="FT25" s="4260"/>
      <c r="FU25" s="4260"/>
      <c r="FV25" s="4260"/>
      <c r="FW25" s="4260"/>
      <c r="FX25" s="4260"/>
      <c r="FY25" s="4260"/>
      <c r="FZ25" s="4260"/>
      <c r="GA25" s="4260"/>
      <c r="GB25" s="4260"/>
      <c r="GC25" s="4260"/>
      <c r="GD25" s="4260"/>
      <c r="GE25" s="4260"/>
      <c r="GF25" s="4260"/>
      <c r="GG25" s="4260"/>
      <c r="GH25" s="4260"/>
      <c r="GI25" s="4260"/>
      <c r="GJ25" s="4260"/>
      <c r="GK25" s="4260"/>
      <c r="GL25" s="4260"/>
      <c r="GM25" s="4260"/>
      <c r="GN25" s="4260"/>
      <c r="GO25" s="4260"/>
      <c r="GP25" s="4260"/>
      <c r="GQ25" s="4260"/>
      <c r="GR25" s="4260"/>
      <c r="GS25" s="4260"/>
      <c r="GT25" s="4260"/>
      <c r="GU25" s="4260"/>
      <c r="GV25" s="4260"/>
      <c r="GW25" s="4260"/>
      <c r="GX25" s="4260"/>
      <c r="GY25" s="4260"/>
      <c r="GZ25" s="4260"/>
      <c r="HA25" s="4260"/>
      <c r="HB25" s="4260"/>
      <c r="HC25" s="4260"/>
      <c r="HD25" s="4260"/>
      <c r="HE25" s="4260"/>
      <c r="HF25" s="4260"/>
      <c r="HG25" s="4260"/>
      <c r="HH25" s="4260"/>
      <c r="HI25" s="4260"/>
      <c r="HJ25" s="4260"/>
      <c r="HK25" s="4260"/>
      <c r="HL25" s="4260"/>
      <c r="HM25" s="4260"/>
      <c r="HN25" s="4260"/>
      <c r="HO25" s="4260"/>
      <c r="HP25" s="4260"/>
      <c r="HQ25" s="4260"/>
      <c r="HR25" s="4260"/>
      <c r="HS25" s="4260"/>
      <c r="HT25" s="4260"/>
      <c r="HU25" s="4260"/>
      <c r="HV25" s="4260"/>
      <c r="HW25" s="4260"/>
      <c r="HX25" s="4260"/>
      <c r="HY25" s="4260"/>
      <c r="HZ25" s="4260"/>
      <c r="IA25" s="4260"/>
    </row>
    <row r="26" spans="1:235" s="4295" customFormat="1" ht="26.25" customHeight="1" x14ac:dyDescent="0.25">
      <c r="A26" s="7631">
        <v>26291250</v>
      </c>
      <c r="B26" s="10718" t="s">
        <v>1713</v>
      </c>
      <c r="C26" s="10723"/>
      <c r="D26" s="4280" t="s">
        <v>5369</v>
      </c>
      <c r="E26" s="4296" t="s">
        <v>5370</v>
      </c>
      <c r="F26" s="4297" t="s">
        <v>5371</v>
      </c>
      <c r="G26" s="4297" t="s">
        <v>5372</v>
      </c>
      <c r="H26" s="4298" t="s">
        <v>5373</v>
      </c>
      <c r="I26" s="4299" t="s">
        <v>5374</v>
      </c>
      <c r="J26" s="4300" t="s">
        <v>5375</v>
      </c>
      <c r="K26" s="4301" t="s">
        <v>5376</v>
      </c>
      <c r="L26" s="4299" t="s">
        <v>5377</v>
      </c>
      <c r="M26" s="4298" t="s">
        <v>5378</v>
      </c>
      <c r="N26" s="4302" t="s">
        <v>5379</v>
      </c>
      <c r="O26" s="4289" t="s">
        <v>5380</v>
      </c>
      <c r="P26" s="4289" t="s">
        <v>5381</v>
      </c>
      <c r="Q26" s="4289" t="s">
        <v>5382</v>
      </c>
      <c r="R26" s="4290" t="e">
        <f t="shared" si="4"/>
        <v>#VALUE!</v>
      </c>
      <c r="S26" s="4291"/>
      <c r="T26" s="4291"/>
      <c r="U26" s="4291"/>
      <c r="V26" s="4291"/>
      <c r="W26" s="4291"/>
      <c r="X26" s="4291"/>
      <c r="Y26" s="4291"/>
      <c r="Z26" s="4264"/>
      <c r="AA26" s="4264"/>
      <c r="AB26" s="4264"/>
      <c r="AC26" s="4258"/>
      <c r="AD26" s="4258"/>
      <c r="AE26" s="4258"/>
      <c r="AF26" s="4258"/>
      <c r="AG26" s="4258"/>
      <c r="AH26" s="4258"/>
      <c r="AI26" s="4258"/>
      <c r="AJ26" s="4258"/>
      <c r="AK26" s="4258"/>
      <c r="AL26" s="4258"/>
      <c r="AM26" s="4258"/>
      <c r="AN26" s="4258"/>
      <c r="AO26" s="4258"/>
      <c r="AP26" s="4258"/>
      <c r="AQ26" s="4258"/>
      <c r="AR26" s="4258"/>
      <c r="AS26" s="4258"/>
      <c r="AT26" s="4258"/>
      <c r="AU26" s="4258"/>
      <c r="AV26" s="4258"/>
      <c r="AW26" s="4258"/>
      <c r="AX26" s="4258"/>
      <c r="AY26" s="4258"/>
      <c r="AZ26" s="4258"/>
      <c r="BA26" s="4258"/>
      <c r="BB26" s="4258"/>
      <c r="BC26" s="4258"/>
      <c r="BD26" s="4258"/>
      <c r="BE26" s="4258"/>
      <c r="BF26" s="4258"/>
      <c r="BG26" s="4258"/>
      <c r="BH26" s="4258"/>
      <c r="BI26" s="4258"/>
      <c r="BJ26" s="4258"/>
      <c r="BK26" s="4258"/>
      <c r="BL26" s="4258"/>
      <c r="BM26" s="4258"/>
      <c r="BN26" s="4258"/>
      <c r="BO26" s="4258"/>
      <c r="BP26" s="4258"/>
      <c r="BQ26" s="4258"/>
      <c r="BR26" s="4258"/>
      <c r="BS26" s="4258"/>
      <c r="BT26" s="4258"/>
      <c r="BU26" s="4258"/>
      <c r="BV26" s="4258"/>
      <c r="BW26" s="4258"/>
      <c r="BX26" s="4258"/>
      <c r="BY26" s="4259"/>
      <c r="BZ26" s="4260"/>
      <c r="CA26" s="4260"/>
      <c r="CB26" s="4292" t="e">
        <f t="shared" si="5"/>
        <v>#VALUE!</v>
      </c>
      <c r="CC26" s="4262" t="str">
        <f t="shared" si="0"/>
        <v/>
      </c>
      <c r="CD26" s="4292" t="str">
        <f t="shared" si="6"/>
        <v xml:space="preserve">* Pueblos Originarios debe ser MENOR O IGUAL al Total. </v>
      </c>
      <c r="CE26" s="4292" t="str">
        <f t="shared" si="7"/>
        <v xml:space="preserve">* Migrantes debe ser MENOR O IGUAL al Total. </v>
      </c>
      <c r="CF26" s="4262"/>
      <c r="CG26" s="4262"/>
      <c r="CH26" s="4261"/>
      <c r="CI26" s="4261"/>
      <c r="CJ26" s="4261"/>
      <c r="CK26" s="4261"/>
      <c r="CL26" s="4261"/>
      <c r="CM26" s="4261"/>
      <c r="CN26" s="4261"/>
      <c r="CO26" s="4261"/>
      <c r="CP26" s="4261"/>
      <c r="CQ26" s="4261"/>
      <c r="CR26" s="4261"/>
      <c r="CS26" s="4261"/>
      <c r="CT26" s="4261"/>
      <c r="CU26" s="4261"/>
      <c r="CV26" s="4261"/>
      <c r="CW26" s="4261"/>
      <c r="CX26" s="4261"/>
      <c r="CY26" s="4261"/>
      <c r="CZ26" s="4261"/>
      <c r="DA26" s="4261"/>
      <c r="DB26" s="4293" t="e">
        <f t="shared" si="1"/>
        <v>#VALUE!</v>
      </c>
      <c r="DC26" s="4263"/>
      <c r="DD26" s="4293">
        <f t="shared" si="8"/>
        <v>1</v>
      </c>
      <c r="DE26" s="4293">
        <f t="shared" si="9"/>
        <v>1</v>
      </c>
      <c r="DF26" s="4294"/>
      <c r="DG26" s="4294"/>
      <c r="DH26" s="4294"/>
      <c r="DI26" s="4294"/>
      <c r="DJ26" s="4294"/>
      <c r="DK26" s="4294"/>
      <c r="DL26" s="4294"/>
      <c r="DM26" s="4294"/>
      <c r="DN26" s="4294"/>
      <c r="DO26" s="4294"/>
      <c r="DP26" s="4294"/>
      <c r="DQ26" s="4294"/>
      <c r="DR26" s="4260"/>
      <c r="DS26" s="4260"/>
      <c r="DT26" s="4260"/>
      <c r="DU26" s="4260"/>
      <c r="DV26" s="4260"/>
      <c r="DW26" s="4260"/>
      <c r="DX26" s="4260"/>
      <c r="DY26" s="4260"/>
      <c r="DZ26" s="4260"/>
      <c r="EA26" s="4260"/>
      <c r="EB26" s="4260"/>
      <c r="EC26" s="4260"/>
      <c r="ED26" s="4260"/>
      <c r="EE26" s="4260"/>
      <c r="EF26" s="4260"/>
      <c r="EG26" s="4260"/>
      <c r="EH26" s="4260"/>
      <c r="EI26" s="4260"/>
      <c r="EJ26" s="4260"/>
      <c r="EK26" s="4260"/>
      <c r="EL26" s="4260"/>
      <c r="EM26" s="4260"/>
      <c r="EN26" s="4260"/>
      <c r="EO26" s="4260"/>
      <c r="EP26" s="4260"/>
      <c r="EQ26" s="4260"/>
      <c r="ER26" s="4260"/>
      <c r="ES26" s="4260"/>
      <c r="ET26" s="4260"/>
      <c r="EU26" s="4260"/>
      <c r="EV26" s="4260"/>
      <c r="EW26" s="4260"/>
      <c r="EX26" s="4260"/>
      <c r="EY26" s="4260"/>
      <c r="EZ26" s="4260"/>
      <c r="FA26" s="4260"/>
      <c r="FB26" s="4260"/>
      <c r="FC26" s="4260"/>
      <c r="FD26" s="4260"/>
      <c r="FE26" s="4260"/>
      <c r="FF26" s="4260"/>
      <c r="FG26" s="4260"/>
      <c r="FH26" s="4260"/>
      <c r="FI26" s="4260"/>
      <c r="FJ26" s="4260"/>
      <c r="FK26" s="4260"/>
      <c r="FL26" s="4260"/>
      <c r="FM26" s="4260"/>
      <c r="FN26" s="4260"/>
      <c r="FO26" s="4260"/>
      <c r="FP26" s="4260"/>
      <c r="FQ26" s="4260"/>
      <c r="FR26" s="4260"/>
      <c r="FS26" s="4260"/>
      <c r="FT26" s="4260"/>
      <c r="FU26" s="4260"/>
      <c r="FV26" s="4260"/>
      <c r="FW26" s="4260"/>
      <c r="FX26" s="4260"/>
      <c r="FY26" s="4260"/>
      <c r="FZ26" s="4260"/>
      <c r="GA26" s="4260"/>
      <c r="GB26" s="4260"/>
      <c r="GC26" s="4260"/>
      <c r="GD26" s="4260"/>
      <c r="GE26" s="4260"/>
      <c r="GF26" s="4260"/>
      <c r="GG26" s="4260"/>
      <c r="GH26" s="4260"/>
      <c r="GI26" s="4260"/>
      <c r="GJ26" s="4260"/>
      <c r="GK26" s="4260"/>
      <c r="GL26" s="4260"/>
      <c r="GM26" s="4260"/>
      <c r="GN26" s="4260"/>
      <c r="GO26" s="4260"/>
      <c r="GP26" s="4260"/>
      <c r="GQ26" s="4260"/>
      <c r="GR26" s="4260"/>
      <c r="GS26" s="4260"/>
      <c r="GT26" s="4260"/>
      <c r="GU26" s="4260"/>
      <c r="GV26" s="4260"/>
      <c r="GW26" s="4260"/>
      <c r="GX26" s="4260"/>
      <c r="GY26" s="4260"/>
      <c r="GZ26" s="4260"/>
      <c r="HA26" s="4260"/>
      <c r="HB26" s="4260"/>
      <c r="HC26" s="4260"/>
      <c r="HD26" s="4260"/>
      <c r="HE26" s="4260"/>
      <c r="HF26" s="4260"/>
      <c r="HG26" s="4260"/>
      <c r="HH26" s="4260"/>
      <c r="HI26" s="4260"/>
      <c r="HJ26" s="4260"/>
      <c r="HK26" s="4260"/>
      <c r="HL26" s="4260"/>
      <c r="HM26" s="4260"/>
      <c r="HN26" s="4260"/>
      <c r="HO26" s="4260"/>
      <c r="HP26" s="4260"/>
      <c r="HQ26" s="4260"/>
      <c r="HR26" s="4260"/>
      <c r="HS26" s="4260"/>
      <c r="HT26" s="4260"/>
      <c r="HU26" s="4260"/>
      <c r="HV26" s="4260"/>
      <c r="HW26" s="4260"/>
      <c r="HX26" s="4260"/>
      <c r="HY26" s="4260"/>
      <c r="HZ26" s="4260"/>
      <c r="IA26" s="4260"/>
    </row>
    <row r="27" spans="1:235" s="4295" customFormat="1" ht="26.25" customHeight="1" x14ac:dyDescent="0.25">
      <c r="A27" s="7631">
        <v>26291300</v>
      </c>
      <c r="B27" s="10718" t="s">
        <v>1712</v>
      </c>
      <c r="C27" s="10719"/>
      <c r="D27" s="4280" t="s">
        <v>5369</v>
      </c>
      <c r="E27" s="4296" t="s">
        <v>5370</v>
      </c>
      <c r="F27" s="4297" t="s">
        <v>5371</v>
      </c>
      <c r="G27" s="4297" t="s">
        <v>5372</v>
      </c>
      <c r="H27" s="4298" t="s">
        <v>5373</v>
      </c>
      <c r="I27" s="4299" t="s">
        <v>5374</v>
      </c>
      <c r="J27" s="4300" t="s">
        <v>5375</v>
      </c>
      <c r="K27" s="4301" t="s">
        <v>5376</v>
      </c>
      <c r="L27" s="4299" t="s">
        <v>5377</v>
      </c>
      <c r="M27" s="4298" t="s">
        <v>5378</v>
      </c>
      <c r="N27" s="4302" t="s">
        <v>5379</v>
      </c>
      <c r="O27" s="4289" t="s">
        <v>5380</v>
      </c>
      <c r="P27" s="4289" t="s">
        <v>5381</v>
      </c>
      <c r="Q27" s="4289" t="s">
        <v>5382</v>
      </c>
      <c r="R27" s="4290" t="e">
        <f t="shared" si="4"/>
        <v>#VALUE!</v>
      </c>
      <c r="S27" s="4291"/>
      <c r="T27" s="4291"/>
      <c r="U27" s="4291"/>
      <c r="V27" s="4291"/>
      <c r="W27" s="4291"/>
      <c r="X27" s="4291"/>
      <c r="Y27" s="4291"/>
      <c r="Z27" s="4264"/>
      <c r="AA27" s="4264"/>
      <c r="AB27" s="4264"/>
      <c r="AC27" s="4258"/>
      <c r="AD27" s="4258"/>
      <c r="AE27" s="4258"/>
      <c r="AF27" s="4258"/>
      <c r="AG27" s="4258"/>
      <c r="AH27" s="4258"/>
      <c r="AI27" s="4258"/>
      <c r="AJ27" s="4258"/>
      <c r="AK27" s="4258"/>
      <c r="AL27" s="4258"/>
      <c r="AM27" s="4258"/>
      <c r="AN27" s="4258"/>
      <c r="AO27" s="4258"/>
      <c r="AP27" s="4258"/>
      <c r="AQ27" s="4258"/>
      <c r="AR27" s="4258"/>
      <c r="AS27" s="4258"/>
      <c r="AT27" s="4258"/>
      <c r="AU27" s="4258"/>
      <c r="AV27" s="4258"/>
      <c r="AW27" s="4258"/>
      <c r="AX27" s="4258"/>
      <c r="AY27" s="4258"/>
      <c r="AZ27" s="4258"/>
      <c r="BA27" s="4258"/>
      <c r="BB27" s="4258"/>
      <c r="BC27" s="4258"/>
      <c r="BD27" s="4258"/>
      <c r="BE27" s="4258"/>
      <c r="BF27" s="4258"/>
      <c r="BG27" s="4258"/>
      <c r="BH27" s="4258"/>
      <c r="BI27" s="4258"/>
      <c r="BJ27" s="4258"/>
      <c r="BK27" s="4258"/>
      <c r="BL27" s="4258"/>
      <c r="BM27" s="4258"/>
      <c r="BN27" s="4258"/>
      <c r="BO27" s="4258"/>
      <c r="BP27" s="4258"/>
      <c r="BQ27" s="4258"/>
      <c r="BR27" s="4258"/>
      <c r="BS27" s="4258"/>
      <c r="BT27" s="4258"/>
      <c r="BU27" s="4258"/>
      <c r="BV27" s="4258"/>
      <c r="BW27" s="4258"/>
      <c r="BX27" s="4258"/>
      <c r="BY27" s="4259"/>
      <c r="BZ27" s="4260"/>
      <c r="CA27" s="4260"/>
      <c r="CB27" s="4292" t="e">
        <f t="shared" si="5"/>
        <v>#VALUE!</v>
      </c>
      <c r="CC27" s="4262" t="str">
        <f t="shared" si="0"/>
        <v/>
      </c>
      <c r="CD27" s="4292" t="str">
        <f t="shared" si="6"/>
        <v xml:space="preserve">* Pueblos Originarios debe ser MENOR O IGUAL al Total. </v>
      </c>
      <c r="CE27" s="4292" t="str">
        <f t="shared" si="7"/>
        <v xml:space="preserve">* Migrantes debe ser MENOR O IGUAL al Total. </v>
      </c>
      <c r="CF27" s="4262"/>
      <c r="CG27" s="4262"/>
      <c r="CH27" s="4261"/>
      <c r="CI27" s="4261"/>
      <c r="CJ27" s="4261"/>
      <c r="CK27" s="4261"/>
      <c r="CL27" s="4261"/>
      <c r="CM27" s="4261"/>
      <c r="CN27" s="4261"/>
      <c r="CO27" s="4261"/>
      <c r="CP27" s="4261"/>
      <c r="CQ27" s="4261"/>
      <c r="CR27" s="4261"/>
      <c r="CS27" s="4261"/>
      <c r="CT27" s="4261"/>
      <c r="CU27" s="4261"/>
      <c r="CV27" s="4261"/>
      <c r="CW27" s="4261"/>
      <c r="CX27" s="4261"/>
      <c r="CY27" s="4261"/>
      <c r="CZ27" s="4261"/>
      <c r="DA27" s="4261"/>
      <c r="DB27" s="4293" t="e">
        <f t="shared" si="1"/>
        <v>#VALUE!</v>
      </c>
      <c r="DC27" s="4263"/>
      <c r="DD27" s="4293">
        <f t="shared" si="8"/>
        <v>1</v>
      </c>
      <c r="DE27" s="4293">
        <f t="shared" si="9"/>
        <v>1</v>
      </c>
      <c r="DF27" s="4294"/>
      <c r="DG27" s="4294"/>
      <c r="DH27" s="4294"/>
      <c r="DI27" s="4294"/>
      <c r="DJ27" s="4294"/>
      <c r="DK27" s="4294"/>
      <c r="DL27" s="4294"/>
      <c r="DM27" s="4294"/>
      <c r="DN27" s="4294"/>
      <c r="DO27" s="4294"/>
      <c r="DP27" s="4294"/>
      <c r="DQ27" s="4294"/>
      <c r="DR27" s="4260"/>
      <c r="DS27" s="4260"/>
      <c r="DT27" s="4260"/>
      <c r="DU27" s="4260"/>
      <c r="DV27" s="4260"/>
      <c r="DW27" s="4260"/>
      <c r="DX27" s="4260"/>
      <c r="DY27" s="4260"/>
      <c r="DZ27" s="4260"/>
      <c r="EA27" s="4260"/>
      <c r="EB27" s="4260"/>
      <c r="EC27" s="4260"/>
      <c r="ED27" s="4260"/>
      <c r="EE27" s="4260"/>
      <c r="EF27" s="4260"/>
      <c r="EG27" s="4260"/>
      <c r="EH27" s="4260"/>
      <c r="EI27" s="4260"/>
      <c r="EJ27" s="4260"/>
      <c r="EK27" s="4260"/>
      <c r="EL27" s="4260"/>
      <c r="EM27" s="4260"/>
      <c r="EN27" s="4260"/>
      <c r="EO27" s="4260"/>
      <c r="EP27" s="4260"/>
      <c r="EQ27" s="4260"/>
      <c r="ER27" s="4260"/>
      <c r="ES27" s="4260"/>
      <c r="ET27" s="4260"/>
      <c r="EU27" s="4260"/>
      <c r="EV27" s="4260"/>
      <c r="EW27" s="4260"/>
      <c r="EX27" s="4260"/>
      <c r="EY27" s="4260"/>
      <c r="EZ27" s="4260"/>
      <c r="FA27" s="4260"/>
      <c r="FB27" s="4260"/>
      <c r="FC27" s="4260"/>
      <c r="FD27" s="4260"/>
      <c r="FE27" s="4260"/>
      <c r="FF27" s="4260"/>
      <c r="FG27" s="4260"/>
      <c r="FH27" s="4260"/>
      <c r="FI27" s="4260"/>
      <c r="FJ27" s="4260"/>
      <c r="FK27" s="4260"/>
      <c r="FL27" s="4260"/>
      <c r="FM27" s="4260"/>
      <c r="FN27" s="4260"/>
      <c r="FO27" s="4260"/>
      <c r="FP27" s="4260"/>
      <c r="FQ27" s="4260"/>
      <c r="FR27" s="4260"/>
      <c r="FS27" s="4260"/>
      <c r="FT27" s="4260"/>
      <c r="FU27" s="4260"/>
      <c r="FV27" s="4260"/>
      <c r="FW27" s="4260"/>
      <c r="FX27" s="4260"/>
      <c r="FY27" s="4260"/>
      <c r="FZ27" s="4260"/>
      <c r="GA27" s="4260"/>
      <c r="GB27" s="4260"/>
      <c r="GC27" s="4260"/>
      <c r="GD27" s="4260"/>
      <c r="GE27" s="4260"/>
      <c r="GF27" s="4260"/>
      <c r="GG27" s="4260"/>
      <c r="GH27" s="4260"/>
      <c r="GI27" s="4260"/>
      <c r="GJ27" s="4260"/>
      <c r="GK27" s="4260"/>
      <c r="GL27" s="4260"/>
      <c r="GM27" s="4260"/>
      <c r="GN27" s="4260"/>
      <c r="GO27" s="4260"/>
      <c r="GP27" s="4260"/>
      <c r="GQ27" s="4260"/>
      <c r="GR27" s="4260"/>
      <c r="GS27" s="4260"/>
      <c r="GT27" s="4260"/>
      <c r="GU27" s="4260"/>
      <c r="GV27" s="4260"/>
      <c r="GW27" s="4260"/>
      <c r="GX27" s="4260"/>
      <c r="GY27" s="4260"/>
      <c r="GZ27" s="4260"/>
      <c r="HA27" s="4260"/>
      <c r="HB27" s="4260"/>
      <c r="HC27" s="4260"/>
      <c r="HD27" s="4260"/>
      <c r="HE27" s="4260"/>
      <c r="HF27" s="4260"/>
      <c r="HG27" s="4260"/>
      <c r="HH27" s="4260"/>
      <c r="HI27" s="4260"/>
      <c r="HJ27" s="4260"/>
      <c r="HK27" s="4260"/>
      <c r="HL27" s="4260"/>
      <c r="HM27" s="4260"/>
      <c r="HN27" s="4260"/>
      <c r="HO27" s="4260"/>
      <c r="HP27" s="4260"/>
      <c r="HQ27" s="4260"/>
      <c r="HR27" s="4260"/>
      <c r="HS27" s="4260"/>
      <c r="HT27" s="4260"/>
      <c r="HU27" s="4260"/>
      <c r="HV27" s="4260"/>
      <c r="HW27" s="4260"/>
      <c r="HX27" s="4260"/>
      <c r="HY27" s="4260"/>
      <c r="HZ27" s="4260"/>
      <c r="IA27" s="4260"/>
    </row>
    <row r="28" spans="1:235" s="4295" customFormat="1" ht="24.75" customHeight="1" x14ac:dyDescent="0.25">
      <c r="A28" s="7631">
        <v>26280020</v>
      </c>
      <c r="B28" s="10720" t="s">
        <v>1711</v>
      </c>
      <c r="C28" s="10721"/>
      <c r="D28" s="4280" t="s">
        <v>5369</v>
      </c>
      <c r="E28" s="4296" t="s">
        <v>5370</v>
      </c>
      <c r="F28" s="4297" t="s">
        <v>5371</v>
      </c>
      <c r="G28" s="4297" t="s">
        <v>5372</v>
      </c>
      <c r="H28" s="4298" t="s">
        <v>5373</v>
      </c>
      <c r="I28" s="4299" t="s">
        <v>5374</v>
      </c>
      <c r="J28" s="4300" t="s">
        <v>5375</v>
      </c>
      <c r="K28" s="4301" t="s">
        <v>5376</v>
      </c>
      <c r="L28" s="4299" t="s">
        <v>5377</v>
      </c>
      <c r="M28" s="4298" t="s">
        <v>5378</v>
      </c>
      <c r="N28" s="4302" t="s">
        <v>5379</v>
      </c>
      <c r="O28" s="4289" t="s">
        <v>5380</v>
      </c>
      <c r="P28" s="4289" t="s">
        <v>5381</v>
      </c>
      <c r="Q28" s="4289" t="s">
        <v>5382</v>
      </c>
      <c r="R28" s="4290" t="e">
        <f t="shared" si="4"/>
        <v>#VALUE!</v>
      </c>
      <c r="S28" s="4291"/>
      <c r="T28" s="4291"/>
      <c r="U28" s="4291"/>
      <c r="V28" s="4291"/>
      <c r="W28" s="4291"/>
      <c r="X28" s="4291"/>
      <c r="Y28" s="4291"/>
      <c r="Z28" s="4264"/>
      <c r="AA28" s="4264"/>
      <c r="AB28" s="4264"/>
      <c r="AC28" s="4258"/>
      <c r="AD28" s="4258"/>
      <c r="AE28" s="4258"/>
      <c r="AF28" s="4258"/>
      <c r="AG28" s="4258"/>
      <c r="AH28" s="4258"/>
      <c r="AI28" s="4258"/>
      <c r="AJ28" s="4258"/>
      <c r="AK28" s="4258"/>
      <c r="AL28" s="4258"/>
      <c r="AM28" s="4258"/>
      <c r="AN28" s="4258"/>
      <c r="AO28" s="4258"/>
      <c r="AP28" s="4258"/>
      <c r="AQ28" s="4258"/>
      <c r="AR28" s="4258"/>
      <c r="AS28" s="4258"/>
      <c r="AT28" s="4258"/>
      <c r="AU28" s="4258"/>
      <c r="AV28" s="4258"/>
      <c r="AW28" s="4258"/>
      <c r="AX28" s="4258"/>
      <c r="AY28" s="4258"/>
      <c r="AZ28" s="4258"/>
      <c r="BA28" s="4258"/>
      <c r="BB28" s="4258"/>
      <c r="BC28" s="4258"/>
      <c r="BD28" s="4258"/>
      <c r="BE28" s="4258"/>
      <c r="BF28" s="4258"/>
      <c r="BG28" s="4258"/>
      <c r="BH28" s="4258"/>
      <c r="BI28" s="4258"/>
      <c r="BJ28" s="4258"/>
      <c r="BK28" s="4258"/>
      <c r="BL28" s="4258"/>
      <c r="BM28" s="4258"/>
      <c r="BN28" s="4258"/>
      <c r="BO28" s="4258"/>
      <c r="BP28" s="4258"/>
      <c r="BQ28" s="4258"/>
      <c r="BR28" s="4258"/>
      <c r="BS28" s="4258"/>
      <c r="BT28" s="4258"/>
      <c r="BU28" s="4258"/>
      <c r="BV28" s="4258"/>
      <c r="BW28" s="4258"/>
      <c r="BX28" s="4258"/>
      <c r="BY28" s="4259"/>
      <c r="BZ28" s="4260"/>
      <c r="CA28" s="4260"/>
      <c r="CB28" s="4292" t="e">
        <f t="shared" si="5"/>
        <v>#VALUE!</v>
      </c>
      <c r="CC28" s="4262" t="str">
        <f t="shared" si="0"/>
        <v/>
      </c>
      <c r="CD28" s="4292" t="str">
        <f t="shared" si="6"/>
        <v xml:space="preserve">* Pueblos Originarios debe ser MENOR O IGUAL al Total. </v>
      </c>
      <c r="CE28" s="4292" t="str">
        <f t="shared" si="7"/>
        <v xml:space="preserve">* Migrantes debe ser MENOR O IGUAL al Total. </v>
      </c>
      <c r="CF28" s="4262"/>
      <c r="CG28" s="4262"/>
      <c r="CH28" s="4261"/>
      <c r="CI28" s="4261"/>
      <c r="CJ28" s="4261"/>
      <c r="CK28" s="4261"/>
      <c r="CL28" s="4261"/>
      <c r="CM28" s="4261"/>
      <c r="CN28" s="4261"/>
      <c r="CO28" s="4261"/>
      <c r="CP28" s="4261"/>
      <c r="CQ28" s="4261"/>
      <c r="CR28" s="4261"/>
      <c r="CS28" s="4261"/>
      <c r="CT28" s="4261"/>
      <c r="CU28" s="4261"/>
      <c r="CV28" s="4261"/>
      <c r="CW28" s="4261"/>
      <c r="CX28" s="4261"/>
      <c r="CY28" s="4261"/>
      <c r="CZ28" s="4261"/>
      <c r="DA28" s="4261"/>
      <c r="DB28" s="4293" t="e">
        <f t="shared" si="1"/>
        <v>#VALUE!</v>
      </c>
      <c r="DC28" s="4263"/>
      <c r="DD28" s="4293">
        <f t="shared" si="8"/>
        <v>1</v>
      </c>
      <c r="DE28" s="4293">
        <f t="shared" si="9"/>
        <v>1</v>
      </c>
      <c r="DF28" s="4294"/>
      <c r="DG28" s="4294"/>
      <c r="DH28" s="4294"/>
      <c r="DI28" s="4294"/>
      <c r="DJ28" s="4294"/>
      <c r="DK28" s="4294"/>
      <c r="DL28" s="4294"/>
      <c r="DM28" s="4294"/>
      <c r="DN28" s="4294"/>
      <c r="DO28" s="4294"/>
      <c r="DP28" s="4294"/>
      <c r="DQ28" s="4294"/>
      <c r="DR28" s="4260"/>
      <c r="DS28" s="4260"/>
      <c r="DT28" s="4260"/>
      <c r="DU28" s="4260"/>
      <c r="DV28" s="4260"/>
      <c r="DW28" s="4260"/>
      <c r="DX28" s="4260"/>
      <c r="DY28" s="4260"/>
      <c r="DZ28" s="4260"/>
      <c r="EA28" s="4260"/>
      <c r="EB28" s="4260"/>
      <c r="EC28" s="4260"/>
      <c r="ED28" s="4260"/>
      <c r="EE28" s="4260"/>
      <c r="EF28" s="4260"/>
      <c r="EG28" s="4260"/>
      <c r="EH28" s="4260"/>
      <c r="EI28" s="4260"/>
      <c r="EJ28" s="4260"/>
      <c r="EK28" s="4260"/>
      <c r="EL28" s="4260"/>
      <c r="EM28" s="4260"/>
      <c r="EN28" s="4260"/>
      <c r="EO28" s="4260"/>
      <c r="EP28" s="4260"/>
      <c r="EQ28" s="4260"/>
      <c r="ER28" s="4260"/>
      <c r="ES28" s="4260"/>
      <c r="ET28" s="4260"/>
      <c r="EU28" s="4260"/>
      <c r="EV28" s="4260"/>
      <c r="EW28" s="4260"/>
      <c r="EX28" s="4260"/>
      <c r="EY28" s="4260"/>
      <c r="EZ28" s="4260"/>
      <c r="FA28" s="4260"/>
      <c r="FB28" s="4260"/>
      <c r="FC28" s="4260"/>
      <c r="FD28" s="4260"/>
      <c r="FE28" s="4260"/>
      <c r="FF28" s="4260"/>
      <c r="FG28" s="4260"/>
      <c r="FH28" s="4260"/>
      <c r="FI28" s="4260"/>
      <c r="FJ28" s="4260"/>
      <c r="FK28" s="4260"/>
      <c r="FL28" s="4260"/>
      <c r="FM28" s="4260"/>
      <c r="FN28" s="4260"/>
      <c r="FO28" s="4260"/>
      <c r="FP28" s="4260"/>
      <c r="FQ28" s="4260"/>
      <c r="FR28" s="4260"/>
      <c r="FS28" s="4260"/>
      <c r="FT28" s="4260"/>
      <c r="FU28" s="4260"/>
      <c r="FV28" s="4260"/>
      <c r="FW28" s="4260"/>
      <c r="FX28" s="4260"/>
      <c r="FY28" s="4260"/>
      <c r="FZ28" s="4260"/>
      <c r="GA28" s="4260"/>
      <c r="GB28" s="4260"/>
      <c r="GC28" s="4260"/>
      <c r="GD28" s="4260"/>
      <c r="GE28" s="4260"/>
      <c r="GF28" s="4260"/>
      <c r="GG28" s="4260"/>
      <c r="GH28" s="4260"/>
      <c r="GI28" s="4260"/>
      <c r="GJ28" s="4260"/>
      <c r="GK28" s="4260"/>
      <c r="GL28" s="4260"/>
      <c r="GM28" s="4260"/>
      <c r="GN28" s="4260"/>
      <c r="GO28" s="4260"/>
      <c r="GP28" s="4260"/>
      <c r="GQ28" s="4260"/>
      <c r="GR28" s="4260"/>
      <c r="GS28" s="4260"/>
      <c r="GT28" s="4260"/>
      <c r="GU28" s="4260"/>
      <c r="GV28" s="4260"/>
      <c r="GW28" s="4260"/>
      <c r="GX28" s="4260"/>
      <c r="GY28" s="4260"/>
      <c r="GZ28" s="4260"/>
      <c r="HA28" s="4260"/>
      <c r="HB28" s="4260"/>
      <c r="HC28" s="4260"/>
      <c r="HD28" s="4260"/>
      <c r="HE28" s="4260"/>
      <c r="HF28" s="4260"/>
      <c r="HG28" s="4260"/>
      <c r="HH28" s="4260"/>
      <c r="HI28" s="4260"/>
      <c r="HJ28" s="4260"/>
      <c r="HK28" s="4260"/>
      <c r="HL28" s="4260"/>
      <c r="HM28" s="4260"/>
      <c r="HN28" s="4260"/>
      <c r="HO28" s="4260"/>
      <c r="HP28" s="4260"/>
      <c r="HQ28" s="4260"/>
      <c r="HR28" s="4260"/>
      <c r="HS28" s="4260"/>
      <c r="HT28" s="4260"/>
      <c r="HU28" s="4260"/>
      <c r="HV28" s="4260"/>
      <c r="HW28" s="4260"/>
      <c r="HX28" s="4260"/>
      <c r="HY28" s="4260"/>
      <c r="HZ28" s="4260"/>
      <c r="IA28" s="4260"/>
    </row>
    <row r="29" spans="1:235" s="4295" customFormat="1" ht="17.25" customHeight="1" x14ac:dyDescent="0.25">
      <c r="A29" s="7631">
        <v>26273107</v>
      </c>
      <c r="B29" s="10720" t="s">
        <v>1708</v>
      </c>
      <c r="C29" s="10722"/>
      <c r="D29" s="4280" t="s">
        <v>5369</v>
      </c>
      <c r="E29" s="4296" t="s">
        <v>5370</v>
      </c>
      <c r="F29" s="4297" t="s">
        <v>5371</v>
      </c>
      <c r="G29" s="4297" t="s">
        <v>5372</v>
      </c>
      <c r="H29" s="4298" t="s">
        <v>5373</v>
      </c>
      <c r="I29" s="4299" t="s">
        <v>5374</v>
      </c>
      <c r="J29" s="4300" t="s">
        <v>5375</v>
      </c>
      <c r="K29" s="4301" t="s">
        <v>5376</v>
      </c>
      <c r="L29" s="4299" t="s">
        <v>5377</v>
      </c>
      <c r="M29" s="4298" t="s">
        <v>5378</v>
      </c>
      <c r="N29" s="4303" t="s">
        <v>5379</v>
      </c>
      <c r="O29" s="4289" t="s">
        <v>5380</v>
      </c>
      <c r="P29" s="4289" t="s">
        <v>5381</v>
      </c>
      <c r="Q29" s="4289" t="s">
        <v>5382</v>
      </c>
      <c r="R29" s="4290" t="e">
        <f t="shared" si="4"/>
        <v>#VALUE!</v>
      </c>
      <c r="S29" s="4291"/>
      <c r="T29" s="4291"/>
      <c r="U29" s="4291"/>
      <c r="V29" s="4291"/>
      <c r="W29" s="4291"/>
      <c r="X29" s="4291"/>
      <c r="Y29" s="4291"/>
      <c r="Z29" s="4264"/>
      <c r="AA29" s="4264"/>
      <c r="AB29" s="4264"/>
      <c r="AC29" s="4258"/>
      <c r="AD29" s="4258"/>
      <c r="AE29" s="4258"/>
      <c r="AF29" s="4258"/>
      <c r="AG29" s="4258"/>
      <c r="AH29" s="4258"/>
      <c r="AI29" s="4258"/>
      <c r="AJ29" s="4258"/>
      <c r="AK29" s="4258"/>
      <c r="AL29" s="4258"/>
      <c r="AM29" s="4258"/>
      <c r="AN29" s="4258"/>
      <c r="AO29" s="4258"/>
      <c r="AP29" s="4258"/>
      <c r="AQ29" s="4258"/>
      <c r="AR29" s="4258"/>
      <c r="AS29" s="4258"/>
      <c r="AT29" s="4258"/>
      <c r="AU29" s="4258"/>
      <c r="AV29" s="4258"/>
      <c r="AW29" s="4258"/>
      <c r="AX29" s="4258"/>
      <c r="AY29" s="4258"/>
      <c r="AZ29" s="4258"/>
      <c r="BA29" s="4258"/>
      <c r="BB29" s="4258"/>
      <c r="BC29" s="4258"/>
      <c r="BD29" s="4258"/>
      <c r="BE29" s="4258"/>
      <c r="BF29" s="4258"/>
      <c r="BG29" s="4258"/>
      <c r="BH29" s="4258"/>
      <c r="BI29" s="4258"/>
      <c r="BJ29" s="4258"/>
      <c r="BK29" s="4258"/>
      <c r="BL29" s="4258"/>
      <c r="BM29" s="4258"/>
      <c r="BN29" s="4258"/>
      <c r="BO29" s="4258"/>
      <c r="BP29" s="4258"/>
      <c r="BQ29" s="4258"/>
      <c r="BR29" s="4258"/>
      <c r="BS29" s="4258"/>
      <c r="BT29" s="4258"/>
      <c r="BU29" s="4258"/>
      <c r="BV29" s="4258"/>
      <c r="BW29" s="4258"/>
      <c r="BX29" s="4258"/>
      <c r="BY29" s="4259"/>
      <c r="BZ29" s="4260"/>
      <c r="CA29" s="4260"/>
      <c r="CB29" s="4292" t="e">
        <f t="shared" si="5"/>
        <v>#VALUE!</v>
      </c>
      <c r="CC29" s="4292" t="str">
        <f t="shared" si="0"/>
        <v xml:space="preserve">* Programa de Atención Domiciliaria a Personas con Dependencia Severa debe ser MENOR O IGUAL al Total. </v>
      </c>
      <c r="CD29" s="4292" t="str">
        <f t="shared" si="6"/>
        <v xml:space="preserve">* Pueblos Originarios debe ser MENOR O IGUAL al Total. </v>
      </c>
      <c r="CE29" s="4292" t="str">
        <f t="shared" si="7"/>
        <v xml:space="preserve">* Migrantes debe ser MENOR O IGUAL al Total. </v>
      </c>
      <c r="CF29" s="4262"/>
      <c r="CG29" s="4262"/>
      <c r="CH29" s="4261"/>
      <c r="CI29" s="4261"/>
      <c r="CJ29" s="4261"/>
      <c r="CK29" s="4261"/>
      <c r="CL29" s="4261"/>
      <c r="CM29" s="4261"/>
      <c r="CN29" s="4261"/>
      <c r="CO29" s="4261"/>
      <c r="CP29" s="4261"/>
      <c r="CQ29" s="4261"/>
      <c r="CR29" s="4261"/>
      <c r="CS29" s="4261"/>
      <c r="CT29" s="4261"/>
      <c r="CU29" s="4261"/>
      <c r="CV29" s="4261"/>
      <c r="CW29" s="4261"/>
      <c r="CX29" s="4261"/>
      <c r="CY29" s="4261"/>
      <c r="CZ29" s="4261"/>
      <c r="DA29" s="4261"/>
      <c r="DB29" s="4293" t="e">
        <f t="shared" si="1"/>
        <v>#VALUE!</v>
      </c>
      <c r="DC29" s="4293">
        <f t="shared" ref="DC29:DC35" si="10">IF(N29&gt;D29,1,0)</f>
        <v>1</v>
      </c>
      <c r="DD29" s="4293">
        <f t="shared" si="8"/>
        <v>1</v>
      </c>
      <c r="DE29" s="4293">
        <f t="shared" si="9"/>
        <v>1</v>
      </c>
      <c r="DF29" s="4294"/>
      <c r="DG29" s="4294"/>
      <c r="DH29" s="4294"/>
      <c r="DI29" s="4294"/>
      <c r="DJ29" s="4294"/>
      <c r="DK29" s="4294"/>
      <c r="DL29" s="4294"/>
      <c r="DM29" s="4294"/>
      <c r="DN29" s="4294"/>
      <c r="DO29" s="4294"/>
      <c r="DP29" s="4294"/>
      <c r="DQ29" s="4294"/>
      <c r="DR29" s="4260"/>
      <c r="DS29" s="4260"/>
      <c r="DT29" s="4260"/>
      <c r="DU29" s="4260"/>
      <c r="DV29" s="4260"/>
      <c r="DW29" s="4260"/>
      <c r="DX29" s="4260"/>
      <c r="DY29" s="4260"/>
      <c r="DZ29" s="4260"/>
      <c r="EA29" s="4260"/>
      <c r="EB29" s="4260"/>
      <c r="EC29" s="4260"/>
      <c r="ED29" s="4260"/>
      <c r="EE29" s="4260"/>
      <c r="EF29" s="4260"/>
      <c r="EG29" s="4260"/>
      <c r="EH29" s="4260"/>
      <c r="EI29" s="4260"/>
      <c r="EJ29" s="4260"/>
      <c r="EK29" s="4260"/>
      <c r="EL29" s="4260"/>
      <c r="EM29" s="4260"/>
      <c r="EN29" s="4260"/>
      <c r="EO29" s="4260"/>
      <c r="EP29" s="4260"/>
      <c r="EQ29" s="4260"/>
      <c r="ER29" s="4260"/>
      <c r="ES29" s="4260"/>
      <c r="ET29" s="4260"/>
      <c r="EU29" s="4260"/>
      <c r="EV29" s="4260"/>
      <c r="EW29" s="4260"/>
      <c r="EX29" s="4260"/>
      <c r="EY29" s="4260"/>
      <c r="EZ29" s="4260"/>
      <c r="FA29" s="4260"/>
      <c r="FB29" s="4260"/>
      <c r="FC29" s="4260"/>
      <c r="FD29" s="4260"/>
      <c r="FE29" s="4260"/>
      <c r="FF29" s="4260"/>
      <c r="FG29" s="4260"/>
      <c r="FH29" s="4260"/>
      <c r="FI29" s="4260"/>
      <c r="FJ29" s="4260"/>
      <c r="FK29" s="4260"/>
      <c r="FL29" s="4260"/>
      <c r="FM29" s="4260"/>
      <c r="FN29" s="4260"/>
      <c r="FO29" s="4260"/>
      <c r="FP29" s="4260"/>
      <c r="FQ29" s="4260"/>
      <c r="FR29" s="4260"/>
      <c r="FS29" s="4260"/>
      <c r="FT29" s="4260"/>
      <c r="FU29" s="4260"/>
      <c r="FV29" s="4260"/>
      <c r="FW29" s="4260"/>
      <c r="FX29" s="4260"/>
      <c r="FY29" s="4260"/>
      <c r="FZ29" s="4260"/>
      <c r="GA29" s="4260"/>
      <c r="GB29" s="4260"/>
      <c r="GC29" s="4260"/>
      <c r="GD29" s="4260"/>
      <c r="GE29" s="4260"/>
      <c r="GF29" s="4260"/>
      <c r="GG29" s="4260"/>
      <c r="GH29" s="4260"/>
      <c r="GI29" s="4260"/>
      <c r="GJ29" s="4260"/>
      <c r="GK29" s="4260"/>
      <c r="GL29" s="4260"/>
      <c r="GM29" s="4260"/>
      <c r="GN29" s="4260"/>
      <c r="GO29" s="4260"/>
      <c r="GP29" s="4260"/>
      <c r="GQ29" s="4260"/>
      <c r="GR29" s="4260"/>
      <c r="GS29" s="4260"/>
      <c r="GT29" s="4260"/>
      <c r="GU29" s="4260"/>
      <c r="GV29" s="4260"/>
      <c r="GW29" s="4260"/>
      <c r="GX29" s="4260"/>
      <c r="GY29" s="4260"/>
      <c r="GZ29" s="4260"/>
      <c r="HA29" s="4260"/>
      <c r="HB29" s="4260"/>
      <c r="HC29" s="4260"/>
      <c r="HD29" s="4260"/>
      <c r="HE29" s="4260"/>
      <c r="HF29" s="4260"/>
      <c r="HG29" s="4260"/>
      <c r="HH29" s="4260"/>
      <c r="HI29" s="4260"/>
      <c r="HJ29" s="4260"/>
      <c r="HK29" s="4260"/>
      <c r="HL29" s="4260"/>
      <c r="HM29" s="4260"/>
      <c r="HN29" s="4260"/>
      <c r="HO29" s="4260"/>
      <c r="HP29" s="4260"/>
      <c r="HQ29" s="4260"/>
      <c r="HR29" s="4260"/>
      <c r="HS29" s="4260"/>
      <c r="HT29" s="4260"/>
      <c r="HU29" s="4260"/>
      <c r="HV29" s="4260"/>
      <c r="HW29" s="4260"/>
      <c r="HX29" s="4260"/>
      <c r="HY29" s="4260"/>
      <c r="HZ29" s="4260"/>
      <c r="IA29" s="4260"/>
    </row>
    <row r="30" spans="1:235" s="4295" customFormat="1" ht="17.25" customHeight="1" x14ac:dyDescent="0.25">
      <c r="A30" s="7631">
        <v>26274601</v>
      </c>
      <c r="B30" s="10718" t="s">
        <v>1707</v>
      </c>
      <c r="C30" s="10723"/>
      <c r="D30" s="4280" t="s">
        <v>5369</v>
      </c>
      <c r="E30" s="4304" t="s">
        <v>5370</v>
      </c>
      <c r="F30" s="4297" t="s">
        <v>5371</v>
      </c>
      <c r="G30" s="4297" t="s">
        <v>5372</v>
      </c>
      <c r="H30" s="4298" t="s">
        <v>5373</v>
      </c>
      <c r="I30" s="4300" t="s">
        <v>5374</v>
      </c>
      <c r="J30" s="4300" t="s">
        <v>5375</v>
      </c>
      <c r="K30" s="4304" t="s">
        <v>5376</v>
      </c>
      <c r="L30" s="4299" t="s">
        <v>5377</v>
      </c>
      <c r="M30" s="4298" t="s">
        <v>5378</v>
      </c>
      <c r="N30" s="4303" t="s">
        <v>5379</v>
      </c>
      <c r="O30" s="4289" t="s">
        <v>5380</v>
      </c>
      <c r="P30" s="4289" t="s">
        <v>5381</v>
      </c>
      <c r="Q30" s="4289" t="s">
        <v>5382</v>
      </c>
      <c r="R30" s="4290" t="e">
        <f t="shared" si="4"/>
        <v>#VALUE!</v>
      </c>
      <c r="S30" s="4291"/>
      <c r="T30" s="4291"/>
      <c r="U30" s="4291"/>
      <c r="V30" s="4291"/>
      <c r="W30" s="4291"/>
      <c r="X30" s="4291"/>
      <c r="Y30" s="4291"/>
      <c r="Z30" s="4264"/>
      <c r="AA30" s="4264"/>
      <c r="AB30" s="4264"/>
      <c r="AC30" s="4258"/>
      <c r="AD30" s="4258"/>
      <c r="AE30" s="4258"/>
      <c r="AF30" s="4258"/>
      <c r="AG30" s="4258"/>
      <c r="AH30" s="4258"/>
      <c r="AI30" s="4258"/>
      <c r="AJ30" s="4258"/>
      <c r="AK30" s="4258"/>
      <c r="AL30" s="4258"/>
      <c r="AM30" s="4258"/>
      <c r="AN30" s="4258"/>
      <c r="AO30" s="4258"/>
      <c r="AP30" s="4258"/>
      <c r="AQ30" s="4258"/>
      <c r="AR30" s="4258"/>
      <c r="AS30" s="4258"/>
      <c r="AT30" s="4258"/>
      <c r="AU30" s="4258"/>
      <c r="AV30" s="4258"/>
      <c r="AW30" s="4258"/>
      <c r="AX30" s="4258"/>
      <c r="AY30" s="4258"/>
      <c r="AZ30" s="4258"/>
      <c r="BA30" s="4258"/>
      <c r="BB30" s="4258"/>
      <c r="BC30" s="4258"/>
      <c r="BD30" s="4258"/>
      <c r="BE30" s="4258"/>
      <c r="BF30" s="4258"/>
      <c r="BG30" s="4258"/>
      <c r="BH30" s="4258"/>
      <c r="BI30" s="4258"/>
      <c r="BJ30" s="4258"/>
      <c r="BK30" s="4258"/>
      <c r="BL30" s="4258"/>
      <c r="BM30" s="4258"/>
      <c r="BN30" s="4258"/>
      <c r="BO30" s="4258"/>
      <c r="BP30" s="4258"/>
      <c r="BQ30" s="4258"/>
      <c r="BR30" s="4258"/>
      <c r="BS30" s="4258"/>
      <c r="BT30" s="4258"/>
      <c r="BU30" s="4258"/>
      <c r="BV30" s="4258"/>
      <c r="BW30" s="4258"/>
      <c r="BX30" s="4258"/>
      <c r="BY30" s="4259"/>
      <c r="BZ30" s="4260"/>
      <c r="CA30" s="4260"/>
      <c r="CB30" s="4292" t="e">
        <f t="shared" si="5"/>
        <v>#VALUE!</v>
      </c>
      <c r="CC30" s="4292" t="str">
        <f t="shared" si="0"/>
        <v xml:space="preserve">* Programa de Atención Domiciliaria a Personas con Dependencia Severa debe ser MENOR O IGUAL al Total. </v>
      </c>
      <c r="CD30" s="4292" t="str">
        <f t="shared" si="6"/>
        <v xml:space="preserve">* Pueblos Originarios debe ser MENOR O IGUAL al Total. </v>
      </c>
      <c r="CE30" s="4292" t="str">
        <f t="shared" si="7"/>
        <v xml:space="preserve">* Migrantes debe ser MENOR O IGUAL al Total. </v>
      </c>
      <c r="CF30" s="4262"/>
      <c r="CG30" s="4262"/>
      <c r="CH30" s="4261"/>
      <c r="CI30" s="4261"/>
      <c r="CJ30" s="4261"/>
      <c r="CK30" s="4261"/>
      <c r="CL30" s="4261"/>
      <c r="CM30" s="4261"/>
      <c r="CN30" s="4261"/>
      <c r="CO30" s="4261"/>
      <c r="CP30" s="4261"/>
      <c r="CQ30" s="4261"/>
      <c r="CR30" s="4261"/>
      <c r="CS30" s="4261"/>
      <c r="CT30" s="4261"/>
      <c r="CU30" s="4261"/>
      <c r="CV30" s="4261"/>
      <c r="CW30" s="4261"/>
      <c r="CX30" s="4261"/>
      <c r="CY30" s="4261"/>
      <c r="CZ30" s="4261"/>
      <c r="DA30" s="4261"/>
      <c r="DB30" s="4293" t="e">
        <f t="shared" si="1"/>
        <v>#VALUE!</v>
      </c>
      <c r="DC30" s="4293">
        <f t="shared" si="10"/>
        <v>1</v>
      </c>
      <c r="DD30" s="4293">
        <f t="shared" si="8"/>
        <v>1</v>
      </c>
      <c r="DE30" s="4293">
        <f t="shared" si="9"/>
        <v>1</v>
      </c>
      <c r="DF30" s="4294"/>
      <c r="DG30" s="4294"/>
      <c r="DH30" s="4294"/>
      <c r="DI30" s="4294"/>
      <c r="DJ30" s="4294"/>
      <c r="DK30" s="4294"/>
      <c r="DL30" s="4294"/>
      <c r="DM30" s="4294"/>
      <c r="DN30" s="4294"/>
      <c r="DO30" s="4294"/>
      <c r="DP30" s="4294"/>
      <c r="DQ30" s="4294"/>
      <c r="DR30" s="4260"/>
      <c r="DS30" s="4260"/>
      <c r="DT30" s="4260"/>
      <c r="DU30" s="4260"/>
      <c r="DV30" s="4260"/>
      <c r="DW30" s="4260"/>
      <c r="DX30" s="4260"/>
      <c r="DY30" s="4260"/>
      <c r="DZ30" s="4260"/>
      <c r="EA30" s="4260"/>
      <c r="EB30" s="4260"/>
      <c r="EC30" s="4260"/>
      <c r="ED30" s="4260"/>
      <c r="EE30" s="4260"/>
      <c r="EF30" s="4260"/>
      <c r="EG30" s="4260"/>
      <c r="EH30" s="4260"/>
      <c r="EI30" s="4260"/>
      <c r="EJ30" s="4260"/>
      <c r="EK30" s="4260"/>
      <c r="EL30" s="4260"/>
      <c r="EM30" s="4260"/>
      <c r="EN30" s="4260"/>
      <c r="EO30" s="4260"/>
      <c r="EP30" s="4260"/>
      <c r="EQ30" s="4260"/>
      <c r="ER30" s="4260"/>
      <c r="ES30" s="4260"/>
      <c r="ET30" s="4260"/>
      <c r="EU30" s="4260"/>
      <c r="EV30" s="4260"/>
      <c r="EW30" s="4260"/>
      <c r="EX30" s="4260"/>
      <c r="EY30" s="4260"/>
      <c r="EZ30" s="4260"/>
      <c r="FA30" s="4260"/>
      <c r="FB30" s="4260"/>
      <c r="FC30" s="4260"/>
      <c r="FD30" s="4260"/>
      <c r="FE30" s="4260"/>
      <c r="FF30" s="4260"/>
      <c r="FG30" s="4260"/>
      <c r="FH30" s="4260"/>
      <c r="FI30" s="4260"/>
      <c r="FJ30" s="4260"/>
      <c r="FK30" s="4260"/>
      <c r="FL30" s="4260"/>
      <c r="FM30" s="4260"/>
      <c r="FN30" s="4260"/>
      <c r="FO30" s="4260"/>
      <c r="FP30" s="4260"/>
      <c r="FQ30" s="4260"/>
      <c r="FR30" s="4260"/>
      <c r="FS30" s="4260"/>
      <c r="FT30" s="4260"/>
      <c r="FU30" s="4260"/>
      <c r="FV30" s="4260"/>
      <c r="FW30" s="4260"/>
      <c r="FX30" s="4260"/>
      <c r="FY30" s="4260"/>
      <c r="FZ30" s="4260"/>
      <c r="GA30" s="4260"/>
      <c r="GB30" s="4260"/>
      <c r="GC30" s="4260"/>
      <c r="GD30" s="4260"/>
      <c r="GE30" s="4260"/>
      <c r="GF30" s="4260"/>
      <c r="GG30" s="4260"/>
      <c r="GH30" s="4260"/>
      <c r="GI30" s="4260"/>
      <c r="GJ30" s="4260"/>
      <c r="GK30" s="4260"/>
      <c r="GL30" s="4260"/>
      <c r="GM30" s="4260"/>
      <c r="GN30" s="4260"/>
      <c r="GO30" s="4260"/>
      <c r="GP30" s="4260"/>
      <c r="GQ30" s="4260"/>
      <c r="GR30" s="4260"/>
      <c r="GS30" s="4260"/>
      <c r="GT30" s="4260"/>
      <c r="GU30" s="4260"/>
      <c r="GV30" s="4260"/>
      <c r="GW30" s="4260"/>
      <c r="GX30" s="4260"/>
      <c r="GY30" s="4260"/>
      <c r="GZ30" s="4260"/>
      <c r="HA30" s="4260"/>
      <c r="HB30" s="4260"/>
      <c r="HC30" s="4260"/>
      <c r="HD30" s="4260"/>
      <c r="HE30" s="4260"/>
      <c r="HF30" s="4260"/>
      <c r="HG30" s="4260"/>
      <c r="HH30" s="4260"/>
      <c r="HI30" s="4260"/>
      <c r="HJ30" s="4260"/>
      <c r="HK30" s="4260"/>
      <c r="HL30" s="4260"/>
      <c r="HM30" s="4260"/>
      <c r="HN30" s="4260"/>
      <c r="HO30" s="4260"/>
      <c r="HP30" s="4260"/>
      <c r="HQ30" s="4260"/>
      <c r="HR30" s="4260"/>
      <c r="HS30" s="4260"/>
      <c r="HT30" s="4260"/>
      <c r="HU30" s="4260"/>
      <c r="HV30" s="4260"/>
      <c r="HW30" s="4260"/>
      <c r="HX30" s="4260"/>
      <c r="HY30" s="4260"/>
      <c r="HZ30" s="4260"/>
      <c r="IA30" s="4260"/>
    </row>
    <row r="31" spans="1:235" s="4295" customFormat="1" ht="24" customHeight="1" x14ac:dyDescent="0.25">
      <c r="A31" s="7314">
        <v>26300110</v>
      </c>
      <c r="B31" s="10724" t="s">
        <v>1705</v>
      </c>
      <c r="C31" s="10725"/>
      <c r="D31" s="4305" t="s">
        <v>5369</v>
      </c>
      <c r="E31" s="4306" t="s">
        <v>5370</v>
      </c>
      <c r="F31" s="4307" t="s">
        <v>5371</v>
      </c>
      <c r="G31" s="4307" t="s">
        <v>5372</v>
      </c>
      <c r="H31" s="4308" t="s">
        <v>5373</v>
      </c>
      <c r="I31" s="4309" t="s">
        <v>5374</v>
      </c>
      <c r="J31" s="4309" t="s">
        <v>5375</v>
      </c>
      <c r="K31" s="4306" t="s">
        <v>5376</v>
      </c>
      <c r="L31" s="4310" t="s">
        <v>5377</v>
      </c>
      <c r="M31" s="4308" t="s">
        <v>5378</v>
      </c>
      <c r="N31" s="4303" t="s">
        <v>5379</v>
      </c>
      <c r="O31" s="4289" t="s">
        <v>5380</v>
      </c>
      <c r="P31" s="4289" t="s">
        <v>5381</v>
      </c>
      <c r="Q31" s="4289" t="s">
        <v>5382</v>
      </c>
      <c r="R31" s="4290" t="e">
        <f t="shared" si="4"/>
        <v>#VALUE!</v>
      </c>
      <c r="S31" s="4291"/>
      <c r="T31" s="4291"/>
      <c r="U31" s="4291"/>
      <c r="V31" s="4291"/>
      <c r="W31" s="4291"/>
      <c r="X31" s="4291"/>
      <c r="Y31" s="4291"/>
      <c r="Z31" s="4264"/>
      <c r="AA31" s="4264"/>
      <c r="AB31" s="4264"/>
      <c r="AC31" s="4258"/>
      <c r="AD31" s="4258"/>
      <c r="AE31" s="4258"/>
      <c r="AF31" s="4258"/>
      <c r="AG31" s="4258"/>
      <c r="AH31" s="4258"/>
      <c r="AI31" s="4258"/>
      <c r="AJ31" s="4258"/>
      <c r="AK31" s="4258"/>
      <c r="AL31" s="4258"/>
      <c r="AM31" s="4258"/>
      <c r="AN31" s="4258"/>
      <c r="AO31" s="4258"/>
      <c r="AP31" s="4258"/>
      <c r="AQ31" s="4258"/>
      <c r="AR31" s="4258"/>
      <c r="AS31" s="4258"/>
      <c r="AT31" s="4258"/>
      <c r="AU31" s="4258"/>
      <c r="AV31" s="4258"/>
      <c r="AW31" s="4258"/>
      <c r="AX31" s="4258"/>
      <c r="AY31" s="4258"/>
      <c r="AZ31" s="4258"/>
      <c r="BA31" s="4258"/>
      <c r="BB31" s="4258"/>
      <c r="BC31" s="4258"/>
      <c r="BD31" s="4258"/>
      <c r="BE31" s="4258"/>
      <c r="BF31" s="4258"/>
      <c r="BG31" s="4258"/>
      <c r="BH31" s="4258"/>
      <c r="BI31" s="4258"/>
      <c r="BJ31" s="4258"/>
      <c r="BK31" s="4258"/>
      <c r="BL31" s="4258"/>
      <c r="BM31" s="4258"/>
      <c r="BN31" s="4258"/>
      <c r="BO31" s="4258"/>
      <c r="BP31" s="4258"/>
      <c r="BQ31" s="4258"/>
      <c r="BR31" s="4258"/>
      <c r="BS31" s="4258"/>
      <c r="BT31" s="4258"/>
      <c r="BU31" s="4258"/>
      <c r="BV31" s="4258"/>
      <c r="BW31" s="4258"/>
      <c r="BX31" s="4258"/>
      <c r="BY31" s="4259"/>
      <c r="BZ31" s="4260"/>
      <c r="CA31" s="4260"/>
      <c r="CB31" s="4292" t="e">
        <f t="shared" si="5"/>
        <v>#VALUE!</v>
      </c>
      <c r="CC31" s="4292" t="str">
        <f t="shared" si="0"/>
        <v xml:space="preserve">* Programa de Atención Domiciliaria a Personas con Dependencia Severa debe ser MENOR O IGUAL al Total. </v>
      </c>
      <c r="CD31" s="4292" t="str">
        <f t="shared" si="6"/>
        <v xml:space="preserve">* Pueblos Originarios debe ser MENOR O IGUAL al Total. </v>
      </c>
      <c r="CE31" s="4292" t="str">
        <f t="shared" si="7"/>
        <v xml:space="preserve">* Migrantes debe ser MENOR O IGUAL al Total. </v>
      </c>
      <c r="CF31" s="4262"/>
      <c r="CG31" s="4262"/>
      <c r="CH31" s="4261"/>
      <c r="CI31" s="4261"/>
      <c r="CJ31" s="4261"/>
      <c r="CK31" s="4261"/>
      <c r="CL31" s="4261"/>
      <c r="CM31" s="4261"/>
      <c r="CN31" s="4261"/>
      <c r="CO31" s="4261"/>
      <c r="CP31" s="4261"/>
      <c r="CQ31" s="4261"/>
      <c r="CR31" s="4261"/>
      <c r="CS31" s="4261"/>
      <c r="CT31" s="4261"/>
      <c r="CU31" s="4261"/>
      <c r="CV31" s="4261"/>
      <c r="CW31" s="4261"/>
      <c r="CX31" s="4261"/>
      <c r="CY31" s="4261"/>
      <c r="CZ31" s="4261"/>
      <c r="DA31" s="4261"/>
      <c r="DB31" s="4293" t="e">
        <f t="shared" si="1"/>
        <v>#VALUE!</v>
      </c>
      <c r="DC31" s="4293">
        <f t="shared" si="10"/>
        <v>1</v>
      </c>
      <c r="DD31" s="4293">
        <f t="shared" si="8"/>
        <v>1</v>
      </c>
      <c r="DE31" s="4293">
        <f t="shared" si="9"/>
        <v>1</v>
      </c>
      <c r="DF31" s="4294"/>
      <c r="DG31" s="4294"/>
      <c r="DH31" s="4294"/>
      <c r="DI31" s="4294"/>
      <c r="DJ31" s="4294"/>
      <c r="DK31" s="4294"/>
      <c r="DL31" s="4294"/>
      <c r="DM31" s="4294"/>
      <c r="DN31" s="4294"/>
      <c r="DO31" s="4294"/>
      <c r="DP31" s="4294"/>
      <c r="DQ31" s="4294"/>
      <c r="DR31" s="4260"/>
      <c r="DS31" s="4260"/>
      <c r="DT31" s="4260"/>
      <c r="DU31" s="4260"/>
      <c r="DV31" s="4260"/>
      <c r="DW31" s="4260"/>
      <c r="DX31" s="4260"/>
      <c r="DY31" s="4260"/>
      <c r="DZ31" s="4260"/>
      <c r="EA31" s="4260"/>
      <c r="EB31" s="4260"/>
      <c r="EC31" s="4260"/>
      <c r="ED31" s="4260"/>
      <c r="EE31" s="4260"/>
      <c r="EF31" s="4260"/>
      <c r="EG31" s="4260"/>
      <c r="EH31" s="4260"/>
      <c r="EI31" s="4260"/>
      <c r="EJ31" s="4260"/>
      <c r="EK31" s="4260"/>
      <c r="EL31" s="4260"/>
      <c r="EM31" s="4260"/>
      <c r="EN31" s="4260"/>
      <c r="EO31" s="4260"/>
      <c r="EP31" s="4260"/>
      <c r="EQ31" s="4260"/>
      <c r="ER31" s="4260"/>
      <c r="ES31" s="4260"/>
      <c r="ET31" s="4260"/>
      <c r="EU31" s="4260"/>
      <c r="EV31" s="4260"/>
      <c r="EW31" s="4260"/>
      <c r="EX31" s="4260"/>
      <c r="EY31" s="4260"/>
      <c r="EZ31" s="4260"/>
      <c r="FA31" s="4260"/>
      <c r="FB31" s="4260"/>
      <c r="FC31" s="4260"/>
      <c r="FD31" s="4260"/>
      <c r="FE31" s="4260"/>
      <c r="FF31" s="4260"/>
      <c r="FG31" s="4260"/>
      <c r="FH31" s="4260"/>
      <c r="FI31" s="4260"/>
      <c r="FJ31" s="4260"/>
      <c r="FK31" s="4260"/>
      <c r="FL31" s="4260"/>
      <c r="FM31" s="4260"/>
      <c r="FN31" s="4260"/>
      <c r="FO31" s="4260"/>
      <c r="FP31" s="4260"/>
      <c r="FQ31" s="4260"/>
      <c r="FR31" s="4260"/>
      <c r="FS31" s="4260"/>
      <c r="FT31" s="4260"/>
      <c r="FU31" s="4260"/>
      <c r="FV31" s="4260"/>
      <c r="FW31" s="4260"/>
      <c r="FX31" s="4260"/>
      <c r="FY31" s="4260"/>
      <c r="FZ31" s="4260"/>
      <c r="GA31" s="4260"/>
      <c r="GB31" s="4260"/>
      <c r="GC31" s="4260"/>
      <c r="GD31" s="4260"/>
      <c r="GE31" s="4260"/>
      <c r="GF31" s="4260"/>
      <c r="GG31" s="4260"/>
      <c r="GH31" s="4260"/>
      <c r="GI31" s="4260"/>
      <c r="GJ31" s="4260"/>
      <c r="GK31" s="4260"/>
      <c r="GL31" s="4260"/>
      <c r="GM31" s="4260"/>
      <c r="GN31" s="4260"/>
      <c r="GO31" s="4260"/>
      <c r="GP31" s="4260"/>
      <c r="GQ31" s="4260"/>
      <c r="GR31" s="4260"/>
      <c r="GS31" s="4260"/>
      <c r="GT31" s="4260"/>
      <c r="GU31" s="4260"/>
      <c r="GV31" s="4260"/>
      <c r="GW31" s="4260"/>
      <c r="GX31" s="4260"/>
      <c r="GY31" s="4260"/>
      <c r="GZ31" s="4260"/>
      <c r="HA31" s="4260"/>
      <c r="HB31" s="4260"/>
      <c r="HC31" s="4260"/>
      <c r="HD31" s="4260"/>
      <c r="HE31" s="4260"/>
      <c r="HF31" s="4260"/>
      <c r="HG31" s="4260"/>
      <c r="HH31" s="4260"/>
      <c r="HI31" s="4260"/>
      <c r="HJ31" s="4260"/>
      <c r="HK31" s="4260"/>
      <c r="HL31" s="4260"/>
      <c r="HM31" s="4260"/>
      <c r="HN31" s="4260"/>
      <c r="HO31" s="4260"/>
      <c r="HP31" s="4260"/>
      <c r="HQ31" s="4260"/>
      <c r="HR31" s="4260"/>
      <c r="HS31" s="4260"/>
      <c r="HT31" s="4260"/>
      <c r="HU31" s="4260"/>
      <c r="HV31" s="4260"/>
      <c r="HW31" s="4260"/>
      <c r="HX31" s="4260"/>
      <c r="HY31" s="4260"/>
      <c r="HZ31" s="4260"/>
      <c r="IA31" s="4260"/>
    </row>
    <row r="32" spans="1:235" s="4295" customFormat="1" ht="24" customHeight="1" x14ac:dyDescent="0.25">
      <c r="A32" s="7634">
        <v>29101527</v>
      </c>
      <c r="B32" s="10726" t="s">
        <v>1710</v>
      </c>
      <c r="C32" s="10727"/>
      <c r="D32" s="4311" t="s">
        <v>5369</v>
      </c>
      <c r="E32" s="4312" t="s">
        <v>5370</v>
      </c>
      <c r="F32" s="4313" t="s">
        <v>5371</v>
      </c>
      <c r="G32" s="4313" t="s">
        <v>5372</v>
      </c>
      <c r="H32" s="4314" t="s">
        <v>5373</v>
      </c>
      <c r="I32" s="4315" t="s">
        <v>5374</v>
      </c>
      <c r="J32" s="4316" t="s">
        <v>5375</v>
      </c>
      <c r="K32" s="4312" t="s">
        <v>5376</v>
      </c>
      <c r="L32" s="4315" t="s">
        <v>5377</v>
      </c>
      <c r="M32" s="4314" t="s">
        <v>5378</v>
      </c>
      <c r="N32" s="4303" t="s">
        <v>5379</v>
      </c>
      <c r="O32" s="4317" t="s">
        <v>5380</v>
      </c>
      <c r="P32" s="4317" t="s">
        <v>5381</v>
      </c>
      <c r="Q32" s="4317" t="s">
        <v>5382</v>
      </c>
      <c r="R32" s="4290" t="str">
        <f t="shared" si="4"/>
        <v xml:space="preserve">* Programa de Atención Domiciliaria a Personas con Dependencia Severa debe ser MENOR O IGUAL al Total. * Pueblos Originarios debe ser MENOR O IGUAL al Total. * Migrantes debe ser MENOR O IGUAL al Total. </v>
      </c>
      <c r="S32" s="4291"/>
      <c r="T32" s="4291"/>
      <c r="U32" s="4291"/>
      <c r="V32" s="4291"/>
      <c r="W32" s="4291"/>
      <c r="X32" s="4291"/>
      <c r="Y32" s="4291"/>
      <c r="Z32" s="4264"/>
      <c r="AA32" s="4264"/>
      <c r="AB32" s="4264"/>
      <c r="AC32" s="4258"/>
      <c r="AD32" s="4258"/>
      <c r="AE32" s="4258"/>
      <c r="AF32" s="4258"/>
      <c r="AG32" s="4258"/>
      <c r="AH32" s="4258"/>
      <c r="AI32" s="4258"/>
      <c r="AJ32" s="4258"/>
      <c r="AK32" s="4258"/>
      <c r="AL32" s="4258"/>
      <c r="AM32" s="4258"/>
      <c r="AN32" s="4258"/>
      <c r="AO32" s="4258"/>
      <c r="AP32" s="4258"/>
      <c r="AQ32" s="4258"/>
      <c r="AR32" s="4258"/>
      <c r="AS32" s="4258"/>
      <c r="AT32" s="4258"/>
      <c r="AU32" s="4258"/>
      <c r="AV32" s="4258"/>
      <c r="AW32" s="4258"/>
      <c r="AX32" s="4258"/>
      <c r="AY32" s="4258"/>
      <c r="AZ32" s="4258"/>
      <c r="BA32" s="4258"/>
      <c r="BB32" s="4258"/>
      <c r="BC32" s="4258"/>
      <c r="BD32" s="4258"/>
      <c r="BE32" s="4258"/>
      <c r="BF32" s="4258"/>
      <c r="BG32" s="4258"/>
      <c r="BH32" s="4258"/>
      <c r="BI32" s="4258"/>
      <c r="BJ32" s="4258"/>
      <c r="BK32" s="4258"/>
      <c r="BL32" s="4258"/>
      <c r="BM32" s="4258"/>
      <c r="BN32" s="4258"/>
      <c r="BO32" s="4258"/>
      <c r="BP32" s="4258"/>
      <c r="BQ32" s="4258"/>
      <c r="BR32" s="4258"/>
      <c r="BS32" s="4258"/>
      <c r="BT32" s="4258"/>
      <c r="BU32" s="4258"/>
      <c r="BV32" s="4258"/>
      <c r="BW32" s="4258"/>
      <c r="BX32" s="4258"/>
      <c r="BY32" s="4259"/>
      <c r="BZ32" s="4260"/>
      <c r="CA32" s="4260"/>
      <c r="CB32" s="4292" t="str">
        <f t="shared" si="5"/>
        <v/>
      </c>
      <c r="CC32" s="4292" t="str">
        <f>IF(DC32=1,"* Programa de Atención Domiciliaria a Personas con Dependencia Severa debe ser MENOR O IGUAL al Total. ","")</f>
        <v xml:space="preserve">* Programa de Atención Domiciliaria a Personas con Dependencia Severa debe ser MENOR O IGUAL al Total. </v>
      </c>
      <c r="CD32" s="4292" t="str">
        <f t="shared" si="6"/>
        <v xml:space="preserve">* Pueblos Originarios debe ser MENOR O IGUAL al Total. </v>
      </c>
      <c r="CE32" s="4292" t="str">
        <f t="shared" si="7"/>
        <v xml:space="preserve">* Migrantes debe ser MENOR O IGUAL al Total. </v>
      </c>
      <c r="CF32" s="4262"/>
      <c r="CG32" s="4262"/>
      <c r="CH32" s="4261"/>
      <c r="CI32" s="4261"/>
      <c r="CJ32" s="4261"/>
      <c r="CK32" s="4261"/>
      <c r="CL32" s="4261"/>
      <c r="CM32" s="4261"/>
      <c r="CN32" s="4261"/>
      <c r="CO32" s="4261"/>
      <c r="CP32" s="4261"/>
      <c r="CQ32" s="4261"/>
      <c r="CR32" s="4261"/>
      <c r="CS32" s="4261"/>
      <c r="CT32" s="4261"/>
      <c r="CU32" s="4261"/>
      <c r="CV32" s="4261"/>
      <c r="CW32" s="4261"/>
      <c r="CX32" s="4261"/>
      <c r="CY32" s="4261"/>
      <c r="CZ32" s="4261"/>
      <c r="DA32" s="4261"/>
      <c r="DB32" s="4293"/>
      <c r="DC32" s="4293">
        <f t="shared" si="10"/>
        <v>1</v>
      </c>
      <c r="DD32" s="4293">
        <f t="shared" si="8"/>
        <v>1</v>
      </c>
      <c r="DE32" s="4293">
        <f t="shared" si="9"/>
        <v>1</v>
      </c>
      <c r="DF32" s="4294"/>
      <c r="DG32" s="4294"/>
      <c r="DH32" s="4294"/>
      <c r="DI32" s="4294"/>
      <c r="DJ32" s="4294"/>
      <c r="DK32" s="4294"/>
      <c r="DL32" s="4294"/>
      <c r="DM32" s="4294"/>
      <c r="DN32" s="4294"/>
      <c r="DO32" s="4294"/>
      <c r="DP32" s="4294"/>
      <c r="DQ32" s="4294"/>
      <c r="DR32" s="4260"/>
      <c r="DS32" s="4260"/>
      <c r="DT32" s="4260"/>
      <c r="DU32" s="4260"/>
      <c r="DV32" s="4260"/>
      <c r="DW32" s="4260"/>
      <c r="DX32" s="4260"/>
      <c r="DY32" s="4260"/>
      <c r="DZ32" s="4260"/>
      <c r="EA32" s="4260"/>
      <c r="EB32" s="4260"/>
      <c r="EC32" s="4260"/>
      <c r="ED32" s="4260"/>
      <c r="EE32" s="4260"/>
      <c r="EF32" s="4260"/>
      <c r="EG32" s="4260"/>
      <c r="EH32" s="4260"/>
      <c r="EI32" s="4260"/>
      <c r="EJ32" s="4260"/>
      <c r="EK32" s="4260"/>
      <c r="EL32" s="4260"/>
      <c r="EM32" s="4260"/>
      <c r="EN32" s="4260"/>
      <c r="EO32" s="4260"/>
      <c r="EP32" s="4260"/>
      <c r="EQ32" s="4260"/>
      <c r="ER32" s="4260"/>
      <c r="ES32" s="4260"/>
      <c r="ET32" s="4260"/>
      <c r="EU32" s="4260"/>
      <c r="EV32" s="4260"/>
      <c r="EW32" s="4260"/>
      <c r="EX32" s="4260"/>
      <c r="EY32" s="4260"/>
      <c r="EZ32" s="4260"/>
      <c r="FA32" s="4260"/>
      <c r="FB32" s="4260"/>
      <c r="FC32" s="4260"/>
      <c r="FD32" s="4260"/>
      <c r="FE32" s="4260"/>
      <c r="FF32" s="4260"/>
      <c r="FG32" s="4260"/>
      <c r="FH32" s="4260"/>
      <c r="FI32" s="4260"/>
      <c r="FJ32" s="4260"/>
      <c r="FK32" s="4260"/>
      <c r="FL32" s="4260"/>
      <c r="FM32" s="4260"/>
      <c r="FN32" s="4260"/>
      <c r="FO32" s="4260"/>
      <c r="FP32" s="4260"/>
      <c r="FQ32" s="4260"/>
      <c r="FR32" s="4260"/>
      <c r="FS32" s="4260"/>
      <c r="FT32" s="4260"/>
      <c r="FU32" s="4260"/>
      <c r="FV32" s="4260"/>
      <c r="FW32" s="4260"/>
      <c r="FX32" s="4260"/>
      <c r="FY32" s="4260"/>
      <c r="FZ32" s="4260"/>
      <c r="GA32" s="4260"/>
      <c r="GB32" s="4260"/>
      <c r="GC32" s="4260"/>
      <c r="GD32" s="4260"/>
      <c r="GE32" s="4260"/>
      <c r="GF32" s="4260"/>
      <c r="GG32" s="4260"/>
      <c r="GH32" s="4260"/>
      <c r="GI32" s="4260"/>
      <c r="GJ32" s="4260"/>
      <c r="GK32" s="4260"/>
      <c r="GL32" s="4260"/>
      <c r="GM32" s="4260"/>
      <c r="GN32" s="4260"/>
      <c r="GO32" s="4260"/>
      <c r="GP32" s="4260"/>
      <c r="GQ32" s="4260"/>
      <c r="GR32" s="4260"/>
      <c r="GS32" s="4260"/>
      <c r="GT32" s="4260"/>
      <c r="GU32" s="4260"/>
      <c r="GV32" s="4260"/>
      <c r="GW32" s="4260"/>
      <c r="GX32" s="4260"/>
      <c r="GY32" s="4260"/>
      <c r="GZ32" s="4260"/>
      <c r="HA32" s="4260"/>
      <c r="HB32" s="4260"/>
      <c r="HC32" s="4260"/>
      <c r="HD32" s="4260"/>
      <c r="HE32" s="4260"/>
      <c r="HF32" s="4260"/>
      <c r="HG32" s="4260"/>
      <c r="HH32" s="4260"/>
      <c r="HI32" s="4260"/>
      <c r="HJ32" s="4260"/>
      <c r="HK32" s="4260"/>
      <c r="HL32" s="4260"/>
      <c r="HM32" s="4260"/>
      <c r="HN32" s="4260"/>
      <c r="HO32" s="4260"/>
      <c r="HP32" s="4260"/>
      <c r="HQ32" s="4260"/>
      <c r="HR32" s="4260"/>
      <c r="HS32" s="4260"/>
      <c r="HT32" s="4260"/>
      <c r="HU32" s="4260"/>
      <c r="HV32" s="4260"/>
      <c r="HW32" s="4260"/>
      <c r="HX32" s="4260"/>
      <c r="HY32" s="4260"/>
      <c r="HZ32" s="4260"/>
      <c r="IA32" s="4260"/>
    </row>
    <row r="33" spans="1:235" s="4295" customFormat="1" ht="24" customHeight="1" x14ac:dyDescent="0.25">
      <c r="A33" s="7634">
        <v>29101528</v>
      </c>
      <c r="B33" s="10726" t="s">
        <v>2571</v>
      </c>
      <c r="C33" s="10727"/>
      <c r="D33" s="4311" t="s">
        <v>5369</v>
      </c>
      <c r="E33" s="4312" t="s">
        <v>5370</v>
      </c>
      <c r="F33" s="4313" t="s">
        <v>5371</v>
      </c>
      <c r="G33" s="4313" t="s">
        <v>5372</v>
      </c>
      <c r="H33" s="4314" t="s">
        <v>5373</v>
      </c>
      <c r="I33" s="4315" t="s">
        <v>5374</v>
      </c>
      <c r="J33" s="4316" t="s">
        <v>5375</v>
      </c>
      <c r="K33" s="4312" t="s">
        <v>5376</v>
      </c>
      <c r="L33" s="4315" t="s">
        <v>5377</v>
      </c>
      <c r="M33" s="4314" t="s">
        <v>5378</v>
      </c>
      <c r="N33" s="4303" t="s">
        <v>5379</v>
      </c>
      <c r="O33" s="4317" t="s">
        <v>5380</v>
      </c>
      <c r="P33" s="4317" t="s">
        <v>5381</v>
      </c>
      <c r="Q33" s="4317" t="s">
        <v>5382</v>
      </c>
      <c r="R33" s="4290" t="e">
        <f t="shared" si="4"/>
        <v>#VALUE!</v>
      </c>
      <c r="S33" s="4291"/>
      <c r="T33" s="4291"/>
      <c r="U33" s="4291"/>
      <c r="V33" s="4291"/>
      <c r="W33" s="4291"/>
      <c r="X33" s="4291"/>
      <c r="Y33" s="4291"/>
      <c r="Z33" s="4264"/>
      <c r="AA33" s="4264"/>
      <c r="AB33" s="4264"/>
      <c r="AC33" s="4258"/>
      <c r="AD33" s="4258"/>
      <c r="AE33" s="4258"/>
      <c r="AF33" s="4258"/>
      <c r="AG33" s="4258"/>
      <c r="AH33" s="4258"/>
      <c r="AI33" s="4258"/>
      <c r="AJ33" s="4258"/>
      <c r="AK33" s="4258"/>
      <c r="AL33" s="4258"/>
      <c r="AM33" s="4258"/>
      <c r="AN33" s="4258"/>
      <c r="AO33" s="4258"/>
      <c r="AP33" s="4258"/>
      <c r="AQ33" s="4258"/>
      <c r="AR33" s="4258"/>
      <c r="AS33" s="4258"/>
      <c r="AT33" s="4258"/>
      <c r="AU33" s="4258"/>
      <c r="AV33" s="4258"/>
      <c r="AW33" s="4258"/>
      <c r="AX33" s="4258"/>
      <c r="AY33" s="4258"/>
      <c r="AZ33" s="4258"/>
      <c r="BA33" s="4258"/>
      <c r="BB33" s="4258"/>
      <c r="BC33" s="4258"/>
      <c r="BD33" s="4258"/>
      <c r="BE33" s="4258"/>
      <c r="BF33" s="4258"/>
      <c r="BG33" s="4258"/>
      <c r="BH33" s="4258"/>
      <c r="BI33" s="4258"/>
      <c r="BJ33" s="4258"/>
      <c r="BK33" s="4258"/>
      <c r="BL33" s="4258"/>
      <c r="BM33" s="4258"/>
      <c r="BN33" s="4258"/>
      <c r="BO33" s="4258"/>
      <c r="BP33" s="4258"/>
      <c r="BQ33" s="4258"/>
      <c r="BR33" s="4258"/>
      <c r="BS33" s="4258"/>
      <c r="BT33" s="4258"/>
      <c r="BU33" s="4258"/>
      <c r="BV33" s="4258"/>
      <c r="BW33" s="4258"/>
      <c r="BX33" s="4258"/>
      <c r="BY33" s="4259"/>
      <c r="BZ33" s="4260"/>
      <c r="CA33" s="4260"/>
      <c r="CB33" s="4292" t="e">
        <f t="shared" si="5"/>
        <v>#VALUE!</v>
      </c>
      <c r="CC33" s="4292" t="str">
        <f>IF(DC33=1,"* Programa de Atención Domiciliaria a Personas con Dependencia Severa debe ser MENOR O IGUAL al Total. ","")</f>
        <v xml:space="preserve">* Programa de Atención Domiciliaria a Personas con Dependencia Severa debe ser MENOR O IGUAL al Total. </v>
      </c>
      <c r="CD33" s="4292" t="str">
        <f t="shared" si="6"/>
        <v xml:space="preserve">* Pueblos Originarios debe ser MENOR O IGUAL al Total. </v>
      </c>
      <c r="CE33" s="4292" t="str">
        <f t="shared" si="7"/>
        <v xml:space="preserve">* Migrantes debe ser MENOR O IGUAL al Total. </v>
      </c>
      <c r="CF33" s="4262"/>
      <c r="CG33" s="4262"/>
      <c r="CH33" s="4261"/>
      <c r="CI33" s="4261"/>
      <c r="CJ33" s="4261"/>
      <c r="CK33" s="4261"/>
      <c r="CL33" s="4261"/>
      <c r="CM33" s="4261"/>
      <c r="CN33" s="4261"/>
      <c r="CO33" s="4261"/>
      <c r="CP33" s="4261"/>
      <c r="CQ33" s="4261"/>
      <c r="CR33" s="4261"/>
      <c r="CS33" s="4261"/>
      <c r="CT33" s="4261"/>
      <c r="CU33" s="4261"/>
      <c r="CV33" s="4261"/>
      <c r="CW33" s="4261"/>
      <c r="CX33" s="4261"/>
      <c r="CY33" s="4261"/>
      <c r="CZ33" s="4261"/>
      <c r="DA33" s="4261"/>
      <c r="DB33" s="4293" t="e">
        <f>IF((L33+K33+M33)&lt;&gt;D33,1,0)</f>
        <v>#VALUE!</v>
      </c>
      <c r="DC33" s="4293">
        <f t="shared" si="10"/>
        <v>1</v>
      </c>
      <c r="DD33" s="4293">
        <f t="shared" si="8"/>
        <v>1</v>
      </c>
      <c r="DE33" s="4293">
        <f t="shared" si="9"/>
        <v>1</v>
      </c>
      <c r="DF33" s="4294"/>
      <c r="DG33" s="4294"/>
      <c r="DH33" s="4294"/>
      <c r="DI33" s="4294"/>
      <c r="DJ33" s="4294"/>
      <c r="DK33" s="4294"/>
      <c r="DL33" s="4294"/>
      <c r="DM33" s="4294"/>
      <c r="DN33" s="4294"/>
      <c r="DO33" s="4294"/>
      <c r="DP33" s="4294"/>
      <c r="DQ33" s="4294"/>
      <c r="DR33" s="4260"/>
      <c r="DS33" s="4260"/>
      <c r="DT33" s="4260"/>
      <c r="DU33" s="4260"/>
      <c r="DV33" s="4260"/>
      <c r="DW33" s="4260"/>
      <c r="DX33" s="4260"/>
      <c r="DY33" s="4260"/>
      <c r="DZ33" s="4260"/>
      <c r="EA33" s="4260"/>
      <c r="EB33" s="4260"/>
      <c r="EC33" s="4260"/>
      <c r="ED33" s="4260"/>
      <c r="EE33" s="4260"/>
      <c r="EF33" s="4260"/>
      <c r="EG33" s="4260"/>
      <c r="EH33" s="4260"/>
      <c r="EI33" s="4260"/>
      <c r="EJ33" s="4260"/>
      <c r="EK33" s="4260"/>
      <c r="EL33" s="4260"/>
      <c r="EM33" s="4260"/>
      <c r="EN33" s="4260"/>
      <c r="EO33" s="4260"/>
      <c r="EP33" s="4260"/>
      <c r="EQ33" s="4260"/>
      <c r="ER33" s="4260"/>
      <c r="ES33" s="4260"/>
      <c r="ET33" s="4260"/>
      <c r="EU33" s="4260"/>
      <c r="EV33" s="4260"/>
      <c r="EW33" s="4260"/>
      <c r="EX33" s="4260"/>
      <c r="EY33" s="4260"/>
      <c r="EZ33" s="4260"/>
      <c r="FA33" s="4260"/>
      <c r="FB33" s="4260"/>
      <c r="FC33" s="4260"/>
      <c r="FD33" s="4260"/>
      <c r="FE33" s="4260"/>
      <c r="FF33" s="4260"/>
      <c r="FG33" s="4260"/>
      <c r="FH33" s="4260"/>
      <c r="FI33" s="4260"/>
      <c r="FJ33" s="4260"/>
      <c r="FK33" s="4260"/>
      <c r="FL33" s="4260"/>
      <c r="FM33" s="4260"/>
      <c r="FN33" s="4260"/>
      <c r="FO33" s="4260"/>
      <c r="FP33" s="4260"/>
      <c r="FQ33" s="4260"/>
      <c r="FR33" s="4260"/>
      <c r="FS33" s="4260"/>
      <c r="FT33" s="4260"/>
      <c r="FU33" s="4260"/>
      <c r="FV33" s="4260"/>
      <c r="FW33" s="4260"/>
      <c r="FX33" s="4260"/>
      <c r="FY33" s="4260"/>
      <c r="FZ33" s="4260"/>
      <c r="GA33" s="4260"/>
      <c r="GB33" s="4260"/>
      <c r="GC33" s="4260"/>
      <c r="GD33" s="4260"/>
      <c r="GE33" s="4260"/>
      <c r="GF33" s="4260"/>
      <c r="GG33" s="4260"/>
      <c r="GH33" s="4260"/>
      <c r="GI33" s="4260"/>
      <c r="GJ33" s="4260"/>
      <c r="GK33" s="4260"/>
      <c r="GL33" s="4260"/>
      <c r="GM33" s="4260"/>
      <c r="GN33" s="4260"/>
      <c r="GO33" s="4260"/>
      <c r="GP33" s="4260"/>
      <c r="GQ33" s="4260"/>
      <c r="GR33" s="4260"/>
      <c r="GS33" s="4260"/>
      <c r="GT33" s="4260"/>
      <c r="GU33" s="4260"/>
      <c r="GV33" s="4260"/>
      <c r="GW33" s="4260"/>
      <c r="GX33" s="4260"/>
      <c r="GY33" s="4260"/>
      <c r="GZ33" s="4260"/>
      <c r="HA33" s="4260"/>
      <c r="HB33" s="4260"/>
      <c r="HC33" s="4260"/>
      <c r="HD33" s="4260"/>
      <c r="HE33" s="4260"/>
      <c r="HF33" s="4260"/>
      <c r="HG33" s="4260"/>
      <c r="HH33" s="4260"/>
      <c r="HI33" s="4260"/>
      <c r="HJ33" s="4260"/>
      <c r="HK33" s="4260"/>
      <c r="HL33" s="4260"/>
      <c r="HM33" s="4260"/>
      <c r="HN33" s="4260"/>
      <c r="HO33" s="4260"/>
      <c r="HP33" s="4260"/>
      <c r="HQ33" s="4260"/>
      <c r="HR33" s="4260"/>
      <c r="HS33" s="4260"/>
      <c r="HT33" s="4260"/>
      <c r="HU33" s="4260"/>
      <c r="HV33" s="4260"/>
      <c r="HW33" s="4260"/>
      <c r="HX33" s="4260"/>
      <c r="HY33" s="4260"/>
      <c r="HZ33" s="4260"/>
      <c r="IA33" s="4260"/>
    </row>
    <row r="34" spans="1:235" s="4295" customFormat="1" ht="24" customHeight="1" x14ac:dyDescent="0.25">
      <c r="A34" s="7634">
        <v>29101529</v>
      </c>
      <c r="B34" s="10728" t="s">
        <v>2643</v>
      </c>
      <c r="C34" s="10729"/>
      <c r="D34" s="4318" t="s">
        <v>5369</v>
      </c>
      <c r="E34" s="4319" t="s">
        <v>5370</v>
      </c>
      <c r="F34" s="4320" t="s">
        <v>5371</v>
      </c>
      <c r="G34" s="4320" t="s">
        <v>5372</v>
      </c>
      <c r="H34" s="4321" t="s">
        <v>5373</v>
      </c>
      <c r="I34" s="4284" t="s">
        <v>5374</v>
      </c>
      <c r="J34" s="4322" t="s">
        <v>5375</v>
      </c>
      <c r="K34" s="4319" t="s">
        <v>5376</v>
      </c>
      <c r="L34" s="4284" t="s">
        <v>5377</v>
      </c>
      <c r="M34" s="4321" t="s">
        <v>5378</v>
      </c>
      <c r="N34" s="4303" t="s">
        <v>5379</v>
      </c>
      <c r="O34" s="4323" t="s">
        <v>5380</v>
      </c>
      <c r="P34" s="4323" t="s">
        <v>5381</v>
      </c>
      <c r="Q34" s="4323" t="s">
        <v>5382</v>
      </c>
      <c r="R34" s="4290" t="e">
        <f t="shared" si="4"/>
        <v>#VALUE!</v>
      </c>
      <c r="S34" s="4291"/>
      <c r="T34" s="4291"/>
      <c r="U34" s="4291"/>
      <c r="V34" s="4291"/>
      <c r="W34" s="4291"/>
      <c r="X34" s="4291"/>
      <c r="Y34" s="4291"/>
      <c r="Z34" s="4264"/>
      <c r="AA34" s="4264"/>
      <c r="AB34" s="4264"/>
      <c r="AC34" s="4258"/>
      <c r="AD34" s="4258"/>
      <c r="AE34" s="4258"/>
      <c r="AF34" s="4258"/>
      <c r="AG34" s="4258"/>
      <c r="AH34" s="4258"/>
      <c r="AI34" s="4258"/>
      <c r="AJ34" s="4258"/>
      <c r="AK34" s="4258"/>
      <c r="AL34" s="4258"/>
      <c r="AM34" s="4258"/>
      <c r="AN34" s="4258"/>
      <c r="AO34" s="4258"/>
      <c r="AP34" s="4258"/>
      <c r="AQ34" s="4258"/>
      <c r="AR34" s="4258"/>
      <c r="AS34" s="4258"/>
      <c r="AT34" s="4258"/>
      <c r="AU34" s="4258"/>
      <c r="AV34" s="4258"/>
      <c r="AW34" s="4258"/>
      <c r="AX34" s="4258"/>
      <c r="AY34" s="4258"/>
      <c r="AZ34" s="4258"/>
      <c r="BA34" s="4258"/>
      <c r="BB34" s="4258"/>
      <c r="BC34" s="4258"/>
      <c r="BD34" s="4258"/>
      <c r="BE34" s="4258"/>
      <c r="BF34" s="4258"/>
      <c r="BG34" s="4258"/>
      <c r="BH34" s="4258"/>
      <c r="BI34" s="4258"/>
      <c r="BJ34" s="4258"/>
      <c r="BK34" s="4258"/>
      <c r="BL34" s="4258"/>
      <c r="BM34" s="4258"/>
      <c r="BN34" s="4258"/>
      <c r="BO34" s="4258"/>
      <c r="BP34" s="4258"/>
      <c r="BQ34" s="4258"/>
      <c r="BR34" s="4258"/>
      <c r="BS34" s="4258"/>
      <c r="BT34" s="4258"/>
      <c r="BU34" s="4258"/>
      <c r="BV34" s="4258"/>
      <c r="BW34" s="4258"/>
      <c r="BX34" s="4258"/>
      <c r="BY34" s="4259"/>
      <c r="BZ34" s="4260"/>
      <c r="CA34" s="4260"/>
      <c r="CB34" s="4292" t="e">
        <f t="shared" si="5"/>
        <v>#VALUE!</v>
      </c>
      <c r="CC34" s="4292" t="str">
        <f>IF(DC34=1,"* Programa de Atención Domiciliaria a Personas con Dependencia Severa debe ser MENOR O IGUAL al Total. ","")</f>
        <v xml:space="preserve">* Programa de Atención Domiciliaria a Personas con Dependencia Severa debe ser MENOR O IGUAL al Total. </v>
      </c>
      <c r="CD34" s="4292" t="str">
        <f t="shared" si="6"/>
        <v xml:space="preserve">* Pueblos Originarios debe ser MENOR O IGUAL al Total. </v>
      </c>
      <c r="CE34" s="4292" t="str">
        <f t="shared" si="7"/>
        <v xml:space="preserve">* Migrantes debe ser MENOR O IGUAL al Total. </v>
      </c>
      <c r="CF34" s="4262"/>
      <c r="CG34" s="4262"/>
      <c r="CH34" s="4261"/>
      <c r="CI34" s="4261"/>
      <c r="CJ34" s="4261"/>
      <c r="CK34" s="4261"/>
      <c r="CL34" s="4261"/>
      <c r="CM34" s="4261"/>
      <c r="CN34" s="4261"/>
      <c r="CO34" s="4261"/>
      <c r="CP34" s="4261"/>
      <c r="CQ34" s="4261"/>
      <c r="CR34" s="4261"/>
      <c r="CS34" s="4261"/>
      <c r="CT34" s="4261"/>
      <c r="CU34" s="4261"/>
      <c r="CV34" s="4261"/>
      <c r="CW34" s="4261"/>
      <c r="CX34" s="4261"/>
      <c r="CY34" s="4261"/>
      <c r="CZ34" s="4261"/>
      <c r="DA34" s="4261"/>
      <c r="DB34" s="4293" t="e">
        <f>IF((L34+K34+M34)&lt;&gt;D34,1,0)</f>
        <v>#VALUE!</v>
      </c>
      <c r="DC34" s="4293">
        <f t="shared" si="10"/>
        <v>1</v>
      </c>
      <c r="DD34" s="4293">
        <f t="shared" si="8"/>
        <v>1</v>
      </c>
      <c r="DE34" s="4293">
        <f t="shared" si="9"/>
        <v>1</v>
      </c>
      <c r="DF34" s="4294"/>
      <c r="DG34" s="4294"/>
      <c r="DH34" s="4294"/>
      <c r="DI34" s="4294"/>
      <c r="DJ34" s="4294"/>
      <c r="DK34" s="4294"/>
      <c r="DL34" s="4294"/>
      <c r="DM34" s="4294"/>
      <c r="DN34" s="4294"/>
      <c r="DO34" s="4294"/>
      <c r="DP34" s="4294"/>
      <c r="DQ34" s="4294"/>
      <c r="DR34" s="4260"/>
      <c r="DS34" s="4260"/>
      <c r="DT34" s="4260"/>
      <c r="DU34" s="4260"/>
      <c r="DV34" s="4260"/>
      <c r="DW34" s="4260"/>
      <c r="DX34" s="4260"/>
      <c r="DY34" s="4260"/>
      <c r="DZ34" s="4260"/>
      <c r="EA34" s="4260"/>
      <c r="EB34" s="4260"/>
      <c r="EC34" s="4260"/>
      <c r="ED34" s="4260"/>
      <c r="EE34" s="4260"/>
      <c r="EF34" s="4260"/>
      <c r="EG34" s="4260"/>
      <c r="EH34" s="4260"/>
      <c r="EI34" s="4260"/>
      <c r="EJ34" s="4260"/>
      <c r="EK34" s="4260"/>
      <c r="EL34" s="4260"/>
      <c r="EM34" s="4260"/>
      <c r="EN34" s="4260"/>
      <c r="EO34" s="4260"/>
      <c r="EP34" s="4260"/>
      <c r="EQ34" s="4260"/>
      <c r="ER34" s="4260"/>
      <c r="ES34" s="4260"/>
      <c r="ET34" s="4260"/>
      <c r="EU34" s="4260"/>
      <c r="EV34" s="4260"/>
      <c r="EW34" s="4260"/>
      <c r="EX34" s="4260"/>
      <c r="EY34" s="4260"/>
      <c r="EZ34" s="4260"/>
      <c r="FA34" s="4260"/>
      <c r="FB34" s="4260"/>
      <c r="FC34" s="4260"/>
      <c r="FD34" s="4260"/>
      <c r="FE34" s="4260"/>
      <c r="FF34" s="4260"/>
      <c r="FG34" s="4260"/>
      <c r="FH34" s="4260"/>
      <c r="FI34" s="4260"/>
      <c r="FJ34" s="4260"/>
      <c r="FK34" s="4260"/>
      <c r="FL34" s="4260"/>
      <c r="FM34" s="4260"/>
      <c r="FN34" s="4260"/>
      <c r="FO34" s="4260"/>
      <c r="FP34" s="4260"/>
      <c r="FQ34" s="4260"/>
      <c r="FR34" s="4260"/>
      <c r="FS34" s="4260"/>
      <c r="FT34" s="4260"/>
      <c r="FU34" s="4260"/>
      <c r="FV34" s="4260"/>
      <c r="FW34" s="4260"/>
      <c r="FX34" s="4260"/>
      <c r="FY34" s="4260"/>
      <c r="FZ34" s="4260"/>
      <c r="GA34" s="4260"/>
      <c r="GB34" s="4260"/>
      <c r="GC34" s="4260"/>
      <c r="GD34" s="4260"/>
      <c r="GE34" s="4260"/>
      <c r="GF34" s="4260"/>
      <c r="GG34" s="4260"/>
      <c r="GH34" s="4260"/>
      <c r="GI34" s="4260"/>
      <c r="GJ34" s="4260"/>
      <c r="GK34" s="4260"/>
      <c r="GL34" s="4260"/>
      <c r="GM34" s="4260"/>
      <c r="GN34" s="4260"/>
      <c r="GO34" s="4260"/>
      <c r="GP34" s="4260"/>
      <c r="GQ34" s="4260"/>
      <c r="GR34" s="4260"/>
      <c r="GS34" s="4260"/>
      <c r="GT34" s="4260"/>
      <c r="GU34" s="4260"/>
      <c r="GV34" s="4260"/>
      <c r="GW34" s="4260"/>
      <c r="GX34" s="4260"/>
      <c r="GY34" s="4260"/>
      <c r="GZ34" s="4260"/>
      <c r="HA34" s="4260"/>
      <c r="HB34" s="4260"/>
      <c r="HC34" s="4260"/>
      <c r="HD34" s="4260"/>
      <c r="HE34" s="4260"/>
      <c r="HF34" s="4260"/>
      <c r="HG34" s="4260"/>
      <c r="HH34" s="4260"/>
      <c r="HI34" s="4260"/>
      <c r="HJ34" s="4260"/>
      <c r="HK34" s="4260"/>
      <c r="HL34" s="4260"/>
      <c r="HM34" s="4260"/>
      <c r="HN34" s="4260"/>
      <c r="HO34" s="4260"/>
      <c r="HP34" s="4260"/>
      <c r="HQ34" s="4260"/>
      <c r="HR34" s="4260"/>
      <c r="HS34" s="4260"/>
      <c r="HT34" s="4260"/>
      <c r="HU34" s="4260"/>
      <c r="HV34" s="4260"/>
      <c r="HW34" s="4260"/>
      <c r="HX34" s="4260"/>
      <c r="HY34" s="4260"/>
      <c r="HZ34" s="4260"/>
      <c r="IA34" s="4260"/>
    </row>
    <row r="35" spans="1:235" s="4295" customFormat="1" ht="24" customHeight="1" x14ac:dyDescent="0.25">
      <c r="A35" s="7634">
        <v>29101530</v>
      </c>
      <c r="B35" s="10731" t="s">
        <v>2673</v>
      </c>
      <c r="C35" s="10732"/>
      <c r="D35" s="4324" t="s">
        <v>5369</v>
      </c>
      <c r="E35" s="4325" t="s">
        <v>5370</v>
      </c>
      <c r="F35" s="4326" t="s">
        <v>5371</v>
      </c>
      <c r="G35" s="4326" t="s">
        <v>5372</v>
      </c>
      <c r="H35" s="4327" t="s">
        <v>5373</v>
      </c>
      <c r="I35" s="4328" t="s">
        <v>5374</v>
      </c>
      <c r="J35" s="4329" t="s">
        <v>5375</v>
      </c>
      <c r="K35" s="4325" t="s">
        <v>5376</v>
      </c>
      <c r="L35" s="4328" t="s">
        <v>5377</v>
      </c>
      <c r="M35" s="4327" t="s">
        <v>5378</v>
      </c>
      <c r="N35" s="4330" t="s">
        <v>5379</v>
      </c>
      <c r="O35" s="4331" t="s">
        <v>5380</v>
      </c>
      <c r="P35" s="4331" t="s">
        <v>5381</v>
      </c>
      <c r="Q35" s="4331" t="s">
        <v>5382</v>
      </c>
      <c r="R35" s="4290" t="e">
        <f t="shared" si="4"/>
        <v>#VALUE!</v>
      </c>
      <c r="S35" s="4291"/>
      <c r="T35" s="4291"/>
      <c r="U35" s="4291"/>
      <c r="V35" s="4291"/>
      <c r="W35" s="4291"/>
      <c r="X35" s="4291"/>
      <c r="Y35" s="4291"/>
      <c r="Z35" s="4264"/>
      <c r="AA35" s="4264"/>
      <c r="AB35" s="4264"/>
      <c r="AC35" s="4258"/>
      <c r="AD35" s="4258"/>
      <c r="AE35" s="4258"/>
      <c r="AF35" s="4258"/>
      <c r="AG35" s="4258"/>
      <c r="AH35" s="4258"/>
      <c r="AI35" s="4258"/>
      <c r="AJ35" s="4258"/>
      <c r="AK35" s="4258"/>
      <c r="AL35" s="4258"/>
      <c r="AM35" s="4258"/>
      <c r="AN35" s="4258"/>
      <c r="AO35" s="4258"/>
      <c r="AP35" s="4258"/>
      <c r="AQ35" s="4258"/>
      <c r="AR35" s="4258"/>
      <c r="AS35" s="4258"/>
      <c r="AT35" s="4258"/>
      <c r="AU35" s="4258"/>
      <c r="AV35" s="4258"/>
      <c r="AW35" s="4258"/>
      <c r="AX35" s="4258"/>
      <c r="AY35" s="4258"/>
      <c r="AZ35" s="4258"/>
      <c r="BA35" s="4258"/>
      <c r="BB35" s="4258"/>
      <c r="BC35" s="4258"/>
      <c r="BD35" s="4258"/>
      <c r="BE35" s="4258"/>
      <c r="BF35" s="4258"/>
      <c r="BG35" s="4258"/>
      <c r="BH35" s="4258"/>
      <c r="BI35" s="4258"/>
      <c r="BJ35" s="4258"/>
      <c r="BK35" s="4258"/>
      <c r="BL35" s="4258"/>
      <c r="BM35" s="4258"/>
      <c r="BN35" s="4258"/>
      <c r="BO35" s="4258"/>
      <c r="BP35" s="4258"/>
      <c r="BQ35" s="4258"/>
      <c r="BR35" s="4258"/>
      <c r="BS35" s="4258"/>
      <c r="BT35" s="4258"/>
      <c r="BU35" s="4258"/>
      <c r="BV35" s="4258"/>
      <c r="BW35" s="4258"/>
      <c r="BX35" s="4258"/>
      <c r="BY35" s="4259"/>
      <c r="BZ35" s="4260"/>
      <c r="CA35" s="4260"/>
      <c r="CB35" s="4292" t="e">
        <f t="shared" si="5"/>
        <v>#VALUE!</v>
      </c>
      <c r="CC35" s="4292" t="str">
        <f>IF(DC35=1,"* Programa de Atención Domiciliaria a Personas con Dependencia Severa debe ser MENOR O IGUAL al Total. ","")</f>
        <v xml:space="preserve">* Programa de Atención Domiciliaria a Personas con Dependencia Severa debe ser MENOR O IGUAL al Total. </v>
      </c>
      <c r="CD35" s="4292" t="str">
        <f t="shared" si="6"/>
        <v xml:space="preserve">* Pueblos Originarios debe ser MENOR O IGUAL al Total. </v>
      </c>
      <c r="CE35" s="4292" t="str">
        <f t="shared" si="7"/>
        <v xml:space="preserve">* Migrantes debe ser MENOR O IGUAL al Total. </v>
      </c>
      <c r="CF35" s="4262"/>
      <c r="CG35" s="4262"/>
      <c r="CH35" s="4261"/>
      <c r="CI35" s="4261"/>
      <c r="CJ35" s="4261"/>
      <c r="CK35" s="4261"/>
      <c r="CL35" s="4261"/>
      <c r="CM35" s="4261"/>
      <c r="CN35" s="4261"/>
      <c r="CO35" s="4261"/>
      <c r="CP35" s="4261"/>
      <c r="CQ35" s="4261"/>
      <c r="CR35" s="4261"/>
      <c r="CS35" s="4261"/>
      <c r="CT35" s="4261"/>
      <c r="CU35" s="4261"/>
      <c r="CV35" s="4261"/>
      <c r="CW35" s="4261"/>
      <c r="CX35" s="4261"/>
      <c r="CY35" s="4261"/>
      <c r="CZ35" s="4261"/>
      <c r="DA35" s="4261"/>
      <c r="DB35" s="4293" t="e">
        <f>IF((L35+K35+M35)&lt;&gt;D35,1,0)</f>
        <v>#VALUE!</v>
      </c>
      <c r="DC35" s="4293">
        <f t="shared" si="10"/>
        <v>1</v>
      </c>
      <c r="DD35" s="4293">
        <f t="shared" si="8"/>
        <v>1</v>
      </c>
      <c r="DE35" s="4293">
        <f t="shared" si="9"/>
        <v>1</v>
      </c>
      <c r="DF35" s="4294"/>
      <c r="DG35" s="4294"/>
      <c r="DH35" s="4294"/>
      <c r="DI35" s="4294"/>
      <c r="DJ35" s="4294"/>
      <c r="DK35" s="4294"/>
      <c r="DL35" s="4294"/>
      <c r="DM35" s="4294"/>
      <c r="DN35" s="4294"/>
      <c r="DO35" s="4294"/>
      <c r="DP35" s="4294"/>
      <c r="DQ35" s="4294"/>
      <c r="DR35" s="4260"/>
      <c r="DS35" s="4260"/>
      <c r="DT35" s="4260"/>
      <c r="DU35" s="4260"/>
      <c r="DV35" s="4260"/>
      <c r="DW35" s="4260"/>
      <c r="DX35" s="4260"/>
      <c r="DY35" s="4260"/>
      <c r="DZ35" s="4260"/>
      <c r="EA35" s="4260"/>
      <c r="EB35" s="4260"/>
      <c r="EC35" s="4260"/>
      <c r="ED35" s="4260"/>
      <c r="EE35" s="4260"/>
      <c r="EF35" s="4260"/>
      <c r="EG35" s="4260"/>
      <c r="EH35" s="4260"/>
      <c r="EI35" s="4260"/>
      <c r="EJ35" s="4260"/>
      <c r="EK35" s="4260"/>
      <c r="EL35" s="4260"/>
      <c r="EM35" s="4260"/>
      <c r="EN35" s="4260"/>
      <c r="EO35" s="4260"/>
      <c r="EP35" s="4260"/>
      <c r="EQ35" s="4260"/>
      <c r="ER35" s="4260"/>
      <c r="ES35" s="4260"/>
      <c r="ET35" s="4260"/>
      <c r="EU35" s="4260"/>
      <c r="EV35" s="4260"/>
      <c r="EW35" s="4260"/>
      <c r="EX35" s="4260"/>
      <c r="EY35" s="4260"/>
      <c r="EZ35" s="4260"/>
      <c r="FA35" s="4260"/>
      <c r="FB35" s="4260"/>
      <c r="FC35" s="4260"/>
      <c r="FD35" s="4260"/>
      <c r="FE35" s="4260"/>
      <c r="FF35" s="4260"/>
      <c r="FG35" s="4260"/>
      <c r="FH35" s="4260"/>
      <c r="FI35" s="4260"/>
      <c r="FJ35" s="4260"/>
      <c r="FK35" s="4260"/>
      <c r="FL35" s="4260"/>
      <c r="FM35" s="4260"/>
      <c r="FN35" s="4260"/>
      <c r="FO35" s="4260"/>
      <c r="FP35" s="4260"/>
      <c r="FQ35" s="4260"/>
      <c r="FR35" s="4260"/>
      <c r="FS35" s="4260"/>
      <c r="FT35" s="4260"/>
      <c r="FU35" s="4260"/>
      <c r="FV35" s="4260"/>
      <c r="FW35" s="4260"/>
      <c r="FX35" s="4260"/>
      <c r="FY35" s="4260"/>
      <c r="FZ35" s="4260"/>
      <c r="GA35" s="4260"/>
      <c r="GB35" s="4260"/>
      <c r="GC35" s="4260"/>
      <c r="GD35" s="4260"/>
      <c r="GE35" s="4260"/>
      <c r="GF35" s="4260"/>
      <c r="GG35" s="4260"/>
      <c r="GH35" s="4260"/>
      <c r="GI35" s="4260"/>
      <c r="GJ35" s="4260"/>
      <c r="GK35" s="4260"/>
      <c r="GL35" s="4260"/>
      <c r="GM35" s="4260"/>
      <c r="GN35" s="4260"/>
      <c r="GO35" s="4260"/>
      <c r="GP35" s="4260"/>
      <c r="GQ35" s="4260"/>
      <c r="GR35" s="4260"/>
      <c r="GS35" s="4260"/>
      <c r="GT35" s="4260"/>
      <c r="GU35" s="4260"/>
      <c r="GV35" s="4260"/>
      <c r="GW35" s="4260"/>
      <c r="GX35" s="4260"/>
      <c r="GY35" s="4260"/>
      <c r="GZ35" s="4260"/>
      <c r="HA35" s="4260"/>
      <c r="HB35" s="4260"/>
      <c r="HC35" s="4260"/>
      <c r="HD35" s="4260"/>
      <c r="HE35" s="4260"/>
      <c r="HF35" s="4260"/>
      <c r="HG35" s="4260"/>
      <c r="HH35" s="4260"/>
      <c r="HI35" s="4260"/>
      <c r="HJ35" s="4260"/>
      <c r="HK35" s="4260"/>
      <c r="HL35" s="4260"/>
      <c r="HM35" s="4260"/>
      <c r="HN35" s="4260"/>
      <c r="HO35" s="4260"/>
      <c r="HP35" s="4260"/>
      <c r="HQ35" s="4260"/>
      <c r="HR35" s="4260"/>
      <c r="HS35" s="4260"/>
      <c r="HT35" s="4260"/>
      <c r="HU35" s="4260"/>
      <c r="HV35" s="4260"/>
      <c r="HW35" s="4260"/>
      <c r="HX35" s="4260"/>
      <c r="HY35" s="4260"/>
      <c r="HZ35" s="4260"/>
      <c r="IA35" s="4260"/>
    </row>
    <row r="36" spans="1:235" s="4295" customFormat="1" ht="24" customHeight="1" x14ac:dyDescent="0.25">
      <c r="A36" s="7631"/>
      <c r="B36" s="4268" t="s">
        <v>3000</v>
      </c>
      <c r="C36" s="4258"/>
      <c r="D36" s="4258"/>
      <c r="E36" s="4258"/>
      <c r="F36" s="4258"/>
      <c r="G36" s="4291"/>
      <c r="H36" s="4291"/>
      <c r="I36" s="4291"/>
      <c r="J36" s="4291"/>
      <c r="K36" s="4291"/>
      <c r="L36" s="4291"/>
      <c r="M36" s="4291"/>
      <c r="N36" s="4291"/>
      <c r="O36" s="4291"/>
      <c r="P36" s="4291"/>
      <c r="Q36" s="4291"/>
      <c r="R36" s="4291"/>
      <c r="S36" s="4291"/>
      <c r="T36" s="4291"/>
      <c r="U36" s="4291"/>
      <c r="V36" s="4291"/>
      <c r="W36" s="4291"/>
      <c r="X36" s="4291"/>
      <c r="Y36" s="4291"/>
      <c r="Z36" s="4264"/>
      <c r="AA36" s="4264"/>
      <c r="AB36" s="4264"/>
      <c r="AC36" s="4258"/>
      <c r="AD36" s="4258"/>
      <c r="AE36" s="4258"/>
      <c r="AF36" s="4258"/>
      <c r="AG36" s="4258"/>
      <c r="AH36" s="4258"/>
      <c r="AI36" s="4258"/>
      <c r="AJ36" s="4258"/>
      <c r="AK36" s="4258"/>
      <c r="AL36" s="4258"/>
      <c r="AM36" s="4258"/>
      <c r="AN36" s="4258"/>
      <c r="AO36" s="4258"/>
      <c r="AP36" s="4258"/>
      <c r="AQ36" s="4258"/>
      <c r="AR36" s="4258"/>
      <c r="AS36" s="4258"/>
      <c r="AT36" s="4258"/>
      <c r="AU36" s="4258"/>
      <c r="AV36" s="4258"/>
      <c r="AW36" s="4258"/>
      <c r="AX36" s="4258"/>
      <c r="AY36" s="4258"/>
      <c r="AZ36" s="4258"/>
      <c r="BA36" s="4258"/>
      <c r="BB36" s="4258"/>
      <c r="BC36" s="4258"/>
      <c r="BD36" s="4258"/>
      <c r="BE36" s="4258"/>
      <c r="BF36" s="4258"/>
      <c r="BG36" s="4258"/>
      <c r="BH36" s="4258"/>
      <c r="BI36" s="4258"/>
      <c r="BJ36" s="4258"/>
      <c r="BK36" s="4258"/>
      <c r="BL36" s="4258"/>
      <c r="BM36" s="4258"/>
      <c r="BN36" s="4258"/>
      <c r="BO36" s="4258"/>
      <c r="BP36" s="4258"/>
      <c r="BQ36" s="4258"/>
      <c r="BR36" s="4258"/>
      <c r="BS36" s="4258"/>
      <c r="BT36" s="4258"/>
      <c r="BU36" s="4258"/>
      <c r="BV36" s="4258"/>
      <c r="BW36" s="4258"/>
      <c r="BX36" s="4258"/>
      <c r="BY36" s="4259"/>
      <c r="BZ36" s="4260"/>
      <c r="CA36" s="4260"/>
      <c r="CB36" s="4262"/>
      <c r="CC36" s="4262"/>
      <c r="CD36" s="4262"/>
      <c r="CE36" s="4262"/>
      <c r="CF36" s="4262"/>
      <c r="CG36" s="4262"/>
      <c r="CH36" s="4261"/>
      <c r="CI36" s="4261"/>
      <c r="CJ36" s="4261"/>
      <c r="CK36" s="4261"/>
      <c r="CL36" s="4261"/>
      <c r="CM36" s="4261"/>
      <c r="CN36" s="4261"/>
      <c r="CO36" s="4261"/>
      <c r="CP36" s="4261"/>
      <c r="CQ36" s="4261"/>
      <c r="CR36" s="4261"/>
      <c r="CS36" s="4261"/>
      <c r="CT36" s="4261"/>
      <c r="CU36" s="4261"/>
      <c r="CV36" s="4261"/>
      <c r="CW36" s="4261"/>
      <c r="CX36" s="4261"/>
      <c r="CY36" s="4261"/>
      <c r="CZ36" s="4261"/>
      <c r="DA36" s="4261"/>
      <c r="DB36" s="4263"/>
      <c r="DC36" s="4263"/>
      <c r="DD36" s="4294"/>
      <c r="DE36" s="4294"/>
      <c r="DF36" s="4294"/>
      <c r="DG36" s="4294"/>
      <c r="DH36" s="4294"/>
      <c r="DI36" s="4294"/>
      <c r="DJ36" s="4294"/>
      <c r="DK36" s="4294"/>
      <c r="DL36" s="4294"/>
      <c r="DM36" s="4294"/>
      <c r="DN36" s="4294"/>
      <c r="DO36" s="4294"/>
      <c r="DP36" s="4294"/>
      <c r="DQ36" s="4294"/>
      <c r="DR36" s="4260"/>
      <c r="DS36" s="4260"/>
      <c r="DT36" s="4260"/>
      <c r="DU36" s="4260"/>
      <c r="DV36" s="4260"/>
      <c r="DW36" s="4260"/>
      <c r="DX36" s="4260"/>
      <c r="DY36" s="4260"/>
      <c r="DZ36" s="4260"/>
      <c r="EA36" s="4260"/>
      <c r="EB36" s="4260"/>
      <c r="EC36" s="4260"/>
      <c r="ED36" s="4260"/>
      <c r="EE36" s="4260"/>
      <c r="EF36" s="4260"/>
      <c r="EG36" s="4260"/>
      <c r="EH36" s="4260"/>
      <c r="EI36" s="4260"/>
      <c r="EJ36" s="4260"/>
      <c r="EK36" s="4260"/>
      <c r="EL36" s="4260"/>
      <c r="EM36" s="4260"/>
      <c r="EN36" s="4260"/>
      <c r="EO36" s="4260"/>
      <c r="EP36" s="4260"/>
      <c r="EQ36" s="4260"/>
      <c r="ER36" s="4260"/>
      <c r="ES36" s="4260"/>
      <c r="ET36" s="4260"/>
      <c r="EU36" s="4260"/>
      <c r="EV36" s="4260"/>
      <c r="EW36" s="4260"/>
      <c r="EX36" s="4260"/>
      <c r="EY36" s="4260"/>
      <c r="EZ36" s="4260"/>
      <c r="FA36" s="4260"/>
      <c r="FB36" s="4260"/>
      <c r="FC36" s="4260"/>
      <c r="FD36" s="4260"/>
      <c r="FE36" s="4260"/>
      <c r="FF36" s="4260"/>
      <c r="FG36" s="4260"/>
      <c r="FH36" s="4260"/>
      <c r="FI36" s="4260"/>
      <c r="FJ36" s="4260"/>
      <c r="FK36" s="4260"/>
      <c r="FL36" s="4260"/>
      <c r="FM36" s="4260"/>
      <c r="FN36" s="4260"/>
      <c r="FO36" s="4260"/>
      <c r="FP36" s="4260"/>
      <c r="FQ36" s="4260"/>
      <c r="FR36" s="4260"/>
      <c r="FS36" s="4260"/>
      <c r="FT36" s="4260"/>
      <c r="FU36" s="4260"/>
      <c r="FV36" s="4260"/>
      <c r="FW36" s="4260"/>
      <c r="FX36" s="4260"/>
      <c r="FY36" s="4260"/>
      <c r="FZ36" s="4260"/>
      <c r="GA36" s="4260"/>
      <c r="GB36" s="4260"/>
      <c r="GC36" s="4260"/>
      <c r="GD36" s="4260"/>
      <c r="GE36" s="4260"/>
      <c r="GF36" s="4260"/>
      <c r="GG36" s="4260"/>
      <c r="GH36" s="4260"/>
      <c r="GI36" s="4260"/>
      <c r="GJ36" s="4260"/>
      <c r="GK36" s="4260"/>
      <c r="GL36" s="4260"/>
      <c r="GM36" s="4260"/>
      <c r="GN36" s="4260"/>
      <c r="GO36" s="4260"/>
      <c r="GP36" s="4260"/>
      <c r="GQ36" s="4260"/>
      <c r="GR36" s="4260"/>
      <c r="GS36" s="4260"/>
      <c r="GT36" s="4260"/>
      <c r="GU36" s="4260"/>
      <c r="GV36" s="4260"/>
      <c r="GW36" s="4260"/>
      <c r="GX36" s="4260"/>
      <c r="GY36" s="4260"/>
      <c r="GZ36" s="4260"/>
      <c r="HA36" s="4260"/>
      <c r="HB36" s="4260"/>
      <c r="HC36" s="4260"/>
      <c r="HD36" s="4260"/>
      <c r="HE36" s="4260"/>
      <c r="HF36" s="4260"/>
      <c r="HG36" s="4260"/>
      <c r="HH36" s="4260"/>
      <c r="HI36" s="4260"/>
      <c r="HJ36" s="4260"/>
      <c r="HK36" s="4260"/>
      <c r="HL36" s="4260"/>
      <c r="HM36" s="4260"/>
      <c r="HN36" s="4260"/>
      <c r="HO36" s="4260"/>
      <c r="HP36" s="4260"/>
      <c r="HQ36" s="4260"/>
      <c r="HR36" s="4260"/>
      <c r="HS36" s="4260"/>
      <c r="HT36" s="4260"/>
      <c r="HU36" s="4260"/>
      <c r="HV36" s="4260"/>
      <c r="HW36" s="4260"/>
      <c r="HX36" s="4260"/>
      <c r="HY36" s="4260"/>
      <c r="HZ36" s="4260"/>
      <c r="IA36" s="4260"/>
    </row>
    <row r="37" spans="1:235" s="4295" customFormat="1" ht="51" customHeight="1" x14ac:dyDescent="0.25">
      <c r="A37" s="7631"/>
      <c r="B37" s="10268" t="s">
        <v>1690</v>
      </c>
      <c r="C37" s="10269"/>
      <c r="D37" s="4332" t="s">
        <v>3047</v>
      </c>
      <c r="E37" s="4333" t="s">
        <v>3048</v>
      </c>
      <c r="F37" s="4334" t="s">
        <v>3049</v>
      </c>
      <c r="G37" s="4334" t="s">
        <v>3050</v>
      </c>
      <c r="H37" s="4334" t="s">
        <v>3521</v>
      </c>
      <c r="I37" s="4334" t="s">
        <v>3520</v>
      </c>
      <c r="J37" s="4334" t="s">
        <v>3519</v>
      </c>
      <c r="K37" s="4333" t="s">
        <v>3517</v>
      </c>
      <c r="L37" s="4334" t="s">
        <v>361</v>
      </c>
      <c r="M37" s="4333" t="s">
        <v>362</v>
      </c>
      <c r="N37" s="4333" t="s">
        <v>3516</v>
      </c>
      <c r="O37" s="4335" t="s">
        <v>3518</v>
      </c>
      <c r="P37" s="4291"/>
      <c r="Q37" s="4291"/>
      <c r="R37" s="4291"/>
      <c r="S37" s="4291"/>
      <c r="T37" s="4291"/>
      <c r="U37" s="4291"/>
      <c r="V37" s="4291"/>
      <c r="W37" s="4291"/>
      <c r="X37" s="4291"/>
      <c r="Y37" s="4264"/>
      <c r="Z37" s="4264"/>
      <c r="AA37" s="4264"/>
      <c r="AB37" s="4258"/>
      <c r="AC37" s="4258"/>
      <c r="AD37" s="4258"/>
      <c r="AE37" s="4258"/>
      <c r="AF37" s="4258"/>
      <c r="AG37" s="4258"/>
      <c r="AH37" s="4258"/>
      <c r="AI37" s="4258"/>
      <c r="AJ37" s="4258"/>
      <c r="AK37" s="4258"/>
      <c r="AL37" s="4258"/>
      <c r="AM37" s="4258"/>
      <c r="AN37" s="4258"/>
      <c r="AO37" s="4258"/>
      <c r="AP37" s="4258"/>
      <c r="AQ37" s="4258"/>
      <c r="AR37" s="4258"/>
      <c r="AS37" s="4258"/>
      <c r="AT37" s="4258"/>
      <c r="AU37" s="4258"/>
      <c r="AV37" s="4258"/>
      <c r="AW37" s="4258"/>
      <c r="AX37" s="4258"/>
      <c r="AY37" s="4258"/>
      <c r="AZ37" s="4258"/>
      <c r="BA37" s="4258"/>
      <c r="BB37" s="4258"/>
      <c r="BC37" s="4258"/>
      <c r="BD37" s="4258"/>
      <c r="BE37" s="4258"/>
      <c r="BF37" s="4258"/>
      <c r="BG37" s="4258"/>
      <c r="BH37" s="4258"/>
      <c r="BI37" s="4258"/>
      <c r="BJ37" s="4258"/>
      <c r="BK37" s="4258"/>
      <c r="BL37" s="4258"/>
      <c r="BM37" s="4258"/>
      <c r="BN37" s="4258"/>
      <c r="BO37" s="4258"/>
      <c r="BP37" s="4258"/>
      <c r="BQ37" s="4258"/>
      <c r="BR37" s="4258"/>
      <c r="BS37" s="4258"/>
      <c r="BT37" s="4258"/>
      <c r="BU37" s="4258"/>
      <c r="BV37" s="4258"/>
      <c r="BW37" s="4258"/>
      <c r="BX37" s="4259"/>
      <c r="BY37" s="4260"/>
      <c r="BZ37" s="4260"/>
      <c r="CA37" s="4264"/>
      <c r="CB37" s="4262"/>
      <c r="CC37" s="4262"/>
      <c r="CD37" s="4262"/>
      <c r="CE37" s="4262"/>
      <c r="CF37" s="4262"/>
      <c r="CG37" s="4262"/>
      <c r="CH37" s="4261"/>
      <c r="CI37" s="4261"/>
      <c r="CJ37" s="4261"/>
      <c r="CK37" s="4261"/>
      <c r="CL37" s="4261"/>
      <c r="CM37" s="4261"/>
      <c r="CN37" s="4261"/>
      <c r="CO37" s="4261"/>
      <c r="CP37" s="4261"/>
      <c r="CQ37" s="4261"/>
      <c r="CR37" s="4261"/>
      <c r="CS37" s="4261"/>
      <c r="CT37" s="4261"/>
      <c r="CU37" s="4261"/>
      <c r="CV37" s="4261"/>
      <c r="CW37" s="4261"/>
      <c r="CX37" s="4261"/>
      <c r="CY37" s="4261"/>
      <c r="CZ37" s="4261"/>
      <c r="DA37" s="4262"/>
      <c r="DB37" s="4263"/>
      <c r="DC37" s="4294"/>
      <c r="DD37" s="4294"/>
      <c r="DE37" s="4294"/>
      <c r="DF37" s="4294"/>
      <c r="DG37" s="4294"/>
      <c r="DH37" s="4294"/>
      <c r="DI37" s="4294"/>
      <c r="DJ37" s="4294"/>
      <c r="DK37" s="4294"/>
      <c r="DL37" s="4294"/>
      <c r="DM37" s="4294"/>
      <c r="DN37" s="4294"/>
      <c r="DO37" s="4294"/>
      <c r="DP37" s="4294"/>
      <c r="DQ37" s="4294"/>
      <c r="DR37" s="4260"/>
      <c r="DS37" s="4260"/>
      <c r="DT37" s="4260"/>
      <c r="DU37" s="4260"/>
      <c r="DV37" s="4260"/>
      <c r="DW37" s="4260"/>
      <c r="DX37" s="4260"/>
      <c r="DY37" s="4260"/>
      <c r="DZ37" s="4260"/>
      <c r="EA37" s="4260"/>
      <c r="EB37" s="4260"/>
      <c r="EC37" s="4260"/>
      <c r="ED37" s="4260"/>
      <c r="EE37" s="4260"/>
      <c r="EF37" s="4260"/>
      <c r="EG37" s="4260"/>
      <c r="EH37" s="4260"/>
      <c r="EI37" s="4260"/>
      <c r="EJ37" s="4260"/>
      <c r="EK37" s="4260"/>
      <c r="EL37" s="4260"/>
      <c r="EM37" s="4260"/>
      <c r="EN37" s="4260"/>
      <c r="EO37" s="4260"/>
      <c r="EP37" s="4260"/>
      <c r="EQ37" s="4260"/>
      <c r="ER37" s="4260"/>
      <c r="ES37" s="4260"/>
      <c r="ET37" s="4260"/>
      <c r="EU37" s="4260"/>
      <c r="EV37" s="4260"/>
      <c r="EW37" s="4260"/>
      <c r="EX37" s="4260"/>
      <c r="EY37" s="4260"/>
      <c r="EZ37" s="4260"/>
      <c r="FA37" s="4260"/>
      <c r="FB37" s="4260"/>
      <c r="FC37" s="4260"/>
      <c r="FD37" s="4260"/>
      <c r="FE37" s="4260"/>
      <c r="FF37" s="4260"/>
      <c r="FG37" s="4260"/>
      <c r="FH37" s="4260"/>
      <c r="FI37" s="4260"/>
      <c r="FJ37" s="4260"/>
      <c r="FK37" s="4260"/>
      <c r="FL37" s="4260"/>
      <c r="FM37" s="4260"/>
      <c r="FN37" s="4260"/>
      <c r="FO37" s="4260"/>
      <c r="FP37" s="4260"/>
      <c r="FQ37" s="4260"/>
      <c r="FR37" s="4260"/>
      <c r="FS37" s="4260"/>
      <c r="FT37" s="4260"/>
      <c r="FU37" s="4260"/>
      <c r="FV37" s="4260"/>
      <c r="FW37" s="4260"/>
      <c r="FX37" s="4260"/>
      <c r="FY37" s="4260"/>
      <c r="FZ37" s="4260"/>
      <c r="GA37" s="4260"/>
      <c r="GB37" s="4260"/>
      <c r="GC37" s="4260"/>
      <c r="GD37" s="4260"/>
      <c r="GE37" s="4260"/>
      <c r="GF37" s="4260"/>
      <c r="GG37" s="4260"/>
      <c r="GH37" s="4260"/>
      <c r="GI37" s="4260"/>
      <c r="GJ37" s="4260"/>
      <c r="GK37" s="4260"/>
      <c r="GL37" s="4260"/>
      <c r="GM37" s="4260"/>
      <c r="GN37" s="4260"/>
      <c r="GO37" s="4260"/>
      <c r="GP37" s="4260"/>
      <c r="GQ37" s="4260"/>
      <c r="GR37" s="4260"/>
      <c r="GS37" s="4260"/>
      <c r="GT37" s="4260"/>
      <c r="GU37" s="4260"/>
      <c r="GV37" s="4260"/>
      <c r="GW37" s="4260"/>
      <c r="GX37" s="4260"/>
      <c r="GY37" s="4260"/>
      <c r="GZ37" s="4260"/>
      <c r="HA37" s="4260"/>
      <c r="HB37" s="4260"/>
      <c r="HC37" s="4260"/>
      <c r="HD37" s="4260"/>
      <c r="HE37" s="4260"/>
      <c r="HF37" s="4260"/>
      <c r="HG37" s="4260"/>
      <c r="HH37" s="4260"/>
      <c r="HI37" s="4260"/>
      <c r="HJ37" s="4260"/>
      <c r="HK37" s="4260"/>
      <c r="HL37" s="4260"/>
      <c r="HM37" s="4260"/>
      <c r="HN37" s="4260"/>
      <c r="HO37" s="4260"/>
      <c r="HP37" s="4260"/>
      <c r="HQ37" s="4260"/>
      <c r="HR37" s="4260"/>
      <c r="HS37" s="4260"/>
      <c r="HT37" s="4260"/>
      <c r="HU37" s="4260"/>
      <c r="HV37" s="4260"/>
      <c r="HW37" s="4260"/>
      <c r="HX37" s="4260"/>
      <c r="HY37" s="4260"/>
      <c r="HZ37" s="4260"/>
    </row>
    <row r="38" spans="1:235" s="4295" customFormat="1" ht="24" customHeight="1" x14ac:dyDescent="0.25">
      <c r="A38" s="7320">
        <v>29101531</v>
      </c>
      <c r="B38" s="10746" t="s">
        <v>3001</v>
      </c>
      <c r="C38" s="4336" t="s">
        <v>3002</v>
      </c>
      <c r="D38" s="4337" t="s">
        <v>5369</v>
      </c>
      <c r="E38" s="4338" t="s">
        <v>5370</v>
      </c>
      <c r="F38" s="4338" t="s">
        <v>5371</v>
      </c>
      <c r="G38" s="4338" t="s">
        <v>5372</v>
      </c>
      <c r="H38" s="4338" t="s">
        <v>5373</v>
      </c>
      <c r="I38" s="4338" t="s">
        <v>5374</v>
      </c>
      <c r="J38" s="4338" t="s">
        <v>5375</v>
      </c>
      <c r="K38" s="4338" t="s">
        <v>5376</v>
      </c>
      <c r="L38" s="4338" t="s">
        <v>5377</v>
      </c>
      <c r="M38" s="4338" t="s">
        <v>5378</v>
      </c>
      <c r="N38" s="4338" t="s">
        <v>5379</v>
      </c>
      <c r="O38" s="4339" t="s">
        <v>5380</v>
      </c>
      <c r="P38" s="4291"/>
      <c r="Q38" s="4291"/>
      <c r="R38" s="4291"/>
      <c r="S38" s="4291"/>
      <c r="T38" s="4291"/>
      <c r="U38" s="4291"/>
      <c r="V38" s="4291"/>
      <c r="W38" s="4291"/>
      <c r="X38" s="4291"/>
      <c r="Y38" s="4264"/>
      <c r="Z38" s="4264"/>
      <c r="AA38" s="4264"/>
      <c r="AB38" s="4258"/>
      <c r="AC38" s="4258"/>
      <c r="AD38" s="4258"/>
      <c r="AE38" s="4258"/>
      <c r="AF38" s="4258"/>
      <c r="AG38" s="4258"/>
      <c r="AH38" s="4258"/>
      <c r="AI38" s="4258"/>
      <c r="AJ38" s="4258"/>
      <c r="AK38" s="4258"/>
      <c r="AL38" s="4258"/>
      <c r="AM38" s="4258"/>
      <c r="AN38" s="4258"/>
      <c r="AO38" s="4258"/>
      <c r="AP38" s="4258"/>
      <c r="AQ38" s="4258"/>
      <c r="AR38" s="4258"/>
      <c r="AS38" s="4258"/>
      <c r="AT38" s="4258"/>
      <c r="AU38" s="4258"/>
      <c r="AV38" s="4258"/>
      <c r="AW38" s="4258"/>
      <c r="AX38" s="4258"/>
      <c r="AY38" s="4258"/>
      <c r="AZ38" s="4258"/>
      <c r="BA38" s="4258"/>
      <c r="BB38" s="4258"/>
      <c r="BC38" s="4258"/>
      <c r="BD38" s="4258"/>
      <c r="BE38" s="4258"/>
      <c r="BF38" s="4258"/>
      <c r="BG38" s="4258"/>
      <c r="BH38" s="4258"/>
      <c r="BI38" s="4258"/>
      <c r="BJ38" s="4258"/>
      <c r="BK38" s="4258"/>
      <c r="BL38" s="4258"/>
      <c r="BM38" s="4258"/>
      <c r="BN38" s="4258"/>
      <c r="BO38" s="4258"/>
      <c r="BP38" s="4258"/>
      <c r="BQ38" s="4258"/>
      <c r="BR38" s="4258"/>
      <c r="BS38" s="4258"/>
      <c r="BT38" s="4258"/>
      <c r="BU38" s="4258"/>
      <c r="BV38" s="4258"/>
      <c r="BW38" s="4258"/>
      <c r="BX38" s="4259"/>
      <c r="BY38" s="4260"/>
      <c r="BZ38" s="4260"/>
      <c r="CA38" s="4264"/>
      <c r="CB38" s="4262"/>
      <c r="CC38" s="4262"/>
      <c r="CD38" s="4262"/>
      <c r="CE38" s="4262"/>
      <c r="CF38" s="4262"/>
      <c r="CG38" s="4262"/>
      <c r="CH38" s="4261"/>
      <c r="CI38" s="4261"/>
      <c r="CJ38" s="4261"/>
      <c r="CK38" s="4261"/>
      <c r="CL38" s="4261"/>
      <c r="CM38" s="4261"/>
      <c r="CN38" s="4261"/>
      <c r="CO38" s="4261"/>
      <c r="CP38" s="4261"/>
      <c r="CQ38" s="4261"/>
      <c r="CR38" s="4261"/>
      <c r="CS38" s="4261"/>
      <c r="CT38" s="4261"/>
      <c r="CU38" s="4261"/>
      <c r="CV38" s="4261"/>
      <c r="CW38" s="4261"/>
      <c r="CX38" s="4261"/>
      <c r="CY38" s="4261"/>
      <c r="CZ38" s="4261"/>
      <c r="DA38" s="4262"/>
      <c r="DB38" s="4263"/>
      <c r="DC38" s="4294"/>
      <c r="DD38" s="4294"/>
      <c r="DE38" s="4294"/>
      <c r="DF38" s="4294"/>
      <c r="DG38" s="4294"/>
      <c r="DH38" s="4294"/>
      <c r="DI38" s="4294"/>
      <c r="DJ38" s="4294"/>
      <c r="DK38" s="4294"/>
      <c r="DL38" s="4294"/>
      <c r="DM38" s="4294"/>
      <c r="DN38" s="4294"/>
      <c r="DO38" s="4294"/>
      <c r="DP38" s="4294"/>
      <c r="DQ38" s="4294"/>
      <c r="DR38" s="4260"/>
      <c r="DS38" s="4260"/>
      <c r="DT38" s="4260"/>
      <c r="DU38" s="4260"/>
      <c r="DV38" s="4260"/>
      <c r="DW38" s="4260"/>
      <c r="DX38" s="4260"/>
      <c r="DY38" s="4260"/>
      <c r="DZ38" s="4260"/>
      <c r="EA38" s="4260"/>
      <c r="EB38" s="4260"/>
      <c r="EC38" s="4260"/>
      <c r="ED38" s="4260"/>
      <c r="EE38" s="4260"/>
      <c r="EF38" s="4260"/>
      <c r="EG38" s="4260"/>
      <c r="EH38" s="4260"/>
      <c r="EI38" s="4260"/>
      <c r="EJ38" s="4260"/>
      <c r="EK38" s="4260"/>
      <c r="EL38" s="4260"/>
      <c r="EM38" s="4260"/>
      <c r="EN38" s="4260"/>
      <c r="EO38" s="4260"/>
      <c r="EP38" s="4260"/>
      <c r="EQ38" s="4260"/>
      <c r="ER38" s="4260"/>
      <c r="ES38" s="4260"/>
      <c r="ET38" s="4260"/>
      <c r="EU38" s="4260"/>
      <c r="EV38" s="4260"/>
      <c r="EW38" s="4260"/>
      <c r="EX38" s="4260"/>
      <c r="EY38" s="4260"/>
      <c r="EZ38" s="4260"/>
      <c r="FA38" s="4260"/>
      <c r="FB38" s="4260"/>
      <c r="FC38" s="4260"/>
      <c r="FD38" s="4260"/>
      <c r="FE38" s="4260"/>
      <c r="FF38" s="4260"/>
      <c r="FG38" s="4260"/>
      <c r="FH38" s="4260"/>
      <c r="FI38" s="4260"/>
      <c r="FJ38" s="4260"/>
      <c r="FK38" s="4260"/>
      <c r="FL38" s="4260"/>
      <c r="FM38" s="4260"/>
      <c r="FN38" s="4260"/>
      <c r="FO38" s="4260"/>
      <c r="FP38" s="4260"/>
      <c r="FQ38" s="4260"/>
      <c r="FR38" s="4260"/>
      <c r="FS38" s="4260"/>
      <c r="FT38" s="4260"/>
      <c r="FU38" s="4260"/>
      <c r="FV38" s="4260"/>
      <c r="FW38" s="4260"/>
      <c r="FX38" s="4260"/>
      <c r="FY38" s="4260"/>
      <c r="FZ38" s="4260"/>
      <c r="GA38" s="4260"/>
      <c r="GB38" s="4260"/>
      <c r="GC38" s="4260"/>
      <c r="GD38" s="4260"/>
      <c r="GE38" s="4260"/>
      <c r="GF38" s="4260"/>
      <c r="GG38" s="4260"/>
      <c r="GH38" s="4260"/>
      <c r="GI38" s="4260"/>
      <c r="GJ38" s="4260"/>
      <c r="GK38" s="4260"/>
      <c r="GL38" s="4260"/>
      <c r="GM38" s="4260"/>
      <c r="GN38" s="4260"/>
      <c r="GO38" s="4260"/>
      <c r="GP38" s="4260"/>
      <c r="GQ38" s="4260"/>
      <c r="GR38" s="4260"/>
      <c r="GS38" s="4260"/>
      <c r="GT38" s="4260"/>
      <c r="GU38" s="4260"/>
      <c r="GV38" s="4260"/>
      <c r="GW38" s="4260"/>
      <c r="GX38" s="4260"/>
      <c r="GY38" s="4260"/>
      <c r="GZ38" s="4260"/>
      <c r="HA38" s="4260"/>
      <c r="HB38" s="4260"/>
      <c r="HC38" s="4260"/>
      <c r="HD38" s="4260"/>
      <c r="HE38" s="4260"/>
      <c r="HF38" s="4260"/>
      <c r="HG38" s="4260"/>
      <c r="HH38" s="4260"/>
      <c r="HI38" s="4260"/>
      <c r="HJ38" s="4260"/>
      <c r="HK38" s="4260"/>
      <c r="HL38" s="4260"/>
      <c r="HM38" s="4260"/>
      <c r="HN38" s="4260"/>
      <c r="HO38" s="4260"/>
      <c r="HP38" s="4260"/>
      <c r="HQ38" s="4260"/>
      <c r="HR38" s="4260"/>
      <c r="HS38" s="4260"/>
      <c r="HT38" s="4260"/>
      <c r="HU38" s="4260"/>
      <c r="HV38" s="4260"/>
      <c r="HW38" s="4260"/>
      <c r="HX38" s="4260"/>
      <c r="HY38" s="4260"/>
      <c r="HZ38" s="4260"/>
    </row>
    <row r="39" spans="1:235" s="4295" customFormat="1" ht="34.950000000000003" customHeight="1" x14ac:dyDescent="0.25">
      <c r="A39" s="7631">
        <v>26273106</v>
      </c>
      <c r="B39" s="10746"/>
      <c r="C39" s="4340" t="s">
        <v>3705</v>
      </c>
      <c r="D39" s="4341" t="s">
        <v>5369</v>
      </c>
      <c r="E39" s="4342" t="s">
        <v>5370</v>
      </c>
      <c r="F39" s="4342" t="s">
        <v>5371</v>
      </c>
      <c r="G39" s="4342" t="s">
        <v>5372</v>
      </c>
      <c r="H39" s="4342" t="s">
        <v>5373</v>
      </c>
      <c r="I39" s="4342" t="s">
        <v>5374</v>
      </c>
      <c r="J39" s="4342" t="s">
        <v>5375</v>
      </c>
      <c r="K39" s="4342" t="s">
        <v>5376</v>
      </c>
      <c r="L39" s="4342" t="s">
        <v>5377</v>
      </c>
      <c r="M39" s="4342" t="s">
        <v>5378</v>
      </c>
      <c r="N39" s="4342" t="s">
        <v>5379</v>
      </c>
      <c r="O39" s="4343" t="s">
        <v>5380</v>
      </c>
      <c r="P39" s="4291"/>
      <c r="Q39" s="4291"/>
      <c r="R39" s="4291"/>
      <c r="S39" s="4291"/>
      <c r="T39" s="4291"/>
      <c r="U39" s="4291"/>
      <c r="V39" s="4291"/>
      <c r="W39" s="4291"/>
      <c r="X39" s="4291"/>
      <c r="Y39" s="4264"/>
      <c r="Z39" s="4264"/>
      <c r="AA39" s="4264"/>
      <c r="AB39" s="4258"/>
      <c r="AC39" s="4258"/>
      <c r="AD39" s="4258"/>
      <c r="AE39" s="4258"/>
      <c r="AF39" s="4258"/>
      <c r="AG39" s="4258"/>
      <c r="AH39" s="4258"/>
      <c r="AI39" s="4258"/>
      <c r="AJ39" s="4258"/>
      <c r="AK39" s="4258"/>
      <c r="AL39" s="4258"/>
      <c r="AM39" s="4258"/>
      <c r="AN39" s="4258"/>
      <c r="AO39" s="4258"/>
      <c r="AP39" s="4258"/>
      <c r="AQ39" s="4258"/>
      <c r="AR39" s="4258"/>
      <c r="AS39" s="4258"/>
      <c r="AT39" s="4258"/>
      <c r="AU39" s="4258"/>
      <c r="AV39" s="4258"/>
      <c r="AW39" s="4258"/>
      <c r="AX39" s="4258"/>
      <c r="AY39" s="4258"/>
      <c r="AZ39" s="4258"/>
      <c r="BA39" s="4258"/>
      <c r="BB39" s="4258"/>
      <c r="BC39" s="4258"/>
      <c r="BD39" s="4258"/>
      <c r="BE39" s="4258"/>
      <c r="BF39" s="4258"/>
      <c r="BG39" s="4258"/>
      <c r="BH39" s="4258"/>
      <c r="BI39" s="4258"/>
      <c r="BJ39" s="4258"/>
      <c r="BK39" s="4258"/>
      <c r="BL39" s="4258"/>
      <c r="BM39" s="4258"/>
      <c r="BN39" s="4258"/>
      <c r="BO39" s="4258"/>
      <c r="BP39" s="4258"/>
      <c r="BQ39" s="4258"/>
      <c r="BR39" s="4258"/>
      <c r="BS39" s="4258"/>
      <c r="BT39" s="4258"/>
      <c r="BU39" s="4258"/>
      <c r="BV39" s="4258"/>
      <c r="BW39" s="4258"/>
      <c r="BX39" s="4259"/>
      <c r="BY39" s="4260"/>
      <c r="BZ39" s="4260"/>
      <c r="CA39" s="4264"/>
      <c r="CB39" s="4262"/>
      <c r="CC39" s="4262"/>
      <c r="CD39" s="4262"/>
      <c r="CE39" s="4262"/>
      <c r="CF39" s="4262"/>
      <c r="CG39" s="4262"/>
      <c r="CH39" s="4261"/>
      <c r="CI39" s="4261"/>
      <c r="CJ39" s="4261"/>
      <c r="CK39" s="4261"/>
      <c r="CL39" s="4261"/>
      <c r="CM39" s="4261"/>
      <c r="CN39" s="4261"/>
      <c r="CO39" s="4261"/>
      <c r="CP39" s="4261"/>
      <c r="CQ39" s="4261"/>
      <c r="CR39" s="4261"/>
      <c r="CS39" s="4261"/>
      <c r="CT39" s="4261"/>
      <c r="CU39" s="4261"/>
      <c r="CV39" s="4261"/>
      <c r="CW39" s="4261"/>
      <c r="CX39" s="4261"/>
      <c r="CY39" s="4261"/>
      <c r="CZ39" s="4261"/>
      <c r="DA39" s="4262"/>
      <c r="DB39" s="4263"/>
      <c r="DC39" s="4294"/>
      <c r="DD39" s="4294"/>
      <c r="DE39" s="4294"/>
      <c r="DF39" s="4294"/>
      <c r="DG39" s="4294"/>
      <c r="DH39" s="4294"/>
      <c r="DI39" s="4294"/>
      <c r="DJ39" s="4294"/>
      <c r="DK39" s="4294"/>
      <c r="DL39" s="4294"/>
      <c r="DM39" s="4294"/>
      <c r="DN39" s="4294"/>
      <c r="DO39" s="4294"/>
      <c r="DP39" s="4294"/>
      <c r="DQ39" s="4294"/>
      <c r="DR39" s="4260"/>
      <c r="DS39" s="4260"/>
      <c r="DT39" s="4260"/>
      <c r="DU39" s="4260"/>
      <c r="DV39" s="4260"/>
      <c r="DW39" s="4260"/>
      <c r="DX39" s="4260"/>
      <c r="DY39" s="4260"/>
      <c r="DZ39" s="4260"/>
      <c r="EA39" s="4260"/>
      <c r="EB39" s="4260"/>
      <c r="EC39" s="4260"/>
      <c r="ED39" s="4260"/>
      <c r="EE39" s="4260"/>
      <c r="EF39" s="4260"/>
      <c r="EG39" s="4260"/>
      <c r="EH39" s="4260"/>
      <c r="EI39" s="4260"/>
      <c r="EJ39" s="4260"/>
      <c r="EK39" s="4260"/>
      <c r="EL39" s="4260"/>
      <c r="EM39" s="4260"/>
      <c r="EN39" s="4260"/>
      <c r="EO39" s="4260"/>
      <c r="EP39" s="4260"/>
      <c r="EQ39" s="4260"/>
      <c r="ER39" s="4260"/>
      <c r="ES39" s="4260"/>
      <c r="ET39" s="4260"/>
      <c r="EU39" s="4260"/>
      <c r="EV39" s="4260"/>
      <c r="EW39" s="4260"/>
      <c r="EX39" s="4260"/>
      <c r="EY39" s="4260"/>
      <c r="EZ39" s="4260"/>
      <c r="FA39" s="4260"/>
      <c r="FB39" s="4260"/>
      <c r="FC39" s="4260"/>
      <c r="FD39" s="4260"/>
      <c r="FE39" s="4260"/>
      <c r="FF39" s="4260"/>
      <c r="FG39" s="4260"/>
      <c r="FH39" s="4260"/>
      <c r="FI39" s="4260"/>
      <c r="FJ39" s="4260"/>
      <c r="FK39" s="4260"/>
      <c r="FL39" s="4260"/>
      <c r="FM39" s="4260"/>
      <c r="FN39" s="4260"/>
      <c r="FO39" s="4260"/>
      <c r="FP39" s="4260"/>
      <c r="FQ39" s="4260"/>
      <c r="FR39" s="4260"/>
      <c r="FS39" s="4260"/>
      <c r="FT39" s="4260"/>
      <c r="FU39" s="4260"/>
      <c r="FV39" s="4260"/>
      <c r="FW39" s="4260"/>
      <c r="FX39" s="4260"/>
      <c r="FY39" s="4260"/>
      <c r="FZ39" s="4260"/>
      <c r="GA39" s="4260"/>
      <c r="GB39" s="4260"/>
      <c r="GC39" s="4260"/>
      <c r="GD39" s="4260"/>
      <c r="GE39" s="4260"/>
      <c r="GF39" s="4260"/>
      <c r="GG39" s="4260"/>
      <c r="GH39" s="4260"/>
      <c r="GI39" s="4260"/>
      <c r="GJ39" s="4260"/>
      <c r="GK39" s="4260"/>
      <c r="GL39" s="4260"/>
      <c r="GM39" s="4260"/>
      <c r="GN39" s="4260"/>
      <c r="GO39" s="4260"/>
      <c r="GP39" s="4260"/>
      <c r="GQ39" s="4260"/>
      <c r="GR39" s="4260"/>
      <c r="GS39" s="4260"/>
      <c r="GT39" s="4260"/>
      <c r="GU39" s="4260"/>
      <c r="GV39" s="4260"/>
      <c r="GW39" s="4260"/>
      <c r="GX39" s="4260"/>
      <c r="GY39" s="4260"/>
      <c r="GZ39" s="4260"/>
      <c r="HA39" s="4260"/>
      <c r="HB39" s="4260"/>
      <c r="HC39" s="4260"/>
      <c r="HD39" s="4260"/>
      <c r="HE39" s="4260"/>
      <c r="HF39" s="4260"/>
      <c r="HG39" s="4260"/>
      <c r="HH39" s="4260"/>
      <c r="HI39" s="4260"/>
      <c r="HJ39" s="4260"/>
      <c r="HK39" s="4260"/>
      <c r="HL39" s="4260"/>
      <c r="HM39" s="4260"/>
      <c r="HN39" s="4260"/>
      <c r="HO39" s="4260"/>
      <c r="HP39" s="4260"/>
      <c r="HQ39" s="4260"/>
      <c r="HR39" s="4260"/>
      <c r="HS39" s="4260"/>
      <c r="HT39" s="4260"/>
      <c r="HU39" s="4260"/>
      <c r="HV39" s="4260"/>
      <c r="HW39" s="4260"/>
      <c r="HX39" s="4260"/>
      <c r="HY39" s="4260"/>
      <c r="HZ39" s="4260"/>
    </row>
    <row r="40" spans="1:235" s="4295" customFormat="1" ht="38.25" customHeight="1" x14ac:dyDescent="0.25">
      <c r="A40" s="7631">
        <v>26261400</v>
      </c>
      <c r="B40" s="10746"/>
      <c r="C40" s="4340" t="s">
        <v>1709</v>
      </c>
      <c r="D40" s="4341" t="s">
        <v>5369</v>
      </c>
      <c r="E40" s="4342" t="s">
        <v>5370</v>
      </c>
      <c r="F40" s="4342" t="s">
        <v>5371</v>
      </c>
      <c r="G40" s="4342" t="s">
        <v>5372</v>
      </c>
      <c r="H40" s="4342" t="s">
        <v>5373</v>
      </c>
      <c r="I40" s="4342" t="s">
        <v>5374</v>
      </c>
      <c r="J40" s="4342" t="s">
        <v>5375</v>
      </c>
      <c r="K40" s="4342" t="s">
        <v>5376</v>
      </c>
      <c r="L40" s="4342" t="s">
        <v>5377</v>
      </c>
      <c r="M40" s="4342" t="s">
        <v>5378</v>
      </c>
      <c r="N40" s="4342" t="s">
        <v>5379</v>
      </c>
      <c r="O40" s="4343" t="s">
        <v>5380</v>
      </c>
      <c r="P40" s="4291"/>
      <c r="Q40" s="4291"/>
      <c r="R40" s="4291"/>
      <c r="S40" s="4291"/>
      <c r="T40" s="4291"/>
      <c r="U40" s="4291"/>
      <c r="V40" s="4291"/>
      <c r="W40" s="4291"/>
      <c r="X40" s="4291"/>
      <c r="Y40" s="4264"/>
      <c r="Z40" s="4264"/>
      <c r="AA40" s="4264"/>
      <c r="AB40" s="4258"/>
      <c r="AC40" s="4258"/>
      <c r="AD40" s="4258"/>
      <c r="AE40" s="4258"/>
      <c r="AF40" s="4258"/>
      <c r="AG40" s="4258"/>
      <c r="AH40" s="4258"/>
      <c r="AI40" s="4258"/>
      <c r="AJ40" s="4258"/>
      <c r="AK40" s="4258"/>
      <c r="AL40" s="4258"/>
      <c r="AM40" s="4258"/>
      <c r="AN40" s="4258"/>
      <c r="AO40" s="4258"/>
      <c r="AP40" s="4258"/>
      <c r="AQ40" s="4258"/>
      <c r="AR40" s="4258"/>
      <c r="AS40" s="4258"/>
      <c r="AT40" s="4258"/>
      <c r="AU40" s="4258"/>
      <c r="AV40" s="4258"/>
      <c r="AW40" s="4258"/>
      <c r="AX40" s="4258"/>
      <c r="AY40" s="4258"/>
      <c r="AZ40" s="4258"/>
      <c r="BA40" s="4258"/>
      <c r="BB40" s="4258"/>
      <c r="BC40" s="4258"/>
      <c r="BD40" s="4258"/>
      <c r="BE40" s="4258"/>
      <c r="BF40" s="4258"/>
      <c r="BG40" s="4258"/>
      <c r="BH40" s="4258"/>
      <c r="BI40" s="4258"/>
      <c r="BJ40" s="4258"/>
      <c r="BK40" s="4258"/>
      <c r="BL40" s="4258"/>
      <c r="BM40" s="4258"/>
      <c r="BN40" s="4258"/>
      <c r="BO40" s="4258"/>
      <c r="BP40" s="4258"/>
      <c r="BQ40" s="4258"/>
      <c r="BR40" s="4258"/>
      <c r="BS40" s="4258"/>
      <c r="BT40" s="4258"/>
      <c r="BU40" s="4258"/>
      <c r="BV40" s="4258"/>
      <c r="BW40" s="4258"/>
      <c r="BX40" s="4259"/>
      <c r="BY40" s="4260"/>
      <c r="BZ40" s="4260"/>
      <c r="CA40" s="4264"/>
      <c r="CB40" s="4262"/>
      <c r="CC40" s="4262"/>
      <c r="CD40" s="4262"/>
      <c r="CE40" s="4262"/>
      <c r="CF40" s="4262"/>
      <c r="CG40" s="4262"/>
      <c r="CH40" s="4261"/>
      <c r="CI40" s="4261"/>
      <c r="CJ40" s="4261"/>
      <c r="CK40" s="4261"/>
      <c r="CL40" s="4261"/>
      <c r="CM40" s="4261"/>
      <c r="CN40" s="4261"/>
      <c r="CO40" s="4261"/>
      <c r="CP40" s="4261"/>
      <c r="CQ40" s="4261"/>
      <c r="CR40" s="4261"/>
      <c r="CS40" s="4261"/>
      <c r="CT40" s="4261"/>
      <c r="CU40" s="4261"/>
      <c r="CV40" s="4261"/>
      <c r="CW40" s="4261"/>
      <c r="CX40" s="4261"/>
      <c r="CY40" s="4261"/>
      <c r="CZ40" s="4261"/>
      <c r="DA40" s="4262"/>
      <c r="DB40" s="4263"/>
      <c r="DC40" s="4294"/>
      <c r="DD40" s="4294"/>
      <c r="DE40" s="4294"/>
      <c r="DF40" s="4294"/>
      <c r="DG40" s="4294"/>
      <c r="DH40" s="4294"/>
      <c r="DI40" s="4294"/>
      <c r="DJ40" s="4294"/>
      <c r="DK40" s="4294"/>
      <c r="DL40" s="4294"/>
      <c r="DM40" s="4294"/>
      <c r="DN40" s="4294"/>
      <c r="DO40" s="4294"/>
      <c r="DP40" s="4294"/>
      <c r="DQ40" s="4294"/>
      <c r="DR40" s="4260"/>
      <c r="DS40" s="4260"/>
      <c r="DT40" s="4260"/>
      <c r="DU40" s="4260"/>
      <c r="DV40" s="4260"/>
      <c r="DW40" s="4260"/>
      <c r="DX40" s="4260"/>
      <c r="DY40" s="4260"/>
      <c r="DZ40" s="4260"/>
      <c r="EA40" s="4260"/>
      <c r="EB40" s="4260"/>
      <c r="EC40" s="4260"/>
      <c r="ED40" s="4260"/>
      <c r="EE40" s="4260"/>
      <c r="EF40" s="4260"/>
      <c r="EG40" s="4260"/>
      <c r="EH40" s="4260"/>
      <c r="EI40" s="4260"/>
      <c r="EJ40" s="4260"/>
      <c r="EK40" s="4260"/>
      <c r="EL40" s="4260"/>
      <c r="EM40" s="4260"/>
      <c r="EN40" s="4260"/>
      <c r="EO40" s="4260"/>
      <c r="EP40" s="4260"/>
      <c r="EQ40" s="4260"/>
      <c r="ER40" s="4260"/>
      <c r="ES40" s="4260"/>
      <c r="ET40" s="4260"/>
      <c r="EU40" s="4260"/>
      <c r="EV40" s="4260"/>
      <c r="EW40" s="4260"/>
      <c r="EX40" s="4260"/>
      <c r="EY40" s="4260"/>
      <c r="EZ40" s="4260"/>
      <c r="FA40" s="4260"/>
      <c r="FB40" s="4260"/>
      <c r="FC40" s="4260"/>
      <c r="FD40" s="4260"/>
      <c r="FE40" s="4260"/>
      <c r="FF40" s="4260"/>
      <c r="FG40" s="4260"/>
      <c r="FH40" s="4260"/>
      <c r="FI40" s="4260"/>
      <c r="FJ40" s="4260"/>
      <c r="FK40" s="4260"/>
      <c r="FL40" s="4260"/>
      <c r="FM40" s="4260"/>
      <c r="FN40" s="4260"/>
      <c r="FO40" s="4260"/>
      <c r="FP40" s="4260"/>
      <c r="FQ40" s="4260"/>
      <c r="FR40" s="4260"/>
      <c r="FS40" s="4260"/>
      <c r="FT40" s="4260"/>
      <c r="FU40" s="4260"/>
      <c r="FV40" s="4260"/>
      <c r="FW40" s="4260"/>
      <c r="FX40" s="4260"/>
      <c r="FY40" s="4260"/>
      <c r="FZ40" s="4260"/>
      <c r="GA40" s="4260"/>
      <c r="GB40" s="4260"/>
      <c r="GC40" s="4260"/>
      <c r="GD40" s="4260"/>
      <c r="GE40" s="4260"/>
      <c r="GF40" s="4260"/>
      <c r="GG40" s="4260"/>
      <c r="GH40" s="4260"/>
      <c r="GI40" s="4260"/>
      <c r="GJ40" s="4260"/>
      <c r="GK40" s="4260"/>
      <c r="GL40" s="4260"/>
      <c r="GM40" s="4260"/>
      <c r="GN40" s="4260"/>
      <c r="GO40" s="4260"/>
      <c r="GP40" s="4260"/>
      <c r="GQ40" s="4260"/>
      <c r="GR40" s="4260"/>
      <c r="GS40" s="4260"/>
      <c r="GT40" s="4260"/>
      <c r="GU40" s="4260"/>
      <c r="GV40" s="4260"/>
      <c r="GW40" s="4260"/>
      <c r="GX40" s="4260"/>
      <c r="GY40" s="4260"/>
      <c r="GZ40" s="4260"/>
      <c r="HA40" s="4260"/>
      <c r="HB40" s="4260"/>
      <c r="HC40" s="4260"/>
      <c r="HD40" s="4260"/>
      <c r="HE40" s="4260"/>
      <c r="HF40" s="4260"/>
      <c r="HG40" s="4260"/>
      <c r="HH40" s="4260"/>
      <c r="HI40" s="4260"/>
      <c r="HJ40" s="4260"/>
      <c r="HK40" s="4260"/>
      <c r="HL40" s="4260"/>
      <c r="HM40" s="4260"/>
      <c r="HN40" s="4260"/>
      <c r="HO40" s="4260"/>
      <c r="HP40" s="4260"/>
      <c r="HQ40" s="4260"/>
      <c r="HR40" s="4260"/>
      <c r="HS40" s="4260"/>
      <c r="HT40" s="4260"/>
      <c r="HU40" s="4260"/>
      <c r="HV40" s="4260"/>
      <c r="HW40" s="4260"/>
      <c r="HX40" s="4260"/>
      <c r="HY40" s="4260"/>
      <c r="HZ40" s="4260"/>
    </row>
    <row r="41" spans="1:235" s="4295" customFormat="1" ht="31.5" customHeight="1" x14ac:dyDescent="0.25">
      <c r="A41" s="7631">
        <v>26300100</v>
      </c>
      <c r="B41" s="10746"/>
      <c r="C41" s="4344" t="s">
        <v>1706</v>
      </c>
      <c r="D41" s="4345" t="s">
        <v>5369</v>
      </c>
      <c r="E41" s="4346" t="s">
        <v>5370</v>
      </c>
      <c r="F41" s="4346" t="s">
        <v>5371</v>
      </c>
      <c r="G41" s="4346" t="s">
        <v>5372</v>
      </c>
      <c r="H41" s="4346" t="s">
        <v>5373</v>
      </c>
      <c r="I41" s="4346" t="s">
        <v>5374</v>
      </c>
      <c r="J41" s="4346" t="s">
        <v>5375</v>
      </c>
      <c r="K41" s="4346" t="s">
        <v>5376</v>
      </c>
      <c r="L41" s="4346" t="s">
        <v>5377</v>
      </c>
      <c r="M41" s="4346" t="s">
        <v>5378</v>
      </c>
      <c r="N41" s="4346" t="s">
        <v>5379</v>
      </c>
      <c r="O41" s="4347" t="s">
        <v>5380</v>
      </c>
      <c r="P41" s="4291"/>
      <c r="Q41" s="4291"/>
      <c r="R41" s="4291"/>
      <c r="S41" s="4291"/>
      <c r="T41" s="4291"/>
      <c r="U41" s="4291"/>
      <c r="V41" s="4291"/>
      <c r="W41" s="4291"/>
      <c r="X41" s="4291"/>
      <c r="Y41" s="4264"/>
      <c r="Z41" s="4264"/>
      <c r="AA41" s="4264"/>
      <c r="AB41" s="4258"/>
      <c r="AC41" s="4258"/>
      <c r="AD41" s="4258"/>
      <c r="AE41" s="4258"/>
      <c r="AF41" s="4258"/>
      <c r="AG41" s="4258"/>
      <c r="AH41" s="4258"/>
      <c r="AI41" s="4258"/>
      <c r="AJ41" s="4258"/>
      <c r="AK41" s="4258"/>
      <c r="AL41" s="4258"/>
      <c r="AM41" s="4258"/>
      <c r="AN41" s="4258"/>
      <c r="AO41" s="4258"/>
      <c r="AP41" s="4258"/>
      <c r="AQ41" s="4258"/>
      <c r="AR41" s="4258"/>
      <c r="AS41" s="4258"/>
      <c r="AT41" s="4258"/>
      <c r="AU41" s="4258"/>
      <c r="AV41" s="4258"/>
      <c r="AW41" s="4258"/>
      <c r="AX41" s="4258"/>
      <c r="AY41" s="4258"/>
      <c r="AZ41" s="4258"/>
      <c r="BA41" s="4258"/>
      <c r="BB41" s="4258"/>
      <c r="BC41" s="4258"/>
      <c r="BD41" s="4258"/>
      <c r="BE41" s="4258"/>
      <c r="BF41" s="4258"/>
      <c r="BG41" s="4258"/>
      <c r="BH41" s="4258"/>
      <c r="BI41" s="4258"/>
      <c r="BJ41" s="4258"/>
      <c r="BK41" s="4258"/>
      <c r="BL41" s="4258"/>
      <c r="BM41" s="4258"/>
      <c r="BN41" s="4258"/>
      <c r="BO41" s="4258"/>
      <c r="BP41" s="4258"/>
      <c r="BQ41" s="4258"/>
      <c r="BR41" s="4258"/>
      <c r="BS41" s="4258"/>
      <c r="BT41" s="4258"/>
      <c r="BU41" s="4258"/>
      <c r="BV41" s="4258"/>
      <c r="BW41" s="4258"/>
      <c r="BX41" s="4259"/>
      <c r="BY41" s="4260"/>
      <c r="BZ41" s="4260"/>
      <c r="CA41" s="4264"/>
      <c r="CB41" s="4262"/>
      <c r="CC41" s="4262"/>
      <c r="CD41" s="4262"/>
      <c r="CE41" s="4262"/>
      <c r="CF41" s="4262"/>
      <c r="CG41" s="4262"/>
      <c r="CH41" s="4262"/>
      <c r="CI41" s="4261"/>
      <c r="CJ41" s="4261"/>
      <c r="CK41" s="4261"/>
      <c r="CL41" s="4261"/>
      <c r="CM41" s="4261"/>
      <c r="CN41" s="4261"/>
      <c r="CO41" s="4261"/>
      <c r="CP41" s="4261"/>
      <c r="CQ41" s="4261"/>
      <c r="CR41" s="4261"/>
      <c r="CS41" s="4261"/>
      <c r="CT41" s="4261"/>
      <c r="CU41" s="4261"/>
      <c r="CV41" s="4261"/>
      <c r="CW41" s="4261"/>
      <c r="CX41" s="4261"/>
      <c r="CY41" s="4261"/>
      <c r="CZ41" s="4261"/>
      <c r="DA41" s="4262"/>
      <c r="DB41" s="4294"/>
      <c r="DC41" s="4294"/>
      <c r="DD41" s="4294"/>
      <c r="DE41" s="4294"/>
      <c r="DF41" s="4294"/>
      <c r="DG41" s="4294"/>
      <c r="DH41" s="4294"/>
      <c r="DI41" s="4294"/>
      <c r="DJ41" s="4294"/>
      <c r="DK41" s="4294"/>
      <c r="DL41" s="4294"/>
      <c r="DM41" s="4294"/>
      <c r="DN41" s="4294"/>
      <c r="DO41" s="4294"/>
      <c r="DP41" s="4294"/>
      <c r="DQ41" s="4294"/>
      <c r="DR41" s="4260"/>
      <c r="DS41" s="4260"/>
      <c r="DT41" s="4260"/>
      <c r="DU41" s="4260"/>
      <c r="DV41" s="4260"/>
      <c r="DW41" s="4260"/>
      <c r="DX41" s="4260"/>
      <c r="DY41" s="4260"/>
      <c r="DZ41" s="4260"/>
      <c r="EA41" s="4260"/>
      <c r="EB41" s="4260"/>
      <c r="EC41" s="4260"/>
      <c r="ED41" s="4260"/>
      <c r="EE41" s="4260"/>
      <c r="EF41" s="4260"/>
      <c r="EG41" s="4260"/>
      <c r="EH41" s="4260"/>
      <c r="EI41" s="4260"/>
      <c r="EJ41" s="4260"/>
      <c r="EK41" s="4260"/>
      <c r="EL41" s="4260"/>
      <c r="EM41" s="4260"/>
      <c r="EN41" s="4260"/>
      <c r="EO41" s="4260"/>
      <c r="EP41" s="4260"/>
      <c r="EQ41" s="4260"/>
      <c r="ER41" s="4260"/>
      <c r="ES41" s="4260"/>
      <c r="ET41" s="4260"/>
      <c r="EU41" s="4260"/>
      <c r="EV41" s="4260"/>
      <c r="EW41" s="4260"/>
      <c r="EX41" s="4260"/>
      <c r="EY41" s="4260"/>
      <c r="EZ41" s="4260"/>
      <c r="FA41" s="4260"/>
      <c r="FB41" s="4260"/>
      <c r="FC41" s="4260"/>
      <c r="FD41" s="4260"/>
      <c r="FE41" s="4260"/>
      <c r="FF41" s="4260"/>
      <c r="FG41" s="4260"/>
      <c r="FH41" s="4260"/>
      <c r="FI41" s="4260"/>
      <c r="FJ41" s="4260"/>
      <c r="FK41" s="4260"/>
      <c r="FL41" s="4260"/>
      <c r="FM41" s="4260"/>
      <c r="FN41" s="4260"/>
      <c r="FO41" s="4260"/>
      <c r="FP41" s="4260"/>
      <c r="FQ41" s="4260"/>
      <c r="FR41" s="4260"/>
      <c r="FS41" s="4260"/>
      <c r="FT41" s="4260"/>
      <c r="FU41" s="4260"/>
      <c r="FV41" s="4260"/>
      <c r="FW41" s="4260"/>
      <c r="FX41" s="4260"/>
      <c r="FY41" s="4260"/>
      <c r="FZ41" s="4260"/>
      <c r="GA41" s="4260"/>
      <c r="GB41" s="4260"/>
      <c r="GC41" s="4260"/>
      <c r="GD41" s="4260"/>
      <c r="GE41" s="4260"/>
      <c r="GF41" s="4260"/>
      <c r="GG41" s="4260"/>
      <c r="GH41" s="4260"/>
      <c r="GI41" s="4260"/>
      <c r="GJ41" s="4260"/>
      <c r="GK41" s="4260"/>
      <c r="GL41" s="4260"/>
      <c r="GM41" s="4260"/>
      <c r="GN41" s="4260"/>
      <c r="GO41" s="4260"/>
      <c r="GP41" s="4260"/>
      <c r="GQ41" s="4260"/>
      <c r="GR41" s="4260"/>
      <c r="GS41" s="4260"/>
      <c r="GT41" s="4260"/>
      <c r="GU41" s="4260"/>
      <c r="GV41" s="4260"/>
      <c r="GW41" s="4260"/>
      <c r="GX41" s="4260"/>
      <c r="GY41" s="4260"/>
      <c r="GZ41" s="4260"/>
      <c r="HA41" s="4260"/>
      <c r="HB41" s="4260"/>
      <c r="HC41" s="4260"/>
      <c r="HD41" s="4260"/>
      <c r="HE41" s="4260"/>
      <c r="HF41" s="4260"/>
      <c r="HG41" s="4260"/>
      <c r="HH41" s="4260"/>
      <c r="HI41" s="4260"/>
      <c r="HJ41" s="4260"/>
      <c r="HK41" s="4260"/>
      <c r="HL41" s="4260"/>
      <c r="HM41" s="4260"/>
      <c r="HN41" s="4260"/>
      <c r="HO41" s="4260"/>
      <c r="HP41" s="4260"/>
      <c r="HQ41" s="4260"/>
      <c r="HR41" s="4260"/>
      <c r="HS41" s="4260"/>
      <c r="HT41" s="4260"/>
      <c r="HU41" s="4260"/>
      <c r="HV41" s="4260"/>
      <c r="HW41" s="4260"/>
      <c r="HX41" s="4260"/>
      <c r="HY41" s="4260"/>
      <c r="HZ41" s="4260"/>
    </row>
    <row r="42" spans="1:235" s="4295" customFormat="1" ht="31.5" customHeight="1" x14ac:dyDescent="0.25">
      <c r="A42" s="7632"/>
      <c r="B42" s="7639" t="s">
        <v>3511</v>
      </c>
      <c r="C42" s="7387"/>
      <c r="D42" s="7387"/>
      <c r="E42" s="7387"/>
      <c r="F42" s="7387"/>
      <c r="G42" s="7387"/>
      <c r="H42" s="7387"/>
      <c r="I42" s="7387"/>
      <c r="J42" s="7387"/>
      <c r="K42" s="7387"/>
      <c r="L42" s="7387"/>
      <c r="M42" s="7387"/>
      <c r="N42" s="7387"/>
      <c r="O42" s="7387"/>
      <c r="P42" s="7387"/>
      <c r="Q42" s="7387"/>
      <c r="R42" s="7387"/>
      <c r="S42" s="7387"/>
      <c r="T42" s="7387"/>
      <c r="U42" s="7387"/>
      <c r="V42" s="7387"/>
      <c r="W42" s="7387"/>
      <c r="X42" s="7387"/>
      <c r="Y42" s="7387"/>
      <c r="Z42" s="7387"/>
      <c r="AA42" s="7387"/>
      <c r="AB42" s="7387"/>
      <c r="AC42" s="7387"/>
      <c r="AD42" s="7387"/>
      <c r="AE42" s="7387"/>
      <c r="AF42" s="7387"/>
      <c r="AG42" s="7387"/>
      <c r="AH42" s="7387"/>
      <c r="AI42" s="7387"/>
      <c r="AJ42" s="7387"/>
      <c r="AK42" s="7387"/>
      <c r="AL42" s="7387"/>
      <c r="AM42" s="7387"/>
      <c r="AN42" s="7387"/>
      <c r="AO42" s="2385"/>
      <c r="AP42" s="2385"/>
      <c r="AQ42" s="4258"/>
      <c r="AR42" s="4258"/>
      <c r="AS42" s="4258"/>
      <c r="AT42" s="4258"/>
      <c r="AU42" s="4258"/>
      <c r="AV42" s="4258"/>
      <c r="AW42" s="4258"/>
      <c r="AX42" s="4258"/>
      <c r="AY42" s="4258"/>
      <c r="AZ42" s="4258"/>
      <c r="BA42" s="4258"/>
      <c r="BB42" s="4258"/>
      <c r="BC42" s="4258"/>
      <c r="BD42" s="4258"/>
      <c r="BE42" s="4258"/>
      <c r="BF42" s="4258"/>
      <c r="BG42" s="4258"/>
      <c r="BH42" s="4258"/>
      <c r="BI42" s="4258"/>
      <c r="BJ42" s="4258"/>
      <c r="BK42" s="4258"/>
      <c r="BL42" s="4258"/>
      <c r="BM42" s="4258"/>
      <c r="BN42" s="4258"/>
      <c r="BO42" s="4258"/>
      <c r="BP42" s="4258"/>
      <c r="BQ42" s="4258"/>
      <c r="BR42" s="4258"/>
      <c r="BS42" s="4258"/>
      <c r="BT42" s="4258"/>
      <c r="BU42" s="4258"/>
      <c r="BV42" s="4258"/>
      <c r="BW42" s="4258"/>
      <c r="BX42" s="4258"/>
      <c r="BY42" s="4259"/>
      <c r="BZ42" s="4260"/>
      <c r="CA42" s="4260"/>
      <c r="CB42" s="4262"/>
      <c r="CC42" s="4262"/>
      <c r="CD42" s="4262"/>
      <c r="CE42" s="4262"/>
      <c r="CF42" s="4262"/>
      <c r="CG42" s="4262"/>
      <c r="CH42" s="4262"/>
      <c r="CI42" s="4262"/>
      <c r="CJ42" s="4261"/>
      <c r="CK42" s="4261"/>
      <c r="CL42" s="4261"/>
      <c r="CM42" s="4261"/>
      <c r="CN42" s="4261"/>
      <c r="CO42" s="4261"/>
      <c r="CP42" s="4261"/>
      <c r="CQ42" s="4261"/>
      <c r="CR42" s="4261"/>
      <c r="CS42" s="4261"/>
      <c r="CT42" s="4261"/>
      <c r="CU42" s="4261"/>
      <c r="CV42" s="4261"/>
      <c r="CW42" s="4261"/>
      <c r="CX42" s="4261"/>
      <c r="CY42" s="4261"/>
      <c r="CZ42" s="4261"/>
      <c r="DA42" s="4261"/>
      <c r="DB42" s="4263"/>
      <c r="DC42" s="4294"/>
      <c r="DD42" s="4294"/>
      <c r="DE42" s="4294"/>
      <c r="DF42" s="4294"/>
      <c r="DG42" s="4294"/>
      <c r="DH42" s="4294"/>
      <c r="DI42" s="4294"/>
      <c r="DJ42" s="4294"/>
      <c r="DK42" s="4294"/>
      <c r="DL42" s="4294"/>
      <c r="DM42" s="4294"/>
      <c r="DN42" s="4294"/>
      <c r="DO42" s="4294"/>
      <c r="DP42" s="4294"/>
      <c r="DQ42" s="4294"/>
      <c r="DR42" s="4260"/>
      <c r="DS42" s="4260"/>
      <c r="DT42" s="4260"/>
      <c r="DU42" s="4260"/>
      <c r="DV42" s="4260"/>
      <c r="DW42" s="4260"/>
      <c r="DX42" s="4260"/>
      <c r="DY42" s="4260"/>
      <c r="DZ42" s="4260"/>
      <c r="EA42" s="4260"/>
      <c r="EB42" s="4260"/>
      <c r="EC42" s="4260"/>
      <c r="ED42" s="4260"/>
      <c r="EE42" s="4260"/>
      <c r="EF42" s="4260"/>
      <c r="EG42" s="4260"/>
      <c r="EH42" s="4260"/>
      <c r="EI42" s="4260"/>
      <c r="EJ42" s="4260"/>
      <c r="EK42" s="4260"/>
      <c r="EL42" s="4260"/>
      <c r="EM42" s="4260"/>
      <c r="EN42" s="4260"/>
      <c r="EO42" s="4260"/>
      <c r="EP42" s="4260"/>
      <c r="EQ42" s="4260"/>
      <c r="ER42" s="4260"/>
      <c r="ES42" s="4260"/>
      <c r="ET42" s="4260"/>
      <c r="EU42" s="4260"/>
      <c r="EV42" s="4260"/>
      <c r="EW42" s="4260"/>
      <c r="EX42" s="4260"/>
      <c r="EY42" s="4260"/>
      <c r="EZ42" s="4260"/>
      <c r="FA42" s="4260"/>
      <c r="FB42" s="4260"/>
      <c r="FC42" s="4260"/>
      <c r="FD42" s="4260"/>
      <c r="FE42" s="4260"/>
      <c r="FF42" s="4260"/>
      <c r="FG42" s="4260"/>
      <c r="FH42" s="4260"/>
      <c r="FI42" s="4260"/>
      <c r="FJ42" s="4260"/>
      <c r="FK42" s="4260"/>
      <c r="FL42" s="4260"/>
      <c r="FM42" s="4260"/>
      <c r="FN42" s="4260"/>
      <c r="FO42" s="4260"/>
      <c r="FP42" s="4260"/>
      <c r="FQ42" s="4260"/>
      <c r="FR42" s="4260"/>
      <c r="FS42" s="4260"/>
      <c r="FT42" s="4260"/>
      <c r="FU42" s="4260"/>
      <c r="FV42" s="4260"/>
      <c r="FW42" s="4260"/>
      <c r="FX42" s="4260"/>
      <c r="FY42" s="4260"/>
      <c r="FZ42" s="4260"/>
      <c r="GA42" s="4260"/>
      <c r="GB42" s="4260"/>
      <c r="GC42" s="4260"/>
      <c r="GD42" s="4260"/>
      <c r="GE42" s="4260"/>
      <c r="GF42" s="4260"/>
      <c r="GG42" s="4260"/>
      <c r="GH42" s="4260"/>
      <c r="GI42" s="4260"/>
      <c r="GJ42" s="4260"/>
      <c r="GK42" s="4260"/>
      <c r="GL42" s="4260"/>
      <c r="GM42" s="4260"/>
      <c r="GN42" s="4260"/>
      <c r="GO42" s="4260"/>
      <c r="GP42" s="4260"/>
      <c r="GQ42" s="4260"/>
      <c r="GR42" s="4260"/>
      <c r="GS42" s="4260"/>
      <c r="GT42" s="4260"/>
      <c r="GU42" s="4260"/>
      <c r="GV42" s="4260"/>
      <c r="GW42" s="4260"/>
      <c r="GX42" s="4260"/>
      <c r="GY42" s="4260"/>
      <c r="GZ42" s="4260"/>
      <c r="HA42" s="4260"/>
      <c r="HB42" s="4260"/>
      <c r="HC42" s="4260"/>
      <c r="HD42" s="4260"/>
      <c r="HE42" s="4260"/>
      <c r="HF42" s="4260"/>
      <c r="HG42" s="4260"/>
      <c r="HH42" s="4260"/>
      <c r="HI42" s="4260"/>
      <c r="HJ42" s="4260"/>
      <c r="HK42" s="4260"/>
      <c r="HL42" s="4260"/>
      <c r="HM42" s="4260"/>
      <c r="HN42" s="4260"/>
      <c r="HO42" s="4260"/>
      <c r="HP42" s="4260"/>
      <c r="HQ42" s="4260"/>
      <c r="HR42" s="4260"/>
      <c r="HS42" s="4260"/>
      <c r="HT42" s="4260"/>
      <c r="HU42" s="4260"/>
      <c r="HV42" s="4260"/>
      <c r="HW42" s="4260"/>
      <c r="HX42" s="4260"/>
      <c r="HY42" s="4260"/>
      <c r="HZ42" s="4260"/>
      <c r="IA42" s="4260"/>
    </row>
    <row r="43" spans="1:235" s="4295" customFormat="1" ht="31.5" customHeight="1" x14ac:dyDescent="0.25">
      <c r="A43" s="7314"/>
      <c r="B43" s="10707" t="s">
        <v>1690</v>
      </c>
      <c r="C43" s="10306" t="s">
        <v>24</v>
      </c>
      <c r="D43" s="10300"/>
      <c r="E43" s="10301"/>
      <c r="F43" s="10701" t="s">
        <v>2</v>
      </c>
      <c r="G43" s="10702"/>
      <c r="H43" s="10702"/>
      <c r="I43" s="10702"/>
      <c r="J43" s="10702"/>
      <c r="K43" s="10702"/>
      <c r="L43" s="10702"/>
      <c r="M43" s="10702"/>
      <c r="N43" s="10702"/>
      <c r="O43" s="10702"/>
      <c r="P43" s="10702"/>
      <c r="Q43" s="10702"/>
      <c r="R43" s="10702"/>
      <c r="S43" s="10702"/>
      <c r="T43" s="10702"/>
      <c r="U43" s="10702"/>
      <c r="V43" s="10702"/>
      <c r="W43" s="10702"/>
      <c r="X43" s="10702"/>
      <c r="Y43" s="10702"/>
      <c r="Z43" s="10702"/>
      <c r="AA43" s="10702"/>
      <c r="AB43" s="10702"/>
      <c r="AC43" s="10702"/>
      <c r="AD43" s="10702"/>
      <c r="AE43" s="10702"/>
      <c r="AF43" s="10702"/>
      <c r="AG43" s="10702"/>
      <c r="AH43" s="10702"/>
      <c r="AI43" s="10702"/>
      <c r="AJ43" s="10702"/>
      <c r="AK43" s="10702"/>
      <c r="AL43" s="10702"/>
      <c r="AM43" s="10703"/>
      <c r="AN43" s="10710" t="s">
        <v>74</v>
      </c>
      <c r="AO43" s="10711"/>
      <c r="AP43" s="10712"/>
      <c r="AQ43" s="4258"/>
      <c r="AR43" s="4258"/>
      <c r="AS43" s="4258"/>
      <c r="AT43" s="4349"/>
      <c r="AU43" s="4258"/>
      <c r="AV43" s="4258"/>
      <c r="AW43" s="4258"/>
      <c r="AX43" s="4258"/>
      <c r="AY43" s="4258"/>
      <c r="AZ43" s="4258"/>
      <c r="BA43" s="4258"/>
      <c r="BB43" s="4258"/>
      <c r="BC43" s="4258"/>
      <c r="BD43" s="4258"/>
      <c r="BE43" s="4258"/>
      <c r="BF43" s="4258"/>
      <c r="BG43" s="4258"/>
      <c r="BH43" s="4258"/>
      <c r="BI43" s="4258"/>
      <c r="BJ43" s="4258"/>
      <c r="BK43" s="4258"/>
      <c r="BL43" s="4258"/>
      <c r="BM43" s="4258"/>
      <c r="BN43" s="4258"/>
      <c r="BO43" s="4258"/>
      <c r="BP43" s="4258"/>
      <c r="BQ43" s="4258"/>
      <c r="BR43" s="4258"/>
      <c r="BS43" s="4258"/>
      <c r="BT43" s="4258"/>
      <c r="BU43" s="4258"/>
      <c r="BV43" s="4258"/>
      <c r="BW43" s="4258"/>
      <c r="BX43" s="4258"/>
      <c r="BY43" s="4259"/>
      <c r="BZ43" s="4260"/>
      <c r="CA43" s="4260"/>
      <c r="CB43" s="4262"/>
      <c r="CC43" s="4262"/>
      <c r="CD43" s="4262"/>
      <c r="CE43" s="4262"/>
      <c r="CF43" s="4262"/>
      <c r="CG43" s="4262"/>
      <c r="CH43" s="4262"/>
      <c r="CI43" s="4262"/>
      <c r="CJ43" s="4261"/>
      <c r="CK43" s="4261"/>
      <c r="CL43" s="4261"/>
      <c r="CM43" s="4261"/>
      <c r="CN43" s="4261"/>
      <c r="CO43" s="4261"/>
      <c r="CP43" s="4261"/>
      <c r="CQ43" s="4261"/>
      <c r="CR43" s="4261"/>
      <c r="CS43" s="4261"/>
      <c r="CT43" s="4261"/>
      <c r="CU43" s="4261"/>
      <c r="CV43" s="4261"/>
      <c r="CW43" s="4261"/>
      <c r="CX43" s="4261"/>
      <c r="CY43" s="4261"/>
      <c r="CZ43" s="4261"/>
      <c r="DA43" s="4261"/>
      <c r="DB43" s="4263"/>
      <c r="DC43" s="4294"/>
      <c r="DD43" s="4294"/>
      <c r="DE43" s="4294"/>
      <c r="DF43" s="4294"/>
      <c r="DG43" s="4294"/>
      <c r="DH43" s="4294"/>
      <c r="DI43" s="4294"/>
      <c r="DJ43" s="4294"/>
      <c r="DK43" s="4294"/>
      <c r="DL43" s="4294"/>
      <c r="DM43" s="4294"/>
      <c r="DN43" s="4294"/>
      <c r="DO43" s="4294"/>
      <c r="DP43" s="4294"/>
      <c r="DQ43" s="4294"/>
      <c r="DR43" s="4260"/>
      <c r="DS43" s="4260"/>
      <c r="DT43" s="4260"/>
      <c r="DU43" s="4260"/>
      <c r="DV43" s="4260"/>
      <c r="DW43" s="4260"/>
      <c r="DX43" s="4260"/>
      <c r="DY43" s="4260"/>
      <c r="DZ43" s="4260"/>
      <c r="EA43" s="4260"/>
      <c r="EB43" s="4260"/>
      <c r="EC43" s="4260"/>
      <c r="ED43" s="4260"/>
      <c r="EE43" s="4260"/>
      <c r="EF43" s="4260"/>
      <c r="EG43" s="4260"/>
      <c r="EH43" s="4260"/>
      <c r="EI43" s="4260"/>
      <c r="EJ43" s="4260"/>
      <c r="EK43" s="4260"/>
      <c r="EL43" s="4260"/>
      <c r="EM43" s="4260"/>
      <c r="EN43" s="4260"/>
      <c r="EO43" s="4260"/>
      <c r="EP43" s="4260"/>
      <c r="EQ43" s="4260"/>
      <c r="ER43" s="4260"/>
      <c r="ES43" s="4260"/>
      <c r="ET43" s="4260"/>
      <c r="EU43" s="4260"/>
      <c r="EV43" s="4260"/>
      <c r="EW43" s="4260"/>
      <c r="EX43" s="4260"/>
      <c r="EY43" s="4260"/>
      <c r="EZ43" s="4260"/>
      <c r="FA43" s="4260"/>
      <c r="FB43" s="4260"/>
      <c r="FC43" s="4260"/>
      <c r="FD43" s="4260"/>
      <c r="FE43" s="4260"/>
      <c r="FF43" s="4260"/>
      <c r="FG43" s="4260"/>
      <c r="FH43" s="4260"/>
      <c r="FI43" s="4260"/>
      <c r="FJ43" s="4260"/>
      <c r="FK43" s="4260"/>
      <c r="FL43" s="4260"/>
      <c r="FM43" s="4260"/>
      <c r="FN43" s="4260"/>
      <c r="FO43" s="4260"/>
      <c r="FP43" s="4260"/>
      <c r="FQ43" s="4260"/>
      <c r="FR43" s="4260"/>
      <c r="FS43" s="4260"/>
      <c r="FT43" s="4260"/>
      <c r="FU43" s="4260"/>
      <c r="FV43" s="4260"/>
      <c r="FW43" s="4260"/>
      <c r="FX43" s="4260"/>
      <c r="FY43" s="4260"/>
      <c r="FZ43" s="4260"/>
      <c r="GA43" s="4260"/>
      <c r="GB43" s="4260"/>
      <c r="GC43" s="4260"/>
      <c r="GD43" s="4260"/>
      <c r="GE43" s="4260"/>
      <c r="GF43" s="4260"/>
      <c r="GG43" s="4260"/>
      <c r="GH43" s="4260"/>
      <c r="GI43" s="4260"/>
      <c r="GJ43" s="4260"/>
      <c r="GK43" s="4260"/>
      <c r="GL43" s="4260"/>
      <c r="GM43" s="4260"/>
      <c r="GN43" s="4260"/>
      <c r="GO43" s="4260"/>
      <c r="GP43" s="4260"/>
      <c r="GQ43" s="4260"/>
      <c r="GR43" s="4260"/>
      <c r="GS43" s="4260"/>
      <c r="GT43" s="4260"/>
      <c r="GU43" s="4260"/>
      <c r="GV43" s="4260"/>
      <c r="GW43" s="4260"/>
      <c r="GX43" s="4260"/>
      <c r="GY43" s="4260"/>
      <c r="GZ43" s="4260"/>
      <c r="HA43" s="4260"/>
      <c r="HB43" s="4260"/>
      <c r="HC43" s="4260"/>
      <c r="HD43" s="4260"/>
      <c r="HE43" s="4260"/>
      <c r="HF43" s="4260"/>
      <c r="HG43" s="4260"/>
      <c r="HH43" s="4260"/>
      <c r="HI43" s="4260"/>
      <c r="HJ43" s="4260"/>
      <c r="HK43" s="4260"/>
      <c r="HL43" s="4260"/>
      <c r="HM43" s="4260"/>
      <c r="HN43" s="4260"/>
      <c r="HO43" s="4260"/>
      <c r="HP43" s="4260"/>
      <c r="HQ43" s="4260"/>
      <c r="HR43" s="4260"/>
      <c r="HS43" s="4260"/>
      <c r="HT43" s="4260"/>
      <c r="HU43" s="4260"/>
      <c r="HV43" s="4260"/>
      <c r="HW43" s="4260"/>
      <c r="HX43" s="4260"/>
      <c r="HY43" s="4260"/>
      <c r="HZ43" s="4260"/>
      <c r="IA43" s="4260"/>
    </row>
    <row r="44" spans="1:235" s="4295" customFormat="1" ht="18.600000000000001" customHeight="1" x14ac:dyDescent="0.25">
      <c r="A44" s="7314"/>
      <c r="B44" s="10708"/>
      <c r="C44" s="10704"/>
      <c r="D44" s="10705"/>
      <c r="E44" s="10706"/>
      <c r="F44" s="10716" t="s">
        <v>1416</v>
      </c>
      <c r="G44" s="10717"/>
      <c r="H44" s="10716" t="s">
        <v>1914</v>
      </c>
      <c r="I44" s="10717"/>
      <c r="J44" s="10716" t="s">
        <v>79</v>
      </c>
      <c r="K44" s="10717"/>
      <c r="L44" s="10716" t="s">
        <v>3505</v>
      </c>
      <c r="M44" s="10717"/>
      <c r="N44" s="10716" t="s">
        <v>1917</v>
      </c>
      <c r="O44" s="10717"/>
      <c r="P44" s="10716" t="s">
        <v>115</v>
      </c>
      <c r="Q44" s="10717"/>
      <c r="R44" s="10716" t="s">
        <v>83</v>
      </c>
      <c r="S44" s="10717"/>
      <c r="T44" s="10716" t="s">
        <v>400</v>
      </c>
      <c r="U44" s="10717"/>
      <c r="V44" s="10716" t="s">
        <v>124</v>
      </c>
      <c r="W44" s="10717"/>
      <c r="X44" s="10716" t="s">
        <v>125</v>
      </c>
      <c r="Y44" s="10717"/>
      <c r="Z44" s="10716" t="s">
        <v>126</v>
      </c>
      <c r="AA44" s="10717"/>
      <c r="AB44" s="10716" t="s">
        <v>127</v>
      </c>
      <c r="AC44" s="10717"/>
      <c r="AD44" s="10716" t="s">
        <v>128</v>
      </c>
      <c r="AE44" s="10717"/>
      <c r="AF44" s="10716" t="s">
        <v>129</v>
      </c>
      <c r="AG44" s="10717"/>
      <c r="AH44" s="10716" t="s">
        <v>130</v>
      </c>
      <c r="AI44" s="10717"/>
      <c r="AJ44" s="10716" t="s">
        <v>131</v>
      </c>
      <c r="AK44" s="10717"/>
      <c r="AL44" s="10716" t="s">
        <v>1919</v>
      </c>
      <c r="AM44" s="10717"/>
      <c r="AN44" s="10713"/>
      <c r="AO44" s="10714"/>
      <c r="AP44" s="10715"/>
      <c r="AQ44" s="4258"/>
      <c r="AR44" s="4258"/>
      <c r="AS44" s="4258"/>
      <c r="AT44" s="4258"/>
      <c r="AU44" s="4258"/>
      <c r="AV44" s="4258"/>
      <c r="AW44" s="4258"/>
      <c r="AX44" s="4258"/>
      <c r="AY44" s="4258"/>
      <c r="AZ44" s="4258"/>
      <c r="BA44" s="4258"/>
      <c r="BB44" s="4258"/>
      <c r="BC44" s="4258"/>
      <c r="BD44" s="4258"/>
      <c r="BE44" s="4258"/>
      <c r="BF44" s="4258"/>
      <c r="BG44" s="4258"/>
      <c r="BH44" s="4258"/>
      <c r="BI44" s="4258"/>
      <c r="BJ44" s="4258"/>
      <c r="BK44" s="4258"/>
      <c r="BL44" s="4258"/>
      <c r="BM44" s="4258"/>
      <c r="BN44" s="4258"/>
      <c r="BO44" s="4258"/>
      <c r="BP44" s="4258"/>
      <c r="BQ44" s="4258"/>
      <c r="BR44" s="4258"/>
      <c r="BS44" s="4259"/>
      <c r="BT44" s="4260"/>
      <c r="BU44" s="4260"/>
      <c r="BV44" s="4264"/>
      <c r="BW44" s="4264"/>
      <c r="BX44" s="4264"/>
      <c r="BY44" s="4264"/>
      <c r="BZ44" s="4264"/>
      <c r="CA44" s="4264"/>
      <c r="CB44" s="4262"/>
      <c r="CC44" s="4262"/>
      <c r="CD44" s="4261"/>
      <c r="CE44" s="4261"/>
      <c r="CF44" s="4261"/>
      <c r="CG44" s="4261"/>
      <c r="CH44" s="4261"/>
      <c r="CI44" s="4261"/>
      <c r="CJ44" s="4261"/>
      <c r="CK44" s="4261"/>
      <c r="CL44" s="4261"/>
      <c r="CM44" s="4261"/>
      <c r="CN44" s="4261"/>
      <c r="CO44" s="4261"/>
      <c r="CP44" s="4261"/>
      <c r="CQ44" s="4261"/>
      <c r="CR44" s="4261"/>
      <c r="CS44" s="4261"/>
      <c r="CT44" s="4261"/>
      <c r="CU44" s="4261"/>
      <c r="CV44" s="4262"/>
      <c r="CW44" s="4261"/>
      <c r="CX44" s="4261"/>
      <c r="CY44" s="4261"/>
      <c r="CZ44" s="4261"/>
      <c r="DA44" s="4261"/>
      <c r="DB44" s="4294"/>
      <c r="DC44" s="4294"/>
      <c r="DD44" s="4294"/>
      <c r="DE44" s="4294"/>
      <c r="DF44" s="4294"/>
      <c r="DG44" s="4294"/>
      <c r="DH44" s="4294"/>
      <c r="DI44" s="4294"/>
      <c r="DJ44" s="4294"/>
      <c r="DK44" s="4294"/>
      <c r="DL44" s="4294"/>
      <c r="DM44" s="4294"/>
      <c r="DN44" s="4294"/>
      <c r="DO44" s="4294"/>
      <c r="DP44" s="4294"/>
      <c r="DQ44" s="4294"/>
      <c r="DR44" s="4260"/>
      <c r="DS44" s="4260"/>
      <c r="DT44" s="4260"/>
      <c r="DU44" s="4260"/>
      <c r="DV44" s="4260"/>
      <c r="DW44" s="4260"/>
      <c r="DX44" s="4260"/>
      <c r="DY44" s="4260"/>
      <c r="DZ44" s="4260"/>
      <c r="EA44" s="4260"/>
      <c r="EB44" s="4260"/>
      <c r="EC44" s="4260"/>
      <c r="ED44" s="4260"/>
      <c r="EE44" s="4260"/>
      <c r="EF44" s="4260"/>
      <c r="EG44" s="4260"/>
      <c r="EH44" s="4260"/>
      <c r="EI44" s="4260"/>
      <c r="EJ44" s="4260"/>
      <c r="EK44" s="4260"/>
      <c r="EL44" s="4260"/>
      <c r="EM44" s="4260"/>
      <c r="EN44" s="4260"/>
      <c r="EO44" s="4260"/>
      <c r="EP44" s="4260"/>
      <c r="EQ44" s="4260"/>
      <c r="ER44" s="4260"/>
      <c r="ES44" s="4260"/>
      <c r="ET44" s="4260"/>
      <c r="EU44" s="4260"/>
      <c r="EV44" s="4260"/>
      <c r="EW44" s="4260"/>
      <c r="EX44" s="4260"/>
      <c r="EY44" s="4260"/>
      <c r="EZ44" s="4260"/>
      <c r="FA44" s="4260"/>
      <c r="FB44" s="4260"/>
      <c r="FC44" s="4260"/>
      <c r="FD44" s="4260"/>
      <c r="FE44" s="4260"/>
      <c r="FF44" s="4260"/>
      <c r="FG44" s="4260"/>
      <c r="FH44" s="4260"/>
      <c r="FI44" s="4260"/>
      <c r="FJ44" s="4260"/>
      <c r="FK44" s="4260"/>
      <c r="FL44" s="4260"/>
      <c r="FM44" s="4260"/>
      <c r="FN44" s="4260"/>
      <c r="FO44" s="4260"/>
      <c r="FP44" s="4260"/>
      <c r="FQ44" s="4260"/>
      <c r="FR44" s="4260"/>
      <c r="FS44" s="4260"/>
      <c r="FT44" s="4260"/>
      <c r="FU44" s="4260"/>
      <c r="FV44" s="4260"/>
      <c r="FW44" s="4260"/>
      <c r="FX44" s="4260"/>
      <c r="FY44" s="4260"/>
      <c r="FZ44" s="4260"/>
      <c r="GA44" s="4260"/>
      <c r="GB44" s="4260"/>
      <c r="GC44" s="4260"/>
      <c r="GD44" s="4260"/>
      <c r="GE44" s="4260"/>
      <c r="GF44" s="4260"/>
      <c r="GG44" s="4260"/>
      <c r="GH44" s="4260"/>
      <c r="GI44" s="4260"/>
      <c r="GJ44" s="4260"/>
      <c r="GK44" s="4260"/>
      <c r="GL44" s="4260"/>
      <c r="GM44" s="4260"/>
      <c r="GN44" s="4260"/>
      <c r="GO44" s="4260"/>
      <c r="GP44" s="4260"/>
      <c r="GQ44" s="4260"/>
      <c r="GR44" s="4260"/>
      <c r="GS44" s="4260"/>
      <c r="GT44" s="4260"/>
      <c r="GU44" s="4260"/>
      <c r="GV44" s="4260"/>
      <c r="GW44" s="4260"/>
      <c r="GX44" s="4260"/>
      <c r="GY44" s="4260"/>
      <c r="GZ44" s="4260"/>
      <c r="HA44" s="4260"/>
      <c r="HB44" s="4260"/>
      <c r="HC44" s="4260"/>
      <c r="HD44" s="4260"/>
      <c r="HE44" s="4260"/>
      <c r="HF44" s="4260"/>
      <c r="HG44" s="4260"/>
      <c r="HH44" s="4260"/>
      <c r="HI44" s="4260"/>
      <c r="HJ44" s="4260"/>
      <c r="HK44" s="4260"/>
      <c r="HL44" s="4260"/>
      <c r="HM44" s="4260"/>
      <c r="HN44" s="4260"/>
      <c r="HO44" s="4260"/>
      <c r="HP44" s="4260"/>
      <c r="HQ44" s="4260"/>
      <c r="HR44" s="4260"/>
      <c r="HS44" s="4260"/>
      <c r="HT44" s="4260"/>
      <c r="HU44" s="4260"/>
    </row>
    <row r="45" spans="1:235" s="4295" customFormat="1" ht="16.2" customHeight="1" x14ac:dyDescent="0.25">
      <c r="A45" s="7314"/>
      <c r="B45" s="10709"/>
      <c r="C45" s="7642" t="s">
        <v>42</v>
      </c>
      <c r="D45" s="7643" t="s">
        <v>17</v>
      </c>
      <c r="E45" s="7641" t="s">
        <v>18</v>
      </c>
      <c r="F45" s="7643" t="s">
        <v>17</v>
      </c>
      <c r="G45" s="7641" t="s">
        <v>18</v>
      </c>
      <c r="H45" s="7643" t="s">
        <v>17</v>
      </c>
      <c r="I45" s="7641" t="s">
        <v>18</v>
      </c>
      <c r="J45" s="7643" t="s">
        <v>17</v>
      </c>
      <c r="K45" s="7641" t="s">
        <v>18</v>
      </c>
      <c r="L45" s="7643" t="s">
        <v>17</v>
      </c>
      <c r="M45" s="7641" t="s">
        <v>18</v>
      </c>
      <c r="N45" s="7643" t="s">
        <v>17</v>
      </c>
      <c r="O45" s="7641" t="s">
        <v>18</v>
      </c>
      <c r="P45" s="7643" t="s">
        <v>17</v>
      </c>
      <c r="Q45" s="7641" t="s">
        <v>18</v>
      </c>
      <c r="R45" s="7643" t="s">
        <v>17</v>
      </c>
      <c r="S45" s="7641" t="s">
        <v>18</v>
      </c>
      <c r="T45" s="7643" t="s">
        <v>17</v>
      </c>
      <c r="U45" s="7641" t="s">
        <v>18</v>
      </c>
      <c r="V45" s="7643" t="s">
        <v>17</v>
      </c>
      <c r="W45" s="7641" t="s">
        <v>18</v>
      </c>
      <c r="X45" s="7643" t="s">
        <v>17</v>
      </c>
      <c r="Y45" s="7641" t="s">
        <v>18</v>
      </c>
      <c r="Z45" s="7643" t="s">
        <v>17</v>
      </c>
      <c r="AA45" s="7641" t="s">
        <v>18</v>
      </c>
      <c r="AB45" s="7643" t="s">
        <v>17</v>
      </c>
      <c r="AC45" s="7641" t="s">
        <v>18</v>
      </c>
      <c r="AD45" s="7643" t="s">
        <v>17</v>
      </c>
      <c r="AE45" s="7641" t="s">
        <v>18</v>
      </c>
      <c r="AF45" s="7643" t="s">
        <v>17</v>
      </c>
      <c r="AG45" s="7641" t="s">
        <v>18</v>
      </c>
      <c r="AH45" s="7643" t="s">
        <v>17</v>
      </c>
      <c r="AI45" s="7641" t="s">
        <v>18</v>
      </c>
      <c r="AJ45" s="7643" t="s">
        <v>17</v>
      </c>
      <c r="AK45" s="7641" t="s">
        <v>18</v>
      </c>
      <c r="AL45" s="7643" t="s">
        <v>17</v>
      </c>
      <c r="AM45" s="7641" t="s">
        <v>18</v>
      </c>
      <c r="AN45" s="7640" t="s">
        <v>3506</v>
      </c>
      <c r="AO45" s="7644" t="s">
        <v>785</v>
      </c>
      <c r="AP45" s="7644" t="s">
        <v>1677</v>
      </c>
      <c r="AQ45" s="4258"/>
      <c r="AR45" s="4258"/>
      <c r="AS45" s="4258"/>
      <c r="AT45" s="4258"/>
      <c r="AU45" s="4258"/>
      <c r="AV45" s="4258"/>
      <c r="AW45" s="4258"/>
      <c r="AX45" s="4258"/>
      <c r="AY45" s="4258"/>
      <c r="AZ45" s="4258"/>
      <c r="BA45" s="4258"/>
      <c r="BB45" s="4258"/>
      <c r="BC45" s="4258"/>
      <c r="BD45" s="4258"/>
      <c r="BE45" s="4258"/>
      <c r="BF45" s="4258"/>
      <c r="BG45" s="4258"/>
      <c r="BH45" s="4258"/>
      <c r="BI45" s="4258"/>
      <c r="BJ45" s="4258"/>
      <c r="BK45" s="4258"/>
      <c r="BL45" s="4258"/>
      <c r="BM45" s="4258"/>
      <c r="BN45" s="4258"/>
      <c r="BO45" s="4258"/>
      <c r="BP45" s="4258"/>
      <c r="BQ45" s="4258"/>
      <c r="BR45" s="4258"/>
      <c r="BS45" s="4259"/>
      <c r="BT45" s="4260"/>
      <c r="BU45" s="4260"/>
      <c r="BV45" s="4264"/>
      <c r="BW45" s="4264"/>
      <c r="BX45" s="4264"/>
      <c r="BY45" s="4264"/>
      <c r="BZ45" s="4264"/>
      <c r="CA45" s="4264"/>
      <c r="CB45" s="4262"/>
      <c r="CC45" s="4262"/>
      <c r="CD45" s="4261"/>
      <c r="CE45" s="4261"/>
      <c r="CF45" s="4261"/>
      <c r="CG45" s="4261"/>
      <c r="CH45" s="4261"/>
      <c r="CI45" s="4261"/>
      <c r="CJ45" s="4261"/>
      <c r="CK45" s="4261"/>
      <c r="CL45" s="4261"/>
      <c r="CM45" s="4261"/>
      <c r="CN45" s="4261"/>
      <c r="CO45" s="4261"/>
      <c r="CP45" s="4261"/>
      <c r="CQ45" s="4261"/>
      <c r="CR45" s="4261"/>
      <c r="CS45" s="4261"/>
      <c r="CT45" s="4261"/>
      <c r="CU45" s="4261"/>
      <c r="CV45" s="4262"/>
      <c r="CW45" s="4261"/>
      <c r="CX45" s="4261"/>
      <c r="CY45" s="4261"/>
      <c r="CZ45" s="4261"/>
      <c r="DA45" s="4261"/>
      <c r="DB45" s="4294"/>
      <c r="DC45" s="4294"/>
      <c r="DD45" s="4294"/>
      <c r="DE45" s="4294"/>
      <c r="DF45" s="4294"/>
      <c r="DG45" s="4294"/>
      <c r="DH45" s="4294"/>
      <c r="DI45" s="4294"/>
      <c r="DJ45" s="4294"/>
      <c r="DK45" s="4294"/>
      <c r="DL45" s="4294"/>
      <c r="DM45" s="4294"/>
      <c r="DN45" s="4294"/>
      <c r="DO45" s="4294"/>
      <c r="DP45" s="4294"/>
      <c r="DQ45" s="4294"/>
      <c r="DR45" s="4260"/>
      <c r="DS45" s="4260"/>
      <c r="DT45" s="4260"/>
      <c r="DU45" s="4260"/>
      <c r="DV45" s="4260"/>
      <c r="DW45" s="4260"/>
      <c r="DX45" s="4260"/>
      <c r="DY45" s="4260"/>
      <c r="DZ45" s="4260"/>
      <c r="EA45" s="4260"/>
      <c r="EB45" s="4260"/>
      <c r="EC45" s="4260"/>
      <c r="ED45" s="4260"/>
      <c r="EE45" s="4260"/>
      <c r="EF45" s="4260"/>
      <c r="EG45" s="4260"/>
      <c r="EH45" s="4260"/>
      <c r="EI45" s="4260"/>
      <c r="EJ45" s="4260"/>
      <c r="EK45" s="4260"/>
      <c r="EL45" s="4260"/>
      <c r="EM45" s="4260"/>
      <c r="EN45" s="4260"/>
      <c r="EO45" s="4260"/>
      <c r="EP45" s="4260"/>
      <c r="EQ45" s="4260"/>
      <c r="ER45" s="4260"/>
      <c r="ES45" s="4260"/>
      <c r="ET45" s="4260"/>
      <c r="EU45" s="4260"/>
      <c r="EV45" s="4260"/>
      <c r="EW45" s="4260"/>
      <c r="EX45" s="4260"/>
      <c r="EY45" s="4260"/>
      <c r="EZ45" s="4260"/>
      <c r="FA45" s="4260"/>
      <c r="FB45" s="4260"/>
      <c r="FC45" s="4260"/>
      <c r="FD45" s="4260"/>
      <c r="FE45" s="4260"/>
      <c r="FF45" s="4260"/>
      <c r="FG45" s="4260"/>
      <c r="FH45" s="4260"/>
      <c r="FI45" s="4260"/>
      <c r="FJ45" s="4260"/>
      <c r="FK45" s="4260"/>
      <c r="FL45" s="4260"/>
      <c r="FM45" s="4260"/>
      <c r="FN45" s="4260"/>
      <c r="FO45" s="4260"/>
      <c r="FP45" s="4260"/>
      <c r="FQ45" s="4260"/>
      <c r="FR45" s="4260"/>
      <c r="FS45" s="4260"/>
      <c r="FT45" s="4260"/>
      <c r="FU45" s="4260"/>
      <c r="FV45" s="4260"/>
      <c r="FW45" s="4260"/>
      <c r="FX45" s="4260"/>
      <c r="FY45" s="4260"/>
      <c r="FZ45" s="4260"/>
      <c r="GA45" s="4260"/>
      <c r="GB45" s="4260"/>
      <c r="GC45" s="4260"/>
      <c r="GD45" s="4260"/>
      <c r="GE45" s="4260"/>
      <c r="GF45" s="4260"/>
      <c r="GG45" s="4260"/>
      <c r="GH45" s="4260"/>
      <c r="GI45" s="4260"/>
      <c r="GJ45" s="4260"/>
      <c r="GK45" s="4260"/>
      <c r="GL45" s="4260"/>
      <c r="GM45" s="4260"/>
      <c r="GN45" s="4260"/>
      <c r="GO45" s="4260"/>
      <c r="GP45" s="4260"/>
      <c r="GQ45" s="4260"/>
      <c r="GR45" s="4260"/>
      <c r="GS45" s="4260"/>
      <c r="GT45" s="4260"/>
      <c r="GU45" s="4260"/>
      <c r="GV45" s="4260"/>
      <c r="GW45" s="4260"/>
      <c r="GX45" s="4260"/>
      <c r="GY45" s="4260"/>
      <c r="GZ45" s="4260"/>
      <c r="HA45" s="4260"/>
      <c r="HB45" s="4260"/>
      <c r="HC45" s="4260"/>
      <c r="HD45" s="4260"/>
      <c r="HE45" s="4260"/>
      <c r="HF45" s="4260"/>
      <c r="HG45" s="4260"/>
      <c r="HH45" s="4260"/>
      <c r="HI45" s="4260"/>
      <c r="HJ45" s="4260"/>
      <c r="HK45" s="4260"/>
      <c r="HL45" s="4260"/>
      <c r="HM45" s="4260"/>
      <c r="HN45" s="4260"/>
      <c r="HO45" s="4260"/>
      <c r="HP45" s="4260"/>
      <c r="HQ45" s="4260"/>
      <c r="HR45" s="4260"/>
      <c r="HS45" s="4260"/>
      <c r="HT45" s="4260"/>
      <c r="HU45" s="4260"/>
    </row>
    <row r="46" spans="1:235" s="4295" customFormat="1" ht="16.95" customHeight="1" x14ac:dyDescent="0.3">
      <c r="A46" s="7635">
        <v>29101532</v>
      </c>
      <c r="B46" s="7645" t="s">
        <v>744</v>
      </c>
      <c r="C46" s="7646" t="s">
        <v>5369</v>
      </c>
      <c r="D46" s="7646" t="s">
        <v>5370</v>
      </c>
      <c r="E46" s="7647" t="s">
        <v>5371</v>
      </c>
      <c r="F46" s="7648" t="s">
        <v>5372</v>
      </c>
      <c r="G46" s="7649" t="s">
        <v>5373</v>
      </c>
      <c r="H46" s="7648" t="s">
        <v>5374</v>
      </c>
      <c r="I46" s="7649" t="s">
        <v>5375</v>
      </c>
      <c r="J46" s="7648" t="s">
        <v>5376</v>
      </c>
      <c r="K46" s="7649" t="s">
        <v>5377</v>
      </c>
      <c r="L46" s="7648" t="s">
        <v>5378</v>
      </c>
      <c r="M46" s="7649" t="s">
        <v>5379</v>
      </c>
      <c r="N46" s="7648" t="s">
        <v>5380</v>
      </c>
      <c r="O46" s="7649" t="s">
        <v>5381</v>
      </c>
      <c r="P46" s="7648" t="s">
        <v>5382</v>
      </c>
      <c r="Q46" s="7649" t="s">
        <v>5383</v>
      </c>
      <c r="R46" s="7648" t="s">
        <v>5384</v>
      </c>
      <c r="S46" s="7649" t="s">
        <v>5385</v>
      </c>
      <c r="T46" s="7648" t="s">
        <v>5386</v>
      </c>
      <c r="U46" s="7649" t="s">
        <v>5387</v>
      </c>
      <c r="V46" s="7648" t="s">
        <v>5388</v>
      </c>
      <c r="W46" s="7649" t="s">
        <v>5389</v>
      </c>
      <c r="X46" s="7648" t="s">
        <v>5390</v>
      </c>
      <c r="Y46" s="7649" t="s">
        <v>5391</v>
      </c>
      <c r="Z46" s="7648" t="s">
        <v>5392</v>
      </c>
      <c r="AA46" s="7649" t="s">
        <v>5393</v>
      </c>
      <c r="AB46" s="7648" t="s">
        <v>5394</v>
      </c>
      <c r="AC46" s="7649" t="s">
        <v>5395</v>
      </c>
      <c r="AD46" s="7648" t="s">
        <v>5396</v>
      </c>
      <c r="AE46" s="7649" t="s">
        <v>5397</v>
      </c>
      <c r="AF46" s="7648" t="s">
        <v>5398</v>
      </c>
      <c r="AG46" s="8061" t="s">
        <v>5399</v>
      </c>
      <c r="AH46" s="8062" t="s">
        <v>5400</v>
      </c>
      <c r="AI46" s="8061" t="s">
        <v>5401</v>
      </c>
      <c r="AJ46" s="8062" t="s">
        <v>5402</v>
      </c>
      <c r="AK46" s="8061" t="s">
        <v>5403</v>
      </c>
      <c r="AL46" s="8062" t="s">
        <v>5404</v>
      </c>
      <c r="AM46" s="8061" t="s">
        <v>5405</v>
      </c>
      <c r="AN46" s="8063" t="s">
        <v>5406</v>
      </c>
      <c r="AO46" s="8063" t="s">
        <v>5407</v>
      </c>
      <c r="AP46" s="8063" t="s">
        <v>5408</v>
      </c>
      <c r="AQ46" s="4258"/>
      <c r="AR46" s="4258"/>
      <c r="AS46" s="4258"/>
      <c r="AT46" s="4258"/>
      <c r="AU46" s="4258"/>
      <c r="AV46" s="4258"/>
      <c r="AW46" s="4258"/>
      <c r="AX46" s="4258"/>
      <c r="AY46" s="4258"/>
      <c r="AZ46" s="4258"/>
      <c r="BA46" s="4258"/>
      <c r="BB46" s="4258"/>
      <c r="BC46" s="4258"/>
      <c r="BD46" s="4258"/>
      <c r="BE46" s="4258"/>
      <c r="BF46" s="4258"/>
      <c r="BG46" s="4258"/>
      <c r="BH46" s="4258"/>
      <c r="BI46" s="4258"/>
      <c r="BJ46" s="4258"/>
      <c r="BK46" s="4258"/>
      <c r="BL46" s="4258"/>
      <c r="BM46" s="4258"/>
      <c r="BN46" s="4258"/>
      <c r="BO46" s="4258"/>
      <c r="BP46" s="4258"/>
      <c r="BQ46" s="4258"/>
      <c r="BR46" s="4258"/>
      <c r="BS46" s="4259"/>
      <c r="BT46" s="4260"/>
      <c r="BU46" s="4260"/>
      <c r="BV46" s="4264"/>
      <c r="BW46" s="4264"/>
      <c r="BX46" s="4264"/>
      <c r="BY46" s="4264"/>
      <c r="BZ46" s="4264"/>
      <c r="CA46" s="4264"/>
      <c r="CB46" s="4262"/>
      <c r="CC46" s="4262"/>
      <c r="CD46" s="4261"/>
      <c r="CE46" s="4261"/>
      <c r="CF46" s="4261"/>
      <c r="CG46" s="4261"/>
      <c r="CH46" s="4261"/>
      <c r="CI46" s="4261"/>
      <c r="CJ46" s="4261"/>
      <c r="CK46" s="4261"/>
      <c r="CL46" s="4261"/>
      <c r="CM46" s="4261"/>
      <c r="CN46" s="4261"/>
      <c r="CO46" s="4261"/>
      <c r="CP46" s="4261"/>
      <c r="CQ46" s="4261"/>
      <c r="CR46" s="4261"/>
      <c r="CS46" s="4261"/>
      <c r="CT46" s="4261"/>
      <c r="CU46" s="4261"/>
      <c r="CV46" s="4262"/>
      <c r="CW46" s="4261"/>
      <c r="CX46" s="4261"/>
      <c r="CY46" s="4261"/>
      <c r="CZ46" s="4261"/>
      <c r="DA46" s="4261"/>
      <c r="DB46" s="4294"/>
      <c r="DC46" s="4294"/>
      <c r="DD46" s="4294"/>
      <c r="DE46" s="4294"/>
      <c r="DF46" s="4294"/>
      <c r="DG46" s="4294"/>
      <c r="DH46" s="4294"/>
      <c r="DI46" s="4294"/>
      <c r="DJ46" s="4294"/>
      <c r="DK46" s="4294"/>
      <c r="DL46" s="4294"/>
      <c r="DM46" s="4294"/>
      <c r="DN46" s="4294"/>
      <c r="DO46" s="4294"/>
      <c r="DP46" s="4294"/>
      <c r="DQ46" s="4294"/>
      <c r="DR46" s="4260"/>
      <c r="DS46" s="4260"/>
      <c r="DT46" s="4260"/>
      <c r="DU46" s="4260"/>
      <c r="DV46" s="4260"/>
      <c r="DW46" s="4260"/>
      <c r="DX46" s="4260"/>
      <c r="DY46" s="4260"/>
      <c r="DZ46" s="4260"/>
      <c r="EA46" s="4260"/>
      <c r="EB46" s="4260"/>
      <c r="EC46" s="4260"/>
      <c r="ED46" s="4260"/>
      <c r="EE46" s="4260"/>
      <c r="EF46" s="4260"/>
      <c r="EG46" s="4260"/>
      <c r="EH46" s="4260"/>
      <c r="EI46" s="4260"/>
      <c r="EJ46" s="4260"/>
      <c r="EK46" s="4260"/>
      <c r="EL46" s="4260"/>
      <c r="EM46" s="4260"/>
      <c r="EN46" s="4260"/>
      <c r="EO46" s="4260"/>
      <c r="EP46" s="4260"/>
      <c r="EQ46" s="4260"/>
      <c r="ER46" s="4260"/>
      <c r="ES46" s="4260"/>
      <c r="ET46" s="4260"/>
      <c r="EU46" s="4260"/>
      <c r="EV46" s="4260"/>
      <c r="EW46" s="4260"/>
      <c r="EX46" s="4260"/>
      <c r="EY46" s="4260"/>
      <c r="EZ46" s="4260"/>
      <c r="FA46" s="4260"/>
      <c r="FB46" s="4260"/>
      <c r="FC46" s="4260"/>
      <c r="FD46" s="4260"/>
      <c r="FE46" s="4260"/>
      <c r="FF46" s="4260"/>
      <c r="FG46" s="4260"/>
      <c r="FH46" s="4260"/>
      <c r="FI46" s="4260"/>
      <c r="FJ46" s="4260"/>
      <c r="FK46" s="4260"/>
      <c r="FL46" s="4260"/>
      <c r="FM46" s="4260"/>
      <c r="FN46" s="4260"/>
      <c r="FO46" s="4260"/>
      <c r="FP46" s="4260"/>
      <c r="FQ46" s="4260"/>
      <c r="FR46" s="4260"/>
      <c r="FS46" s="4260"/>
      <c r="FT46" s="4260"/>
      <c r="FU46" s="4260"/>
      <c r="FV46" s="4260"/>
      <c r="FW46" s="4260"/>
      <c r="FX46" s="4260"/>
      <c r="FY46" s="4260"/>
      <c r="FZ46" s="4260"/>
      <c r="GA46" s="4260"/>
      <c r="GB46" s="4260"/>
      <c r="GC46" s="4260"/>
      <c r="GD46" s="4260"/>
      <c r="GE46" s="4260"/>
      <c r="GF46" s="4260"/>
      <c r="GG46" s="4260"/>
      <c r="GH46" s="4260"/>
      <c r="GI46" s="4260"/>
      <c r="GJ46" s="4260"/>
      <c r="GK46" s="4260"/>
      <c r="GL46" s="4260"/>
      <c r="GM46" s="4260"/>
      <c r="GN46" s="4260"/>
      <c r="GO46" s="4260"/>
      <c r="GP46" s="4260"/>
      <c r="GQ46" s="4260"/>
      <c r="GR46" s="4260"/>
      <c r="GS46" s="4260"/>
      <c r="GT46" s="4260"/>
      <c r="GU46" s="4260"/>
      <c r="GV46" s="4260"/>
      <c r="GW46" s="4260"/>
      <c r="GX46" s="4260"/>
      <c r="GY46" s="4260"/>
      <c r="GZ46" s="4260"/>
      <c r="HA46" s="4260"/>
      <c r="HB46" s="4260"/>
      <c r="HC46" s="4260"/>
      <c r="HD46" s="4260"/>
      <c r="HE46" s="4260"/>
      <c r="HF46" s="4260"/>
      <c r="HG46" s="4260"/>
      <c r="HH46" s="4260"/>
      <c r="HI46" s="4260"/>
      <c r="HJ46" s="4260"/>
      <c r="HK46" s="4260"/>
      <c r="HL46" s="4260"/>
      <c r="HM46" s="4260"/>
      <c r="HN46" s="4260"/>
      <c r="HO46" s="4260"/>
      <c r="HP46" s="4260"/>
      <c r="HQ46" s="4260"/>
      <c r="HR46" s="4260"/>
      <c r="HS46" s="4260"/>
      <c r="HT46" s="4260"/>
      <c r="HU46" s="4260"/>
    </row>
    <row r="47" spans="1:235" s="4295" customFormat="1" ht="16.95" customHeight="1" x14ac:dyDescent="0.3">
      <c r="A47" s="7635">
        <v>29101533</v>
      </c>
      <c r="B47" s="7650" t="s">
        <v>3499</v>
      </c>
      <c r="C47" s="7651" t="s">
        <v>5369</v>
      </c>
      <c r="D47" s="7651" t="s">
        <v>5370</v>
      </c>
      <c r="E47" s="7652" t="s">
        <v>5371</v>
      </c>
      <c r="F47" s="7653" t="s">
        <v>5372</v>
      </c>
      <c r="G47" s="7654" t="s">
        <v>5373</v>
      </c>
      <c r="H47" s="7653" t="s">
        <v>5374</v>
      </c>
      <c r="I47" s="7654" t="s">
        <v>5375</v>
      </c>
      <c r="J47" s="7653" t="s">
        <v>5376</v>
      </c>
      <c r="K47" s="7654" t="s">
        <v>5377</v>
      </c>
      <c r="L47" s="7653" t="s">
        <v>5378</v>
      </c>
      <c r="M47" s="7654" t="s">
        <v>5379</v>
      </c>
      <c r="N47" s="7653" t="s">
        <v>5380</v>
      </c>
      <c r="O47" s="7654" t="s">
        <v>5381</v>
      </c>
      <c r="P47" s="7653" t="s">
        <v>5382</v>
      </c>
      <c r="Q47" s="7654" t="s">
        <v>5383</v>
      </c>
      <c r="R47" s="7653" t="s">
        <v>5384</v>
      </c>
      <c r="S47" s="7654" t="s">
        <v>5385</v>
      </c>
      <c r="T47" s="7653" t="s">
        <v>5386</v>
      </c>
      <c r="U47" s="7654" t="s">
        <v>5387</v>
      </c>
      <c r="V47" s="7653" t="s">
        <v>5388</v>
      </c>
      <c r="W47" s="7654" t="s">
        <v>5389</v>
      </c>
      <c r="X47" s="7653" t="s">
        <v>5390</v>
      </c>
      <c r="Y47" s="7654" t="s">
        <v>5391</v>
      </c>
      <c r="Z47" s="7653" t="s">
        <v>5392</v>
      </c>
      <c r="AA47" s="7654" t="s">
        <v>5393</v>
      </c>
      <c r="AB47" s="7653" t="s">
        <v>5394</v>
      </c>
      <c r="AC47" s="7654" t="s">
        <v>5395</v>
      </c>
      <c r="AD47" s="7653" t="s">
        <v>5396</v>
      </c>
      <c r="AE47" s="7654" t="s">
        <v>5397</v>
      </c>
      <c r="AF47" s="7653" t="s">
        <v>5398</v>
      </c>
      <c r="AG47" s="8064" t="s">
        <v>5399</v>
      </c>
      <c r="AH47" s="8065" t="s">
        <v>5400</v>
      </c>
      <c r="AI47" s="8064" t="s">
        <v>5401</v>
      </c>
      <c r="AJ47" s="8065" t="s">
        <v>5402</v>
      </c>
      <c r="AK47" s="8064" t="s">
        <v>5403</v>
      </c>
      <c r="AL47" s="8065" t="s">
        <v>5404</v>
      </c>
      <c r="AM47" s="8064" t="s">
        <v>5405</v>
      </c>
      <c r="AN47" s="8066" t="s">
        <v>5406</v>
      </c>
      <c r="AO47" s="8066" t="s">
        <v>5407</v>
      </c>
      <c r="AP47" s="8066" t="s">
        <v>5408</v>
      </c>
      <c r="AQ47" s="4258"/>
      <c r="AR47" s="4258"/>
      <c r="AS47" s="4258"/>
      <c r="AT47" s="4258"/>
      <c r="AU47" s="4258"/>
      <c r="AV47" s="4258"/>
      <c r="AW47" s="4258"/>
      <c r="AX47" s="4258"/>
      <c r="AY47" s="4258"/>
      <c r="AZ47" s="4258"/>
      <c r="BA47" s="4258"/>
      <c r="BB47" s="4258"/>
      <c r="BC47" s="4258"/>
      <c r="BD47" s="4258"/>
      <c r="BE47" s="4258"/>
      <c r="BF47" s="4258"/>
      <c r="BG47" s="4258"/>
      <c r="BH47" s="4258"/>
      <c r="BI47" s="4258"/>
      <c r="BJ47" s="4258"/>
      <c r="BK47" s="4258"/>
      <c r="BL47" s="4258"/>
      <c r="BM47" s="4258"/>
      <c r="BN47" s="4258"/>
      <c r="BO47" s="4258"/>
      <c r="BP47" s="4258"/>
      <c r="BQ47" s="4258"/>
      <c r="BR47" s="4258"/>
      <c r="BS47" s="4259"/>
      <c r="BT47" s="4260"/>
      <c r="BU47" s="4260"/>
      <c r="BV47" s="4264"/>
      <c r="BW47" s="4264"/>
      <c r="BX47" s="4264"/>
      <c r="BY47" s="4264"/>
      <c r="BZ47" s="4264"/>
      <c r="CA47" s="4264"/>
      <c r="CB47" s="4262"/>
      <c r="CC47" s="4262"/>
      <c r="CD47" s="4261"/>
      <c r="CE47" s="4261"/>
      <c r="CF47" s="4261"/>
      <c r="CG47" s="4261"/>
      <c r="CH47" s="4261"/>
      <c r="CI47" s="4261"/>
      <c r="CJ47" s="4261"/>
      <c r="CK47" s="4261"/>
      <c r="CL47" s="4261"/>
      <c r="CM47" s="4261"/>
      <c r="CN47" s="4261"/>
      <c r="CO47" s="4261"/>
      <c r="CP47" s="4261"/>
      <c r="CQ47" s="4261"/>
      <c r="CR47" s="4261"/>
      <c r="CS47" s="4261"/>
      <c r="CT47" s="4261"/>
      <c r="CU47" s="4261"/>
      <c r="CV47" s="4262"/>
      <c r="CW47" s="4261"/>
      <c r="CX47" s="4261"/>
      <c r="CY47" s="4261"/>
      <c r="CZ47" s="4261"/>
      <c r="DA47" s="4261"/>
      <c r="DB47" s="4294"/>
      <c r="DC47" s="4294"/>
      <c r="DD47" s="4294"/>
      <c r="DE47" s="4294"/>
      <c r="DF47" s="4294"/>
      <c r="DG47" s="4294"/>
      <c r="DH47" s="4294"/>
      <c r="DI47" s="4294"/>
      <c r="DJ47" s="4294"/>
      <c r="DK47" s="4294"/>
      <c r="DL47" s="4294"/>
      <c r="DM47" s="4294"/>
      <c r="DN47" s="4294"/>
      <c r="DO47" s="4294"/>
      <c r="DP47" s="4294"/>
      <c r="DQ47" s="4294"/>
      <c r="DR47" s="4260"/>
      <c r="DS47" s="4260"/>
      <c r="DT47" s="4260"/>
      <c r="DU47" s="4260"/>
      <c r="DV47" s="4260"/>
      <c r="DW47" s="4260"/>
      <c r="DX47" s="4260"/>
      <c r="DY47" s="4260"/>
      <c r="DZ47" s="4260"/>
      <c r="EA47" s="4260"/>
      <c r="EB47" s="4260"/>
      <c r="EC47" s="4260"/>
      <c r="ED47" s="4260"/>
      <c r="EE47" s="4260"/>
      <c r="EF47" s="4260"/>
      <c r="EG47" s="4260"/>
      <c r="EH47" s="4260"/>
      <c r="EI47" s="4260"/>
      <c r="EJ47" s="4260"/>
      <c r="EK47" s="4260"/>
      <c r="EL47" s="4260"/>
      <c r="EM47" s="4260"/>
      <c r="EN47" s="4260"/>
      <c r="EO47" s="4260"/>
      <c r="EP47" s="4260"/>
      <c r="EQ47" s="4260"/>
      <c r="ER47" s="4260"/>
      <c r="ES47" s="4260"/>
      <c r="ET47" s="4260"/>
      <c r="EU47" s="4260"/>
      <c r="EV47" s="4260"/>
      <c r="EW47" s="4260"/>
      <c r="EX47" s="4260"/>
      <c r="EY47" s="4260"/>
      <c r="EZ47" s="4260"/>
      <c r="FA47" s="4260"/>
      <c r="FB47" s="4260"/>
      <c r="FC47" s="4260"/>
      <c r="FD47" s="4260"/>
      <c r="FE47" s="4260"/>
      <c r="FF47" s="4260"/>
      <c r="FG47" s="4260"/>
      <c r="FH47" s="4260"/>
      <c r="FI47" s="4260"/>
      <c r="FJ47" s="4260"/>
      <c r="FK47" s="4260"/>
      <c r="FL47" s="4260"/>
      <c r="FM47" s="4260"/>
      <c r="FN47" s="4260"/>
      <c r="FO47" s="4260"/>
      <c r="FP47" s="4260"/>
      <c r="FQ47" s="4260"/>
      <c r="FR47" s="4260"/>
      <c r="FS47" s="4260"/>
      <c r="FT47" s="4260"/>
      <c r="FU47" s="4260"/>
      <c r="FV47" s="4260"/>
      <c r="FW47" s="4260"/>
      <c r="FX47" s="4260"/>
      <c r="FY47" s="4260"/>
      <c r="FZ47" s="4260"/>
      <c r="GA47" s="4260"/>
      <c r="GB47" s="4260"/>
      <c r="GC47" s="4260"/>
      <c r="GD47" s="4260"/>
      <c r="GE47" s="4260"/>
      <c r="GF47" s="4260"/>
      <c r="GG47" s="4260"/>
      <c r="GH47" s="4260"/>
      <c r="GI47" s="4260"/>
      <c r="GJ47" s="4260"/>
      <c r="GK47" s="4260"/>
      <c r="GL47" s="4260"/>
      <c r="GM47" s="4260"/>
      <c r="GN47" s="4260"/>
      <c r="GO47" s="4260"/>
      <c r="GP47" s="4260"/>
      <c r="GQ47" s="4260"/>
      <c r="GR47" s="4260"/>
      <c r="GS47" s="4260"/>
      <c r="GT47" s="4260"/>
      <c r="GU47" s="4260"/>
      <c r="GV47" s="4260"/>
      <c r="GW47" s="4260"/>
      <c r="GX47" s="4260"/>
      <c r="GY47" s="4260"/>
      <c r="GZ47" s="4260"/>
      <c r="HA47" s="4260"/>
      <c r="HB47" s="4260"/>
      <c r="HC47" s="4260"/>
      <c r="HD47" s="4260"/>
      <c r="HE47" s="4260"/>
      <c r="HF47" s="4260"/>
      <c r="HG47" s="4260"/>
      <c r="HH47" s="4260"/>
      <c r="HI47" s="4260"/>
      <c r="HJ47" s="4260"/>
      <c r="HK47" s="4260"/>
      <c r="HL47" s="4260"/>
      <c r="HM47" s="4260"/>
      <c r="HN47" s="4260"/>
      <c r="HO47" s="4260"/>
      <c r="HP47" s="4260"/>
      <c r="HQ47" s="4260"/>
      <c r="HR47" s="4260"/>
      <c r="HS47" s="4260"/>
      <c r="HT47" s="4260"/>
      <c r="HU47" s="4260"/>
    </row>
    <row r="48" spans="1:235" s="4295" customFormat="1" ht="16.95" customHeight="1" x14ac:dyDescent="0.25">
      <c r="A48" s="7635">
        <v>29101534</v>
      </c>
      <c r="B48" s="7650" t="s">
        <v>800</v>
      </c>
      <c r="C48" s="7651" t="s">
        <v>5369</v>
      </c>
      <c r="D48" s="7651" t="s">
        <v>5370</v>
      </c>
      <c r="E48" s="7652" t="s">
        <v>5371</v>
      </c>
      <c r="F48" s="7653" t="s">
        <v>5372</v>
      </c>
      <c r="G48" s="7654" t="s">
        <v>5373</v>
      </c>
      <c r="H48" s="7653" t="s">
        <v>5374</v>
      </c>
      <c r="I48" s="7654" t="s">
        <v>5375</v>
      </c>
      <c r="J48" s="7653" t="s">
        <v>5376</v>
      </c>
      <c r="K48" s="7654" t="s">
        <v>5377</v>
      </c>
      <c r="L48" s="7653" t="s">
        <v>5378</v>
      </c>
      <c r="M48" s="7654" t="s">
        <v>5379</v>
      </c>
      <c r="N48" s="7653" t="s">
        <v>5380</v>
      </c>
      <c r="O48" s="7654" t="s">
        <v>5381</v>
      </c>
      <c r="P48" s="7653" t="s">
        <v>5382</v>
      </c>
      <c r="Q48" s="7654" t="s">
        <v>5383</v>
      </c>
      <c r="R48" s="7653" t="s">
        <v>5384</v>
      </c>
      <c r="S48" s="7654" t="s">
        <v>5385</v>
      </c>
      <c r="T48" s="7653" t="s">
        <v>5386</v>
      </c>
      <c r="U48" s="7654" t="s">
        <v>5387</v>
      </c>
      <c r="V48" s="7653" t="s">
        <v>5388</v>
      </c>
      <c r="W48" s="7654" t="s">
        <v>5389</v>
      </c>
      <c r="X48" s="7653" t="s">
        <v>5390</v>
      </c>
      <c r="Y48" s="7654" t="s">
        <v>5391</v>
      </c>
      <c r="Z48" s="7653" t="s">
        <v>5392</v>
      </c>
      <c r="AA48" s="7654" t="s">
        <v>5393</v>
      </c>
      <c r="AB48" s="7653" t="s">
        <v>5394</v>
      </c>
      <c r="AC48" s="7654" t="s">
        <v>5395</v>
      </c>
      <c r="AD48" s="7653" t="s">
        <v>5396</v>
      </c>
      <c r="AE48" s="7654" t="s">
        <v>5397</v>
      </c>
      <c r="AF48" s="7653" t="s">
        <v>5398</v>
      </c>
      <c r="AG48" s="8064" t="s">
        <v>5399</v>
      </c>
      <c r="AH48" s="8065" t="s">
        <v>5400</v>
      </c>
      <c r="AI48" s="8064" t="s">
        <v>5401</v>
      </c>
      <c r="AJ48" s="8065" t="s">
        <v>5402</v>
      </c>
      <c r="AK48" s="8064" t="s">
        <v>5403</v>
      </c>
      <c r="AL48" s="8065" t="s">
        <v>5404</v>
      </c>
      <c r="AM48" s="8064" t="s">
        <v>5405</v>
      </c>
      <c r="AN48" s="8064" t="s">
        <v>5406</v>
      </c>
      <c r="AO48" s="8064" t="s">
        <v>5407</v>
      </c>
      <c r="AP48" s="8064" t="s">
        <v>5408</v>
      </c>
      <c r="AQ48" s="4258"/>
      <c r="AR48" s="4258"/>
      <c r="AS48" s="4258"/>
      <c r="AT48" s="4258"/>
      <c r="AU48" s="4258"/>
      <c r="AV48" s="4258"/>
      <c r="AW48" s="4258"/>
      <c r="AX48" s="4258"/>
      <c r="AY48" s="4258"/>
      <c r="AZ48" s="4258"/>
      <c r="BA48" s="4258"/>
      <c r="BB48" s="4258"/>
      <c r="BC48" s="4258"/>
      <c r="BD48" s="4258"/>
      <c r="BE48" s="4258"/>
      <c r="BF48" s="4258"/>
      <c r="BG48" s="4258"/>
      <c r="BH48" s="4258"/>
      <c r="BI48" s="4258"/>
      <c r="BJ48" s="4258"/>
      <c r="BK48" s="4258"/>
      <c r="BL48" s="4258"/>
      <c r="BM48" s="4258"/>
      <c r="BN48" s="4258"/>
      <c r="BO48" s="4258"/>
      <c r="BP48" s="4258"/>
      <c r="BQ48" s="4258"/>
      <c r="BR48" s="4258"/>
      <c r="BS48" s="4259"/>
      <c r="BT48" s="4260"/>
      <c r="BU48" s="4260"/>
      <c r="BV48" s="4264"/>
      <c r="BW48" s="4264"/>
      <c r="BX48" s="4264"/>
      <c r="BY48" s="4264"/>
      <c r="BZ48" s="4264"/>
      <c r="CA48" s="4264"/>
      <c r="CB48" s="4262"/>
      <c r="CC48" s="4262"/>
      <c r="CD48" s="4261"/>
      <c r="CE48" s="4261"/>
      <c r="CF48" s="4261"/>
      <c r="CG48" s="4261"/>
      <c r="CH48" s="4261"/>
      <c r="CI48" s="4261"/>
      <c r="CJ48" s="4261"/>
      <c r="CK48" s="4261"/>
      <c r="CL48" s="4261"/>
      <c r="CM48" s="4261"/>
      <c r="CN48" s="4261"/>
      <c r="CO48" s="4261"/>
      <c r="CP48" s="4261"/>
      <c r="CQ48" s="4261"/>
      <c r="CR48" s="4261"/>
      <c r="CS48" s="4261"/>
      <c r="CT48" s="4261"/>
      <c r="CU48" s="4261"/>
      <c r="CV48" s="4262"/>
      <c r="CW48" s="4261"/>
      <c r="CX48" s="4261"/>
      <c r="CY48" s="4261"/>
      <c r="CZ48" s="4261"/>
      <c r="DA48" s="4261"/>
      <c r="DB48" s="4294"/>
      <c r="DC48" s="4294"/>
      <c r="DD48" s="4294"/>
      <c r="DE48" s="4294"/>
      <c r="DF48" s="4294"/>
      <c r="DG48" s="4294"/>
      <c r="DH48" s="4294"/>
      <c r="DI48" s="4294"/>
      <c r="DJ48" s="4294"/>
      <c r="DK48" s="4294"/>
      <c r="DL48" s="4294"/>
      <c r="DM48" s="4294"/>
      <c r="DN48" s="4294"/>
      <c r="DO48" s="4294"/>
      <c r="DP48" s="4294"/>
      <c r="DQ48" s="4294"/>
      <c r="DR48" s="4260"/>
      <c r="DS48" s="4260"/>
      <c r="DT48" s="4260"/>
      <c r="DU48" s="4260"/>
      <c r="DV48" s="4260"/>
      <c r="DW48" s="4260"/>
      <c r="DX48" s="4260"/>
      <c r="DY48" s="4260"/>
      <c r="DZ48" s="4260"/>
      <c r="EA48" s="4260"/>
      <c r="EB48" s="4260"/>
      <c r="EC48" s="4260"/>
      <c r="ED48" s="4260"/>
      <c r="EE48" s="4260"/>
      <c r="EF48" s="4260"/>
      <c r="EG48" s="4260"/>
      <c r="EH48" s="4260"/>
      <c r="EI48" s="4260"/>
      <c r="EJ48" s="4260"/>
      <c r="EK48" s="4260"/>
      <c r="EL48" s="4260"/>
      <c r="EM48" s="4260"/>
      <c r="EN48" s="4260"/>
      <c r="EO48" s="4260"/>
      <c r="EP48" s="4260"/>
      <c r="EQ48" s="4260"/>
      <c r="ER48" s="4260"/>
      <c r="ES48" s="4260"/>
      <c r="ET48" s="4260"/>
      <c r="EU48" s="4260"/>
      <c r="EV48" s="4260"/>
      <c r="EW48" s="4260"/>
      <c r="EX48" s="4260"/>
      <c r="EY48" s="4260"/>
      <c r="EZ48" s="4260"/>
      <c r="FA48" s="4260"/>
      <c r="FB48" s="4260"/>
      <c r="FC48" s="4260"/>
      <c r="FD48" s="4260"/>
      <c r="FE48" s="4260"/>
      <c r="FF48" s="4260"/>
      <c r="FG48" s="4260"/>
      <c r="FH48" s="4260"/>
      <c r="FI48" s="4260"/>
      <c r="FJ48" s="4260"/>
      <c r="FK48" s="4260"/>
      <c r="FL48" s="4260"/>
      <c r="FM48" s="4260"/>
      <c r="FN48" s="4260"/>
      <c r="FO48" s="4260"/>
      <c r="FP48" s="4260"/>
      <c r="FQ48" s="4260"/>
      <c r="FR48" s="4260"/>
      <c r="FS48" s="4260"/>
      <c r="FT48" s="4260"/>
      <c r="FU48" s="4260"/>
      <c r="FV48" s="4260"/>
      <c r="FW48" s="4260"/>
      <c r="FX48" s="4260"/>
      <c r="FY48" s="4260"/>
      <c r="FZ48" s="4260"/>
      <c r="GA48" s="4260"/>
      <c r="GB48" s="4260"/>
      <c r="GC48" s="4260"/>
      <c r="GD48" s="4260"/>
      <c r="GE48" s="4260"/>
      <c r="GF48" s="4260"/>
      <c r="GG48" s="4260"/>
      <c r="GH48" s="4260"/>
      <c r="GI48" s="4260"/>
      <c r="GJ48" s="4260"/>
      <c r="GK48" s="4260"/>
      <c r="GL48" s="4260"/>
      <c r="GM48" s="4260"/>
      <c r="GN48" s="4260"/>
      <c r="GO48" s="4260"/>
      <c r="GP48" s="4260"/>
      <c r="GQ48" s="4260"/>
      <c r="GR48" s="4260"/>
      <c r="GS48" s="4260"/>
      <c r="GT48" s="4260"/>
      <c r="GU48" s="4260"/>
      <c r="GV48" s="4260"/>
      <c r="GW48" s="4260"/>
      <c r="GX48" s="4260"/>
      <c r="GY48" s="4260"/>
      <c r="GZ48" s="4260"/>
      <c r="HA48" s="4260"/>
      <c r="HB48" s="4260"/>
      <c r="HC48" s="4260"/>
      <c r="HD48" s="4260"/>
      <c r="HE48" s="4260"/>
      <c r="HF48" s="4260"/>
      <c r="HG48" s="4260"/>
      <c r="HH48" s="4260"/>
      <c r="HI48" s="4260"/>
      <c r="HJ48" s="4260"/>
      <c r="HK48" s="4260"/>
      <c r="HL48" s="4260"/>
      <c r="HM48" s="4260"/>
      <c r="HN48" s="4260"/>
      <c r="HO48" s="4260"/>
      <c r="HP48" s="4260"/>
      <c r="HQ48" s="4260"/>
      <c r="HR48" s="4260"/>
      <c r="HS48" s="4260"/>
      <c r="HT48" s="4260"/>
      <c r="HU48" s="4260"/>
    </row>
    <row r="49" spans="1:234" s="4295" customFormat="1" ht="16.95" customHeight="1" x14ac:dyDescent="0.3">
      <c r="A49" s="7635">
        <v>29101535</v>
      </c>
      <c r="B49" s="7655" t="s">
        <v>3500</v>
      </c>
      <c r="C49" s="7656" t="s">
        <v>5369</v>
      </c>
      <c r="D49" s="7656" t="s">
        <v>5370</v>
      </c>
      <c r="E49" s="7657" t="s">
        <v>5371</v>
      </c>
      <c r="F49" s="7658" t="s">
        <v>5372</v>
      </c>
      <c r="G49" s="7659" t="s">
        <v>5373</v>
      </c>
      <c r="H49" s="7658" t="s">
        <v>5374</v>
      </c>
      <c r="I49" s="7659" t="s">
        <v>5375</v>
      </c>
      <c r="J49" s="7658" t="s">
        <v>5376</v>
      </c>
      <c r="K49" s="7659" t="s">
        <v>5377</v>
      </c>
      <c r="L49" s="7658" t="s">
        <v>5378</v>
      </c>
      <c r="M49" s="7659" t="s">
        <v>5379</v>
      </c>
      <c r="N49" s="7658" t="s">
        <v>5380</v>
      </c>
      <c r="O49" s="7659" t="s">
        <v>5381</v>
      </c>
      <c r="P49" s="7658" t="s">
        <v>5382</v>
      </c>
      <c r="Q49" s="7659" t="s">
        <v>5383</v>
      </c>
      <c r="R49" s="7658" t="s">
        <v>5384</v>
      </c>
      <c r="S49" s="7659" t="s">
        <v>5385</v>
      </c>
      <c r="T49" s="7658" t="s">
        <v>5386</v>
      </c>
      <c r="U49" s="7659" t="s">
        <v>5387</v>
      </c>
      <c r="V49" s="7658" t="s">
        <v>5388</v>
      </c>
      <c r="W49" s="7659" t="s">
        <v>5389</v>
      </c>
      <c r="X49" s="7658" t="s">
        <v>5390</v>
      </c>
      <c r="Y49" s="7659" t="s">
        <v>5391</v>
      </c>
      <c r="Z49" s="7658" t="s">
        <v>5392</v>
      </c>
      <c r="AA49" s="7659" t="s">
        <v>5393</v>
      </c>
      <c r="AB49" s="7658" t="s">
        <v>5394</v>
      </c>
      <c r="AC49" s="7659" t="s">
        <v>5395</v>
      </c>
      <c r="AD49" s="7658" t="s">
        <v>5396</v>
      </c>
      <c r="AE49" s="7659" t="s">
        <v>5397</v>
      </c>
      <c r="AF49" s="7658" t="s">
        <v>5398</v>
      </c>
      <c r="AG49" s="8067" t="s">
        <v>5399</v>
      </c>
      <c r="AH49" s="8068" t="s">
        <v>5400</v>
      </c>
      <c r="AI49" s="8067" t="s">
        <v>5401</v>
      </c>
      <c r="AJ49" s="8068" t="s">
        <v>5402</v>
      </c>
      <c r="AK49" s="8067" t="s">
        <v>5403</v>
      </c>
      <c r="AL49" s="8068" t="s">
        <v>5404</v>
      </c>
      <c r="AM49" s="8067" t="s">
        <v>5405</v>
      </c>
      <c r="AN49" s="8069" t="s">
        <v>5406</v>
      </c>
      <c r="AO49" s="8069" t="s">
        <v>5407</v>
      </c>
      <c r="AP49" s="8069" t="s">
        <v>5408</v>
      </c>
      <c r="AQ49" s="4258"/>
      <c r="AR49" s="4258"/>
      <c r="AS49" s="4258"/>
      <c r="AT49" s="4258"/>
      <c r="AU49" s="4258"/>
      <c r="AV49" s="4258"/>
      <c r="AW49" s="4258"/>
      <c r="AX49" s="4258"/>
      <c r="AY49" s="4258"/>
      <c r="AZ49" s="4258"/>
      <c r="BA49" s="4258"/>
      <c r="BB49" s="4258"/>
      <c r="BC49" s="4258"/>
      <c r="BD49" s="4258"/>
      <c r="BE49" s="4258"/>
      <c r="BF49" s="4258"/>
      <c r="BG49" s="4258"/>
      <c r="BH49" s="4258"/>
      <c r="BI49" s="4258"/>
      <c r="BJ49" s="4258"/>
      <c r="BK49" s="4258"/>
      <c r="BL49" s="4258"/>
      <c r="BM49" s="4258"/>
      <c r="BN49" s="4258"/>
      <c r="BO49" s="4258"/>
      <c r="BP49" s="4258"/>
      <c r="BQ49" s="4258"/>
      <c r="BR49" s="4258"/>
      <c r="BS49" s="4259"/>
      <c r="BT49" s="4260"/>
      <c r="BU49" s="4260"/>
      <c r="BV49" s="4264"/>
      <c r="BW49" s="4264"/>
      <c r="BX49" s="4264"/>
      <c r="BY49" s="4264"/>
      <c r="BZ49" s="4264"/>
      <c r="CA49" s="4264"/>
      <c r="CB49" s="4262"/>
      <c r="CC49" s="4262"/>
      <c r="CD49" s="4261"/>
      <c r="CE49" s="4261"/>
      <c r="CF49" s="4261"/>
      <c r="CG49" s="4261"/>
      <c r="CH49" s="4261"/>
      <c r="CI49" s="4261"/>
      <c r="CJ49" s="4261"/>
      <c r="CK49" s="4261"/>
      <c r="CL49" s="4261"/>
      <c r="CM49" s="4261"/>
      <c r="CN49" s="4261"/>
      <c r="CO49" s="4261"/>
      <c r="CP49" s="4261"/>
      <c r="CQ49" s="4261"/>
      <c r="CR49" s="4261"/>
      <c r="CS49" s="4261"/>
      <c r="CT49" s="4261"/>
      <c r="CU49" s="4261"/>
      <c r="CV49" s="4262"/>
      <c r="CW49" s="4261"/>
      <c r="CX49" s="4261"/>
      <c r="CY49" s="4261"/>
      <c r="CZ49" s="4261"/>
      <c r="DA49" s="4261"/>
      <c r="DB49" s="4294"/>
      <c r="DC49" s="4294"/>
      <c r="DD49" s="4294"/>
      <c r="DE49" s="4294"/>
      <c r="DF49" s="4294"/>
      <c r="DG49" s="4294"/>
      <c r="DH49" s="4294"/>
      <c r="DI49" s="4294"/>
      <c r="DJ49" s="4294"/>
      <c r="DK49" s="4294"/>
      <c r="DL49" s="4294"/>
      <c r="DM49" s="4294"/>
      <c r="DN49" s="4294"/>
      <c r="DO49" s="4294"/>
      <c r="DP49" s="4294"/>
      <c r="DQ49" s="4294"/>
      <c r="DR49" s="4260"/>
      <c r="DS49" s="4260"/>
      <c r="DT49" s="4260"/>
      <c r="DU49" s="4260"/>
      <c r="DV49" s="4260"/>
      <c r="DW49" s="4260"/>
      <c r="DX49" s="4260"/>
      <c r="DY49" s="4260"/>
      <c r="DZ49" s="4260"/>
      <c r="EA49" s="4260"/>
      <c r="EB49" s="4260"/>
      <c r="EC49" s="4260"/>
      <c r="ED49" s="4260"/>
      <c r="EE49" s="4260"/>
      <c r="EF49" s="4260"/>
      <c r="EG49" s="4260"/>
      <c r="EH49" s="4260"/>
      <c r="EI49" s="4260"/>
      <c r="EJ49" s="4260"/>
      <c r="EK49" s="4260"/>
      <c r="EL49" s="4260"/>
      <c r="EM49" s="4260"/>
      <c r="EN49" s="4260"/>
      <c r="EO49" s="4260"/>
      <c r="EP49" s="4260"/>
      <c r="EQ49" s="4260"/>
      <c r="ER49" s="4260"/>
      <c r="ES49" s="4260"/>
      <c r="ET49" s="4260"/>
      <c r="EU49" s="4260"/>
      <c r="EV49" s="4260"/>
      <c r="EW49" s="4260"/>
      <c r="EX49" s="4260"/>
      <c r="EY49" s="4260"/>
      <c r="EZ49" s="4260"/>
      <c r="FA49" s="4260"/>
      <c r="FB49" s="4260"/>
      <c r="FC49" s="4260"/>
      <c r="FD49" s="4260"/>
      <c r="FE49" s="4260"/>
      <c r="FF49" s="4260"/>
      <c r="FG49" s="4260"/>
      <c r="FH49" s="4260"/>
      <c r="FI49" s="4260"/>
      <c r="FJ49" s="4260"/>
      <c r="FK49" s="4260"/>
      <c r="FL49" s="4260"/>
      <c r="FM49" s="4260"/>
      <c r="FN49" s="4260"/>
      <c r="FO49" s="4260"/>
      <c r="FP49" s="4260"/>
      <c r="FQ49" s="4260"/>
      <c r="FR49" s="4260"/>
      <c r="FS49" s="4260"/>
      <c r="FT49" s="4260"/>
      <c r="FU49" s="4260"/>
      <c r="FV49" s="4260"/>
      <c r="FW49" s="4260"/>
      <c r="FX49" s="4260"/>
      <c r="FY49" s="4260"/>
      <c r="FZ49" s="4260"/>
      <c r="GA49" s="4260"/>
      <c r="GB49" s="4260"/>
      <c r="GC49" s="4260"/>
      <c r="GD49" s="4260"/>
      <c r="GE49" s="4260"/>
      <c r="GF49" s="4260"/>
      <c r="GG49" s="4260"/>
      <c r="GH49" s="4260"/>
      <c r="GI49" s="4260"/>
      <c r="GJ49" s="4260"/>
      <c r="GK49" s="4260"/>
      <c r="GL49" s="4260"/>
      <c r="GM49" s="4260"/>
      <c r="GN49" s="4260"/>
      <c r="GO49" s="4260"/>
      <c r="GP49" s="4260"/>
      <c r="GQ49" s="4260"/>
      <c r="GR49" s="4260"/>
      <c r="GS49" s="4260"/>
      <c r="GT49" s="4260"/>
      <c r="GU49" s="4260"/>
      <c r="GV49" s="4260"/>
      <c r="GW49" s="4260"/>
      <c r="GX49" s="4260"/>
      <c r="GY49" s="4260"/>
      <c r="GZ49" s="4260"/>
      <c r="HA49" s="4260"/>
      <c r="HB49" s="4260"/>
      <c r="HC49" s="4260"/>
      <c r="HD49" s="4260"/>
      <c r="HE49" s="4260"/>
      <c r="HF49" s="4260"/>
      <c r="HG49" s="4260"/>
      <c r="HH49" s="4260"/>
      <c r="HI49" s="4260"/>
      <c r="HJ49" s="4260"/>
      <c r="HK49" s="4260"/>
      <c r="HL49" s="4260"/>
      <c r="HM49" s="4260"/>
      <c r="HN49" s="4260"/>
      <c r="HO49" s="4260"/>
      <c r="HP49" s="4260"/>
      <c r="HQ49" s="4260"/>
      <c r="HR49" s="4260"/>
      <c r="HS49" s="4260"/>
      <c r="HT49" s="4260"/>
      <c r="HU49" s="4260"/>
    </row>
    <row r="50" spans="1:234" s="4295" customFormat="1" ht="32.1" customHeight="1" x14ac:dyDescent="0.25">
      <c r="A50" s="7314"/>
      <c r="B50" s="4348" t="s">
        <v>1702</v>
      </c>
      <c r="C50" s="4354"/>
      <c r="D50" s="4354"/>
      <c r="E50" s="4355"/>
      <c r="F50" s="4355"/>
      <c r="G50" s="4355"/>
      <c r="H50" s="4355"/>
      <c r="I50" s="3940"/>
      <c r="J50" s="4269"/>
      <c r="K50" s="3940"/>
      <c r="L50" s="3940"/>
      <c r="M50" s="4264"/>
      <c r="N50" s="4264"/>
      <c r="O50" s="4264"/>
      <c r="P50" s="4264"/>
      <c r="Q50" s="4264"/>
      <c r="R50" s="4264"/>
      <c r="S50" s="4264"/>
      <c r="T50" s="4264"/>
      <c r="U50" s="4264"/>
      <c r="V50" s="4264"/>
      <c r="W50" s="4264"/>
      <c r="X50" s="4264"/>
      <c r="Y50" s="4264"/>
      <c r="Z50" s="4264"/>
      <c r="AA50" s="4258"/>
      <c r="AB50" s="4258"/>
      <c r="AC50" s="4258"/>
      <c r="AD50" s="4258"/>
      <c r="AE50" s="4258"/>
      <c r="AF50" s="4258"/>
      <c r="AG50" s="4258"/>
      <c r="AH50" s="4258"/>
      <c r="AI50" s="4258"/>
      <c r="AJ50" s="4258"/>
      <c r="AK50" s="4258"/>
      <c r="AL50" s="4258"/>
      <c r="AM50" s="4258"/>
      <c r="AN50" s="4258"/>
      <c r="AO50" s="4258"/>
      <c r="AP50" s="4258"/>
      <c r="AQ50" s="4258"/>
      <c r="AR50" s="4258"/>
      <c r="AS50" s="4258"/>
      <c r="AT50" s="4258"/>
      <c r="AU50" s="4258"/>
      <c r="AV50" s="4258"/>
      <c r="AW50" s="4258"/>
      <c r="AX50" s="4258"/>
      <c r="AY50" s="4258"/>
      <c r="AZ50" s="4258"/>
      <c r="BA50" s="4258"/>
      <c r="BB50" s="4258"/>
      <c r="BC50" s="4258"/>
      <c r="BD50" s="4258"/>
      <c r="BE50" s="4258"/>
      <c r="BF50" s="4258"/>
      <c r="BG50" s="4258"/>
      <c r="BH50" s="4258"/>
      <c r="BI50" s="4258"/>
      <c r="BJ50" s="4258"/>
      <c r="BK50" s="4258"/>
      <c r="BL50" s="4258"/>
      <c r="BM50" s="4258"/>
      <c r="BN50" s="4258"/>
      <c r="BO50" s="4258"/>
      <c r="BP50" s="4258"/>
      <c r="BQ50" s="4258"/>
      <c r="BR50" s="4258"/>
      <c r="BS50" s="4258"/>
      <c r="BT50" s="4258"/>
      <c r="BU50" s="4258"/>
      <c r="BV50" s="4258"/>
      <c r="BW50" s="4259"/>
      <c r="BX50" s="4259"/>
      <c r="BY50" s="4260"/>
      <c r="BZ50" s="4260"/>
      <c r="CA50" s="4260"/>
      <c r="CB50" s="4261"/>
      <c r="CC50" s="4261"/>
      <c r="CD50" s="4261"/>
      <c r="CE50" s="4261"/>
      <c r="CF50" s="4261"/>
      <c r="CG50" s="4261"/>
      <c r="CH50" s="4261"/>
      <c r="CI50" s="4261"/>
      <c r="CJ50" s="4261"/>
      <c r="CK50" s="4261"/>
      <c r="CL50" s="4261"/>
      <c r="CM50" s="4261"/>
      <c r="CN50" s="4261"/>
      <c r="CO50" s="4261"/>
      <c r="CP50" s="4261"/>
      <c r="CQ50" s="4261"/>
      <c r="CR50" s="4261"/>
      <c r="CS50" s="4261"/>
      <c r="CT50" s="4261"/>
      <c r="CU50" s="4261"/>
      <c r="CV50" s="4261"/>
      <c r="CW50" s="4261"/>
      <c r="CX50" s="4261"/>
      <c r="CY50" s="4261"/>
      <c r="CZ50" s="4261"/>
      <c r="DA50" s="4262"/>
      <c r="DB50" s="4294"/>
      <c r="DC50" s="4294"/>
      <c r="DD50" s="4294"/>
      <c r="DE50" s="4294"/>
      <c r="DF50" s="4294"/>
      <c r="DG50" s="4294"/>
      <c r="DH50" s="4294"/>
      <c r="DI50" s="4294"/>
      <c r="DJ50" s="4294"/>
      <c r="DK50" s="4294"/>
      <c r="DL50" s="4294"/>
      <c r="DM50" s="4294"/>
      <c r="DN50" s="4294"/>
      <c r="DO50" s="4294"/>
      <c r="DP50" s="4294"/>
      <c r="DQ50" s="4294"/>
      <c r="DR50" s="4260"/>
      <c r="DS50" s="4260"/>
      <c r="DT50" s="4260"/>
      <c r="DU50" s="4260"/>
      <c r="DV50" s="4260"/>
      <c r="DW50" s="4260"/>
      <c r="DX50" s="4260"/>
      <c r="DY50" s="4260"/>
      <c r="DZ50" s="4260"/>
      <c r="EA50" s="4260"/>
      <c r="EB50" s="4260"/>
      <c r="EC50" s="4260"/>
      <c r="ED50" s="4260"/>
      <c r="EE50" s="4260"/>
      <c r="EF50" s="4260"/>
      <c r="EG50" s="4260"/>
      <c r="EH50" s="4260"/>
      <c r="EI50" s="4260"/>
      <c r="EJ50" s="4260"/>
      <c r="EK50" s="4260"/>
      <c r="EL50" s="4260"/>
      <c r="EM50" s="4260"/>
      <c r="EN50" s="4260"/>
      <c r="EO50" s="4260"/>
      <c r="EP50" s="4260"/>
      <c r="EQ50" s="4260"/>
      <c r="ER50" s="4260"/>
      <c r="ES50" s="4260"/>
      <c r="ET50" s="4260"/>
      <c r="EU50" s="4260"/>
      <c r="EV50" s="4260"/>
      <c r="EW50" s="4260"/>
      <c r="EX50" s="4260"/>
      <c r="EY50" s="4260"/>
      <c r="EZ50" s="4260"/>
      <c r="FA50" s="4260"/>
      <c r="FB50" s="4260"/>
      <c r="FC50" s="4260"/>
      <c r="FD50" s="4260"/>
      <c r="FE50" s="4260"/>
      <c r="FF50" s="4260"/>
      <c r="FG50" s="4260"/>
      <c r="FH50" s="4260"/>
      <c r="FI50" s="4260"/>
      <c r="FJ50" s="4260"/>
      <c r="FK50" s="4260"/>
      <c r="FL50" s="4260"/>
      <c r="FM50" s="4260"/>
      <c r="FN50" s="4260"/>
      <c r="FO50" s="4260"/>
      <c r="FP50" s="4260"/>
      <c r="FQ50" s="4260"/>
      <c r="FR50" s="4260"/>
      <c r="FS50" s="4260"/>
      <c r="FT50" s="4260"/>
      <c r="FU50" s="4260"/>
      <c r="FV50" s="4260"/>
      <c r="FW50" s="4260"/>
      <c r="FX50" s="4260"/>
      <c r="FY50" s="4260"/>
      <c r="FZ50" s="4260"/>
      <c r="GA50" s="4260"/>
      <c r="GB50" s="4260"/>
      <c r="GC50" s="4260"/>
      <c r="GD50" s="4260"/>
      <c r="GE50" s="4260"/>
      <c r="GF50" s="4260"/>
      <c r="GG50" s="4260"/>
      <c r="GH50" s="4260"/>
      <c r="GI50" s="4260"/>
      <c r="GJ50" s="4260"/>
      <c r="GK50" s="4260"/>
      <c r="GL50" s="4260"/>
      <c r="GM50" s="4260"/>
      <c r="GN50" s="4260"/>
      <c r="GO50" s="4260"/>
      <c r="GP50" s="4260"/>
      <c r="GQ50" s="4260"/>
      <c r="GR50" s="4260"/>
      <c r="GS50" s="4260"/>
      <c r="GT50" s="4260"/>
      <c r="GU50" s="4260"/>
      <c r="GV50" s="4260"/>
      <c r="GW50" s="4260"/>
      <c r="GX50" s="4260"/>
      <c r="GY50" s="4260"/>
      <c r="GZ50" s="4260"/>
      <c r="HA50" s="4260"/>
      <c r="HB50" s="4260"/>
      <c r="HC50" s="4260"/>
      <c r="HD50" s="4260"/>
      <c r="HE50" s="4260"/>
      <c r="HF50" s="4260"/>
      <c r="HG50" s="4260"/>
      <c r="HH50" s="4260"/>
      <c r="HI50" s="4260"/>
      <c r="HJ50" s="4260"/>
      <c r="HK50" s="4260"/>
      <c r="HL50" s="4260"/>
      <c r="HM50" s="4260"/>
      <c r="HN50" s="4260"/>
      <c r="HO50" s="4260"/>
      <c r="HP50" s="4260"/>
      <c r="HQ50" s="4260"/>
      <c r="HR50" s="4260"/>
      <c r="HS50" s="4260"/>
      <c r="HT50" s="4260"/>
      <c r="HU50" s="4260"/>
      <c r="HV50" s="4260"/>
      <c r="HW50" s="4260"/>
      <c r="HX50" s="4260"/>
      <c r="HY50" s="4260"/>
      <c r="HZ50" s="4260"/>
    </row>
    <row r="51" spans="1:234" s="4295" customFormat="1" ht="58.5" customHeight="1" x14ac:dyDescent="0.25">
      <c r="A51" s="7632"/>
      <c r="B51" s="9423" t="s">
        <v>1690</v>
      </c>
      <c r="C51" s="10741"/>
      <c r="D51" s="4356" t="s">
        <v>24</v>
      </c>
      <c r="E51" s="4356" t="s">
        <v>133</v>
      </c>
      <c r="F51" s="4357" t="s">
        <v>1701</v>
      </c>
      <c r="G51" s="4358" t="s">
        <v>3712</v>
      </c>
      <c r="H51" s="4246" t="s">
        <v>2794</v>
      </c>
      <c r="I51" s="4278" t="s">
        <v>518</v>
      </c>
      <c r="J51" s="4359" t="s">
        <v>1700</v>
      </c>
      <c r="K51" s="4279" t="s">
        <v>362</v>
      </c>
      <c r="L51" s="4279" t="s">
        <v>361</v>
      </c>
      <c r="M51" s="4279" t="s">
        <v>2813</v>
      </c>
      <c r="N51" s="4279" t="s">
        <v>2615</v>
      </c>
      <c r="O51" s="4264"/>
      <c r="P51" s="4264"/>
      <c r="Q51" s="4264"/>
      <c r="R51" s="4264"/>
      <c r="S51" s="4264"/>
      <c r="T51" s="4264"/>
      <c r="U51" s="4264"/>
      <c r="V51" s="4264"/>
      <c r="W51" s="4264"/>
      <c r="X51" s="4264"/>
      <c r="Y51" s="4264"/>
      <c r="Z51" s="4264"/>
      <c r="AA51" s="4258"/>
      <c r="AB51" s="4258"/>
      <c r="AC51" s="4258"/>
      <c r="AD51" s="4258"/>
      <c r="AE51" s="4258"/>
      <c r="AF51" s="4258"/>
      <c r="AG51" s="4258"/>
      <c r="AH51" s="4258"/>
      <c r="AI51" s="4258"/>
      <c r="AJ51" s="4258"/>
      <c r="AK51" s="4258"/>
      <c r="AL51" s="4258"/>
      <c r="AM51" s="4258"/>
      <c r="AN51" s="4258"/>
      <c r="AO51" s="4258"/>
      <c r="AP51" s="4258"/>
      <c r="AQ51" s="4258"/>
      <c r="AR51" s="4258"/>
      <c r="AS51" s="4258"/>
      <c r="AT51" s="4258"/>
      <c r="AU51" s="4258"/>
      <c r="AV51" s="4258"/>
      <c r="AW51" s="4258"/>
      <c r="AX51" s="4258"/>
      <c r="AY51" s="4258"/>
      <c r="AZ51" s="4258"/>
      <c r="BA51" s="4258"/>
      <c r="BB51" s="4258"/>
      <c r="BC51" s="4258"/>
      <c r="BD51" s="4258"/>
      <c r="BE51" s="4258"/>
      <c r="BF51" s="4258"/>
      <c r="BG51" s="4258"/>
      <c r="BH51" s="4258"/>
      <c r="BI51" s="4258"/>
      <c r="BJ51" s="4258"/>
      <c r="BK51" s="4258"/>
      <c r="BL51" s="4258"/>
      <c r="BM51" s="4258"/>
      <c r="BN51" s="4258"/>
      <c r="BO51" s="4258"/>
      <c r="BP51" s="4258"/>
      <c r="BQ51" s="4258"/>
      <c r="BR51" s="4258"/>
      <c r="BS51" s="4258"/>
      <c r="BT51" s="4258"/>
      <c r="BU51" s="4258"/>
      <c r="BV51" s="4258"/>
      <c r="BW51" s="4259"/>
      <c r="BX51" s="4259"/>
      <c r="BY51" s="4260"/>
      <c r="BZ51" s="4260"/>
      <c r="CA51" s="4260"/>
      <c r="CB51" s="4261"/>
      <c r="CC51" s="4261"/>
      <c r="CD51" s="4261"/>
      <c r="CE51" s="4261"/>
      <c r="CF51" s="4261"/>
      <c r="CG51" s="4261"/>
      <c r="CH51" s="4261"/>
      <c r="CI51" s="4261"/>
      <c r="CJ51" s="4261"/>
      <c r="CK51" s="4261"/>
      <c r="CL51" s="4261"/>
      <c r="CM51" s="4261"/>
      <c r="CN51" s="4261"/>
      <c r="CO51" s="4261"/>
      <c r="CP51" s="4261"/>
      <c r="CQ51" s="4261"/>
      <c r="CR51" s="4261"/>
      <c r="CS51" s="4261"/>
      <c r="CT51" s="4261"/>
      <c r="CU51" s="4261"/>
      <c r="CV51" s="4261"/>
      <c r="CW51" s="4261"/>
      <c r="CX51" s="4261"/>
      <c r="CY51" s="4261"/>
      <c r="CZ51" s="4261"/>
      <c r="DA51" s="4262"/>
      <c r="DB51" s="4294"/>
      <c r="DC51" s="4294"/>
      <c r="DD51" s="4294"/>
      <c r="DE51" s="4294"/>
      <c r="DF51" s="4294"/>
      <c r="DG51" s="4294"/>
      <c r="DH51" s="4294"/>
      <c r="DI51" s="4294"/>
      <c r="DJ51" s="4294"/>
      <c r="DK51" s="4294"/>
      <c r="DL51" s="4294"/>
      <c r="DM51" s="4294"/>
      <c r="DN51" s="4294"/>
      <c r="DO51" s="4294"/>
      <c r="DP51" s="4294"/>
      <c r="DQ51" s="4294"/>
      <c r="DR51" s="4260"/>
      <c r="DS51" s="4260"/>
      <c r="DT51" s="4260"/>
      <c r="DU51" s="4260"/>
      <c r="DV51" s="4260"/>
      <c r="DW51" s="4260"/>
      <c r="DX51" s="4260"/>
      <c r="DY51" s="4260"/>
      <c r="DZ51" s="4260"/>
      <c r="EA51" s="4260"/>
      <c r="EB51" s="4260"/>
      <c r="EC51" s="4260"/>
      <c r="ED51" s="4260"/>
      <c r="EE51" s="4260"/>
      <c r="EF51" s="4260"/>
      <c r="EG51" s="4260"/>
      <c r="EH51" s="4260"/>
      <c r="EI51" s="4260"/>
      <c r="EJ51" s="4260"/>
      <c r="EK51" s="4260"/>
      <c r="EL51" s="4260"/>
      <c r="EM51" s="4260"/>
      <c r="EN51" s="4260"/>
      <c r="EO51" s="4260"/>
      <c r="EP51" s="4260"/>
      <c r="EQ51" s="4260"/>
      <c r="ER51" s="4260"/>
      <c r="ES51" s="4260"/>
      <c r="ET51" s="4260"/>
      <c r="EU51" s="4260"/>
      <c r="EV51" s="4260"/>
      <c r="EW51" s="4260"/>
      <c r="EX51" s="4260"/>
      <c r="EY51" s="4260"/>
      <c r="EZ51" s="4260"/>
      <c r="FA51" s="4260"/>
      <c r="FB51" s="4260"/>
      <c r="FC51" s="4260"/>
      <c r="FD51" s="4260"/>
      <c r="FE51" s="4260"/>
      <c r="FF51" s="4260"/>
      <c r="FG51" s="4260"/>
      <c r="FH51" s="4260"/>
      <c r="FI51" s="4260"/>
      <c r="FJ51" s="4260"/>
      <c r="FK51" s="4260"/>
      <c r="FL51" s="4260"/>
      <c r="FM51" s="4260"/>
      <c r="FN51" s="4260"/>
      <c r="FO51" s="4260"/>
      <c r="FP51" s="4260"/>
      <c r="FQ51" s="4260"/>
      <c r="FR51" s="4260"/>
      <c r="FS51" s="4260"/>
      <c r="FT51" s="4260"/>
      <c r="FU51" s="4260"/>
      <c r="FV51" s="4260"/>
      <c r="FW51" s="4260"/>
      <c r="FX51" s="4260"/>
      <c r="FY51" s="4260"/>
      <c r="FZ51" s="4260"/>
      <c r="GA51" s="4260"/>
      <c r="GB51" s="4260"/>
      <c r="GC51" s="4260"/>
      <c r="GD51" s="4260"/>
      <c r="GE51" s="4260"/>
      <c r="GF51" s="4260"/>
      <c r="GG51" s="4260"/>
      <c r="GH51" s="4260"/>
      <c r="GI51" s="4260"/>
      <c r="GJ51" s="4260"/>
      <c r="GK51" s="4260"/>
      <c r="GL51" s="4260"/>
      <c r="GM51" s="4260"/>
      <c r="GN51" s="4260"/>
      <c r="GO51" s="4260"/>
      <c r="GP51" s="4260"/>
      <c r="GQ51" s="4260"/>
      <c r="GR51" s="4260"/>
      <c r="GS51" s="4260"/>
      <c r="GT51" s="4260"/>
      <c r="GU51" s="4260"/>
      <c r="GV51" s="4260"/>
      <c r="GW51" s="4260"/>
      <c r="GX51" s="4260"/>
      <c r="GY51" s="4260"/>
      <c r="GZ51" s="4260"/>
      <c r="HA51" s="4260"/>
      <c r="HB51" s="4260"/>
      <c r="HC51" s="4260"/>
      <c r="HD51" s="4260"/>
      <c r="HE51" s="4260"/>
      <c r="HF51" s="4260"/>
      <c r="HG51" s="4260"/>
      <c r="HH51" s="4260"/>
      <c r="HI51" s="4260"/>
      <c r="HJ51" s="4260"/>
      <c r="HK51" s="4260"/>
      <c r="HL51" s="4260"/>
      <c r="HM51" s="4260"/>
      <c r="HN51" s="4260"/>
      <c r="HO51" s="4260"/>
      <c r="HP51" s="4260"/>
      <c r="HQ51" s="4260"/>
      <c r="HR51" s="4260"/>
      <c r="HS51" s="4260"/>
      <c r="HT51" s="4260"/>
      <c r="HU51" s="4260"/>
      <c r="HV51" s="4260"/>
      <c r="HW51" s="4260"/>
      <c r="HX51" s="4260"/>
      <c r="HY51" s="4260"/>
      <c r="HZ51" s="4260"/>
    </row>
    <row r="52" spans="1:234" s="4295" customFormat="1" x14ac:dyDescent="0.25">
      <c r="A52" s="7258">
        <v>26260600</v>
      </c>
      <c r="B52" s="10742" t="s">
        <v>1699</v>
      </c>
      <c r="C52" s="10743"/>
      <c r="D52" s="4360" t="s">
        <v>5369</v>
      </c>
      <c r="E52" s="4361" t="s">
        <v>5370</v>
      </c>
      <c r="F52" s="4362" t="s">
        <v>5371</v>
      </c>
      <c r="G52" s="4363" t="s">
        <v>5372</v>
      </c>
      <c r="H52" s="4364" t="s">
        <v>5373</v>
      </c>
      <c r="I52" s="4365" t="s">
        <v>5374</v>
      </c>
      <c r="J52" s="4366" t="s">
        <v>5375</v>
      </c>
      <c r="K52" s="4367" t="s">
        <v>5376</v>
      </c>
      <c r="L52" s="4367" t="s">
        <v>5377</v>
      </c>
      <c r="M52" s="4367" t="s">
        <v>5378</v>
      </c>
      <c r="N52" s="4367" t="s">
        <v>5379</v>
      </c>
      <c r="O52" s="4264" t="str">
        <f>CB52&amp;CC52&amp;CD52&amp;CE52</f>
        <v xml:space="preserve">* Pueblos Originarios debe ser MENOR O IGUAL al Total. * Migrantes debe ser MENOR O IGUAL al Total. * NNAJ SENAME debe ser MENOR O IGUAL al Total. * NNAJ Mejor Niñez debe ser MENOR O IGUAL al Total. </v>
      </c>
      <c r="P52" s="4264"/>
      <c r="Q52" s="4264"/>
      <c r="R52" s="4264"/>
      <c r="S52" s="4264"/>
      <c r="T52" s="4264"/>
      <c r="U52" s="4264"/>
      <c r="V52" s="4264"/>
      <c r="W52" s="4264"/>
      <c r="X52" s="4264"/>
      <c r="Y52" s="4264"/>
      <c r="Z52" s="4264"/>
      <c r="AA52" s="4258"/>
      <c r="AB52" s="4258"/>
      <c r="AC52" s="4258"/>
      <c r="AD52" s="4258"/>
      <c r="AE52" s="4258"/>
      <c r="AF52" s="4258"/>
      <c r="AG52" s="4258"/>
      <c r="AH52" s="4258"/>
      <c r="AI52" s="4258"/>
      <c r="AJ52" s="4258"/>
      <c r="AK52" s="4258"/>
      <c r="AL52" s="4258"/>
      <c r="AM52" s="4258"/>
      <c r="AN52" s="4258"/>
      <c r="AO52" s="4258"/>
      <c r="AP52" s="4258"/>
      <c r="AQ52" s="4258"/>
      <c r="AR52" s="4258"/>
      <c r="AS52" s="4258"/>
      <c r="AT52" s="4258"/>
      <c r="AU52" s="4258"/>
      <c r="AV52" s="4258"/>
      <c r="AW52" s="4258"/>
      <c r="AX52" s="4258"/>
      <c r="AY52" s="4258"/>
      <c r="AZ52" s="4258"/>
      <c r="BA52" s="4258"/>
      <c r="BB52" s="4258"/>
      <c r="BC52" s="4258"/>
      <c r="BD52" s="4258"/>
      <c r="BE52" s="4258"/>
      <c r="BF52" s="4258"/>
      <c r="BG52" s="4258"/>
      <c r="BH52" s="4258"/>
      <c r="BI52" s="4258"/>
      <c r="BJ52" s="4258"/>
      <c r="BK52" s="4258"/>
      <c r="BL52" s="4258"/>
      <c r="BM52" s="4258"/>
      <c r="BN52" s="4258"/>
      <c r="BO52" s="4258"/>
      <c r="BP52" s="4258"/>
      <c r="BQ52" s="4258"/>
      <c r="BR52" s="4258"/>
      <c r="BS52" s="4258"/>
      <c r="BT52" s="4258"/>
      <c r="BU52" s="4258"/>
      <c r="BV52" s="4258"/>
      <c r="BW52" s="4259"/>
      <c r="BX52" s="4259"/>
      <c r="BY52" s="4260"/>
      <c r="BZ52" s="4260"/>
      <c r="CA52" s="4260"/>
      <c r="CB52" s="4292" t="str">
        <f>IF(DB52=1,"* Pueblos Originarios debe ser MENOR O IGUAL al Total. ","")</f>
        <v xml:space="preserve">* Pueblos Originarios debe ser MENOR O IGUAL al Total. </v>
      </c>
      <c r="CC52" s="4292" t="str">
        <f>IF(DC52=1,"* Migrantes debe ser MENOR O IGUAL al Total. ","")</f>
        <v xml:space="preserve">* Migrantes debe ser MENOR O IGUAL al Total. </v>
      </c>
      <c r="CD52" s="4292" t="str">
        <f>IF(DD52=1,"* NNAJ SENAME debe ser MENOR O IGUAL al Total. ","")</f>
        <v xml:space="preserve">* NNAJ SENAME debe ser MENOR O IGUAL al Total. </v>
      </c>
      <c r="CE52" s="4292" t="str">
        <f>IF(DE52=1,"* NNAJ Mejor Niñez debe ser MENOR O IGUAL al Total. ","")</f>
        <v xml:space="preserve">* NNAJ Mejor Niñez debe ser MENOR O IGUAL al Total. </v>
      </c>
      <c r="CF52" s="4261"/>
      <c r="CG52" s="4261"/>
      <c r="CH52" s="4261"/>
      <c r="CI52" s="4261"/>
      <c r="CJ52" s="4261"/>
      <c r="CK52" s="4261"/>
      <c r="CL52" s="4261"/>
      <c r="CM52" s="4261"/>
      <c r="CN52" s="4261"/>
      <c r="CO52" s="4261"/>
      <c r="CP52" s="4261"/>
      <c r="CQ52" s="4261"/>
      <c r="CR52" s="4261"/>
      <c r="CS52" s="4261"/>
      <c r="CT52" s="4261"/>
      <c r="CU52" s="4261"/>
      <c r="CV52" s="4261"/>
      <c r="CW52" s="4261"/>
      <c r="CX52" s="4261"/>
      <c r="CY52" s="4261"/>
      <c r="CZ52" s="4261"/>
      <c r="DA52" s="4262"/>
      <c r="DB52" s="4293">
        <f>IF(K52&gt;$D52,1,0)</f>
        <v>1</v>
      </c>
      <c r="DC52" s="4293">
        <f>IF(L52&gt;$D52,1,0)</f>
        <v>1</v>
      </c>
      <c r="DD52" s="4293">
        <f>IF(M52&gt;$D52,1,0)</f>
        <v>1</v>
      </c>
      <c r="DE52" s="4293">
        <f>IF(N52&gt;$D52,1,0)</f>
        <v>1</v>
      </c>
      <c r="DF52" s="4294"/>
      <c r="DG52" s="4294"/>
      <c r="DH52" s="4294"/>
      <c r="DI52" s="4294"/>
      <c r="DJ52" s="4294"/>
      <c r="DK52" s="4294"/>
      <c r="DL52" s="4294"/>
      <c r="DM52" s="4294"/>
      <c r="DN52" s="4294"/>
      <c r="DO52" s="4294"/>
      <c r="DP52" s="4294"/>
      <c r="DQ52" s="4294"/>
      <c r="DR52" s="4260"/>
      <c r="DS52" s="4260"/>
      <c r="DT52" s="4260"/>
      <c r="DU52" s="4260"/>
      <c r="DV52" s="4260"/>
      <c r="DW52" s="4260"/>
      <c r="DX52" s="4260"/>
      <c r="DY52" s="4260"/>
      <c r="DZ52" s="4260"/>
      <c r="EA52" s="4260"/>
      <c r="EB52" s="4260"/>
      <c r="EC52" s="4260"/>
      <c r="ED52" s="4260"/>
      <c r="EE52" s="4260"/>
      <c r="EF52" s="4260"/>
      <c r="EG52" s="4260"/>
      <c r="EH52" s="4260"/>
      <c r="EI52" s="4260"/>
      <c r="EJ52" s="4260"/>
      <c r="EK52" s="4260"/>
      <c r="EL52" s="4260"/>
      <c r="EM52" s="4260"/>
      <c r="EN52" s="4260"/>
      <c r="EO52" s="4260"/>
      <c r="EP52" s="4260"/>
      <c r="EQ52" s="4260"/>
      <c r="ER52" s="4260"/>
      <c r="ES52" s="4260"/>
      <c r="ET52" s="4260"/>
      <c r="EU52" s="4260"/>
      <c r="EV52" s="4260"/>
      <c r="EW52" s="4260"/>
      <c r="EX52" s="4260"/>
      <c r="EY52" s="4260"/>
      <c r="EZ52" s="4260"/>
      <c r="FA52" s="4260"/>
      <c r="FB52" s="4260"/>
      <c r="FC52" s="4260"/>
      <c r="FD52" s="4260"/>
      <c r="FE52" s="4260"/>
      <c r="FF52" s="4260"/>
      <c r="FG52" s="4260"/>
      <c r="FH52" s="4260"/>
      <c r="FI52" s="4260"/>
      <c r="FJ52" s="4260"/>
      <c r="FK52" s="4260"/>
      <c r="FL52" s="4260"/>
      <c r="FM52" s="4260"/>
      <c r="FN52" s="4260"/>
      <c r="FO52" s="4260"/>
      <c r="FP52" s="4260"/>
      <c r="FQ52" s="4260"/>
      <c r="FR52" s="4260"/>
      <c r="FS52" s="4260"/>
      <c r="FT52" s="4260"/>
      <c r="FU52" s="4260"/>
      <c r="FV52" s="4260"/>
      <c r="FW52" s="4260"/>
      <c r="FX52" s="4260"/>
      <c r="FY52" s="4260"/>
      <c r="FZ52" s="4260"/>
      <c r="GA52" s="4260"/>
      <c r="GB52" s="4260"/>
      <c r="GC52" s="4260"/>
      <c r="GD52" s="4260"/>
      <c r="GE52" s="4260"/>
      <c r="GF52" s="4260"/>
      <c r="GG52" s="4260"/>
      <c r="GH52" s="4260"/>
      <c r="GI52" s="4260"/>
      <c r="GJ52" s="4260"/>
      <c r="GK52" s="4260"/>
      <c r="GL52" s="4260"/>
      <c r="GM52" s="4260"/>
      <c r="GN52" s="4260"/>
      <c r="GO52" s="4260"/>
      <c r="GP52" s="4260"/>
      <c r="GQ52" s="4260"/>
      <c r="GR52" s="4260"/>
      <c r="GS52" s="4260"/>
      <c r="GT52" s="4260"/>
      <c r="GU52" s="4260"/>
      <c r="GV52" s="4260"/>
      <c r="GW52" s="4260"/>
      <c r="GX52" s="4260"/>
      <c r="GY52" s="4260"/>
      <c r="GZ52" s="4260"/>
      <c r="HA52" s="4260"/>
      <c r="HB52" s="4260"/>
      <c r="HC52" s="4260"/>
      <c r="HD52" s="4260"/>
      <c r="HE52" s="4260"/>
      <c r="HF52" s="4260"/>
      <c r="HG52" s="4260"/>
      <c r="HH52" s="4260"/>
      <c r="HI52" s="4260"/>
      <c r="HJ52" s="4260"/>
      <c r="HK52" s="4260"/>
      <c r="HL52" s="4260"/>
      <c r="HM52" s="4260"/>
      <c r="HN52" s="4260"/>
      <c r="HO52" s="4260"/>
      <c r="HP52" s="4260"/>
      <c r="HQ52" s="4260"/>
      <c r="HR52" s="4260"/>
      <c r="HS52" s="4260"/>
      <c r="HT52" s="4260"/>
      <c r="HU52" s="4260"/>
      <c r="HV52" s="4260"/>
      <c r="HW52" s="4260"/>
      <c r="HX52" s="4260"/>
      <c r="HY52" s="4260"/>
      <c r="HZ52" s="4260"/>
    </row>
    <row r="53" spans="1:234" s="4295" customFormat="1" x14ac:dyDescent="0.25">
      <c r="A53" s="7258">
        <v>26261800</v>
      </c>
      <c r="B53" s="10738" t="s">
        <v>1698</v>
      </c>
      <c r="C53" s="10739"/>
      <c r="D53" s="4368" t="s">
        <v>5369</v>
      </c>
      <c r="E53" s="4369" t="s">
        <v>5370</v>
      </c>
      <c r="F53" s="4370" t="s">
        <v>5371</v>
      </c>
      <c r="G53" s="4371" t="s">
        <v>5372</v>
      </c>
      <c r="H53" s="4372" t="s">
        <v>5373</v>
      </c>
      <c r="I53" s="4365" t="s">
        <v>5374</v>
      </c>
      <c r="J53" s="4366" t="s">
        <v>5375</v>
      </c>
      <c r="K53" s="4367" t="s">
        <v>5376</v>
      </c>
      <c r="L53" s="4367" t="s">
        <v>5377</v>
      </c>
      <c r="M53" s="4367" t="s">
        <v>5378</v>
      </c>
      <c r="N53" s="4367" t="s">
        <v>5379</v>
      </c>
      <c r="O53" s="4264" t="str">
        <f t="shared" ref="O53:O60" si="11">CB53&amp;CC53&amp;CD53&amp;CE53</f>
        <v xml:space="preserve">* Pueblos Originarios debe ser MENOR O IGUAL al Total. * Migrantes debe ser MENOR O IGUAL al Total. * NNAJ SENAME debe ser MENOR O IGUAL al Total. * NNAJ Mejor Niñez debe ser MENOR O IGUAL al Total. </v>
      </c>
      <c r="P53" s="4258"/>
      <c r="Q53" s="4258"/>
      <c r="R53" s="4258"/>
      <c r="S53" s="4258"/>
      <c r="T53" s="4258"/>
      <c r="U53" s="4258"/>
      <c r="V53" s="4258"/>
      <c r="W53" s="4258"/>
      <c r="X53" s="4258"/>
      <c r="Y53" s="4258"/>
      <c r="Z53" s="4258"/>
      <c r="AA53" s="4258"/>
      <c r="AB53" s="4258"/>
      <c r="AC53" s="4258"/>
      <c r="AD53" s="4258"/>
      <c r="AE53" s="4258"/>
      <c r="AF53" s="4258"/>
      <c r="AG53" s="4258"/>
      <c r="AH53" s="4258"/>
      <c r="AI53" s="4258"/>
      <c r="AJ53" s="4258"/>
      <c r="AK53" s="4258"/>
      <c r="AL53" s="4258"/>
      <c r="AM53" s="4258"/>
      <c r="AN53" s="4258"/>
      <c r="AO53" s="4258"/>
      <c r="AP53" s="4258"/>
      <c r="AQ53" s="4258"/>
      <c r="AR53" s="4258"/>
      <c r="AS53" s="4258"/>
      <c r="AT53" s="4258"/>
      <c r="AU53" s="4258"/>
      <c r="AV53" s="4258"/>
      <c r="AW53" s="4258"/>
      <c r="AX53" s="4258"/>
      <c r="AY53" s="4258"/>
      <c r="AZ53" s="4258"/>
      <c r="BA53" s="4258"/>
      <c r="BB53" s="4258"/>
      <c r="BC53" s="4258"/>
      <c r="BD53" s="4258"/>
      <c r="BE53" s="4258"/>
      <c r="BF53" s="4258"/>
      <c r="BG53" s="4258"/>
      <c r="BH53" s="4258"/>
      <c r="BI53" s="4258"/>
      <c r="BJ53" s="4258"/>
      <c r="BK53" s="4258"/>
      <c r="BL53" s="4258"/>
      <c r="BM53" s="4258"/>
      <c r="BN53" s="4258"/>
      <c r="BO53" s="4258"/>
      <c r="BP53" s="4258"/>
      <c r="BQ53" s="4258"/>
      <c r="BR53" s="4258"/>
      <c r="BS53" s="4258"/>
      <c r="BT53" s="4258"/>
      <c r="BU53" s="4258"/>
      <c r="BV53" s="4258"/>
      <c r="BW53" s="4259"/>
      <c r="BX53" s="4259"/>
      <c r="BY53" s="4260"/>
      <c r="BZ53" s="4260"/>
      <c r="CA53" s="4260"/>
      <c r="CB53" s="4292" t="str">
        <f t="shared" ref="CB53:CB60" si="12">IF(DB53=1,"* Pueblos Originarios debe ser MENOR O IGUAL al Total. ","")</f>
        <v xml:space="preserve">* Pueblos Originarios debe ser MENOR O IGUAL al Total. </v>
      </c>
      <c r="CC53" s="4292" t="str">
        <f t="shared" ref="CC53:CC60" si="13">IF(DC53=1,"* Migrantes debe ser MENOR O IGUAL al Total. ","")</f>
        <v xml:space="preserve">* Migrantes debe ser MENOR O IGUAL al Total. </v>
      </c>
      <c r="CD53" s="4292" t="str">
        <f t="shared" ref="CD53:CD60" si="14">IF(DD53=1,"* NNAJ SENAME debe ser MENOR O IGUAL al Total. ","")</f>
        <v xml:space="preserve">* NNAJ SENAME debe ser MENOR O IGUAL al Total. </v>
      </c>
      <c r="CE53" s="4292" t="str">
        <f t="shared" ref="CE53:CE60" si="15">IF(DE53=1,"* NNAJ Mejor Niñez debe ser MENOR O IGUAL al Total. ","")</f>
        <v xml:space="preserve">* NNAJ Mejor Niñez debe ser MENOR O IGUAL al Total. </v>
      </c>
      <c r="CF53" s="4261"/>
      <c r="CG53" s="4261"/>
      <c r="CH53" s="4261"/>
      <c r="CI53" s="4261"/>
      <c r="CJ53" s="4261"/>
      <c r="CK53" s="4261"/>
      <c r="CL53" s="4261"/>
      <c r="CM53" s="4261"/>
      <c r="CN53" s="4261"/>
      <c r="CO53" s="4261"/>
      <c r="CP53" s="4261"/>
      <c r="CQ53" s="4261"/>
      <c r="CR53" s="4261"/>
      <c r="CS53" s="4261"/>
      <c r="CT53" s="4261"/>
      <c r="CU53" s="4261"/>
      <c r="CV53" s="4261"/>
      <c r="CW53" s="4261"/>
      <c r="CX53" s="4261"/>
      <c r="CY53" s="4261"/>
      <c r="CZ53" s="4261"/>
      <c r="DA53" s="4262"/>
      <c r="DB53" s="4293">
        <f t="shared" ref="DB53:DB60" si="16">IF(K53&gt;$D53,1,0)</f>
        <v>1</v>
      </c>
      <c r="DC53" s="4293">
        <f t="shared" ref="DC53:DC60" si="17">IF(L53&gt;$D53,1,0)</f>
        <v>1</v>
      </c>
      <c r="DD53" s="4293">
        <f t="shared" ref="DD53:DD60" si="18">IF(M53&gt;$D53,1,0)</f>
        <v>1</v>
      </c>
      <c r="DE53" s="4293">
        <f t="shared" ref="DE53:DE60" si="19">IF(N53&gt;$D53,1,0)</f>
        <v>1</v>
      </c>
      <c r="DF53" s="4294"/>
      <c r="DG53" s="4294"/>
      <c r="DH53" s="4294"/>
      <c r="DI53" s="4294"/>
      <c r="DJ53" s="4294"/>
      <c r="DK53" s="4294"/>
      <c r="DL53" s="4294"/>
      <c r="DM53" s="4294"/>
      <c r="DN53" s="4294"/>
      <c r="DO53" s="4294"/>
      <c r="DP53" s="4294"/>
      <c r="DQ53" s="4294"/>
      <c r="DR53" s="4260"/>
      <c r="DS53" s="4260"/>
      <c r="DT53" s="4260"/>
      <c r="DU53" s="4260"/>
      <c r="DV53" s="4260"/>
      <c r="DW53" s="4260"/>
      <c r="DX53" s="4260"/>
      <c r="DY53" s="4260"/>
      <c r="DZ53" s="4260"/>
      <c r="EA53" s="4260"/>
      <c r="EB53" s="4260"/>
      <c r="EC53" s="4260"/>
      <c r="ED53" s="4260"/>
      <c r="EE53" s="4260"/>
      <c r="EF53" s="4260"/>
      <c r="EG53" s="4260"/>
      <c r="EH53" s="4260"/>
      <c r="EI53" s="4260"/>
      <c r="EJ53" s="4260"/>
      <c r="EK53" s="4260"/>
      <c r="EL53" s="4260"/>
      <c r="EM53" s="4260"/>
      <c r="EN53" s="4260"/>
      <c r="EO53" s="4260"/>
      <c r="EP53" s="4260"/>
      <c r="EQ53" s="4260"/>
      <c r="ER53" s="4260"/>
      <c r="ES53" s="4260"/>
      <c r="ET53" s="4260"/>
      <c r="EU53" s="4260"/>
      <c r="EV53" s="4260"/>
      <c r="EW53" s="4260"/>
      <c r="EX53" s="4260"/>
      <c r="EY53" s="4260"/>
      <c r="EZ53" s="4260"/>
      <c r="FA53" s="4260"/>
      <c r="FB53" s="4260"/>
      <c r="FC53" s="4260"/>
      <c r="FD53" s="4260"/>
      <c r="FE53" s="4260"/>
      <c r="FF53" s="4260"/>
      <c r="FG53" s="4260"/>
      <c r="FH53" s="4260"/>
      <c r="FI53" s="4260"/>
      <c r="FJ53" s="4260"/>
      <c r="FK53" s="4260"/>
      <c r="FL53" s="4260"/>
      <c r="FM53" s="4260"/>
      <c r="FN53" s="4260"/>
      <c r="FO53" s="4260"/>
      <c r="FP53" s="4260"/>
      <c r="FQ53" s="4260"/>
      <c r="FR53" s="4260"/>
      <c r="FS53" s="4260"/>
      <c r="FT53" s="4260"/>
      <c r="FU53" s="4260"/>
      <c r="FV53" s="4260"/>
      <c r="FW53" s="4260"/>
      <c r="FX53" s="4260"/>
      <c r="FY53" s="4260"/>
      <c r="FZ53" s="4260"/>
      <c r="GA53" s="4260"/>
      <c r="GB53" s="4260"/>
      <c r="GC53" s="4260"/>
      <c r="GD53" s="4260"/>
      <c r="GE53" s="4260"/>
      <c r="GF53" s="4260"/>
      <c r="GG53" s="4260"/>
      <c r="GH53" s="4260"/>
      <c r="GI53" s="4260"/>
      <c r="GJ53" s="4260"/>
      <c r="GK53" s="4260"/>
      <c r="GL53" s="4260"/>
      <c r="GM53" s="4260"/>
      <c r="GN53" s="4260"/>
      <c r="GO53" s="4260"/>
      <c r="GP53" s="4260"/>
      <c r="GQ53" s="4260"/>
      <c r="GR53" s="4260"/>
      <c r="GS53" s="4260"/>
      <c r="GT53" s="4260"/>
      <c r="GU53" s="4260"/>
      <c r="GV53" s="4260"/>
      <c r="GW53" s="4260"/>
      <c r="GX53" s="4260"/>
      <c r="GY53" s="4260"/>
      <c r="GZ53" s="4260"/>
      <c r="HA53" s="4260"/>
      <c r="HB53" s="4260"/>
      <c r="HC53" s="4260"/>
      <c r="HD53" s="4260"/>
      <c r="HE53" s="4260"/>
      <c r="HF53" s="4260"/>
      <c r="HG53" s="4260"/>
      <c r="HH53" s="4260"/>
      <c r="HI53" s="4260"/>
      <c r="HJ53" s="4260"/>
      <c r="HK53" s="4260"/>
      <c r="HL53" s="4260"/>
      <c r="HM53" s="4260"/>
      <c r="HN53" s="4260"/>
      <c r="HO53" s="4260"/>
      <c r="HP53" s="4260"/>
      <c r="HQ53" s="4260"/>
      <c r="HR53" s="4260"/>
      <c r="HS53" s="4260"/>
      <c r="HT53" s="4260"/>
      <c r="HU53" s="4260"/>
      <c r="HV53" s="4260"/>
      <c r="HW53" s="4260"/>
      <c r="HX53" s="4260"/>
      <c r="HY53" s="4260"/>
      <c r="HZ53" s="4260"/>
    </row>
    <row r="54" spans="1:234" s="4295" customFormat="1" x14ac:dyDescent="0.25">
      <c r="A54" s="7258">
        <v>26261900</v>
      </c>
      <c r="B54" s="10738" t="s">
        <v>1697</v>
      </c>
      <c r="C54" s="10739"/>
      <c r="D54" s="4373" t="s">
        <v>5369</v>
      </c>
      <c r="E54" s="4369" t="s">
        <v>5370</v>
      </c>
      <c r="F54" s="4370" t="s">
        <v>5371</v>
      </c>
      <c r="G54" s="4371" t="s">
        <v>5372</v>
      </c>
      <c r="H54" s="4372" t="s">
        <v>5373</v>
      </c>
      <c r="I54" s="4365" t="s">
        <v>5374</v>
      </c>
      <c r="J54" s="4366" t="s">
        <v>5375</v>
      </c>
      <c r="K54" s="4367" t="s">
        <v>5376</v>
      </c>
      <c r="L54" s="4367" t="s">
        <v>5377</v>
      </c>
      <c r="M54" s="4367" t="s">
        <v>5378</v>
      </c>
      <c r="N54" s="4367" t="s">
        <v>5379</v>
      </c>
      <c r="O54" s="4264" t="str">
        <f t="shared" si="11"/>
        <v xml:space="preserve">* Pueblos Originarios debe ser MENOR O IGUAL al Total. * Migrantes debe ser MENOR O IGUAL al Total. * NNAJ SENAME debe ser MENOR O IGUAL al Total. * NNAJ Mejor Niñez debe ser MENOR O IGUAL al Total. </v>
      </c>
      <c r="P54" s="4258"/>
      <c r="Q54" s="4258"/>
      <c r="R54" s="4258"/>
      <c r="S54" s="4258"/>
      <c r="T54" s="4258"/>
      <c r="U54" s="4258"/>
      <c r="V54" s="4258"/>
      <c r="W54" s="4258"/>
      <c r="X54" s="4258"/>
      <c r="Y54" s="4258"/>
      <c r="Z54" s="4258"/>
      <c r="AA54" s="4258"/>
      <c r="AB54" s="4258"/>
      <c r="AC54" s="4258"/>
      <c r="AD54" s="4258"/>
      <c r="AE54" s="4258"/>
      <c r="AF54" s="4258"/>
      <c r="AG54" s="4258"/>
      <c r="AH54" s="4258"/>
      <c r="AI54" s="4258"/>
      <c r="AJ54" s="4258"/>
      <c r="AK54" s="4258"/>
      <c r="AL54" s="4258"/>
      <c r="AM54" s="4258"/>
      <c r="AN54" s="4258"/>
      <c r="AO54" s="4258"/>
      <c r="AP54" s="4258"/>
      <c r="AQ54" s="4258"/>
      <c r="AR54" s="4258"/>
      <c r="AS54" s="4258"/>
      <c r="AT54" s="4258"/>
      <c r="AU54" s="4258"/>
      <c r="AV54" s="4258"/>
      <c r="AW54" s="4258"/>
      <c r="AX54" s="4258"/>
      <c r="AY54" s="4258"/>
      <c r="AZ54" s="4258"/>
      <c r="BA54" s="4258"/>
      <c r="BB54" s="4258"/>
      <c r="BC54" s="4258"/>
      <c r="BD54" s="4258"/>
      <c r="BE54" s="4258"/>
      <c r="BF54" s="4258"/>
      <c r="BG54" s="4258"/>
      <c r="BH54" s="4258"/>
      <c r="BI54" s="4258"/>
      <c r="BJ54" s="4258"/>
      <c r="BK54" s="4258"/>
      <c r="BL54" s="4258"/>
      <c r="BM54" s="4258"/>
      <c r="BN54" s="4258"/>
      <c r="BO54" s="4258"/>
      <c r="BP54" s="4258"/>
      <c r="BQ54" s="4258"/>
      <c r="BR54" s="4258"/>
      <c r="BS54" s="4258"/>
      <c r="BT54" s="4258"/>
      <c r="BU54" s="4258"/>
      <c r="BV54" s="4258"/>
      <c r="BW54" s="4259"/>
      <c r="BX54" s="4259"/>
      <c r="BY54" s="4260"/>
      <c r="BZ54" s="4260"/>
      <c r="CA54" s="4260"/>
      <c r="CB54" s="4292" t="str">
        <f t="shared" si="12"/>
        <v xml:space="preserve">* Pueblos Originarios debe ser MENOR O IGUAL al Total. </v>
      </c>
      <c r="CC54" s="4292" t="str">
        <f t="shared" si="13"/>
        <v xml:space="preserve">* Migrantes debe ser MENOR O IGUAL al Total. </v>
      </c>
      <c r="CD54" s="4292" t="str">
        <f t="shared" si="14"/>
        <v xml:space="preserve">* NNAJ SENAME debe ser MENOR O IGUAL al Total. </v>
      </c>
      <c r="CE54" s="4292" t="str">
        <f t="shared" si="15"/>
        <v xml:space="preserve">* NNAJ Mejor Niñez debe ser MENOR O IGUAL al Total. </v>
      </c>
      <c r="CF54" s="4261"/>
      <c r="CG54" s="4261"/>
      <c r="CH54" s="4261"/>
      <c r="CI54" s="4261"/>
      <c r="CJ54" s="4261"/>
      <c r="CK54" s="4261"/>
      <c r="CL54" s="4261"/>
      <c r="CM54" s="4261"/>
      <c r="CN54" s="4261"/>
      <c r="CO54" s="4261"/>
      <c r="CP54" s="4261"/>
      <c r="CQ54" s="4261"/>
      <c r="CR54" s="4261"/>
      <c r="CS54" s="4261"/>
      <c r="CT54" s="4261"/>
      <c r="CU54" s="4261"/>
      <c r="CV54" s="4261"/>
      <c r="CW54" s="4261"/>
      <c r="CX54" s="4261"/>
      <c r="CY54" s="4261"/>
      <c r="CZ54" s="4261"/>
      <c r="DA54" s="4262"/>
      <c r="DB54" s="4293">
        <f t="shared" si="16"/>
        <v>1</v>
      </c>
      <c r="DC54" s="4293">
        <f t="shared" si="17"/>
        <v>1</v>
      </c>
      <c r="DD54" s="4293">
        <f t="shared" si="18"/>
        <v>1</v>
      </c>
      <c r="DE54" s="4293">
        <f t="shared" si="19"/>
        <v>1</v>
      </c>
      <c r="DF54" s="4294"/>
      <c r="DG54" s="4294"/>
      <c r="DH54" s="4294"/>
      <c r="DI54" s="4294"/>
      <c r="DJ54" s="4294"/>
      <c r="DK54" s="4294"/>
      <c r="DL54" s="4294"/>
      <c r="DM54" s="4294"/>
      <c r="DN54" s="4294"/>
      <c r="DO54" s="4294"/>
      <c r="DP54" s="4294"/>
      <c r="DQ54" s="4294"/>
      <c r="DR54" s="4260"/>
      <c r="DS54" s="4260"/>
      <c r="DT54" s="4260"/>
      <c r="DU54" s="4260"/>
      <c r="DV54" s="4260"/>
      <c r="DW54" s="4260"/>
      <c r="DX54" s="4260"/>
      <c r="DY54" s="4260"/>
      <c r="DZ54" s="4260"/>
      <c r="EA54" s="4260"/>
      <c r="EB54" s="4260"/>
      <c r="EC54" s="4260"/>
      <c r="ED54" s="4260"/>
      <c r="EE54" s="4260"/>
      <c r="EF54" s="4260"/>
      <c r="EG54" s="4260"/>
      <c r="EH54" s="4260"/>
      <c r="EI54" s="4260"/>
      <c r="EJ54" s="4260"/>
      <c r="EK54" s="4260"/>
      <c r="EL54" s="4260"/>
      <c r="EM54" s="4260"/>
      <c r="EN54" s="4260"/>
      <c r="EO54" s="4260"/>
      <c r="EP54" s="4260"/>
      <c r="EQ54" s="4260"/>
      <c r="ER54" s="4260"/>
      <c r="ES54" s="4260"/>
      <c r="ET54" s="4260"/>
      <c r="EU54" s="4260"/>
      <c r="EV54" s="4260"/>
      <c r="EW54" s="4260"/>
      <c r="EX54" s="4260"/>
      <c r="EY54" s="4260"/>
      <c r="EZ54" s="4260"/>
      <c r="FA54" s="4260"/>
      <c r="FB54" s="4260"/>
      <c r="FC54" s="4260"/>
      <c r="FD54" s="4260"/>
      <c r="FE54" s="4260"/>
      <c r="FF54" s="4260"/>
      <c r="FG54" s="4260"/>
      <c r="FH54" s="4260"/>
      <c r="FI54" s="4260"/>
      <c r="FJ54" s="4260"/>
      <c r="FK54" s="4260"/>
      <c r="FL54" s="4260"/>
      <c r="FM54" s="4260"/>
      <c r="FN54" s="4260"/>
      <c r="FO54" s="4260"/>
      <c r="FP54" s="4260"/>
      <c r="FQ54" s="4260"/>
      <c r="FR54" s="4260"/>
      <c r="FS54" s="4260"/>
      <c r="FT54" s="4260"/>
      <c r="FU54" s="4260"/>
      <c r="FV54" s="4260"/>
      <c r="FW54" s="4260"/>
      <c r="FX54" s="4260"/>
      <c r="FY54" s="4260"/>
      <c r="FZ54" s="4260"/>
      <c r="GA54" s="4260"/>
      <c r="GB54" s="4260"/>
      <c r="GC54" s="4260"/>
      <c r="GD54" s="4260"/>
      <c r="GE54" s="4260"/>
      <c r="GF54" s="4260"/>
      <c r="GG54" s="4260"/>
      <c r="GH54" s="4260"/>
      <c r="GI54" s="4260"/>
      <c r="GJ54" s="4260"/>
      <c r="GK54" s="4260"/>
      <c r="GL54" s="4260"/>
      <c r="GM54" s="4260"/>
      <c r="GN54" s="4260"/>
      <c r="GO54" s="4260"/>
      <c r="GP54" s="4260"/>
      <c r="GQ54" s="4260"/>
      <c r="GR54" s="4260"/>
      <c r="GS54" s="4260"/>
      <c r="GT54" s="4260"/>
      <c r="GU54" s="4260"/>
      <c r="GV54" s="4260"/>
      <c r="GW54" s="4260"/>
      <c r="GX54" s="4260"/>
      <c r="GY54" s="4260"/>
      <c r="GZ54" s="4260"/>
      <c r="HA54" s="4260"/>
      <c r="HB54" s="4260"/>
      <c r="HC54" s="4260"/>
      <c r="HD54" s="4260"/>
      <c r="HE54" s="4260"/>
      <c r="HF54" s="4260"/>
      <c r="HG54" s="4260"/>
      <c r="HH54" s="4260"/>
      <c r="HI54" s="4260"/>
      <c r="HJ54" s="4260"/>
      <c r="HK54" s="4260"/>
      <c r="HL54" s="4260"/>
      <c r="HM54" s="4260"/>
      <c r="HN54" s="4260"/>
      <c r="HO54" s="4260"/>
      <c r="HP54" s="4260"/>
      <c r="HQ54" s="4260"/>
      <c r="HR54" s="4260"/>
      <c r="HS54" s="4260"/>
      <c r="HT54" s="4260"/>
      <c r="HU54" s="4260"/>
      <c r="HV54" s="4260"/>
      <c r="HW54" s="4260"/>
      <c r="HX54" s="4260"/>
      <c r="HY54" s="4260"/>
      <c r="HZ54" s="4260"/>
    </row>
    <row r="55" spans="1:234" s="4295" customFormat="1" x14ac:dyDescent="0.25">
      <c r="A55" s="7631">
        <v>26273109</v>
      </c>
      <c r="B55" s="10738" t="s">
        <v>1696</v>
      </c>
      <c r="C55" s="10739"/>
      <c r="D55" s="4373" t="s">
        <v>5369</v>
      </c>
      <c r="E55" s="4369" t="s">
        <v>5370</v>
      </c>
      <c r="F55" s="4374" t="s">
        <v>5371</v>
      </c>
      <c r="G55" s="4371" t="s">
        <v>5372</v>
      </c>
      <c r="H55" s="4375" t="s">
        <v>5373</v>
      </c>
      <c r="I55" s="4376" t="s">
        <v>5374</v>
      </c>
      <c r="J55" s="4377" t="s">
        <v>5375</v>
      </c>
      <c r="K55" s="4378" t="s">
        <v>5376</v>
      </c>
      <c r="L55" s="4378" t="s">
        <v>5377</v>
      </c>
      <c r="M55" s="4378" t="s">
        <v>5378</v>
      </c>
      <c r="N55" s="4378" t="s">
        <v>5379</v>
      </c>
      <c r="O55" s="4264" t="str">
        <f t="shared" si="11"/>
        <v xml:space="preserve">* Pueblos Originarios debe ser MENOR O IGUAL al Total. * Migrantes debe ser MENOR O IGUAL al Total. * NNAJ SENAME debe ser MENOR O IGUAL al Total. * NNAJ Mejor Niñez debe ser MENOR O IGUAL al Total. </v>
      </c>
      <c r="P55" s="4258"/>
      <c r="Q55" s="4258"/>
      <c r="R55" s="4258"/>
      <c r="S55" s="4258"/>
      <c r="T55" s="4258"/>
      <c r="U55" s="4258"/>
      <c r="V55" s="4258"/>
      <c r="W55" s="4258"/>
      <c r="X55" s="4258"/>
      <c r="Y55" s="4258"/>
      <c r="Z55" s="4258"/>
      <c r="AA55" s="4258"/>
      <c r="AB55" s="4258"/>
      <c r="AC55" s="4258"/>
      <c r="AD55" s="4258"/>
      <c r="AE55" s="4258"/>
      <c r="AF55" s="4258"/>
      <c r="AG55" s="4258"/>
      <c r="AH55" s="4258"/>
      <c r="AI55" s="4258"/>
      <c r="AJ55" s="4258"/>
      <c r="AK55" s="4258"/>
      <c r="AL55" s="4258"/>
      <c r="AM55" s="4258"/>
      <c r="AN55" s="4258"/>
      <c r="AO55" s="4258"/>
      <c r="AP55" s="4258"/>
      <c r="AQ55" s="4258"/>
      <c r="AR55" s="4258"/>
      <c r="AS55" s="4258"/>
      <c r="AT55" s="4258"/>
      <c r="AU55" s="4258"/>
      <c r="AV55" s="4258"/>
      <c r="AW55" s="4258"/>
      <c r="AX55" s="4258"/>
      <c r="AY55" s="4258"/>
      <c r="AZ55" s="4258"/>
      <c r="BA55" s="4258"/>
      <c r="BB55" s="4258"/>
      <c r="BC55" s="4258"/>
      <c r="BD55" s="4258"/>
      <c r="BE55" s="4258"/>
      <c r="BF55" s="4258"/>
      <c r="BG55" s="4258"/>
      <c r="BH55" s="4258"/>
      <c r="BI55" s="4258"/>
      <c r="BJ55" s="4258"/>
      <c r="BK55" s="4258"/>
      <c r="BL55" s="4258"/>
      <c r="BM55" s="4258"/>
      <c r="BN55" s="4258"/>
      <c r="BO55" s="4258"/>
      <c r="BP55" s="4258"/>
      <c r="BQ55" s="4258"/>
      <c r="BR55" s="4258"/>
      <c r="BS55" s="4258"/>
      <c r="BT55" s="4258"/>
      <c r="BU55" s="4258"/>
      <c r="BV55" s="4258"/>
      <c r="BW55" s="4259"/>
      <c r="BX55" s="4259"/>
      <c r="BY55" s="4260"/>
      <c r="BZ55" s="4260"/>
      <c r="CA55" s="4260"/>
      <c r="CB55" s="4292" t="str">
        <f t="shared" si="12"/>
        <v xml:space="preserve">* Pueblos Originarios debe ser MENOR O IGUAL al Total. </v>
      </c>
      <c r="CC55" s="4292" t="str">
        <f t="shared" si="13"/>
        <v xml:space="preserve">* Migrantes debe ser MENOR O IGUAL al Total. </v>
      </c>
      <c r="CD55" s="4292" t="str">
        <f t="shared" si="14"/>
        <v xml:space="preserve">* NNAJ SENAME debe ser MENOR O IGUAL al Total. </v>
      </c>
      <c r="CE55" s="4292" t="str">
        <f t="shared" si="15"/>
        <v xml:space="preserve">* NNAJ Mejor Niñez debe ser MENOR O IGUAL al Total. </v>
      </c>
      <c r="CF55" s="4261"/>
      <c r="CG55" s="4261"/>
      <c r="CH55" s="4261"/>
      <c r="CI55" s="4261"/>
      <c r="CJ55" s="4261"/>
      <c r="CK55" s="4261"/>
      <c r="CL55" s="4261"/>
      <c r="CM55" s="4261"/>
      <c r="CN55" s="4261"/>
      <c r="CO55" s="4261"/>
      <c r="CP55" s="4261"/>
      <c r="CQ55" s="4261"/>
      <c r="CR55" s="4261"/>
      <c r="CS55" s="4261"/>
      <c r="CT55" s="4261"/>
      <c r="CU55" s="4261"/>
      <c r="CV55" s="4261"/>
      <c r="CW55" s="4261"/>
      <c r="CX55" s="4261"/>
      <c r="CY55" s="4261"/>
      <c r="CZ55" s="4261"/>
      <c r="DA55" s="4262"/>
      <c r="DB55" s="4293">
        <f t="shared" si="16"/>
        <v>1</v>
      </c>
      <c r="DC55" s="4293">
        <f t="shared" si="17"/>
        <v>1</v>
      </c>
      <c r="DD55" s="4293">
        <f t="shared" si="18"/>
        <v>1</v>
      </c>
      <c r="DE55" s="4293">
        <f t="shared" si="19"/>
        <v>1</v>
      </c>
      <c r="DF55" s="4294"/>
      <c r="DG55" s="4294"/>
      <c r="DH55" s="4294"/>
      <c r="DI55" s="4294"/>
      <c r="DJ55" s="4294"/>
      <c r="DK55" s="4294"/>
      <c r="DL55" s="4294"/>
      <c r="DM55" s="4294"/>
      <c r="DN55" s="4294"/>
      <c r="DO55" s="4294"/>
      <c r="DP55" s="4294"/>
      <c r="DQ55" s="4294"/>
      <c r="DR55" s="4260"/>
      <c r="DS55" s="4260"/>
      <c r="DT55" s="4260"/>
      <c r="DU55" s="4260"/>
      <c r="DV55" s="4260"/>
      <c r="DW55" s="4260"/>
      <c r="DX55" s="4260"/>
      <c r="DY55" s="4260"/>
      <c r="DZ55" s="4260"/>
      <c r="EA55" s="4260"/>
      <c r="EB55" s="4260"/>
      <c r="EC55" s="4260"/>
      <c r="ED55" s="4260"/>
      <c r="EE55" s="4260"/>
      <c r="EF55" s="4260"/>
      <c r="EG55" s="4260"/>
      <c r="EH55" s="4260"/>
      <c r="EI55" s="4260"/>
      <c r="EJ55" s="4260"/>
      <c r="EK55" s="4260"/>
      <c r="EL55" s="4260"/>
      <c r="EM55" s="4260"/>
      <c r="EN55" s="4260"/>
      <c r="EO55" s="4260"/>
      <c r="EP55" s="4260"/>
      <c r="EQ55" s="4260"/>
      <c r="ER55" s="4260"/>
      <c r="ES55" s="4260"/>
      <c r="ET55" s="4260"/>
      <c r="EU55" s="4260"/>
      <c r="EV55" s="4260"/>
      <c r="EW55" s="4260"/>
      <c r="EX55" s="4260"/>
      <c r="EY55" s="4260"/>
      <c r="EZ55" s="4260"/>
      <c r="FA55" s="4260"/>
      <c r="FB55" s="4260"/>
      <c r="FC55" s="4260"/>
      <c r="FD55" s="4260"/>
      <c r="FE55" s="4260"/>
      <c r="FF55" s="4260"/>
      <c r="FG55" s="4260"/>
      <c r="FH55" s="4260"/>
      <c r="FI55" s="4260"/>
      <c r="FJ55" s="4260"/>
      <c r="FK55" s="4260"/>
      <c r="FL55" s="4260"/>
      <c r="FM55" s="4260"/>
      <c r="FN55" s="4260"/>
      <c r="FO55" s="4260"/>
      <c r="FP55" s="4260"/>
      <c r="FQ55" s="4260"/>
      <c r="FR55" s="4260"/>
      <c r="FS55" s="4260"/>
      <c r="FT55" s="4260"/>
      <c r="FU55" s="4260"/>
      <c r="FV55" s="4260"/>
      <c r="FW55" s="4260"/>
      <c r="FX55" s="4260"/>
      <c r="FY55" s="4260"/>
      <c r="FZ55" s="4260"/>
      <c r="GA55" s="4260"/>
      <c r="GB55" s="4260"/>
      <c r="GC55" s="4260"/>
      <c r="GD55" s="4260"/>
      <c r="GE55" s="4260"/>
      <c r="GF55" s="4260"/>
      <c r="GG55" s="4260"/>
      <c r="GH55" s="4260"/>
      <c r="GI55" s="4260"/>
      <c r="GJ55" s="4260"/>
      <c r="GK55" s="4260"/>
      <c r="GL55" s="4260"/>
      <c r="GM55" s="4260"/>
      <c r="GN55" s="4260"/>
      <c r="GO55" s="4260"/>
      <c r="GP55" s="4260"/>
      <c r="GQ55" s="4260"/>
      <c r="GR55" s="4260"/>
      <c r="GS55" s="4260"/>
      <c r="GT55" s="4260"/>
      <c r="GU55" s="4260"/>
      <c r="GV55" s="4260"/>
      <c r="GW55" s="4260"/>
      <c r="GX55" s="4260"/>
      <c r="GY55" s="4260"/>
      <c r="GZ55" s="4260"/>
      <c r="HA55" s="4260"/>
      <c r="HB55" s="4260"/>
      <c r="HC55" s="4260"/>
      <c r="HD55" s="4260"/>
      <c r="HE55" s="4260"/>
      <c r="HF55" s="4260"/>
      <c r="HG55" s="4260"/>
      <c r="HH55" s="4260"/>
      <c r="HI55" s="4260"/>
      <c r="HJ55" s="4260"/>
      <c r="HK55" s="4260"/>
      <c r="HL55" s="4260"/>
      <c r="HM55" s="4260"/>
      <c r="HN55" s="4260"/>
      <c r="HO55" s="4260"/>
      <c r="HP55" s="4260"/>
      <c r="HQ55" s="4260"/>
      <c r="HR55" s="4260"/>
      <c r="HS55" s="4260"/>
      <c r="HT55" s="4260"/>
      <c r="HU55" s="4260"/>
      <c r="HV55" s="4260"/>
      <c r="HW55" s="4260"/>
      <c r="HX55" s="4260"/>
      <c r="HY55" s="4260"/>
      <c r="HZ55" s="4260"/>
    </row>
    <row r="56" spans="1:234" s="4295" customFormat="1" x14ac:dyDescent="0.25">
      <c r="A56" s="7631">
        <v>26275400</v>
      </c>
      <c r="B56" s="10740" t="s">
        <v>1695</v>
      </c>
      <c r="C56" s="4379" t="s">
        <v>1694</v>
      </c>
      <c r="D56" s="4380" t="s">
        <v>5369</v>
      </c>
      <c r="E56" s="4361" t="s">
        <v>5370</v>
      </c>
      <c r="F56" s="4362" t="s">
        <v>5371</v>
      </c>
      <c r="G56" s="4363" t="s">
        <v>5372</v>
      </c>
      <c r="H56" s="4364" t="s">
        <v>5373</v>
      </c>
      <c r="I56" s="4381" t="s">
        <v>5374</v>
      </c>
      <c r="J56" s="4382" t="s">
        <v>5375</v>
      </c>
      <c r="K56" s="4383" t="s">
        <v>5376</v>
      </c>
      <c r="L56" s="4383" t="s">
        <v>5377</v>
      </c>
      <c r="M56" s="4383" t="s">
        <v>5378</v>
      </c>
      <c r="N56" s="4383" t="s">
        <v>5379</v>
      </c>
      <c r="O56" s="4264" t="str">
        <f t="shared" si="11"/>
        <v xml:space="preserve">* Pueblos Originarios debe ser MENOR O IGUAL al Total. * Migrantes debe ser MENOR O IGUAL al Total. * NNAJ SENAME debe ser MENOR O IGUAL al Total. * NNAJ Mejor Niñez debe ser MENOR O IGUAL al Total. </v>
      </c>
      <c r="P56" s="4258"/>
      <c r="Q56" s="4258"/>
      <c r="R56" s="4258"/>
      <c r="S56" s="4258"/>
      <c r="T56" s="4258"/>
      <c r="U56" s="4258"/>
      <c r="V56" s="4258"/>
      <c r="W56" s="4258"/>
      <c r="X56" s="4258"/>
      <c r="Y56" s="4258"/>
      <c r="Z56" s="4258"/>
      <c r="AA56" s="4258"/>
      <c r="AB56" s="4258"/>
      <c r="AC56" s="4258"/>
      <c r="AD56" s="4258"/>
      <c r="AE56" s="4258"/>
      <c r="AF56" s="4258"/>
      <c r="AG56" s="4258"/>
      <c r="AH56" s="4258"/>
      <c r="AI56" s="4258"/>
      <c r="AJ56" s="4258"/>
      <c r="AK56" s="4258"/>
      <c r="AL56" s="4258"/>
      <c r="AM56" s="4258"/>
      <c r="AN56" s="4258"/>
      <c r="AO56" s="4258"/>
      <c r="AP56" s="4258"/>
      <c r="AQ56" s="4258"/>
      <c r="AR56" s="4258"/>
      <c r="AS56" s="4258"/>
      <c r="AT56" s="4258"/>
      <c r="AU56" s="4258"/>
      <c r="AV56" s="4258"/>
      <c r="AW56" s="4258"/>
      <c r="AX56" s="4258"/>
      <c r="AY56" s="4258"/>
      <c r="AZ56" s="4258"/>
      <c r="BA56" s="4258"/>
      <c r="BB56" s="4258"/>
      <c r="BC56" s="4258"/>
      <c r="BD56" s="4258"/>
      <c r="BE56" s="4258"/>
      <c r="BF56" s="4258"/>
      <c r="BG56" s="4258"/>
      <c r="BH56" s="4258"/>
      <c r="BI56" s="4258"/>
      <c r="BJ56" s="4258"/>
      <c r="BK56" s="4258"/>
      <c r="BL56" s="4258"/>
      <c r="BM56" s="4258"/>
      <c r="BN56" s="4258"/>
      <c r="BO56" s="4258"/>
      <c r="BP56" s="4258"/>
      <c r="BQ56" s="4258"/>
      <c r="BR56" s="4258"/>
      <c r="BS56" s="4258"/>
      <c r="BT56" s="4258"/>
      <c r="BU56" s="4258"/>
      <c r="BV56" s="4258"/>
      <c r="BW56" s="4259"/>
      <c r="BX56" s="4259"/>
      <c r="BY56" s="4260"/>
      <c r="BZ56" s="4260"/>
      <c r="CA56" s="4260"/>
      <c r="CB56" s="4292" t="str">
        <f t="shared" si="12"/>
        <v xml:space="preserve">* Pueblos Originarios debe ser MENOR O IGUAL al Total. </v>
      </c>
      <c r="CC56" s="4292" t="str">
        <f t="shared" si="13"/>
        <v xml:space="preserve">* Migrantes debe ser MENOR O IGUAL al Total. </v>
      </c>
      <c r="CD56" s="4292" t="str">
        <f t="shared" si="14"/>
        <v xml:space="preserve">* NNAJ SENAME debe ser MENOR O IGUAL al Total. </v>
      </c>
      <c r="CE56" s="4292" t="str">
        <f t="shared" si="15"/>
        <v xml:space="preserve">* NNAJ Mejor Niñez debe ser MENOR O IGUAL al Total. </v>
      </c>
      <c r="CF56" s="4261"/>
      <c r="CG56" s="4261"/>
      <c r="CH56" s="4261"/>
      <c r="CI56" s="4261"/>
      <c r="CJ56" s="4261"/>
      <c r="CK56" s="4261"/>
      <c r="CL56" s="4261"/>
      <c r="CM56" s="4261"/>
      <c r="CN56" s="4261"/>
      <c r="CO56" s="4261"/>
      <c r="CP56" s="4261"/>
      <c r="CQ56" s="4261"/>
      <c r="CR56" s="4261"/>
      <c r="CS56" s="4261"/>
      <c r="CT56" s="4261"/>
      <c r="CU56" s="4261"/>
      <c r="CV56" s="4261"/>
      <c r="CW56" s="4261"/>
      <c r="CX56" s="4261"/>
      <c r="CY56" s="4261"/>
      <c r="CZ56" s="4261"/>
      <c r="DA56" s="4262"/>
      <c r="DB56" s="4293">
        <f t="shared" si="16"/>
        <v>1</v>
      </c>
      <c r="DC56" s="4293">
        <f t="shared" si="17"/>
        <v>1</v>
      </c>
      <c r="DD56" s="4293">
        <f t="shared" si="18"/>
        <v>1</v>
      </c>
      <c r="DE56" s="4293">
        <f t="shared" si="19"/>
        <v>1</v>
      </c>
      <c r="DF56" s="4294"/>
      <c r="DG56" s="4294"/>
      <c r="DH56" s="4294"/>
      <c r="DI56" s="4294"/>
      <c r="DJ56" s="4294"/>
      <c r="DK56" s="4294"/>
      <c r="DL56" s="4294"/>
      <c r="DM56" s="4294"/>
      <c r="DN56" s="4294"/>
      <c r="DO56" s="4294"/>
      <c r="DP56" s="4294"/>
      <c r="DQ56" s="4294"/>
      <c r="DR56" s="4260"/>
      <c r="DS56" s="4260"/>
      <c r="DT56" s="4260"/>
      <c r="DU56" s="4260"/>
      <c r="DV56" s="4260"/>
      <c r="DW56" s="4260"/>
      <c r="DX56" s="4260"/>
      <c r="DY56" s="4260"/>
      <c r="DZ56" s="4260"/>
      <c r="EA56" s="4260"/>
      <c r="EB56" s="4260"/>
      <c r="EC56" s="4260"/>
      <c r="ED56" s="4260"/>
      <c r="EE56" s="4260"/>
      <c r="EF56" s="4260"/>
      <c r="EG56" s="4260"/>
      <c r="EH56" s="4260"/>
      <c r="EI56" s="4260"/>
      <c r="EJ56" s="4260"/>
      <c r="EK56" s="4260"/>
      <c r="EL56" s="4260"/>
      <c r="EM56" s="4260"/>
      <c r="EN56" s="4260"/>
      <c r="EO56" s="4260"/>
      <c r="EP56" s="4260"/>
      <c r="EQ56" s="4260"/>
      <c r="ER56" s="4260"/>
      <c r="ES56" s="4260"/>
      <c r="ET56" s="4260"/>
      <c r="EU56" s="4260"/>
      <c r="EV56" s="4260"/>
      <c r="EW56" s="4260"/>
      <c r="EX56" s="4260"/>
      <c r="EY56" s="4260"/>
      <c r="EZ56" s="4260"/>
      <c r="FA56" s="4260"/>
      <c r="FB56" s="4260"/>
      <c r="FC56" s="4260"/>
      <c r="FD56" s="4260"/>
      <c r="FE56" s="4260"/>
      <c r="FF56" s="4260"/>
      <c r="FG56" s="4260"/>
      <c r="FH56" s="4260"/>
      <c r="FI56" s="4260"/>
      <c r="FJ56" s="4260"/>
      <c r="FK56" s="4260"/>
      <c r="FL56" s="4260"/>
      <c r="FM56" s="4260"/>
      <c r="FN56" s="4260"/>
      <c r="FO56" s="4260"/>
      <c r="FP56" s="4260"/>
      <c r="FQ56" s="4260"/>
      <c r="FR56" s="4260"/>
      <c r="FS56" s="4260"/>
      <c r="FT56" s="4260"/>
      <c r="FU56" s="4260"/>
      <c r="FV56" s="4260"/>
      <c r="FW56" s="4260"/>
      <c r="FX56" s="4260"/>
      <c r="FY56" s="4260"/>
      <c r="FZ56" s="4260"/>
      <c r="GA56" s="4260"/>
      <c r="GB56" s="4260"/>
      <c r="GC56" s="4260"/>
      <c r="GD56" s="4260"/>
      <c r="GE56" s="4260"/>
      <c r="GF56" s="4260"/>
      <c r="GG56" s="4260"/>
      <c r="GH56" s="4260"/>
      <c r="GI56" s="4260"/>
      <c r="GJ56" s="4260"/>
      <c r="GK56" s="4260"/>
      <c r="GL56" s="4260"/>
      <c r="GM56" s="4260"/>
      <c r="GN56" s="4260"/>
      <c r="GO56" s="4260"/>
      <c r="GP56" s="4260"/>
      <c r="GQ56" s="4260"/>
      <c r="GR56" s="4260"/>
      <c r="GS56" s="4260"/>
      <c r="GT56" s="4260"/>
      <c r="GU56" s="4260"/>
      <c r="GV56" s="4260"/>
      <c r="GW56" s="4260"/>
      <c r="GX56" s="4260"/>
      <c r="GY56" s="4260"/>
      <c r="GZ56" s="4260"/>
      <c r="HA56" s="4260"/>
      <c r="HB56" s="4260"/>
      <c r="HC56" s="4260"/>
      <c r="HD56" s="4260"/>
      <c r="HE56" s="4260"/>
      <c r="HF56" s="4260"/>
      <c r="HG56" s="4260"/>
      <c r="HH56" s="4260"/>
      <c r="HI56" s="4260"/>
      <c r="HJ56" s="4260"/>
      <c r="HK56" s="4260"/>
      <c r="HL56" s="4260"/>
      <c r="HM56" s="4260"/>
      <c r="HN56" s="4260"/>
      <c r="HO56" s="4260"/>
      <c r="HP56" s="4260"/>
      <c r="HQ56" s="4260"/>
      <c r="HR56" s="4260"/>
      <c r="HS56" s="4260"/>
      <c r="HT56" s="4260"/>
      <c r="HU56" s="4260"/>
      <c r="HV56" s="4260"/>
      <c r="HW56" s="4260"/>
      <c r="HX56" s="4260"/>
      <c r="HY56" s="4260"/>
      <c r="HZ56" s="4260"/>
    </row>
    <row r="57" spans="1:234" s="4295" customFormat="1" x14ac:dyDescent="0.25">
      <c r="A57" s="7631">
        <v>26275500</v>
      </c>
      <c r="B57" s="10740"/>
      <c r="C57" s="4384" t="s">
        <v>1670</v>
      </c>
      <c r="D57" s="4373" t="s">
        <v>5369</v>
      </c>
      <c r="E57" s="4369" t="s">
        <v>5370</v>
      </c>
      <c r="F57" s="4370" t="s">
        <v>5371</v>
      </c>
      <c r="G57" s="4371" t="s">
        <v>5372</v>
      </c>
      <c r="H57" s="4372" t="s">
        <v>5373</v>
      </c>
      <c r="I57" s="4381" t="s">
        <v>5374</v>
      </c>
      <c r="J57" s="4382" t="s">
        <v>5375</v>
      </c>
      <c r="K57" s="4383" t="s">
        <v>5376</v>
      </c>
      <c r="L57" s="4383" t="s">
        <v>5377</v>
      </c>
      <c r="M57" s="4383" t="s">
        <v>5378</v>
      </c>
      <c r="N57" s="4383" t="s">
        <v>5379</v>
      </c>
      <c r="O57" s="4264" t="str">
        <f t="shared" si="11"/>
        <v xml:space="preserve">* Pueblos Originarios debe ser MENOR O IGUAL al Total. * Migrantes debe ser MENOR O IGUAL al Total. * NNAJ SENAME debe ser MENOR O IGUAL al Total. * NNAJ Mejor Niñez debe ser MENOR O IGUAL al Total. </v>
      </c>
      <c r="P57" s="4258"/>
      <c r="Q57" s="4258"/>
      <c r="R57" s="4258"/>
      <c r="S57" s="4258"/>
      <c r="T57" s="4258"/>
      <c r="U57" s="4258"/>
      <c r="V57" s="4258"/>
      <c r="W57" s="4258"/>
      <c r="X57" s="4258"/>
      <c r="Y57" s="4258"/>
      <c r="Z57" s="4258"/>
      <c r="AA57" s="4258"/>
      <c r="AB57" s="4258"/>
      <c r="AC57" s="4258"/>
      <c r="AD57" s="4258"/>
      <c r="AE57" s="4258"/>
      <c r="AF57" s="4258"/>
      <c r="AG57" s="4258"/>
      <c r="AH57" s="4258"/>
      <c r="AI57" s="4258"/>
      <c r="AJ57" s="4258"/>
      <c r="AK57" s="4258"/>
      <c r="AL57" s="4258"/>
      <c r="AM57" s="4258"/>
      <c r="AN57" s="4258"/>
      <c r="AO57" s="4258"/>
      <c r="AP57" s="4258"/>
      <c r="AQ57" s="4258"/>
      <c r="AR57" s="4258"/>
      <c r="AS57" s="4258"/>
      <c r="AT57" s="4258"/>
      <c r="AU57" s="4258"/>
      <c r="AV57" s="4258"/>
      <c r="AW57" s="4258"/>
      <c r="AX57" s="4258"/>
      <c r="AY57" s="4258"/>
      <c r="AZ57" s="4258"/>
      <c r="BA57" s="4258"/>
      <c r="BB57" s="4258"/>
      <c r="BC57" s="4258"/>
      <c r="BD57" s="4258"/>
      <c r="BE57" s="4258"/>
      <c r="BF57" s="4258"/>
      <c r="BG57" s="4258"/>
      <c r="BH57" s="4258"/>
      <c r="BI57" s="4258"/>
      <c r="BJ57" s="4258"/>
      <c r="BK57" s="4258"/>
      <c r="BL57" s="4258"/>
      <c r="BM57" s="4258"/>
      <c r="BN57" s="4258"/>
      <c r="BO57" s="4258"/>
      <c r="BP57" s="4258"/>
      <c r="BQ57" s="4258"/>
      <c r="BR57" s="4258"/>
      <c r="BS57" s="4258"/>
      <c r="BT57" s="4258"/>
      <c r="BU57" s="4258"/>
      <c r="BV57" s="4258"/>
      <c r="BW57" s="4259"/>
      <c r="BX57" s="4259"/>
      <c r="BY57" s="4260"/>
      <c r="BZ57" s="4260"/>
      <c r="CA57" s="4260"/>
      <c r="CB57" s="4292" t="str">
        <f t="shared" si="12"/>
        <v xml:space="preserve">* Pueblos Originarios debe ser MENOR O IGUAL al Total. </v>
      </c>
      <c r="CC57" s="4292" t="str">
        <f t="shared" si="13"/>
        <v xml:space="preserve">* Migrantes debe ser MENOR O IGUAL al Total. </v>
      </c>
      <c r="CD57" s="4292" t="str">
        <f t="shared" si="14"/>
        <v xml:space="preserve">* NNAJ SENAME debe ser MENOR O IGUAL al Total. </v>
      </c>
      <c r="CE57" s="4292" t="str">
        <f t="shared" si="15"/>
        <v xml:space="preserve">* NNAJ Mejor Niñez debe ser MENOR O IGUAL al Total. </v>
      </c>
      <c r="CF57" s="4261"/>
      <c r="CG57" s="4261"/>
      <c r="CH57" s="4261"/>
      <c r="CI57" s="4261"/>
      <c r="CJ57" s="4261"/>
      <c r="CK57" s="4261"/>
      <c r="CL57" s="4261"/>
      <c r="CM57" s="4261"/>
      <c r="CN57" s="4261"/>
      <c r="CO57" s="4261"/>
      <c r="CP57" s="4261"/>
      <c r="CQ57" s="4261"/>
      <c r="CR57" s="4261"/>
      <c r="CS57" s="4261"/>
      <c r="CT57" s="4261"/>
      <c r="CU57" s="4261"/>
      <c r="CV57" s="4261"/>
      <c r="CW57" s="4261"/>
      <c r="CX57" s="4261"/>
      <c r="CY57" s="4261"/>
      <c r="CZ57" s="4261"/>
      <c r="DA57" s="4262"/>
      <c r="DB57" s="4293">
        <f t="shared" si="16"/>
        <v>1</v>
      </c>
      <c r="DC57" s="4293">
        <f t="shared" si="17"/>
        <v>1</v>
      </c>
      <c r="DD57" s="4293">
        <f t="shared" si="18"/>
        <v>1</v>
      </c>
      <c r="DE57" s="4293">
        <f t="shared" si="19"/>
        <v>1</v>
      </c>
      <c r="DF57" s="4294"/>
      <c r="DG57" s="4294"/>
      <c r="DH57" s="4294"/>
      <c r="DI57" s="4294"/>
      <c r="DJ57" s="4294"/>
      <c r="DK57" s="4294"/>
      <c r="DL57" s="4294"/>
      <c r="DM57" s="4294"/>
      <c r="DN57" s="4294"/>
      <c r="DO57" s="4294"/>
      <c r="DP57" s="4294"/>
      <c r="DQ57" s="4294"/>
      <c r="DR57" s="4260"/>
      <c r="DS57" s="4260"/>
      <c r="DT57" s="4260"/>
      <c r="DU57" s="4260"/>
      <c r="DV57" s="4260"/>
      <c r="DW57" s="4260"/>
      <c r="DX57" s="4260"/>
      <c r="DY57" s="4260"/>
      <c r="DZ57" s="4260"/>
      <c r="EA57" s="4260"/>
      <c r="EB57" s="4260"/>
      <c r="EC57" s="4260"/>
      <c r="ED57" s="4260"/>
      <c r="EE57" s="4260"/>
      <c r="EF57" s="4260"/>
      <c r="EG57" s="4260"/>
      <c r="EH57" s="4260"/>
      <c r="EI57" s="4260"/>
      <c r="EJ57" s="4260"/>
      <c r="EK57" s="4260"/>
      <c r="EL57" s="4260"/>
      <c r="EM57" s="4260"/>
      <c r="EN57" s="4260"/>
      <c r="EO57" s="4260"/>
      <c r="EP57" s="4260"/>
      <c r="EQ57" s="4260"/>
      <c r="ER57" s="4260"/>
      <c r="ES57" s="4260"/>
      <c r="ET57" s="4260"/>
      <c r="EU57" s="4260"/>
      <c r="EV57" s="4260"/>
      <c r="EW57" s="4260"/>
      <c r="EX57" s="4260"/>
      <c r="EY57" s="4260"/>
      <c r="EZ57" s="4260"/>
      <c r="FA57" s="4260"/>
      <c r="FB57" s="4260"/>
      <c r="FC57" s="4260"/>
      <c r="FD57" s="4260"/>
      <c r="FE57" s="4260"/>
      <c r="FF57" s="4260"/>
      <c r="FG57" s="4260"/>
      <c r="FH57" s="4260"/>
      <c r="FI57" s="4260"/>
      <c r="FJ57" s="4260"/>
      <c r="FK57" s="4260"/>
      <c r="FL57" s="4260"/>
      <c r="FM57" s="4260"/>
      <c r="FN57" s="4260"/>
      <c r="FO57" s="4260"/>
      <c r="FP57" s="4260"/>
      <c r="FQ57" s="4260"/>
      <c r="FR57" s="4260"/>
      <c r="FS57" s="4260"/>
      <c r="FT57" s="4260"/>
      <c r="FU57" s="4260"/>
      <c r="FV57" s="4260"/>
      <c r="FW57" s="4260"/>
      <c r="FX57" s="4260"/>
      <c r="FY57" s="4260"/>
      <c r="FZ57" s="4260"/>
      <c r="GA57" s="4260"/>
      <c r="GB57" s="4260"/>
      <c r="GC57" s="4260"/>
      <c r="GD57" s="4260"/>
      <c r="GE57" s="4260"/>
      <c r="GF57" s="4260"/>
      <c r="GG57" s="4260"/>
      <c r="GH57" s="4260"/>
      <c r="GI57" s="4260"/>
      <c r="GJ57" s="4260"/>
      <c r="GK57" s="4260"/>
      <c r="GL57" s="4260"/>
      <c r="GM57" s="4260"/>
      <c r="GN57" s="4260"/>
      <c r="GO57" s="4260"/>
      <c r="GP57" s="4260"/>
      <c r="GQ57" s="4260"/>
      <c r="GR57" s="4260"/>
      <c r="GS57" s="4260"/>
      <c r="GT57" s="4260"/>
      <c r="GU57" s="4260"/>
      <c r="GV57" s="4260"/>
      <c r="GW57" s="4260"/>
      <c r="GX57" s="4260"/>
      <c r="GY57" s="4260"/>
      <c r="GZ57" s="4260"/>
      <c r="HA57" s="4260"/>
      <c r="HB57" s="4260"/>
      <c r="HC57" s="4260"/>
      <c r="HD57" s="4260"/>
      <c r="HE57" s="4260"/>
      <c r="HF57" s="4260"/>
      <c r="HG57" s="4260"/>
      <c r="HH57" s="4260"/>
      <c r="HI57" s="4260"/>
      <c r="HJ57" s="4260"/>
      <c r="HK57" s="4260"/>
      <c r="HL57" s="4260"/>
      <c r="HM57" s="4260"/>
      <c r="HN57" s="4260"/>
      <c r="HO57" s="4260"/>
      <c r="HP57" s="4260"/>
      <c r="HQ57" s="4260"/>
      <c r="HR57" s="4260"/>
      <c r="HS57" s="4260"/>
      <c r="HT57" s="4260"/>
      <c r="HU57" s="4260"/>
      <c r="HV57" s="4260"/>
      <c r="HW57" s="4260"/>
      <c r="HX57" s="4260"/>
      <c r="HY57" s="4260"/>
      <c r="HZ57" s="4260"/>
    </row>
    <row r="58" spans="1:234" s="4295" customFormat="1" ht="23.4" customHeight="1" x14ac:dyDescent="0.25">
      <c r="A58" s="7631">
        <v>26275600</v>
      </c>
      <c r="B58" s="10740"/>
      <c r="C58" s="4385" t="s">
        <v>1693</v>
      </c>
      <c r="D58" s="4386" t="s">
        <v>5369</v>
      </c>
      <c r="E58" s="4387" t="s">
        <v>5370</v>
      </c>
      <c r="F58" s="4388" t="s">
        <v>5371</v>
      </c>
      <c r="G58" s="4389" t="s">
        <v>5372</v>
      </c>
      <c r="H58" s="4390" t="s">
        <v>5373</v>
      </c>
      <c r="I58" s="4365" t="s">
        <v>5374</v>
      </c>
      <c r="J58" s="4366" t="s">
        <v>5375</v>
      </c>
      <c r="K58" s="4367" t="s">
        <v>5376</v>
      </c>
      <c r="L58" s="4367" t="s">
        <v>5377</v>
      </c>
      <c r="M58" s="4367" t="s">
        <v>5378</v>
      </c>
      <c r="N58" s="4367" t="s">
        <v>5379</v>
      </c>
      <c r="O58" s="4264" t="str">
        <f t="shared" si="11"/>
        <v xml:space="preserve">* Pueblos Originarios debe ser MENOR O IGUAL al Total. * Migrantes debe ser MENOR O IGUAL al Total. * NNAJ SENAME debe ser MENOR O IGUAL al Total. * NNAJ Mejor Niñez debe ser MENOR O IGUAL al Total. </v>
      </c>
      <c r="P58" s="4258"/>
      <c r="Q58" s="4258"/>
      <c r="R58" s="4258"/>
      <c r="S58" s="4258"/>
      <c r="T58" s="4258"/>
      <c r="U58" s="4258"/>
      <c r="V58" s="4258"/>
      <c r="W58" s="4258"/>
      <c r="X58" s="4258"/>
      <c r="Y58" s="4258"/>
      <c r="Z58" s="4258"/>
      <c r="AA58" s="4258"/>
      <c r="AB58" s="4258"/>
      <c r="AC58" s="4258"/>
      <c r="AD58" s="4258"/>
      <c r="AE58" s="4258"/>
      <c r="AF58" s="4258"/>
      <c r="AG58" s="4258"/>
      <c r="AH58" s="4258"/>
      <c r="AI58" s="4258"/>
      <c r="AJ58" s="4258"/>
      <c r="AK58" s="4258"/>
      <c r="AL58" s="4258"/>
      <c r="AM58" s="4258"/>
      <c r="AN58" s="4258"/>
      <c r="AO58" s="4258"/>
      <c r="AP58" s="4258"/>
      <c r="AQ58" s="4258"/>
      <c r="AR58" s="4258"/>
      <c r="AS58" s="4258"/>
      <c r="AT58" s="4258"/>
      <c r="AU58" s="4258"/>
      <c r="AV58" s="4258"/>
      <c r="AW58" s="4258"/>
      <c r="AX58" s="4258"/>
      <c r="AY58" s="4258"/>
      <c r="AZ58" s="4258"/>
      <c r="BA58" s="4258"/>
      <c r="BB58" s="4258"/>
      <c r="BC58" s="4258"/>
      <c r="BD58" s="4258"/>
      <c r="BE58" s="4258"/>
      <c r="BF58" s="4258"/>
      <c r="BG58" s="4258"/>
      <c r="BH58" s="4258"/>
      <c r="BI58" s="4258"/>
      <c r="BJ58" s="4258"/>
      <c r="BK58" s="4258"/>
      <c r="BL58" s="4258"/>
      <c r="BM58" s="4258"/>
      <c r="BN58" s="4258"/>
      <c r="BO58" s="4258"/>
      <c r="BP58" s="4258"/>
      <c r="BQ58" s="4258"/>
      <c r="BR58" s="4258"/>
      <c r="BS58" s="4258"/>
      <c r="BT58" s="4258"/>
      <c r="BU58" s="4258"/>
      <c r="BV58" s="4258"/>
      <c r="BW58" s="4259"/>
      <c r="BX58" s="4259"/>
      <c r="BY58" s="4260"/>
      <c r="BZ58" s="4260"/>
      <c r="CA58" s="4260"/>
      <c r="CB58" s="4292" t="str">
        <f t="shared" si="12"/>
        <v xml:space="preserve">* Pueblos Originarios debe ser MENOR O IGUAL al Total. </v>
      </c>
      <c r="CC58" s="4292" t="str">
        <f t="shared" si="13"/>
        <v xml:space="preserve">* Migrantes debe ser MENOR O IGUAL al Total. </v>
      </c>
      <c r="CD58" s="4292" t="str">
        <f t="shared" si="14"/>
        <v xml:space="preserve">* NNAJ SENAME debe ser MENOR O IGUAL al Total. </v>
      </c>
      <c r="CE58" s="4292" t="str">
        <f t="shared" si="15"/>
        <v xml:space="preserve">* NNAJ Mejor Niñez debe ser MENOR O IGUAL al Total. </v>
      </c>
      <c r="CF58" s="4261"/>
      <c r="CG58" s="4261"/>
      <c r="CH58" s="4261"/>
      <c r="CI58" s="4261"/>
      <c r="CJ58" s="4261"/>
      <c r="CK58" s="4261"/>
      <c r="CL58" s="4261"/>
      <c r="CM58" s="4261"/>
      <c r="CN58" s="4261"/>
      <c r="CO58" s="4261"/>
      <c r="CP58" s="4261"/>
      <c r="CQ58" s="4261"/>
      <c r="CR58" s="4261"/>
      <c r="CS58" s="4261"/>
      <c r="CT58" s="4261"/>
      <c r="CU58" s="4261"/>
      <c r="CV58" s="4261"/>
      <c r="CW58" s="4261"/>
      <c r="CX58" s="4261"/>
      <c r="CY58" s="4261"/>
      <c r="CZ58" s="4261"/>
      <c r="DA58" s="4262"/>
      <c r="DB58" s="4293">
        <f t="shared" si="16"/>
        <v>1</v>
      </c>
      <c r="DC58" s="4293">
        <f t="shared" si="17"/>
        <v>1</v>
      </c>
      <c r="DD58" s="4293">
        <f t="shared" si="18"/>
        <v>1</v>
      </c>
      <c r="DE58" s="4293">
        <f t="shared" si="19"/>
        <v>1</v>
      </c>
      <c r="DF58" s="4294"/>
      <c r="DG58" s="4294"/>
      <c r="DH58" s="4294"/>
      <c r="DI58" s="4294"/>
      <c r="DJ58" s="4294"/>
      <c r="DK58" s="4294"/>
      <c r="DL58" s="4294"/>
      <c r="DM58" s="4294"/>
      <c r="DN58" s="4294"/>
      <c r="DO58" s="4294"/>
      <c r="DP58" s="4294"/>
      <c r="DQ58" s="4294"/>
      <c r="DR58" s="4260"/>
      <c r="DS58" s="4260"/>
      <c r="DT58" s="4260"/>
      <c r="DU58" s="4260"/>
      <c r="DV58" s="4260"/>
      <c r="DW58" s="4260"/>
      <c r="DX58" s="4260"/>
      <c r="DY58" s="4260"/>
      <c r="DZ58" s="4260"/>
      <c r="EA58" s="4260"/>
      <c r="EB58" s="4260"/>
      <c r="EC58" s="4260"/>
      <c r="ED58" s="4260"/>
      <c r="EE58" s="4260"/>
      <c r="EF58" s="4260"/>
      <c r="EG58" s="4260"/>
      <c r="EH58" s="4260"/>
      <c r="EI58" s="4260"/>
      <c r="EJ58" s="4260"/>
      <c r="EK58" s="4260"/>
      <c r="EL58" s="4260"/>
      <c r="EM58" s="4260"/>
      <c r="EN58" s="4260"/>
      <c r="EO58" s="4260"/>
      <c r="EP58" s="4260"/>
      <c r="EQ58" s="4260"/>
      <c r="ER58" s="4260"/>
      <c r="ES58" s="4260"/>
      <c r="ET58" s="4260"/>
      <c r="EU58" s="4260"/>
      <c r="EV58" s="4260"/>
      <c r="EW58" s="4260"/>
      <c r="EX58" s="4260"/>
      <c r="EY58" s="4260"/>
      <c r="EZ58" s="4260"/>
      <c r="FA58" s="4260"/>
      <c r="FB58" s="4260"/>
      <c r="FC58" s="4260"/>
      <c r="FD58" s="4260"/>
      <c r="FE58" s="4260"/>
      <c r="FF58" s="4260"/>
      <c r="FG58" s="4260"/>
      <c r="FH58" s="4260"/>
      <c r="FI58" s="4260"/>
      <c r="FJ58" s="4260"/>
      <c r="FK58" s="4260"/>
      <c r="FL58" s="4260"/>
      <c r="FM58" s="4260"/>
      <c r="FN58" s="4260"/>
      <c r="FO58" s="4260"/>
      <c r="FP58" s="4260"/>
      <c r="FQ58" s="4260"/>
      <c r="FR58" s="4260"/>
      <c r="FS58" s="4260"/>
      <c r="FT58" s="4260"/>
      <c r="FU58" s="4260"/>
      <c r="FV58" s="4260"/>
      <c r="FW58" s="4260"/>
      <c r="FX58" s="4260"/>
      <c r="FY58" s="4260"/>
      <c r="FZ58" s="4260"/>
      <c r="GA58" s="4260"/>
      <c r="GB58" s="4260"/>
      <c r="GC58" s="4260"/>
      <c r="GD58" s="4260"/>
      <c r="GE58" s="4260"/>
      <c r="GF58" s="4260"/>
      <c r="GG58" s="4260"/>
      <c r="GH58" s="4260"/>
      <c r="GI58" s="4260"/>
      <c r="GJ58" s="4260"/>
      <c r="GK58" s="4260"/>
      <c r="GL58" s="4260"/>
      <c r="GM58" s="4260"/>
      <c r="GN58" s="4260"/>
      <c r="GO58" s="4260"/>
      <c r="GP58" s="4260"/>
      <c r="GQ58" s="4260"/>
      <c r="GR58" s="4260"/>
      <c r="GS58" s="4260"/>
      <c r="GT58" s="4260"/>
      <c r="GU58" s="4260"/>
      <c r="GV58" s="4260"/>
      <c r="GW58" s="4260"/>
      <c r="GX58" s="4260"/>
      <c r="GY58" s="4260"/>
      <c r="GZ58" s="4260"/>
      <c r="HA58" s="4260"/>
      <c r="HB58" s="4260"/>
      <c r="HC58" s="4260"/>
      <c r="HD58" s="4260"/>
      <c r="HE58" s="4260"/>
      <c r="HF58" s="4260"/>
      <c r="HG58" s="4260"/>
      <c r="HH58" s="4260"/>
      <c r="HI58" s="4260"/>
      <c r="HJ58" s="4260"/>
      <c r="HK58" s="4260"/>
      <c r="HL58" s="4260"/>
      <c r="HM58" s="4260"/>
      <c r="HN58" s="4260"/>
      <c r="HO58" s="4260"/>
      <c r="HP58" s="4260"/>
      <c r="HQ58" s="4260"/>
      <c r="HR58" s="4260"/>
      <c r="HS58" s="4260"/>
      <c r="HT58" s="4260"/>
      <c r="HU58" s="4260"/>
      <c r="HV58" s="4260"/>
      <c r="HW58" s="4260"/>
      <c r="HX58" s="4260"/>
      <c r="HY58" s="4260"/>
      <c r="HZ58" s="4260"/>
    </row>
    <row r="59" spans="1:234" s="4295" customFormat="1" x14ac:dyDescent="0.25">
      <c r="A59" s="7631">
        <v>26273110</v>
      </c>
      <c r="B59" s="10737" t="s">
        <v>1692</v>
      </c>
      <c r="C59" s="10722"/>
      <c r="D59" s="4380" t="s">
        <v>5369</v>
      </c>
      <c r="E59" s="4361" t="s">
        <v>5370</v>
      </c>
      <c r="F59" s="4362" t="s">
        <v>5371</v>
      </c>
      <c r="G59" s="4363" t="s">
        <v>5372</v>
      </c>
      <c r="H59" s="4391" t="s">
        <v>5373</v>
      </c>
      <c r="I59" s="4392" t="s">
        <v>5374</v>
      </c>
      <c r="J59" s="4393" t="s">
        <v>5375</v>
      </c>
      <c r="K59" s="4394" t="s">
        <v>5376</v>
      </c>
      <c r="L59" s="4394" t="s">
        <v>5377</v>
      </c>
      <c r="M59" s="4394" t="s">
        <v>5378</v>
      </c>
      <c r="N59" s="4394" t="s">
        <v>5379</v>
      </c>
      <c r="O59" s="4264" t="str">
        <f t="shared" si="11"/>
        <v xml:space="preserve">* Pueblos Originarios debe ser MENOR O IGUAL al Total. * Migrantes debe ser MENOR O IGUAL al Total. * NNAJ SENAME debe ser MENOR O IGUAL al Total. * NNAJ Mejor Niñez debe ser MENOR O IGUAL al Total. </v>
      </c>
      <c r="P59" s="4258"/>
      <c r="Q59" s="4258"/>
      <c r="R59" s="4258"/>
      <c r="S59" s="4258"/>
      <c r="T59" s="4258"/>
      <c r="U59" s="4258"/>
      <c r="V59" s="4258"/>
      <c r="W59" s="4258"/>
      <c r="X59" s="4258"/>
      <c r="Y59" s="4258"/>
      <c r="Z59" s="4258"/>
      <c r="AA59" s="4258"/>
      <c r="AB59" s="4258"/>
      <c r="AC59" s="4258"/>
      <c r="AD59" s="4258"/>
      <c r="AE59" s="4258"/>
      <c r="AF59" s="4258"/>
      <c r="AG59" s="4258"/>
      <c r="AH59" s="4258"/>
      <c r="AI59" s="4258"/>
      <c r="AJ59" s="4258"/>
      <c r="AK59" s="4258"/>
      <c r="AL59" s="4258"/>
      <c r="AM59" s="4258"/>
      <c r="AN59" s="4258"/>
      <c r="AO59" s="4258"/>
      <c r="AP59" s="4258"/>
      <c r="AQ59" s="4258"/>
      <c r="AR59" s="4258"/>
      <c r="AS59" s="4258"/>
      <c r="AT59" s="4258"/>
      <c r="AU59" s="4258"/>
      <c r="AV59" s="4258"/>
      <c r="AW59" s="4258"/>
      <c r="AX59" s="4258"/>
      <c r="AY59" s="4258"/>
      <c r="AZ59" s="4258"/>
      <c r="BA59" s="4258"/>
      <c r="BB59" s="4258"/>
      <c r="BC59" s="4258"/>
      <c r="BD59" s="4258"/>
      <c r="BE59" s="4258"/>
      <c r="BF59" s="4258"/>
      <c r="BG59" s="4258"/>
      <c r="BH59" s="4258"/>
      <c r="BI59" s="4258"/>
      <c r="BJ59" s="4258"/>
      <c r="BK59" s="4258"/>
      <c r="BL59" s="4258"/>
      <c r="BM59" s="4258"/>
      <c r="BN59" s="4258"/>
      <c r="BO59" s="4258"/>
      <c r="BP59" s="4258"/>
      <c r="BQ59" s="4258"/>
      <c r="BR59" s="4258"/>
      <c r="BS59" s="4258"/>
      <c r="BT59" s="4258"/>
      <c r="BU59" s="4258"/>
      <c r="BV59" s="4258"/>
      <c r="BW59" s="4259"/>
      <c r="BX59" s="4259"/>
      <c r="BY59" s="4260"/>
      <c r="BZ59" s="4260"/>
      <c r="CA59" s="4260"/>
      <c r="CB59" s="4292" t="str">
        <f t="shared" si="12"/>
        <v xml:space="preserve">* Pueblos Originarios debe ser MENOR O IGUAL al Total. </v>
      </c>
      <c r="CC59" s="4292" t="str">
        <f t="shared" si="13"/>
        <v xml:space="preserve">* Migrantes debe ser MENOR O IGUAL al Total. </v>
      </c>
      <c r="CD59" s="4292" t="str">
        <f t="shared" si="14"/>
        <v xml:space="preserve">* NNAJ SENAME debe ser MENOR O IGUAL al Total. </v>
      </c>
      <c r="CE59" s="4292" t="str">
        <f t="shared" si="15"/>
        <v xml:space="preserve">* NNAJ Mejor Niñez debe ser MENOR O IGUAL al Total. </v>
      </c>
      <c r="CF59" s="4261"/>
      <c r="CG59" s="4261"/>
      <c r="CH59" s="4261"/>
      <c r="CI59" s="4261"/>
      <c r="CJ59" s="4261"/>
      <c r="CK59" s="4261"/>
      <c r="CL59" s="4261"/>
      <c r="CM59" s="4261"/>
      <c r="CN59" s="4261"/>
      <c r="CO59" s="4261"/>
      <c r="CP59" s="4261"/>
      <c r="CQ59" s="4261"/>
      <c r="CR59" s="4261"/>
      <c r="CS59" s="4261"/>
      <c r="CT59" s="4261"/>
      <c r="CU59" s="4261"/>
      <c r="CV59" s="4261"/>
      <c r="CW59" s="4261"/>
      <c r="CX59" s="4261"/>
      <c r="CY59" s="4261"/>
      <c r="CZ59" s="4261"/>
      <c r="DA59" s="4262"/>
      <c r="DB59" s="4293">
        <f t="shared" si="16"/>
        <v>1</v>
      </c>
      <c r="DC59" s="4293">
        <f t="shared" si="17"/>
        <v>1</v>
      </c>
      <c r="DD59" s="4293">
        <f t="shared" si="18"/>
        <v>1</v>
      </c>
      <c r="DE59" s="4293">
        <f t="shared" si="19"/>
        <v>1</v>
      </c>
      <c r="DF59" s="4294"/>
      <c r="DG59" s="4294"/>
      <c r="DH59" s="4294"/>
      <c r="DI59" s="4294"/>
      <c r="DJ59" s="4294"/>
      <c r="DK59" s="4294"/>
      <c r="DL59" s="4294"/>
      <c r="DM59" s="4294"/>
      <c r="DN59" s="4294"/>
      <c r="DO59" s="4294"/>
      <c r="DP59" s="4294"/>
      <c r="DQ59" s="4294"/>
      <c r="DR59" s="4260"/>
      <c r="DS59" s="4260"/>
      <c r="DT59" s="4260"/>
      <c r="DU59" s="4260"/>
      <c r="DV59" s="4260"/>
      <c r="DW59" s="4260"/>
      <c r="DX59" s="4260"/>
      <c r="DY59" s="4260"/>
      <c r="DZ59" s="4260"/>
      <c r="EA59" s="4260"/>
      <c r="EB59" s="4260"/>
      <c r="EC59" s="4260"/>
      <c r="ED59" s="4260"/>
      <c r="EE59" s="4260"/>
      <c r="EF59" s="4260"/>
      <c r="EG59" s="4260"/>
      <c r="EH59" s="4260"/>
      <c r="EI59" s="4260"/>
      <c r="EJ59" s="4260"/>
      <c r="EK59" s="4260"/>
      <c r="EL59" s="4260"/>
      <c r="EM59" s="4260"/>
      <c r="EN59" s="4260"/>
      <c r="EO59" s="4260"/>
      <c r="EP59" s="4260"/>
      <c r="EQ59" s="4260"/>
      <c r="ER59" s="4260"/>
      <c r="ES59" s="4260"/>
      <c r="ET59" s="4260"/>
      <c r="EU59" s="4260"/>
      <c r="EV59" s="4260"/>
      <c r="EW59" s="4260"/>
      <c r="EX59" s="4260"/>
      <c r="EY59" s="4260"/>
      <c r="EZ59" s="4260"/>
      <c r="FA59" s="4260"/>
      <c r="FB59" s="4260"/>
      <c r="FC59" s="4260"/>
      <c r="FD59" s="4260"/>
      <c r="FE59" s="4260"/>
      <c r="FF59" s="4260"/>
      <c r="FG59" s="4260"/>
      <c r="FH59" s="4260"/>
      <c r="FI59" s="4260"/>
      <c r="FJ59" s="4260"/>
      <c r="FK59" s="4260"/>
      <c r="FL59" s="4260"/>
      <c r="FM59" s="4260"/>
      <c r="FN59" s="4260"/>
      <c r="FO59" s="4260"/>
      <c r="FP59" s="4260"/>
      <c r="FQ59" s="4260"/>
      <c r="FR59" s="4260"/>
      <c r="FS59" s="4260"/>
      <c r="FT59" s="4260"/>
      <c r="FU59" s="4260"/>
      <c r="FV59" s="4260"/>
      <c r="FW59" s="4260"/>
      <c r="FX59" s="4260"/>
      <c r="FY59" s="4260"/>
      <c r="FZ59" s="4260"/>
      <c r="GA59" s="4260"/>
      <c r="GB59" s="4260"/>
      <c r="GC59" s="4260"/>
      <c r="GD59" s="4260"/>
      <c r="GE59" s="4260"/>
      <c r="GF59" s="4260"/>
      <c r="GG59" s="4260"/>
      <c r="GH59" s="4260"/>
      <c r="GI59" s="4260"/>
      <c r="GJ59" s="4260"/>
      <c r="GK59" s="4260"/>
      <c r="GL59" s="4260"/>
      <c r="GM59" s="4260"/>
      <c r="GN59" s="4260"/>
      <c r="GO59" s="4260"/>
      <c r="GP59" s="4260"/>
      <c r="GQ59" s="4260"/>
      <c r="GR59" s="4260"/>
      <c r="GS59" s="4260"/>
      <c r="GT59" s="4260"/>
      <c r="GU59" s="4260"/>
      <c r="GV59" s="4260"/>
      <c r="GW59" s="4260"/>
      <c r="GX59" s="4260"/>
      <c r="GY59" s="4260"/>
      <c r="GZ59" s="4260"/>
      <c r="HA59" s="4260"/>
      <c r="HB59" s="4260"/>
      <c r="HC59" s="4260"/>
      <c r="HD59" s="4260"/>
      <c r="HE59" s="4260"/>
      <c r="HF59" s="4260"/>
      <c r="HG59" s="4260"/>
      <c r="HH59" s="4260"/>
      <c r="HI59" s="4260"/>
      <c r="HJ59" s="4260"/>
      <c r="HK59" s="4260"/>
      <c r="HL59" s="4260"/>
      <c r="HM59" s="4260"/>
      <c r="HN59" s="4260"/>
      <c r="HO59" s="4260"/>
      <c r="HP59" s="4260"/>
      <c r="HQ59" s="4260"/>
      <c r="HR59" s="4260"/>
      <c r="HS59" s="4260"/>
      <c r="HT59" s="4260"/>
      <c r="HU59" s="4260"/>
      <c r="HV59" s="4260"/>
      <c r="HW59" s="4260"/>
      <c r="HX59" s="4260"/>
      <c r="HY59" s="4260"/>
      <c r="HZ59" s="4260"/>
    </row>
    <row r="60" spans="1:234" s="4295" customFormat="1" x14ac:dyDescent="0.25">
      <c r="A60" s="7258">
        <v>26262100</v>
      </c>
      <c r="B60" s="10744" t="s">
        <v>28</v>
      </c>
      <c r="C60" s="10745"/>
      <c r="D60" s="4386" t="s">
        <v>5369</v>
      </c>
      <c r="E60" s="4387" t="s">
        <v>5370</v>
      </c>
      <c r="F60" s="4388" t="s">
        <v>5371</v>
      </c>
      <c r="G60" s="4395" t="s">
        <v>5372</v>
      </c>
      <c r="H60" s="4396" t="s">
        <v>5373</v>
      </c>
      <c r="I60" s="4376" t="s">
        <v>5374</v>
      </c>
      <c r="J60" s="4377" t="s">
        <v>5375</v>
      </c>
      <c r="K60" s="4378" t="s">
        <v>5376</v>
      </c>
      <c r="L60" s="4378" t="s">
        <v>5377</v>
      </c>
      <c r="M60" s="4378" t="s">
        <v>5378</v>
      </c>
      <c r="N60" s="4378" t="s">
        <v>5379</v>
      </c>
      <c r="O60" s="4264" t="str">
        <f t="shared" si="11"/>
        <v xml:space="preserve">* Pueblos Originarios debe ser MENOR O IGUAL al Total. * Migrantes debe ser MENOR O IGUAL al Total. * NNAJ SENAME debe ser MENOR O IGUAL al Total. * NNAJ Mejor Niñez debe ser MENOR O IGUAL al Total. </v>
      </c>
      <c r="P60" s="4258"/>
      <c r="Q60" s="4258"/>
      <c r="R60" s="4258"/>
      <c r="S60" s="4258"/>
      <c r="T60" s="4258"/>
      <c r="U60" s="4258"/>
      <c r="V60" s="4258"/>
      <c r="W60" s="4258"/>
      <c r="X60" s="4258"/>
      <c r="Y60" s="4258"/>
      <c r="Z60" s="4258"/>
      <c r="AA60" s="4258"/>
      <c r="AB60" s="4258"/>
      <c r="AC60" s="4258"/>
      <c r="AD60" s="4258"/>
      <c r="AE60" s="4258"/>
      <c r="AF60" s="4258"/>
      <c r="AG60" s="4258"/>
      <c r="AH60" s="4258"/>
      <c r="AI60" s="4258"/>
      <c r="AJ60" s="4258"/>
      <c r="AK60" s="4258"/>
      <c r="AL60" s="4258"/>
      <c r="AM60" s="4258"/>
      <c r="AN60" s="4258"/>
      <c r="AO60" s="4258"/>
      <c r="AP60" s="4258"/>
      <c r="AQ60" s="4258"/>
      <c r="AR60" s="4258"/>
      <c r="AS60" s="4258"/>
      <c r="AT60" s="4258"/>
      <c r="AU60" s="4258"/>
      <c r="AV60" s="4258"/>
      <c r="AW60" s="4258"/>
      <c r="AX60" s="4258"/>
      <c r="AY60" s="4258"/>
      <c r="AZ60" s="4258"/>
      <c r="BA60" s="4258"/>
      <c r="BB60" s="4258"/>
      <c r="BC60" s="4258"/>
      <c r="BD60" s="4258"/>
      <c r="BE60" s="4258"/>
      <c r="BF60" s="4258"/>
      <c r="BG60" s="4258"/>
      <c r="BH60" s="4258"/>
      <c r="BI60" s="4258"/>
      <c r="BJ60" s="4258"/>
      <c r="BK60" s="4258"/>
      <c r="BL60" s="4258"/>
      <c r="BM60" s="4258"/>
      <c r="BN60" s="4258"/>
      <c r="BO60" s="4258"/>
      <c r="BP60" s="4258"/>
      <c r="BQ60" s="4258"/>
      <c r="BR60" s="4258"/>
      <c r="BS60" s="4258"/>
      <c r="BT60" s="4258"/>
      <c r="BU60" s="4258"/>
      <c r="BV60" s="4258"/>
      <c r="BW60" s="4259"/>
      <c r="BX60" s="4259"/>
      <c r="BY60" s="4260"/>
      <c r="BZ60" s="4260"/>
      <c r="CA60" s="4260"/>
      <c r="CB60" s="4292" t="str">
        <f t="shared" si="12"/>
        <v xml:space="preserve">* Pueblos Originarios debe ser MENOR O IGUAL al Total. </v>
      </c>
      <c r="CC60" s="4292" t="str">
        <f t="shared" si="13"/>
        <v xml:space="preserve">* Migrantes debe ser MENOR O IGUAL al Total. </v>
      </c>
      <c r="CD60" s="4292" t="str">
        <f t="shared" si="14"/>
        <v xml:space="preserve">* NNAJ SENAME debe ser MENOR O IGUAL al Total. </v>
      </c>
      <c r="CE60" s="4292" t="str">
        <f t="shared" si="15"/>
        <v xml:space="preserve">* NNAJ Mejor Niñez debe ser MENOR O IGUAL al Total. </v>
      </c>
      <c r="CF60" s="4261"/>
      <c r="CG60" s="4261"/>
      <c r="CH60" s="4261"/>
      <c r="CI60" s="4261"/>
      <c r="CJ60" s="4261"/>
      <c r="CK60" s="4261"/>
      <c r="CL60" s="4261"/>
      <c r="CM60" s="4261"/>
      <c r="CN60" s="4261"/>
      <c r="CO60" s="4261"/>
      <c r="CP60" s="4261"/>
      <c r="CQ60" s="4261"/>
      <c r="CR60" s="4261"/>
      <c r="CS60" s="4261"/>
      <c r="CT60" s="4261"/>
      <c r="CU60" s="4261"/>
      <c r="CV60" s="4261"/>
      <c r="CW60" s="4261"/>
      <c r="CX60" s="4261"/>
      <c r="CY60" s="4261"/>
      <c r="CZ60" s="4261"/>
      <c r="DA60" s="4262"/>
      <c r="DB60" s="4293">
        <f t="shared" si="16"/>
        <v>1</v>
      </c>
      <c r="DC60" s="4293">
        <f t="shared" si="17"/>
        <v>1</v>
      </c>
      <c r="DD60" s="4293">
        <f t="shared" si="18"/>
        <v>1</v>
      </c>
      <c r="DE60" s="4293">
        <f t="shared" si="19"/>
        <v>1</v>
      </c>
      <c r="DF60" s="4294"/>
      <c r="DG60" s="4294"/>
      <c r="DH60" s="4294"/>
      <c r="DI60" s="4294"/>
      <c r="DJ60" s="4294"/>
      <c r="DK60" s="4294"/>
      <c r="DL60" s="4294"/>
      <c r="DM60" s="4294"/>
      <c r="DN60" s="4294"/>
      <c r="DO60" s="4294"/>
      <c r="DP60" s="4294"/>
      <c r="DQ60" s="4294"/>
      <c r="DR60" s="4260"/>
      <c r="DS60" s="4260"/>
      <c r="DT60" s="4260"/>
      <c r="DU60" s="4260"/>
      <c r="DV60" s="4260"/>
      <c r="DW60" s="4260"/>
      <c r="DX60" s="4260"/>
      <c r="DY60" s="4260"/>
      <c r="DZ60" s="4260"/>
      <c r="EA60" s="4260"/>
      <c r="EB60" s="4260"/>
      <c r="EC60" s="4260"/>
      <c r="ED60" s="4260"/>
      <c r="EE60" s="4260"/>
      <c r="EF60" s="4260"/>
      <c r="EG60" s="4260"/>
      <c r="EH60" s="4260"/>
      <c r="EI60" s="4260"/>
      <c r="EJ60" s="4260"/>
      <c r="EK60" s="4260"/>
      <c r="EL60" s="4260"/>
      <c r="EM60" s="4260"/>
      <c r="EN60" s="4260"/>
      <c r="EO60" s="4260"/>
      <c r="EP60" s="4260"/>
      <c r="EQ60" s="4260"/>
      <c r="ER60" s="4260"/>
      <c r="ES60" s="4260"/>
      <c r="ET60" s="4260"/>
      <c r="EU60" s="4260"/>
      <c r="EV60" s="4260"/>
      <c r="EW60" s="4260"/>
      <c r="EX60" s="4260"/>
      <c r="EY60" s="4260"/>
      <c r="EZ60" s="4260"/>
      <c r="FA60" s="4260"/>
      <c r="FB60" s="4260"/>
      <c r="FC60" s="4260"/>
      <c r="FD60" s="4260"/>
      <c r="FE60" s="4260"/>
      <c r="FF60" s="4260"/>
      <c r="FG60" s="4260"/>
      <c r="FH60" s="4260"/>
      <c r="FI60" s="4260"/>
      <c r="FJ60" s="4260"/>
      <c r="FK60" s="4260"/>
      <c r="FL60" s="4260"/>
      <c r="FM60" s="4260"/>
      <c r="FN60" s="4260"/>
      <c r="FO60" s="4260"/>
      <c r="FP60" s="4260"/>
      <c r="FQ60" s="4260"/>
      <c r="FR60" s="4260"/>
      <c r="FS60" s="4260"/>
      <c r="FT60" s="4260"/>
      <c r="FU60" s="4260"/>
      <c r="FV60" s="4260"/>
      <c r="FW60" s="4260"/>
      <c r="FX60" s="4260"/>
      <c r="FY60" s="4260"/>
      <c r="FZ60" s="4260"/>
      <c r="GA60" s="4260"/>
      <c r="GB60" s="4260"/>
      <c r="GC60" s="4260"/>
      <c r="GD60" s="4260"/>
      <c r="GE60" s="4260"/>
      <c r="GF60" s="4260"/>
      <c r="GG60" s="4260"/>
      <c r="GH60" s="4260"/>
      <c r="GI60" s="4260"/>
      <c r="GJ60" s="4260"/>
      <c r="GK60" s="4260"/>
      <c r="GL60" s="4260"/>
      <c r="GM60" s="4260"/>
      <c r="GN60" s="4260"/>
      <c r="GO60" s="4260"/>
      <c r="GP60" s="4260"/>
      <c r="GQ60" s="4260"/>
      <c r="GR60" s="4260"/>
      <c r="GS60" s="4260"/>
      <c r="GT60" s="4260"/>
      <c r="GU60" s="4260"/>
      <c r="GV60" s="4260"/>
      <c r="GW60" s="4260"/>
      <c r="GX60" s="4260"/>
      <c r="GY60" s="4260"/>
      <c r="GZ60" s="4260"/>
      <c r="HA60" s="4260"/>
      <c r="HB60" s="4260"/>
      <c r="HC60" s="4260"/>
      <c r="HD60" s="4260"/>
      <c r="HE60" s="4260"/>
      <c r="HF60" s="4260"/>
      <c r="HG60" s="4260"/>
      <c r="HH60" s="4260"/>
      <c r="HI60" s="4260"/>
      <c r="HJ60" s="4260"/>
      <c r="HK60" s="4260"/>
      <c r="HL60" s="4260"/>
      <c r="HM60" s="4260"/>
      <c r="HN60" s="4260"/>
      <c r="HO60" s="4260"/>
      <c r="HP60" s="4260"/>
      <c r="HQ60" s="4260"/>
      <c r="HR60" s="4260"/>
      <c r="HS60" s="4260"/>
      <c r="HT60" s="4260"/>
      <c r="HU60" s="4260"/>
      <c r="HV60" s="4260"/>
      <c r="HW60" s="4260"/>
      <c r="HX60" s="4260"/>
      <c r="HY60" s="4260"/>
      <c r="HZ60" s="4260"/>
    </row>
    <row r="61" spans="1:234" s="4295" customFormat="1" x14ac:dyDescent="0.25">
      <c r="A61" s="7633"/>
      <c r="B61" s="10733" t="s">
        <v>24</v>
      </c>
      <c r="C61" s="10734"/>
      <c r="D61" s="4397">
        <f t="shared" ref="D61:K61" si="20">SUM(D52:D60)</f>
        <v>0</v>
      </c>
      <c r="E61" s="4397">
        <f>SUM(E52:E60)</f>
        <v>0</v>
      </c>
      <c r="F61" s="4398">
        <f t="shared" si="20"/>
        <v>0</v>
      </c>
      <c r="G61" s="4399">
        <f t="shared" si="20"/>
        <v>0</v>
      </c>
      <c r="H61" s="4400">
        <f>SUM(H59:H60)</f>
        <v>0</v>
      </c>
      <c r="I61" s="4401">
        <f t="shared" si="20"/>
        <v>0</v>
      </c>
      <c r="J61" s="4402">
        <f t="shared" si="20"/>
        <v>0</v>
      </c>
      <c r="K61" s="4403">
        <f t="shared" si="20"/>
        <v>0</v>
      </c>
      <c r="L61" s="4403">
        <f>SUM(L52:L60)</f>
        <v>0</v>
      </c>
      <c r="M61" s="4403">
        <f>SUM(M52:M60)</f>
        <v>0</v>
      </c>
      <c r="N61" s="4403">
        <f>SUM(N52:N60)</f>
        <v>0</v>
      </c>
      <c r="O61" s="4258"/>
      <c r="P61" s="4258"/>
      <c r="Q61" s="4258"/>
      <c r="R61" s="4258"/>
      <c r="S61" s="4258"/>
      <c r="T61" s="4258"/>
      <c r="U61" s="4258"/>
      <c r="V61" s="4258"/>
      <c r="W61" s="4258"/>
      <c r="X61" s="4258"/>
      <c r="Y61" s="4258"/>
      <c r="Z61" s="4258"/>
      <c r="AA61" s="4258"/>
      <c r="AB61" s="4258"/>
      <c r="AC61" s="4258"/>
      <c r="AD61" s="4258"/>
      <c r="AE61" s="4258"/>
      <c r="AF61" s="4258"/>
      <c r="AG61" s="4258"/>
      <c r="AH61" s="4258"/>
      <c r="AI61" s="4258"/>
      <c r="AJ61" s="4258"/>
      <c r="AK61" s="4258"/>
      <c r="AL61" s="4258"/>
      <c r="AM61" s="4258"/>
      <c r="AN61" s="4258"/>
      <c r="AO61" s="4258"/>
      <c r="AP61" s="4258"/>
      <c r="AQ61" s="4258"/>
      <c r="AR61" s="4258"/>
      <c r="AS61" s="4258"/>
      <c r="AT61" s="4258"/>
      <c r="AU61" s="4258"/>
      <c r="AV61" s="4258"/>
      <c r="AW61" s="4258"/>
      <c r="AX61" s="4258"/>
      <c r="AY61" s="4258"/>
      <c r="AZ61" s="4258"/>
      <c r="BA61" s="4258"/>
      <c r="BB61" s="4258"/>
      <c r="BC61" s="4258"/>
      <c r="BD61" s="4258"/>
      <c r="BE61" s="4258"/>
      <c r="BF61" s="4258"/>
      <c r="BG61" s="4258"/>
      <c r="BH61" s="4258"/>
      <c r="BI61" s="4258"/>
      <c r="BJ61" s="4258"/>
      <c r="BK61" s="4258"/>
      <c r="BL61" s="4258"/>
      <c r="BM61" s="4258"/>
      <c r="BN61" s="4258"/>
      <c r="BO61" s="4258"/>
      <c r="BP61" s="4258"/>
      <c r="BQ61" s="4258"/>
      <c r="BR61" s="4258"/>
      <c r="BS61" s="4258"/>
      <c r="BT61" s="4258"/>
      <c r="BU61" s="4258"/>
      <c r="BV61" s="4258"/>
      <c r="BW61" s="4259"/>
      <c r="BX61" s="4259"/>
      <c r="BY61" s="4260"/>
      <c r="BZ61" s="4260"/>
      <c r="CA61" s="4260"/>
      <c r="CB61" s="4261"/>
      <c r="CC61" s="4261"/>
      <c r="CD61" s="4261"/>
      <c r="CE61" s="4261"/>
      <c r="CF61" s="4261"/>
      <c r="CG61" s="4261"/>
      <c r="CH61" s="4261"/>
      <c r="CI61" s="4261"/>
      <c r="CJ61" s="4261"/>
      <c r="CK61" s="4261"/>
      <c r="CL61" s="4261"/>
      <c r="CM61" s="4261"/>
      <c r="CN61" s="4261"/>
      <c r="CO61" s="4261"/>
      <c r="CP61" s="4261"/>
      <c r="CQ61" s="4261"/>
      <c r="CR61" s="4261"/>
      <c r="CS61" s="4261"/>
      <c r="CT61" s="4261"/>
      <c r="CU61" s="4261"/>
      <c r="CV61" s="4261"/>
      <c r="CW61" s="4261"/>
      <c r="CX61" s="4261"/>
      <c r="CY61" s="4261"/>
      <c r="CZ61" s="4261"/>
      <c r="DA61" s="4262"/>
      <c r="DB61" s="4294"/>
      <c r="DC61" s="4294"/>
      <c r="DD61" s="4294"/>
      <c r="DE61" s="4294"/>
      <c r="DF61" s="4294"/>
      <c r="DG61" s="4294"/>
      <c r="DH61" s="4294"/>
      <c r="DI61" s="4294"/>
      <c r="DJ61" s="4294"/>
      <c r="DK61" s="4294"/>
      <c r="DL61" s="4294"/>
      <c r="DM61" s="4294"/>
      <c r="DN61" s="4294"/>
      <c r="DO61" s="4294"/>
      <c r="DP61" s="4294"/>
      <c r="DQ61" s="4294"/>
      <c r="DR61" s="4260"/>
      <c r="DS61" s="4260"/>
      <c r="DT61" s="4260"/>
      <c r="DU61" s="4260"/>
      <c r="DV61" s="4260"/>
      <c r="DW61" s="4260"/>
      <c r="DX61" s="4260"/>
      <c r="DY61" s="4260"/>
      <c r="DZ61" s="4260"/>
      <c r="EA61" s="4260"/>
      <c r="EB61" s="4260"/>
      <c r="EC61" s="4260"/>
      <c r="ED61" s="4260"/>
      <c r="EE61" s="4260"/>
      <c r="EF61" s="4260"/>
      <c r="EG61" s="4260"/>
      <c r="EH61" s="4260"/>
      <c r="EI61" s="4260"/>
      <c r="EJ61" s="4260"/>
      <c r="EK61" s="4260"/>
      <c r="EL61" s="4260"/>
      <c r="EM61" s="4260"/>
      <c r="EN61" s="4260"/>
      <c r="EO61" s="4260"/>
      <c r="EP61" s="4260"/>
      <c r="EQ61" s="4260"/>
      <c r="ER61" s="4260"/>
      <c r="ES61" s="4260"/>
      <c r="ET61" s="4260"/>
      <c r="EU61" s="4260"/>
      <c r="EV61" s="4260"/>
      <c r="EW61" s="4260"/>
      <c r="EX61" s="4260"/>
      <c r="EY61" s="4260"/>
      <c r="EZ61" s="4260"/>
      <c r="FA61" s="4260"/>
      <c r="FB61" s="4260"/>
      <c r="FC61" s="4260"/>
      <c r="FD61" s="4260"/>
      <c r="FE61" s="4260"/>
      <c r="FF61" s="4260"/>
      <c r="FG61" s="4260"/>
      <c r="FH61" s="4260"/>
      <c r="FI61" s="4260"/>
      <c r="FJ61" s="4260"/>
      <c r="FK61" s="4260"/>
      <c r="FL61" s="4260"/>
      <c r="FM61" s="4260"/>
      <c r="FN61" s="4260"/>
      <c r="FO61" s="4260"/>
      <c r="FP61" s="4260"/>
      <c r="FQ61" s="4260"/>
      <c r="FR61" s="4260"/>
      <c r="FS61" s="4260"/>
      <c r="FT61" s="4260"/>
      <c r="FU61" s="4260"/>
      <c r="FV61" s="4260"/>
      <c r="FW61" s="4260"/>
      <c r="FX61" s="4260"/>
      <c r="FY61" s="4260"/>
      <c r="FZ61" s="4260"/>
      <c r="GA61" s="4260"/>
      <c r="GB61" s="4260"/>
      <c r="GC61" s="4260"/>
      <c r="GD61" s="4260"/>
      <c r="GE61" s="4260"/>
      <c r="GF61" s="4260"/>
      <c r="GG61" s="4260"/>
      <c r="GH61" s="4260"/>
      <c r="GI61" s="4260"/>
      <c r="GJ61" s="4260"/>
      <c r="GK61" s="4260"/>
      <c r="GL61" s="4260"/>
      <c r="GM61" s="4260"/>
      <c r="GN61" s="4260"/>
      <c r="GO61" s="4260"/>
      <c r="GP61" s="4260"/>
      <c r="GQ61" s="4260"/>
      <c r="GR61" s="4260"/>
      <c r="GS61" s="4260"/>
      <c r="GT61" s="4260"/>
      <c r="GU61" s="4260"/>
      <c r="GV61" s="4260"/>
      <c r="GW61" s="4260"/>
      <c r="GX61" s="4260"/>
      <c r="GY61" s="4260"/>
      <c r="GZ61" s="4260"/>
      <c r="HA61" s="4260"/>
      <c r="HB61" s="4260"/>
      <c r="HC61" s="4260"/>
      <c r="HD61" s="4260"/>
      <c r="HE61" s="4260"/>
      <c r="HF61" s="4260"/>
      <c r="HG61" s="4260"/>
      <c r="HH61" s="4260"/>
      <c r="HI61" s="4260"/>
      <c r="HJ61" s="4260"/>
      <c r="HK61" s="4260"/>
      <c r="HL61" s="4260"/>
      <c r="HM61" s="4260"/>
      <c r="HN61" s="4260"/>
      <c r="HO61" s="4260"/>
      <c r="HP61" s="4260"/>
      <c r="HQ61" s="4260"/>
      <c r="HR61" s="4260"/>
      <c r="HS61" s="4260"/>
      <c r="HT61" s="4260"/>
      <c r="HU61" s="4260"/>
      <c r="HV61" s="4260"/>
      <c r="HW61" s="4260"/>
      <c r="HX61" s="4260"/>
      <c r="HY61" s="4260"/>
      <c r="HZ61" s="4260"/>
    </row>
    <row r="62" spans="1:234" s="4295" customFormat="1" ht="27" customHeight="1" x14ac:dyDescent="0.25">
      <c r="A62" s="7631"/>
      <c r="B62" s="4404" t="s">
        <v>1691</v>
      </c>
      <c r="C62" s="4405"/>
      <c r="D62" s="4406"/>
      <c r="E62" s="4406"/>
      <c r="F62" s="4406"/>
      <c r="G62" s="4269"/>
      <c r="H62" s="4269"/>
      <c r="I62" s="3940"/>
      <c r="J62" s="4269"/>
      <c r="K62" s="3940"/>
      <c r="L62" s="3940"/>
      <c r="M62" s="4258"/>
      <c r="N62" s="4258"/>
      <c r="O62" s="4258"/>
      <c r="P62" s="4258"/>
      <c r="Q62" s="4258"/>
      <c r="R62" s="4258"/>
      <c r="S62" s="4258"/>
      <c r="T62" s="4258"/>
      <c r="U62" s="4258"/>
      <c r="V62" s="4258"/>
      <c r="W62" s="4258"/>
      <c r="X62" s="4258"/>
      <c r="Y62" s="4258"/>
      <c r="Z62" s="4258"/>
      <c r="AA62" s="4258"/>
      <c r="AB62" s="4258"/>
      <c r="AC62" s="4258"/>
      <c r="AD62" s="4258"/>
      <c r="AE62" s="4258"/>
      <c r="AF62" s="4258"/>
      <c r="AG62" s="4258"/>
      <c r="AH62" s="4258"/>
      <c r="AI62" s="4258"/>
      <c r="AJ62" s="4258"/>
      <c r="AK62" s="4258"/>
      <c r="AL62" s="4258"/>
      <c r="AM62" s="4258"/>
      <c r="AN62" s="4258"/>
      <c r="AO62" s="4258"/>
      <c r="AP62" s="4258"/>
      <c r="AQ62" s="4258"/>
      <c r="AR62" s="4258"/>
      <c r="AS62" s="4258"/>
      <c r="AT62" s="4258"/>
      <c r="AU62" s="4258"/>
      <c r="AV62" s="4258"/>
      <c r="AW62" s="4258"/>
      <c r="AX62" s="4258"/>
      <c r="AY62" s="4258"/>
      <c r="AZ62" s="4258"/>
      <c r="BA62" s="4258"/>
      <c r="BB62" s="4258"/>
      <c r="BC62" s="4258"/>
      <c r="BD62" s="4258"/>
      <c r="BE62" s="4258"/>
      <c r="BF62" s="4258"/>
      <c r="BG62" s="4258"/>
      <c r="BH62" s="4258"/>
      <c r="BI62" s="4258"/>
      <c r="BJ62" s="4258"/>
      <c r="BK62" s="4258"/>
      <c r="BL62" s="4258"/>
      <c r="BM62" s="4258"/>
      <c r="BN62" s="4258"/>
      <c r="BO62" s="4258"/>
      <c r="BP62" s="4258"/>
      <c r="BQ62" s="4258"/>
      <c r="BR62" s="4258"/>
      <c r="BS62" s="4258"/>
      <c r="BT62" s="4258"/>
      <c r="BU62" s="4258"/>
      <c r="BV62" s="4258"/>
      <c r="BW62" s="4259"/>
      <c r="BX62" s="4259"/>
      <c r="BY62" s="4260"/>
      <c r="BZ62" s="4260"/>
      <c r="CA62" s="4260"/>
      <c r="CB62" s="4261"/>
      <c r="CC62" s="4261"/>
      <c r="CD62" s="4261"/>
      <c r="CE62" s="4261"/>
      <c r="CF62" s="4261"/>
      <c r="CG62" s="4261"/>
      <c r="CH62" s="4261"/>
      <c r="CI62" s="4261"/>
      <c r="CJ62" s="4261"/>
      <c r="CK62" s="4261"/>
      <c r="CL62" s="4261"/>
      <c r="CM62" s="4261"/>
      <c r="CN62" s="4261"/>
      <c r="CO62" s="4261"/>
      <c r="CP62" s="4261"/>
      <c r="CQ62" s="4261"/>
      <c r="CR62" s="4261"/>
      <c r="CS62" s="4261"/>
      <c r="CT62" s="4261"/>
      <c r="CU62" s="4261"/>
      <c r="CV62" s="4261"/>
      <c r="CW62" s="4261"/>
      <c r="CX62" s="4261"/>
      <c r="CY62" s="4261"/>
      <c r="CZ62" s="4261"/>
      <c r="DA62" s="4262"/>
      <c r="DB62" s="4294"/>
      <c r="DC62" s="4294"/>
      <c r="DD62" s="4294"/>
      <c r="DE62" s="4294"/>
      <c r="DF62" s="4294"/>
      <c r="DG62" s="4294"/>
      <c r="DH62" s="4294"/>
      <c r="DI62" s="4294"/>
      <c r="DJ62" s="4294"/>
      <c r="DK62" s="4294"/>
      <c r="DL62" s="4294"/>
      <c r="DM62" s="4294"/>
      <c r="DN62" s="4294"/>
      <c r="DO62" s="4294"/>
      <c r="DP62" s="4294"/>
      <c r="DQ62" s="4294"/>
      <c r="DR62" s="4260"/>
      <c r="DS62" s="4260"/>
      <c r="DT62" s="4260"/>
      <c r="DU62" s="4260"/>
      <c r="DV62" s="4260"/>
      <c r="DW62" s="4260"/>
      <c r="DX62" s="4260"/>
      <c r="DY62" s="4260"/>
      <c r="DZ62" s="4260"/>
      <c r="EA62" s="4260"/>
      <c r="EB62" s="4260"/>
      <c r="EC62" s="4260"/>
      <c r="ED62" s="4260"/>
      <c r="EE62" s="4260"/>
      <c r="EF62" s="4260"/>
      <c r="EG62" s="4260"/>
      <c r="EH62" s="4260"/>
      <c r="EI62" s="4260"/>
      <c r="EJ62" s="4260"/>
      <c r="EK62" s="4260"/>
      <c r="EL62" s="4260"/>
      <c r="EM62" s="4260"/>
      <c r="EN62" s="4260"/>
      <c r="EO62" s="4260"/>
      <c r="EP62" s="4260"/>
      <c r="EQ62" s="4260"/>
      <c r="ER62" s="4260"/>
      <c r="ES62" s="4260"/>
      <c r="ET62" s="4260"/>
      <c r="EU62" s="4260"/>
      <c r="EV62" s="4260"/>
      <c r="EW62" s="4260"/>
      <c r="EX62" s="4260"/>
      <c r="EY62" s="4260"/>
      <c r="EZ62" s="4260"/>
      <c r="FA62" s="4260"/>
      <c r="FB62" s="4260"/>
      <c r="FC62" s="4260"/>
      <c r="FD62" s="4260"/>
      <c r="FE62" s="4260"/>
      <c r="FF62" s="4260"/>
      <c r="FG62" s="4260"/>
      <c r="FH62" s="4260"/>
      <c r="FI62" s="4260"/>
      <c r="FJ62" s="4260"/>
      <c r="FK62" s="4260"/>
      <c r="FL62" s="4260"/>
      <c r="FM62" s="4260"/>
      <c r="FN62" s="4260"/>
      <c r="FO62" s="4260"/>
      <c r="FP62" s="4260"/>
      <c r="FQ62" s="4260"/>
      <c r="FR62" s="4260"/>
      <c r="FS62" s="4260"/>
      <c r="FT62" s="4260"/>
      <c r="FU62" s="4260"/>
      <c r="FV62" s="4260"/>
      <c r="FW62" s="4260"/>
      <c r="FX62" s="4260"/>
      <c r="FY62" s="4260"/>
      <c r="FZ62" s="4260"/>
      <c r="GA62" s="4260"/>
      <c r="GB62" s="4260"/>
      <c r="GC62" s="4260"/>
      <c r="GD62" s="4260"/>
      <c r="GE62" s="4260"/>
      <c r="GF62" s="4260"/>
      <c r="GG62" s="4260"/>
      <c r="GH62" s="4260"/>
      <c r="GI62" s="4260"/>
      <c r="GJ62" s="4260"/>
      <c r="GK62" s="4260"/>
      <c r="GL62" s="4260"/>
      <c r="GM62" s="4260"/>
      <c r="GN62" s="4260"/>
      <c r="GO62" s="4260"/>
      <c r="GP62" s="4260"/>
      <c r="GQ62" s="4260"/>
      <c r="GR62" s="4260"/>
      <c r="GS62" s="4260"/>
      <c r="GT62" s="4260"/>
      <c r="GU62" s="4260"/>
      <c r="GV62" s="4260"/>
      <c r="GW62" s="4260"/>
      <c r="GX62" s="4260"/>
      <c r="GY62" s="4260"/>
      <c r="GZ62" s="4260"/>
      <c r="HA62" s="4260"/>
      <c r="HB62" s="4260"/>
      <c r="HC62" s="4260"/>
      <c r="HD62" s="4260"/>
      <c r="HE62" s="4260"/>
      <c r="HF62" s="4260"/>
      <c r="HG62" s="4260"/>
      <c r="HH62" s="4260"/>
      <c r="HI62" s="4260"/>
      <c r="HJ62" s="4260"/>
      <c r="HK62" s="4260"/>
      <c r="HL62" s="4260"/>
      <c r="HM62" s="4260"/>
      <c r="HN62" s="4260"/>
      <c r="HO62" s="4260"/>
      <c r="HP62" s="4260"/>
      <c r="HQ62" s="4260"/>
      <c r="HR62" s="4260"/>
      <c r="HS62" s="4260"/>
      <c r="HT62" s="4260"/>
      <c r="HU62" s="4260"/>
      <c r="HV62" s="4260"/>
      <c r="HW62" s="4260"/>
      <c r="HX62" s="4260"/>
      <c r="HY62" s="4260"/>
      <c r="HZ62" s="4260"/>
    </row>
    <row r="63" spans="1:234" s="4295" customFormat="1" ht="21" customHeight="1" x14ac:dyDescent="0.25">
      <c r="A63" s="7631"/>
      <c r="B63" s="7636" t="s">
        <v>3507</v>
      </c>
      <c r="C63" s="4407"/>
      <c r="D63" s="4407"/>
      <c r="E63" s="4407"/>
      <c r="F63" s="4407"/>
      <c r="G63" s="4408"/>
      <c r="H63" s="4408"/>
      <c r="I63" s="4408"/>
      <c r="J63" s="4269"/>
      <c r="K63" s="3940"/>
      <c r="L63" s="3940"/>
      <c r="M63" s="4258"/>
      <c r="N63" s="4258"/>
      <c r="O63" s="4258"/>
      <c r="P63" s="4258"/>
      <c r="Q63" s="4258"/>
      <c r="R63" s="4258"/>
      <c r="S63" s="4258"/>
      <c r="T63" s="4258"/>
      <c r="U63" s="4258"/>
      <c r="V63" s="4258"/>
      <c r="W63" s="4258"/>
      <c r="X63" s="4258"/>
      <c r="Y63" s="4258"/>
      <c r="Z63" s="4258"/>
      <c r="AA63" s="4258"/>
      <c r="AB63" s="4258"/>
      <c r="AC63" s="4258"/>
      <c r="AD63" s="4258"/>
      <c r="AE63" s="4258"/>
      <c r="AF63" s="4258"/>
      <c r="AG63" s="4258"/>
      <c r="AH63" s="4258"/>
      <c r="AI63" s="4258"/>
      <c r="AJ63" s="4258"/>
      <c r="AK63" s="4258"/>
      <c r="AL63" s="4258"/>
      <c r="AM63" s="4258"/>
      <c r="AN63" s="4258"/>
      <c r="AO63" s="4258"/>
      <c r="AP63" s="4258"/>
      <c r="AQ63" s="4258"/>
      <c r="AR63" s="4258"/>
      <c r="AS63" s="4258"/>
      <c r="AT63" s="4258"/>
      <c r="AU63" s="4258"/>
      <c r="AV63" s="4258"/>
      <c r="AW63" s="4258"/>
      <c r="AX63" s="4258"/>
      <c r="AY63" s="4258"/>
      <c r="AZ63" s="4258"/>
      <c r="BA63" s="4258"/>
      <c r="BB63" s="4258"/>
      <c r="BC63" s="4258"/>
      <c r="BD63" s="4258"/>
      <c r="BE63" s="4258"/>
      <c r="BF63" s="4258"/>
      <c r="BG63" s="4258"/>
      <c r="BH63" s="4258"/>
      <c r="BI63" s="4258"/>
      <c r="BJ63" s="4258"/>
      <c r="BK63" s="4258"/>
      <c r="BL63" s="4258"/>
      <c r="BM63" s="4258"/>
      <c r="BN63" s="4258"/>
      <c r="BO63" s="4258"/>
      <c r="BP63" s="4258"/>
      <c r="BQ63" s="4258"/>
      <c r="BR63" s="4258"/>
      <c r="BS63" s="4258"/>
      <c r="BT63" s="4258"/>
      <c r="BU63" s="4258"/>
      <c r="BV63" s="4258"/>
      <c r="BW63" s="4259"/>
      <c r="BX63" s="4259"/>
      <c r="BY63" s="4260"/>
      <c r="BZ63" s="4260"/>
      <c r="CA63" s="4260"/>
      <c r="CB63" s="4261"/>
      <c r="CC63" s="4261"/>
      <c r="CD63" s="4261"/>
      <c r="CE63" s="4261"/>
      <c r="CF63" s="4261"/>
      <c r="CG63" s="4261"/>
      <c r="CH63" s="4261"/>
      <c r="CI63" s="4261"/>
      <c r="CJ63" s="4261"/>
      <c r="CK63" s="4261"/>
      <c r="CL63" s="4261"/>
      <c r="CM63" s="4261"/>
      <c r="CN63" s="4261"/>
      <c r="CO63" s="4261"/>
      <c r="CP63" s="4261"/>
      <c r="CQ63" s="4261"/>
      <c r="CR63" s="4261"/>
      <c r="CS63" s="4261"/>
      <c r="CT63" s="4261"/>
      <c r="CU63" s="4261"/>
      <c r="CV63" s="4261"/>
      <c r="CW63" s="4261"/>
      <c r="CX63" s="4261"/>
      <c r="CY63" s="4261"/>
      <c r="CZ63" s="4261"/>
      <c r="DA63" s="4262"/>
      <c r="DB63" s="4294"/>
      <c r="DC63" s="4294"/>
      <c r="DD63" s="4294"/>
      <c r="DE63" s="4294"/>
      <c r="DF63" s="4294"/>
      <c r="DG63" s="4294"/>
      <c r="DH63" s="4294"/>
      <c r="DI63" s="4294"/>
      <c r="DJ63" s="4294"/>
      <c r="DK63" s="4294"/>
      <c r="DL63" s="4294"/>
      <c r="DM63" s="4294"/>
      <c r="DN63" s="4294"/>
      <c r="DO63" s="4294"/>
      <c r="DP63" s="4294"/>
      <c r="DQ63" s="4294"/>
      <c r="DR63" s="4260"/>
      <c r="DS63" s="4260"/>
      <c r="DT63" s="4260"/>
      <c r="DU63" s="4260"/>
      <c r="DV63" s="4260"/>
      <c r="DW63" s="4260"/>
      <c r="DX63" s="4260"/>
      <c r="DY63" s="4260"/>
      <c r="DZ63" s="4260"/>
      <c r="EA63" s="4260"/>
      <c r="EB63" s="4260"/>
      <c r="EC63" s="4260"/>
      <c r="ED63" s="4260"/>
      <c r="EE63" s="4260"/>
      <c r="EF63" s="4260"/>
      <c r="EG63" s="4260"/>
      <c r="EH63" s="4260"/>
      <c r="EI63" s="4260"/>
      <c r="EJ63" s="4260"/>
      <c r="EK63" s="4260"/>
      <c r="EL63" s="4260"/>
      <c r="EM63" s="4260"/>
      <c r="EN63" s="4260"/>
      <c r="EO63" s="4260"/>
      <c r="EP63" s="4260"/>
      <c r="EQ63" s="4260"/>
      <c r="ER63" s="4260"/>
      <c r="ES63" s="4260"/>
      <c r="ET63" s="4260"/>
      <c r="EU63" s="4260"/>
      <c r="EV63" s="4260"/>
      <c r="EW63" s="4260"/>
      <c r="EX63" s="4260"/>
      <c r="EY63" s="4260"/>
      <c r="EZ63" s="4260"/>
      <c r="FA63" s="4260"/>
      <c r="FB63" s="4260"/>
      <c r="FC63" s="4260"/>
      <c r="FD63" s="4260"/>
      <c r="FE63" s="4260"/>
      <c r="FF63" s="4260"/>
      <c r="FG63" s="4260"/>
      <c r="FH63" s="4260"/>
      <c r="FI63" s="4260"/>
      <c r="FJ63" s="4260"/>
      <c r="FK63" s="4260"/>
      <c r="FL63" s="4260"/>
      <c r="FM63" s="4260"/>
      <c r="FN63" s="4260"/>
      <c r="FO63" s="4260"/>
      <c r="FP63" s="4260"/>
      <c r="FQ63" s="4260"/>
      <c r="FR63" s="4260"/>
      <c r="FS63" s="4260"/>
      <c r="FT63" s="4260"/>
      <c r="FU63" s="4260"/>
      <c r="FV63" s="4260"/>
      <c r="FW63" s="4260"/>
      <c r="FX63" s="4260"/>
      <c r="FY63" s="4260"/>
      <c r="FZ63" s="4260"/>
      <c r="GA63" s="4260"/>
      <c r="GB63" s="4260"/>
      <c r="GC63" s="4260"/>
      <c r="GD63" s="4260"/>
      <c r="GE63" s="4260"/>
      <c r="GF63" s="4260"/>
      <c r="GG63" s="4260"/>
      <c r="GH63" s="4260"/>
      <c r="GI63" s="4260"/>
      <c r="GJ63" s="4260"/>
      <c r="GK63" s="4260"/>
      <c r="GL63" s="4260"/>
      <c r="GM63" s="4260"/>
      <c r="GN63" s="4260"/>
      <c r="GO63" s="4260"/>
      <c r="GP63" s="4260"/>
      <c r="GQ63" s="4260"/>
      <c r="GR63" s="4260"/>
      <c r="GS63" s="4260"/>
      <c r="GT63" s="4260"/>
      <c r="GU63" s="4260"/>
      <c r="GV63" s="4260"/>
      <c r="GW63" s="4260"/>
      <c r="GX63" s="4260"/>
      <c r="GY63" s="4260"/>
      <c r="GZ63" s="4260"/>
      <c r="HA63" s="4260"/>
      <c r="HB63" s="4260"/>
      <c r="HC63" s="4260"/>
      <c r="HD63" s="4260"/>
      <c r="HE63" s="4260"/>
      <c r="HF63" s="4260"/>
      <c r="HG63" s="4260"/>
      <c r="HH63" s="4260"/>
      <c r="HI63" s="4260"/>
      <c r="HJ63" s="4260"/>
      <c r="HK63" s="4260"/>
      <c r="HL63" s="4260"/>
      <c r="HM63" s="4260"/>
      <c r="HN63" s="4260"/>
      <c r="HO63" s="4260"/>
      <c r="HP63" s="4260"/>
      <c r="HQ63" s="4260"/>
      <c r="HR63" s="4260"/>
      <c r="HS63" s="4260"/>
      <c r="HT63" s="4260"/>
      <c r="HU63" s="4260"/>
      <c r="HV63" s="4260"/>
      <c r="HW63" s="4260"/>
      <c r="HX63" s="4260"/>
      <c r="HY63" s="4260"/>
      <c r="HZ63" s="4260"/>
    </row>
    <row r="64" spans="1:234" customFormat="1" ht="38.4" customHeight="1" x14ac:dyDescent="0.3">
      <c r="B64" s="10735" t="s">
        <v>1690</v>
      </c>
      <c r="C64" s="10736"/>
      <c r="D64" s="4409" t="s">
        <v>24</v>
      </c>
      <c r="E64" s="4410" t="s">
        <v>2770</v>
      </c>
      <c r="F64" s="4333" t="s">
        <v>2769</v>
      </c>
      <c r="G64" s="4411" t="s">
        <v>1677</v>
      </c>
      <c r="H64" s="4332" t="s">
        <v>362</v>
      </c>
      <c r="I64" s="4333" t="s">
        <v>361</v>
      </c>
      <c r="J64" s="4333" t="s">
        <v>2767</v>
      </c>
      <c r="K64" s="4412" t="s">
        <v>2768</v>
      </c>
      <c r="L64" s="4258"/>
      <c r="M64" s="4258"/>
      <c r="N64" s="4258"/>
      <c r="O64" s="4258"/>
      <c r="P64" s="4258"/>
      <c r="Q64" s="4258"/>
      <c r="R64" s="4258"/>
      <c r="S64" s="4258"/>
      <c r="T64" s="4258"/>
      <c r="U64" s="4258"/>
      <c r="V64" s="4258"/>
      <c r="W64" s="4258"/>
      <c r="X64" s="4258"/>
      <c r="Y64" s="4258"/>
      <c r="Z64" s="4258"/>
      <c r="AA64" s="4258"/>
      <c r="AB64" s="4258"/>
      <c r="AC64" s="4258"/>
      <c r="AD64" s="4258"/>
      <c r="AE64" s="4258"/>
      <c r="AF64" s="4258"/>
      <c r="AG64" s="4258"/>
      <c r="AH64" s="4258"/>
      <c r="AI64" s="4258"/>
      <c r="AJ64" s="4258"/>
      <c r="AK64" s="4258"/>
      <c r="AL64" s="4258"/>
      <c r="AM64" s="4258"/>
      <c r="AN64" s="4258"/>
      <c r="AO64" s="4258"/>
      <c r="AP64" s="4258"/>
      <c r="AQ64" s="4258"/>
      <c r="AR64" s="4258"/>
      <c r="AS64" s="4258"/>
      <c r="AT64" s="4258"/>
      <c r="AU64" s="4258"/>
      <c r="AV64" s="4258"/>
      <c r="AW64" s="4258"/>
      <c r="AX64" s="4258"/>
      <c r="AY64" s="4258"/>
      <c r="AZ64" s="4258"/>
      <c r="BA64" s="4258"/>
      <c r="BB64" s="4258"/>
      <c r="BC64" s="4258"/>
      <c r="BD64" s="4258"/>
      <c r="BE64" s="4258"/>
      <c r="BF64" s="4258"/>
      <c r="BG64" s="4258"/>
      <c r="BH64" s="4258"/>
      <c r="BI64" s="4258"/>
      <c r="BJ64" s="4258"/>
      <c r="BK64" s="4258"/>
      <c r="BL64" s="4258"/>
      <c r="BM64" s="4258"/>
      <c r="BN64" s="4258"/>
      <c r="BO64" s="4258"/>
      <c r="BP64" s="4258"/>
      <c r="BQ64" s="4258"/>
      <c r="BR64" s="4258"/>
      <c r="BS64" s="4258"/>
      <c r="BT64" s="4258"/>
      <c r="BU64" s="4258"/>
      <c r="BV64" s="4258"/>
      <c r="BW64" s="4258"/>
      <c r="BX64" s="4258"/>
      <c r="BY64" s="4258"/>
      <c r="BZ64" s="4258"/>
      <c r="CA64" s="4258"/>
      <c r="CB64" s="4262"/>
      <c r="CC64" s="4262"/>
      <c r="CD64" s="4262"/>
      <c r="CE64" s="4262"/>
      <c r="CF64" s="4262"/>
      <c r="CG64" s="4262"/>
      <c r="CH64" s="4262"/>
      <c r="CI64" s="4262"/>
      <c r="CJ64" s="4262"/>
      <c r="CK64" s="4262"/>
      <c r="CL64" s="4262"/>
      <c r="CM64" s="4262"/>
      <c r="CN64" s="4262"/>
      <c r="CO64" s="4262"/>
      <c r="CP64" s="4262"/>
      <c r="CQ64" s="4262"/>
      <c r="CR64" s="4262"/>
      <c r="CS64" s="4262"/>
      <c r="CT64" s="4262"/>
      <c r="CU64" s="4262"/>
      <c r="CV64" s="4262"/>
      <c r="CW64" s="4262"/>
      <c r="CX64" s="4262"/>
      <c r="CY64" s="4262"/>
      <c r="CZ64" s="4262"/>
      <c r="DA64" s="4262"/>
      <c r="DB64" s="4263"/>
      <c r="DC64" s="4263"/>
      <c r="DD64" s="4263"/>
      <c r="DE64" s="4263"/>
      <c r="DF64" s="4263"/>
      <c r="DG64" s="4263"/>
      <c r="DH64" s="4263"/>
      <c r="DI64" s="4263"/>
      <c r="DJ64" s="4263"/>
      <c r="DK64" s="4263"/>
      <c r="DL64" s="4263"/>
      <c r="DM64" s="4263"/>
      <c r="DN64" s="4263"/>
      <c r="DO64" s="4263"/>
      <c r="DP64" s="4263"/>
      <c r="DQ64" s="4263"/>
      <c r="DR64" s="4258"/>
      <c r="DS64" s="4258"/>
      <c r="DT64" s="4258"/>
      <c r="DU64" s="4258"/>
      <c r="DV64" s="4258"/>
      <c r="DW64" s="4258"/>
      <c r="DX64" s="4258"/>
      <c r="DY64" s="4258"/>
      <c r="DZ64" s="4258"/>
    </row>
    <row r="65" spans="1:234" customFormat="1" ht="24.6" customHeight="1" x14ac:dyDescent="0.3">
      <c r="A65" s="7631">
        <v>26280030</v>
      </c>
      <c r="B65" s="10755" t="s">
        <v>1689</v>
      </c>
      <c r="C65" s="10756"/>
      <c r="D65" s="4413" t="s">
        <v>5369</v>
      </c>
      <c r="E65" s="4414" t="s">
        <v>5370</v>
      </c>
      <c r="F65" s="3894" t="s">
        <v>5371</v>
      </c>
      <c r="G65" s="4415" t="s">
        <v>5372</v>
      </c>
      <c r="H65" s="4416" t="s">
        <v>5373</v>
      </c>
      <c r="I65" s="4417" t="s">
        <v>5374</v>
      </c>
      <c r="J65" s="4417" t="s">
        <v>5375</v>
      </c>
      <c r="K65" s="4418" t="s">
        <v>5376</v>
      </c>
      <c r="L65" s="4258"/>
      <c r="M65" s="4258"/>
      <c r="N65" s="4258"/>
      <c r="O65" s="4258"/>
      <c r="P65" s="4258"/>
      <c r="Q65" s="4258"/>
      <c r="R65" s="4258"/>
      <c r="S65" s="4258"/>
      <c r="T65" s="4258"/>
      <c r="U65" s="4258"/>
      <c r="V65" s="4258"/>
      <c r="W65" s="4258"/>
      <c r="X65" s="4258"/>
      <c r="Y65" s="4258"/>
      <c r="Z65" s="4258"/>
      <c r="AA65" s="4258"/>
      <c r="AB65" s="4258"/>
      <c r="AC65" s="4258"/>
      <c r="AD65" s="4258"/>
      <c r="AE65" s="4258"/>
      <c r="AF65" s="4258"/>
      <c r="AG65" s="4258"/>
      <c r="AH65" s="4258"/>
      <c r="AI65" s="4258"/>
      <c r="AJ65" s="4258"/>
      <c r="AK65" s="4258"/>
      <c r="AL65" s="4258"/>
      <c r="AM65" s="4258"/>
      <c r="AN65" s="4258"/>
      <c r="AO65" s="4258"/>
      <c r="AP65" s="4258"/>
      <c r="AQ65" s="4258"/>
      <c r="AR65" s="4258"/>
      <c r="AS65" s="4258"/>
      <c r="AT65" s="4258"/>
      <c r="AU65" s="4258"/>
      <c r="AV65" s="4258"/>
      <c r="AW65" s="4258"/>
      <c r="AX65" s="4258"/>
      <c r="AY65" s="4258"/>
      <c r="AZ65" s="4258"/>
      <c r="BA65" s="4258"/>
      <c r="BB65" s="4258"/>
      <c r="BC65" s="4258"/>
      <c r="BD65" s="4258"/>
      <c r="BE65" s="4258"/>
      <c r="BF65" s="4258"/>
      <c r="BG65" s="4258"/>
      <c r="BH65" s="4258"/>
      <c r="BI65" s="4258"/>
      <c r="BJ65" s="4258"/>
      <c r="BK65" s="4258"/>
      <c r="BL65" s="4258"/>
      <c r="BM65" s="4258"/>
      <c r="BN65" s="4258"/>
      <c r="BO65" s="4258"/>
      <c r="BP65" s="4258"/>
      <c r="BQ65" s="4258"/>
      <c r="BR65" s="4258"/>
      <c r="BS65" s="4258"/>
      <c r="BT65" s="4258"/>
      <c r="BU65" s="4258"/>
      <c r="BV65" s="4258"/>
      <c r="BW65" s="4258"/>
      <c r="BX65" s="4258"/>
      <c r="BY65" s="4258"/>
      <c r="BZ65" s="4258"/>
      <c r="CA65" s="4258"/>
      <c r="CB65" s="4292" t="str">
        <f>IF(DB65=1,"* Pueblos Originarios debe ser MENOR O IGUAL al Total. ","")</f>
        <v xml:space="preserve">* Pueblos Originarios debe ser MENOR O IGUAL al Total. </v>
      </c>
      <c r="CC65" s="4292" t="str">
        <f>IF(DC65=1,"* Migrantes debe ser MENOR O IGUAL al Total. ","")</f>
        <v xml:space="preserve">* Migrantes debe ser MENOR O IGUAL al Total. </v>
      </c>
      <c r="CD65" s="4292" t="str">
        <f>IF(DD65=1,"* Multimorbilidad Crónica debe ser MENOR O IGUAL al Total. ","")</f>
        <v xml:space="preserve">* Multimorbilidad Crónica debe ser MENOR O IGUAL al Total. </v>
      </c>
      <c r="CE65" s="4292" t="str">
        <f>IF(DE65=1,"* Población ELEAM o Institucionalizada debe ser MENOR O IGUAL al Total. ","")</f>
        <v xml:space="preserve">* Población ELEAM o Institucionalizada debe ser MENOR O IGUAL al Total. </v>
      </c>
      <c r="CF65" s="4262"/>
      <c r="CG65" s="4262"/>
      <c r="CH65" s="4262"/>
      <c r="CI65" s="4262"/>
      <c r="CJ65" s="4262"/>
      <c r="CK65" s="4262"/>
      <c r="CL65" s="4262"/>
      <c r="CM65" s="4262"/>
      <c r="CN65" s="4262"/>
      <c r="CO65" s="4262"/>
      <c r="CP65" s="4262"/>
      <c r="CQ65" s="4262"/>
      <c r="CR65" s="4262"/>
      <c r="CS65" s="4262"/>
      <c r="CT65" s="4262"/>
      <c r="CU65" s="4262"/>
      <c r="CV65" s="4262"/>
      <c r="CW65" s="4262"/>
      <c r="CX65" s="4262"/>
      <c r="CY65" s="4262"/>
      <c r="CZ65" s="4262"/>
      <c r="DA65" s="4262"/>
      <c r="DB65" s="4293">
        <f>IF(H65&gt;$D65,1,0)</f>
        <v>1</v>
      </c>
      <c r="DC65" s="4293">
        <f>IF(I65&gt;$D65,1,0)</f>
        <v>1</v>
      </c>
      <c r="DD65" s="4293">
        <f>IF(J65&gt;$D65,1,0)</f>
        <v>1</v>
      </c>
      <c r="DE65" s="4293">
        <f>IF(K65&gt;$D65,1,0)</f>
        <v>1</v>
      </c>
      <c r="DF65" s="4263"/>
      <c r="DG65" s="4263"/>
      <c r="DH65" s="4263"/>
      <c r="DI65" s="4263"/>
      <c r="DJ65" s="4263"/>
      <c r="DK65" s="4263"/>
      <c r="DL65" s="4263"/>
      <c r="DM65" s="4263"/>
      <c r="DN65" s="4263"/>
      <c r="DO65" s="4263"/>
      <c r="DP65" s="4263"/>
      <c r="DQ65" s="4263"/>
      <c r="DR65" s="4258"/>
      <c r="DS65" s="4258"/>
      <c r="DT65" s="4258"/>
      <c r="DU65" s="4258"/>
      <c r="DV65" s="4258"/>
      <c r="DW65" s="4258"/>
      <c r="DX65" s="4258"/>
      <c r="DY65" s="4258"/>
      <c r="DZ65" s="4258"/>
    </row>
    <row r="66" spans="1:234" customFormat="1" ht="24.9" customHeight="1" x14ac:dyDescent="0.3">
      <c r="A66" s="7631">
        <v>26280040</v>
      </c>
      <c r="B66" s="10757" t="s">
        <v>1688</v>
      </c>
      <c r="C66" s="10758"/>
      <c r="D66" s="4419" t="s">
        <v>5369</v>
      </c>
      <c r="E66" s="4420" t="s">
        <v>5370</v>
      </c>
      <c r="F66" s="4421" t="s">
        <v>5371</v>
      </c>
      <c r="G66" s="4422" t="s">
        <v>5372</v>
      </c>
      <c r="H66" s="4423" t="s">
        <v>5373</v>
      </c>
      <c r="I66" s="4424" t="s">
        <v>5374</v>
      </c>
      <c r="J66" s="4424" t="s">
        <v>5375</v>
      </c>
      <c r="K66" s="4425" t="s">
        <v>5376</v>
      </c>
      <c r="L66" s="4258"/>
      <c r="M66" s="4258"/>
      <c r="N66" s="4258"/>
      <c r="O66" s="4258"/>
      <c r="P66" s="4258"/>
      <c r="Q66" s="4258"/>
      <c r="R66" s="4258"/>
      <c r="S66" s="4258"/>
      <c r="T66" s="4258"/>
      <c r="U66" s="4258"/>
      <c r="V66" s="4258"/>
      <c r="W66" s="4258"/>
      <c r="X66" s="4258"/>
      <c r="Y66" s="4258"/>
      <c r="Z66" s="4258"/>
      <c r="AA66" s="4258"/>
      <c r="AB66" s="4258"/>
      <c r="AC66" s="4258"/>
      <c r="AD66" s="4258"/>
      <c r="AE66" s="4258"/>
      <c r="AF66" s="4258"/>
      <c r="AG66" s="4258"/>
      <c r="AH66" s="4258"/>
      <c r="AI66" s="4258"/>
      <c r="AJ66" s="4258"/>
      <c r="AK66" s="4258"/>
      <c r="AL66" s="4258"/>
      <c r="AM66" s="4258"/>
      <c r="AN66" s="4258"/>
      <c r="AO66" s="4258"/>
      <c r="AP66" s="4258"/>
      <c r="AQ66" s="4258"/>
      <c r="AR66" s="4258"/>
      <c r="AS66" s="4258"/>
      <c r="AT66" s="4258"/>
      <c r="AU66" s="4258"/>
      <c r="AV66" s="4258"/>
      <c r="AW66" s="4258"/>
      <c r="AX66" s="4258"/>
      <c r="AY66" s="4258"/>
      <c r="AZ66" s="4258"/>
      <c r="BA66" s="4258"/>
      <c r="BB66" s="4258"/>
      <c r="BC66" s="4258"/>
      <c r="BD66" s="4258"/>
      <c r="BE66" s="4258"/>
      <c r="BF66" s="4258"/>
      <c r="BG66" s="4258"/>
      <c r="BH66" s="4258"/>
      <c r="BI66" s="4258"/>
      <c r="BJ66" s="4258"/>
      <c r="BK66" s="4258"/>
      <c r="BL66" s="4258"/>
      <c r="BM66" s="4258"/>
      <c r="BN66" s="4258"/>
      <c r="BO66" s="4258"/>
      <c r="BP66" s="4258"/>
      <c r="BQ66" s="4258"/>
      <c r="BR66" s="4258"/>
      <c r="BS66" s="4258"/>
      <c r="BT66" s="4258"/>
      <c r="BU66" s="4258"/>
      <c r="BV66" s="4258"/>
      <c r="BW66" s="4258"/>
      <c r="BX66" s="4258"/>
      <c r="BY66" s="4258"/>
      <c r="BZ66" s="4258"/>
      <c r="CA66" s="4258"/>
      <c r="CB66" s="4292" t="str">
        <f t="shared" ref="CB66:CB75" si="21">IF(DB66=1,"* Pueblos Originarios debe ser MENOR O IGUAL al Total. ","")</f>
        <v xml:space="preserve">* Pueblos Originarios debe ser MENOR O IGUAL al Total. </v>
      </c>
      <c r="CC66" s="4292" t="str">
        <f t="shared" ref="CC66:CC75" si="22">IF(DC66=1,"* Migrantes debe ser MENOR O IGUAL al Total. ","")</f>
        <v xml:space="preserve">* Migrantes debe ser MENOR O IGUAL al Total. </v>
      </c>
      <c r="CD66" s="4292" t="str">
        <f t="shared" ref="CD66:CD75" si="23">IF(DD66=1,"* Multimorbilidad Crónica debe ser MENOR O IGUAL al Total. ","")</f>
        <v xml:space="preserve">* Multimorbilidad Crónica debe ser MENOR O IGUAL al Total. </v>
      </c>
      <c r="CE66" s="4292" t="str">
        <f t="shared" ref="CE66:CE75" si="24">IF(DE66=1,"* Población ELEAM o Institucionalizada debe ser MENOR O IGUAL al Total. ","")</f>
        <v xml:space="preserve">* Población ELEAM o Institucionalizada debe ser MENOR O IGUAL al Total. </v>
      </c>
      <c r="CF66" s="4262"/>
      <c r="CG66" s="4262"/>
      <c r="CH66" s="4262"/>
      <c r="CI66" s="4262"/>
      <c r="CJ66" s="4262"/>
      <c r="CK66" s="4262"/>
      <c r="CL66" s="4262"/>
      <c r="CM66" s="4262"/>
      <c r="CN66" s="4262"/>
      <c r="CO66" s="4262"/>
      <c r="CP66" s="4262"/>
      <c r="CQ66" s="4262"/>
      <c r="CR66" s="4262"/>
      <c r="CS66" s="4262"/>
      <c r="CT66" s="4262"/>
      <c r="CU66" s="4262"/>
      <c r="CV66" s="4262"/>
      <c r="CW66" s="4262"/>
      <c r="CX66" s="4262"/>
      <c r="CY66" s="4262"/>
      <c r="CZ66" s="4262"/>
      <c r="DA66" s="4262"/>
      <c r="DB66" s="4293">
        <f t="shared" ref="DB66:DB77" si="25">IF(H66&gt;$D66,1,0)</f>
        <v>1</v>
      </c>
      <c r="DC66" s="4293">
        <f t="shared" ref="DC66:DC77" si="26">IF(I66&gt;$D66,1,0)</f>
        <v>1</v>
      </c>
      <c r="DD66" s="4293">
        <f t="shared" ref="DD66:DD77" si="27">IF(J66&gt;$D66,1,0)</f>
        <v>1</v>
      </c>
      <c r="DE66" s="4293">
        <f t="shared" ref="DE66:DE77" si="28">IF(K66&gt;$D66,1,0)</f>
        <v>1</v>
      </c>
      <c r="DF66" s="4263"/>
      <c r="DG66" s="4263"/>
      <c r="DH66" s="4263"/>
      <c r="DI66" s="4263"/>
      <c r="DJ66" s="4263"/>
      <c r="DK66" s="4263"/>
      <c r="DL66" s="4263"/>
      <c r="DM66" s="4263"/>
      <c r="DN66" s="4263"/>
      <c r="DO66" s="4263"/>
      <c r="DP66" s="4263"/>
      <c r="DQ66" s="4263"/>
      <c r="DR66" s="4258"/>
      <c r="DS66" s="4258"/>
      <c r="DT66" s="4258"/>
      <c r="DU66" s="4258"/>
      <c r="DV66" s="4258"/>
      <c r="DW66" s="4258"/>
      <c r="DX66" s="4258"/>
      <c r="DY66" s="4258"/>
      <c r="DZ66" s="4258"/>
    </row>
    <row r="67" spans="1:234" customFormat="1" ht="24.9" customHeight="1" x14ac:dyDescent="0.3">
      <c r="A67" s="7631">
        <v>26275700</v>
      </c>
      <c r="B67" s="10759" t="s">
        <v>1687</v>
      </c>
      <c r="C67" s="6841" t="s">
        <v>1686</v>
      </c>
      <c r="D67" s="4413" t="s">
        <v>5369</v>
      </c>
      <c r="E67" s="4426" t="s">
        <v>5370</v>
      </c>
      <c r="F67" s="4427" t="s">
        <v>5371</v>
      </c>
      <c r="G67" s="3907" t="s">
        <v>5372</v>
      </c>
      <c r="H67" s="4428" t="s">
        <v>5373</v>
      </c>
      <c r="I67" s="4429" t="s">
        <v>5374</v>
      </c>
      <c r="J67" s="4429" t="s">
        <v>5375</v>
      </c>
      <c r="K67" s="4430" t="s">
        <v>5376</v>
      </c>
      <c r="L67" s="4258"/>
      <c r="M67" s="4258"/>
      <c r="N67" s="4258"/>
      <c r="O67" s="4258"/>
      <c r="P67" s="4258"/>
      <c r="Q67" s="4258"/>
      <c r="R67" s="4258"/>
      <c r="S67" s="4258"/>
      <c r="T67" s="4258"/>
      <c r="U67" s="4258"/>
      <c r="V67" s="4258"/>
      <c r="W67" s="4258"/>
      <c r="X67" s="4258"/>
      <c r="Y67" s="4258"/>
      <c r="Z67" s="4258"/>
      <c r="AA67" s="4258"/>
      <c r="AB67" s="4258"/>
      <c r="AC67" s="4258"/>
      <c r="AD67" s="4258"/>
      <c r="AE67" s="4258"/>
      <c r="AF67" s="4258"/>
      <c r="AG67" s="4258"/>
      <c r="AH67" s="4258"/>
      <c r="AI67" s="4258"/>
      <c r="AJ67" s="4258"/>
      <c r="AK67" s="4258"/>
      <c r="AL67" s="4258"/>
      <c r="AM67" s="4258"/>
      <c r="AN67" s="4258"/>
      <c r="AO67" s="4258"/>
      <c r="AP67" s="4258"/>
      <c r="AQ67" s="4258"/>
      <c r="AR67" s="4258"/>
      <c r="AS67" s="4258"/>
      <c r="AT67" s="4258"/>
      <c r="AU67" s="4258"/>
      <c r="AV67" s="4258"/>
      <c r="AW67" s="4258"/>
      <c r="AX67" s="4258"/>
      <c r="AY67" s="4258"/>
      <c r="AZ67" s="4258"/>
      <c r="BA67" s="4258"/>
      <c r="BB67" s="4258"/>
      <c r="BC67" s="4258"/>
      <c r="BD67" s="4258"/>
      <c r="BE67" s="4258"/>
      <c r="BF67" s="4258"/>
      <c r="BG67" s="4258"/>
      <c r="BH67" s="4258"/>
      <c r="BI67" s="4258"/>
      <c r="BJ67" s="4258"/>
      <c r="BK67" s="4258"/>
      <c r="BL67" s="4258"/>
      <c r="BM67" s="4258"/>
      <c r="BN67" s="4258"/>
      <c r="BO67" s="4258"/>
      <c r="BP67" s="4258"/>
      <c r="BQ67" s="4258"/>
      <c r="BR67" s="4258"/>
      <c r="BS67" s="4258"/>
      <c r="BT67" s="4258"/>
      <c r="BU67" s="4258"/>
      <c r="BV67" s="4258"/>
      <c r="BW67" s="4258"/>
      <c r="BX67" s="4258"/>
      <c r="BY67" s="4258"/>
      <c r="BZ67" s="4258"/>
      <c r="CA67" s="4258"/>
      <c r="CB67" s="4292" t="str">
        <f t="shared" si="21"/>
        <v xml:space="preserve">* Pueblos Originarios debe ser MENOR O IGUAL al Total. </v>
      </c>
      <c r="CC67" s="4292" t="str">
        <f t="shared" si="22"/>
        <v xml:space="preserve">* Migrantes debe ser MENOR O IGUAL al Total. </v>
      </c>
      <c r="CD67" s="4292" t="str">
        <f t="shared" si="23"/>
        <v xml:space="preserve">* Multimorbilidad Crónica debe ser MENOR O IGUAL al Total. </v>
      </c>
      <c r="CE67" s="4292" t="str">
        <f t="shared" si="24"/>
        <v xml:space="preserve">* Población ELEAM o Institucionalizada debe ser MENOR O IGUAL al Total. </v>
      </c>
      <c r="CF67" s="4262"/>
      <c r="CG67" s="4262"/>
      <c r="CH67" s="4262"/>
      <c r="CI67" s="4262"/>
      <c r="CJ67" s="4262"/>
      <c r="CK67" s="4262"/>
      <c r="CL67" s="4262"/>
      <c r="CM67" s="4262"/>
      <c r="CN67" s="4262"/>
      <c r="CO67" s="4262"/>
      <c r="CP67" s="4262"/>
      <c r="CQ67" s="4262"/>
      <c r="CR67" s="4262"/>
      <c r="CS67" s="4262"/>
      <c r="CT67" s="4262"/>
      <c r="CU67" s="4262"/>
      <c r="CV67" s="4262"/>
      <c r="CW67" s="4262"/>
      <c r="CX67" s="4262"/>
      <c r="CY67" s="4262"/>
      <c r="CZ67" s="4262"/>
      <c r="DA67" s="4262"/>
      <c r="DB67" s="4293">
        <f t="shared" si="25"/>
        <v>1</v>
      </c>
      <c r="DC67" s="4293">
        <f t="shared" si="26"/>
        <v>1</v>
      </c>
      <c r="DD67" s="4293">
        <f t="shared" si="27"/>
        <v>1</v>
      </c>
      <c r="DE67" s="4293">
        <f t="shared" si="28"/>
        <v>1</v>
      </c>
      <c r="DF67" s="4263"/>
      <c r="DG67" s="4263"/>
      <c r="DH67" s="4263"/>
      <c r="DI67" s="4263"/>
      <c r="DJ67" s="4263"/>
      <c r="DK67" s="4263"/>
      <c r="DL67" s="4263"/>
      <c r="DM67" s="4263"/>
      <c r="DN67" s="4263"/>
      <c r="DO67" s="4263"/>
      <c r="DP67" s="4263"/>
      <c r="DQ67" s="4263"/>
      <c r="DR67" s="4258"/>
      <c r="DS67" s="4258"/>
      <c r="DT67" s="4258"/>
      <c r="DU67" s="4258"/>
      <c r="DV67" s="4258"/>
      <c r="DW67" s="4258"/>
      <c r="DX67" s="4258"/>
      <c r="DY67" s="4258"/>
      <c r="DZ67" s="4258"/>
    </row>
    <row r="68" spans="1:234" customFormat="1" ht="24.9" customHeight="1" x14ac:dyDescent="0.3">
      <c r="A68" s="7631">
        <v>26275800</v>
      </c>
      <c r="B68" s="10759"/>
      <c r="C68" s="4431" t="s">
        <v>1685</v>
      </c>
      <c r="D68" s="4432" t="s">
        <v>5369</v>
      </c>
      <c r="E68" s="4229" t="s">
        <v>5370</v>
      </c>
      <c r="F68" s="4433" t="s">
        <v>5371</v>
      </c>
      <c r="G68" s="3971" t="s">
        <v>5372</v>
      </c>
      <c r="H68" s="4434" t="s">
        <v>5373</v>
      </c>
      <c r="I68" s="4435" t="s">
        <v>5374</v>
      </c>
      <c r="J68" s="4435" t="s">
        <v>5375</v>
      </c>
      <c r="K68" s="4436" t="s">
        <v>5376</v>
      </c>
      <c r="L68" s="4258"/>
      <c r="M68" s="4258"/>
      <c r="N68" s="4258"/>
      <c r="O68" s="4258"/>
      <c r="P68" s="4258"/>
      <c r="Q68" s="4258"/>
      <c r="R68" s="4258"/>
      <c r="S68" s="4258"/>
      <c r="T68" s="4258"/>
      <c r="U68" s="4258"/>
      <c r="V68" s="4258"/>
      <c r="W68" s="4258"/>
      <c r="X68" s="4258"/>
      <c r="Y68" s="4258"/>
      <c r="Z68" s="4258"/>
      <c r="AA68" s="4258"/>
      <c r="AB68" s="4258"/>
      <c r="AC68" s="4258"/>
      <c r="AD68" s="4258"/>
      <c r="AE68" s="4258"/>
      <c r="AF68" s="4258"/>
      <c r="AG68" s="4258"/>
      <c r="AH68" s="4258"/>
      <c r="AI68" s="4258"/>
      <c r="AJ68" s="4258"/>
      <c r="AK68" s="4258"/>
      <c r="AL68" s="4258"/>
      <c r="AM68" s="4258"/>
      <c r="AN68" s="4258"/>
      <c r="AO68" s="4258"/>
      <c r="AP68" s="4258"/>
      <c r="AQ68" s="4258"/>
      <c r="AR68" s="4258"/>
      <c r="AS68" s="4258"/>
      <c r="AT68" s="4258"/>
      <c r="AU68" s="4258"/>
      <c r="AV68" s="4258"/>
      <c r="AW68" s="4258"/>
      <c r="AX68" s="4258"/>
      <c r="AY68" s="4258"/>
      <c r="AZ68" s="4258"/>
      <c r="BA68" s="4258"/>
      <c r="BB68" s="4258"/>
      <c r="BC68" s="4258"/>
      <c r="BD68" s="4258"/>
      <c r="BE68" s="4258"/>
      <c r="BF68" s="4258"/>
      <c r="BG68" s="4258"/>
      <c r="BH68" s="4258"/>
      <c r="BI68" s="4258"/>
      <c r="BJ68" s="4258"/>
      <c r="BK68" s="4258"/>
      <c r="BL68" s="4258"/>
      <c r="BM68" s="4258"/>
      <c r="BN68" s="4258"/>
      <c r="BO68" s="4258"/>
      <c r="BP68" s="4258"/>
      <c r="BQ68" s="4258"/>
      <c r="BR68" s="4258"/>
      <c r="BS68" s="4258"/>
      <c r="BT68" s="4258"/>
      <c r="BU68" s="4258"/>
      <c r="BV68" s="4258"/>
      <c r="BW68" s="4258"/>
      <c r="BX68" s="4258"/>
      <c r="BY68" s="4258"/>
      <c r="BZ68" s="4258"/>
      <c r="CA68" s="4258"/>
      <c r="CB68" s="4292" t="str">
        <f t="shared" si="21"/>
        <v xml:space="preserve">* Pueblos Originarios debe ser MENOR O IGUAL al Total. </v>
      </c>
      <c r="CC68" s="4292" t="str">
        <f t="shared" si="22"/>
        <v xml:space="preserve">* Migrantes debe ser MENOR O IGUAL al Total. </v>
      </c>
      <c r="CD68" s="4292" t="str">
        <f t="shared" si="23"/>
        <v xml:space="preserve">* Multimorbilidad Crónica debe ser MENOR O IGUAL al Total. </v>
      </c>
      <c r="CE68" s="4292" t="str">
        <f t="shared" si="24"/>
        <v xml:space="preserve">* Población ELEAM o Institucionalizada debe ser MENOR O IGUAL al Total. </v>
      </c>
      <c r="CF68" s="4262"/>
      <c r="CG68" s="4262"/>
      <c r="CH68" s="4262"/>
      <c r="CI68" s="4262"/>
      <c r="CJ68" s="4262"/>
      <c r="CK68" s="4262"/>
      <c r="CL68" s="4262"/>
      <c r="CM68" s="4262"/>
      <c r="CN68" s="4262"/>
      <c r="CO68" s="4262"/>
      <c r="CP68" s="4262"/>
      <c r="CQ68" s="4262"/>
      <c r="CR68" s="4262"/>
      <c r="CS68" s="4262"/>
      <c r="CT68" s="4262"/>
      <c r="CU68" s="4262"/>
      <c r="CV68" s="4262"/>
      <c r="CW68" s="4262"/>
      <c r="CX68" s="4262"/>
      <c r="CY68" s="4262"/>
      <c r="CZ68" s="4262"/>
      <c r="DA68" s="4262"/>
      <c r="DB68" s="4293">
        <f t="shared" si="25"/>
        <v>1</v>
      </c>
      <c r="DC68" s="4293">
        <f t="shared" si="26"/>
        <v>1</v>
      </c>
      <c r="DD68" s="4293">
        <f t="shared" si="27"/>
        <v>1</v>
      </c>
      <c r="DE68" s="4293">
        <f t="shared" si="28"/>
        <v>1</v>
      </c>
      <c r="DF68" s="4263"/>
      <c r="DG68" s="4263"/>
      <c r="DH68" s="4263"/>
      <c r="DI68" s="4263"/>
      <c r="DJ68" s="4263"/>
      <c r="DK68" s="4263"/>
      <c r="DL68" s="4263"/>
      <c r="DM68" s="4263"/>
      <c r="DN68" s="4263"/>
      <c r="DO68" s="4263"/>
      <c r="DP68" s="4263"/>
      <c r="DQ68" s="4263"/>
      <c r="DR68" s="4258"/>
      <c r="DS68" s="4258"/>
      <c r="DT68" s="4258"/>
      <c r="DU68" s="4258"/>
      <c r="DV68" s="4258"/>
      <c r="DW68" s="4258"/>
      <c r="DX68" s="4258"/>
      <c r="DY68" s="4258"/>
      <c r="DZ68" s="4258"/>
    </row>
    <row r="69" spans="1:234" customFormat="1" ht="24.9" customHeight="1" x14ac:dyDescent="0.3">
      <c r="A69" s="7294">
        <v>29101536</v>
      </c>
      <c r="B69" s="10759"/>
      <c r="C69" s="7637" t="s">
        <v>2747</v>
      </c>
      <c r="D69" s="4438" t="s">
        <v>5369</v>
      </c>
      <c r="E69" s="4229" t="s">
        <v>5370</v>
      </c>
      <c r="F69" s="6968" t="s">
        <v>5371</v>
      </c>
      <c r="G69" s="6233" t="s">
        <v>5372</v>
      </c>
      <c r="H69" s="4434" t="s">
        <v>5373</v>
      </c>
      <c r="I69" s="4435" t="s">
        <v>5374</v>
      </c>
      <c r="J69" s="4435" t="s">
        <v>5375</v>
      </c>
      <c r="K69" s="4436" t="s">
        <v>5376</v>
      </c>
      <c r="L69" s="4258"/>
      <c r="M69" s="4258"/>
      <c r="N69" s="4258"/>
      <c r="O69" s="4258"/>
      <c r="P69" s="4258"/>
      <c r="Q69" s="4258"/>
      <c r="R69" s="4258"/>
      <c r="S69" s="4258"/>
      <c r="T69" s="4258"/>
      <c r="U69" s="4258"/>
      <c r="V69" s="4258"/>
      <c r="W69" s="4258"/>
      <c r="X69" s="4258"/>
      <c r="Y69" s="4258"/>
      <c r="Z69" s="4258"/>
      <c r="AA69" s="4258"/>
      <c r="AB69" s="4258"/>
      <c r="AC69" s="4258"/>
      <c r="AD69" s="4258"/>
      <c r="AE69" s="4258"/>
      <c r="AF69" s="4258"/>
      <c r="AG69" s="4258"/>
      <c r="AH69" s="4258"/>
      <c r="AI69" s="4258"/>
      <c r="AJ69" s="4258"/>
      <c r="AK69" s="4258"/>
      <c r="AL69" s="4258"/>
      <c r="AM69" s="4258"/>
      <c r="AN69" s="4258"/>
      <c r="AO69" s="4258"/>
      <c r="AP69" s="4258"/>
      <c r="AQ69" s="4258"/>
      <c r="AR69" s="4258"/>
      <c r="AS69" s="4258"/>
      <c r="AT69" s="4258"/>
      <c r="AU69" s="4258"/>
      <c r="AV69" s="4258"/>
      <c r="AW69" s="4258"/>
      <c r="AX69" s="4258"/>
      <c r="AY69" s="4258"/>
      <c r="AZ69" s="4258"/>
      <c r="BA69" s="4258"/>
      <c r="BB69" s="4258"/>
      <c r="BC69" s="4258"/>
      <c r="BD69" s="4258"/>
      <c r="BE69" s="4258"/>
      <c r="BF69" s="4258"/>
      <c r="BG69" s="4258"/>
      <c r="BH69" s="4258"/>
      <c r="BI69" s="4258"/>
      <c r="BJ69" s="4258"/>
      <c r="BK69" s="4258"/>
      <c r="BL69" s="4258"/>
      <c r="BM69" s="4258"/>
      <c r="BN69" s="4258"/>
      <c r="BO69" s="4258"/>
      <c r="BP69" s="4258"/>
      <c r="BQ69" s="4258"/>
      <c r="BR69" s="4258"/>
      <c r="BS69" s="4258"/>
      <c r="BT69" s="4258"/>
      <c r="BU69" s="4258"/>
      <c r="BV69" s="4258"/>
      <c r="BW69" s="4258"/>
      <c r="BX69" s="4258"/>
      <c r="BY69" s="4258"/>
      <c r="BZ69" s="4258"/>
      <c r="CA69" s="4258"/>
      <c r="CB69" s="4292" t="str">
        <f t="shared" si="21"/>
        <v xml:space="preserve">* Pueblos Originarios debe ser MENOR O IGUAL al Total. </v>
      </c>
      <c r="CC69" s="4292" t="str">
        <f t="shared" si="22"/>
        <v xml:space="preserve">* Migrantes debe ser MENOR O IGUAL al Total. </v>
      </c>
      <c r="CD69" s="4292" t="str">
        <f t="shared" si="23"/>
        <v xml:space="preserve">* Multimorbilidad Crónica debe ser MENOR O IGUAL al Total. </v>
      </c>
      <c r="CE69" s="4292" t="str">
        <f t="shared" si="24"/>
        <v xml:space="preserve">* Población ELEAM o Institucionalizada debe ser MENOR O IGUAL al Total. </v>
      </c>
      <c r="CF69" s="4262"/>
      <c r="CG69" s="4262"/>
      <c r="CH69" s="4262"/>
      <c r="CI69" s="4262"/>
      <c r="CJ69" s="4262"/>
      <c r="CK69" s="4262"/>
      <c r="CL69" s="4262"/>
      <c r="CM69" s="4262"/>
      <c r="CN69" s="4262"/>
      <c r="CO69" s="4262"/>
      <c r="CP69" s="4262"/>
      <c r="CQ69" s="4262"/>
      <c r="CR69" s="4262"/>
      <c r="CS69" s="4262"/>
      <c r="CT69" s="4262"/>
      <c r="CU69" s="4262"/>
      <c r="CV69" s="4262"/>
      <c r="CW69" s="4262"/>
      <c r="CX69" s="4262"/>
      <c r="CY69" s="4262"/>
      <c r="CZ69" s="4262"/>
      <c r="DA69" s="4262"/>
      <c r="DB69" s="4293">
        <f t="shared" si="25"/>
        <v>1</v>
      </c>
      <c r="DC69" s="4293">
        <f t="shared" si="26"/>
        <v>1</v>
      </c>
      <c r="DD69" s="4293">
        <f t="shared" si="27"/>
        <v>1</v>
      </c>
      <c r="DE69" s="4293">
        <f t="shared" si="28"/>
        <v>1</v>
      </c>
      <c r="DF69" s="4263"/>
      <c r="DG69" s="4263"/>
      <c r="DH69" s="4263"/>
      <c r="DI69" s="4263"/>
      <c r="DJ69" s="4263"/>
      <c r="DK69" s="4263"/>
      <c r="DL69" s="4263"/>
      <c r="DM69" s="4263"/>
      <c r="DN69" s="4263"/>
      <c r="DO69" s="4263"/>
      <c r="DP69" s="4263"/>
      <c r="DQ69" s="4263"/>
      <c r="DR69" s="4258"/>
      <c r="DS69" s="4258"/>
      <c r="DT69" s="4258"/>
      <c r="DU69" s="4258"/>
      <c r="DV69" s="4258"/>
      <c r="DW69" s="4258"/>
      <c r="DX69" s="4258"/>
      <c r="DY69" s="4258"/>
      <c r="DZ69" s="4258"/>
    </row>
    <row r="70" spans="1:234" customFormat="1" ht="24.9" customHeight="1" x14ac:dyDescent="0.3">
      <c r="A70" s="7294">
        <v>29101537</v>
      </c>
      <c r="B70" s="10759"/>
      <c r="C70" s="7637" t="s">
        <v>2748</v>
      </c>
      <c r="D70" s="4432" t="s">
        <v>5369</v>
      </c>
      <c r="E70" s="4229" t="s">
        <v>5370</v>
      </c>
      <c r="F70" s="4433" t="s">
        <v>5371</v>
      </c>
      <c r="G70" s="3971" t="s">
        <v>5372</v>
      </c>
      <c r="H70" s="4434" t="s">
        <v>5373</v>
      </c>
      <c r="I70" s="4435" t="s">
        <v>5374</v>
      </c>
      <c r="J70" s="4435" t="s">
        <v>5375</v>
      </c>
      <c r="K70" s="4436" t="s">
        <v>5376</v>
      </c>
      <c r="L70" s="4258"/>
      <c r="M70" s="4258"/>
      <c r="N70" s="4258"/>
      <c r="O70" s="4258"/>
      <c r="P70" s="4258"/>
      <c r="Q70" s="4258"/>
      <c r="R70" s="4258"/>
      <c r="S70" s="4258"/>
      <c r="T70" s="4258"/>
      <c r="U70" s="4258"/>
      <c r="V70" s="4258"/>
      <c r="W70" s="4258"/>
      <c r="X70" s="4258"/>
      <c r="Y70" s="4258"/>
      <c r="Z70" s="4258"/>
      <c r="AA70" s="4258"/>
      <c r="AB70" s="4258"/>
      <c r="AC70" s="4258"/>
      <c r="AD70" s="4258"/>
      <c r="AE70" s="4258"/>
      <c r="AF70" s="4258"/>
      <c r="AG70" s="4258"/>
      <c r="AH70" s="4258"/>
      <c r="AI70" s="4258"/>
      <c r="AJ70" s="4258"/>
      <c r="AK70" s="4258"/>
      <c r="AL70" s="4258"/>
      <c r="AM70" s="4258"/>
      <c r="AN70" s="4258"/>
      <c r="AO70" s="4258"/>
      <c r="AP70" s="4258"/>
      <c r="AQ70" s="4258"/>
      <c r="AR70" s="4258"/>
      <c r="AS70" s="4258"/>
      <c r="AT70" s="4258"/>
      <c r="AU70" s="4258"/>
      <c r="AV70" s="4258"/>
      <c r="AW70" s="4258"/>
      <c r="AX70" s="4258"/>
      <c r="AY70" s="4258"/>
      <c r="AZ70" s="4258"/>
      <c r="BA70" s="4258"/>
      <c r="BB70" s="4258"/>
      <c r="BC70" s="4258"/>
      <c r="BD70" s="4258"/>
      <c r="BE70" s="4258"/>
      <c r="BF70" s="4258"/>
      <c r="BG70" s="4258"/>
      <c r="BH70" s="4258"/>
      <c r="BI70" s="4258"/>
      <c r="BJ70" s="4258"/>
      <c r="BK70" s="4258"/>
      <c r="BL70" s="4258"/>
      <c r="BM70" s="4258"/>
      <c r="BN70" s="4258"/>
      <c r="BO70" s="4258"/>
      <c r="BP70" s="4258"/>
      <c r="BQ70" s="4258"/>
      <c r="BR70" s="4258"/>
      <c r="BS70" s="4258"/>
      <c r="BT70" s="4258"/>
      <c r="BU70" s="4258"/>
      <c r="BV70" s="4258"/>
      <c r="BW70" s="4258"/>
      <c r="BX70" s="4258"/>
      <c r="BY70" s="4258"/>
      <c r="BZ70" s="4258"/>
      <c r="CA70" s="4258"/>
      <c r="CB70" s="4292" t="str">
        <f t="shared" si="21"/>
        <v xml:space="preserve">* Pueblos Originarios debe ser MENOR O IGUAL al Total. </v>
      </c>
      <c r="CC70" s="4292" t="str">
        <f t="shared" si="22"/>
        <v xml:space="preserve">* Migrantes debe ser MENOR O IGUAL al Total. </v>
      </c>
      <c r="CD70" s="4292" t="str">
        <f t="shared" si="23"/>
        <v xml:space="preserve">* Multimorbilidad Crónica debe ser MENOR O IGUAL al Total. </v>
      </c>
      <c r="CE70" s="4292" t="str">
        <f t="shared" si="24"/>
        <v xml:space="preserve">* Población ELEAM o Institucionalizada debe ser MENOR O IGUAL al Total. </v>
      </c>
      <c r="CF70" s="4262"/>
      <c r="CG70" s="4262"/>
      <c r="CH70" s="4262"/>
      <c r="CI70" s="4262"/>
      <c r="CJ70" s="4262"/>
      <c r="CK70" s="4262"/>
      <c r="CL70" s="4262"/>
      <c r="CM70" s="4262"/>
      <c r="CN70" s="4262"/>
      <c r="CO70" s="4262"/>
      <c r="CP70" s="4262"/>
      <c r="CQ70" s="4262"/>
      <c r="CR70" s="4262"/>
      <c r="CS70" s="4262"/>
      <c r="CT70" s="4262"/>
      <c r="CU70" s="4262"/>
      <c r="CV70" s="4262"/>
      <c r="CW70" s="4262"/>
      <c r="CX70" s="4262"/>
      <c r="CY70" s="4262"/>
      <c r="CZ70" s="4262"/>
      <c r="DA70" s="4262"/>
      <c r="DB70" s="4293">
        <f t="shared" si="25"/>
        <v>1</v>
      </c>
      <c r="DC70" s="4293">
        <f t="shared" si="26"/>
        <v>1</v>
      </c>
      <c r="DD70" s="4293">
        <f t="shared" si="27"/>
        <v>1</v>
      </c>
      <c r="DE70" s="4293">
        <f t="shared" si="28"/>
        <v>1</v>
      </c>
      <c r="DF70" s="4263"/>
      <c r="DG70" s="4263"/>
      <c r="DH70" s="4263"/>
      <c r="DI70" s="4263"/>
      <c r="DJ70" s="4263"/>
      <c r="DK70" s="4263"/>
      <c r="DL70" s="4263"/>
      <c r="DM70" s="4263"/>
      <c r="DN70" s="4263"/>
      <c r="DO70" s="4263"/>
      <c r="DP70" s="4263"/>
      <c r="DQ70" s="4263"/>
      <c r="DR70" s="4258"/>
      <c r="DS70" s="4258"/>
      <c r="DT70" s="4258"/>
      <c r="DU70" s="4258"/>
      <c r="DV70" s="4258"/>
      <c r="DW70" s="4258"/>
      <c r="DX70" s="4258"/>
      <c r="DY70" s="4258"/>
      <c r="DZ70" s="4258"/>
    </row>
    <row r="71" spans="1:234" customFormat="1" ht="24.9" customHeight="1" x14ac:dyDescent="0.3">
      <c r="A71" s="7294">
        <v>29101538</v>
      </c>
      <c r="B71" s="10759"/>
      <c r="C71" s="7637" t="s">
        <v>3711</v>
      </c>
      <c r="D71" s="4439" t="s">
        <v>5369</v>
      </c>
      <c r="E71" s="4229" t="s">
        <v>5370</v>
      </c>
      <c r="F71" s="6968" t="s">
        <v>5371</v>
      </c>
      <c r="G71" s="6233" t="s">
        <v>5372</v>
      </c>
      <c r="H71" s="4434" t="s">
        <v>5373</v>
      </c>
      <c r="I71" s="4435" t="s">
        <v>5374</v>
      </c>
      <c r="J71" s="4435" t="s">
        <v>5375</v>
      </c>
      <c r="K71" s="4436" t="s">
        <v>5376</v>
      </c>
      <c r="L71" s="4258"/>
      <c r="M71" s="4258"/>
      <c r="N71" s="4258"/>
      <c r="O71" s="4258"/>
      <c r="P71" s="4258"/>
      <c r="Q71" s="4258"/>
      <c r="R71" s="4258"/>
      <c r="S71" s="4258"/>
      <c r="T71" s="4258"/>
      <c r="U71" s="4258"/>
      <c r="V71" s="4258"/>
      <c r="W71" s="4258"/>
      <c r="X71" s="4258"/>
      <c r="Y71" s="4258"/>
      <c r="Z71" s="4258"/>
      <c r="AA71" s="4258"/>
      <c r="AB71" s="4258"/>
      <c r="AC71" s="4258"/>
      <c r="AD71" s="4258"/>
      <c r="AE71" s="4258"/>
      <c r="AF71" s="4258"/>
      <c r="AG71" s="4258"/>
      <c r="AH71" s="4258"/>
      <c r="AI71" s="4258"/>
      <c r="AJ71" s="4258"/>
      <c r="AK71" s="4258"/>
      <c r="AL71" s="4258"/>
      <c r="AM71" s="4258"/>
      <c r="AN71" s="4258"/>
      <c r="AO71" s="4258"/>
      <c r="AP71" s="4258"/>
      <c r="AQ71" s="4258"/>
      <c r="AR71" s="4258"/>
      <c r="AS71" s="4258"/>
      <c r="AT71" s="4258"/>
      <c r="AU71" s="4258"/>
      <c r="AV71" s="4258"/>
      <c r="AW71" s="4258"/>
      <c r="AX71" s="4258"/>
      <c r="AY71" s="4258"/>
      <c r="AZ71" s="4258"/>
      <c r="BA71" s="4258"/>
      <c r="BB71" s="4258"/>
      <c r="BC71" s="4258"/>
      <c r="BD71" s="4258"/>
      <c r="BE71" s="4258"/>
      <c r="BF71" s="4258"/>
      <c r="BG71" s="4258"/>
      <c r="BH71" s="4258"/>
      <c r="BI71" s="4258"/>
      <c r="BJ71" s="4258"/>
      <c r="BK71" s="4258"/>
      <c r="BL71" s="4258"/>
      <c r="BM71" s="4258"/>
      <c r="BN71" s="4258"/>
      <c r="BO71" s="4258"/>
      <c r="BP71" s="4258"/>
      <c r="BQ71" s="4258"/>
      <c r="BR71" s="4258"/>
      <c r="BS71" s="4258"/>
      <c r="BT71" s="4258"/>
      <c r="BU71" s="4258"/>
      <c r="BV71" s="4258"/>
      <c r="BW71" s="4258"/>
      <c r="BX71" s="4258"/>
      <c r="BY71" s="4258"/>
      <c r="BZ71" s="4258"/>
      <c r="CA71" s="4258"/>
      <c r="CB71" s="4292" t="str">
        <f t="shared" si="21"/>
        <v xml:space="preserve">* Pueblos Originarios debe ser MENOR O IGUAL al Total. </v>
      </c>
      <c r="CC71" s="4292" t="str">
        <f t="shared" si="22"/>
        <v xml:space="preserve">* Migrantes debe ser MENOR O IGUAL al Total. </v>
      </c>
      <c r="CD71" s="4292" t="str">
        <f t="shared" si="23"/>
        <v xml:space="preserve">* Multimorbilidad Crónica debe ser MENOR O IGUAL al Total. </v>
      </c>
      <c r="CE71" s="4292" t="str">
        <f t="shared" si="24"/>
        <v xml:space="preserve">* Población ELEAM o Institucionalizada debe ser MENOR O IGUAL al Total. </v>
      </c>
      <c r="CF71" s="4262"/>
      <c r="CG71" s="4262"/>
      <c r="CH71" s="4262"/>
      <c r="CI71" s="4262"/>
      <c r="CJ71" s="4262"/>
      <c r="CK71" s="4262"/>
      <c r="CL71" s="4262"/>
      <c r="CM71" s="4262"/>
      <c r="CN71" s="4262"/>
      <c r="CO71" s="4262"/>
      <c r="CP71" s="4262"/>
      <c r="CQ71" s="4262"/>
      <c r="CR71" s="4262"/>
      <c r="CS71" s="4262"/>
      <c r="CT71" s="4262"/>
      <c r="CU71" s="4262"/>
      <c r="CV71" s="4262"/>
      <c r="CW71" s="4262"/>
      <c r="CX71" s="4262"/>
      <c r="CY71" s="4262"/>
      <c r="CZ71" s="4262"/>
      <c r="DA71" s="4262"/>
      <c r="DB71" s="4293">
        <f t="shared" si="25"/>
        <v>1</v>
      </c>
      <c r="DC71" s="4293">
        <f t="shared" si="26"/>
        <v>1</v>
      </c>
      <c r="DD71" s="4293">
        <f t="shared" si="27"/>
        <v>1</v>
      </c>
      <c r="DE71" s="4293">
        <f t="shared" si="28"/>
        <v>1</v>
      </c>
      <c r="DF71" s="4263"/>
      <c r="DG71" s="4263"/>
      <c r="DH71" s="4263"/>
      <c r="DI71" s="4263"/>
      <c r="DJ71" s="4263"/>
      <c r="DK71" s="4263"/>
      <c r="DL71" s="4263"/>
      <c r="DM71" s="4263"/>
      <c r="DN71" s="4263"/>
      <c r="DO71" s="4263"/>
      <c r="DP71" s="4263"/>
      <c r="DQ71" s="4263"/>
      <c r="DR71" s="4258"/>
      <c r="DS71" s="4258"/>
      <c r="DT71" s="4258"/>
      <c r="DU71" s="4258"/>
      <c r="DV71" s="4258"/>
      <c r="DW71" s="4258"/>
      <c r="DX71" s="4258"/>
      <c r="DY71" s="4258"/>
      <c r="DZ71" s="4258"/>
    </row>
    <row r="72" spans="1:234" customFormat="1" ht="33" customHeight="1" x14ac:dyDescent="0.3">
      <c r="A72" s="7294">
        <v>29101539</v>
      </c>
      <c r="B72" s="10759"/>
      <c r="C72" s="7637" t="s">
        <v>2749</v>
      </c>
      <c r="D72" s="4439" t="s">
        <v>5369</v>
      </c>
      <c r="E72" s="4229" t="s">
        <v>5370</v>
      </c>
      <c r="F72" s="6968" t="s">
        <v>5371</v>
      </c>
      <c r="G72" s="6233" t="s">
        <v>5372</v>
      </c>
      <c r="H72" s="4434" t="s">
        <v>5373</v>
      </c>
      <c r="I72" s="4435" t="s">
        <v>5374</v>
      </c>
      <c r="J72" s="4435" t="s">
        <v>5375</v>
      </c>
      <c r="K72" s="4436" t="s">
        <v>5376</v>
      </c>
      <c r="L72" s="4258"/>
      <c r="M72" s="4258"/>
      <c r="N72" s="4258"/>
      <c r="O72" s="4258"/>
      <c r="P72" s="4258"/>
      <c r="Q72" s="4258"/>
      <c r="R72" s="4258"/>
      <c r="S72" s="4258"/>
      <c r="T72" s="4258"/>
      <c r="U72" s="4258"/>
      <c r="V72" s="4258"/>
      <c r="W72" s="4258"/>
      <c r="X72" s="4258"/>
      <c r="Y72" s="4258"/>
      <c r="Z72" s="4258"/>
      <c r="AA72" s="4258"/>
      <c r="AB72" s="4258"/>
      <c r="AC72" s="4258"/>
      <c r="AD72" s="4258"/>
      <c r="AE72" s="4258"/>
      <c r="AF72" s="4258"/>
      <c r="AG72" s="4258"/>
      <c r="AH72" s="4258"/>
      <c r="AI72" s="4258"/>
      <c r="AJ72" s="4258"/>
      <c r="AK72" s="4258"/>
      <c r="AL72" s="4258"/>
      <c r="AM72" s="4258"/>
      <c r="AN72" s="4258"/>
      <c r="AO72" s="4258"/>
      <c r="AP72" s="4258"/>
      <c r="AQ72" s="4258"/>
      <c r="AR72" s="4258"/>
      <c r="AS72" s="4258"/>
      <c r="AT72" s="4258"/>
      <c r="AU72" s="4258"/>
      <c r="AV72" s="4258"/>
      <c r="AW72" s="4258"/>
      <c r="AX72" s="4258"/>
      <c r="AY72" s="4258"/>
      <c r="AZ72" s="4258"/>
      <c r="BA72" s="4258"/>
      <c r="BB72" s="4258"/>
      <c r="BC72" s="4258"/>
      <c r="BD72" s="4258"/>
      <c r="BE72" s="4258"/>
      <c r="BF72" s="4258"/>
      <c r="BG72" s="4258"/>
      <c r="BH72" s="4258"/>
      <c r="BI72" s="4258"/>
      <c r="BJ72" s="4258"/>
      <c r="BK72" s="4258"/>
      <c r="BL72" s="4258"/>
      <c r="BM72" s="4258"/>
      <c r="BN72" s="4258"/>
      <c r="BO72" s="4258"/>
      <c r="BP72" s="4258"/>
      <c r="BQ72" s="4258"/>
      <c r="BR72" s="4258"/>
      <c r="BS72" s="4258"/>
      <c r="BT72" s="4258"/>
      <c r="BU72" s="4258"/>
      <c r="BV72" s="4258"/>
      <c r="BW72" s="4258"/>
      <c r="BX72" s="4258"/>
      <c r="BY72" s="4258"/>
      <c r="BZ72" s="4258"/>
      <c r="CA72" s="4258"/>
      <c r="CB72" s="4292" t="str">
        <f t="shared" si="21"/>
        <v xml:space="preserve">* Pueblos Originarios debe ser MENOR O IGUAL al Total. </v>
      </c>
      <c r="CC72" s="4292" t="str">
        <f t="shared" si="22"/>
        <v xml:space="preserve">* Migrantes debe ser MENOR O IGUAL al Total. </v>
      </c>
      <c r="CD72" s="4292" t="str">
        <f t="shared" si="23"/>
        <v xml:space="preserve">* Multimorbilidad Crónica debe ser MENOR O IGUAL al Total. </v>
      </c>
      <c r="CE72" s="4292" t="str">
        <f t="shared" si="24"/>
        <v xml:space="preserve">* Población ELEAM o Institucionalizada debe ser MENOR O IGUAL al Total. </v>
      </c>
      <c r="CF72" s="4262"/>
      <c r="CG72" s="4262"/>
      <c r="CH72" s="4262"/>
      <c r="CI72" s="4262"/>
      <c r="CJ72" s="4262"/>
      <c r="CK72" s="4262"/>
      <c r="CL72" s="4262"/>
      <c r="CM72" s="4262"/>
      <c r="CN72" s="4262"/>
      <c r="CO72" s="4262"/>
      <c r="CP72" s="4262"/>
      <c r="CQ72" s="4262"/>
      <c r="CR72" s="4262"/>
      <c r="CS72" s="4262"/>
      <c r="CT72" s="4262"/>
      <c r="CU72" s="4262"/>
      <c r="CV72" s="4262"/>
      <c r="CW72" s="4262"/>
      <c r="CX72" s="4262"/>
      <c r="CY72" s="4262"/>
      <c r="CZ72" s="4262"/>
      <c r="DA72" s="4262"/>
      <c r="DB72" s="4293">
        <f t="shared" si="25"/>
        <v>1</v>
      </c>
      <c r="DC72" s="4293">
        <f t="shared" si="26"/>
        <v>1</v>
      </c>
      <c r="DD72" s="4293">
        <f t="shared" si="27"/>
        <v>1</v>
      </c>
      <c r="DE72" s="4293">
        <f t="shared" si="28"/>
        <v>1</v>
      </c>
      <c r="DF72" s="4263"/>
      <c r="DG72" s="4263"/>
      <c r="DH72" s="4263"/>
      <c r="DI72" s="4263"/>
      <c r="DJ72" s="4263"/>
      <c r="DK72" s="4263"/>
      <c r="DL72" s="4263"/>
      <c r="DM72" s="4263"/>
      <c r="DN72" s="4263"/>
      <c r="DO72" s="4263"/>
      <c r="DP72" s="4263"/>
      <c r="DQ72" s="4263"/>
      <c r="DR72" s="4258"/>
      <c r="DS72" s="4258"/>
      <c r="DT72" s="4258"/>
      <c r="DU72" s="4258"/>
      <c r="DV72" s="4258"/>
      <c r="DW72" s="4258"/>
      <c r="DX72" s="4258"/>
      <c r="DY72" s="4258"/>
      <c r="DZ72" s="4258"/>
    </row>
    <row r="73" spans="1:234" customFormat="1" ht="24.9" customHeight="1" x14ac:dyDescent="0.3">
      <c r="A73" s="7294">
        <v>29101540</v>
      </c>
      <c r="B73" s="10759"/>
      <c r="C73" s="7637" t="s">
        <v>2750</v>
      </c>
      <c r="D73" s="4439" t="s">
        <v>5369</v>
      </c>
      <c r="E73" s="6969" t="s">
        <v>5370</v>
      </c>
      <c r="F73" s="6968" t="s">
        <v>5371</v>
      </c>
      <c r="G73" s="3971" t="s">
        <v>5372</v>
      </c>
      <c r="H73" s="4434" t="s">
        <v>5373</v>
      </c>
      <c r="I73" s="4435" t="s">
        <v>5374</v>
      </c>
      <c r="J73" s="4435" t="s">
        <v>5375</v>
      </c>
      <c r="K73" s="4436" t="s">
        <v>5376</v>
      </c>
      <c r="L73" s="4258"/>
      <c r="M73" s="4258"/>
      <c r="N73" s="4258"/>
      <c r="O73" s="4258"/>
      <c r="P73" s="4258"/>
      <c r="Q73" s="4258"/>
      <c r="R73" s="4258"/>
      <c r="S73" s="4258"/>
      <c r="T73" s="4258"/>
      <c r="U73" s="4258"/>
      <c r="V73" s="4258"/>
      <c r="W73" s="4258"/>
      <c r="X73" s="4258"/>
      <c r="Y73" s="4258"/>
      <c r="Z73" s="4258"/>
      <c r="AA73" s="4258"/>
      <c r="AB73" s="4258"/>
      <c r="AC73" s="4258"/>
      <c r="AD73" s="4258"/>
      <c r="AE73" s="4258"/>
      <c r="AF73" s="4258"/>
      <c r="AG73" s="4258"/>
      <c r="AH73" s="4258"/>
      <c r="AI73" s="4258"/>
      <c r="AJ73" s="4258"/>
      <c r="AK73" s="4258"/>
      <c r="AL73" s="4258"/>
      <c r="AM73" s="4258"/>
      <c r="AN73" s="4258"/>
      <c r="AO73" s="4258"/>
      <c r="AP73" s="4258"/>
      <c r="AQ73" s="4258"/>
      <c r="AR73" s="4258"/>
      <c r="AS73" s="4258"/>
      <c r="AT73" s="4258"/>
      <c r="AU73" s="4258"/>
      <c r="AV73" s="4258"/>
      <c r="AW73" s="4258"/>
      <c r="AX73" s="4258"/>
      <c r="AY73" s="4258"/>
      <c r="AZ73" s="4258"/>
      <c r="BA73" s="4258"/>
      <c r="BB73" s="4258"/>
      <c r="BC73" s="4258"/>
      <c r="BD73" s="4258"/>
      <c r="BE73" s="4258"/>
      <c r="BF73" s="4258"/>
      <c r="BG73" s="4258"/>
      <c r="BH73" s="4258"/>
      <c r="BI73" s="4258"/>
      <c r="BJ73" s="4258"/>
      <c r="BK73" s="4258"/>
      <c r="BL73" s="4258"/>
      <c r="BM73" s="4258"/>
      <c r="BN73" s="4258"/>
      <c r="BO73" s="4258"/>
      <c r="BP73" s="4258"/>
      <c r="BQ73" s="4258"/>
      <c r="BR73" s="4258"/>
      <c r="BS73" s="4258"/>
      <c r="BT73" s="4258"/>
      <c r="BU73" s="4258"/>
      <c r="BV73" s="4258"/>
      <c r="BW73" s="4258"/>
      <c r="BX73" s="4258"/>
      <c r="BY73" s="4258"/>
      <c r="BZ73" s="4258"/>
      <c r="CA73" s="4258"/>
      <c r="CB73" s="4292" t="str">
        <f t="shared" si="21"/>
        <v xml:space="preserve">* Pueblos Originarios debe ser MENOR O IGUAL al Total. </v>
      </c>
      <c r="CC73" s="4292" t="str">
        <f t="shared" si="22"/>
        <v xml:space="preserve">* Migrantes debe ser MENOR O IGUAL al Total. </v>
      </c>
      <c r="CD73" s="4292" t="str">
        <f t="shared" si="23"/>
        <v xml:space="preserve">* Multimorbilidad Crónica debe ser MENOR O IGUAL al Total. </v>
      </c>
      <c r="CE73" s="4292" t="str">
        <f t="shared" si="24"/>
        <v xml:space="preserve">* Población ELEAM o Institucionalizada debe ser MENOR O IGUAL al Total. </v>
      </c>
      <c r="CF73" s="4262"/>
      <c r="CG73" s="4262"/>
      <c r="CH73" s="4262"/>
      <c r="CI73" s="4262"/>
      <c r="CJ73" s="4262"/>
      <c r="CK73" s="4262"/>
      <c r="CL73" s="4262"/>
      <c r="CM73" s="4262"/>
      <c r="CN73" s="4262"/>
      <c r="CO73" s="4262"/>
      <c r="CP73" s="4262"/>
      <c r="CQ73" s="4262"/>
      <c r="CR73" s="4262"/>
      <c r="CS73" s="4262"/>
      <c r="CT73" s="4262"/>
      <c r="CU73" s="4262"/>
      <c r="CV73" s="4262"/>
      <c r="CW73" s="4262"/>
      <c r="CX73" s="4262"/>
      <c r="CY73" s="4262"/>
      <c r="CZ73" s="4262"/>
      <c r="DA73" s="4262"/>
      <c r="DB73" s="4293">
        <f t="shared" si="25"/>
        <v>1</v>
      </c>
      <c r="DC73" s="4293">
        <f t="shared" si="26"/>
        <v>1</v>
      </c>
      <c r="DD73" s="4293">
        <f t="shared" si="27"/>
        <v>1</v>
      </c>
      <c r="DE73" s="4293">
        <f t="shared" si="28"/>
        <v>1</v>
      </c>
      <c r="DF73" s="4263"/>
      <c r="DG73" s="4263"/>
      <c r="DH73" s="4263"/>
      <c r="DI73" s="4263"/>
      <c r="DJ73" s="4263"/>
      <c r="DK73" s="4263"/>
      <c r="DL73" s="4263"/>
      <c r="DM73" s="4263"/>
      <c r="DN73" s="4263"/>
      <c r="DO73" s="4263"/>
      <c r="DP73" s="4263"/>
      <c r="DQ73" s="4263"/>
      <c r="DR73" s="4258"/>
      <c r="DS73" s="4258"/>
      <c r="DT73" s="4258"/>
      <c r="DU73" s="4258"/>
      <c r="DV73" s="4258"/>
      <c r="DW73" s="4258"/>
      <c r="DX73" s="4258"/>
      <c r="DY73" s="4258"/>
      <c r="DZ73" s="4258"/>
    </row>
    <row r="74" spans="1:234" customFormat="1" ht="24.9" customHeight="1" x14ac:dyDescent="0.3">
      <c r="A74" s="7294">
        <v>29101541</v>
      </c>
      <c r="B74" s="10759"/>
      <c r="C74" s="7637" t="s">
        <v>2751</v>
      </c>
      <c r="D74" s="4432" t="s">
        <v>5369</v>
      </c>
      <c r="E74" s="4229" t="s">
        <v>5370</v>
      </c>
      <c r="F74" s="4433" t="s">
        <v>5371</v>
      </c>
      <c r="G74" s="3971" t="s">
        <v>5372</v>
      </c>
      <c r="H74" s="4434" t="s">
        <v>5373</v>
      </c>
      <c r="I74" s="4435" t="s">
        <v>5374</v>
      </c>
      <c r="J74" s="4435" t="s">
        <v>5375</v>
      </c>
      <c r="K74" s="4436" t="s">
        <v>5376</v>
      </c>
      <c r="L74" s="4258"/>
      <c r="M74" s="4258"/>
      <c r="N74" s="4258"/>
      <c r="O74" s="4258"/>
      <c r="P74" s="4258"/>
      <c r="Q74" s="4258"/>
      <c r="R74" s="4258"/>
      <c r="S74" s="4258"/>
      <c r="T74" s="4258"/>
      <c r="U74" s="4258"/>
      <c r="V74" s="4258"/>
      <c r="W74" s="4258"/>
      <c r="X74" s="4258"/>
      <c r="Y74" s="4258"/>
      <c r="Z74" s="4258"/>
      <c r="AA74" s="4258"/>
      <c r="AB74" s="4258"/>
      <c r="AC74" s="4258"/>
      <c r="AD74" s="4258"/>
      <c r="AE74" s="4258"/>
      <c r="AF74" s="4258"/>
      <c r="AG74" s="4258"/>
      <c r="AH74" s="4258"/>
      <c r="AI74" s="4258"/>
      <c r="AJ74" s="4258"/>
      <c r="AK74" s="4258"/>
      <c r="AL74" s="4258"/>
      <c r="AM74" s="4258"/>
      <c r="AN74" s="4258"/>
      <c r="AO74" s="4258"/>
      <c r="AP74" s="4258"/>
      <c r="AQ74" s="4258"/>
      <c r="AR74" s="4258"/>
      <c r="AS74" s="4258"/>
      <c r="AT74" s="4258"/>
      <c r="AU74" s="4258"/>
      <c r="AV74" s="4258"/>
      <c r="AW74" s="4258"/>
      <c r="AX74" s="4258"/>
      <c r="AY74" s="4258"/>
      <c r="AZ74" s="4258"/>
      <c r="BA74" s="4258"/>
      <c r="BB74" s="4258"/>
      <c r="BC74" s="4258"/>
      <c r="BD74" s="4258"/>
      <c r="BE74" s="4258"/>
      <c r="BF74" s="4258"/>
      <c r="BG74" s="4258"/>
      <c r="BH74" s="4258"/>
      <c r="BI74" s="4258"/>
      <c r="BJ74" s="4258"/>
      <c r="BK74" s="4258"/>
      <c r="BL74" s="4258"/>
      <c r="BM74" s="4258"/>
      <c r="BN74" s="4258"/>
      <c r="BO74" s="4258"/>
      <c r="BP74" s="4258"/>
      <c r="BQ74" s="4258"/>
      <c r="BR74" s="4258"/>
      <c r="BS74" s="4258"/>
      <c r="BT74" s="4258"/>
      <c r="BU74" s="4258"/>
      <c r="BV74" s="4258"/>
      <c r="BW74" s="4258"/>
      <c r="BX74" s="4258"/>
      <c r="BY74" s="4258"/>
      <c r="BZ74" s="4258"/>
      <c r="CA74" s="4258"/>
      <c r="CB74" s="4292" t="str">
        <f t="shared" si="21"/>
        <v xml:space="preserve">* Pueblos Originarios debe ser MENOR O IGUAL al Total. </v>
      </c>
      <c r="CC74" s="4292" t="str">
        <f t="shared" si="22"/>
        <v xml:space="preserve">* Migrantes debe ser MENOR O IGUAL al Total. </v>
      </c>
      <c r="CD74" s="4292" t="str">
        <f t="shared" si="23"/>
        <v xml:space="preserve">* Multimorbilidad Crónica debe ser MENOR O IGUAL al Total. </v>
      </c>
      <c r="CE74" s="4292" t="str">
        <f t="shared" si="24"/>
        <v xml:space="preserve">* Población ELEAM o Institucionalizada debe ser MENOR O IGUAL al Total. </v>
      </c>
      <c r="CF74" s="4262"/>
      <c r="CG74" s="4262"/>
      <c r="CH74" s="4262"/>
      <c r="CI74" s="4262"/>
      <c r="CJ74" s="4262"/>
      <c r="CK74" s="4262"/>
      <c r="CL74" s="4262"/>
      <c r="CM74" s="4262"/>
      <c r="CN74" s="4262"/>
      <c r="CO74" s="4262"/>
      <c r="CP74" s="4262"/>
      <c r="CQ74" s="4262"/>
      <c r="CR74" s="4262"/>
      <c r="CS74" s="4262"/>
      <c r="CT74" s="4262"/>
      <c r="CU74" s="4262"/>
      <c r="CV74" s="4262"/>
      <c r="CW74" s="4262"/>
      <c r="CX74" s="4262"/>
      <c r="CY74" s="4262"/>
      <c r="CZ74" s="4262"/>
      <c r="DA74" s="4262"/>
      <c r="DB74" s="4293">
        <f t="shared" si="25"/>
        <v>1</v>
      </c>
      <c r="DC74" s="4293">
        <f t="shared" si="26"/>
        <v>1</v>
      </c>
      <c r="DD74" s="4293">
        <f t="shared" si="27"/>
        <v>1</v>
      </c>
      <c r="DE74" s="4293">
        <f t="shared" si="28"/>
        <v>1</v>
      </c>
      <c r="DF74" s="4263"/>
      <c r="DG74" s="4263"/>
      <c r="DH74" s="4263"/>
      <c r="DI74" s="4263"/>
      <c r="DJ74" s="4263"/>
      <c r="DK74" s="4263"/>
      <c r="DL74" s="4263"/>
      <c r="DM74" s="4263"/>
      <c r="DN74" s="4263"/>
      <c r="DO74" s="4263"/>
      <c r="DP74" s="4263"/>
      <c r="DQ74" s="4263"/>
      <c r="DR74" s="4258"/>
      <c r="DS74" s="4258"/>
      <c r="DT74" s="4258"/>
      <c r="DU74" s="4258"/>
      <c r="DV74" s="4258"/>
      <c r="DW74" s="4258"/>
      <c r="DX74" s="4258"/>
      <c r="DY74" s="4258"/>
      <c r="DZ74" s="4258"/>
    </row>
    <row r="75" spans="1:234" customFormat="1" ht="24.75" customHeight="1" x14ac:dyDescent="0.3">
      <c r="A75" s="7631">
        <v>26291350</v>
      </c>
      <c r="B75" s="10759"/>
      <c r="C75" s="4437" t="s">
        <v>2752</v>
      </c>
      <c r="D75" s="4432" t="s">
        <v>5369</v>
      </c>
      <c r="E75" s="4229" t="s">
        <v>5370</v>
      </c>
      <c r="F75" s="4433" t="s">
        <v>5371</v>
      </c>
      <c r="G75" s="3971" t="s">
        <v>5372</v>
      </c>
      <c r="H75" s="4434" t="s">
        <v>5373</v>
      </c>
      <c r="I75" s="4435" t="s">
        <v>5374</v>
      </c>
      <c r="J75" s="4435" t="s">
        <v>5375</v>
      </c>
      <c r="K75" s="4436" t="s">
        <v>5376</v>
      </c>
      <c r="L75" s="4258"/>
      <c r="M75" s="4258"/>
      <c r="N75" s="4258"/>
      <c r="O75" s="4258"/>
      <c r="P75" s="4258"/>
      <c r="Q75" s="4258"/>
      <c r="R75" s="4258"/>
      <c r="S75" s="4258"/>
      <c r="T75" s="4258"/>
      <c r="U75" s="4258"/>
      <c r="V75" s="4258"/>
      <c r="W75" s="4258"/>
      <c r="X75" s="4258"/>
      <c r="Y75" s="4258"/>
      <c r="Z75" s="4258"/>
      <c r="AA75" s="4258"/>
      <c r="AB75" s="4258"/>
      <c r="AC75" s="4258"/>
      <c r="AD75" s="4258"/>
      <c r="AE75" s="4258"/>
      <c r="AF75" s="4258"/>
      <c r="AG75" s="4258"/>
      <c r="AH75" s="4258"/>
      <c r="AI75" s="4258"/>
      <c r="AJ75" s="4258"/>
      <c r="AK75" s="4258"/>
      <c r="AL75" s="4258"/>
      <c r="AM75" s="4258"/>
      <c r="AN75" s="4258"/>
      <c r="AO75" s="4258"/>
      <c r="AP75" s="4258"/>
      <c r="AQ75" s="4258"/>
      <c r="AR75" s="4258"/>
      <c r="AS75" s="4258"/>
      <c r="AT75" s="4258"/>
      <c r="AU75" s="4258"/>
      <c r="AV75" s="4258"/>
      <c r="AW75" s="4258"/>
      <c r="AX75" s="4258"/>
      <c r="AY75" s="4258"/>
      <c r="AZ75" s="4258"/>
      <c r="BA75" s="4258"/>
      <c r="BB75" s="4258"/>
      <c r="BC75" s="4258"/>
      <c r="BD75" s="4258"/>
      <c r="BE75" s="4258"/>
      <c r="BF75" s="4258"/>
      <c r="BG75" s="4258"/>
      <c r="BH75" s="4258"/>
      <c r="BI75" s="4258"/>
      <c r="BJ75" s="4258"/>
      <c r="BK75" s="4258"/>
      <c r="BL75" s="4258"/>
      <c r="BM75" s="4258"/>
      <c r="BN75" s="4258"/>
      <c r="BO75" s="4258"/>
      <c r="BP75" s="4258"/>
      <c r="BQ75" s="4258"/>
      <c r="BR75" s="4258"/>
      <c r="BS75" s="4258"/>
      <c r="BT75" s="4258"/>
      <c r="BU75" s="4258"/>
      <c r="BV75" s="4258"/>
      <c r="BW75" s="4258"/>
      <c r="BX75" s="4258"/>
      <c r="BY75" s="4258"/>
      <c r="BZ75" s="4258"/>
      <c r="CA75" s="4258"/>
      <c r="CB75" s="4292" t="str">
        <f t="shared" si="21"/>
        <v xml:space="preserve">* Pueblos Originarios debe ser MENOR O IGUAL al Total. </v>
      </c>
      <c r="CC75" s="4292" t="str">
        <f t="shared" si="22"/>
        <v xml:space="preserve">* Migrantes debe ser MENOR O IGUAL al Total. </v>
      </c>
      <c r="CD75" s="4292" t="str">
        <f t="shared" si="23"/>
        <v xml:space="preserve">* Multimorbilidad Crónica debe ser MENOR O IGUAL al Total. </v>
      </c>
      <c r="CE75" s="4292" t="str">
        <f t="shared" si="24"/>
        <v xml:space="preserve">* Población ELEAM o Institucionalizada debe ser MENOR O IGUAL al Total. </v>
      </c>
      <c r="CF75" s="4262"/>
      <c r="CG75" s="4262"/>
      <c r="CH75" s="4262"/>
      <c r="CI75" s="4262"/>
      <c r="CJ75" s="4262"/>
      <c r="CK75" s="4262"/>
      <c r="CL75" s="4262"/>
      <c r="CM75" s="4262"/>
      <c r="CN75" s="4262"/>
      <c r="CO75" s="4262"/>
      <c r="CP75" s="4262"/>
      <c r="CQ75" s="4262"/>
      <c r="CR75" s="4262"/>
      <c r="CS75" s="4262"/>
      <c r="CT75" s="4262"/>
      <c r="CU75" s="4262"/>
      <c r="CV75" s="4262"/>
      <c r="CW75" s="4262"/>
      <c r="CX75" s="4262"/>
      <c r="CY75" s="4262"/>
      <c r="CZ75" s="4262"/>
      <c r="DA75" s="4262"/>
      <c r="DB75" s="4293">
        <f t="shared" si="25"/>
        <v>1</v>
      </c>
      <c r="DC75" s="4293">
        <f t="shared" si="26"/>
        <v>1</v>
      </c>
      <c r="DD75" s="4293">
        <f t="shared" si="27"/>
        <v>1</v>
      </c>
      <c r="DE75" s="4293">
        <f t="shared" si="28"/>
        <v>1</v>
      </c>
      <c r="DF75" s="4263"/>
      <c r="DG75" s="4263"/>
      <c r="DH75" s="4263"/>
      <c r="DI75" s="4263"/>
      <c r="DJ75" s="4263"/>
      <c r="DK75" s="4263"/>
      <c r="DL75" s="4263"/>
      <c r="DM75" s="4263"/>
      <c r="DN75" s="4263"/>
      <c r="DO75" s="4263"/>
      <c r="DP75" s="4263"/>
      <c r="DQ75" s="4263"/>
      <c r="DR75" s="4258"/>
      <c r="DS75" s="4258"/>
      <c r="DT75" s="4258"/>
      <c r="DU75" s="4258"/>
      <c r="DV75" s="4258"/>
      <c r="DW75" s="4258"/>
      <c r="DX75" s="4258"/>
      <c r="DY75" s="4258"/>
      <c r="DZ75" s="4258"/>
    </row>
    <row r="76" spans="1:234" customFormat="1" ht="24" customHeight="1" x14ac:dyDescent="0.3">
      <c r="A76" s="7294">
        <v>29101542</v>
      </c>
      <c r="B76" s="10759"/>
      <c r="C76" s="7637" t="s">
        <v>2753</v>
      </c>
      <c r="D76" s="4432" t="s">
        <v>5369</v>
      </c>
      <c r="E76" s="4229" t="s">
        <v>5370</v>
      </c>
      <c r="F76" s="4433" t="s">
        <v>5371</v>
      </c>
      <c r="G76" s="3971" t="s">
        <v>5372</v>
      </c>
      <c r="H76" s="4434" t="s">
        <v>5373</v>
      </c>
      <c r="I76" s="4435" t="s">
        <v>5374</v>
      </c>
      <c r="J76" s="4435" t="s">
        <v>5375</v>
      </c>
      <c r="K76" s="4436" t="s">
        <v>5376</v>
      </c>
      <c r="L76" s="4258"/>
      <c r="M76" s="4258"/>
      <c r="N76" s="4258"/>
      <c r="O76" s="4258"/>
      <c r="P76" s="4258"/>
      <c r="Q76" s="4258"/>
      <c r="R76" s="4258"/>
      <c r="S76" s="4258"/>
      <c r="T76" s="4258"/>
      <c r="U76" s="4258"/>
      <c r="V76" s="4258"/>
      <c r="W76" s="4258"/>
      <c r="X76" s="4258"/>
      <c r="Y76" s="4258"/>
      <c r="Z76" s="4258"/>
      <c r="AA76" s="4258"/>
      <c r="AB76" s="4258"/>
      <c r="AC76" s="4258"/>
      <c r="AD76" s="4258"/>
      <c r="AE76" s="4258"/>
      <c r="AF76" s="4258"/>
      <c r="AG76" s="4258"/>
      <c r="AH76" s="4258"/>
      <c r="AI76" s="4258"/>
      <c r="AJ76" s="4258"/>
      <c r="AK76" s="4258"/>
      <c r="AL76" s="4258"/>
      <c r="AM76" s="4258"/>
      <c r="AN76" s="4258"/>
      <c r="AO76" s="4258"/>
      <c r="AP76" s="4258"/>
      <c r="AQ76" s="4258"/>
      <c r="AR76" s="4258"/>
      <c r="AS76" s="4258"/>
      <c r="AT76" s="4258"/>
      <c r="AU76" s="4258"/>
      <c r="AV76" s="4258"/>
      <c r="AW76" s="4258"/>
      <c r="AX76" s="4258"/>
      <c r="AY76" s="4258"/>
      <c r="AZ76" s="4258"/>
      <c r="BA76" s="4258"/>
      <c r="BB76" s="4258"/>
      <c r="BC76" s="4258"/>
      <c r="BD76" s="4258"/>
      <c r="BE76" s="4258"/>
      <c r="BF76" s="4258"/>
      <c r="BG76" s="4258"/>
      <c r="BH76" s="4258"/>
      <c r="BI76" s="4258"/>
      <c r="BJ76" s="4258"/>
      <c r="BK76" s="4258"/>
      <c r="BL76" s="4258"/>
      <c r="BM76" s="4258"/>
      <c r="BN76" s="4258"/>
      <c r="BO76" s="4258"/>
      <c r="BP76" s="4258"/>
      <c r="BQ76" s="4258"/>
      <c r="BR76" s="4258"/>
      <c r="BS76" s="4258"/>
      <c r="BT76" s="4258"/>
      <c r="BU76" s="4258"/>
      <c r="BV76" s="4258"/>
      <c r="BW76" s="4258"/>
      <c r="BX76" s="4258"/>
      <c r="BY76" s="4258"/>
      <c r="BZ76" s="4258"/>
      <c r="CA76" s="4258"/>
      <c r="CB76" s="4292" t="str">
        <f>IF(DB76=1,"* Pueblos Originarios debe ser MENOR O IGUAL al Total. ","")</f>
        <v xml:space="preserve">* Pueblos Originarios debe ser MENOR O IGUAL al Total. </v>
      </c>
      <c r="CC76" s="4292" t="str">
        <f>IF(DC76=1,"* Migrantes debe ser MENOR O IGUAL al Total. ","")</f>
        <v xml:space="preserve">* Migrantes debe ser MENOR O IGUAL al Total. </v>
      </c>
      <c r="CD76" s="4292" t="str">
        <f>IF(DD76=1,"* Multimorbilidad Crónica debe ser MENOR O IGUAL al Total. ","")</f>
        <v xml:space="preserve">* Multimorbilidad Crónica debe ser MENOR O IGUAL al Total. </v>
      </c>
      <c r="CE76" s="4292" t="str">
        <f>IF(DE76=1,"* Población ELEAM o Institucionalizada debe ser MENOR O IGUAL al Total. ","")</f>
        <v xml:space="preserve">* Población ELEAM o Institucionalizada debe ser MENOR O IGUAL al Total. </v>
      </c>
      <c r="CF76" s="4262"/>
      <c r="CG76" s="4262"/>
      <c r="CH76" s="4262"/>
      <c r="CI76" s="4262"/>
      <c r="CJ76" s="4262"/>
      <c r="CK76" s="4262"/>
      <c r="CL76" s="4262"/>
      <c r="CM76" s="4262"/>
      <c r="CN76" s="4262"/>
      <c r="CO76" s="4262"/>
      <c r="CP76" s="4262"/>
      <c r="CQ76" s="4262"/>
      <c r="CR76" s="4262"/>
      <c r="CS76" s="4262"/>
      <c r="CT76" s="4262"/>
      <c r="CU76" s="4262"/>
      <c r="CV76" s="4262"/>
      <c r="CW76" s="4262"/>
      <c r="CX76" s="4262"/>
      <c r="CY76" s="4262"/>
      <c r="CZ76" s="4262"/>
      <c r="DA76" s="4262"/>
      <c r="DB76" s="4293">
        <f t="shared" si="25"/>
        <v>1</v>
      </c>
      <c r="DC76" s="4293">
        <f t="shared" si="26"/>
        <v>1</v>
      </c>
      <c r="DD76" s="4293">
        <f t="shared" si="27"/>
        <v>1</v>
      </c>
      <c r="DE76" s="4293">
        <f t="shared" si="28"/>
        <v>1</v>
      </c>
      <c r="DF76" s="4263"/>
      <c r="DG76" s="4263"/>
      <c r="DH76" s="4263"/>
      <c r="DI76" s="4263"/>
      <c r="DJ76" s="4263"/>
      <c r="DK76" s="4263"/>
      <c r="DL76" s="4263"/>
      <c r="DM76" s="4263"/>
      <c r="DN76" s="4263"/>
      <c r="DO76" s="4263"/>
      <c r="DP76" s="4263"/>
      <c r="DQ76" s="4263"/>
      <c r="DR76" s="4258"/>
      <c r="DS76" s="4258"/>
      <c r="DT76" s="4258"/>
      <c r="DU76" s="4258"/>
      <c r="DV76" s="4258"/>
      <c r="DW76" s="4258"/>
      <c r="DX76" s="4258"/>
      <c r="DY76" s="4258"/>
      <c r="DZ76" s="4258"/>
    </row>
    <row r="77" spans="1:234" customFormat="1" ht="27" customHeight="1" x14ac:dyDescent="0.3">
      <c r="A77" s="7294">
        <v>29101543</v>
      </c>
      <c r="B77" s="10759"/>
      <c r="C77" s="7638" t="s">
        <v>2754</v>
      </c>
      <c r="D77" s="4440" t="s">
        <v>5369</v>
      </c>
      <c r="E77" s="4232" t="s">
        <v>5370</v>
      </c>
      <c r="F77" s="4441" t="s">
        <v>5371</v>
      </c>
      <c r="G77" s="4442" t="s">
        <v>5372</v>
      </c>
      <c r="H77" s="4443" t="s">
        <v>5373</v>
      </c>
      <c r="I77" s="4346" t="s">
        <v>5374</v>
      </c>
      <c r="J77" s="4346" t="s">
        <v>5375</v>
      </c>
      <c r="K77" s="4444" t="s">
        <v>5376</v>
      </c>
      <c r="L77" s="4258"/>
      <c r="M77" s="4258"/>
      <c r="N77" s="4258"/>
      <c r="O77" s="4258"/>
      <c r="P77" s="4258"/>
      <c r="Q77" s="4258"/>
      <c r="R77" s="4258"/>
      <c r="S77" s="4258"/>
      <c r="T77" s="4258"/>
      <c r="U77" s="4258"/>
      <c r="V77" s="4258"/>
      <c r="W77" s="4258"/>
      <c r="X77" s="4258"/>
      <c r="Y77" s="4258"/>
      <c r="Z77" s="4258"/>
      <c r="AA77" s="4258"/>
      <c r="AB77" s="4258"/>
      <c r="AC77" s="4258"/>
      <c r="AD77" s="4258"/>
      <c r="AE77" s="4258"/>
      <c r="AF77" s="4258"/>
      <c r="AG77" s="4258"/>
      <c r="AH77" s="4258"/>
      <c r="AI77" s="4258"/>
      <c r="AJ77" s="4258"/>
      <c r="AK77" s="4258"/>
      <c r="AL77" s="4258"/>
      <c r="AM77" s="4258"/>
      <c r="AN77" s="4258"/>
      <c r="AO77" s="4258"/>
      <c r="AP77" s="4258"/>
      <c r="AQ77" s="4258"/>
      <c r="AR77" s="4258"/>
      <c r="AS77" s="4258"/>
      <c r="AT77" s="4258"/>
      <c r="AU77" s="4258"/>
      <c r="AV77" s="4258"/>
      <c r="AW77" s="4258"/>
      <c r="AX77" s="4258"/>
      <c r="AY77" s="4258"/>
      <c r="AZ77" s="4258"/>
      <c r="BA77" s="4258"/>
      <c r="BB77" s="4258"/>
      <c r="BC77" s="4258"/>
      <c r="BD77" s="4258"/>
      <c r="BE77" s="4258"/>
      <c r="BF77" s="4258"/>
      <c r="BG77" s="4258"/>
      <c r="BH77" s="4258"/>
      <c r="BI77" s="4258"/>
      <c r="BJ77" s="4258"/>
      <c r="BK77" s="4258"/>
      <c r="BL77" s="4258"/>
      <c r="BM77" s="4258"/>
      <c r="BN77" s="4258"/>
      <c r="BO77" s="4258"/>
      <c r="BP77" s="4258"/>
      <c r="BQ77" s="4258"/>
      <c r="BR77" s="4258"/>
      <c r="BS77" s="4258"/>
      <c r="BT77" s="4258"/>
      <c r="BU77" s="4258"/>
      <c r="BV77" s="4258"/>
      <c r="BW77" s="4258"/>
      <c r="BX77" s="4258"/>
      <c r="BY77" s="4258"/>
      <c r="BZ77" s="4258"/>
      <c r="CA77" s="4258"/>
      <c r="CB77" s="4292" t="str">
        <f>IF(DB77=1,"* Pueblos Originarios debe ser MENOR O IGUAL al Total. ","")</f>
        <v xml:space="preserve">* Pueblos Originarios debe ser MENOR O IGUAL al Total. </v>
      </c>
      <c r="CC77" s="4292" t="str">
        <f>IF(DC77=1,"* Migrantes debe ser MENOR O IGUAL al Total. ","")</f>
        <v xml:space="preserve">* Migrantes debe ser MENOR O IGUAL al Total. </v>
      </c>
      <c r="CD77" s="4292" t="str">
        <f>IF(DD77=1,"* Multimorbilidad Crónica debe ser MENOR O IGUAL al Total. ","")</f>
        <v xml:space="preserve">* Multimorbilidad Crónica debe ser MENOR O IGUAL al Total. </v>
      </c>
      <c r="CE77" s="4292" t="str">
        <f>IF(DE77=1,"* Población ELEAM o Institucionalizada debe ser MENOR O IGUAL al Total. ","")</f>
        <v xml:space="preserve">* Población ELEAM o Institucionalizada debe ser MENOR O IGUAL al Total. </v>
      </c>
      <c r="CF77" s="4262"/>
      <c r="CG77" s="4262"/>
      <c r="CH77" s="4262"/>
      <c r="CI77" s="4262"/>
      <c r="CJ77" s="4262"/>
      <c r="CK77" s="4262"/>
      <c r="CL77" s="4262"/>
      <c r="CM77" s="4262"/>
      <c r="CN77" s="4262"/>
      <c r="CO77" s="4262"/>
      <c r="CP77" s="4262"/>
      <c r="CQ77" s="4262"/>
      <c r="CR77" s="4262"/>
      <c r="CS77" s="4262"/>
      <c r="CT77" s="4262"/>
      <c r="CU77" s="4262"/>
      <c r="CV77" s="4262"/>
      <c r="CW77" s="4262"/>
      <c r="CX77" s="4262"/>
      <c r="CY77" s="4262"/>
      <c r="CZ77" s="4262"/>
      <c r="DA77" s="4262"/>
      <c r="DB77" s="4293">
        <f t="shared" si="25"/>
        <v>1</v>
      </c>
      <c r="DC77" s="4293">
        <f t="shared" si="26"/>
        <v>1</v>
      </c>
      <c r="DD77" s="4293">
        <f t="shared" si="27"/>
        <v>1</v>
      </c>
      <c r="DE77" s="4293">
        <f t="shared" si="28"/>
        <v>1</v>
      </c>
      <c r="DF77" s="4263"/>
      <c r="DG77" s="4263"/>
      <c r="DH77" s="4263"/>
      <c r="DI77" s="4263"/>
      <c r="DJ77" s="4263"/>
      <c r="DK77" s="4263"/>
      <c r="DL77" s="4263"/>
      <c r="DM77" s="4263"/>
      <c r="DN77" s="4263"/>
      <c r="DO77" s="4263"/>
      <c r="DP77" s="4263"/>
      <c r="DQ77" s="4263"/>
      <c r="DR77" s="4258"/>
      <c r="DS77" s="4258"/>
      <c r="DT77" s="4258"/>
      <c r="DU77" s="4258"/>
      <c r="DV77" s="4258"/>
      <c r="DW77" s="4258"/>
      <c r="DX77" s="4258"/>
      <c r="DY77" s="4258"/>
      <c r="DZ77" s="4258"/>
    </row>
    <row r="78" spans="1:234" s="4295" customFormat="1" ht="32.1" customHeight="1" x14ac:dyDescent="0.25">
      <c r="A78" s="7632"/>
      <c r="B78" s="3797" t="s">
        <v>1684</v>
      </c>
      <c r="C78" s="4407"/>
      <c r="D78" s="4407"/>
      <c r="E78" s="4407"/>
      <c r="F78" s="4407"/>
      <c r="G78" s="4407"/>
      <c r="H78" s="4445"/>
      <c r="I78" s="4446"/>
      <c r="J78" s="4447"/>
      <c r="K78" s="4234"/>
      <c r="L78" s="4258"/>
      <c r="M78" s="4258"/>
      <c r="N78" s="4258"/>
      <c r="O78" s="4258"/>
      <c r="P78" s="4258"/>
      <c r="Q78" s="4258"/>
      <c r="R78" s="4258"/>
      <c r="S78" s="4258"/>
      <c r="T78" s="4258"/>
      <c r="U78" s="4258"/>
      <c r="V78" s="4258"/>
      <c r="W78" s="4258"/>
      <c r="X78" s="4258"/>
      <c r="Y78" s="4258"/>
      <c r="Z78" s="4258"/>
      <c r="AA78" s="4258"/>
      <c r="AB78" s="4258"/>
      <c r="AC78" s="4258"/>
      <c r="AD78" s="4258"/>
      <c r="AE78" s="4258"/>
      <c r="AF78" s="4258"/>
      <c r="AG78" s="4258"/>
      <c r="AH78" s="4258"/>
      <c r="AI78" s="4258"/>
      <c r="AJ78" s="4258"/>
      <c r="AK78" s="4258"/>
      <c r="AL78" s="4258"/>
      <c r="AM78" s="4258"/>
      <c r="AN78" s="4258"/>
      <c r="AO78" s="4258"/>
      <c r="AP78" s="4258"/>
      <c r="AQ78" s="4258"/>
      <c r="AR78" s="4258"/>
      <c r="AS78" s="4258"/>
      <c r="AT78" s="4258"/>
      <c r="AU78" s="4258"/>
      <c r="AV78" s="4258"/>
      <c r="AW78" s="4258"/>
      <c r="AX78" s="4258"/>
      <c r="AY78" s="4258"/>
      <c r="AZ78" s="4258"/>
      <c r="BA78" s="4258"/>
      <c r="BB78" s="4258"/>
      <c r="BC78" s="4258"/>
      <c r="BD78" s="4258"/>
      <c r="BE78" s="4258"/>
      <c r="BF78" s="4258"/>
      <c r="BG78" s="4258"/>
      <c r="BH78" s="4258"/>
      <c r="BI78" s="4258"/>
      <c r="BJ78" s="4258"/>
      <c r="BK78" s="4258"/>
      <c r="BL78" s="4258"/>
      <c r="BM78" s="4258"/>
      <c r="BN78" s="4258"/>
      <c r="BO78" s="4258"/>
      <c r="BP78" s="4258"/>
      <c r="BQ78" s="4258"/>
      <c r="BR78" s="4258"/>
      <c r="BS78" s="4258"/>
      <c r="BT78" s="4258"/>
      <c r="BU78" s="4258"/>
      <c r="BV78" s="4258"/>
      <c r="BW78" s="4258"/>
      <c r="BX78" s="4258"/>
      <c r="BY78" s="4258"/>
      <c r="BZ78" s="4258"/>
      <c r="CA78" s="4258"/>
      <c r="CB78" s="4262"/>
      <c r="CC78" s="4262"/>
      <c r="CD78" s="4262"/>
      <c r="CE78" s="4262"/>
      <c r="CF78" s="4262"/>
      <c r="CG78" s="4262"/>
      <c r="CH78" s="4262"/>
      <c r="CI78" s="4262"/>
      <c r="CJ78" s="4262"/>
      <c r="CK78" s="4262"/>
      <c r="CL78" s="4262"/>
      <c r="CM78" s="4262"/>
      <c r="CN78" s="4262"/>
      <c r="CO78" s="4262"/>
      <c r="CP78" s="4262"/>
      <c r="CQ78" s="4262"/>
      <c r="CR78" s="4262"/>
      <c r="CS78" s="4262"/>
      <c r="CT78" s="4262"/>
      <c r="CU78" s="4262"/>
      <c r="CV78" s="4262"/>
      <c r="CW78" s="4262"/>
      <c r="CX78" s="4262"/>
      <c r="CY78" s="4262"/>
      <c r="CZ78" s="4262"/>
      <c r="DA78" s="4262"/>
      <c r="DB78" s="4263"/>
      <c r="DC78" s="4263"/>
      <c r="DD78" s="4263"/>
      <c r="DE78" s="4263"/>
      <c r="DF78" s="4263"/>
      <c r="DG78" s="4263"/>
      <c r="DH78" s="4263"/>
      <c r="DI78" s="4263"/>
      <c r="DJ78" s="4263"/>
      <c r="DK78" s="4263"/>
      <c r="DL78" s="4263"/>
      <c r="DM78" s="4263"/>
      <c r="DN78" s="4263"/>
      <c r="DO78" s="4263"/>
      <c r="DP78" s="4263"/>
      <c r="DQ78" s="4263"/>
      <c r="DR78" s="4258"/>
      <c r="DS78" s="4258"/>
      <c r="DT78" s="4258"/>
      <c r="DU78" s="4258"/>
      <c r="DV78" s="4258"/>
      <c r="DW78" s="4258"/>
      <c r="DX78" s="4258"/>
      <c r="DY78" s="4258"/>
      <c r="DZ78" s="4258"/>
      <c r="EA78" s="4260"/>
      <c r="EB78" s="4260"/>
      <c r="EC78" s="4260"/>
      <c r="ED78" s="4260"/>
      <c r="EE78" s="4260"/>
      <c r="EF78" s="4260"/>
      <c r="EG78" s="4260"/>
      <c r="EH78" s="4260"/>
      <c r="EI78" s="4260"/>
      <c r="EJ78" s="4260"/>
      <c r="EK78" s="4260"/>
      <c r="EL78" s="4260"/>
      <c r="EM78" s="4260"/>
      <c r="EN78" s="4260"/>
      <c r="EO78" s="4260"/>
      <c r="EP78" s="4260"/>
      <c r="EQ78" s="4260"/>
      <c r="ER78" s="4260"/>
      <c r="ES78" s="4260"/>
      <c r="ET78" s="4260"/>
      <c r="EU78" s="4260"/>
      <c r="EV78" s="4260"/>
      <c r="EW78" s="4260"/>
      <c r="EX78" s="4260"/>
      <c r="EY78" s="4260"/>
      <c r="EZ78" s="4260"/>
      <c r="FA78" s="4260"/>
      <c r="FB78" s="4260"/>
      <c r="FC78" s="4260"/>
      <c r="FD78" s="4260"/>
      <c r="FE78" s="4260"/>
      <c r="FF78" s="4260"/>
      <c r="FG78" s="4260"/>
      <c r="FH78" s="4260"/>
      <c r="FI78" s="4260"/>
      <c r="FJ78" s="4260"/>
      <c r="FK78" s="4260"/>
      <c r="FL78" s="4260"/>
      <c r="FM78" s="4260"/>
      <c r="FN78" s="4260"/>
      <c r="FO78" s="4260"/>
      <c r="FP78" s="4260"/>
      <c r="FQ78" s="4260"/>
      <c r="FR78" s="4260"/>
      <c r="FS78" s="4260"/>
      <c r="FT78" s="4260"/>
      <c r="FU78" s="4260"/>
      <c r="FV78" s="4260"/>
      <c r="FW78" s="4260"/>
      <c r="FX78" s="4260"/>
      <c r="FY78" s="4260"/>
      <c r="FZ78" s="4260"/>
      <c r="GA78" s="4260"/>
      <c r="GB78" s="4260"/>
      <c r="GC78" s="4260"/>
      <c r="GD78" s="4260"/>
      <c r="GE78" s="4260"/>
      <c r="GF78" s="4260"/>
      <c r="GG78" s="4260"/>
      <c r="GH78" s="4260"/>
      <c r="GI78" s="4260"/>
      <c r="GJ78" s="4260"/>
      <c r="GK78" s="4260"/>
      <c r="GL78" s="4260"/>
      <c r="GM78" s="4260"/>
      <c r="GN78" s="4260"/>
      <c r="GO78" s="4260"/>
      <c r="GP78" s="4260"/>
      <c r="GQ78" s="4260"/>
      <c r="GR78" s="4260"/>
      <c r="GS78" s="4260"/>
      <c r="GT78" s="4260"/>
      <c r="GU78" s="4260"/>
      <c r="GV78" s="4260"/>
      <c r="GW78" s="4260"/>
      <c r="GX78" s="4260"/>
      <c r="GY78" s="4260"/>
      <c r="GZ78" s="4260"/>
      <c r="HA78" s="4260"/>
      <c r="HB78" s="4260"/>
      <c r="HC78" s="4260"/>
      <c r="HD78" s="4260"/>
      <c r="HE78" s="4260"/>
      <c r="HF78" s="4260"/>
      <c r="HG78" s="4260"/>
      <c r="HH78" s="4260"/>
      <c r="HI78" s="4260"/>
      <c r="HJ78" s="4260"/>
      <c r="HK78" s="4260"/>
      <c r="HL78" s="4260"/>
      <c r="HM78" s="4260"/>
      <c r="HN78" s="4260"/>
      <c r="HO78" s="4260"/>
      <c r="HP78" s="4260"/>
      <c r="HQ78" s="4260"/>
      <c r="HR78" s="4260"/>
      <c r="HS78" s="4260"/>
      <c r="HT78" s="4260"/>
      <c r="HU78" s="4260"/>
      <c r="HV78" s="4260"/>
      <c r="HW78" s="4260"/>
      <c r="HX78" s="4260"/>
      <c r="HY78" s="4260"/>
      <c r="HZ78" s="4260"/>
    </row>
    <row r="79" spans="1:234" s="4295" customFormat="1" x14ac:dyDescent="0.25">
      <c r="A79" s="7631"/>
      <c r="B79" s="9471" t="s">
        <v>1683</v>
      </c>
      <c r="C79" s="10747"/>
      <c r="D79" s="10750" t="s">
        <v>1682</v>
      </c>
      <c r="E79" s="10750"/>
      <c r="F79" s="10750"/>
      <c r="G79" s="10750"/>
      <c r="H79" s="10751"/>
      <c r="I79" s="9214" t="s">
        <v>1681</v>
      </c>
      <c r="J79" s="9470"/>
      <c r="K79" s="3940"/>
      <c r="L79" s="4258"/>
      <c r="M79" s="4258"/>
      <c r="N79" s="4258"/>
      <c r="O79" s="4258"/>
      <c r="P79" s="4258"/>
      <c r="Q79" s="4258"/>
      <c r="R79" s="4258"/>
      <c r="S79" s="4258"/>
      <c r="T79" s="4258"/>
      <c r="U79" s="4258"/>
      <c r="V79" s="4258"/>
      <c r="W79" s="4258"/>
      <c r="X79" s="4258"/>
      <c r="Y79" s="4258"/>
      <c r="Z79" s="4258"/>
      <c r="AA79" s="4258"/>
      <c r="AB79" s="4258"/>
      <c r="AC79" s="4258"/>
      <c r="AD79" s="4258"/>
      <c r="AE79" s="4258"/>
      <c r="AF79" s="4258"/>
      <c r="AG79" s="4258"/>
      <c r="AH79" s="4258"/>
      <c r="AI79" s="4258"/>
      <c r="AJ79" s="4258"/>
      <c r="AK79" s="4258"/>
      <c r="AL79" s="4258"/>
      <c r="AM79" s="4258"/>
      <c r="AN79" s="4258"/>
      <c r="AO79" s="4258"/>
      <c r="AP79" s="4258"/>
      <c r="AQ79" s="4258"/>
      <c r="AR79" s="4258"/>
      <c r="AS79" s="4258"/>
      <c r="AT79" s="4258"/>
      <c r="AU79" s="4258"/>
      <c r="AV79" s="4258"/>
      <c r="AW79" s="4258"/>
      <c r="AX79" s="4258"/>
      <c r="AY79" s="4258"/>
      <c r="AZ79" s="4258"/>
      <c r="BA79" s="4258"/>
      <c r="BB79" s="4258"/>
      <c r="BC79" s="4258"/>
      <c r="BD79" s="4258"/>
      <c r="BE79" s="4258"/>
      <c r="BF79" s="4258"/>
      <c r="BG79" s="4258"/>
      <c r="BH79" s="4258"/>
      <c r="BI79" s="4258"/>
      <c r="BJ79" s="4258"/>
      <c r="BK79" s="4258"/>
      <c r="BL79" s="4258"/>
      <c r="BM79" s="4258"/>
      <c r="BN79" s="4258"/>
      <c r="BO79" s="4258"/>
      <c r="BP79" s="4258"/>
      <c r="BQ79" s="4258"/>
      <c r="BR79" s="4258"/>
      <c r="BS79" s="4258"/>
      <c r="BT79" s="4258"/>
      <c r="BU79" s="4258"/>
      <c r="BV79" s="4258"/>
      <c r="BW79" s="4258"/>
      <c r="BX79" s="4258"/>
      <c r="BY79" s="4258"/>
      <c r="BZ79" s="4258"/>
      <c r="CA79" s="4258"/>
      <c r="CB79" s="4262"/>
      <c r="CC79" s="4262"/>
      <c r="CD79" s="4262"/>
      <c r="CE79" s="4262"/>
      <c r="CF79" s="4262"/>
      <c r="CG79" s="4262"/>
      <c r="CH79" s="4262"/>
      <c r="CI79" s="4262"/>
      <c r="CJ79" s="4262"/>
      <c r="CK79" s="4262"/>
      <c r="CL79" s="4262"/>
      <c r="CM79" s="4262"/>
      <c r="CN79" s="4262"/>
      <c r="CO79" s="4262"/>
      <c r="CP79" s="4262"/>
      <c r="CQ79" s="4262"/>
      <c r="CR79" s="4262"/>
      <c r="CS79" s="4262"/>
      <c r="CT79" s="4262"/>
      <c r="CU79" s="4262"/>
      <c r="CV79" s="4262"/>
      <c r="CW79" s="4262"/>
      <c r="CX79" s="4262"/>
      <c r="CY79" s="4262"/>
      <c r="CZ79" s="4262"/>
      <c r="DA79" s="4262"/>
      <c r="DB79" s="4263"/>
      <c r="DC79" s="4263"/>
      <c r="DD79" s="4263"/>
      <c r="DE79" s="4263"/>
      <c r="DF79" s="4263"/>
      <c r="DG79" s="4263"/>
      <c r="DH79" s="4263"/>
      <c r="DI79" s="4263"/>
      <c r="DJ79" s="4263"/>
      <c r="DK79" s="4263"/>
      <c r="DL79" s="4263"/>
      <c r="DM79" s="4263"/>
      <c r="DN79" s="4263"/>
      <c r="DO79" s="4263"/>
      <c r="DP79" s="4263"/>
      <c r="DQ79" s="4263"/>
      <c r="DR79" s="4258"/>
      <c r="DS79" s="4258"/>
      <c r="DT79" s="4258"/>
      <c r="DU79" s="4258"/>
      <c r="DV79" s="4258"/>
      <c r="DW79" s="4258"/>
      <c r="DX79" s="4258"/>
      <c r="DY79" s="4258"/>
      <c r="DZ79" s="4258"/>
      <c r="EA79" s="4260"/>
      <c r="EB79" s="4260"/>
      <c r="EC79" s="4260"/>
      <c r="ED79" s="4260"/>
      <c r="EE79" s="4260"/>
      <c r="EF79" s="4260"/>
      <c r="EG79" s="4260"/>
      <c r="EH79" s="4260"/>
      <c r="EI79" s="4260"/>
      <c r="EJ79" s="4260"/>
      <c r="EK79" s="4260"/>
      <c r="EL79" s="4260"/>
      <c r="EM79" s="4260"/>
      <c r="EN79" s="4260"/>
      <c r="EO79" s="4260"/>
      <c r="EP79" s="4260"/>
      <c r="EQ79" s="4260"/>
      <c r="ER79" s="4260"/>
      <c r="ES79" s="4260"/>
      <c r="ET79" s="4260"/>
      <c r="EU79" s="4260"/>
      <c r="EV79" s="4260"/>
      <c r="EW79" s="4260"/>
      <c r="EX79" s="4260"/>
      <c r="EY79" s="4260"/>
      <c r="EZ79" s="4260"/>
      <c r="FA79" s="4260"/>
      <c r="FB79" s="4260"/>
      <c r="FC79" s="4260"/>
      <c r="FD79" s="4260"/>
      <c r="FE79" s="4260"/>
      <c r="FF79" s="4260"/>
      <c r="FG79" s="4260"/>
      <c r="FH79" s="4260"/>
      <c r="FI79" s="4260"/>
      <c r="FJ79" s="4260"/>
      <c r="FK79" s="4260"/>
      <c r="FL79" s="4260"/>
      <c r="FM79" s="4260"/>
      <c r="FN79" s="4260"/>
      <c r="FO79" s="4260"/>
      <c r="FP79" s="4260"/>
      <c r="FQ79" s="4260"/>
      <c r="FR79" s="4260"/>
      <c r="FS79" s="4260"/>
      <c r="FT79" s="4260"/>
      <c r="FU79" s="4260"/>
      <c r="FV79" s="4260"/>
      <c r="FW79" s="4260"/>
      <c r="FX79" s="4260"/>
      <c r="FY79" s="4260"/>
      <c r="FZ79" s="4260"/>
      <c r="GA79" s="4260"/>
      <c r="GB79" s="4260"/>
      <c r="GC79" s="4260"/>
      <c r="GD79" s="4260"/>
      <c r="GE79" s="4260"/>
      <c r="GF79" s="4260"/>
      <c r="GG79" s="4260"/>
      <c r="GH79" s="4260"/>
      <c r="GI79" s="4260"/>
      <c r="GJ79" s="4260"/>
      <c r="GK79" s="4260"/>
      <c r="GL79" s="4260"/>
      <c r="GM79" s="4260"/>
      <c r="GN79" s="4260"/>
      <c r="GO79" s="4260"/>
      <c r="GP79" s="4260"/>
      <c r="GQ79" s="4260"/>
      <c r="GR79" s="4260"/>
      <c r="GS79" s="4260"/>
      <c r="GT79" s="4260"/>
      <c r="GU79" s="4260"/>
      <c r="GV79" s="4260"/>
      <c r="GW79" s="4260"/>
      <c r="GX79" s="4260"/>
      <c r="GY79" s="4260"/>
      <c r="GZ79" s="4260"/>
      <c r="HA79" s="4260"/>
      <c r="HB79" s="4260"/>
      <c r="HC79" s="4260"/>
      <c r="HD79" s="4260"/>
      <c r="HE79" s="4260"/>
      <c r="HF79" s="4260"/>
      <c r="HG79" s="4260"/>
      <c r="HH79" s="4260"/>
      <c r="HI79" s="4260"/>
      <c r="HJ79" s="4260"/>
      <c r="HK79" s="4260"/>
      <c r="HL79" s="4260"/>
      <c r="HM79" s="4260"/>
      <c r="HN79" s="4260"/>
      <c r="HO79" s="4260"/>
      <c r="HP79" s="4260"/>
      <c r="HQ79" s="4260"/>
      <c r="HR79" s="4260"/>
      <c r="HS79" s="4260"/>
      <c r="HT79" s="4260"/>
      <c r="HU79" s="4260"/>
      <c r="HV79" s="4260"/>
      <c r="HW79" s="4260"/>
      <c r="HX79" s="4260"/>
      <c r="HY79" s="4260"/>
      <c r="HZ79" s="4260"/>
    </row>
    <row r="80" spans="1:234" s="4295" customFormat="1" x14ac:dyDescent="0.25">
      <c r="A80" s="7631"/>
      <c r="B80" s="10748"/>
      <c r="C80" s="10749"/>
      <c r="D80" s="9471" t="s">
        <v>24</v>
      </c>
      <c r="E80" s="9423" t="s">
        <v>1680</v>
      </c>
      <c r="F80" s="9424"/>
      <c r="G80" s="10741"/>
      <c r="H80" s="9472" t="s">
        <v>1679</v>
      </c>
      <c r="I80" s="9217"/>
      <c r="J80" s="9470"/>
      <c r="K80" s="3940"/>
      <c r="L80" s="3940"/>
      <c r="M80" s="4258"/>
      <c r="N80" s="4258"/>
      <c r="O80" s="4258"/>
      <c r="P80" s="4258"/>
      <c r="Q80" s="4258"/>
      <c r="R80" s="4258"/>
      <c r="S80" s="4258"/>
      <c r="T80" s="4258"/>
      <c r="U80" s="4258"/>
      <c r="V80" s="4258"/>
      <c r="W80" s="4258"/>
      <c r="X80" s="4258"/>
      <c r="Y80" s="4258"/>
      <c r="Z80" s="4258"/>
      <c r="AA80" s="4258"/>
      <c r="AB80" s="4258"/>
      <c r="AC80" s="4258"/>
      <c r="AD80" s="4258"/>
      <c r="AE80" s="4258"/>
      <c r="AF80" s="4258"/>
      <c r="AG80" s="4258"/>
      <c r="AH80" s="4258"/>
      <c r="AI80" s="4258"/>
      <c r="AJ80" s="4258"/>
      <c r="AK80" s="4258"/>
      <c r="AL80" s="4258"/>
      <c r="AM80" s="4258"/>
      <c r="AN80" s="4258"/>
      <c r="AO80" s="4258"/>
      <c r="AP80" s="4258"/>
      <c r="AQ80" s="4258"/>
      <c r="AR80" s="4258"/>
      <c r="AS80" s="4258"/>
      <c r="AT80" s="4258"/>
      <c r="AU80" s="4258"/>
      <c r="AV80" s="4258"/>
      <c r="AW80" s="4258"/>
      <c r="AX80" s="4258"/>
      <c r="AY80" s="4258"/>
      <c r="AZ80" s="4258"/>
      <c r="BA80" s="4258"/>
      <c r="BB80" s="4258"/>
      <c r="BC80" s="4258"/>
      <c r="BD80" s="4258"/>
      <c r="BE80" s="4258"/>
      <c r="BF80" s="4258"/>
      <c r="BG80" s="4258"/>
      <c r="BH80" s="4258"/>
      <c r="BI80" s="4258"/>
      <c r="BJ80" s="4258"/>
      <c r="BK80" s="4258"/>
      <c r="BL80" s="4258"/>
      <c r="BM80" s="4258"/>
      <c r="BN80" s="4258"/>
      <c r="BO80" s="4258"/>
      <c r="BP80" s="4258"/>
      <c r="BQ80" s="4258"/>
      <c r="BR80" s="4258"/>
      <c r="BS80" s="4258"/>
      <c r="BT80" s="4258"/>
      <c r="BU80" s="4258"/>
      <c r="BV80" s="4258"/>
      <c r="BW80" s="4259"/>
      <c r="BX80" s="4259"/>
      <c r="BY80" s="4260"/>
      <c r="BZ80" s="4260"/>
      <c r="CA80" s="4260"/>
      <c r="CB80" s="4261"/>
      <c r="CC80" s="4261"/>
      <c r="CD80" s="4261"/>
      <c r="CE80" s="4261"/>
      <c r="CF80" s="4261"/>
      <c r="CG80" s="4261"/>
      <c r="CH80" s="4261"/>
      <c r="CI80" s="4261"/>
      <c r="CJ80" s="4261"/>
      <c r="CK80" s="4261"/>
      <c r="CL80" s="4261"/>
      <c r="CM80" s="4261"/>
      <c r="CN80" s="4261"/>
      <c r="CO80" s="4261"/>
      <c r="CP80" s="4261"/>
      <c r="CQ80" s="4261"/>
      <c r="CR80" s="4261"/>
      <c r="CS80" s="4261"/>
      <c r="CT80" s="4261"/>
      <c r="CU80" s="4261"/>
      <c r="CV80" s="4261"/>
      <c r="CW80" s="4261"/>
      <c r="CX80" s="4261"/>
      <c r="CY80" s="4261"/>
      <c r="CZ80" s="4261"/>
      <c r="DA80" s="4262"/>
      <c r="DB80" s="4294"/>
      <c r="DC80" s="4294"/>
      <c r="DD80" s="4294"/>
      <c r="DE80" s="4294"/>
      <c r="DF80" s="4294"/>
      <c r="DG80" s="4294"/>
      <c r="DH80" s="4294"/>
      <c r="DI80" s="4294"/>
      <c r="DJ80" s="4294"/>
      <c r="DK80" s="4294"/>
      <c r="DL80" s="4294"/>
      <c r="DM80" s="4294"/>
      <c r="DN80" s="4294"/>
      <c r="DO80" s="4294"/>
      <c r="DP80" s="4294"/>
      <c r="DQ80" s="4294"/>
      <c r="DR80" s="4260"/>
      <c r="DS80" s="4260"/>
      <c r="DT80" s="4260"/>
      <c r="DU80" s="4260"/>
      <c r="DV80" s="4260"/>
      <c r="DW80" s="4260"/>
      <c r="DX80" s="4260"/>
      <c r="DY80" s="4260"/>
      <c r="DZ80" s="4260"/>
      <c r="EA80" s="4260"/>
      <c r="EB80" s="4260"/>
      <c r="EC80" s="4260"/>
      <c r="ED80" s="4260"/>
      <c r="EE80" s="4260"/>
      <c r="EF80" s="4260"/>
      <c r="EG80" s="4260"/>
      <c r="EH80" s="4260"/>
      <c r="EI80" s="4260"/>
      <c r="EJ80" s="4260"/>
      <c r="EK80" s="4260"/>
      <c r="EL80" s="4260"/>
      <c r="EM80" s="4260"/>
      <c r="EN80" s="4260"/>
      <c r="EO80" s="4260"/>
      <c r="EP80" s="4260"/>
      <c r="EQ80" s="4260"/>
      <c r="ER80" s="4260"/>
      <c r="ES80" s="4260"/>
      <c r="ET80" s="4260"/>
      <c r="EU80" s="4260"/>
      <c r="EV80" s="4260"/>
      <c r="EW80" s="4260"/>
      <c r="EX80" s="4260"/>
      <c r="EY80" s="4260"/>
      <c r="EZ80" s="4260"/>
      <c r="FA80" s="4260"/>
      <c r="FB80" s="4260"/>
      <c r="FC80" s="4260"/>
      <c r="FD80" s="4260"/>
      <c r="FE80" s="4260"/>
      <c r="FF80" s="4260"/>
      <c r="FG80" s="4260"/>
      <c r="FH80" s="4260"/>
      <c r="FI80" s="4260"/>
      <c r="FJ80" s="4260"/>
      <c r="FK80" s="4260"/>
      <c r="FL80" s="4260"/>
      <c r="FM80" s="4260"/>
      <c r="FN80" s="4260"/>
      <c r="FO80" s="4260"/>
      <c r="FP80" s="4260"/>
      <c r="FQ80" s="4260"/>
      <c r="FR80" s="4260"/>
      <c r="FS80" s="4260"/>
      <c r="FT80" s="4260"/>
      <c r="FU80" s="4260"/>
      <c r="FV80" s="4260"/>
      <c r="FW80" s="4260"/>
      <c r="FX80" s="4260"/>
      <c r="FY80" s="4260"/>
      <c r="FZ80" s="4260"/>
      <c r="GA80" s="4260"/>
      <c r="GB80" s="4260"/>
      <c r="GC80" s="4260"/>
      <c r="GD80" s="4260"/>
      <c r="GE80" s="4260"/>
      <c r="GF80" s="4260"/>
      <c r="GG80" s="4260"/>
      <c r="GH80" s="4260"/>
      <c r="GI80" s="4260"/>
      <c r="GJ80" s="4260"/>
      <c r="GK80" s="4260"/>
      <c r="GL80" s="4260"/>
      <c r="GM80" s="4260"/>
      <c r="GN80" s="4260"/>
      <c r="GO80" s="4260"/>
      <c r="GP80" s="4260"/>
      <c r="GQ80" s="4260"/>
      <c r="GR80" s="4260"/>
      <c r="GS80" s="4260"/>
      <c r="GT80" s="4260"/>
      <c r="GU80" s="4260"/>
      <c r="GV80" s="4260"/>
      <c r="GW80" s="4260"/>
      <c r="GX80" s="4260"/>
      <c r="GY80" s="4260"/>
      <c r="GZ80" s="4260"/>
      <c r="HA80" s="4260"/>
      <c r="HB80" s="4260"/>
      <c r="HC80" s="4260"/>
      <c r="HD80" s="4260"/>
      <c r="HE80" s="4260"/>
      <c r="HF80" s="4260"/>
      <c r="HG80" s="4260"/>
      <c r="HH80" s="4260"/>
      <c r="HI80" s="4260"/>
      <c r="HJ80" s="4260"/>
      <c r="HK80" s="4260"/>
      <c r="HL80" s="4260"/>
      <c r="HM80" s="4260"/>
      <c r="HN80" s="4260"/>
      <c r="HO80" s="4260"/>
      <c r="HP80" s="4260"/>
      <c r="HQ80" s="4260"/>
      <c r="HR80" s="4260"/>
      <c r="HS80" s="4260"/>
      <c r="HT80" s="4260"/>
      <c r="HU80" s="4260"/>
      <c r="HV80" s="4260"/>
      <c r="HW80" s="4260"/>
      <c r="HX80" s="4260"/>
      <c r="HY80" s="4260"/>
      <c r="HZ80" s="4260"/>
    </row>
    <row r="81" spans="1:234" s="4295" customFormat="1" ht="26.4" customHeight="1" x14ac:dyDescent="0.25">
      <c r="A81" s="7632"/>
      <c r="B81" s="9216"/>
      <c r="C81" s="9218"/>
      <c r="D81" s="9216"/>
      <c r="E81" s="4448" t="s">
        <v>3510</v>
      </c>
      <c r="F81" s="4358" t="s">
        <v>1678</v>
      </c>
      <c r="G81" s="4449" t="s">
        <v>1677</v>
      </c>
      <c r="H81" s="9473"/>
      <c r="I81" s="4450" t="s">
        <v>1676</v>
      </c>
      <c r="J81" s="4247" t="s">
        <v>1675</v>
      </c>
      <c r="K81" s="4258"/>
      <c r="L81" s="4258"/>
      <c r="M81" s="4258"/>
      <c r="N81" s="4258"/>
      <c r="O81" s="4258"/>
      <c r="P81" s="4258"/>
      <c r="Q81" s="4258"/>
      <c r="R81" s="4258"/>
      <c r="S81" s="4258"/>
      <c r="T81" s="4258"/>
      <c r="U81" s="4258"/>
      <c r="V81" s="4258"/>
      <c r="W81" s="4258"/>
      <c r="X81" s="4258"/>
      <c r="Y81" s="4258"/>
      <c r="Z81" s="4258"/>
      <c r="AA81" s="4258"/>
      <c r="AB81" s="4258"/>
      <c r="AC81" s="4258"/>
      <c r="AD81" s="4258"/>
      <c r="AE81" s="4258"/>
      <c r="AF81" s="4258"/>
      <c r="AG81" s="4258"/>
      <c r="AH81" s="4258"/>
      <c r="AI81" s="4258"/>
      <c r="AJ81" s="4258"/>
      <c r="AK81" s="4258"/>
      <c r="AL81" s="4258"/>
      <c r="AM81" s="4258"/>
      <c r="AN81" s="4258"/>
      <c r="AO81" s="4258"/>
      <c r="AP81" s="4258"/>
      <c r="AQ81" s="4258"/>
      <c r="AR81" s="4258"/>
      <c r="AS81" s="4258"/>
      <c r="AT81" s="4258"/>
      <c r="AU81" s="4258"/>
      <c r="AV81" s="4258"/>
      <c r="AW81" s="4258"/>
      <c r="AX81" s="4258"/>
      <c r="AY81" s="4258"/>
      <c r="AZ81" s="4258"/>
      <c r="BA81" s="4258"/>
      <c r="BB81" s="4258"/>
      <c r="BC81" s="4258"/>
      <c r="BD81" s="4258"/>
      <c r="BE81" s="4258"/>
      <c r="BF81" s="4258"/>
      <c r="BG81" s="4258"/>
      <c r="BH81" s="4258"/>
      <c r="BI81" s="4258"/>
      <c r="BJ81" s="4258"/>
      <c r="BK81" s="4258"/>
      <c r="BL81" s="4258"/>
      <c r="BM81" s="4258"/>
      <c r="BN81" s="4258"/>
      <c r="BO81" s="4258"/>
      <c r="BP81" s="4258"/>
      <c r="BQ81" s="4258"/>
      <c r="BR81" s="4258"/>
      <c r="BS81" s="4258"/>
      <c r="BT81" s="4258"/>
      <c r="BU81" s="4258"/>
      <c r="BV81" s="4258"/>
      <c r="BW81" s="4259"/>
      <c r="BX81" s="4259"/>
      <c r="BY81" s="4260"/>
      <c r="BZ81" s="4260"/>
      <c r="CA81" s="4260"/>
      <c r="CB81" s="4261"/>
      <c r="CC81" s="4261"/>
      <c r="CD81" s="4261"/>
      <c r="CE81" s="4261"/>
      <c r="CF81" s="4261"/>
      <c r="CG81" s="4261"/>
      <c r="CH81" s="4261"/>
      <c r="CI81" s="4261"/>
      <c r="CJ81" s="4261"/>
      <c r="CK81" s="4261"/>
      <c r="CL81" s="4261"/>
      <c r="CM81" s="4261"/>
      <c r="CN81" s="4261"/>
      <c r="CO81" s="4261"/>
      <c r="CP81" s="4261"/>
      <c r="CQ81" s="4261"/>
      <c r="CR81" s="4261"/>
      <c r="CS81" s="4261"/>
      <c r="CT81" s="4261"/>
      <c r="CU81" s="4261"/>
      <c r="CV81" s="4261"/>
      <c r="CW81" s="4261"/>
      <c r="CX81" s="4261"/>
      <c r="CY81" s="4261"/>
      <c r="CZ81" s="4261"/>
      <c r="DA81" s="4262"/>
      <c r="DB81" s="4294"/>
      <c r="DC81" s="4294"/>
      <c r="DD81" s="4294"/>
      <c r="DE81" s="4294"/>
      <c r="DF81" s="4294"/>
      <c r="DG81" s="4294"/>
      <c r="DH81" s="4294"/>
      <c r="DI81" s="4294"/>
      <c r="DJ81" s="4294"/>
      <c r="DK81" s="4294"/>
      <c r="DL81" s="4294"/>
      <c r="DM81" s="4294"/>
      <c r="DN81" s="4294"/>
      <c r="DO81" s="4294"/>
      <c r="DP81" s="4294"/>
      <c r="DQ81" s="4294"/>
      <c r="DR81" s="4260"/>
      <c r="DS81" s="4260"/>
      <c r="DT81" s="4260"/>
      <c r="DU81" s="4260"/>
      <c r="DV81" s="4260"/>
      <c r="DW81" s="4260"/>
      <c r="DX81" s="4260"/>
      <c r="DY81" s="4260"/>
      <c r="DZ81" s="4260"/>
      <c r="EA81" s="4260"/>
      <c r="EB81" s="4260"/>
      <c r="EC81" s="4260"/>
      <c r="ED81" s="4260"/>
      <c r="EE81" s="4260"/>
      <c r="EF81" s="4260"/>
      <c r="EG81" s="4260"/>
      <c r="EH81" s="4260"/>
      <c r="EI81" s="4260"/>
      <c r="EJ81" s="4260"/>
      <c r="EK81" s="4260"/>
      <c r="EL81" s="4260"/>
      <c r="EM81" s="4260"/>
      <c r="EN81" s="4260"/>
      <c r="EO81" s="4260"/>
      <c r="EP81" s="4260"/>
      <c r="EQ81" s="4260"/>
      <c r="ER81" s="4260"/>
      <c r="ES81" s="4260"/>
      <c r="ET81" s="4260"/>
      <c r="EU81" s="4260"/>
      <c r="EV81" s="4260"/>
      <c r="EW81" s="4260"/>
      <c r="EX81" s="4260"/>
      <c r="EY81" s="4260"/>
      <c r="EZ81" s="4260"/>
      <c r="FA81" s="4260"/>
      <c r="FB81" s="4260"/>
      <c r="FC81" s="4260"/>
      <c r="FD81" s="4260"/>
      <c r="FE81" s="4260"/>
      <c r="FF81" s="4260"/>
      <c r="FG81" s="4260"/>
      <c r="FH81" s="4260"/>
      <c r="FI81" s="4260"/>
      <c r="FJ81" s="4260"/>
      <c r="FK81" s="4260"/>
      <c r="FL81" s="4260"/>
      <c r="FM81" s="4260"/>
      <c r="FN81" s="4260"/>
      <c r="FO81" s="4260"/>
      <c r="FP81" s="4260"/>
      <c r="FQ81" s="4260"/>
      <c r="FR81" s="4260"/>
      <c r="FS81" s="4260"/>
      <c r="FT81" s="4260"/>
      <c r="FU81" s="4260"/>
      <c r="FV81" s="4260"/>
      <c r="FW81" s="4260"/>
      <c r="FX81" s="4260"/>
      <c r="FY81" s="4260"/>
      <c r="FZ81" s="4260"/>
      <c r="GA81" s="4260"/>
      <c r="GB81" s="4260"/>
      <c r="GC81" s="4260"/>
      <c r="GD81" s="4260"/>
      <c r="GE81" s="4260"/>
      <c r="GF81" s="4260"/>
      <c r="GG81" s="4260"/>
      <c r="GH81" s="4260"/>
      <c r="GI81" s="4260"/>
      <c r="GJ81" s="4260"/>
      <c r="GK81" s="4260"/>
      <c r="GL81" s="4260"/>
      <c r="GM81" s="4260"/>
      <c r="GN81" s="4260"/>
      <c r="GO81" s="4260"/>
      <c r="GP81" s="4260"/>
      <c r="GQ81" s="4260"/>
      <c r="GR81" s="4260"/>
      <c r="GS81" s="4260"/>
      <c r="GT81" s="4260"/>
      <c r="GU81" s="4260"/>
      <c r="GV81" s="4260"/>
      <c r="GW81" s="4260"/>
      <c r="GX81" s="4260"/>
      <c r="GY81" s="4260"/>
      <c r="GZ81" s="4260"/>
      <c r="HA81" s="4260"/>
      <c r="HB81" s="4260"/>
      <c r="HC81" s="4260"/>
      <c r="HD81" s="4260"/>
      <c r="HE81" s="4260"/>
      <c r="HF81" s="4260"/>
      <c r="HG81" s="4260"/>
      <c r="HH81" s="4260"/>
      <c r="HI81" s="4260"/>
      <c r="HJ81" s="4260"/>
      <c r="HK81" s="4260"/>
      <c r="HL81" s="4260"/>
      <c r="HM81" s="4260"/>
      <c r="HN81" s="4260"/>
      <c r="HO81" s="4260"/>
      <c r="HP81" s="4260"/>
      <c r="HQ81" s="4260"/>
      <c r="HR81" s="4260"/>
      <c r="HS81" s="4260"/>
      <c r="HT81" s="4260"/>
      <c r="HU81" s="4260"/>
      <c r="HV81" s="4260"/>
      <c r="HW81" s="4260"/>
      <c r="HX81" s="4260"/>
      <c r="HY81" s="4260"/>
      <c r="HZ81" s="4260"/>
    </row>
    <row r="82" spans="1:234" s="4295" customFormat="1" x14ac:dyDescent="0.25">
      <c r="A82" s="7258">
        <v>26280050</v>
      </c>
      <c r="B82" s="10770" t="s">
        <v>3508</v>
      </c>
      <c r="C82" s="10771"/>
      <c r="D82" s="4451" t="s">
        <v>5369</v>
      </c>
      <c r="E82" s="4361" t="s">
        <v>5370</v>
      </c>
      <c r="F82" s="4362" t="s">
        <v>5371</v>
      </c>
      <c r="G82" s="4452" t="s">
        <v>5372</v>
      </c>
      <c r="H82" s="4453" t="s">
        <v>5373</v>
      </c>
      <c r="I82" s="4454" t="s">
        <v>5374</v>
      </c>
      <c r="J82" s="4455" t="s">
        <v>5375</v>
      </c>
      <c r="K82" s="4258"/>
      <c r="L82" s="4258"/>
      <c r="M82" s="4258"/>
      <c r="N82" s="4258"/>
      <c r="O82" s="4258"/>
      <c r="P82" s="4258"/>
      <c r="Q82" s="4258"/>
      <c r="R82" s="4258"/>
      <c r="S82" s="4258"/>
      <c r="T82" s="4258"/>
      <c r="U82" s="4258"/>
      <c r="V82" s="4258"/>
      <c r="W82" s="4258"/>
      <c r="X82" s="4258"/>
      <c r="Y82" s="4258"/>
      <c r="Z82" s="4258"/>
      <c r="AA82" s="4258"/>
      <c r="AB82" s="4258"/>
      <c r="AC82" s="4258"/>
      <c r="AD82" s="4258"/>
      <c r="AE82" s="4258"/>
      <c r="AF82" s="4258"/>
      <c r="AG82" s="4258"/>
      <c r="AH82" s="4258"/>
      <c r="AI82" s="4258"/>
      <c r="AJ82" s="4258"/>
      <c r="AK82" s="4258"/>
      <c r="AL82" s="4258"/>
      <c r="AM82" s="4258"/>
      <c r="AN82" s="4258"/>
      <c r="AO82" s="4258"/>
      <c r="AP82" s="4258"/>
      <c r="AQ82" s="4258"/>
      <c r="AR82" s="4258"/>
      <c r="AS82" s="4258"/>
      <c r="AT82" s="4258"/>
      <c r="AU82" s="4258"/>
      <c r="AV82" s="4258"/>
      <c r="AW82" s="4258"/>
      <c r="AX82" s="4258"/>
      <c r="AY82" s="4258"/>
      <c r="AZ82" s="4258"/>
      <c r="BA82" s="4258"/>
      <c r="BB82" s="4258"/>
      <c r="BC82" s="4258"/>
      <c r="BD82" s="4258"/>
      <c r="BE82" s="4258"/>
      <c r="BF82" s="4258"/>
      <c r="BG82" s="4258"/>
      <c r="BH82" s="4258"/>
      <c r="BI82" s="4258"/>
      <c r="BJ82" s="4258"/>
      <c r="BK82" s="4258"/>
      <c r="BL82" s="4258"/>
      <c r="BM82" s="4258"/>
      <c r="BN82" s="4258"/>
      <c r="BO82" s="4258"/>
      <c r="BP82" s="4258"/>
      <c r="BQ82" s="4258"/>
      <c r="BR82" s="4258"/>
      <c r="BS82" s="4258"/>
      <c r="BT82" s="4258"/>
      <c r="BU82" s="4258"/>
      <c r="BV82" s="4258"/>
      <c r="BW82" s="4259"/>
      <c r="BX82" s="4259"/>
      <c r="BY82" s="4260"/>
      <c r="BZ82" s="4260"/>
      <c r="CA82" s="4260"/>
      <c r="CB82" s="4261"/>
      <c r="CC82" s="4261"/>
      <c r="CD82" s="4261"/>
      <c r="CE82" s="4261"/>
      <c r="CF82" s="4261"/>
      <c r="CG82" s="4261"/>
      <c r="CH82" s="4261"/>
      <c r="CI82" s="4261"/>
      <c r="CJ82" s="4261"/>
      <c r="CK82" s="4261"/>
      <c r="CL82" s="4261"/>
      <c r="CM82" s="4261"/>
      <c r="CN82" s="4261"/>
      <c r="CO82" s="4261"/>
      <c r="CP82" s="4261"/>
      <c r="CQ82" s="4261"/>
      <c r="CR82" s="4261"/>
      <c r="CS82" s="4261"/>
      <c r="CT82" s="4261"/>
      <c r="CU82" s="4261"/>
      <c r="CV82" s="4261"/>
      <c r="CW82" s="4261"/>
      <c r="CX82" s="4261"/>
      <c r="CY82" s="4261"/>
      <c r="CZ82" s="4261"/>
      <c r="DA82" s="4262"/>
      <c r="DB82" s="4294"/>
      <c r="DC82" s="4294"/>
      <c r="DD82" s="4294"/>
      <c r="DE82" s="4294"/>
      <c r="DF82" s="4294"/>
      <c r="DG82" s="4294"/>
      <c r="DH82" s="4294"/>
      <c r="DI82" s="4294"/>
      <c r="DJ82" s="4294"/>
      <c r="DK82" s="4294"/>
      <c r="DL82" s="4294"/>
      <c r="DM82" s="4294"/>
      <c r="DN82" s="4294"/>
      <c r="DO82" s="4294"/>
      <c r="DP82" s="4294"/>
      <c r="DQ82" s="4294"/>
      <c r="DR82" s="4260"/>
      <c r="DS82" s="4260"/>
      <c r="DT82" s="4260"/>
      <c r="DU82" s="4260"/>
      <c r="DV82" s="4260"/>
      <c r="DW82" s="4260"/>
      <c r="DX82" s="4260"/>
      <c r="DY82" s="4260"/>
      <c r="DZ82" s="4260"/>
      <c r="EA82" s="4260"/>
      <c r="EB82" s="4260"/>
      <c r="EC82" s="4260"/>
      <c r="ED82" s="4260"/>
      <c r="EE82" s="4260"/>
      <c r="EF82" s="4260"/>
      <c r="EG82" s="4260"/>
      <c r="EH82" s="4260"/>
      <c r="EI82" s="4260"/>
      <c r="EJ82" s="4260"/>
      <c r="EK82" s="4260"/>
      <c r="EL82" s="4260"/>
      <c r="EM82" s="4260"/>
      <c r="EN82" s="4260"/>
      <c r="EO82" s="4260"/>
      <c r="EP82" s="4260"/>
      <c r="EQ82" s="4260"/>
      <c r="ER82" s="4260"/>
      <c r="ES82" s="4260"/>
      <c r="ET82" s="4260"/>
      <c r="EU82" s="4260"/>
      <c r="EV82" s="4260"/>
      <c r="EW82" s="4260"/>
      <c r="EX82" s="4260"/>
      <c r="EY82" s="4260"/>
      <c r="EZ82" s="4260"/>
      <c r="FA82" s="4260"/>
      <c r="FB82" s="4260"/>
      <c r="FC82" s="4260"/>
      <c r="FD82" s="4260"/>
      <c r="FE82" s="4260"/>
      <c r="FF82" s="4260"/>
      <c r="FG82" s="4260"/>
      <c r="FH82" s="4260"/>
      <c r="FI82" s="4260"/>
      <c r="FJ82" s="4260"/>
      <c r="FK82" s="4260"/>
      <c r="FL82" s="4260"/>
      <c r="FM82" s="4260"/>
      <c r="FN82" s="4260"/>
      <c r="FO82" s="4260"/>
      <c r="FP82" s="4260"/>
      <c r="FQ82" s="4260"/>
      <c r="FR82" s="4260"/>
      <c r="FS82" s="4260"/>
      <c r="FT82" s="4260"/>
      <c r="FU82" s="4260"/>
      <c r="FV82" s="4260"/>
      <c r="FW82" s="4260"/>
      <c r="FX82" s="4260"/>
      <c r="FY82" s="4260"/>
      <c r="FZ82" s="4260"/>
      <c r="GA82" s="4260"/>
      <c r="GB82" s="4260"/>
      <c r="GC82" s="4260"/>
      <c r="GD82" s="4260"/>
      <c r="GE82" s="4260"/>
      <c r="GF82" s="4260"/>
      <c r="GG82" s="4260"/>
      <c r="GH82" s="4260"/>
      <c r="GI82" s="4260"/>
      <c r="GJ82" s="4260"/>
      <c r="GK82" s="4260"/>
      <c r="GL82" s="4260"/>
      <c r="GM82" s="4260"/>
      <c r="GN82" s="4260"/>
      <c r="GO82" s="4260"/>
      <c r="GP82" s="4260"/>
      <c r="GQ82" s="4260"/>
      <c r="GR82" s="4260"/>
      <c r="GS82" s="4260"/>
      <c r="GT82" s="4260"/>
      <c r="GU82" s="4260"/>
      <c r="GV82" s="4260"/>
      <c r="GW82" s="4260"/>
      <c r="GX82" s="4260"/>
      <c r="GY82" s="4260"/>
      <c r="GZ82" s="4260"/>
      <c r="HA82" s="4260"/>
      <c r="HB82" s="4260"/>
      <c r="HC82" s="4260"/>
      <c r="HD82" s="4260"/>
      <c r="HE82" s="4260"/>
      <c r="HF82" s="4260"/>
      <c r="HG82" s="4260"/>
      <c r="HH82" s="4260"/>
      <c r="HI82" s="4260"/>
      <c r="HJ82" s="4260"/>
      <c r="HK82" s="4260"/>
      <c r="HL82" s="4260"/>
      <c r="HM82" s="4260"/>
      <c r="HN82" s="4260"/>
      <c r="HO82" s="4260"/>
      <c r="HP82" s="4260"/>
      <c r="HQ82" s="4260"/>
      <c r="HR82" s="4260"/>
      <c r="HS82" s="4260"/>
      <c r="HT82" s="4260"/>
      <c r="HU82" s="4260"/>
      <c r="HV82" s="4260"/>
      <c r="HW82" s="4260"/>
      <c r="HX82" s="4260"/>
      <c r="HY82" s="4260"/>
      <c r="HZ82" s="4260"/>
    </row>
    <row r="83" spans="1:234" s="4295" customFormat="1" x14ac:dyDescent="0.25">
      <c r="A83" s="7258">
        <v>26280060</v>
      </c>
      <c r="B83" s="10752" t="s">
        <v>1620</v>
      </c>
      <c r="C83" s="10753"/>
      <c r="D83" s="4456" t="s">
        <v>5369</v>
      </c>
      <c r="E83" s="4369" t="s">
        <v>5370</v>
      </c>
      <c r="F83" s="4370" t="s">
        <v>5371</v>
      </c>
      <c r="G83" s="4457" t="s">
        <v>5372</v>
      </c>
      <c r="H83" s="4458" t="s">
        <v>5373</v>
      </c>
      <c r="I83" s="4459" t="s">
        <v>5374</v>
      </c>
      <c r="J83" s="4460" t="s">
        <v>5375</v>
      </c>
      <c r="K83" s="4258"/>
      <c r="L83" s="4258"/>
      <c r="M83" s="4258"/>
      <c r="N83" s="4258"/>
      <c r="O83" s="4258"/>
      <c r="P83" s="4258"/>
      <c r="Q83" s="4258"/>
      <c r="R83" s="4258"/>
      <c r="S83" s="4258"/>
      <c r="T83" s="4258"/>
      <c r="U83" s="4258"/>
      <c r="V83" s="4258"/>
      <c r="W83" s="4258"/>
      <c r="X83" s="4258"/>
      <c r="Y83" s="4258"/>
      <c r="Z83" s="4258"/>
      <c r="AA83" s="4258"/>
      <c r="AB83" s="4258"/>
      <c r="AC83" s="4258"/>
      <c r="AD83" s="4258"/>
      <c r="AE83" s="4258"/>
      <c r="AF83" s="4258"/>
      <c r="AG83" s="4258"/>
      <c r="AH83" s="4258"/>
      <c r="AI83" s="4258"/>
      <c r="AJ83" s="4258"/>
      <c r="AK83" s="4258"/>
      <c r="AL83" s="4258"/>
      <c r="AM83" s="4258"/>
      <c r="AN83" s="4258"/>
      <c r="AO83" s="4258"/>
      <c r="AP83" s="4258"/>
      <c r="AQ83" s="4258"/>
      <c r="AR83" s="4258"/>
      <c r="AS83" s="4258"/>
      <c r="AT83" s="4258"/>
      <c r="AU83" s="4258"/>
      <c r="AV83" s="4258"/>
      <c r="AW83" s="4258"/>
      <c r="AX83" s="4258"/>
      <c r="AY83" s="4258"/>
      <c r="AZ83" s="4258"/>
      <c r="BA83" s="4258"/>
      <c r="BB83" s="4258"/>
      <c r="BC83" s="4258"/>
      <c r="BD83" s="4258"/>
      <c r="BE83" s="4258"/>
      <c r="BF83" s="4258"/>
      <c r="BG83" s="4258"/>
      <c r="BH83" s="4258"/>
      <c r="BI83" s="4258"/>
      <c r="BJ83" s="4258"/>
      <c r="BK83" s="4258"/>
      <c r="BL83" s="4258"/>
      <c r="BM83" s="4258"/>
      <c r="BN83" s="4258"/>
      <c r="BO83" s="4258"/>
      <c r="BP83" s="4258"/>
      <c r="BQ83" s="4258"/>
      <c r="BR83" s="4258"/>
      <c r="BS83" s="4258"/>
      <c r="BT83" s="4258"/>
      <c r="BU83" s="4258"/>
      <c r="BV83" s="4258"/>
      <c r="BW83" s="4259"/>
      <c r="BX83" s="4259"/>
      <c r="BY83" s="4260"/>
      <c r="BZ83" s="4260"/>
      <c r="CA83" s="4260"/>
      <c r="CB83" s="4261"/>
      <c r="CC83" s="4261"/>
      <c r="CD83" s="4261"/>
      <c r="CE83" s="4261"/>
      <c r="CF83" s="4261"/>
      <c r="CG83" s="4261"/>
      <c r="CH83" s="4261"/>
      <c r="CI83" s="4261"/>
      <c r="CJ83" s="4261"/>
      <c r="CK83" s="4261"/>
      <c r="CL83" s="4261"/>
      <c r="CM83" s="4261"/>
      <c r="CN83" s="4261"/>
      <c r="CO83" s="4261"/>
      <c r="CP83" s="4261"/>
      <c r="CQ83" s="4261"/>
      <c r="CR83" s="4261"/>
      <c r="CS83" s="4261"/>
      <c r="CT83" s="4261"/>
      <c r="CU83" s="4261"/>
      <c r="CV83" s="4261"/>
      <c r="CW83" s="4261"/>
      <c r="CX83" s="4261"/>
      <c r="CY83" s="4261"/>
      <c r="CZ83" s="4261"/>
      <c r="DA83" s="4262"/>
      <c r="DB83" s="4294"/>
      <c r="DC83" s="4294"/>
      <c r="DD83" s="4294"/>
      <c r="DE83" s="4294"/>
      <c r="DF83" s="4294"/>
      <c r="DG83" s="4294"/>
      <c r="DH83" s="4294"/>
      <c r="DI83" s="4294"/>
      <c r="DJ83" s="4294"/>
      <c r="DK83" s="4294"/>
      <c r="DL83" s="4294"/>
      <c r="DM83" s="4294"/>
      <c r="DN83" s="4294"/>
      <c r="DO83" s="4294"/>
      <c r="DP83" s="4294"/>
      <c r="DQ83" s="4294"/>
      <c r="DR83" s="4260"/>
      <c r="DS83" s="4260"/>
      <c r="DT83" s="4260"/>
      <c r="DU83" s="4260"/>
      <c r="DV83" s="4260"/>
      <c r="DW83" s="4260"/>
      <c r="DX83" s="4260"/>
      <c r="DY83" s="4260"/>
      <c r="DZ83" s="4260"/>
      <c r="EA83" s="4260"/>
      <c r="EB83" s="4260"/>
      <c r="EC83" s="4260"/>
      <c r="ED83" s="4260"/>
      <c r="EE83" s="4260"/>
      <c r="EF83" s="4260"/>
      <c r="EG83" s="4260"/>
      <c r="EH83" s="4260"/>
      <c r="EI83" s="4260"/>
      <c r="EJ83" s="4260"/>
      <c r="EK83" s="4260"/>
      <c r="EL83" s="4260"/>
      <c r="EM83" s="4260"/>
      <c r="EN83" s="4260"/>
      <c r="EO83" s="4260"/>
      <c r="EP83" s="4260"/>
      <c r="EQ83" s="4260"/>
      <c r="ER83" s="4260"/>
      <c r="ES83" s="4260"/>
      <c r="ET83" s="4260"/>
      <c r="EU83" s="4260"/>
      <c r="EV83" s="4260"/>
      <c r="EW83" s="4260"/>
      <c r="EX83" s="4260"/>
      <c r="EY83" s="4260"/>
      <c r="EZ83" s="4260"/>
      <c r="FA83" s="4260"/>
      <c r="FB83" s="4260"/>
      <c r="FC83" s="4260"/>
      <c r="FD83" s="4260"/>
      <c r="FE83" s="4260"/>
      <c r="FF83" s="4260"/>
      <c r="FG83" s="4260"/>
      <c r="FH83" s="4260"/>
      <c r="FI83" s="4260"/>
      <c r="FJ83" s="4260"/>
      <c r="FK83" s="4260"/>
      <c r="FL83" s="4260"/>
      <c r="FM83" s="4260"/>
      <c r="FN83" s="4260"/>
      <c r="FO83" s="4260"/>
      <c r="FP83" s="4260"/>
      <c r="FQ83" s="4260"/>
      <c r="FR83" s="4260"/>
      <c r="FS83" s="4260"/>
      <c r="FT83" s="4260"/>
      <c r="FU83" s="4260"/>
      <c r="FV83" s="4260"/>
      <c r="FW83" s="4260"/>
      <c r="FX83" s="4260"/>
      <c r="FY83" s="4260"/>
      <c r="FZ83" s="4260"/>
      <c r="GA83" s="4260"/>
      <c r="GB83" s="4260"/>
      <c r="GC83" s="4260"/>
      <c r="GD83" s="4260"/>
      <c r="GE83" s="4260"/>
      <c r="GF83" s="4260"/>
      <c r="GG83" s="4260"/>
      <c r="GH83" s="4260"/>
      <c r="GI83" s="4260"/>
      <c r="GJ83" s="4260"/>
      <c r="GK83" s="4260"/>
      <c r="GL83" s="4260"/>
      <c r="GM83" s="4260"/>
      <c r="GN83" s="4260"/>
      <c r="GO83" s="4260"/>
      <c r="GP83" s="4260"/>
      <c r="GQ83" s="4260"/>
      <c r="GR83" s="4260"/>
      <c r="GS83" s="4260"/>
      <c r="GT83" s="4260"/>
      <c r="GU83" s="4260"/>
      <c r="GV83" s="4260"/>
      <c r="GW83" s="4260"/>
      <c r="GX83" s="4260"/>
      <c r="GY83" s="4260"/>
      <c r="GZ83" s="4260"/>
      <c r="HA83" s="4260"/>
      <c r="HB83" s="4260"/>
      <c r="HC83" s="4260"/>
      <c r="HD83" s="4260"/>
      <c r="HE83" s="4260"/>
      <c r="HF83" s="4260"/>
      <c r="HG83" s="4260"/>
      <c r="HH83" s="4260"/>
      <c r="HI83" s="4260"/>
      <c r="HJ83" s="4260"/>
      <c r="HK83" s="4260"/>
      <c r="HL83" s="4260"/>
      <c r="HM83" s="4260"/>
      <c r="HN83" s="4260"/>
      <c r="HO83" s="4260"/>
      <c r="HP83" s="4260"/>
      <c r="HQ83" s="4260"/>
      <c r="HR83" s="4260"/>
      <c r="HS83" s="4260"/>
      <c r="HT83" s="4260"/>
      <c r="HU83" s="4260"/>
      <c r="HV83" s="4260"/>
      <c r="HW83" s="4260"/>
      <c r="HX83" s="4260"/>
      <c r="HY83" s="4260"/>
      <c r="HZ83" s="4260"/>
    </row>
    <row r="84" spans="1:234" s="4295" customFormat="1" x14ac:dyDescent="0.25">
      <c r="A84" s="7258">
        <v>26280070</v>
      </c>
      <c r="B84" s="10752" t="s">
        <v>1415</v>
      </c>
      <c r="C84" s="10753"/>
      <c r="D84" s="4456" t="s">
        <v>5369</v>
      </c>
      <c r="E84" s="4369" t="s">
        <v>5370</v>
      </c>
      <c r="F84" s="4370" t="s">
        <v>5371</v>
      </c>
      <c r="G84" s="4457" t="s">
        <v>5372</v>
      </c>
      <c r="H84" s="4458" t="s">
        <v>5373</v>
      </c>
      <c r="I84" s="4459" t="s">
        <v>5374</v>
      </c>
      <c r="J84" s="4460" t="s">
        <v>5375</v>
      </c>
      <c r="K84" s="4258"/>
      <c r="L84" s="4258"/>
      <c r="M84" s="4258"/>
      <c r="N84" s="4258"/>
      <c r="O84" s="4258"/>
      <c r="P84" s="4258"/>
      <c r="Q84" s="4258"/>
      <c r="R84" s="4258"/>
      <c r="S84" s="4258"/>
      <c r="T84" s="4258"/>
      <c r="U84" s="4258"/>
      <c r="V84" s="4258"/>
      <c r="W84" s="4258"/>
      <c r="X84" s="4258"/>
      <c r="Y84" s="4258"/>
      <c r="Z84" s="4258"/>
      <c r="AA84" s="4258"/>
      <c r="AB84" s="4258"/>
      <c r="AC84" s="4258"/>
      <c r="AD84" s="4258"/>
      <c r="AE84" s="4258"/>
      <c r="AF84" s="4258"/>
      <c r="AG84" s="4258"/>
      <c r="AH84" s="4258"/>
      <c r="AI84" s="4258"/>
      <c r="AJ84" s="4258"/>
      <c r="AK84" s="4258"/>
      <c r="AL84" s="4258"/>
      <c r="AM84" s="4258"/>
      <c r="AN84" s="4258"/>
      <c r="AO84" s="4258"/>
      <c r="AP84" s="4258"/>
      <c r="AQ84" s="4258"/>
      <c r="AR84" s="4258"/>
      <c r="AS84" s="4258"/>
      <c r="AT84" s="4258"/>
      <c r="AU84" s="4258"/>
      <c r="AV84" s="4258"/>
      <c r="AW84" s="4258"/>
      <c r="AX84" s="4258"/>
      <c r="AY84" s="4258"/>
      <c r="AZ84" s="4258"/>
      <c r="BA84" s="4258"/>
      <c r="BB84" s="4258"/>
      <c r="BC84" s="4258"/>
      <c r="BD84" s="4258"/>
      <c r="BE84" s="4258"/>
      <c r="BF84" s="4258"/>
      <c r="BG84" s="4258"/>
      <c r="BH84" s="4258"/>
      <c r="BI84" s="4258"/>
      <c r="BJ84" s="4258"/>
      <c r="BK84" s="4258"/>
      <c r="BL84" s="4258"/>
      <c r="BM84" s="4258"/>
      <c r="BN84" s="4258"/>
      <c r="BO84" s="4258"/>
      <c r="BP84" s="4258"/>
      <c r="BQ84" s="4258"/>
      <c r="BR84" s="4258"/>
      <c r="BS84" s="4258"/>
      <c r="BT84" s="4258"/>
      <c r="BU84" s="4258"/>
      <c r="BV84" s="4258"/>
      <c r="BW84" s="4259"/>
      <c r="BX84" s="4259"/>
      <c r="BY84" s="4260"/>
      <c r="BZ84" s="4260"/>
      <c r="CA84" s="4260"/>
      <c r="CB84" s="4261"/>
      <c r="CC84" s="4261"/>
      <c r="CD84" s="4261"/>
      <c r="CE84" s="4261"/>
      <c r="CF84" s="4261"/>
      <c r="CG84" s="4261"/>
      <c r="CH84" s="4261"/>
      <c r="CI84" s="4261"/>
      <c r="CJ84" s="4261"/>
      <c r="CK84" s="4261"/>
      <c r="CL84" s="4261"/>
      <c r="CM84" s="4261"/>
      <c r="CN84" s="4261"/>
      <c r="CO84" s="4261"/>
      <c r="CP84" s="4261"/>
      <c r="CQ84" s="4261"/>
      <c r="CR84" s="4261"/>
      <c r="CS84" s="4261"/>
      <c r="CT84" s="4261"/>
      <c r="CU84" s="4261"/>
      <c r="CV84" s="4261"/>
      <c r="CW84" s="4261"/>
      <c r="CX84" s="4261"/>
      <c r="CY84" s="4261"/>
      <c r="CZ84" s="4261"/>
      <c r="DA84" s="4262"/>
      <c r="DB84" s="4294"/>
      <c r="DC84" s="4294"/>
      <c r="DD84" s="4294"/>
      <c r="DE84" s="4294"/>
      <c r="DF84" s="4294"/>
      <c r="DG84" s="4294"/>
      <c r="DH84" s="4294"/>
      <c r="DI84" s="4294"/>
      <c r="DJ84" s="4294"/>
      <c r="DK84" s="4294"/>
      <c r="DL84" s="4294"/>
      <c r="DM84" s="4294"/>
      <c r="DN84" s="4294"/>
      <c r="DO84" s="4294"/>
      <c r="DP84" s="4294"/>
      <c r="DQ84" s="4294"/>
      <c r="DR84" s="4260"/>
      <c r="DS84" s="4260"/>
      <c r="DT84" s="4260"/>
      <c r="DU84" s="4260"/>
      <c r="DV84" s="4260"/>
      <c r="DW84" s="4260"/>
      <c r="DX84" s="4260"/>
      <c r="DY84" s="4260"/>
      <c r="DZ84" s="4260"/>
      <c r="EA84" s="4260"/>
      <c r="EB84" s="4260"/>
      <c r="EC84" s="4260"/>
      <c r="ED84" s="4260"/>
      <c r="EE84" s="4260"/>
      <c r="EF84" s="4260"/>
      <c r="EG84" s="4260"/>
      <c r="EH84" s="4260"/>
      <c r="EI84" s="4260"/>
      <c r="EJ84" s="4260"/>
      <c r="EK84" s="4260"/>
      <c r="EL84" s="4260"/>
      <c r="EM84" s="4260"/>
      <c r="EN84" s="4260"/>
      <c r="EO84" s="4260"/>
      <c r="EP84" s="4260"/>
      <c r="EQ84" s="4260"/>
      <c r="ER84" s="4260"/>
      <c r="ES84" s="4260"/>
      <c r="ET84" s="4260"/>
      <c r="EU84" s="4260"/>
      <c r="EV84" s="4260"/>
      <c r="EW84" s="4260"/>
      <c r="EX84" s="4260"/>
      <c r="EY84" s="4260"/>
      <c r="EZ84" s="4260"/>
      <c r="FA84" s="4260"/>
      <c r="FB84" s="4260"/>
      <c r="FC84" s="4260"/>
      <c r="FD84" s="4260"/>
      <c r="FE84" s="4260"/>
      <c r="FF84" s="4260"/>
      <c r="FG84" s="4260"/>
      <c r="FH84" s="4260"/>
      <c r="FI84" s="4260"/>
      <c r="FJ84" s="4260"/>
      <c r="FK84" s="4260"/>
      <c r="FL84" s="4260"/>
      <c r="FM84" s="4260"/>
      <c r="FN84" s="4260"/>
      <c r="FO84" s="4260"/>
      <c r="FP84" s="4260"/>
      <c r="FQ84" s="4260"/>
      <c r="FR84" s="4260"/>
      <c r="FS84" s="4260"/>
      <c r="FT84" s="4260"/>
      <c r="FU84" s="4260"/>
      <c r="FV84" s="4260"/>
      <c r="FW84" s="4260"/>
      <c r="FX84" s="4260"/>
      <c r="FY84" s="4260"/>
      <c r="FZ84" s="4260"/>
      <c r="GA84" s="4260"/>
      <c r="GB84" s="4260"/>
      <c r="GC84" s="4260"/>
      <c r="GD84" s="4260"/>
      <c r="GE84" s="4260"/>
      <c r="GF84" s="4260"/>
      <c r="GG84" s="4260"/>
      <c r="GH84" s="4260"/>
      <c r="GI84" s="4260"/>
      <c r="GJ84" s="4260"/>
      <c r="GK84" s="4260"/>
      <c r="GL84" s="4260"/>
      <c r="GM84" s="4260"/>
      <c r="GN84" s="4260"/>
      <c r="GO84" s="4260"/>
      <c r="GP84" s="4260"/>
      <c r="GQ84" s="4260"/>
      <c r="GR84" s="4260"/>
      <c r="GS84" s="4260"/>
      <c r="GT84" s="4260"/>
      <c r="GU84" s="4260"/>
      <c r="GV84" s="4260"/>
      <c r="GW84" s="4260"/>
      <c r="GX84" s="4260"/>
      <c r="GY84" s="4260"/>
      <c r="GZ84" s="4260"/>
      <c r="HA84" s="4260"/>
      <c r="HB84" s="4260"/>
      <c r="HC84" s="4260"/>
      <c r="HD84" s="4260"/>
      <c r="HE84" s="4260"/>
      <c r="HF84" s="4260"/>
      <c r="HG84" s="4260"/>
      <c r="HH84" s="4260"/>
      <c r="HI84" s="4260"/>
      <c r="HJ84" s="4260"/>
      <c r="HK84" s="4260"/>
      <c r="HL84" s="4260"/>
      <c r="HM84" s="4260"/>
      <c r="HN84" s="4260"/>
      <c r="HO84" s="4260"/>
      <c r="HP84" s="4260"/>
      <c r="HQ84" s="4260"/>
      <c r="HR84" s="4260"/>
      <c r="HS84" s="4260"/>
      <c r="HT84" s="4260"/>
      <c r="HU84" s="4260"/>
      <c r="HV84" s="4260"/>
      <c r="HW84" s="4260"/>
      <c r="HX84" s="4260"/>
      <c r="HY84" s="4260"/>
      <c r="HZ84" s="4260"/>
    </row>
    <row r="85" spans="1:234" s="4295" customFormat="1" x14ac:dyDescent="0.25">
      <c r="A85" s="7294">
        <v>29101544</v>
      </c>
      <c r="B85" s="10754" t="s">
        <v>3509</v>
      </c>
      <c r="C85" s="10753"/>
      <c r="D85" s="4461" t="s">
        <v>5369</v>
      </c>
      <c r="E85" s="4229" t="s">
        <v>5370</v>
      </c>
      <c r="F85" s="4462" t="s">
        <v>5371</v>
      </c>
      <c r="G85" s="4230" t="s">
        <v>5372</v>
      </c>
      <c r="H85" s="4463" t="s">
        <v>5373</v>
      </c>
      <c r="I85" s="4365" t="s">
        <v>5374</v>
      </c>
      <c r="J85" s="3842" t="s">
        <v>5375</v>
      </c>
      <c r="K85" s="4258"/>
      <c r="L85" s="4258"/>
      <c r="M85" s="4258"/>
      <c r="N85" s="4258"/>
      <c r="O85" s="4258"/>
      <c r="P85" s="4258"/>
      <c r="Q85" s="4258"/>
      <c r="R85" s="4258"/>
      <c r="S85" s="4258"/>
      <c r="T85" s="4258"/>
      <c r="U85" s="4258"/>
      <c r="V85" s="4258"/>
      <c r="W85" s="4258"/>
      <c r="X85" s="4258"/>
      <c r="Y85" s="4258"/>
      <c r="Z85" s="4258"/>
      <c r="AA85" s="4258"/>
      <c r="AB85" s="4258"/>
      <c r="AC85" s="4258"/>
      <c r="AD85" s="4258"/>
      <c r="AE85" s="4258"/>
      <c r="AF85" s="4258"/>
      <c r="AG85" s="4258"/>
      <c r="AH85" s="4258"/>
      <c r="AI85" s="4258"/>
      <c r="AJ85" s="4258"/>
      <c r="AK85" s="4258"/>
      <c r="AL85" s="4258"/>
      <c r="AM85" s="4258"/>
      <c r="AN85" s="4258"/>
      <c r="AO85" s="4258"/>
      <c r="AP85" s="4258"/>
      <c r="AQ85" s="4258"/>
      <c r="AR85" s="4258"/>
      <c r="AS85" s="4258"/>
      <c r="AT85" s="4258"/>
      <c r="AU85" s="4258"/>
      <c r="AV85" s="4258"/>
      <c r="AW85" s="4258"/>
      <c r="AX85" s="4258"/>
      <c r="AY85" s="4258"/>
      <c r="AZ85" s="4258"/>
      <c r="BA85" s="4258"/>
      <c r="BB85" s="4258"/>
      <c r="BC85" s="4258"/>
      <c r="BD85" s="4258"/>
      <c r="BE85" s="4258"/>
      <c r="BF85" s="4258"/>
      <c r="BG85" s="4258"/>
      <c r="BH85" s="4258"/>
      <c r="BI85" s="4258"/>
      <c r="BJ85" s="4258"/>
      <c r="BK85" s="4258"/>
      <c r="BL85" s="4258"/>
      <c r="BM85" s="4258"/>
      <c r="BN85" s="4258"/>
      <c r="BO85" s="4258"/>
      <c r="BP85" s="4258"/>
      <c r="BQ85" s="4258"/>
      <c r="BR85" s="4258"/>
      <c r="BS85" s="4258"/>
      <c r="BT85" s="4258"/>
      <c r="BU85" s="4258"/>
      <c r="BV85" s="4258"/>
      <c r="BW85" s="4259"/>
      <c r="BX85" s="4259"/>
      <c r="BY85" s="4260"/>
      <c r="BZ85" s="4260"/>
      <c r="CA85" s="4260"/>
      <c r="CB85" s="4261"/>
      <c r="CC85" s="4261"/>
      <c r="CD85" s="4261"/>
      <c r="CE85" s="4261"/>
      <c r="CF85" s="4261"/>
      <c r="CG85" s="4261"/>
      <c r="CH85" s="4261"/>
      <c r="CI85" s="4261"/>
      <c r="CJ85" s="4261"/>
      <c r="CK85" s="4261"/>
      <c r="CL85" s="4261"/>
      <c r="CM85" s="4261"/>
      <c r="CN85" s="4261"/>
      <c r="CO85" s="4261"/>
      <c r="CP85" s="4261"/>
      <c r="CQ85" s="4261"/>
      <c r="CR85" s="4261"/>
      <c r="CS85" s="4261"/>
      <c r="CT85" s="4261"/>
      <c r="CU85" s="4261"/>
      <c r="CV85" s="4261"/>
      <c r="CW85" s="4261"/>
      <c r="CX85" s="4261"/>
      <c r="CY85" s="4261"/>
      <c r="CZ85" s="4261"/>
      <c r="DA85" s="4262"/>
      <c r="DB85" s="4294"/>
      <c r="DC85" s="4294"/>
      <c r="DD85" s="4294"/>
      <c r="DE85" s="4294"/>
      <c r="DF85" s="4294"/>
      <c r="DG85" s="4294"/>
      <c r="DH85" s="4294"/>
      <c r="DI85" s="4294"/>
      <c r="DJ85" s="4294"/>
      <c r="DK85" s="4294"/>
      <c r="DL85" s="4294"/>
      <c r="DM85" s="4294"/>
      <c r="DN85" s="4294"/>
      <c r="DO85" s="4294"/>
      <c r="DP85" s="4294"/>
      <c r="DQ85" s="4294"/>
      <c r="DR85" s="4260"/>
      <c r="DS85" s="4260"/>
      <c r="DT85" s="4260"/>
      <c r="DU85" s="4260"/>
      <c r="DV85" s="4260"/>
      <c r="DW85" s="4260"/>
      <c r="DX85" s="4260"/>
      <c r="DY85" s="4260"/>
      <c r="DZ85" s="4260"/>
      <c r="EA85" s="4260"/>
      <c r="EB85" s="4260"/>
      <c r="EC85" s="4260"/>
      <c r="ED85" s="4260"/>
      <c r="EE85" s="4260"/>
      <c r="EF85" s="4260"/>
      <c r="EG85" s="4260"/>
      <c r="EH85" s="4260"/>
      <c r="EI85" s="4260"/>
      <c r="EJ85" s="4260"/>
      <c r="EK85" s="4260"/>
      <c r="EL85" s="4260"/>
      <c r="EM85" s="4260"/>
      <c r="EN85" s="4260"/>
      <c r="EO85" s="4260"/>
      <c r="EP85" s="4260"/>
      <c r="EQ85" s="4260"/>
      <c r="ER85" s="4260"/>
      <c r="ES85" s="4260"/>
      <c r="ET85" s="4260"/>
      <c r="EU85" s="4260"/>
      <c r="EV85" s="4260"/>
      <c r="EW85" s="4260"/>
      <c r="EX85" s="4260"/>
      <c r="EY85" s="4260"/>
      <c r="EZ85" s="4260"/>
      <c r="FA85" s="4260"/>
      <c r="FB85" s="4260"/>
      <c r="FC85" s="4260"/>
      <c r="FD85" s="4260"/>
      <c r="FE85" s="4260"/>
      <c r="FF85" s="4260"/>
      <c r="FG85" s="4260"/>
      <c r="FH85" s="4260"/>
      <c r="FI85" s="4260"/>
      <c r="FJ85" s="4260"/>
      <c r="FK85" s="4260"/>
      <c r="FL85" s="4260"/>
      <c r="FM85" s="4260"/>
      <c r="FN85" s="4260"/>
      <c r="FO85" s="4260"/>
      <c r="FP85" s="4260"/>
      <c r="FQ85" s="4260"/>
      <c r="FR85" s="4260"/>
      <c r="FS85" s="4260"/>
      <c r="FT85" s="4260"/>
      <c r="FU85" s="4260"/>
      <c r="FV85" s="4260"/>
      <c r="FW85" s="4260"/>
      <c r="FX85" s="4260"/>
      <c r="FY85" s="4260"/>
      <c r="FZ85" s="4260"/>
      <c r="GA85" s="4260"/>
      <c r="GB85" s="4260"/>
      <c r="GC85" s="4260"/>
      <c r="GD85" s="4260"/>
      <c r="GE85" s="4260"/>
      <c r="GF85" s="4260"/>
      <c r="GG85" s="4260"/>
      <c r="GH85" s="4260"/>
      <c r="GI85" s="4260"/>
      <c r="GJ85" s="4260"/>
      <c r="GK85" s="4260"/>
      <c r="GL85" s="4260"/>
      <c r="GM85" s="4260"/>
      <c r="GN85" s="4260"/>
      <c r="GO85" s="4260"/>
      <c r="GP85" s="4260"/>
      <c r="GQ85" s="4260"/>
      <c r="GR85" s="4260"/>
      <c r="GS85" s="4260"/>
      <c r="GT85" s="4260"/>
      <c r="GU85" s="4260"/>
      <c r="GV85" s="4260"/>
      <c r="GW85" s="4260"/>
      <c r="GX85" s="4260"/>
      <c r="GY85" s="4260"/>
      <c r="GZ85" s="4260"/>
      <c r="HA85" s="4260"/>
      <c r="HB85" s="4260"/>
      <c r="HC85" s="4260"/>
      <c r="HD85" s="4260"/>
      <c r="HE85" s="4260"/>
      <c r="HF85" s="4260"/>
      <c r="HG85" s="4260"/>
      <c r="HH85" s="4260"/>
      <c r="HI85" s="4260"/>
      <c r="HJ85" s="4260"/>
      <c r="HK85" s="4260"/>
      <c r="HL85" s="4260"/>
      <c r="HM85" s="4260"/>
      <c r="HN85" s="4260"/>
      <c r="HO85" s="4260"/>
      <c r="HP85" s="4260"/>
      <c r="HQ85" s="4260"/>
      <c r="HR85" s="4260"/>
      <c r="HS85" s="4260"/>
      <c r="HT85" s="4260"/>
      <c r="HU85" s="4260"/>
      <c r="HV85" s="4260"/>
      <c r="HW85" s="4260"/>
      <c r="HX85" s="4260"/>
      <c r="HY85" s="4260"/>
      <c r="HZ85" s="4260"/>
    </row>
    <row r="86" spans="1:234" s="4295" customFormat="1" x14ac:dyDescent="0.25">
      <c r="A86" s="7294">
        <v>29101545</v>
      </c>
      <c r="B86" s="10754" t="s">
        <v>33</v>
      </c>
      <c r="C86" s="10753"/>
      <c r="D86" s="4461" t="s">
        <v>5369</v>
      </c>
      <c r="E86" s="4229" t="s">
        <v>5370</v>
      </c>
      <c r="F86" s="4462" t="s">
        <v>5371</v>
      </c>
      <c r="G86" s="4230" t="s">
        <v>5372</v>
      </c>
      <c r="H86" s="4463" t="s">
        <v>5373</v>
      </c>
      <c r="I86" s="4365" t="s">
        <v>5374</v>
      </c>
      <c r="J86" s="3842" t="s">
        <v>5375</v>
      </c>
      <c r="K86" s="4258"/>
      <c r="L86" s="4258"/>
      <c r="M86" s="4258"/>
      <c r="N86" s="4258"/>
      <c r="O86" s="4258"/>
      <c r="P86" s="4258"/>
      <c r="Q86" s="4258"/>
      <c r="R86" s="4258"/>
      <c r="S86" s="4258"/>
      <c r="T86" s="4258"/>
      <c r="U86" s="4258"/>
      <c r="V86" s="4258"/>
      <c r="W86" s="4258"/>
      <c r="X86" s="4258"/>
      <c r="Y86" s="4258"/>
      <c r="Z86" s="4258"/>
      <c r="AA86" s="4258"/>
      <c r="AB86" s="4258"/>
      <c r="AC86" s="4258"/>
      <c r="AD86" s="4258"/>
      <c r="AE86" s="4258"/>
      <c r="AF86" s="4258"/>
      <c r="AG86" s="4258"/>
      <c r="AH86" s="4258"/>
      <c r="AI86" s="4258"/>
      <c r="AJ86" s="4258"/>
      <c r="AK86" s="4258"/>
      <c r="AL86" s="4258"/>
      <c r="AM86" s="4258"/>
      <c r="AN86" s="4258"/>
      <c r="AO86" s="4258"/>
      <c r="AP86" s="4258"/>
      <c r="AQ86" s="4258"/>
      <c r="AR86" s="4258"/>
      <c r="AS86" s="4258"/>
      <c r="AT86" s="4258"/>
      <c r="AU86" s="4258"/>
      <c r="AV86" s="4258"/>
      <c r="AW86" s="4258"/>
      <c r="AX86" s="4258"/>
      <c r="AY86" s="4258"/>
      <c r="AZ86" s="4258"/>
      <c r="BA86" s="4258"/>
      <c r="BB86" s="4258"/>
      <c r="BC86" s="4258"/>
      <c r="BD86" s="4258"/>
      <c r="BE86" s="4258"/>
      <c r="BF86" s="4258"/>
      <c r="BG86" s="4258"/>
      <c r="BH86" s="4258"/>
      <c r="BI86" s="4258"/>
      <c r="BJ86" s="4258"/>
      <c r="BK86" s="4258"/>
      <c r="BL86" s="4258"/>
      <c r="BM86" s="4258"/>
      <c r="BN86" s="4258"/>
      <c r="BO86" s="4258"/>
      <c r="BP86" s="4258"/>
      <c r="BQ86" s="4258"/>
      <c r="BR86" s="4258"/>
      <c r="BS86" s="4258"/>
      <c r="BT86" s="4258"/>
      <c r="BU86" s="4258"/>
      <c r="BV86" s="4258"/>
      <c r="BW86" s="4259"/>
      <c r="BX86" s="4259"/>
      <c r="BY86" s="4260"/>
      <c r="BZ86" s="4260"/>
      <c r="CA86" s="4260"/>
      <c r="CB86" s="4261"/>
      <c r="CC86" s="4261"/>
      <c r="CD86" s="4261"/>
      <c r="CE86" s="4261"/>
      <c r="CF86" s="4261"/>
      <c r="CG86" s="4261"/>
      <c r="CH86" s="4261"/>
      <c r="CI86" s="4261"/>
      <c r="CJ86" s="4261"/>
      <c r="CK86" s="4261"/>
      <c r="CL86" s="4261"/>
      <c r="CM86" s="4261"/>
      <c r="CN86" s="4261"/>
      <c r="CO86" s="4261"/>
      <c r="CP86" s="4261"/>
      <c r="CQ86" s="4261"/>
      <c r="CR86" s="4261"/>
      <c r="CS86" s="4261"/>
      <c r="CT86" s="4261"/>
      <c r="CU86" s="4261"/>
      <c r="CV86" s="4261"/>
      <c r="CW86" s="4261"/>
      <c r="CX86" s="4261"/>
      <c r="CY86" s="4261"/>
      <c r="CZ86" s="4261"/>
      <c r="DA86" s="4262"/>
      <c r="DB86" s="4294"/>
      <c r="DC86" s="4294"/>
      <c r="DD86" s="4294"/>
      <c r="DE86" s="4294"/>
      <c r="DF86" s="4294"/>
      <c r="DG86" s="4294"/>
      <c r="DH86" s="4294"/>
      <c r="DI86" s="4294"/>
      <c r="DJ86" s="4294"/>
      <c r="DK86" s="4294"/>
      <c r="DL86" s="4294"/>
      <c r="DM86" s="4294"/>
      <c r="DN86" s="4294"/>
      <c r="DO86" s="4294"/>
      <c r="DP86" s="4294"/>
      <c r="DQ86" s="4294"/>
      <c r="DR86" s="4260"/>
      <c r="DS86" s="4260"/>
      <c r="DT86" s="4260"/>
      <c r="DU86" s="4260"/>
      <c r="DV86" s="4260"/>
      <c r="DW86" s="4260"/>
      <c r="DX86" s="4260"/>
      <c r="DY86" s="4260"/>
      <c r="DZ86" s="4260"/>
      <c r="EA86" s="4260"/>
      <c r="EB86" s="4260"/>
      <c r="EC86" s="4260"/>
      <c r="ED86" s="4260"/>
      <c r="EE86" s="4260"/>
      <c r="EF86" s="4260"/>
      <c r="EG86" s="4260"/>
      <c r="EH86" s="4260"/>
      <c r="EI86" s="4260"/>
      <c r="EJ86" s="4260"/>
      <c r="EK86" s="4260"/>
      <c r="EL86" s="4260"/>
      <c r="EM86" s="4260"/>
      <c r="EN86" s="4260"/>
      <c r="EO86" s="4260"/>
      <c r="EP86" s="4260"/>
      <c r="EQ86" s="4260"/>
      <c r="ER86" s="4260"/>
      <c r="ES86" s="4260"/>
      <c r="ET86" s="4260"/>
      <c r="EU86" s="4260"/>
      <c r="EV86" s="4260"/>
      <c r="EW86" s="4260"/>
      <c r="EX86" s="4260"/>
      <c r="EY86" s="4260"/>
      <c r="EZ86" s="4260"/>
      <c r="FA86" s="4260"/>
      <c r="FB86" s="4260"/>
      <c r="FC86" s="4260"/>
      <c r="FD86" s="4260"/>
      <c r="FE86" s="4260"/>
      <c r="FF86" s="4260"/>
      <c r="FG86" s="4260"/>
      <c r="FH86" s="4260"/>
      <c r="FI86" s="4260"/>
      <c r="FJ86" s="4260"/>
      <c r="FK86" s="4260"/>
      <c r="FL86" s="4260"/>
      <c r="FM86" s="4260"/>
      <c r="FN86" s="4260"/>
      <c r="FO86" s="4260"/>
      <c r="FP86" s="4260"/>
      <c r="FQ86" s="4260"/>
      <c r="FR86" s="4260"/>
      <c r="FS86" s="4260"/>
      <c r="FT86" s="4260"/>
      <c r="FU86" s="4260"/>
      <c r="FV86" s="4260"/>
      <c r="FW86" s="4260"/>
      <c r="FX86" s="4260"/>
      <c r="FY86" s="4260"/>
      <c r="FZ86" s="4260"/>
      <c r="GA86" s="4260"/>
      <c r="GB86" s="4260"/>
      <c r="GC86" s="4260"/>
      <c r="GD86" s="4260"/>
      <c r="GE86" s="4260"/>
      <c r="GF86" s="4260"/>
      <c r="GG86" s="4260"/>
      <c r="GH86" s="4260"/>
      <c r="GI86" s="4260"/>
      <c r="GJ86" s="4260"/>
      <c r="GK86" s="4260"/>
      <c r="GL86" s="4260"/>
      <c r="GM86" s="4260"/>
      <c r="GN86" s="4260"/>
      <c r="GO86" s="4260"/>
      <c r="GP86" s="4260"/>
      <c r="GQ86" s="4260"/>
      <c r="GR86" s="4260"/>
      <c r="GS86" s="4260"/>
      <c r="GT86" s="4260"/>
      <c r="GU86" s="4260"/>
      <c r="GV86" s="4260"/>
      <c r="GW86" s="4260"/>
      <c r="GX86" s="4260"/>
      <c r="GY86" s="4260"/>
      <c r="GZ86" s="4260"/>
      <c r="HA86" s="4260"/>
      <c r="HB86" s="4260"/>
      <c r="HC86" s="4260"/>
      <c r="HD86" s="4260"/>
      <c r="HE86" s="4260"/>
      <c r="HF86" s="4260"/>
      <c r="HG86" s="4260"/>
      <c r="HH86" s="4260"/>
      <c r="HI86" s="4260"/>
      <c r="HJ86" s="4260"/>
      <c r="HK86" s="4260"/>
      <c r="HL86" s="4260"/>
      <c r="HM86" s="4260"/>
      <c r="HN86" s="4260"/>
      <c r="HO86" s="4260"/>
      <c r="HP86" s="4260"/>
      <c r="HQ86" s="4260"/>
      <c r="HR86" s="4260"/>
      <c r="HS86" s="4260"/>
      <c r="HT86" s="4260"/>
      <c r="HU86" s="4260"/>
      <c r="HV86" s="4260"/>
      <c r="HW86" s="4260"/>
      <c r="HX86" s="4260"/>
      <c r="HY86" s="4260"/>
      <c r="HZ86" s="4260"/>
    </row>
    <row r="87" spans="1:234" s="4295" customFormat="1" x14ac:dyDescent="0.25">
      <c r="A87" s="7294">
        <v>29101546</v>
      </c>
      <c r="B87" s="10752" t="s">
        <v>40</v>
      </c>
      <c r="C87" s="10753"/>
      <c r="D87" s="4456" t="s">
        <v>5369</v>
      </c>
      <c r="E87" s="4369" t="s">
        <v>5370</v>
      </c>
      <c r="F87" s="4370" t="s">
        <v>5371</v>
      </c>
      <c r="G87" s="4457" t="s">
        <v>5372</v>
      </c>
      <c r="H87" s="4458" t="s">
        <v>5373</v>
      </c>
      <c r="I87" s="4459" t="s">
        <v>5374</v>
      </c>
      <c r="J87" s="4460" t="s">
        <v>5375</v>
      </c>
      <c r="K87" s="4258"/>
      <c r="L87" s="4258"/>
      <c r="M87" s="4258"/>
      <c r="N87" s="4258"/>
      <c r="O87" s="4258"/>
      <c r="P87" s="4258"/>
      <c r="Q87" s="4258"/>
      <c r="R87" s="4258"/>
      <c r="S87" s="4258"/>
      <c r="T87" s="4258"/>
      <c r="U87" s="4258"/>
      <c r="V87" s="4258"/>
      <c r="W87" s="4258"/>
      <c r="X87" s="4258"/>
      <c r="Y87" s="4258"/>
      <c r="Z87" s="4258"/>
      <c r="AA87" s="4258"/>
      <c r="AB87" s="4258"/>
      <c r="AC87" s="4258"/>
      <c r="AD87" s="4258"/>
      <c r="AE87" s="4258"/>
      <c r="AF87" s="4258"/>
      <c r="AG87" s="4258"/>
      <c r="AH87" s="4258"/>
      <c r="AI87" s="4258"/>
      <c r="AJ87" s="4258"/>
      <c r="AK87" s="4258"/>
      <c r="AL87" s="4258"/>
      <c r="AM87" s="4258"/>
      <c r="AN87" s="4258"/>
      <c r="AO87" s="4258"/>
      <c r="AP87" s="4258"/>
      <c r="AQ87" s="4258"/>
      <c r="AR87" s="4258"/>
      <c r="AS87" s="4258"/>
      <c r="AT87" s="4258"/>
      <c r="AU87" s="4258"/>
      <c r="AV87" s="4258"/>
      <c r="AW87" s="4258"/>
      <c r="AX87" s="4258"/>
      <c r="AY87" s="4258"/>
      <c r="AZ87" s="4258"/>
      <c r="BA87" s="4258"/>
      <c r="BB87" s="4258"/>
      <c r="BC87" s="4258"/>
      <c r="BD87" s="4258"/>
      <c r="BE87" s="4258"/>
      <c r="BF87" s="4258"/>
      <c r="BG87" s="4258"/>
      <c r="BH87" s="4258"/>
      <c r="BI87" s="4258"/>
      <c r="BJ87" s="4258"/>
      <c r="BK87" s="4258"/>
      <c r="BL87" s="4258"/>
      <c r="BM87" s="4258"/>
      <c r="BN87" s="4258"/>
      <c r="BO87" s="4258"/>
      <c r="BP87" s="4258"/>
      <c r="BQ87" s="4258"/>
      <c r="BR87" s="4258"/>
      <c r="BS87" s="4258"/>
      <c r="BT87" s="4258"/>
      <c r="BU87" s="4258"/>
      <c r="BV87" s="4258"/>
      <c r="BW87" s="4259"/>
      <c r="BX87" s="4259"/>
      <c r="BY87" s="4260"/>
      <c r="BZ87" s="4260"/>
      <c r="CA87" s="4260"/>
      <c r="CB87" s="4261"/>
      <c r="CC87" s="4261"/>
      <c r="CD87" s="4261"/>
      <c r="CE87" s="4261"/>
      <c r="CF87" s="4261"/>
      <c r="CG87" s="4261"/>
      <c r="CH87" s="4261"/>
      <c r="CI87" s="4261"/>
      <c r="CJ87" s="4261"/>
      <c r="CK87" s="4261"/>
      <c r="CL87" s="4261"/>
      <c r="CM87" s="4261"/>
      <c r="CN87" s="4261"/>
      <c r="CO87" s="4261"/>
      <c r="CP87" s="4261"/>
      <c r="CQ87" s="4261"/>
      <c r="CR87" s="4261"/>
      <c r="CS87" s="4261"/>
      <c r="CT87" s="4261"/>
      <c r="CU87" s="4261"/>
      <c r="CV87" s="4261"/>
      <c r="CW87" s="4261"/>
      <c r="CX87" s="4261"/>
      <c r="CY87" s="4261"/>
      <c r="CZ87" s="4261"/>
      <c r="DA87" s="4262"/>
      <c r="DB87" s="4294"/>
      <c r="DC87" s="4294"/>
      <c r="DD87" s="4294"/>
      <c r="DE87" s="4294"/>
      <c r="DF87" s="4294"/>
      <c r="DG87" s="4294"/>
      <c r="DH87" s="4294"/>
      <c r="DI87" s="4294"/>
      <c r="DJ87" s="4294"/>
      <c r="DK87" s="4294"/>
      <c r="DL87" s="4294"/>
      <c r="DM87" s="4294"/>
      <c r="DN87" s="4294"/>
      <c r="DO87" s="4294"/>
      <c r="DP87" s="4294"/>
      <c r="DQ87" s="4294"/>
      <c r="DR87" s="4260"/>
      <c r="DS87" s="4260"/>
      <c r="DT87" s="4260"/>
      <c r="DU87" s="4260"/>
      <c r="DV87" s="4260"/>
      <c r="DW87" s="4260"/>
      <c r="DX87" s="4260"/>
      <c r="DY87" s="4260"/>
      <c r="DZ87" s="4260"/>
      <c r="EA87" s="4260"/>
      <c r="EB87" s="4260"/>
      <c r="EC87" s="4260"/>
      <c r="ED87" s="4260"/>
      <c r="EE87" s="4260"/>
      <c r="EF87" s="4260"/>
      <c r="EG87" s="4260"/>
      <c r="EH87" s="4260"/>
      <c r="EI87" s="4260"/>
      <c r="EJ87" s="4260"/>
      <c r="EK87" s="4260"/>
      <c r="EL87" s="4260"/>
      <c r="EM87" s="4260"/>
      <c r="EN87" s="4260"/>
      <c r="EO87" s="4260"/>
      <c r="EP87" s="4260"/>
      <c r="EQ87" s="4260"/>
      <c r="ER87" s="4260"/>
      <c r="ES87" s="4260"/>
      <c r="ET87" s="4260"/>
      <c r="EU87" s="4260"/>
      <c r="EV87" s="4260"/>
      <c r="EW87" s="4260"/>
      <c r="EX87" s="4260"/>
      <c r="EY87" s="4260"/>
      <c r="EZ87" s="4260"/>
      <c r="FA87" s="4260"/>
      <c r="FB87" s="4260"/>
      <c r="FC87" s="4260"/>
      <c r="FD87" s="4260"/>
      <c r="FE87" s="4260"/>
      <c r="FF87" s="4260"/>
      <c r="FG87" s="4260"/>
      <c r="FH87" s="4260"/>
      <c r="FI87" s="4260"/>
      <c r="FJ87" s="4260"/>
      <c r="FK87" s="4260"/>
      <c r="FL87" s="4260"/>
      <c r="FM87" s="4260"/>
      <c r="FN87" s="4260"/>
      <c r="FO87" s="4260"/>
      <c r="FP87" s="4260"/>
      <c r="FQ87" s="4260"/>
      <c r="FR87" s="4260"/>
      <c r="FS87" s="4260"/>
      <c r="FT87" s="4260"/>
      <c r="FU87" s="4260"/>
      <c r="FV87" s="4260"/>
      <c r="FW87" s="4260"/>
      <c r="FX87" s="4260"/>
      <c r="FY87" s="4260"/>
      <c r="FZ87" s="4260"/>
      <c r="GA87" s="4260"/>
      <c r="GB87" s="4260"/>
      <c r="GC87" s="4260"/>
      <c r="GD87" s="4260"/>
      <c r="GE87" s="4260"/>
      <c r="GF87" s="4260"/>
      <c r="GG87" s="4260"/>
      <c r="GH87" s="4260"/>
      <c r="GI87" s="4260"/>
      <c r="GJ87" s="4260"/>
      <c r="GK87" s="4260"/>
      <c r="GL87" s="4260"/>
      <c r="GM87" s="4260"/>
      <c r="GN87" s="4260"/>
      <c r="GO87" s="4260"/>
      <c r="GP87" s="4260"/>
      <c r="GQ87" s="4260"/>
      <c r="GR87" s="4260"/>
      <c r="GS87" s="4260"/>
      <c r="GT87" s="4260"/>
      <c r="GU87" s="4260"/>
      <c r="GV87" s="4260"/>
      <c r="GW87" s="4260"/>
      <c r="GX87" s="4260"/>
      <c r="GY87" s="4260"/>
      <c r="GZ87" s="4260"/>
      <c r="HA87" s="4260"/>
      <c r="HB87" s="4260"/>
      <c r="HC87" s="4260"/>
      <c r="HD87" s="4260"/>
      <c r="HE87" s="4260"/>
      <c r="HF87" s="4260"/>
      <c r="HG87" s="4260"/>
      <c r="HH87" s="4260"/>
      <c r="HI87" s="4260"/>
      <c r="HJ87" s="4260"/>
      <c r="HK87" s="4260"/>
      <c r="HL87" s="4260"/>
      <c r="HM87" s="4260"/>
      <c r="HN87" s="4260"/>
      <c r="HO87" s="4260"/>
      <c r="HP87" s="4260"/>
      <c r="HQ87" s="4260"/>
      <c r="HR87" s="4260"/>
      <c r="HS87" s="4260"/>
      <c r="HT87" s="4260"/>
      <c r="HU87" s="4260"/>
      <c r="HV87" s="4260"/>
      <c r="HW87" s="4260"/>
      <c r="HX87" s="4260"/>
      <c r="HY87" s="4260"/>
      <c r="HZ87" s="4260"/>
    </row>
    <row r="88" spans="1:234" s="4295" customFormat="1" x14ac:dyDescent="0.25">
      <c r="A88" s="7258">
        <v>26280090</v>
      </c>
      <c r="B88" s="10752" t="s">
        <v>1434</v>
      </c>
      <c r="C88" s="10753"/>
      <c r="D88" s="4456" t="s">
        <v>5369</v>
      </c>
      <c r="E88" s="4369" t="s">
        <v>5370</v>
      </c>
      <c r="F88" s="4370" t="s">
        <v>5371</v>
      </c>
      <c r="G88" s="4457" t="s">
        <v>5372</v>
      </c>
      <c r="H88" s="4458" t="s">
        <v>5373</v>
      </c>
      <c r="I88" s="4459" t="s">
        <v>5374</v>
      </c>
      <c r="J88" s="4460" t="s">
        <v>5375</v>
      </c>
      <c r="K88" s="4258"/>
      <c r="L88" s="4258"/>
      <c r="M88" s="4258"/>
      <c r="N88" s="4258"/>
      <c r="O88" s="4258"/>
      <c r="P88" s="4258"/>
      <c r="Q88" s="4258"/>
      <c r="R88" s="4258"/>
      <c r="S88" s="4258"/>
      <c r="T88" s="4258"/>
      <c r="U88" s="4258"/>
      <c r="V88" s="4258"/>
      <c r="W88" s="4258"/>
      <c r="X88" s="4258"/>
      <c r="Y88" s="4258"/>
      <c r="Z88" s="4258"/>
      <c r="AA88" s="4258"/>
      <c r="AB88" s="4258"/>
      <c r="AC88" s="4258"/>
      <c r="AD88" s="4258"/>
      <c r="AE88" s="4258"/>
      <c r="AF88" s="4258"/>
      <c r="AG88" s="4258"/>
      <c r="AH88" s="4258"/>
      <c r="AI88" s="4258"/>
      <c r="AJ88" s="4258"/>
      <c r="AK88" s="4258"/>
      <c r="AL88" s="4258"/>
      <c r="AM88" s="4258"/>
      <c r="AN88" s="4258"/>
      <c r="AO88" s="4258"/>
      <c r="AP88" s="4258"/>
      <c r="AQ88" s="4258"/>
      <c r="AR88" s="4258"/>
      <c r="AS88" s="4258"/>
      <c r="AT88" s="4258"/>
      <c r="AU88" s="4258"/>
      <c r="AV88" s="4258"/>
      <c r="AW88" s="4258"/>
      <c r="AX88" s="4258"/>
      <c r="AY88" s="4258"/>
      <c r="AZ88" s="4258"/>
      <c r="BA88" s="4258"/>
      <c r="BB88" s="4258"/>
      <c r="BC88" s="4258"/>
      <c r="BD88" s="4258"/>
      <c r="BE88" s="4258"/>
      <c r="BF88" s="4258"/>
      <c r="BG88" s="4258"/>
      <c r="BH88" s="4258"/>
      <c r="BI88" s="4258"/>
      <c r="BJ88" s="4258"/>
      <c r="BK88" s="4258"/>
      <c r="BL88" s="4258"/>
      <c r="BM88" s="4258"/>
      <c r="BN88" s="4258"/>
      <c r="BO88" s="4258"/>
      <c r="BP88" s="4258"/>
      <c r="BQ88" s="4258"/>
      <c r="BR88" s="4258"/>
      <c r="BS88" s="4258"/>
      <c r="BT88" s="4258"/>
      <c r="BU88" s="4258"/>
      <c r="BV88" s="4258"/>
      <c r="BW88" s="4259"/>
      <c r="BX88" s="4259"/>
      <c r="BY88" s="4260"/>
      <c r="BZ88" s="4260"/>
      <c r="CA88" s="4260"/>
      <c r="CB88" s="4261"/>
      <c r="CC88" s="4261"/>
      <c r="CD88" s="4261"/>
      <c r="CE88" s="4261"/>
      <c r="CF88" s="4261"/>
      <c r="CG88" s="4261"/>
      <c r="CH88" s="4261"/>
      <c r="CI88" s="4261"/>
      <c r="CJ88" s="4261"/>
      <c r="CK88" s="4261"/>
      <c r="CL88" s="4261"/>
      <c r="CM88" s="4261"/>
      <c r="CN88" s="4261"/>
      <c r="CO88" s="4261"/>
      <c r="CP88" s="4261"/>
      <c r="CQ88" s="4261"/>
      <c r="CR88" s="4261"/>
      <c r="CS88" s="4261"/>
      <c r="CT88" s="4261"/>
      <c r="CU88" s="4261"/>
      <c r="CV88" s="4261"/>
      <c r="CW88" s="4261"/>
      <c r="CX88" s="4261"/>
      <c r="CY88" s="4261"/>
      <c r="CZ88" s="4261"/>
      <c r="DA88" s="4262"/>
      <c r="DB88" s="4294"/>
      <c r="DC88" s="4294"/>
      <c r="DD88" s="4294"/>
      <c r="DE88" s="4294"/>
      <c r="DF88" s="4294"/>
      <c r="DG88" s="4294"/>
      <c r="DH88" s="4294"/>
      <c r="DI88" s="4294"/>
      <c r="DJ88" s="4294"/>
      <c r="DK88" s="4294"/>
      <c r="DL88" s="4294"/>
      <c r="DM88" s="4294"/>
      <c r="DN88" s="4294"/>
      <c r="DO88" s="4294"/>
      <c r="DP88" s="4294"/>
      <c r="DQ88" s="4294"/>
      <c r="DR88" s="4260"/>
      <c r="DS88" s="4260"/>
      <c r="DT88" s="4260"/>
      <c r="DU88" s="4260"/>
      <c r="DV88" s="4260"/>
      <c r="DW88" s="4260"/>
      <c r="DX88" s="4260"/>
      <c r="DY88" s="4260"/>
      <c r="DZ88" s="4260"/>
      <c r="EA88" s="4260"/>
      <c r="EB88" s="4260"/>
      <c r="EC88" s="4260"/>
      <c r="ED88" s="4260"/>
      <c r="EE88" s="4260"/>
      <c r="EF88" s="4260"/>
      <c r="EG88" s="4260"/>
      <c r="EH88" s="4260"/>
      <c r="EI88" s="4260"/>
      <c r="EJ88" s="4260"/>
      <c r="EK88" s="4260"/>
      <c r="EL88" s="4260"/>
      <c r="EM88" s="4260"/>
      <c r="EN88" s="4260"/>
      <c r="EO88" s="4260"/>
      <c r="EP88" s="4260"/>
      <c r="EQ88" s="4260"/>
      <c r="ER88" s="4260"/>
      <c r="ES88" s="4260"/>
      <c r="ET88" s="4260"/>
      <c r="EU88" s="4260"/>
      <c r="EV88" s="4260"/>
      <c r="EW88" s="4260"/>
      <c r="EX88" s="4260"/>
      <c r="EY88" s="4260"/>
      <c r="EZ88" s="4260"/>
      <c r="FA88" s="4260"/>
      <c r="FB88" s="4260"/>
      <c r="FC88" s="4260"/>
      <c r="FD88" s="4260"/>
      <c r="FE88" s="4260"/>
      <c r="FF88" s="4260"/>
      <c r="FG88" s="4260"/>
      <c r="FH88" s="4260"/>
      <c r="FI88" s="4260"/>
      <c r="FJ88" s="4260"/>
      <c r="FK88" s="4260"/>
      <c r="FL88" s="4260"/>
      <c r="FM88" s="4260"/>
      <c r="FN88" s="4260"/>
      <c r="FO88" s="4260"/>
      <c r="FP88" s="4260"/>
      <c r="FQ88" s="4260"/>
      <c r="FR88" s="4260"/>
      <c r="FS88" s="4260"/>
      <c r="FT88" s="4260"/>
      <c r="FU88" s="4260"/>
      <c r="FV88" s="4260"/>
      <c r="FW88" s="4260"/>
      <c r="FX88" s="4260"/>
      <c r="FY88" s="4260"/>
      <c r="FZ88" s="4260"/>
      <c r="GA88" s="4260"/>
      <c r="GB88" s="4260"/>
      <c r="GC88" s="4260"/>
      <c r="GD88" s="4260"/>
      <c r="GE88" s="4260"/>
      <c r="GF88" s="4260"/>
      <c r="GG88" s="4260"/>
      <c r="GH88" s="4260"/>
      <c r="GI88" s="4260"/>
      <c r="GJ88" s="4260"/>
      <c r="GK88" s="4260"/>
      <c r="GL88" s="4260"/>
      <c r="GM88" s="4260"/>
      <c r="GN88" s="4260"/>
      <c r="GO88" s="4260"/>
      <c r="GP88" s="4260"/>
      <c r="GQ88" s="4260"/>
      <c r="GR88" s="4260"/>
      <c r="GS88" s="4260"/>
      <c r="GT88" s="4260"/>
      <c r="GU88" s="4260"/>
      <c r="GV88" s="4260"/>
      <c r="GW88" s="4260"/>
      <c r="GX88" s="4260"/>
      <c r="GY88" s="4260"/>
      <c r="GZ88" s="4260"/>
      <c r="HA88" s="4260"/>
      <c r="HB88" s="4260"/>
      <c r="HC88" s="4260"/>
      <c r="HD88" s="4260"/>
      <c r="HE88" s="4260"/>
      <c r="HF88" s="4260"/>
      <c r="HG88" s="4260"/>
      <c r="HH88" s="4260"/>
      <c r="HI88" s="4260"/>
      <c r="HJ88" s="4260"/>
      <c r="HK88" s="4260"/>
      <c r="HL88" s="4260"/>
      <c r="HM88" s="4260"/>
      <c r="HN88" s="4260"/>
      <c r="HO88" s="4260"/>
      <c r="HP88" s="4260"/>
      <c r="HQ88" s="4260"/>
      <c r="HR88" s="4260"/>
      <c r="HS88" s="4260"/>
      <c r="HT88" s="4260"/>
      <c r="HU88" s="4260"/>
      <c r="HV88" s="4260"/>
      <c r="HW88" s="4260"/>
      <c r="HX88" s="4260"/>
      <c r="HY88" s="4260"/>
      <c r="HZ88" s="4260"/>
    </row>
    <row r="89" spans="1:234" s="4295" customFormat="1" x14ac:dyDescent="0.25">
      <c r="A89" s="7258">
        <v>26280100</v>
      </c>
      <c r="B89" s="10772" t="s">
        <v>2808</v>
      </c>
      <c r="C89" s="10773"/>
      <c r="D89" s="4464" t="s">
        <v>5369</v>
      </c>
      <c r="E89" s="4387" t="s">
        <v>5370</v>
      </c>
      <c r="F89" s="4388" t="s">
        <v>5371</v>
      </c>
      <c r="G89" s="4465" t="s">
        <v>5372</v>
      </c>
      <c r="H89" s="4466" t="s">
        <v>5373</v>
      </c>
      <c r="I89" s="4467" t="s">
        <v>5374</v>
      </c>
      <c r="J89" s="4468" t="s">
        <v>5375</v>
      </c>
      <c r="K89" s="4258"/>
      <c r="L89" s="4258"/>
      <c r="M89" s="4258"/>
      <c r="N89" s="4258"/>
      <c r="O89" s="4258"/>
      <c r="P89" s="4258"/>
      <c r="Q89" s="4258"/>
      <c r="R89" s="4258"/>
      <c r="S89" s="4258"/>
      <c r="T89" s="4258"/>
      <c r="U89" s="4258"/>
      <c r="V89" s="4258"/>
      <c r="W89" s="4258"/>
      <c r="X89" s="4258"/>
      <c r="Y89" s="4258"/>
      <c r="Z89" s="4258"/>
      <c r="AA89" s="4258"/>
      <c r="AB89" s="4258"/>
      <c r="AC89" s="4258"/>
      <c r="AD89" s="4258"/>
      <c r="AE89" s="4258"/>
      <c r="AF89" s="4258"/>
      <c r="AG89" s="4258"/>
      <c r="AH89" s="4258"/>
      <c r="AI89" s="4258"/>
      <c r="AJ89" s="4258"/>
      <c r="AK89" s="4258"/>
      <c r="AL89" s="4258"/>
      <c r="AM89" s="4258"/>
      <c r="AN89" s="4258"/>
      <c r="AO89" s="4258"/>
      <c r="AP89" s="4258"/>
      <c r="AQ89" s="4258"/>
      <c r="AR89" s="4258"/>
      <c r="AS89" s="4258"/>
      <c r="AT89" s="4258"/>
      <c r="AU89" s="4258"/>
      <c r="AV89" s="4258"/>
      <c r="AW89" s="4258"/>
      <c r="AX89" s="4258"/>
      <c r="AY89" s="4258"/>
      <c r="AZ89" s="4258"/>
      <c r="BA89" s="4258"/>
      <c r="BB89" s="4258"/>
      <c r="BC89" s="4258"/>
      <c r="BD89" s="4258"/>
      <c r="BE89" s="4258"/>
      <c r="BF89" s="4258"/>
      <c r="BG89" s="4258"/>
      <c r="BH89" s="4258"/>
      <c r="BI89" s="4258"/>
      <c r="BJ89" s="4258"/>
      <c r="BK89" s="4258"/>
      <c r="BL89" s="4258"/>
      <c r="BM89" s="4258"/>
      <c r="BN89" s="4258"/>
      <c r="BO89" s="4258"/>
      <c r="BP89" s="4258"/>
      <c r="BQ89" s="4258"/>
      <c r="BR89" s="4258"/>
      <c r="BS89" s="4258"/>
      <c r="BT89" s="4258"/>
      <c r="BU89" s="4258"/>
      <c r="BV89" s="4258"/>
      <c r="BW89" s="4259"/>
      <c r="BX89" s="4259"/>
      <c r="BY89" s="4260"/>
      <c r="BZ89" s="4260"/>
      <c r="CA89" s="4260"/>
      <c r="CB89" s="4261"/>
      <c r="CC89" s="4261"/>
      <c r="CD89" s="4261"/>
      <c r="CE89" s="4261"/>
      <c r="CF89" s="4261"/>
      <c r="CG89" s="4261"/>
      <c r="CH89" s="4261"/>
      <c r="CI89" s="4261"/>
      <c r="CJ89" s="4261"/>
      <c r="CK89" s="4261"/>
      <c r="CL89" s="4261"/>
      <c r="CM89" s="4261"/>
      <c r="CN89" s="4261"/>
      <c r="CO89" s="4261"/>
      <c r="CP89" s="4261"/>
      <c r="CQ89" s="4261"/>
      <c r="CR89" s="4261"/>
      <c r="CS89" s="4261"/>
      <c r="CT89" s="4261"/>
      <c r="CU89" s="4261"/>
      <c r="CV89" s="4261"/>
      <c r="CW89" s="4261"/>
      <c r="CX89" s="4261"/>
      <c r="CY89" s="4261"/>
      <c r="CZ89" s="4261"/>
      <c r="DA89" s="4262"/>
      <c r="DB89" s="4294"/>
      <c r="DC89" s="4294"/>
      <c r="DD89" s="4294"/>
      <c r="DE89" s="4294"/>
      <c r="DF89" s="4294"/>
      <c r="DG89" s="4294"/>
      <c r="DH89" s="4294"/>
      <c r="DI89" s="4294"/>
      <c r="DJ89" s="4294"/>
      <c r="DK89" s="4294"/>
      <c r="DL89" s="4294"/>
      <c r="DM89" s="4294"/>
      <c r="DN89" s="4294"/>
      <c r="DO89" s="4294"/>
      <c r="DP89" s="4294"/>
      <c r="DQ89" s="4294"/>
      <c r="DR89" s="4260"/>
      <c r="DS89" s="4260"/>
      <c r="DT89" s="4260"/>
      <c r="DU89" s="4260"/>
      <c r="DV89" s="4260"/>
      <c r="DW89" s="4260"/>
      <c r="DX89" s="4260"/>
      <c r="DY89" s="4260"/>
      <c r="DZ89" s="4260"/>
      <c r="EA89" s="4260"/>
      <c r="EB89" s="4260"/>
      <c r="EC89" s="4260"/>
      <c r="ED89" s="4260"/>
      <c r="EE89" s="4260"/>
      <c r="EF89" s="4260"/>
      <c r="EG89" s="4260"/>
      <c r="EH89" s="4260"/>
      <c r="EI89" s="4260"/>
      <c r="EJ89" s="4260"/>
      <c r="EK89" s="4260"/>
      <c r="EL89" s="4260"/>
      <c r="EM89" s="4260"/>
      <c r="EN89" s="4260"/>
      <c r="EO89" s="4260"/>
      <c r="EP89" s="4260"/>
      <c r="EQ89" s="4260"/>
      <c r="ER89" s="4260"/>
      <c r="ES89" s="4260"/>
      <c r="ET89" s="4260"/>
      <c r="EU89" s="4260"/>
      <c r="EV89" s="4260"/>
      <c r="EW89" s="4260"/>
      <c r="EX89" s="4260"/>
      <c r="EY89" s="4260"/>
      <c r="EZ89" s="4260"/>
      <c r="FA89" s="4260"/>
      <c r="FB89" s="4260"/>
      <c r="FC89" s="4260"/>
      <c r="FD89" s="4260"/>
      <c r="FE89" s="4260"/>
      <c r="FF89" s="4260"/>
      <c r="FG89" s="4260"/>
      <c r="FH89" s="4260"/>
      <c r="FI89" s="4260"/>
      <c r="FJ89" s="4260"/>
      <c r="FK89" s="4260"/>
      <c r="FL89" s="4260"/>
      <c r="FM89" s="4260"/>
      <c r="FN89" s="4260"/>
      <c r="FO89" s="4260"/>
      <c r="FP89" s="4260"/>
      <c r="FQ89" s="4260"/>
      <c r="FR89" s="4260"/>
      <c r="FS89" s="4260"/>
      <c r="FT89" s="4260"/>
      <c r="FU89" s="4260"/>
      <c r="FV89" s="4260"/>
      <c r="FW89" s="4260"/>
      <c r="FX89" s="4260"/>
      <c r="FY89" s="4260"/>
      <c r="FZ89" s="4260"/>
      <c r="GA89" s="4260"/>
      <c r="GB89" s="4260"/>
      <c r="GC89" s="4260"/>
      <c r="GD89" s="4260"/>
      <c r="GE89" s="4260"/>
      <c r="GF89" s="4260"/>
      <c r="GG89" s="4260"/>
      <c r="GH89" s="4260"/>
      <c r="GI89" s="4260"/>
      <c r="GJ89" s="4260"/>
      <c r="GK89" s="4260"/>
      <c r="GL89" s="4260"/>
      <c r="GM89" s="4260"/>
      <c r="GN89" s="4260"/>
      <c r="GO89" s="4260"/>
      <c r="GP89" s="4260"/>
      <c r="GQ89" s="4260"/>
      <c r="GR89" s="4260"/>
      <c r="GS89" s="4260"/>
      <c r="GT89" s="4260"/>
      <c r="GU89" s="4260"/>
      <c r="GV89" s="4260"/>
      <c r="GW89" s="4260"/>
      <c r="GX89" s="4260"/>
      <c r="GY89" s="4260"/>
      <c r="GZ89" s="4260"/>
      <c r="HA89" s="4260"/>
      <c r="HB89" s="4260"/>
      <c r="HC89" s="4260"/>
      <c r="HD89" s="4260"/>
      <c r="HE89" s="4260"/>
      <c r="HF89" s="4260"/>
      <c r="HG89" s="4260"/>
      <c r="HH89" s="4260"/>
      <c r="HI89" s="4260"/>
      <c r="HJ89" s="4260"/>
      <c r="HK89" s="4260"/>
      <c r="HL89" s="4260"/>
      <c r="HM89" s="4260"/>
      <c r="HN89" s="4260"/>
      <c r="HO89" s="4260"/>
      <c r="HP89" s="4260"/>
      <c r="HQ89" s="4260"/>
      <c r="HR89" s="4260"/>
      <c r="HS89" s="4260"/>
      <c r="HT89" s="4260"/>
      <c r="HU89" s="4260"/>
      <c r="HV89" s="4260"/>
      <c r="HW89" s="4260"/>
      <c r="HX89" s="4260"/>
      <c r="HY89" s="4260"/>
      <c r="HZ89" s="4260"/>
    </row>
    <row r="90" spans="1:234" s="4295" customFormat="1" x14ac:dyDescent="0.25">
      <c r="A90" s="7263"/>
      <c r="B90" s="3807" t="s">
        <v>1674</v>
      </c>
      <c r="C90" s="3940"/>
      <c r="D90" s="3940"/>
      <c r="E90" s="3940"/>
      <c r="F90" s="3940"/>
      <c r="G90" s="3940"/>
      <c r="H90" s="3940"/>
      <c r="I90" s="3940"/>
      <c r="J90" s="4269"/>
      <c r="K90" s="4258"/>
      <c r="L90" s="4258"/>
      <c r="M90" s="4258"/>
      <c r="N90" s="4258"/>
      <c r="O90" s="4258"/>
      <c r="P90" s="4258"/>
      <c r="Q90" s="4258"/>
      <c r="R90" s="4258"/>
      <c r="S90" s="4258"/>
      <c r="T90" s="4258"/>
      <c r="U90" s="4258"/>
      <c r="V90" s="4258"/>
      <c r="W90" s="4258"/>
      <c r="X90" s="4258"/>
      <c r="Y90" s="4258"/>
      <c r="Z90" s="4258"/>
      <c r="AA90" s="4258"/>
      <c r="AB90" s="4258"/>
      <c r="AC90" s="4258"/>
      <c r="AD90" s="4258"/>
      <c r="AE90" s="4258"/>
      <c r="AF90" s="4258"/>
      <c r="AG90" s="4258"/>
      <c r="AH90" s="4258"/>
      <c r="AI90" s="4258"/>
      <c r="AJ90" s="4258"/>
      <c r="AK90" s="4258"/>
      <c r="AL90" s="4258"/>
      <c r="AM90" s="4258"/>
      <c r="AN90" s="4258"/>
      <c r="AO90" s="4258"/>
      <c r="AP90" s="4258"/>
      <c r="AQ90" s="4258"/>
      <c r="AR90" s="4258"/>
      <c r="AS90" s="4258"/>
      <c r="AT90" s="4258"/>
      <c r="AU90" s="4258"/>
      <c r="AV90" s="4258"/>
      <c r="AW90" s="4258"/>
      <c r="AX90" s="4258"/>
      <c r="AY90" s="4258"/>
      <c r="AZ90" s="4258"/>
      <c r="BA90" s="4258"/>
      <c r="BB90" s="4258"/>
      <c r="BC90" s="4258"/>
      <c r="BD90" s="4258"/>
      <c r="BE90" s="4258"/>
      <c r="BF90" s="4258"/>
      <c r="BG90" s="4258"/>
      <c r="BH90" s="4258"/>
      <c r="BI90" s="4258"/>
      <c r="BJ90" s="4258"/>
      <c r="BK90" s="4258"/>
      <c r="BL90" s="4258"/>
      <c r="BM90" s="4258"/>
      <c r="BN90" s="4258"/>
      <c r="BO90" s="4258"/>
      <c r="BP90" s="4258"/>
      <c r="BQ90" s="4258"/>
      <c r="BR90" s="4258"/>
      <c r="BS90" s="4258"/>
      <c r="BT90" s="4258"/>
      <c r="BU90" s="4258"/>
      <c r="BV90" s="4258"/>
      <c r="BW90" s="4259"/>
      <c r="BX90" s="4259"/>
      <c r="BY90" s="4260"/>
      <c r="BZ90" s="4260"/>
      <c r="CA90" s="4260"/>
      <c r="CB90" s="4261"/>
      <c r="CC90" s="4261"/>
      <c r="CD90" s="4261"/>
      <c r="CE90" s="4261"/>
      <c r="CF90" s="4261"/>
      <c r="CG90" s="4261"/>
      <c r="CH90" s="4261"/>
      <c r="CI90" s="4261"/>
      <c r="CJ90" s="4261"/>
      <c r="CK90" s="4261"/>
      <c r="CL90" s="4261"/>
      <c r="CM90" s="4261"/>
      <c r="CN90" s="4261"/>
      <c r="CO90" s="4261"/>
      <c r="CP90" s="4261"/>
      <c r="CQ90" s="4261"/>
      <c r="CR90" s="4261"/>
      <c r="CS90" s="4261"/>
      <c r="CT90" s="4261"/>
      <c r="CU90" s="4261"/>
      <c r="CV90" s="4261"/>
      <c r="CW90" s="4261"/>
      <c r="CX90" s="4261"/>
      <c r="CY90" s="4261"/>
      <c r="CZ90" s="4261"/>
      <c r="DA90" s="4262"/>
      <c r="DB90" s="4294"/>
      <c r="DC90" s="4294"/>
      <c r="DD90" s="4294"/>
      <c r="DE90" s="4294"/>
      <c r="DF90" s="4294"/>
      <c r="DG90" s="4294"/>
      <c r="DH90" s="4294"/>
      <c r="DI90" s="4294"/>
      <c r="DJ90" s="4294"/>
      <c r="DK90" s="4294"/>
      <c r="DL90" s="4294"/>
      <c r="DM90" s="4294"/>
      <c r="DN90" s="4294"/>
      <c r="DO90" s="4294"/>
      <c r="DP90" s="4294"/>
      <c r="DQ90" s="4294"/>
      <c r="DR90" s="4260"/>
      <c r="DS90" s="4260"/>
      <c r="DT90" s="4260"/>
      <c r="DU90" s="4260"/>
      <c r="DV90" s="4260"/>
      <c r="DW90" s="4260"/>
      <c r="DX90" s="4260"/>
      <c r="DY90" s="4260"/>
      <c r="DZ90" s="4260"/>
      <c r="EA90" s="4260"/>
      <c r="EB90" s="4260"/>
      <c r="EC90" s="4260"/>
      <c r="ED90" s="4260"/>
      <c r="EE90" s="4260"/>
      <c r="EF90" s="4260"/>
      <c r="EG90" s="4260"/>
      <c r="EH90" s="4260"/>
      <c r="EI90" s="4260"/>
      <c r="EJ90" s="4260"/>
      <c r="EK90" s="4260"/>
      <c r="EL90" s="4260"/>
      <c r="EM90" s="4260"/>
      <c r="EN90" s="4260"/>
      <c r="EO90" s="4260"/>
      <c r="EP90" s="4260"/>
      <c r="EQ90" s="4260"/>
      <c r="ER90" s="4260"/>
      <c r="ES90" s="4260"/>
      <c r="ET90" s="4260"/>
      <c r="EU90" s="4260"/>
      <c r="EV90" s="4260"/>
      <c r="EW90" s="4260"/>
      <c r="EX90" s="4260"/>
      <c r="EY90" s="4260"/>
      <c r="EZ90" s="4260"/>
      <c r="FA90" s="4260"/>
      <c r="FB90" s="4260"/>
      <c r="FC90" s="4260"/>
      <c r="FD90" s="4260"/>
      <c r="FE90" s="4260"/>
      <c r="FF90" s="4260"/>
      <c r="FG90" s="4260"/>
      <c r="FH90" s="4260"/>
      <c r="FI90" s="4260"/>
      <c r="FJ90" s="4260"/>
      <c r="FK90" s="4260"/>
      <c r="FL90" s="4260"/>
      <c r="FM90" s="4260"/>
      <c r="FN90" s="4260"/>
      <c r="FO90" s="4260"/>
      <c r="FP90" s="4260"/>
      <c r="FQ90" s="4260"/>
      <c r="FR90" s="4260"/>
      <c r="FS90" s="4260"/>
      <c r="FT90" s="4260"/>
      <c r="FU90" s="4260"/>
      <c r="FV90" s="4260"/>
      <c r="FW90" s="4260"/>
      <c r="FX90" s="4260"/>
      <c r="FY90" s="4260"/>
      <c r="FZ90" s="4260"/>
      <c r="GA90" s="4260"/>
      <c r="GB90" s="4260"/>
      <c r="GC90" s="4260"/>
      <c r="GD90" s="4260"/>
      <c r="GE90" s="4260"/>
      <c r="GF90" s="4260"/>
      <c r="GG90" s="4260"/>
      <c r="GH90" s="4260"/>
      <c r="GI90" s="4260"/>
      <c r="GJ90" s="4260"/>
      <c r="GK90" s="4260"/>
      <c r="GL90" s="4260"/>
      <c r="GM90" s="4260"/>
      <c r="GN90" s="4260"/>
      <c r="GO90" s="4260"/>
      <c r="GP90" s="4260"/>
      <c r="GQ90" s="4260"/>
      <c r="GR90" s="4260"/>
      <c r="GS90" s="4260"/>
      <c r="GT90" s="4260"/>
      <c r="GU90" s="4260"/>
      <c r="GV90" s="4260"/>
      <c r="GW90" s="4260"/>
      <c r="GX90" s="4260"/>
      <c r="GY90" s="4260"/>
      <c r="GZ90" s="4260"/>
      <c r="HA90" s="4260"/>
      <c r="HB90" s="4260"/>
      <c r="HC90" s="4260"/>
      <c r="HD90" s="4260"/>
      <c r="HE90" s="4260"/>
      <c r="HF90" s="4260"/>
      <c r="HG90" s="4260"/>
      <c r="HH90" s="4260"/>
      <c r="HI90" s="4260"/>
      <c r="HJ90" s="4260"/>
      <c r="HK90" s="4260"/>
      <c r="HL90" s="4260"/>
      <c r="HM90" s="4260"/>
      <c r="HN90" s="4260"/>
      <c r="HO90" s="4260"/>
      <c r="HP90" s="4260"/>
      <c r="HQ90" s="4260"/>
      <c r="HR90" s="4260"/>
      <c r="HS90" s="4260"/>
      <c r="HT90" s="4260"/>
      <c r="HU90" s="4260"/>
      <c r="HV90" s="4260"/>
      <c r="HW90" s="4260"/>
      <c r="HX90" s="4260"/>
      <c r="HY90" s="4260"/>
      <c r="HZ90" s="4260"/>
    </row>
    <row r="91" spans="1:234" s="4295" customFormat="1" ht="22.2" customHeight="1" x14ac:dyDescent="0.25">
      <c r="A91" s="7263"/>
      <c r="B91" s="4469" t="s">
        <v>1673</v>
      </c>
      <c r="C91" s="4470"/>
      <c r="D91" s="4470"/>
      <c r="E91" s="4470"/>
      <c r="F91" s="4470"/>
      <c r="G91" s="4471"/>
      <c r="H91" s="4471"/>
      <c r="I91" s="4258"/>
      <c r="J91" s="4258"/>
      <c r="K91" s="4258"/>
      <c r="L91" s="4258"/>
      <c r="M91" s="4258"/>
      <c r="N91" s="4258"/>
      <c r="O91" s="4258"/>
      <c r="P91" s="4258"/>
      <c r="Q91" s="4258"/>
      <c r="R91" s="4258"/>
      <c r="S91" s="4258"/>
      <c r="T91" s="4258"/>
      <c r="U91" s="4258"/>
      <c r="V91" s="4258"/>
      <c r="W91" s="4258"/>
      <c r="X91" s="4258"/>
      <c r="Y91" s="4258"/>
      <c r="Z91" s="4258"/>
      <c r="AA91" s="4258"/>
      <c r="AB91" s="4258"/>
      <c r="AC91" s="4258"/>
      <c r="AD91" s="4258"/>
      <c r="AE91" s="4258"/>
      <c r="AF91" s="4258"/>
      <c r="AG91" s="4258"/>
      <c r="AH91" s="4258"/>
      <c r="AI91" s="4258"/>
      <c r="AJ91" s="4258"/>
      <c r="AK91" s="4258"/>
      <c r="AL91" s="4258"/>
      <c r="AM91" s="4258"/>
      <c r="AN91" s="4258"/>
      <c r="AO91" s="4258"/>
      <c r="AP91" s="4258"/>
      <c r="AQ91" s="4258"/>
      <c r="AR91" s="4258"/>
      <c r="AS91" s="4258"/>
      <c r="AT91" s="4258"/>
      <c r="AU91" s="4258"/>
      <c r="AV91" s="4258"/>
      <c r="AW91" s="4258"/>
      <c r="AX91" s="4258"/>
      <c r="AY91" s="4258"/>
      <c r="AZ91" s="4258"/>
      <c r="BA91" s="4258"/>
      <c r="BB91" s="4258"/>
      <c r="BC91" s="4258"/>
      <c r="BD91" s="4258"/>
      <c r="BE91" s="4258"/>
      <c r="BF91" s="4258"/>
      <c r="BG91" s="4258"/>
      <c r="BH91" s="4258"/>
      <c r="BI91" s="4258"/>
      <c r="BJ91" s="4258"/>
      <c r="BK91" s="4258"/>
      <c r="BL91" s="4258"/>
      <c r="BM91" s="4258"/>
      <c r="BN91" s="4258"/>
      <c r="BO91" s="4258"/>
      <c r="BP91" s="4258"/>
      <c r="BQ91" s="4258"/>
      <c r="BR91" s="4258"/>
      <c r="BS91" s="4258"/>
      <c r="BT91" s="4258"/>
      <c r="BU91" s="4258"/>
      <c r="BV91" s="4258"/>
      <c r="BW91" s="4259"/>
      <c r="BX91" s="4259"/>
      <c r="BY91" s="4260"/>
      <c r="BZ91" s="4260"/>
      <c r="CA91" s="4260"/>
      <c r="CB91" s="4261"/>
      <c r="CC91" s="4261"/>
      <c r="CD91" s="4261"/>
      <c r="CE91" s="4261"/>
      <c r="CF91" s="4261"/>
      <c r="CG91" s="4261"/>
      <c r="CH91" s="4261"/>
      <c r="CI91" s="4261"/>
      <c r="CJ91" s="4261"/>
      <c r="CK91" s="4261"/>
      <c r="CL91" s="4261"/>
      <c r="CM91" s="4261"/>
      <c r="CN91" s="4261"/>
      <c r="CO91" s="4261"/>
      <c r="CP91" s="4261"/>
      <c r="CQ91" s="4261"/>
      <c r="CR91" s="4261"/>
      <c r="CS91" s="4261"/>
      <c r="CT91" s="4261"/>
      <c r="CU91" s="4261"/>
      <c r="CV91" s="4261"/>
      <c r="CW91" s="4261"/>
      <c r="CX91" s="4261"/>
      <c r="CY91" s="4261"/>
      <c r="CZ91" s="4261"/>
      <c r="DA91" s="4262"/>
      <c r="DB91" s="4294"/>
      <c r="DC91" s="4294"/>
      <c r="DD91" s="4294"/>
      <c r="DE91" s="4294"/>
      <c r="DF91" s="4294"/>
      <c r="DG91" s="4294"/>
      <c r="DH91" s="4294"/>
      <c r="DI91" s="4294"/>
      <c r="DJ91" s="4294"/>
      <c r="DK91" s="4294"/>
      <c r="DL91" s="4294"/>
      <c r="DM91" s="4294"/>
      <c r="DN91" s="4294"/>
      <c r="DO91" s="4294"/>
      <c r="DP91" s="4294"/>
      <c r="DQ91" s="4294"/>
      <c r="DR91" s="4260"/>
      <c r="DS91" s="4260"/>
      <c r="DT91" s="4260"/>
      <c r="DU91" s="4260"/>
      <c r="DV91" s="4260"/>
      <c r="DW91" s="4260"/>
      <c r="DX91" s="4260"/>
      <c r="DY91" s="4260"/>
      <c r="DZ91" s="4260"/>
      <c r="EA91" s="4260"/>
      <c r="EB91" s="4260"/>
      <c r="EC91" s="4260"/>
      <c r="ED91" s="4260"/>
      <c r="EE91" s="4260"/>
      <c r="EF91" s="4260"/>
      <c r="EG91" s="4260"/>
      <c r="EH91" s="4260"/>
      <c r="EI91" s="4260"/>
      <c r="EJ91" s="4260"/>
      <c r="EK91" s="4260"/>
      <c r="EL91" s="4260"/>
      <c r="EM91" s="4260"/>
      <c r="EN91" s="4260"/>
      <c r="EO91" s="4260"/>
      <c r="EP91" s="4260"/>
      <c r="EQ91" s="4260"/>
      <c r="ER91" s="4260"/>
      <c r="ES91" s="4260"/>
      <c r="ET91" s="4260"/>
      <c r="EU91" s="4260"/>
      <c r="EV91" s="4260"/>
      <c r="EW91" s="4260"/>
      <c r="EX91" s="4260"/>
      <c r="EY91" s="4260"/>
      <c r="EZ91" s="4260"/>
      <c r="FA91" s="4260"/>
      <c r="FB91" s="4260"/>
      <c r="FC91" s="4260"/>
      <c r="FD91" s="4260"/>
      <c r="FE91" s="4260"/>
      <c r="FF91" s="4260"/>
      <c r="FG91" s="4260"/>
      <c r="FH91" s="4260"/>
      <c r="FI91" s="4260"/>
      <c r="FJ91" s="4260"/>
      <c r="FK91" s="4260"/>
      <c r="FL91" s="4260"/>
      <c r="FM91" s="4260"/>
      <c r="FN91" s="4260"/>
      <c r="FO91" s="4260"/>
      <c r="FP91" s="4260"/>
      <c r="FQ91" s="4260"/>
      <c r="FR91" s="4260"/>
      <c r="FS91" s="4260"/>
      <c r="FT91" s="4260"/>
      <c r="FU91" s="4260"/>
      <c r="FV91" s="4260"/>
      <c r="FW91" s="4260"/>
      <c r="FX91" s="4260"/>
      <c r="FY91" s="4260"/>
      <c r="FZ91" s="4260"/>
      <c r="GA91" s="4260"/>
      <c r="GB91" s="4260"/>
      <c r="GC91" s="4260"/>
      <c r="GD91" s="4260"/>
      <c r="GE91" s="4260"/>
      <c r="GF91" s="4260"/>
      <c r="GG91" s="4260"/>
      <c r="GH91" s="4260"/>
      <c r="GI91" s="4260"/>
      <c r="GJ91" s="4260"/>
      <c r="GK91" s="4260"/>
      <c r="GL91" s="4260"/>
      <c r="GM91" s="4260"/>
      <c r="GN91" s="4260"/>
      <c r="GO91" s="4260"/>
      <c r="GP91" s="4260"/>
      <c r="GQ91" s="4260"/>
      <c r="GR91" s="4260"/>
      <c r="GS91" s="4260"/>
      <c r="GT91" s="4260"/>
      <c r="GU91" s="4260"/>
      <c r="GV91" s="4260"/>
      <c r="GW91" s="4260"/>
      <c r="GX91" s="4260"/>
      <c r="GY91" s="4260"/>
      <c r="GZ91" s="4260"/>
      <c r="HA91" s="4260"/>
      <c r="HB91" s="4260"/>
      <c r="HC91" s="4260"/>
      <c r="HD91" s="4260"/>
      <c r="HE91" s="4260"/>
      <c r="HF91" s="4260"/>
      <c r="HG91" s="4260"/>
      <c r="HH91" s="4260"/>
      <c r="HI91" s="4260"/>
      <c r="HJ91" s="4260"/>
      <c r="HK91" s="4260"/>
      <c r="HL91" s="4260"/>
      <c r="HM91" s="4260"/>
      <c r="HN91" s="4260"/>
      <c r="HO91" s="4260"/>
      <c r="HP91" s="4260"/>
      <c r="HQ91" s="4260"/>
      <c r="HR91" s="4260"/>
      <c r="HS91" s="4260"/>
      <c r="HT91" s="4260"/>
      <c r="HU91" s="4260"/>
      <c r="HV91" s="4260"/>
      <c r="HW91" s="4260"/>
      <c r="HX91" s="4260"/>
      <c r="HY91" s="4260"/>
      <c r="HZ91" s="4260"/>
    </row>
    <row r="92" spans="1:234" s="4295" customFormat="1" ht="21" customHeight="1" x14ac:dyDescent="0.25">
      <c r="A92" s="7263"/>
      <c r="B92" s="9445" t="s">
        <v>1669</v>
      </c>
      <c r="C92" s="9445" t="s">
        <v>1672</v>
      </c>
      <c r="D92" s="9423" t="s">
        <v>1671</v>
      </c>
      <c r="E92" s="9424"/>
      <c r="F92" s="9424"/>
      <c r="G92" s="9424"/>
      <c r="H92" s="10741"/>
      <c r="I92" s="4258"/>
      <c r="J92" s="4258"/>
      <c r="K92" s="4258"/>
      <c r="L92" s="4258"/>
      <c r="M92" s="4258"/>
      <c r="N92" s="4258"/>
      <c r="O92" s="4258"/>
      <c r="P92" s="4258"/>
      <c r="Q92" s="4258"/>
      <c r="R92" s="4258"/>
      <c r="S92" s="4258"/>
      <c r="T92" s="4258"/>
      <c r="U92" s="4258"/>
      <c r="V92" s="4258"/>
      <c r="W92" s="4258"/>
      <c r="X92" s="4258"/>
      <c r="Y92" s="4258"/>
      <c r="Z92" s="4258"/>
      <c r="AA92" s="4258"/>
      <c r="AB92" s="4258"/>
      <c r="AC92" s="4258"/>
      <c r="AD92" s="4258"/>
      <c r="AE92" s="4258"/>
      <c r="AF92" s="4258"/>
      <c r="AG92" s="4258"/>
      <c r="AH92" s="4258"/>
      <c r="AI92" s="4258"/>
      <c r="AJ92" s="4258"/>
      <c r="AK92" s="4258"/>
      <c r="AL92" s="4258"/>
      <c r="AM92" s="4258"/>
      <c r="AN92" s="4258"/>
      <c r="AO92" s="4258"/>
      <c r="AP92" s="4258"/>
      <c r="AQ92" s="4258"/>
      <c r="AR92" s="4258"/>
      <c r="AS92" s="4258"/>
      <c r="AT92" s="4258"/>
      <c r="AU92" s="4258"/>
      <c r="AV92" s="4258"/>
      <c r="AW92" s="4258"/>
      <c r="AX92" s="4258"/>
      <c r="AY92" s="4258"/>
      <c r="AZ92" s="4258"/>
      <c r="BA92" s="4258"/>
      <c r="BB92" s="4258"/>
      <c r="BC92" s="4258"/>
      <c r="BD92" s="4258"/>
      <c r="BE92" s="4258"/>
      <c r="BF92" s="4258"/>
      <c r="BG92" s="4258"/>
      <c r="BH92" s="4258"/>
      <c r="BI92" s="4258"/>
      <c r="BJ92" s="4258"/>
      <c r="BK92" s="4258"/>
      <c r="BL92" s="4258"/>
      <c r="BM92" s="4258"/>
      <c r="BN92" s="4258"/>
      <c r="BO92" s="4258"/>
      <c r="BP92" s="4258"/>
      <c r="BQ92" s="4258"/>
      <c r="BR92" s="4258"/>
      <c r="BS92" s="4258"/>
      <c r="BT92" s="4258"/>
      <c r="BU92" s="4258"/>
      <c r="BV92" s="4258"/>
      <c r="BW92" s="4259"/>
      <c r="BX92" s="4259"/>
      <c r="BY92" s="4260"/>
      <c r="BZ92" s="4260"/>
      <c r="CA92" s="4260"/>
      <c r="CB92" s="4261"/>
      <c r="CC92" s="4261"/>
      <c r="CD92" s="4261"/>
      <c r="CE92" s="4261"/>
      <c r="CF92" s="4261"/>
      <c r="CG92" s="4261"/>
      <c r="CH92" s="4261"/>
      <c r="CI92" s="4261"/>
      <c r="CJ92" s="4261"/>
      <c r="CK92" s="4261"/>
      <c r="CL92" s="4261"/>
      <c r="CM92" s="4261"/>
      <c r="CN92" s="4261"/>
      <c r="CO92" s="4261"/>
      <c r="CP92" s="4261"/>
      <c r="CQ92" s="4261"/>
      <c r="CR92" s="4261"/>
      <c r="CS92" s="4261"/>
      <c r="CT92" s="4261"/>
      <c r="CU92" s="4261"/>
      <c r="CV92" s="4261"/>
      <c r="CW92" s="4261"/>
      <c r="CX92" s="4261"/>
      <c r="CY92" s="4261"/>
      <c r="CZ92" s="4261"/>
      <c r="DA92" s="4262"/>
      <c r="DB92" s="4294"/>
      <c r="DC92" s="4294"/>
      <c r="DD92" s="4294"/>
      <c r="DE92" s="4294"/>
      <c r="DF92" s="4294"/>
      <c r="DG92" s="4294"/>
      <c r="DH92" s="4294"/>
      <c r="DI92" s="4294"/>
      <c r="DJ92" s="4294"/>
      <c r="DK92" s="4294"/>
      <c r="DL92" s="4294"/>
      <c r="DM92" s="4294"/>
      <c r="DN92" s="4294"/>
      <c r="DO92" s="4294"/>
      <c r="DP92" s="4294"/>
      <c r="DQ92" s="4294"/>
      <c r="DR92" s="4260"/>
      <c r="DS92" s="4260"/>
      <c r="DT92" s="4260"/>
      <c r="DU92" s="4260"/>
      <c r="DV92" s="4260"/>
      <c r="DW92" s="4260"/>
      <c r="DX92" s="4260"/>
      <c r="DY92" s="4260"/>
      <c r="DZ92" s="4260"/>
      <c r="EA92" s="4260"/>
      <c r="EB92" s="4260"/>
      <c r="EC92" s="4260"/>
      <c r="ED92" s="4260"/>
      <c r="EE92" s="4260"/>
      <c r="EF92" s="4260"/>
      <c r="EG92" s="4260"/>
      <c r="EH92" s="4260"/>
      <c r="EI92" s="4260"/>
      <c r="EJ92" s="4260"/>
      <c r="EK92" s="4260"/>
      <c r="EL92" s="4260"/>
      <c r="EM92" s="4260"/>
      <c r="EN92" s="4260"/>
      <c r="EO92" s="4260"/>
      <c r="EP92" s="4260"/>
      <c r="EQ92" s="4260"/>
      <c r="ER92" s="4260"/>
      <c r="ES92" s="4260"/>
      <c r="ET92" s="4260"/>
      <c r="EU92" s="4260"/>
      <c r="EV92" s="4260"/>
      <c r="EW92" s="4260"/>
      <c r="EX92" s="4260"/>
      <c r="EY92" s="4260"/>
      <c r="EZ92" s="4260"/>
      <c r="FA92" s="4260"/>
      <c r="FB92" s="4260"/>
      <c r="FC92" s="4260"/>
      <c r="FD92" s="4260"/>
      <c r="FE92" s="4260"/>
      <c r="FF92" s="4260"/>
      <c r="FG92" s="4260"/>
      <c r="FH92" s="4260"/>
      <c r="FI92" s="4260"/>
      <c r="FJ92" s="4260"/>
      <c r="FK92" s="4260"/>
      <c r="FL92" s="4260"/>
      <c r="FM92" s="4260"/>
      <c r="FN92" s="4260"/>
      <c r="FO92" s="4260"/>
      <c r="FP92" s="4260"/>
      <c r="FQ92" s="4260"/>
      <c r="FR92" s="4260"/>
      <c r="FS92" s="4260"/>
      <c r="FT92" s="4260"/>
      <c r="FU92" s="4260"/>
      <c r="FV92" s="4260"/>
      <c r="FW92" s="4260"/>
      <c r="FX92" s="4260"/>
      <c r="FY92" s="4260"/>
      <c r="FZ92" s="4260"/>
      <c r="GA92" s="4260"/>
      <c r="GB92" s="4260"/>
      <c r="GC92" s="4260"/>
      <c r="GD92" s="4260"/>
      <c r="GE92" s="4260"/>
      <c r="GF92" s="4260"/>
      <c r="GG92" s="4260"/>
      <c r="GH92" s="4260"/>
      <c r="GI92" s="4260"/>
      <c r="GJ92" s="4260"/>
      <c r="GK92" s="4260"/>
      <c r="GL92" s="4260"/>
      <c r="GM92" s="4260"/>
      <c r="GN92" s="4260"/>
      <c r="GO92" s="4260"/>
      <c r="GP92" s="4260"/>
      <c r="GQ92" s="4260"/>
      <c r="GR92" s="4260"/>
      <c r="GS92" s="4260"/>
      <c r="GT92" s="4260"/>
      <c r="GU92" s="4260"/>
      <c r="GV92" s="4260"/>
      <c r="GW92" s="4260"/>
      <c r="GX92" s="4260"/>
      <c r="GY92" s="4260"/>
      <c r="GZ92" s="4260"/>
      <c r="HA92" s="4260"/>
      <c r="HB92" s="4260"/>
      <c r="HC92" s="4260"/>
      <c r="HD92" s="4260"/>
      <c r="HE92" s="4260"/>
      <c r="HF92" s="4260"/>
      <c r="HG92" s="4260"/>
      <c r="HH92" s="4260"/>
      <c r="HI92" s="4260"/>
      <c r="HJ92" s="4260"/>
      <c r="HK92" s="4260"/>
      <c r="HL92" s="4260"/>
      <c r="HM92" s="4260"/>
      <c r="HN92" s="4260"/>
      <c r="HO92" s="4260"/>
      <c r="HP92" s="4260"/>
      <c r="HQ92" s="4260"/>
      <c r="HR92" s="4260"/>
      <c r="HS92" s="4260"/>
      <c r="HT92" s="4260"/>
      <c r="HU92" s="4260"/>
      <c r="HV92" s="4260"/>
      <c r="HW92" s="4260"/>
      <c r="HX92" s="4260"/>
      <c r="HY92" s="4260"/>
      <c r="HZ92" s="4260"/>
    </row>
    <row r="93" spans="1:234" s="4295" customFormat="1" ht="21.75" customHeight="1" x14ac:dyDescent="0.25">
      <c r="A93" s="7263"/>
      <c r="B93" s="9446"/>
      <c r="C93" s="9446"/>
      <c r="D93" s="4448" t="s">
        <v>399</v>
      </c>
      <c r="E93" s="4472" t="s">
        <v>54</v>
      </c>
      <c r="F93" s="4358" t="s">
        <v>79</v>
      </c>
      <c r="G93" s="4358" t="s">
        <v>80</v>
      </c>
      <c r="H93" s="4449" t="s">
        <v>81</v>
      </c>
      <c r="I93" s="4258"/>
      <c r="J93" s="4258"/>
      <c r="K93" s="4258"/>
      <c r="L93" s="4258"/>
      <c r="M93" s="4258"/>
      <c r="N93" s="4258"/>
      <c r="O93" s="4258"/>
      <c r="P93" s="4258"/>
      <c r="Q93" s="4258"/>
      <c r="R93" s="4258"/>
      <c r="S93" s="4258"/>
      <c r="T93" s="4258"/>
      <c r="U93" s="4258"/>
      <c r="V93" s="4258"/>
      <c r="W93" s="4258"/>
      <c r="X93" s="4258"/>
      <c r="Y93" s="4258"/>
      <c r="Z93" s="4258"/>
      <c r="AA93" s="4258"/>
      <c r="AB93" s="4258"/>
      <c r="AC93" s="4258"/>
      <c r="AD93" s="4258"/>
      <c r="AE93" s="4258"/>
      <c r="AF93" s="4258"/>
      <c r="AG93" s="4258"/>
      <c r="AH93" s="4258"/>
      <c r="AI93" s="4258"/>
      <c r="AJ93" s="4258"/>
      <c r="AK93" s="4258"/>
      <c r="AL93" s="4258"/>
      <c r="AM93" s="4258"/>
      <c r="AN93" s="4258"/>
      <c r="AO93" s="4258"/>
      <c r="AP93" s="4258"/>
      <c r="AQ93" s="4258"/>
      <c r="AR93" s="4258"/>
      <c r="AS93" s="4258"/>
      <c r="AT93" s="4258"/>
      <c r="AU93" s="4258"/>
      <c r="AV93" s="4258"/>
      <c r="AW93" s="4258"/>
      <c r="AX93" s="4258"/>
      <c r="AY93" s="4258"/>
      <c r="AZ93" s="4258"/>
      <c r="BA93" s="4258"/>
      <c r="BB93" s="4258"/>
      <c r="BC93" s="4258"/>
      <c r="BD93" s="4258"/>
      <c r="BE93" s="4258"/>
      <c r="BF93" s="4258"/>
      <c r="BG93" s="4258"/>
      <c r="BH93" s="4258"/>
      <c r="BI93" s="4258"/>
      <c r="BJ93" s="4258"/>
      <c r="BK93" s="4258"/>
      <c r="BL93" s="4258"/>
      <c r="BM93" s="4258"/>
      <c r="BN93" s="4258"/>
      <c r="BO93" s="4258"/>
      <c r="BP93" s="4258"/>
      <c r="BQ93" s="4258"/>
      <c r="BR93" s="4258"/>
      <c r="BS93" s="4258"/>
      <c r="BT93" s="4258"/>
      <c r="BU93" s="4258"/>
      <c r="BV93" s="4258"/>
      <c r="BW93" s="4259"/>
      <c r="BX93" s="4259"/>
      <c r="BY93" s="4260"/>
      <c r="BZ93" s="4260"/>
      <c r="CA93" s="4260"/>
      <c r="CB93" s="4261"/>
      <c r="CC93" s="4261"/>
      <c r="CD93" s="4261"/>
      <c r="CE93" s="4261"/>
      <c r="CF93" s="4261"/>
      <c r="CG93" s="4261"/>
      <c r="CH93" s="4261"/>
      <c r="CI93" s="4261"/>
      <c r="CJ93" s="4261"/>
      <c r="CK93" s="4261"/>
      <c r="CL93" s="4261"/>
      <c r="CM93" s="4261"/>
      <c r="CN93" s="4261"/>
      <c r="CO93" s="4261"/>
      <c r="CP93" s="4261"/>
      <c r="CQ93" s="4261"/>
      <c r="CR93" s="4261"/>
      <c r="CS93" s="4261"/>
      <c r="CT93" s="4261"/>
      <c r="CU93" s="4261"/>
      <c r="CV93" s="4261"/>
      <c r="CW93" s="4261"/>
      <c r="CX93" s="4261"/>
      <c r="CY93" s="4261"/>
      <c r="CZ93" s="4261"/>
      <c r="DA93" s="4262"/>
      <c r="DB93" s="4294"/>
      <c r="DC93" s="4294"/>
      <c r="DD93" s="4294"/>
      <c r="DE93" s="4294"/>
      <c r="DF93" s="4294"/>
      <c r="DG93" s="4294"/>
      <c r="DH93" s="4294"/>
      <c r="DI93" s="4294"/>
      <c r="DJ93" s="4294"/>
      <c r="DK93" s="4294"/>
      <c r="DL93" s="4294"/>
      <c r="DM93" s="4294"/>
      <c r="DN93" s="4294"/>
      <c r="DO93" s="4294"/>
      <c r="DP93" s="4294"/>
      <c r="DQ93" s="4294"/>
      <c r="DR93" s="4260"/>
      <c r="DS93" s="4260"/>
      <c r="DT93" s="4260"/>
      <c r="DU93" s="4260"/>
      <c r="DV93" s="4260"/>
      <c r="DW93" s="4260"/>
      <c r="DX93" s="4260"/>
      <c r="DY93" s="4260"/>
      <c r="DZ93" s="4260"/>
      <c r="EA93" s="4260"/>
      <c r="EB93" s="4260"/>
      <c r="EC93" s="4260"/>
      <c r="ED93" s="4260"/>
      <c r="EE93" s="4260"/>
      <c r="EF93" s="4260"/>
      <c r="EG93" s="4260"/>
      <c r="EH93" s="4260"/>
      <c r="EI93" s="4260"/>
      <c r="EJ93" s="4260"/>
      <c r="EK93" s="4260"/>
      <c r="EL93" s="4260"/>
      <c r="EM93" s="4260"/>
      <c r="EN93" s="4260"/>
      <c r="EO93" s="4260"/>
      <c r="EP93" s="4260"/>
      <c r="EQ93" s="4260"/>
      <c r="ER93" s="4260"/>
      <c r="ES93" s="4260"/>
      <c r="ET93" s="4260"/>
      <c r="EU93" s="4260"/>
      <c r="EV93" s="4260"/>
      <c r="EW93" s="4260"/>
      <c r="EX93" s="4260"/>
      <c r="EY93" s="4260"/>
      <c r="EZ93" s="4260"/>
      <c r="FA93" s="4260"/>
      <c r="FB93" s="4260"/>
      <c r="FC93" s="4260"/>
      <c r="FD93" s="4260"/>
      <c r="FE93" s="4260"/>
      <c r="FF93" s="4260"/>
      <c r="FG93" s="4260"/>
      <c r="FH93" s="4260"/>
      <c r="FI93" s="4260"/>
      <c r="FJ93" s="4260"/>
      <c r="FK93" s="4260"/>
      <c r="FL93" s="4260"/>
      <c r="FM93" s="4260"/>
      <c r="FN93" s="4260"/>
      <c r="FO93" s="4260"/>
      <c r="FP93" s="4260"/>
      <c r="FQ93" s="4260"/>
      <c r="FR93" s="4260"/>
      <c r="FS93" s="4260"/>
      <c r="FT93" s="4260"/>
      <c r="FU93" s="4260"/>
      <c r="FV93" s="4260"/>
      <c r="FW93" s="4260"/>
      <c r="FX93" s="4260"/>
      <c r="FY93" s="4260"/>
      <c r="FZ93" s="4260"/>
      <c r="GA93" s="4260"/>
      <c r="GB93" s="4260"/>
      <c r="GC93" s="4260"/>
      <c r="GD93" s="4260"/>
      <c r="GE93" s="4260"/>
      <c r="GF93" s="4260"/>
      <c r="GG93" s="4260"/>
      <c r="GH93" s="4260"/>
      <c r="GI93" s="4260"/>
      <c r="GJ93" s="4260"/>
      <c r="GK93" s="4260"/>
      <c r="GL93" s="4260"/>
      <c r="GM93" s="4260"/>
      <c r="GN93" s="4260"/>
      <c r="GO93" s="4260"/>
      <c r="GP93" s="4260"/>
      <c r="GQ93" s="4260"/>
      <c r="GR93" s="4260"/>
      <c r="GS93" s="4260"/>
      <c r="GT93" s="4260"/>
      <c r="GU93" s="4260"/>
      <c r="GV93" s="4260"/>
      <c r="GW93" s="4260"/>
      <c r="GX93" s="4260"/>
      <c r="GY93" s="4260"/>
      <c r="GZ93" s="4260"/>
      <c r="HA93" s="4260"/>
      <c r="HB93" s="4260"/>
      <c r="HC93" s="4260"/>
      <c r="HD93" s="4260"/>
      <c r="HE93" s="4260"/>
      <c r="HF93" s="4260"/>
      <c r="HG93" s="4260"/>
      <c r="HH93" s="4260"/>
      <c r="HI93" s="4260"/>
      <c r="HJ93" s="4260"/>
      <c r="HK93" s="4260"/>
      <c r="HL93" s="4260"/>
      <c r="HM93" s="4260"/>
      <c r="HN93" s="4260"/>
      <c r="HO93" s="4260"/>
      <c r="HP93" s="4260"/>
      <c r="HQ93" s="4260"/>
      <c r="HR93" s="4260"/>
      <c r="HS93" s="4260"/>
      <c r="HT93" s="4260"/>
      <c r="HU93" s="4260"/>
      <c r="HV93" s="4260"/>
      <c r="HW93" s="4260"/>
      <c r="HX93" s="4260"/>
      <c r="HY93" s="4260"/>
      <c r="HZ93" s="4260"/>
    </row>
    <row r="94" spans="1:234" s="4295" customFormat="1" ht="21" customHeight="1" x14ac:dyDescent="0.25">
      <c r="A94" s="7263">
        <v>26280200</v>
      </c>
      <c r="B94" s="4473" t="s">
        <v>1663</v>
      </c>
      <c r="C94" s="4474" t="s">
        <v>5369</v>
      </c>
      <c r="D94" s="4361" t="s">
        <v>5370</v>
      </c>
      <c r="E94" s="4475" t="s">
        <v>5371</v>
      </c>
      <c r="F94" s="4475" t="s">
        <v>5372</v>
      </c>
      <c r="G94" s="4475" t="s">
        <v>5373</v>
      </c>
      <c r="H94" s="4476" t="s">
        <v>5374</v>
      </c>
      <c r="I94" s="4258"/>
      <c r="J94" s="4258"/>
      <c r="K94" s="4258"/>
      <c r="L94" s="4258"/>
      <c r="M94" s="4258"/>
      <c r="N94" s="4258"/>
      <c r="O94" s="4258"/>
      <c r="P94" s="4258"/>
      <c r="Q94" s="4258"/>
      <c r="R94" s="4258"/>
      <c r="S94" s="4258"/>
      <c r="T94" s="4258"/>
      <c r="U94" s="4258"/>
      <c r="V94" s="4258"/>
      <c r="W94" s="4258"/>
      <c r="X94" s="4258"/>
      <c r="Y94" s="4258"/>
      <c r="Z94" s="4258"/>
      <c r="AA94" s="4258"/>
      <c r="AB94" s="4258"/>
      <c r="AC94" s="4258"/>
      <c r="AD94" s="4258"/>
      <c r="AE94" s="4258"/>
      <c r="AF94" s="4258"/>
      <c r="AG94" s="4258"/>
      <c r="AH94" s="4258"/>
      <c r="AI94" s="4258"/>
      <c r="AJ94" s="4258"/>
      <c r="AK94" s="4258"/>
      <c r="AL94" s="4258"/>
      <c r="AM94" s="4258"/>
      <c r="AN94" s="4258"/>
      <c r="AO94" s="4258"/>
      <c r="AP94" s="4258"/>
      <c r="AQ94" s="4258"/>
      <c r="AR94" s="4258"/>
      <c r="AS94" s="4258"/>
      <c r="AT94" s="4258"/>
      <c r="AU94" s="4258"/>
      <c r="AV94" s="4258"/>
      <c r="AW94" s="4258"/>
      <c r="AX94" s="4258"/>
      <c r="AY94" s="4258"/>
      <c r="AZ94" s="4258"/>
      <c r="BA94" s="4258"/>
      <c r="BB94" s="4258"/>
      <c r="BC94" s="4258"/>
      <c r="BD94" s="4258"/>
      <c r="BE94" s="4258"/>
      <c r="BF94" s="4258"/>
      <c r="BG94" s="4258"/>
      <c r="BH94" s="4258"/>
      <c r="BI94" s="4258"/>
      <c r="BJ94" s="4258"/>
      <c r="BK94" s="4258"/>
      <c r="BL94" s="4258"/>
      <c r="BM94" s="4258"/>
      <c r="BN94" s="4258"/>
      <c r="BO94" s="4258"/>
      <c r="BP94" s="4258"/>
      <c r="BQ94" s="4258"/>
      <c r="BR94" s="4258"/>
      <c r="BS94" s="4258"/>
      <c r="BT94" s="4258"/>
      <c r="BU94" s="4258"/>
      <c r="BV94" s="4258"/>
      <c r="BW94" s="4259"/>
      <c r="BX94" s="4259"/>
      <c r="BY94" s="4260"/>
      <c r="BZ94" s="4260"/>
      <c r="CA94" s="4260"/>
      <c r="CB94" s="4261"/>
      <c r="CC94" s="4261"/>
      <c r="CD94" s="4261"/>
      <c r="CE94" s="4261"/>
      <c r="CF94" s="4261"/>
      <c r="CG94" s="4261"/>
      <c r="CH94" s="4261"/>
      <c r="CI94" s="4261"/>
      <c r="CJ94" s="4261"/>
      <c r="CK94" s="4261"/>
      <c r="CL94" s="4261"/>
      <c r="CM94" s="4261"/>
      <c r="CN94" s="4261"/>
      <c r="CO94" s="4261"/>
      <c r="CP94" s="4261"/>
      <c r="CQ94" s="4261"/>
      <c r="CR94" s="4261"/>
      <c r="CS94" s="4261"/>
      <c r="CT94" s="4261"/>
      <c r="CU94" s="4261"/>
      <c r="CV94" s="4261"/>
      <c r="CW94" s="4261"/>
      <c r="CX94" s="4261"/>
      <c r="CY94" s="4261"/>
      <c r="CZ94" s="4261"/>
      <c r="DA94" s="4262"/>
      <c r="DB94" s="4294"/>
      <c r="DC94" s="4294"/>
      <c r="DD94" s="4294"/>
      <c r="DE94" s="4294"/>
      <c r="DF94" s="4294"/>
      <c r="DG94" s="4294"/>
      <c r="DH94" s="4294"/>
      <c r="DI94" s="4294"/>
      <c r="DJ94" s="4294"/>
      <c r="DK94" s="4294"/>
      <c r="DL94" s="4294"/>
      <c r="DM94" s="4294"/>
      <c r="DN94" s="4294"/>
      <c r="DO94" s="4294"/>
      <c r="DP94" s="4294"/>
      <c r="DQ94" s="4294"/>
      <c r="DR94" s="4260"/>
      <c r="DS94" s="4260"/>
      <c r="DT94" s="4260"/>
      <c r="DU94" s="4260"/>
      <c r="DV94" s="4260"/>
      <c r="DW94" s="4260"/>
      <c r="DX94" s="4260"/>
      <c r="DY94" s="4260"/>
      <c r="DZ94" s="4260"/>
      <c r="EA94" s="4260"/>
      <c r="EB94" s="4260"/>
      <c r="EC94" s="4260"/>
      <c r="ED94" s="4260"/>
      <c r="EE94" s="4260"/>
      <c r="EF94" s="4260"/>
      <c r="EG94" s="4260"/>
      <c r="EH94" s="4260"/>
      <c r="EI94" s="4260"/>
      <c r="EJ94" s="4260"/>
      <c r="EK94" s="4260"/>
      <c r="EL94" s="4260"/>
      <c r="EM94" s="4260"/>
      <c r="EN94" s="4260"/>
      <c r="EO94" s="4260"/>
      <c r="EP94" s="4260"/>
      <c r="EQ94" s="4260"/>
      <c r="ER94" s="4260"/>
      <c r="ES94" s="4260"/>
      <c r="ET94" s="4260"/>
      <c r="EU94" s="4260"/>
      <c r="EV94" s="4260"/>
      <c r="EW94" s="4260"/>
      <c r="EX94" s="4260"/>
      <c r="EY94" s="4260"/>
      <c r="EZ94" s="4260"/>
      <c r="FA94" s="4260"/>
      <c r="FB94" s="4260"/>
      <c r="FC94" s="4260"/>
      <c r="FD94" s="4260"/>
      <c r="FE94" s="4260"/>
      <c r="FF94" s="4260"/>
      <c r="FG94" s="4260"/>
      <c r="FH94" s="4260"/>
      <c r="FI94" s="4260"/>
      <c r="FJ94" s="4260"/>
      <c r="FK94" s="4260"/>
      <c r="FL94" s="4260"/>
      <c r="FM94" s="4260"/>
      <c r="FN94" s="4260"/>
      <c r="FO94" s="4260"/>
      <c r="FP94" s="4260"/>
      <c r="FQ94" s="4260"/>
      <c r="FR94" s="4260"/>
      <c r="FS94" s="4260"/>
      <c r="FT94" s="4260"/>
      <c r="FU94" s="4260"/>
      <c r="FV94" s="4260"/>
      <c r="FW94" s="4260"/>
      <c r="FX94" s="4260"/>
      <c r="FY94" s="4260"/>
      <c r="FZ94" s="4260"/>
      <c r="GA94" s="4260"/>
      <c r="GB94" s="4260"/>
      <c r="GC94" s="4260"/>
      <c r="GD94" s="4260"/>
      <c r="GE94" s="4260"/>
      <c r="GF94" s="4260"/>
      <c r="GG94" s="4260"/>
      <c r="GH94" s="4260"/>
      <c r="GI94" s="4260"/>
      <c r="GJ94" s="4260"/>
      <c r="GK94" s="4260"/>
      <c r="GL94" s="4260"/>
      <c r="GM94" s="4260"/>
      <c r="GN94" s="4260"/>
      <c r="GO94" s="4260"/>
      <c r="GP94" s="4260"/>
      <c r="GQ94" s="4260"/>
      <c r="GR94" s="4260"/>
      <c r="GS94" s="4260"/>
      <c r="GT94" s="4260"/>
      <c r="GU94" s="4260"/>
      <c r="GV94" s="4260"/>
      <c r="GW94" s="4260"/>
      <c r="GX94" s="4260"/>
      <c r="GY94" s="4260"/>
      <c r="GZ94" s="4260"/>
      <c r="HA94" s="4260"/>
      <c r="HB94" s="4260"/>
      <c r="HC94" s="4260"/>
      <c r="HD94" s="4260"/>
      <c r="HE94" s="4260"/>
      <c r="HF94" s="4260"/>
      <c r="HG94" s="4260"/>
      <c r="HH94" s="4260"/>
      <c r="HI94" s="4260"/>
      <c r="HJ94" s="4260"/>
      <c r="HK94" s="4260"/>
      <c r="HL94" s="4260"/>
      <c r="HM94" s="4260"/>
      <c r="HN94" s="4260"/>
      <c r="HO94" s="4260"/>
      <c r="HP94" s="4260"/>
      <c r="HQ94" s="4260"/>
      <c r="HR94" s="4260"/>
      <c r="HS94" s="4260"/>
      <c r="HT94" s="4260"/>
      <c r="HU94" s="4260"/>
      <c r="HV94" s="4260"/>
      <c r="HW94" s="4260"/>
      <c r="HX94" s="4260"/>
      <c r="HY94" s="4260"/>
      <c r="HZ94" s="4260"/>
    </row>
    <row r="95" spans="1:234" s="4295" customFormat="1" ht="21" customHeight="1" x14ac:dyDescent="0.25">
      <c r="A95" s="7263">
        <v>26280210</v>
      </c>
      <c r="B95" s="4477" t="s">
        <v>1670</v>
      </c>
      <c r="C95" s="4478" t="s">
        <v>5369</v>
      </c>
      <c r="D95" s="4387" t="s">
        <v>5370</v>
      </c>
      <c r="E95" s="4389" t="s">
        <v>5371</v>
      </c>
      <c r="F95" s="4389" t="s">
        <v>5372</v>
      </c>
      <c r="G95" s="4389" t="s">
        <v>5373</v>
      </c>
      <c r="H95" s="4479" t="s">
        <v>5374</v>
      </c>
      <c r="I95" s="4258"/>
      <c r="J95" s="4258"/>
      <c r="K95" s="4258"/>
      <c r="L95" s="4258"/>
      <c r="M95" s="4258"/>
      <c r="N95" s="4258"/>
      <c r="O95" s="4258"/>
      <c r="P95" s="4258"/>
      <c r="Q95" s="4258"/>
      <c r="R95" s="4258"/>
      <c r="S95" s="4258"/>
      <c r="T95" s="4258"/>
      <c r="U95" s="4258"/>
      <c r="V95" s="4258"/>
      <c r="W95" s="4258"/>
      <c r="X95" s="4258"/>
      <c r="Y95" s="4258"/>
      <c r="Z95" s="4258"/>
      <c r="AA95" s="4258"/>
      <c r="AB95" s="4258"/>
      <c r="AC95" s="4258"/>
      <c r="AD95" s="4258"/>
      <c r="AE95" s="4258"/>
      <c r="AF95" s="4258"/>
      <c r="AG95" s="4258"/>
      <c r="AH95" s="4258"/>
      <c r="AI95" s="4258"/>
      <c r="AJ95" s="4258"/>
      <c r="AK95" s="4258"/>
      <c r="AL95" s="4258"/>
      <c r="AM95" s="4258"/>
      <c r="AN95" s="4258"/>
      <c r="AO95" s="4258"/>
      <c r="AP95" s="4258"/>
      <c r="AQ95" s="4258"/>
      <c r="AR95" s="4258"/>
      <c r="AS95" s="4258"/>
      <c r="AT95" s="4258"/>
      <c r="AU95" s="4258"/>
      <c r="AV95" s="4258"/>
      <c r="AW95" s="4258"/>
      <c r="AX95" s="4258"/>
      <c r="AY95" s="4258"/>
      <c r="AZ95" s="4258"/>
      <c r="BA95" s="4258"/>
      <c r="BB95" s="4258"/>
      <c r="BC95" s="4258"/>
      <c r="BD95" s="4258"/>
      <c r="BE95" s="4258"/>
      <c r="BF95" s="4258"/>
      <c r="BG95" s="4258"/>
      <c r="BH95" s="4258"/>
      <c r="BI95" s="4258"/>
      <c r="BJ95" s="4258"/>
      <c r="BK95" s="4258"/>
      <c r="BL95" s="4258"/>
      <c r="BM95" s="4258"/>
      <c r="BN95" s="4258"/>
      <c r="BO95" s="4258"/>
      <c r="BP95" s="4258"/>
      <c r="BQ95" s="4258"/>
      <c r="BR95" s="4258"/>
      <c r="BS95" s="4258"/>
      <c r="BT95" s="4258"/>
      <c r="BU95" s="4258"/>
      <c r="BV95" s="4258"/>
      <c r="BW95" s="4259"/>
      <c r="BX95" s="4259"/>
      <c r="BY95" s="4260"/>
      <c r="BZ95" s="4260"/>
      <c r="CA95" s="4260"/>
      <c r="CB95" s="4261"/>
      <c r="CC95" s="4261"/>
      <c r="CD95" s="4261"/>
      <c r="CE95" s="4261"/>
      <c r="CF95" s="4261"/>
      <c r="CG95" s="4261"/>
      <c r="CH95" s="4261"/>
      <c r="CI95" s="4261"/>
      <c r="CJ95" s="4261"/>
      <c r="CK95" s="4261"/>
      <c r="CL95" s="4261"/>
      <c r="CM95" s="4261"/>
      <c r="CN95" s="4261"/>
      <c r="CO95" s="4261"/>
      <c r="CP95" s="4261"/>
      <c r="CQ95" s="4261"/>
      <c r="CR95" s="4261"/>
      <c r="CS95" s="4261"/>
      <c r="CT95" s="4261"/>
      <c r="CU95" s="4261"/>
      <c r="CV95" s="4261"/>
      <c r="CW95" s="4261"/>
      <c r="CX95" s="4261"/>
      <c r="CY95" s="4261"/>
      <c r="CZ95" s="4261"/>
      <c r="DA95" s="4262"/>
      <c r="DB95" s="4294"/>
      <c r="DC95" s="4294"/>
      <c r="DD95" s="4294"/>
      <c r="DE95" s="4294"/>
      <c r="DF95" s="4294"/>
      <c r="DG95" s="4294"/>
      <c r="DH95" s="4294"/>
      <c r="DI95" s="4294"/>
      <c r="DJ95" s="4294"/>
      <c r="DK95" s="4294"/>
      <c r="DL95" s="4294"/>
      <c r="DM95" s="4294"/>
      <c r="DN95" s="4294"/>
      <c r="DO95" s="4294"/>
      <c r="DP95" s="4294"/>
      <c r="DQ95" s="4294"/>
      <c r="DR95" s="4260"/>
      <c r="DS95" s="4260"/>
      <c r="DT95" s="4260"/>
      <c r="DU95" s="4260"/>
      <c r="DV95" s="4260"/>
      <c r="DW95" s="4260"/>
      <c r="DX95" s="4260"/>
      <c r="DY95" s="4260"/>
      <c r="DZ95" s="4260"/>
      <c r="EA95" s="4260"/>
      <c r="EB95" s="4260"/>
      <c r="EC95" s="4260"/>
      <c r="ED95" s="4260"/>
      <c r="EE95" s="4260"/>
      <c r="EF95" s="4260"/>
      <c r="EG95" s="4260"/>
      <c r="EH95" s="4260"/>
      <c r="EI95" s="4260"/>
      <c r="EJ95" s="4260"/>
      <c r="EK95" s="4260"/>
      <c r="EL95" s="4260"/>
      <c r="EM95" s="4260"/>
      <c r="EN95" s="4260"/>
      <c r="EO95" s="4260"/>
      <c r="EP95" s="4260"/>
      <c r="EQ95" s="4260"/>
      <c r="ER95" s="4260"/>
      <c r="ES95" s="4260"/>
      <c r="ET95" s="4260"/>
      <c r="EU95" s="4260"/>
      <c r="EV95" s="4260"/>
      <c r="EW95" s="4260"/>
      <c r="EX95" s="4260"/>
      <c r="EY95" s="4260"/>
      <c r="EZ95" s="4260"/>
      <c r="FA95" s="4260"/>
      <c r="FB95" s="4260"/>
      <c r="FC95" s="4260"/>
      <c r="FD95" s="4260"/>
      <c r="FE95" s="4260"/>
      <c r="FF95" s="4260"/>
      <c r="FG95" s="4260"/>
      <c r="FH95" s="4260"/>
      <c r="FI95" s="4260"/>
      <c r="FJ95" s="4260"/>
      <c r="FK95" s="4260"/>
      <c r="FL95" s="4260"/>
      <c r="FM95" s="4260"/>
      <c r="FN95" s="4260"/>
      <c r="FO95" s="4260"/>
      <c r="FP95" s="4260"/>
      <c r="FQ95" s="4260"/>
      <c r="FR95" s="4260"/>
      <c r="FS95" s="4260"/>
      <c r="FT95" s="4260"/>
      <c r="FU95" s="4260"/>
      <c r="FV95" s="4260"/>
      <c r="FW95" s="4260"/>
      <c r="FX95" s="4260"/>
      <c r="FY95" s="4260"/>
      <c r="FZ95" s="4260"/>
      <c r="GA95" s="4260"/>
      <c r="GB95" s="4260"/>
      <c r="GC95" s="4260"/>
      <c r="GD95" s="4260"/>
      <c r="GE95" s="4260"/>
      <c r="GF95" s="4260"/>
      <c r="GG95" s="4260"/>
      <c r="GH95" s="4260"/>
      <c r="GI95" s="4260"/>
      <c r="GJ95" s="4260"/>
      <c r="GK95" s="4260"/>
      <c r="GL95" s="4260"/>
      <c r="GM95" s="4260"/>
      <c r="GN95" s="4260"/>
      <c r="GO95" s="4260"/>
      <c r="GP95" s="4260"/>
      <c r="GQ95" s="4260"/>
      <c r="GR95" s="4260"/>
      <c r="GS95" s="4260"/>
      <c r="GT95" s="4260"/>
      <c r="GU95" s="4260"/>
      <c r="GV95" s="4260"/>
      <c r="GW95" s="4260"/>
      <c r="GX95" s="4260"/>
      <c r="GY95" s="4260"/>
      <c r="GZ95" s="4260"/>
      <c r="HA95" s="4260"/>
      <c r="HB95" s="4260"/>
      <c r="HC95" s="4260"/>
      <c r="HD95" s="4260"/>
      <c r="HE95" s="4260"/>
      <c r="HF95" s="4260"/>
      <c r="HG95" s="4260"/>
      <c r="HH95" s="4260"/>
      <c r="HI95" s="4260"/>
      <c r="HJ95" s="4260"/>
      <c r="HK95" s="4260"/>
      <c r="HL95" s="4260"/>
      <c r="HM95" s="4260"/>
      <c r="HN95" s="4260"/>
      <c r="HO95" s="4260"/>
      <c r="HP95" s="4260"/>
      <c r="HQ95" s="4260"/>
      <c r="HR95" s="4260"/>
      <c r="HS95" s="4260"/>
      <c r="HT95" s="4260"/>
      <c r="HU95" s="4260"/>
      <c r="HV95" s="4260"/>
      <c r="HW95" s="4260"/>
      <c r="HX95" s="4260"/>
      <c r="HY95" s="4260"/>
      <c r="HZ95" s="4260"/>
    </row>
    <row r="96" spans="1:234" ht="20.399999999999999" customHeight="1" x14ac:dyDescent="0.25">
      <c r="A96" s="7263"/>
      <c r="B96" s="4469" t="s">
        <v>3501</v>
      </c>
      <c r="C96" s="4470"/>
      <c r="D96" s="4470"/>
      <c r="E96" s="4470"/>
      <c r="F96" s="4470"/>
      <c r="G96" s="4471"/>
      <c r="H96" s="4471"/>
    </row>
    <row r="97" spans="1:106" ht="21" customHeight="1" x14ac:dyDescent="0.25">
      <c r="A97" s="7263"/>
      <c r="B97" s="9445" t="s">
        <v>31</v>
      </c>
      <c r="C97" s="9079" t="s">
        <v>1665</v>
      </c>
      <c r="D97" s="9079" t="s">
        <v>1664</v>
      </c>
    </row>
    <row r="98" spans="1:106" ht="21" customHeight="1" x14ac:dyDescent="0.25">
      <c r="A98" s="7263"/>
      <c r="B98" s="9446"/>
      <c r="C98" s="9415"/>
      <c r="D98" s="9080"/>
    </row>
    <row r="99" spans="1:106" ht="25.5" customHeight="1" x14ac:dyDescent="0.25">
      <c r="A99" s="7263">
        <v>26300160</v>
      </c>
      <c r="B99" s="4480" t="s">
        <v>1663</v>
      </c>
      <c r="C99" s="4481" t="s">
        <v>5369</v>
      </c>
      <c r="D99" s="4481" t="s">
        <v>5370</v>
      </c>
    </row>
    <row r="100" spans="1:106" ht="28.5" customHeight="1" x14ac:dyDescent="0.25">
      <c r="A100" s="7263"/>
      <c r="B100" s="4482" t="s">
        <v>3502</v>
      </c>
      <c r="C100" s="4483"/>
      <c r="D100" s="4483"/>
      <c r="E100" s="4483"/>
      <c r="F100" s="4483"/>
      <c r="G100" s="4483"/>
      <c r="H100" s="4483"/>
      <c r="I100" s="4483"/>
      <c r="J100" s="4483"/>
      <c r="K100" s="4483"/>
      <c r="L100" s="4179"/>
      <c r="M100" s="4179"/>
      <c r="N100" s="4179"/>
      <c r="O100" s="4179"/>
      <c r="P100" s="4179"/>
      <c r="Q100" s="4179"/>
      <c r="R100" s="4179"/>
      <c r="S100" s="4179"/>
      <c r="T100" s="4179"/>
      <c r="U100" s="4179"/>
    </row>
    <row r="101" spans="1:106" ht="18" customHeight="1" x14ac:dyDescent="0.25">
      <c r="A101" s="7263"/>
      <c r="B101" s="10769" t="s">
        <v>1236</v>
      </c>
      <c r="C101" s="10769" t="s">
        <v>24</v>
      </c>
      <c r="D101" s="10765" t="s">
        <v>2395</v>
      </c>
      <c r="E101" s="10766"/>
      <c r="F101" s="10766"/>
      <c r="G101" s="10766"/>
      <c r="H101" s="10766"/>
      <c r="I101" s="10766"/>
      <c r="J101" s="10766"/>
      <c r="K101" s="10766"/>
      <c r="L101" s="10766"/>
      <c r="M101" s="10766"/>
      <c r="N101" s="10766"/>
      <c r="O101" s="10766"/>
      <c r="P101" s="10766"/>
      <c r="Q101" s="10766"/>
      <c r="R101" s="10766"/>
      <c r="S101" s="10766"/>
      <c r="T101" s="10766"/>
      <c r="U101" s="10761" t="s">
        <v>22</v>
      </c>
      <c r="V101" s="10762"/>
      <c r="BR101" s="4259"/>
      <c r="BS101" s="4259"/>
      <c r="BT101" s="4259"/>
      <c r="BU101" s="4259"/>
      <c r="BW101" s="4258"/>
      <c r="BX101" s="4258"/>
      <c r="BY101" s="4258"/>
      <c r="CV101" s="4262"/>
      <c r="CW101" s="4262"/>
      <c r="CX101" s="4262"/>
      <c r="CY101" s="4262"/>
      <c r="CZ101" s="4262"/>
    </row>
    <row r="102" spans="1:106" ht="27.75" customHeight="1" x14ac:dyDescent="0.25">
      <c r="A102" s="7263"/>
      <c r="B102" s="10769"/>
      <c r="C102" s="10769"/>
      <c r="D102" s="10767" t="s">
        <v>477</v>
      </c>
      <c r="E102" s="10768"/>
      <c r="F102" s="10768"/>
      <c r="G102" s="10768"/>
      <c r="H102" s="10768"/>
      <c r="I102" s="10768"/>
      <c r="J102" s="10768"/>
      <c r="K102" s="10768"/>
      <c r="L102" s="10768"/>
      <c r="M102" s="10768"/>
      <c r="N102" s="10768"/>
      <c r="O102" s="10768"/>
      <c r="P102" s="10768"/>
      <c r="Q102" s="10768"/>
      <c r="R102" s="10768"/>
      <c r="S102" s="10768"/>
      <c r="T102" s="10768"/>
      <c r="U102" s="10763"/>
      <c r="V102" s="10764"/>
      <c r="BR102" s="4259"/>
      <c r="BS102" s="4259"/>
      <c r="BT102" s="4259"/>
      <c r="BU102" s="4259"/>
      <c r="BW102" s="4258"/>
      <c r="BX102" s="4258"/>
      <c r="BY102" s="4258"/>
      <c r="CV102" s="4262"/>
      <c r="CW102" s="4262"/>
      <c r="CX102" s="4262"/>
      <c r="CY102" s="4262"/>
      <c r="CZ102" s="4262"/>
    </row>
    <row r="103" spans="1:106" ht="27.75" customHeight="1" x14ac:dyDescent="0.25">
      <c r="A103" s="7263"/>
      <c r="B103" s="10769"/>
      <c r="C103" s="10769"/>
      <c r="D103" s="3878" t="s">
        <v>399</v>
      </c>
      <c r="E103" s="3879" t="s">
        <v>54</v>
      </c>
      <c r="F103" s="3879" t="s">
        <v>79</v>
      </c>
      <c r="G103" s="3879" t="s">
        <v>80</v>
      </c>
      <c r="H103" s="3879" t="s">
        <v>81</v>
      </c>
      <c r="I103" s="3879" t="s">
        <v>82</v>
      </c>
      <c r="J103" s="3879" t="s">
        <v>83</v>
      </c>
      <c r="K103" s="3879" t="s">
        <v>400</v>
      </c>
      <c r="L103" s="3879" t="s">
        <v>124</v>
      </c>
      <c r="M103" s="3879" t="s">
        <v>125</v>
      </c>
      <c r="N103" s="3879" t="s">
        <v>126</v>
      </c>
      <c r="O103" s="3879" t="s">
        <v>127</v>
      </c>
      <c r="P103" s="3879" t="s">
        <v>128</v>
      </c>
      <c r="Q103" s="3879" t="s">
        <v>129</v>
      </c>
      <c r="R103" s="3879" t="s">
        <v>130</v>
      </c>
      <c r="S103" s="3879" t="s">
        <v>131</v>
      </c>
      <c r="T103" s="3880" t="s">
        <v>1919</v>
      </c>
      <c r="U103" s="4484" t="s">
        <v>17</v>
      </c>
      <c r="V103" s="3882" t="s">
        <v>18</v>
      </c>
      <c r="BR103" s="4259"/>
      <c r="BS103" s="4259"/>
      <c r="BT103" s="4259"/>
      <c r="BU103" s="4259"/>
      <c r="BW103" s="4258"/>
      <c r="BX103" s="4258"/>
      <c r="BY103" s="4258"/>
      <c r="CV103" s="4262"/>
      <c r="CW103" s="4262"/>
      <c r="CX103" s="4262"/>
      <c r="CY103" s="4262"/>
      <c r="CZ103" s="4262"/>
    </row>
    <row r="104" spans="1:106" ht="20.399999999999999" x14ac:dyDescent="0.25">
      <c r="A104" s="7296">
        <v>29101547</v>
      </c>
      <c r="B104" s="4485" t="s">
        <v>2396</v>
      </c>
      <c r="C104" s="4040" t="s">
        <v>5369</v>
      </c>
      <c r="D104" s="3897" t="s">
        <v>5370</v>
      </c>
      <c r="E104" s="3833" t="s">
        <v>5371</v>
      </c>
      <c r="F104" s="3833" t="s">
        <v>5372</v>
      </c>
      <c r="G104" s="3833" t="s">
        <v>5373</v>
      </c>
      <c r="H104" s="3833" t="s">
        <v>5374</v>
      </c>
      <c r="I104" s="3833" t="s">
        <v>5375</v>
      </c>
      <c r="J104" s="3833" t="s">
        <v>5376</v>
      </c>
      <c r="K104" s="3833" t="s">
        <v>5377</v>
      </c>
      <c r="L104" s="3833" t="s">
        <v>5378</v>
      </c>
      <c r="M104" s="3833" t="s">
        <v>5379</v>
      </c>
      <c r="N104" s="3833" t="s">
        <v>5380</v>
      </c>
      <c r="O104" s="3833" t="s">
        <v>5381</v>
      </c>
      <c r="P104" s="3833" t="s">
        <v>5382</v>
      </c>
      <c r="Q104" s="3833" t="s">
        <v>5383</v>
      </c>
      <c r="R104" s="3833" t="s">
        <v>5384</v>
      </c>
      <c r="S104" s="3833" t="s">
        <v>5385</v>
      </c>
      <c r="T104" s="3834" t="s">
        <v>5386</v>
      </c>
      <c r="U104" s="4152" t="s">
        <v>5387</v>
      </c>
      <c r="V104" s="3838" t="s">
        <v>5388</v>
      </c>
      <c r="W104" s="4258" t="e">
        <f>CB104</f>
        <v>#VALUE!</v>
      </c>
      <c r="CB104" s="4292" t="e">
        <f>IF(DB104=1,"* El Total de consultas por Sexo debe ser igual al Total de Consultas por Grupo de Edad. ","")</f>
        <v>#VALUE!</v>
      </c>
      <c r="DB104" s="4293" t="e">
        <f>IF(C104&lt;&gt;V104+U104,1,0)</f>
        <v>#VALUE!</v>
      </c>
    </row>
    <row r="105" spans="1:106" x14ac:dyDescent="0.25">
      <c r="A105" s="7296">
        <v>29101548</v>
      </c>
      <c r="B105" s="4486" t="s">
        <v>2381</v>
      </c>
      <c r="C105" s="4040" t="s">
        <v>5369</v>
      </c>
      <c r="D105" s="3830" t="s">
        <v>5370</v>
      </c>
      <c r="E105" s="3831" t="s">
        <v>5371</v>
      </c>
      <c r="F105" s="3831" t="s">
        <v>5372</v>
      </c>
      <c r="G105" s="3831" t="s">
        <v>5373</v>
      </c>
      <c r="H105" s="3831" t="s">
        <v>5374</v>
      </c>
      <c r="I105" s="3831" t="s">
        <v>5375</v>
      </c>
      <c r="J105" s="3831" t="s">
        <v>5376</v>
      </c>
      <c r="K105" s="3831" t="s">
        <v>5377</v>
      </c>
      <c r="L105" s="3831" t="s">
        <v>5378</v>
      </c>
      <c r="M105" s="3831" t="s">
        <v>5379</v>
      </c>
      <c r="N105" s="3831" t="s">
        <v>5380</v>
      </c>
      <c r="O105" s="3831" t="s">
        <v>5381</v>
      </c>
      <c r="P105" s="3831" t="s">
        <v>5382</v>
      </c>
      <c r="Q105" s="3831" t="s">
        <v>5383</v>
      </c>
      <c r="R105" s="3831" t="s">
        <v>5384</v>
      </c>
      <c r="S105" s="3831" t="s">
        <v>5385</v>
      </c>
      <c r="T105" s="3841" t="s">
        <v>5386</v>
      </c>
      <c r="U105" s="4041" t="s">
        <v>5387</v>
      </c>
      <c r="V105" s="3845" t="s">
        <v>5388</v>
      </c>
      <c r="W105" s="4258" t="e">
        <f t="shared" ref="W105:W118" si="29">CB105</f>
        <v>#VALUE!</v>
      </c>
      <c r="CB105" s="4292" t="e">
        <f t="shared" ref="CB105:CB118" si="30">IF(DB105=1,"* El Total de consultas por Sexo debe ser igual al Total de Consultas por Grupo de Edad. ","")</f>
        <v>#VALUE!</v>
      </c>
      <c r="DB105" s="4293" t="e">
        <f t="shared" ref="DB105:DB118" si="31">IF(C105&lt;&gt;V105+U105,1,0)</f>
        <v>#VALUE!</v>
      </c>
    </row>
    <row r="106" spans="1:106" x14ac:dyDescent="0.25">
      <c r="A106" s="7296">
        <v>29101549</v>
      </c>
      <c r="B106" s="4486" t="s">
        <v>2382</v>
      </c>
      <c r="C106" s="4040" t="s">
        <v>5369</v>
      </c>
      <c r="D106" s="3830" t="s">
        <v>5370</v>
      </c>
      <c r="E106" s="3831" t="s">
        <v>5371</v>
      </c>
      <c r="F106" s="3831" t="s">
        <v>5372</v>
      </c>
      <c r="G106" s="3831" t="s">
        <v>5373</v>
      </c>
      <c r="H106" s="3831" t="s">
        <v>5374</v>
      </c>
      <c r="I106" s="3831" t="s">
        <v>5375</v>
      </c>
      <c r="J106" s="3831" t="s">
        <v>5376</v>
      </c>
      <c r="K106" s="3831" t="s">
        <v>5377</v>
      </c>
      <c r="L106" s="3831" t="s">
        <v>5378</v>
      </c>
      <c r="M106" s="3831" t="s">
        <v>5379</v>
      </c>
      <c r="N106" s="3831" t="s">
        <v>5380</v>
      </c>
      <c r="O106" s="3831" t="s">
        <v>5381</v>
      </c>
      <c r="P106" s="3831" t="s">
        <v>5382</v>
      </c>
      <c r="Q106" s="3831" t="s">
        <v>5383</v>
      </c>
      <c r="R106" s="3831" t="s">
        <v>5384</v>
      </c>
      <c r="S106" s="3831" t="s">
        <v>5385</v>
      </c>
      <c r="T106" s="3841" t="s">
        <v>5386</v>
      </c>
      <c r="U106" s="4041" t="s">
        <v>5387</v>
      </c>
      <c r="V106" s="3845" t="s">
        <v>5388</v>
      </c>
      <c r="W106" s="4258" t="e">
        <f t="shared" si="29"/>
        <v>#VALUE!</v>
      </c>
      <c r="CB106" s="4292" t="e">
        <f t="shared" si="30"/>
        <v>#VALUE!</v>
      </c>
      <c r="DB106" s="4293" t="e">
        <f t="shared" si="31"/>
        <v>#VALUE!</v>
      </c>
    </row>
    <row r="107" spans="1:106" ht="19.2" customHeight="1" x14ac:dyDescent="0.25">
      <c r="A107" s="7296">
        <v>29101550</v>
      </c>
      <c r="B107" s="4486" t="s">
        <v>2383</v>
      </c>
      <c r="C107" s="4040" t="s">
        <v>5369</v>
      </c>
      <c r="D107" s="3830" t="s">
        <v>5370</v>
      </c>
      <c r="E107" s="3831" t="s">
        <v>5371</v>
      </c>
      <c r="F107" s="3831" t="s">
        <v>5372</v>
      </c>
      <c r="G107" s="3831" t="s">
        <v>5373</v>
      </c>
      <c r="H107" s="3831" t="s">
        <v>5374</v>
      </c>
      <c r="I107" s="3831" t="s">
        <v>5375</v>
      </c>
      <c r="J107" s="3831" t="s">
        <v>5376</v>
      </c>
      <c r="K107" s="3831" t="s">
        <v>5377</v>
      </c>
      <c r="L107" s="3831" t="s">
        <v>5378</v>
      </c>
      <c r="M107" s="3831" t="s">
        <v>5379</v>
      </c>
      <c r="N107" s="3831" t="s">
        <v>5380</v>
      </c>
      <c r="O107" s="3831" t="s">
        <v>5381</v>
      </c>
      <c r="P107" s="3831" t="s">
        <v>5382</v>
      </c>
      <c r="Q107" s="3831" t="s">
        <v>5383</v>
      </c>
      <c r="R107" s="3831" t="s">
        <v>5384</v>
      </c>
      <c r="S107" s="3831" t="s">
        <v>5385</v>
      </c>
      <c r="T107" s="3841" t="s">
        <v>5386</v>
      </c>
      <c r="U107" s="4041" t="s">
        <v>5387</v>
      </c>
      <c r="V107" s="3845" t="s">
        <v>5388</v>
      </c>
      <c r="W107" s="4258" t="e">
        <f t="shared" si="29"/>
        <v>#VALUE!</v>
      </c>
      <c r="CB107" s="4292" t="e">
        <f t="shared" si="30"/>
        <v>#VALUE!</v>
      </c>
      <c r="DB107" s="4293" t="e">
        <f t="shared" si="31"/>
        <v>#VALUE!</v>
      </c>
    </row>
    <row r="108" spans="1:106" x14ac:dyDescent="0.25">
      <c r="A108" s="7296">
        <v>29101551</v>
      </c>
      <c r="B108" s="4486" t="s">
        <v>2384</v>
      </c>
      <c r="C108" s="4040" t="s">
        <v>5369</v>
      </c>
      <c r="D108" s="3830" t="s">
        <v>5370</v>
      </c>
      <c r="E108" s="3831" t="s">
        <v>5371</v>
      </c>
      <c r="F108" s="3831" t="s">
        <v>5372</v>
      </c>
      <c r="G108" s="3831" t="s">
        <v>5373</v>
      </c>
      <c r="H108" s="3831" t="s">
        <v>5374</v>
      </c>
      <c r="I108" s="3831" t="s">
        <v>5375</v>
      </c>
      <c r="J108" s="3831" t="s">
        <v>5376</v>
      </c>
      <c r="K108" s="3831" t="s">
        <v>5377</v>
      </c>
      <c r="L108" s="3831" t="s">
        <v>5378</v>
      </c>
      <c r="M108" s="3831" t="s">
        <v>5379</v>
      </c>
      <c r="N108" s="3831" t="s">
        <v>5380</v>
      </c>
      <c r="O108" s="3831" t="s">
        <v>5381</v>
      </c>
      <c r="P108" s="3831" t="s">
        <v>5382</v>
      </c>
      <c r="Q108" s="3831" t="s">
        <v>5383</v>
      </c>
      <c r="R108" s="3831" t="s">
        <v>5384</v>
      </c>
      <c r="S108" s="3831" t="s">
        <v>5385</v>
      </c>
      <c r="T108" s="3841" t="s">
        <v>5386</v>
      </c>
      <c r="U108" s="4041" t="s">
        <v>5387</v>
      </c>
      <c r="V108" s="3845" t="s">
        <v>5388</v>
      </c>
      <c r="W108" s="4258" t="e">
        <f t="shared" si="29"/>
        <v>#VALUE!</v>
      </c>
      <c r="CB108" s="4292" t="e">
        <f t="shared" si="30"/>
        <v>#VALUE!</v>
      </c>
      <c r="DB108" s="4293" t="e">
        <f t="shared" si="31"/>
        <v>#VALUE!</v>
      </c>
    </row>
    <row r="109" spans="1:106" x14ac:dyDescent="0.25">
      <c r="A109" s="7296">
        <v>29101552</v>
      </c>
      <c r="B109" s="4486" t="s">
        <v>2385</v>
      </c>
      <c r="C109" s="4040" t="s">
        <v>5369</v>
      </c>
      <c r="D109" s="3830" t="s">
        <v>5370</v>
      </c>
      <c r="E109" s="3831" t="s">
        <v>5371</v>
      </c>
      <c r="F109" s="3831" t="s">
        <v>5372</v>
      </c>
      <c r="G109" s="3831" t="s">
        <v>5373</v>
      </c>
      <c r="H109" s="3831" t="s">
        <v>5374</v>
      </c>
      <c r="I109" s="3831" t="s">
        <v>5375</v>
      </c>
      <c r="J109" s="3831" t="s">
        <v>5376</v>
      </c>
      <c r="K109" s="3831" t="s">
        <v>5377</v>
      </c>
      <c r="L109" s="3831" t="s">
        <v>5378</v>
      </c>
      <c r="M109" s="3831" t="s">
        <v>5379</v>
      </c>
      <c r="N109" s="3831" t="s">
        <v>5380</v>
      </c>
      <c r="O109" s="3831" t="s">
        <v>5381</v>
      </c>
      <c r="P109" s="3831" t="s">
        <v>5382</v>
      </c>
      <c r="Q109" s="3831" t="s">
        <v>5383</v>
      </c>
      <c r="R109" s="3831" t="s">
        <v>5384</v>
      </c>
      <c r="S109" s="3831" t="s">
        <v>5385</v>
      </c>
      <c r="T109" s="3841" t="s">
        <v>5386</v>
      </c>
      <c r="U109" s="4041" t="s">
        <v>5387</v>
      </c>
      <c r="V109" s="3845" t="s">
        <v>5388</v>
      </c>
      <c r="W109" s="4258" t="e">
        <f t="shared" si="29"/>
        <v>#VALUE!</v>
      </c>
      <c r="CB109" s="4292" t="e">
        <f t="shared" si="30"/>
        <v>#VALUE!</v>
      </c>
      <c r="DB109" s="4293" t="e">
        <f t="shared" si="31"/>
        <v>#VALUE!</v>
      </c>
    </row>
    <row r="110" spans="1:106" x14ac:dyDescent="0.25">
      <c r="A110" s="7296">
        <v>29101553</v>
      </c>
      <c r="B110" s="4486" t="s">
        <v>2386</v>
      </c>
      <c r="C110" s="4040" t="s">
        <v>5369</v>
      </c>
      <c r="D110" s="3830" t="s">
        <v>5370</v>
      </c>
      <c r="E110" s="3831" t="s">
        <v>5371</v>
      </c>
      <c r="F110" s="3831" t="s">
        <v>5372</v>
      </c>
      <c r="G110" s="3831" t="s">
        <v>5373</v>
      </c>
      <c r="H110" s="3831" t="s">
        <v>5374</v>
      </c>
      <c r="I110" s="3831" t="s">
        <v>5375</v>
      </c>
      <c r="J110" s="3831" t="s">
        <v>5376</v>
      </c>
      <c r="K110" s="3831" t="s">
        <v>5377</v>
      </c>
      <c r="L110" s="3831" t="s">
        <v>5378</v>
      </c>
      <c r="M110" s="3831" t="s">
        <v>5379</v>
      </c>
      <c r="N110" s="3831" t="s">
        <v>5380</v>
      </c>
      <c r="O110" s="3831" t="s">
        <v>5381</v>
      </c>
      <c r="P110" s="3831" t="s">
        <v>5382</v>
      </c>
      <c r="Q110" s="3831" t="s">
        <v>5383</v>
      </c>
      <c r="R110" s="3831" t="s">
        <v>5384</v>
      </c>
      <c r="S110" s="3831" t="s">
        <v>5385</v>
      </c>
      <c r="T110" s="3841" t="s">
        <v>5386</v>
      </c>
      <c r="U110" s="4041" t="s">
        <v>5387</v>
      </c>
      <c r="V110" s="3845" t="s">
        <v>5388</v>
      </c>
      <c r="W110" s="4258" t="e">
        <f t="shared" si="29"/>
        <v>#VALUE!</v>
      </c>
      <c r="CB110" s="4292" t="e">
        <f t="shared" si="30"/>
        <v>#VALUE!</v>
      </c>
      <c r="DB110" s="4293" t="e">
        <f t="shared" si="31"/>
        <v>#VALUE!</v>
      </c>
    </row>
    <row r="111" spans="1:106" x14ac:dyDescent="0.25">
      <c r="A111" s="7296">
        <v>29101554</v>
      </c>
      <c r="B111" s="4486" t="s">
        <v>2387</v>
      </c>
      <c r="C111" s="4040" t="s">
        <v>5369</v>
      </c>
      <c r="D111" s="3830" t="s">
        <v>5370</v>
      </c>
      <c r="E111" s="3831" t="s">
        <v>5371</v>
      </c>
      <c r="F111" s="3831" t="s">
        <v>5372</v>
      </c>
      <c r="G111" s="3831" t="s">
        <v>5373</v>
      </c>
      <c r="H111" s="3831" t="s">
        <v>5374</v>
      </c>
      <c r="I111" s="3831" t="s">
        <v>5375</v>
      </c>
      <c r="J111" s="3831" t="s">
        <v>5376</v>
      </c>
      <c r="K111" s="3831" t="s">
        <v>5377</v>
      </c>
      <c r="L111" s="3831" t="s">
        <v>5378</v>
      </c>
      <c r="M111" s="3831" t="s">
        <v>5379</v>
      </c>
      <c r="N111" s="3831" t="s">
        <v>5380</v>
      </c>
      <c r="O111" s="3831" t="s">
        <v>5381</v>
      </c>
      <c r="P111" s="3831" t="s">
        <v>5382</v>
      </c>
      <c r="Q111" s="3831" t="s">
        <v>5383</v>
      </c>
      <c r="R111" s="3831" t="s">
        <v>5384</v>
      </c>
      <c r="S111" s="3831" t="s">
        <v>5385</v>
      </c>
      <c r="T111" s="3841" t="s">
        <v>5386</v>
      </c>
      <c r="U111" s="4041" t="s">
        <v>5387</v>
      </c>
      <c r="V111" s="3845" t="s">
        <v>5388</v>
      </c>
      <c r="W111" s="4258" t="e">
        <f t="shared" si="29"/>
        <v>#VALUE!</v>
      </c>
      <c r="CB111" s="4292" t="e">
        <f t="shared" si="30"/>
        <v>#VALUE!</v>
      </c>
      <c r="DB111" s="4293" t="e">
        <f t="shared" si="31"/>
        <v>#VALUE!</v>
      </c>
    </row>
    <row r="112" spans="1:106" x14ac:dyDescent="0.25">
      <c r="A112" s="7296">
        <v>29101555</v>
      </c>
      <c r="B112" s="4486" t="s">
        <v>2388</v>
      </c>
      <c r="C112" s="4040" t="s">
        <v>5369</v>
      </c>
      <c r="D112" s="3830" t="s">
        <v>5370</v>
      </c>
      <c r="E112" s="3831" t="s">
        <v>5371</v>
      </c>
      <c r="F112" s="3831" t="s">
        <v>5372</v>
      </c>
      <c r="G112" s="3831" t="s">
        <v>5373</v>
      </c>
      <c r="H112" s="3831" t="s">
        <v>5374</v>
      </c>
      <c r="I112" s="3831" t="s">
        <v>5375</v>
      </c>
      <c r="J112" s="3831" t="s">
        <v>5376</v>
      </c>
      <c r="K112" s="3831" t="s">
        <v>5377</v>
      </c>
      <c r="L112" s="3831" t="s">
        <v>5378</v>
      </c>
      <c r="M112" s="3831" t="s">
        <v>5379</v>
      </c>
      <c r="N112" s="3831" t="s">
        <v>5380</v>
      </c>
      <c r="O112" s="3831" t="s">
        <v>5381</v>
      </c>
      <c r="P112" s="3831" t="s">
        <v>5382</v>
      </c>
      <c r="Q112" s="3831" t="s">
        <v>5383</v>
      </c>
      <c r="R112" s="3831" t="s">
        <v>5384</v>
      </c>
      <c r="S112" s="3831" t="s">
        <v>5385</v>
      </c>
      <c r="T112" s="3841" t="s">
        <v>5386</v>
      </c>
      <c r="U112" s="4041" t="s">
        <v>5387</v>
      </c>
      <c r="V112" s="3845" t="s">
        <v>5388</v>
      </c>
      <c r="W112" s="4258" t="e">
        <f t="shared" si="29"/>
        <v>#VALUE!</v>
      </c>
      <c r="CB112" s="4292" t="e">
        <f t="shared" si="30"/>
        <v>#VALUE!</v>
      </c>
      <c r="DB112" s="4293" t="e">
        <f t="shared" si="31"/>
        <v>#VALUE!</v>
      </c>
    </row>
    <row r="113" spans="1:106" x14ac:dyDescent="0.25">
      <c r="A113" s="7296">
        <v>29101556</v>
      </c>
      <c r="B113" s="3120" t="s">
        <v>2389</v>
      </c>
      <c r="C113" s="4040" t="s">
        <v>5369</v>
      </c>
      <c r="D113" s="3830" t="s">
        <v>5370</v>
      </c>
      <c r="E113" s="3831" t="s">
        <v>5371</v>
      </c>
      <c r="F113" s="3831" t="s">
        <v>5372</v>
      </c>
      <c r="G113" s="3831" t="s">
        <v>5373</v>
      </c>
      <c r="H113" s="3831" t="s">
        <v>5374</v>
      </c>
      <c r="I113" s="3831" t="s">
        <v>5375</v>
      </c>
      <c r="J113" s="3831" t="s">
        <v>5376</v>
      </c>
      <c r="K113" s="3831" t="s">
        <v>5377</v>
      </c>
      <c r="L113" s="3831" t="s">
        <v>5378</v>
      </c>
      <c r="M113" s="3831" t="s">
        <v>5379</v>
      </c>
      <c r="N113" s="3831" t="s">
        <v>5380</v>
      </c>
      <c r="O113" s="3831" t="s">
        <v>5381</v>
      </c>
      <c r="P113" s="3831" t="s">
        <v>5382</v>
      </c>
      <c r="Q113" s="3831" t="s">
        <v>5383</v>
      </c>
      <c r="R113" s="3831" t="s">
        <v>5384</v>
      </c>
      <c r="S113" s="3831" t="s">
        <v>5385</v>
      </c>
      <c r="T113" s="3841" t="s">
        <v>5386</v>
      </c>
      <c r="U113" s="4041" t="s">
        <v>5387</v>
      </c>
      <c r="V113" s="3845" t="s">
        <v>5388</v>
      </c>
      <c r="W113" s="4258" t="e">
        <f t="shared" si="29"/>
        <v>#VALUE!</v>
      </c>
      <c r="CB113" s="4292" t="e">
        <f t="shared" si="30"/>
        <v>#VALUE!</v>
      </c>
      <c r="DB113" s="4293" t="e">
        <f t="shared" si="31"/>
        <v>#VALUE!</v>
      </c>
    </row>
    <row r="114" spans="1:106" x14ac:dyDescent="0.25">
      <c r="A114" s="7296">
        <v>29101557</v>
      </c>
      <c r="B114" s="3120" t="s">
        <v>2390</v>
      </c>
      <c r="C114" s="4040" t="s">
        <v>5369</v>
      </c>
      <c r="D114" s="3830" t="s">
        <v>5370</v>
      </c>
      <c r="E114" s="3831" t="s">
        <v>5371</v>
      </c>
      <c r="F114" s="3831" t="s">
        <v>5372</v>
      </c>
      <c r="G114" s="3831" t="s">
        <v>5373</v>
      </c>
      <c r="H114" s="3831" t="s">
        <v>5374</v>
      </c>
      <c r="I114" s="3831" t="s">
        <v>5375</v>
      </c>
      <c r="J114" s="3831" t="s">
        <v>5376</v>
      </c>
      <c r="K114" s="3831" t="s">
        <v>5377</v>
      </c>
      <c r="L114" s="3831" t="s">
        <v>5378</v>
      </c>
      <c r="M114" s="3831" t="s">
        <v>5379</v>
      </c>
      <c r="N114" s="3831" t="s">
        <v>5380</v>
      </c>
      <c r="O114" s="3831" t="s">
        <v>5381</v>
      </c>
      <c r="P114" s="3831" t="s">
        <v>5382</v>
      </c>
      <c r="Q114" s="3831" t="s">
        <v>5383</v>
      </c>
      <c r="R114" s="3831" t="s">
        <v>5384</v>
      </c>
      <c r="S114" s="3831" t="s">
        <v>5385</v>
      </c>
      <c r="T114" s="3841" t="s">
        <v>5386</v>
      </c>
      <c r="U114" s="4041" t="s">
        <v>5387</v>
      </c>
      <c r="V114" s="3845" t="s">
        <v>5388</v>
      </c>
      <c r="W114" s="4258" t="e">
        <f t="shared" si="29"/>
        <v>#VALUE!</v>
      </c>
      <c r="CB114" s="4292" t="e">
        <f t="shared" si="30"/>
        <v>#VALUE!</v>
      </c>
      <c r="DB114" s="4293" t="e">
        <f t="shared" si="31"/>
        <v>#VALUE!</v>
      </c>
    </row>
    <row r="115" spans="1:106" x14ac:dyDescent="0.25">
      <c r="A115" s="7296">
        <v>29101558</v>
      </c>
      <c r="B115" s="3120" t="s">
        <v>2391</v>
      </c>
      <c r="C115" s="4040" t="s">
        <v>5369</v>
      </c>
      <c r="D115" s="3830" t="s">
        <v>5370</v>
      </c>
      <c r="E115" s="3831" t="s">
        <v>5371</v>
      </c>
      <c r="F115" s="3831" t="s">
        <v>5372</v>
      </c>
      <c r="G115" s="3831" t="s">
        <v>5373</v>
      </c>
      <c r="H115" s="3831" t="s">
        <v>5374</v>
      </c>
      <c r="I115" s="3831" t="s">
        <v>5375</v>
      </c>
      <c r="J115" s="3831" t="s">
        <v>5376</v>
      </c>
      <c r="K115" s="3831" t="s">
        <v>5377</v>
      </c>
      <c r="L115" s="3831" t="s">
        <v>5378</v>
      </c>
      <c r="M115" s="3831" t="s">
        <v>5379</v>
      </c>
      <c r="N115" s="3831" t="s">
        <v>5380</v>
      </c>
      <c r="O115" s="3831" t="s">
        <v>5381</v>
      </c>
      <c r="P115" s="3831" t="s">
        <v>5382</v>
      </c>
      <c r="Q115" s="3831" t="s">
        <v>5383</v>
      </c>
      <c r="R115" s="3831" t="s">
        <v>5384</v>
      </c>
      <c r="S115" s="3831" t="s">
        <v>5385</v>
      </c>
      <c r="T115" s="3841" t="s">
        <v>5386</v>
      </c>
      <c r="U115" s="4041" t="s">
        <v>5387</v>
      </c>
      <c r="V115" s="3845" t="s">
        <v>5388</v>
      </c>
      <c r="W115" s="4258" t="e">
        <f t="shared" si="29"/>
        <v>#VALUE!</v>
      </c>
      <c r="CB115" s="4292" t="e">
        <f t="shared" si="30"/>
        <v>#VALUE!</v>
      </c>
      <c r="DB115" s="4293" t="e">
        <f t="shared" si="31"/>
        <v>#VALUE!</v>
      </c>
    </row>
    <row r="116" spans="1:106" x14ac:dyDescent="0.25">
      <c r="A116" s="7296">
        <v>29101559</v>
      </c>
      <c r="B116" s="3120" t="s">
        <v>2392</v>
      </c>
      <c r="C116" s="4040" t="s">
        <v>5369</v>
      </c>
      <c r="D116" s="3830" t="s">
        <v>5370</v>
      </c>
      <c r="E116" s="3831" t="s">
        <v>5371</v>
      </c>
      <c r="F116" s="3831" t="s">
        <v>5372</v>
      </c>
      <c r="G116" s="3831" t="s">
        <v>5373</v>
      </c>
      <c r="H116" s="3831" t="s">
        <v>5374</v>
      </c>
      <c r="I116" s="3831" t="s">
        <v>5375</v>
      </c>
      <c r="J116" s="3831" t="s">
        <v>5376</v>
      </c>
      <c r="K116" s="3831" t="s">
        <v>5377</v>
      </c>
      <c r="L116" s="3831" t="s">
        <v>5378</v>
      </c>
      <c r="M116" s="3831" t="s">
        <v>5379</v>
      </c>
      <c r="N116" s="3831" t="s">
        <v>5380</v>
      </c>
      <c r="O116" s="3831" t="s">
        <v>5381</v>
      </c>
      <c r="P116" s="3831" t="s">
        <v>5382</v>
      </c>
      <c r="Q116" s="3831" t="s">
        <v>5383</v>
      </c>
      <c r="R116" s="3831" t="s">
        <v>5384</v>
      </c>
      <c r="S116" s="3831" t="s">
        <v>5385</v>
      </c>
      <c r="T116" s="3841" t="s">
        <v>5386</v>
      </c>
      <c r="U116" s="4041" t="s">
        <v>5387</v>
      </c>
      <c r="V116" s="3845" t="s">
        <v>5388</v>
      </c>
      <c r="W116" s="4258" t="e">
        <f t="shared" si="29"/>
        <v>#VALUE!</v>
      </c>
      <c r="CB116" s="4292" t="e">
        <f t="shared" si="30"/>
        <v>#VALUE!</v>
      </c>
      <c r="DB116" s="4293" t="e">
        <f t="shared" si="31"/>
        <v>#VALUE!</v>
      </c>
    </row>
    <row r="117" spans="1:106" x14ac:dyDescent="0.25">
      <c r="A117" s="7296">
        <v>29101560</v>
      </c>
      <c r="B117" s="3120" t="s">
        <v>2393</v>
      </c>
      <c r="C117" s="4040" t="s">
        <v>5369</v>
      </c>
      <c r="D117" s="3830" t="s">
        <v>5370</v>
      </c>
      <c r="E117" s="3831" t="s">
        <v>5371</v>
      </c>
      <c r="F117" s="3831" t="s">
        <v>5372</v>
      </c>
      <c r="G117" s="3831" t="s">
        <v>5373</v>
      </c>
      <c r="H117" s="3831" t="s">
        <v>5374</v>
      </c>
      <c r="I117" s="3831" t="s">
        <v>5375</v>
      </c>
      <c r="J117" s="3831" t="s">
        <v>5376</v>
      </c>
      <c r="K117" s="3831" t="s">
        <v>5377</v>
      </c>
      <c r="L117" s="3831" t="s">
        <v>5378</v>
      </c>
      <c r="M117" s="3831" t="s">
        <v>5379</v>
      </c>
      <c r="N117" s="3831" t="s">
        <v>5380</v>
      </c>
      <c r="O117" s="3831" t="s">
        <v>5381</v>
      </c>
      <c r="P117" s="3831" t="s">
        <v>5382</v>
      </c>
      <c r="Q117" s="3831" t="s">
        <v>5383</v>
      </c>
      <c r="R117" s="3831" t="s">
        <v>5384</v>
      </c>
      <c r="S117" s="3831" t="s">
        <v>5385</v>
      </c>
      <c r="T117" s="3841" t="s">
        <v>5386</v>
      </c>
      <c r="U117" s="4041" t="s">
        <v>5387</v>
      </c>
      <c r="V117" s="3845" t="s">
        <v>5388</v>
      </c>
      <c r="W117" s="4258" t="e">
        <f t="shared" si="29"/>
        <v>#VALUE!</v>
      </c>
      <c r="CB117" s="4292" t="e">
        <f t="shared" si="30"/>
        <v>#VALUE!</v>
      </c>
      <c r="DB117" s="4293" t="e">
        <f t="shared" si="31"/>
        <v>#VALUE!</v>
      </c>
    </row>
    <row r="118" spans="1:106" x14ac:dyDescent="0.25">
      <c r="A118" s="7296">
        <v>29101561</v>
      </c>
      <c r="B118" s="4487" t="s">
        <v>2394</v>
      </c>
      <c r="C118" s="4040" t="s">
        <v>5369</v>
      </c>
      <c r="D118" s="3979" t="s">
        <v>5370</v>
      </c>
      <c r="E118" s="4193" t="s">
        <v>5371</v>
      </c>
      <c r="F118" s="4193" t="s">
        <v>5372</v>
      </c>
      <c r="G118" s="4193" t="s">
        <v>5373</v>
      </c>
      <c r="H118" s="4193" t="s">
        <v>5374</v>
      </c>
      <c r="I118" s="4193" t="s">
        <v>5375</v>
      </c>
      <c r="J118" s="4193" t="s">
        <v>5376</v>
      </c>
      <c r="K118" s="4193" t="s">
        <v>5377</v>
      </c>
      <c r="L118" s="4193" t="s">
        <v>5378</v>
      </c>
      <c r="M118" s="4193" t="s">
        <v>5379</v>
      </c>
      <c r="N118" s="4193" t="s">
        <v>5380</v>
      </c>
      <c r="O118" s="4193" t="s">
        <v>5381</v>
      </c>
      <c r="P118" s="4193" t="s">
        <v>5382</v>
      </c>
      <c r="Q118" s="4193" t="s">
        <v>5383</v>
      </c>
      <c r="R118" s="4193" t="s">
        <v>5384</v>
      </c>
      <c r="S118" s="4193" t="s">
        <v>5385</v>
      </c>
      <c r="T118" s="3998" t="s">
        <v>5386</v>
      </c>
      <c r="U118" s="4205" t="s">
        <v>5387</v>
      </c>
      <c r="V118" s="3981" t="s">
        <v>5388</v>
      </c>
      <c r="W118" s="4258" t="e">
        <f t="shared" si="29"/>
        <v>#VALUE!</v>
      </c>
      <c r="CB118" s="4292" t="e">
        <f t="shared" si="30"/>
        <v>#VALUE!</v>
      </c>
      <c r="DB118" s="4293" t="e">
        <f t="shared" si="31"/>
        <v>#VALUE!</v>
      </c>
    </row>
    <row r="119" spans="1:106" x14ac:dyDescent="0.25">
      <c r="A119" s="7308"/>
      <c r="B119" s="4488" t="s">
        <v>24</v>
      </c>
      <c r="C119" s="4489">
        <f>SUM(D119:T119)</f>
        <v>0</v>
      </c>
      <c r="D119" s="4490">
        <f>SUM(D104:D118)</f>
        <v>0</v>
      </c>
      <c r="E119" s="4491">
        <f t="shared" ref="E119:Q119" si="32">SUM(E104:E118)</f>
        <v>0</v>
      </c>
      <c r="F119" s="4491">
        <f t="shared" si="32"/>
        <v>0</v>
      </c>
      <c r="G119" s="4491">
        <f t="shared" si="32"/>
        <v>0</v>
      </c>
      <c r="H119" s="4491">
        <f t="shared" si="32"/>
        <v>0</v>
      </c>
      <c r="I119" s="4492">
        <f t="shared" si="32"/>
        <v>0</v>
      </c>
      <c r="J119" s="4491">
        <f t="shared" si="32"/>
        <v>0</v>
      </c>
      <c r="K119" s="4491">
        <f t="shared" si="32"/>
        <v>0</v>
      </c>
      <c r="L119" s="4491">
        <f t="shared" si="32"/>
        <v>0</v>
      </c>
      <c r="M119" s="4491">
        <f t="shared" si="32"/>
        <v>0</v>
      </c>
      <c r="N119" s="4491">
        <f t="shared" si="32"/>
        <v>0</v>
      </c>
      <c r="O119" s="4491">
        <f t="shared" si="32"/>
        <v>0</v>
      </c>
      <c r="P119" s="4491">
        <f t="shared" si="32"/>
        <v>0</v>
      </c>
      <c r="Q119" s="4491">
        <f t="shared" si="32"/>
        <v>0</v>
      </c>
      <c r="R119" s="4491">
        <f t="shared" ref="R119:V119" si="33">SUM(R104:R118)</f>
        <v>0</v>
      </c>
      <c r="S119" s="4491">
        <f t="shared" si="33"/>
        <v>0</v>
      </c>
      <c r="T119" s="4493">
        <f t="shared" si="33"/>
        <v>0</v>
      </c>
      <c r="U119" s="4494">
        <f t="shared" si="33"/>
        <v>0</v>
      </c>
      <c r="V119" s="4493">
        <f t="shared" si="33"/>
        <v>0</v>
      </c>
    </row>
    <row r="123" spans="1:106" x14ac:dyDescent="0.25">
      <c r="A123" s="4258" t="s">
        <v>4068</v>
      </c>
    </row>
    <row r="124" spans="1:106" x14ac:dyDescent="0.25">
      <c r="A124" s="7295">
        <v>29101527</v>
      </c>
    </row>
    <row r="125" spans="1:106" x14ac:dyDescent="0.25">
      <c r="A125" s="7295">
        <v>29101528</v>
      </c>
    </row>
    <row r="126" spans="1:106" x14ac:dyDescent="0.25">
      <c r="A126" s="7295">
        <v>29101529</v>
      </c>
    </row>
    <row r="127" spans="1:106" x14ac:dyDescent="0.25">
      <c r="A127" s="7295">
        <v>29101530</v>
      </c>
    </row>
    <row r="128" spans="1:106" x14ac:dyDescent="0.25">
      <c r="A128" s="7295">
        <v>29101531</v>
      </c>
    </row>
    <row r="129" spans="1:1" x14ac:dyDescent="0.25">
      <c r="A129" s="7295">
        <v>29101532</v>
      </c>
    </row>
    <row r="130" spans="1:1" x14ac:dyDescent="0.25">
      <c r="A130" s="7295">
        <v>29101533</v>
      </c>
    </row>
    <row r="131" spans="1:1" x14ac:dyDescent="0.25">
      <c r="A131" s="7295">
        <v>29101534</v>
      </c>
    </row>
    <row r="132" spans="1:1" x14ac:dyDescent="0.25">
      <c r="A132" s="7295">
        <v>29101535</v>
      </c>
    </row>
    <row r="133" spans="1:1" x14ac:dyDescent="0.25">
      <c r="A133" s="7295">
        <v>29101536</v>
      </c>
    </row>
    <row r="134" spans="1:1" x14ac:dyDescent="0.25">
      <c r="A134" s="7295">
        <v>29101537</v>
      </c>
    </row>
    <row r="135" spans="1:1" x14ac:dyDescent="0.25">
      <c r="A135" s="7295">
        <v>29101538</v>
      </c>
    </row>
    <row r="136" spans="1:1" x14ac:dyDescent="0.25">
      <c r="A136" s="7295">
        <v>29101539</v>
      </c>
    </row>
    <row r="137" spans="1:1" x14ac:dyDescent="0.25">
      <c r="A137" s="7295">
        <v>29101540</v>
      </c>
    </row>
    <row r="138" spans="1:1" x14ac:dyDescent="0.25">
      <c r="A138" s="7295">
        <v>29101541</v>
      </c>
    </row>
    <row r="139" spans="1:1" x14ac:dyDescent="0.25">
      <c r="A139" s="7295">
        <v>29101542</v>
      </c>
    </row>
    <row r="140" spans="1:1" x14ac:dyDescent="0.25">
      <c r="A140" s="7295">
        <v>29101543</v>
      </c>
    </row>
    <row r="141" spans="1:1" x14ac:dyDescent="0.25">
      <c r="A141" s="7295">
        <v>29101544</v>
      </c>
    </row>
    <row r="142" spans="1:1" x14ac:dyDescent="0.25">
      <c r="A142" s="7295">
        <v>29101545</v>
      </c>
    </row>
    <row r="143" spans="1:1" x14ac:dyDescent="0.25">
      <c r="A143" s="7295">
        <v>29101546</v>
      </c>
    </row>
    <row r="144" spans="1:1" x14ac:dyDescent="0.25">
      <c r="A144" s="7295">
        <v>29101547</v>
      </c>
    </row>
    <row r="145" spans="1:1" x14ac:dyDescent="0.25">
      <c r="A145" s="7295">
        <v>29101548</v>
      </c>
    </row>
    <row r="146" spans="1:1" x14ac:dyDescent="0.25">
      <c r="A146" s="7295">
        <v>29101549</v>
      </c>
    </row>
    <row r="147" spans="1:1" x14ac:dyDescent="0.25">
      <c r="A147" s="7295">
        <v>29101550</v>
      </c>
    </row>
    <row r="148" spans="1:1" x14ac:dyDescent="0.25">
      <c r="A148" s="7295">
        <v>29101551</v>
      </c>
    </row>
    <row r="149" spans="1:1" x14ac:dyDescent="0.25">
      <c r="A149" s="7295">
        <v>29101552</v>
      </c>
    </row>
    <row r="150" spans="1:1" x14ac:dyDescent="0.25">
      <c r="A150" s="7295">
        <v>29101553</v>
      </c>
    </row>
    <row r="151" spans="1:1" x14ac:dyDescent="0.25">
      <c r="A151" s="7295">
        <v>29101554</v>
      </c>
    </row>
    <row r="152" spans="1:1" x14ac:dyDescent="0.25">
      <c r="A152" s="7295">
        <v>29101555</v>
      </c>
    </row>
    <row r="153" spans="1:1" x14ac:dyDescent="0.25">
      <c r="A153" s="7295">
        <v>29101556</v>
      </c>
    </row>
    <row r="154" spans="1:1" x14ac:dyDescent="0.25">
      <c r="A154" s="7295">
        <v>29101557</v>
      </c>
    </row>
    <row r="155" spans="1:1" x14ac:dyDescent="0.25">
      <c r="A155" s="7295">
        <v>29101558</v>
      </c>
    </row>
    <row r="156" spans="1:1" x14ac:dyDescent="0.25">
      <c r="A156" s="7295">
        <v>29101559</v>
      </c>
    </row>
    <row r="157" spans="1:1" x14ac:dyDescent="0.25">
      <c r="A157" s="7295">
        <v>29101560</v>
      </c>
    </row>
    <row r="158" spans="1:1" x14ac:dyDescent="0.25">
      <c r="A158" s="7295">
        <v>29101561</v>
      </c>
    </row>
    <row r="160" spans="1:1" x14ac:dyDescent="0.25">
      <c r="A160" s="4258" t="s">
        <v>4069</v>
      </c>
    </row>
    <row r="161" spans="1:1" x14ac:dyDescent="0.25">
      <c r="A161" s="7660">
        <v>26274200</v>
      </c>
    </row>
    <row r="162" spans="1:1" x14ac:dyDescent="0.25">
      <c r="A162" s="7660">
        <v>26274400</v>
      </c>
    </row>
    <row r="163" spans="1:1" x14ac:dyDescent="0.25">
      <c r="A163" s="7660">
        <v>26300140</v>
      </c>
    </row>
    <row r="164" spans="1:1" x14ac:dyDescent="0.25">
      <c r="A164" s="7660">
        <v>26274500</v>
      </c>
    </row>
    <row r="165" spans="1:1" x14ac:dyDescent="0.25">
      <c r="A165" s="7660">
        <v>26274602</v>
      </c>
    </row>
    <row r="166" spans="1:1" x14ac:dyDescent="0.25">
      <c r="A166" s="7660">
        <v>26274603</v>
      </c>
    </row>
    <row r="167" spans="1:1" x14ac:dyDescent="0.25">
      <c r="A167" s="7660">
        <v>26300150</v>
      </c>
    </row>
    <row r="168" spans="1:1" x14ac:dyDescent="0.25">
      <c r="A168" s="7262">
        <v>26280080</v>
      </c>
    </row>
    <row r="169" spans="1:1" x14ac:dyDescent="0.25">
      <c r="A169" s="7262">
        <v>26280220</v>
      </c>
    </row>
    <row r="198" spans="2:234" hidden="1" x14ac:dyDescent="0.25">
      <c r="B198" s="4495">
        <f>SUM(D10:D35,D38:O41,C46:C49,D61,D65:D77,D82:D89,C94:C95,C99:D99,C119)</f>
        <v>0</v>
      </c>
      <c r="C198" s="4495" t="e">
        <f>SUM(DB10:EA119)</f>
        <v>#VALUE!</v>
      </c>
      <c r="D198" s="4495"/>
      <c r="E198" s="4495"/>
      <c r="F198" s="4495"/>
      <c r="G198" s="4495"/>
      <c r="H198" s="4495"/>
    </row>
    <row r="201" spans="2:234" ht="12" customHeight="1" x14ac:dyDescent="0.25"/>
    <row r="202" spans="2:234" s="4495" customFormat="1" x14ac:dyDescent="0.25">
      <c r="B202" s="4258"/>
      <c r="C202" s="4258"/>
      <c r="D202" s="4258"/>
      <c r="E202" s="4258"/>
      <c r="F202" s="4258"/>
      <c r="G202" s="4258"/>
      <c r="H202" s="4258"/>
      <c r="BW202" s="4496"/>
      <c r="BX202" s="4496"/>
      <c r="BY202" s="4260"/>
      <c r="BZ202" s="4260"/>
      <c r="CA202" s="4260"/>
      <c r="CB202" s="4261"/>
      <c r="CC202" s="4261"/>
      <c r="CD202" s="4261"/>
      <c r="CE202" s="4261"/>
      <c r="CF202" s="4261"/>
      <c r="CG202" s="4261"/>
      <c r="CH202" s="4261"/>
      <c r="CI202" s="4261"/>
      <c r="CJ202" s="4261"/>
      <c r="CK202" s="4261"/>
      <c r="CL202" s="4261"/>
      <c r="CM202" s="4261"/>
      <c r="CN202" s="4261"/>
      <c r="CO202" s="4261"/>
      <c r="CP202" s="4261"/>
      <c r="CQ202" s="4261"/>
      <c r="CR202" s="4261"/>
      <c r="CS202" s="4261"/>
      <c r="CT202" s="4261"/>
      <c r="CU202" s="4261"/>
      <c r="CV202" s="4261"/>
      <c r="CW202" s="4261"/>
      <c r="CX202" s="4261"/>
      <c r="CY202" s="4261"/>
      <c r="CZ202" s="4261"/>
      <c r="DA202" s="4262"/>
      <c r="DB202" s="4263"/>
      <c r="DC202" s="4263"/>
      <c r="DD202" s="4263"/>
      <c r="DE202" s="4263"/>
      <c r="DF202" s="4263"/>
      <c r="DG202" s="4263"/>
      <c r="DH202" s="4263"/>
      <c r="DI202" s="4263"/>
      <c r="DJ202" s="4263"/>
      <c r="DK202" s="4263"/>
      <c r="DL202" s="4263"/>
      <c r="DM202" s="4263"/>
      <c r="DN202" s="4263"/>
      <c r="DO202" s="4263"/>
      <c r="DP202" s="4263"/>
      <c r="DQ202" s="4263"/>
      <c r="DR202" s="4264"/>
      <c r="DS202" s="4264"/>
      <c r="DT202" s="4264"/>
      <c r="DU202" s="4264"/>
      <c r="DV202" s="4264"/>
      <c r="DW202" s="4264"/>
      <c r="DX202" s="4264"/>
      <c r="DY202" s="4264"/>
      <c r="DZ202" s="4264"/>
      <c r="EA202" s="4264"/>
      <c r="EB202" s="4264"/>
      <c r="EC202" s="4264"/>
      <c r="ED202" s="4264"/>
      <c r="EE202" s="4264"/>
      <c r="EF202" s="4264"/>
      <c r="EG202" s="4264"/>
      <c r="EH202" s="4264"/>
      <c r="EI202" s="4264"/>
      <c r="EJ202" s="4264"/>
      <c r="EK202" s="4264"/>
      <c r="EL202" s="4264"/>
      <c r="EM202" s="4264"/>
      <c r="EN202" s="4264"/>
      <c r="EO202" s="4264"/>
      <c r="EP202" s="4264"/>
      <c r="EQ202" s="4264"/>
      <c r="ER202" s="4264"/>
      <c r="ES202" s="4264"/>
      <c r="ET202" s="4264"/>
      <c r="EU202" s="4264"/>
      <c r="EV202" s="4264"/>
      <c r="EW202" s="4264"/>
      <c r="EX202" s="4264"/>
      <c r="EY202" s="4264"/>
      <c r="EZ202" s="4264"/>
      <c r="FA202" s="4264"/>
      <c r="FB202" s="4264"/>
      <c r="FC202" s="4264"/>
      <c r="FD202" s="4264"/>
      <c r="FE202" s="4264"/>
      <c r="FF202" s="4264"/>
      <c r="FG202" s="4264"/>
      <c r="FH202" s="4264"/>
      <c r="FI202" s="4264"/>
      <c r="FJ202" s="4264"/>
      <c r="FK202" s="4264"/>
      <c r="FL202" s="4264"/>
      <c r="FM202" s="4264"/>
      <c r="FN202" s="4264"/>
      <c r="FO202" s="4264"/>
      <c r="FP202" s="4264"/>
      <c r="FQ202" s="4264"/>
      <c r="FR202" s="4264"/>
      <c r="FS202" s="4264"/>
      <c r="FT202" s="4264"/>
      <c r="FU202" s="4264"/>
      <c r="FV202" s="4264"/>
      <c r="FW202" s="4264"/>
      <c r="FX202" s="4264"/>
      <c r="FY202" s="4264"/>
      <c r="FZ202" s="4264"/>
      <c r="GA202" s="4264"/>
      <c r="GB202" s="4264"/>
      <c r="GC202" s="4264"/>
      <c r="GD202" s="4264"/>
      <c r="GE202" s="4264"/>
      <c r="GF202" s="4264"/>
      <c r="GG202" s="4264"/>
      <c r="GH202" s="4264"/>
      <c r="GI202" s="4264"/>
      <c r="GJ202" s="4264"/>
      <c r="GK202" s="4264"/>
      <c r="GL202" s="4264"/>
      <c r="GM202" s="4264"/>
      <c r="GN202" s="4264"/>
      <c r="GO202" s="4264"/>
      <c r="GP202" s="4264"/>
      <c r="GQ202" s="4264"/>
      <c r="GR202" s="4264"/>
      <c r="GS202" s="4264"/>
      <c r="GT202" s="4264"/>
      <c r="GU202" s="4264"/>
      <c r="GV202" s="4264"/>
      <c r="GW202" s="4264"/>
      <c r="GX202" s="4264"/>
      <c r="GY202" s="4264"/>
      <c r="GZ202" s="4264"/>
      <c r="HA202" s="4264"/>
      <c r="HB202" s="4264"/>
      <c r="HC202" s="4264"/>
      <c r="HD202" s="4264"/>
      <c r="HE202" s="4264"/>
      <c r="HF202" s="4264"/>
      <c r="HG202" s="4264"/>
      <c r="HH202" s="4264"/>
      <c r="HI202" s="4264"/>
      <c r="HJ202" s="4264"/>
      <c r="HK202" s="4264"/>
      <c r="HL202" s="4264"/>
      <c r="HM202" s="4264"/>
      <c r="HN202" s="4264"/>
      <c r="HO202" s="4264"/>
      <c r="HP202" s="4264"/>
      <c r="HQ202" s="4264"/>
      <c r="HR202" s="4264"/>
      <c r="HS202" s="4264"/>
      <c r="HT202" s="4264"/>
      <c r="HU202" s="4264"/>
      <c r="HV202" s="4264"/>
      <c r="HW202" s="4264"/>
      <c r="HX202" s="4264"/>
      <c r="HY202" s="4264"/>
      <c r="HZ202" s="4264"/>
    </row>
  </sheetData>
  <mergeCells count="89">
    <mergeCell ref="B6:Q6"/>
    <mergeCell ref="U101:V102"/>
    <mergeCell ref="D101:T101"/>
    <mergeCell ref="D102:T102"/>
    <mergeCell ref="B101:B103"/>
    <mergeCell ref="C101:C103"/>
    <mergeCell ref="B82:C82"/>
    <mergeCell ref="B97:B98"/>
    <mergeCell ref="C97:C98"/>
    <mergeCell ref="D97:D98"/>
    <mergeCell ref="B92:B93"/>
    <mergeCell ref="C92:C93"/>
    <mergeCell ref="D92:H92"/>
    <mergeCell ref="B89:C89"/>
    <mergeCell ref="B83:C83"/>
    <mergeCell ref="B84:C84"/>
    <mergeCell ref="B87:C87"/>
    <mergeCell ref="B88:C88"/>
    <mergeCell ref="B85:C85"/>
    <mergeCell ref="B86:C86"/>
    <mergeCell ref="B65:C65"/>
    <mergeCell ref="B66:C66"/>
    <mergeCell ref="B67:B77"/>
    <mergeCell ref="I79:J80"/>
    <mergeCell ref="D80:D81"/>
    <mergeCell ref="E80:G80"/>
    <mergeCell ref="H80:H81"/>
    <mergeCell ref="B79:C81"/>
    <mergeCell ref="D79:H79"/>
    <mergeCell ref="B35:C35"/>
    <mergeCell ref="B61:C61"/>
    <mergeCell ref="B64:C64"/>
    <mergeCell ref="B59:C59"/>
    <mergeCell ref="B54:C54"/>
    <mergeCell ref="B55:C55"/>
    <mergeCell ref="B56:B58"/>
    <mergeCell ref="B51:C51"/>
    <mergeCell ref="B52:C52"/>
    <mergeCell ref="B53:C53"/>
    <mergeCell ref="B60:C60"/>
    <mergeCell ref="B37:C37"/>
    <mergeCell ref="B38:B41"/>
    <mergeCell ref="B9:C9"/>
    <mergeCell ref="B10:C10"/>
    <mergeCell ref="B11:C11"/>
    <mergeCell ref="B12:C12"/>
    <mergeCell ref="B13:C13"/>
    <mergeCell ref="B33:C33"/>
    <mergeCell ref="B34:C34"/>
    <mergeCell ref="B19:C19"/>
    <mergeCell ref="B14:C14"/>
    <mergeCell ref="B15:C15"/>
    <mergeCell ref="B16:C16"/>
    <mergeCell ref="B17:C17"/>
    <mergeCell ref="B18:C18"/>
    <mergeCell ref="B20:C20"/>
    <mergeCell ref="B21:C21"/>
    <mergeCell ref="B22:C22"/>
    <mergeCell ref="B32:C3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T44:U44"/>
    <mergeCell ref="V44:W44"/>
    <mergeCell ref="X44:Y44"/>
    <mergeCell ref="Z44:AA44"/>
    <mergeCell ref="AB44:AC44"/>
    <mergeCell ref="F43:AM43"/>
    <mergeCell ref="C43:E44"/>
    <mergeCell ref="B43:B45"/>
    <mergeCell ref="AN43:AP44"/>
    <mergeCell ref="AD44:AE44"/>
    <mergeCell ref="AF44:AG44"/>
    <mergeCell ref="AH44:AI44"/>
    <mergeCell ref="AJ44:AK44"/>
    <mergeCell ref="AL44:AM44"/>
    <mergeCell ref="F44:G44"/>
    <mergeCell ref="H44:I44"/>
    <mergeCell ref="J44:K44"/>
    <mergeCell ref="L44:M44"/>
    <mergeCell ref="N44:O44"/>
    <mergeCell ref="P44:Q44"/>
    <mergeCell ref="R44:S44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DA270"/>
  <sheetViews>
    <sheetView zoomScaleNormal="100" workbookViewId="0"/>
  </sheetViews>
  <sheetFormatPr baseColWidth="10" defaultColWidth="11.44140625" defaultRowHeight="14.4" x14ac:dyDescent="0.3"/>
  <cols>
    <col min="1" max="1" width="15.44140625" style="827" customWidth="1"/>
    <col min="2" max="2" width="42.109375" style="827" customWidth="1"/>
    <col min="3" max="3" width="26.6640625" style="827" customWidth="1"/>
    <col min="4" max="4" width="30.5546875" style="827" customWidth="1"/>
    <col min="5" max="5" width="17.44140625" style="827" customWidth="1"/>
    <col min="6" max="7" width="14.109375" style="827" customWidth="1"/>
    <col min="8" max="8" width="14.6640625" style="827" customWidth="1"/>
    <col min="9" max="9" width="14.109375" style="827" customWidth="1"/>
    <col min="10" max="10" width="13.5546875" style="827" customWidth="1"/>
    <col min="11" max="14" width="14.6640625" style="827" customWidth="1"/>
    <col min="15" max="26" width="11.44140625" style="827"/>
    <col min="27" max="27" width="10" style="827" customWidth="1"/>
    <col min="28" max="29" width="9.109375" style="827"/>
    <col min="30" max="30" width="10.33203125" style="827" customWidth="1"/>
    <col min="31" max="31" width="9.109375" style="827"/>
    <col min="32" max="76" width="11.44140625" style="827"/>
    <col min="77" max="77" width="11.33203125" style="827" customWidth="1"/>
    <col min="78" max="78" width="11.33203125" style="1123" customWidth="1"/>
    <col min="79" max="79" width="11.6640625" style="1123" customWidth="1"/>
    <col min="80" max="105" width="11.6640625" style="1442" hidden="1" customWidth="1"/>
    <col min="106" max="106" width="11.6640625" style="827" customWidth="1"/>
    <col min="107" max="128" width="11.44140625" style="827" customWidth="1"/>
    <col min="129" max="16384" width="11.44140625" style="827"/>
  </cols>
  <sheetData>
    <row r="1" spans="1:105" s="150" customFormat="1" ht="16.350000000000001" customHeight="1" x14ac:dyDescent="0.2">
      <c r="B1" s="150" t="s">
        <v>207</v>
      </c>
      <c r="BZ1" s="1440"/>
      <c r="CA1" s="1440"/>
      <c r="CB1" s="1441"/>
      <c r="CC1" s="1441"/>
      <c r="CD1" s="1441"/>
      <c r="CE1" s="1441"/>
      <c r="CF1" s="1441"/>
      <c r="CG1" s="1441"/>
      <c r="CH1" s="1441"/>
      <c r="CI1" s="1441"/>
      <c r="CJ1" s="1441"/>
      <c r="CK1" s="1441"/>
      <c r="CL1" s="1441"/>
      <c r="CM1" s="1441"/>
      <c r="CN1" s="1441"/>
      <c r="CO1" s="1441"/>
      <c r="CP1" s="1441"/>
      <c r="CQ1" s="1441"/>
      <c r="CR1" s="1441"/>
      <c r="CS1" s="1441"/>
      <c r="CT1" s="1441"/>
      <c r="CU1" s="1441"/>
      <c r="CV1" s="1441"/>
      <c r="CW1" s="1441"/>
      <c r="CX1" s="1441"/>
      <c r="CY1" s="1441"/>
      <c r="CZ1" s="1441"/>
      <c r="DA1" s="1441"/>
    </row>
    <row r="2" spans="1:105" s="150" customFormat="1" ht="16.350000000000001" customHeight="1" x14ac:dyDescent="0.2">
      <c r="B2" s="150" t="str">
        <f>CONCATENATE("COMUNA: ",NOMBRE!B2," - ","( ",NOMBRE!C2,NOMBRE!D2,NOMBRE!E2,NOMBRE!F2,NOMBRE!G2," )")</f>
        <v>COMUNA:  - (  )</v>
      </c>
      <c r="BZ2" s="1440"/>
      <c r="CA2" s="1440"/>
      <c r="CB2" s="1441"/>
      <c r="CC2" s="1441"/>
      <c r="CD2" s="1441"/>
      <c r="CE2" s="1441"/>
      <c r="CF2" s="1441"/>
      <c r="CG2" s="1441"/>
      <c r="CH2" s="1441"/>
      <c r="CI2" s="1441"/>
      <c r="CJ2" s="1441"/>
      <c r="CK2" s="1441"/>
      <c r="CL2" s="1441"/>
      <c r="CM2" s="1441"/>
      <c r="CN2" s="1441"/>
      <c r="CO2" s="1441"/>
      <c r="CP2" s="1441"/>
      <c r="CQ2" s="1441"/>
      <c r="CR2" s="1441"/>
      <c r="CS2" s="1441"/>
      <c r="CT2" s="1441"/>
      <c r="CU2" s="1441"/>
      <c r="CV2" s="1441"/>
      <c r="CW2" s="1441"/>
      <c r="CX2" s="1441"/>
      <c r="CY2" s="1441"/>
      <c r="CZ2" s="1441"/>
      <c r="DA2" s="1441"/>
    </row>
    <row r="3" spans="1:105" s="150" customFormat="1" ht="16.350000000000001" customHeight="1" x14ac:dyDescent="0.2">
      <c r="B3" s="150" t="str">
        <f>CONCATENATE("ESTABLECIMIENTO/ESTRATEGIA: ",NOMBRE!B3," - ","( ",NOMBRE!C3,NOMBRE!D3,NOMBRE!E3,NOMBRE!F3,NOMBRE!G3,NOMBRE!H3," )")</f>
        <v>ESTABLECIMIENTO/ESTRATEGIA:  - (  )</v>
      </c>
      <c r="BZ3" s="1440"/>
      <c r="CA3" s="1440"/>
      <c r="CB3" s="1441"/>
      <c r="CC3" s="1441"/>
      <c r="CD3" s="1441"/>
      <c r="CE3" s="1441"/>
      <c r="CF3" s="1441"/>
      <c r="CG3" s="1441"/>
      <c r="CH3" s="1441"/>
      <c r="CI3" s="1441"/>
      <c r="CJ3" s="1441"/>
      <c r="CK3" s="1441"/>
      <c r="CL3" s="1441"/>
      <c r="CM3" s="1441"/>
      <c r="CN3" s="1441"/>
      <c r="CO3" s="1441"/>
      <c r="CP3" s="1441"/>
      <c r="CQ3" s="1441"/>
      <c r="CR3" s="1441"/>
      <c r="CS3" s="1441"/>
      <c r="CT3" s="1441"/>
      <c r="CU3" s="1441"/>
      <c r="CV3" s="1441"/>
      <c r="CW3" s="1441"/>
      <c r="CX3" s="1441"/>
      <c r="CY3" s="1441"/>
      <c r="CZ3" s="1441"/>
      <c r="DA3" s="1441"/>
    </row>
    <row r="4" spans="1:105" s="150" customFormat="1" ht="16.350000000000001" customHeight="1" x14ac:dyDescent="0.2">
      <c r="B4" s="150" t="str">
        <f>CONCATENATE("MES: ",NOMBRE!B6," - ","( ",NOMBRE!C6,NOMBRE!D6," )")</f>
        <v>MES:  - (  )</v>
      </c>
      <c r="BZ4" s="1440"/>
      <c r="CA4" s="1440"/>
      <c r="CB4" s="1441"/>
      <c r="CC4" s="1441"/>
      <c r="CD4" s="1441"/>
      <c r="CE4" s="1441"/>
      <c r="CF4" s="1441"/>
      <c r="CG4" s="1441"/>
      <c r="CH4" s="1441"/>
      <c r="CI4" s="1441"/>
      <c r="CJ4" s="1441"/>
      <c r="CK4" s="1441"/>
      <c r="CL4" s="1441"/>
      <c r="CM4" s="1441"/>
      <c r="CN4" s="1441"/>
      <c r="CO4" s="1441"/>
      <c r="CP4" s="1441"/>
      <c r="CQ4" s="1441"/>
      <c r="CR4" s="1441"/>
      <c r="CS4" s="1441"/>
      <c r="CT4" s="1441"/>
      <c r="CU4" s="1441"/>
      <c r="CV4" s="1441"/>
      <c r="CW4" s="1441"/>
      <c r="CX4" s="1441"/>
      <c r="CY4" s="1441"/>
      <c r="CZ4" s="1441"/>
      <c r="DA4" s="1441"/>
    </row>
    <row r="5" spans="1:105" s="150" customFormat="1" ht="16.350000000000001" customHeight="1" x14ac:dyDescent="0.2">
      <c r="B5" s="150" t="str">
        <f>CONCATENATE("AÑO: ",NOMBRE!B7)</f>
        <v>AÑO: 2023</v>
      </c>
      <c r="BZ5" s="1440"/>
      <c r="CA5" s="1440"/>
      <c r="CB5" s="1441"/>
      <c r="CC5" s="1441"/>
      <c r="CD5" s="1441"/>
      <c r="CE5" s="1441"/>
      <c r="CF5" s="1441"/>
      <c r="CG5" s="1441"/>
      <c r="CH5" s="1441"/>
      <c r="CI5" s="1441"/>
      <c r="CJ5" s="1441"/>
      <c r="CK5" s="1441"/>
      <c r="CL5" s="1441"/>
      <c r="CM5" s="1441"/>
      <c r="CN5" s="1441"/>
      <c r="CO5" s="1441"/>
      <c r="CP5" s="1441"/>
      <c r="CQ5" s="1441"/>
      <c r="CR5" s="1441"/>
      <c r="CS5" s="1441"/>
      <c r="CT5" s="1441"/>
      <c r="CU5" s="1441"/>
      <c r="CV5" s="1441"/>
      <c r="CW5" s="1441"/>
      <c r="CX5" s="1441"/>
      <c r="CY5" s="1441"/>
      <c r="CZ5" s="1441"/>
      <c r="DA5" s="1441"/>
    </row>
    <row r="6" spans="1:105" ht="16.2" x14ac:dyDescent="0.3">
      <c r="B6" s="9734" t="s">
        <v>473</v>
      </c>
      <c r="C6" s="9734"/>
      <c r="D6" s="9734"/>
      <c r="E6" s="9734"/>
      <c r="F6" s="9734"/>
      <c r="G6" s="9734"/>
      <c r="H6" s="9734"/>
      <c r="I6" s="9734"/>
      <c r="J6" s="9734"/>
      <c r="K6" s="9734"/>
      <c r="L6" s="9734"/>
      <c r="M6" s="9734"/>
      <c r="N6" s="9734"/>
      <c r="O6" s="9734"/>
      <c r="P6" s="9734"/>
      <c r="Q6" s="325"/>
      <c r="R6" s="214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</row>
    <row r="7" spans="1:105" ht="16.2" x14ac:dyDescent="0.3">
      <c r="B7" s="1096"/>
      <c r="C7" s="1096"/>
      <c r="D7" s="1096"/>
      <c r="E7" s="1096"/>
      <c r="F7" s="1096"/>
      <c r="G7" s="1096"/>
      <c r="H7" s="1096"/>
      <c r="I7" s="1096"/>
      <c r="J7" s="1096"/>
      <c r="K7" s="1096"/>
      <c r="L7" s="1096"/>
      <c r="M7" s="1096"/>
      <c r="N7" s="1096"/>
      <c r="O7" s="1096"/>
      <c r="P7" s="1096"/>
      <c r="Q7" s="325"/>
      <c r="R7" s="214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</row>
    <row r="8" spans="1:105" ht="32.1" customHeight="1" x14ac:dyDescent="0.3">
      <c r="B8" s="365" t="s">
        <v>474</v>
      </c>
      <c r="C8" s="169"/>
      <c r="D8" s="169"/>
      <c r="E8" s="169"/>
      <c r="F8" s="169"/>
      <c r="G8" s="169"/>
      <c r="H8" s="169"/>
      <c r="I8" s="169"/>
      <c r="J8" s="169"/>
      <c r="K8" s="169"/>
      <c r="L8" s="169"/>
      <c r="M8" s="169"/>
      <c r="N8" s="169"/>
      <c r="O8" s="169"/>
      <c r="P8" s="169"/>
      <c r="Q8" s="15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CH8" s="1443"/>
      <c r="CI8" s="1443"/>
      <c r="CJ8" s="1443"/>
      <c r="CK8" s="1443"/>
      <c r="CL8" s="1443"/>
      <c r="CM8" s="1443"/>
      <c r="CN8" s="1443"/>
      <c r="CO8" s="1443"/>
      <c r="CP8" s="1443"/>
    </row>
    <row r="9" spans="1:105" ht="15" customHeight="1" x14ac:dyDescent="0.3">
      <c r="B9" s="10789" t="s">
        <v>475</v>
      </c>
      <c r="C9" s="10790"/>
      <c r="D9" s="10445"/>
      <c r="E9" s="10792" t="s">
        <v>24</v>
      </c>
      <c r="F9" s="10793" t="s">
        <v>476</v>
      </c>
      <c r="G9" s="10794"/>
      <c r="H9" s="10794"/>
      <c r="I9" s="10794"/>
      <c r="J9" s="10795"/>
      <c r="K9" s="8996" t="s">
        <v>477</v>
      </c>
      <c r="L9" s="10796"/>
      <c r="M9" s="10796"/>
      <c r="N9" s="10796"/>
      <c r="O9" s="10796"/>
      <c r="P9" s="10796"/>
      <c r="Q9" s="10796"/>
      <c r="R9" s="10796"/>
      <c r="S9" s="10796"/>
      <c r="T9" s="10796"/>
      <c r="U9" s="10796"/>
      <c r="V9" s="10796"/>
      <c r="W9" s="10796"/>
      <c r="X9" s="10796"/>
      <c r="Y9" s="10797"/>
      <c r="Z9" s="10810" t="s">
        <v>85</v>
      </c>
      <c r="AA9" s="10811"/>
      <c r="AB9" s="10812"/>
      <c r="AC9" s="9638" t="s">
        <v>2598</v>
      </c>
      <c r="AD9" s="10792" t="s">
        <v>362</v>
      </c>
      <c r="AE9" s="10792" t="s">
        <v>361</v>
      </c>
      <c r="AF9" s="10792" t="s">
        <v>3697</v>
      </c>
      <c r="AG9" s="1191"/>
      <c r="AH9" s="1191"/>
      <c r="AI9" s="1191"/>
      <c r="AJ9" s="1191"/>
      <c r="AK9" s="1191"/>
      <c r="AL9" s="1191"/>
      <c r="AM9" s="1191"/>
      <c r="AN9" s="1191"/>
      <c r="AO9" s="1191"/>
      <c r="AP9" s="1191"/>
      <c r="AQ9" s="1191"/>
      <c r="AR9" s="1191"/>
      <c r="CH9" s="1443"/>
      <c r="CI9" s="1443"/>
      <c r="CJ9" s="1443"/>
      <c r="CK9" s="1443"/>
      <c r="CL9" s="1443"/>
      <c r="CM9" s="1443"/>
      <c r="CN9" s="1443"/>
      <c r="CO9" s="1443"/>
      <c r="CP9" s="1443"/>
    </row>
    <row r="10" spans="1:105" ht="33" customHeight="1" x14ac:dyDescent="0.3">
      <c r="B10" s="10791"/>
      <c r="C10" s="9630"/>
      <c r="D10" s="9589"/>
      <c r="E10" s="8988"/>
      <c r="F10" s="312" t="s">
        <v>137</v>
      </c>
      <c r="G10" s="326" t="s">
        <v>478</v>
      </c>
      <c r="H10" s="326" t="s">
        <v>479</v>
      </c>
      <c r="I10" s="2174" t="s">
        <v>480</v>
      </c>
      <c r="J10" s="327" t="s">
        <v>32</v>
      </c>
      <c r="K10" s="2122" t="s">
        <v>32</v>
      </c>
      <c r="L10" s="326" t="s">
        <v>33</v>
      </c>
      <c r="M10" s="326" t="s">
        <v>40</v>
      </c>
      <c r="N10" s="326" t="s">
        <v>82</v>
      </c>
      <c r="O10" s="326" t="s">
        <v>83</v>
      </c>
      <c r="P10" s="326" t="s">
        <v>400</v>
      </c>
      <c r="Q10" s="326" t="s">
        <v>124</v>
      </c>
      <c r="R10" s="326" t="s">
        <v>125</v>
      </c>
      <c r="S10" s="326" t="s">
        <v>126</v>
      </c>
      <c r="T10" s="326" t="s">
        <v>127</v>
      </c>
      <c r="U10" s="326" t="s">
        <v>128</v>
      </c>
      <c r="V10" s="326" t="s">
        <v>129</v>
      </c>
      <c r="W10" s="326" t="s">
        <v>130</v>
      </c>
      <c r="X10" s="326" t="s">
        <v>131</v>
      </c>
      <c r="Y10" s="328" t="s">
        <v>1919</v>
      </c>
      <c r="Z10" s="321" t="s">
        <v>95</v>
      </c>
      <c r="AA10" s="2130" t="s">
        <v>2221</v>
      </c>
      <c r="AB10" s="2190" t="s">
        <v>2222</v>
      </c>
      <c r="AC10" s="8988"/>
      <c r="AD10" s="8988"/>
      <c r="AE10" s="8988"/>
      <c r="AF10" s="8988"/>
      <c r="AG10" s="1191"/>
      <c r="AH10" s="1191"/>
      <c r="AI10" s="1191"/>
      <c r="AJ10" s="1191"/>
      <c r="AK10" s="1191"/>
      <c r="AL10" s="1191"/>
      <c r="AM10" s="1191"/>
      <c r="AN10" s="1191"/>
      <c r="AO10" s="1191"/>
      <c r="AP10" s="1191"/>
      <c r="AQ10" s="1191"/>
      <c r="AR10" s="1191"/>
      <c r="CH10" s="1443"/>
      <c r="CI10" s="1443"/>
      <c r="CJ10" s="1443"/>
      <c r="CK10" s="1443"/>
      <c r="CL10" s="1443"/>
      <c r="CM10" s="1443"/>
      <c r="CN10" s="1443"/>
      <c r="CO10" s="1443"/>
      <c r="CP10" s="1443"/>
    </row>
    <row r="11" spans="1:105" x14ac:dyDescent="0.3">
      <c r="A11" s="7258">
        <v>27280100</v>
      </c>
      <c r="B11" s="10822" t="s">
        <v>481</v>
      </c>
      <c r="C11" s="10827" t="s">
        <v>482</v>
      </c>
      <c r="D11" s="10828"/>
      <c r="E11" s="329" t="s">
        <v>5369</v>
      </c>
      <c r="F11" s="330" t="s">
        <v>5370</v>
      </c>
      <c r="G11" s="331" t="s">
        <v>5371</v>
      </c>
      <c r="H11" s="331" t="s">
        <v>5372</v>
      </c>
      <c r="I11" s="332" t="s">
        <v>5373</v>
      </c>
      <c r="J11" s="333" t="s">
        <v>5374</v>
      </c>
      <c r="K11" s="332" t="s">
        <v>5375</v>
      </c>
      <c r="L11" s="334" t="s">
        <v>5376</v>
      </c>
      <c r="M11" s="334" t="s">
        <v>5377</v>
      </c>
      <c r="N11" s="335" t="s">
        <v>5378</v>
      </c>
      <c r="O11" s="335" t="s">
        <v>5379</v>
      </c>
      <c r="P11" s="335" t="s">
        <v>5380</v>
      </c>
      <c r="Q11" s="335" t="s">
        <v>5381</v>
      </c>
      <c r="R11" s="335" t="s">
        <v>5382</v>
      </c>
      <c r="S11" s="335" t="s">
        <v>5383</v>
      </c>
      <c r="T11" s="335" t="s">
        <v>5384</v>
      </c>
      <c r="U11" s="335" t="s">
        <v>5385</v>
      </c>
      <c r="V11" s="335" t="s">
        <v>5386</v>
      </c>
      <c r="W11" s="335" t="s">
        <v>5387</v>
      </c>
      <c r="X11" s="335" t="s">
        <v>5388</v>
      </c>
      <c r="Y11" s="335" t="s">
        <v>5389</v>
      </c>
      <c r="Z11" s="1708" t="s">
        <v>5390</v>
      </c>
      <c r="AA11" s="1682" t="s">
        <v>5391</v>
      </c>
      <c r="AB11" s="1700" t="s">
        <v>5392</v>
      </c>
      <c r="AC11" s="1695" t="s">
        <v>5393</v>
      </c>
      <c r="AD11" s="1696" t="s">
        <v>5394</v>
      </c>
      <c r="AE11" s="1696" t="s">
        <v>5395</v>
      </c>
      <c r="AF11" s="1696" t="s">
        <v>5396</v>
      </c>
      <c r="AG11" s="1197"/>
      <c r="AH11" s="1434"/>
      <c r="AI11" s="1434"/>
      <c r="AJ11" s="1434"/>
      <c r="AK11" s="1434"/>
      <c r="AL11" s="1434"/>
      <c r="AM11" s="1434"/>
      <c r="AN11" s="1434"/>
      <c r="AO11" s="1434"/>
      <c r="AP11" s="1191"/>
      <c r="AQ11" s="1191"/>
      <c r="AR11" s="1191"/>
      <c r="CB11" s="1445" t="str">
        <f>IF(CH11=1,"* Total por edad NO DEBE ser menor que la suma de los subgrupos. ","")</f>
        <v/>
      </c>
      <c r="CC11" s="1445" t="str">
        <f>IF(AND($E11&lt;&gt;0,AD11=""),"* No olvide digitar el campo "&amp;AD$9&amp;" (Digite 0 si no tiene)","")</f>
        <v/>
      </c>
      <c r="CD11" s="1445" t="str">
        <f>IF(AND($E11&lt;&gt;0,AE11=""),"* No olvide digitar el campo "&amp;AE$9&amp;" (Digite 0 si no tiene)","")</f>
        <v/>
      </c>
      <c r="CE11" s="1445" t="str">
        <f>IF(AND($E11&lt;&gt;0,AF11=""),"* No olvide digitar el campo "&amp;AF$9&amp;" (Digite 0 si no tiene)","")</f>
        <v/>
      </c>
      <c r="CH11" s="1446">
        <f>IF(E11&lt;SUM(Z11:AF11),1,0)</f>
        <v>0</v>
      </c>
      <c r="CI11" s="1443"/>
      <c r="CJ11" s="1443"/>
      <c r="CK11" s="1443"/>
      <c r="CL11" s="1443"/>
      <c r="CM11" s="1443"/>
      <c r="CN11" s="1443"/>
      <c r="CO11" s="1443"/>
      <c r="CP11" s="1443"/>
    </row>
    <row r="12" spans="1:105" x14ac:dyDescent="0.3">
      <c r="A12" s="7258">
        <v>27280315</v>
      </c>
      <c r="B12" s="10823"/>
      <c r="C12" s="8977" t="s">
        <v>483</v>
      </c>
      <c r="D12" s="315" t="s">
        <v>484</v>
      </c>
      <c r="E12" s="76" t="s">
        <v>5369</v>
      </c>
      <c r="F12" s="106" t="s">
        <v>5370</v>
      </c>
      <c r="G12" s="89" t="s">
        <v>5371</v>
      </c>
      <c r="H12" s="89" t="s">
        <v>5372</v>
      </c>
      <c r="I12" s="89" t="s">
        <v>5373</v>
      </c>
      <c r="J12" s="99" t="s">
        <v>5374</v>
      </c>
      <c r="K12" s="89" t="s">
        <v>5375</v>
      </c>
      <c r="L12" s="89" t="s">
        <v>5376</v>
      </c>
      <c r="M12" s="89" t="s">
        <v>5377</v>
      </c>
      <c r="N12" s="89" t="s">
        <v>5378</v>
      </c>
      <c r="O12" s="89" t="s">
        <v>5379</v>
      </c>
      <c r="P12" s="89" t="s">
        <v>5380</v>
      </c>
      <c r="Q12" s="89" t="s">
        <v>5381</v>
      </c>
      <c r="R12" s="89" t="s">
        <v>5382</v>
      </c>
      <c r="S12" s="89" t="s">
        <v>5383</v>
      </c>
      <c r="T12" s="89" t="s">
        <v>5384</v>
      </c>
      <c r="U12" s="89" t="s">
        <v>5385</v>
      </c>
      <c r="V12" s="89" t="s">
        <v>5386</v>
      </c>
      <c r="W12" s="89" t="s">
        <v>5387</v>
      </c>
      <c r="X12" s="89" t="s">
        <v>5388</v>
      </c>
      <c r="Y12" s="244" t="s">
        <v>5389</v>
      </c>
      <c r="Z12" s="2370" t="s">
        <v>5390</v>
      </c>
      <c r="AA12" s="1611" t="s">
        <v>5391</v>
      </c>
      <c r="AB12" s="2371" t="s">
        <v>5392</v>
      </c>
      <c r="AC12" s="1696" t="s">
        <v>5393</v>
      </c>
      <c r="AD12" s="1696" t="s">
        <v>5394</v>
      </c>
      <c r="AE12" s="1696" t="s">
        <v>5395</v>
      </c>
      <c r="AF12" s="1696" t="s">
        <v>5396</v>
      </c>
      <c r="AG12" s="1197"/>
      <c r="AH12" s="1434"/>
      <c r="AI12" s="1434"/>
      <c r="AJ12" s="1434"/>
      <c r="AK12" s="1434"/>
      <c r="AL12" s="1434"/>
      <c r="AM12" s="1434"/>
      <c r="AN12" s="1434"/>
      <c r="AO12" s="1434"/>
      <c r="AP12" s="1191"/>
      <c r="AQ12" s="1191"/>
      <c r="AR12" s="1191"/>
      <c r="CB12" s="1445" t="str">
        <f t="shared" ref="CB12:CB47" si="0">IF(CH12=1,"* Total por edad NO DEBE ser menor que la suma de los subgrupos. ","")</f>
        <v/>
      </c>
      <c r="CC12" s="1445" t="str">
        <f t="shared" ref="CC12:CC47" si="1">IF(AND($E12&lt;&gt;0,AD12=""),"* No olvide digitar el campo "&amp;AD$9&amp;" (Digite 0 si no tiene)","")</f>
        <v/>
      </c>
      <c r="CD12" s="1445" t="str">
        <f t="shared" ref="CD12:CD47" si="2">IF(AND($E12&lt;&gt;0,AE12=""),"* No olvide digitar el campo "&amp;AE$9&amp;" (Digite 0 si no tiene)","")</f>
        <v/>
      </c>
      <c r="CE12" s="1445" t="str">
        <f t="shared" ref="CE12:CE47" si="3">IF(AND($E12&lt;&gt;0,AF12=""),"* No olvide digitar el campo "&amp;AF$9&amp;" (Digite 0 si no tiene)","")</f>
        <v/>
      </c>
      <c r="CF12" s="1445"/>
      <c r="CG12" s="1445"/>
      <c r="CH12" s="1446">
        <f t="shared" ref="CH12:CH47" si="4">IF(E12&lt;SUM(Z12:AF12),1,0)</f>
        <v>0</v>
      </c>
      <c r="CI12" s="1443"/>
      <c r="CJ12" s="1443"/>
      <c r="CK12" s="1443"/>
      <c r="CL12" s="1443"/>
      <c r="CM12" s="1443"/>
      <c r="CN12" s="1443"/>
      <c r="CO12" s="1443"/>
      <c r="CP12" s="1443"/>
    </row>
    <row r="13" spans="1:105" x14ac:dyDescent="0.3">
      <c r="A13" s="7258">
        <v>27280325</v>
      </c>
      <c r="B13" s="10823"/>
      <c r="C13" s="8619"/>
      <c r="D13" s="2135" t="s">
        <v>485</v>
      </c>
      <c r="E13" s="109" t="s">
        <v>5369</v>
      </c>
      <c r="F13" s="129" t="s">
        <v>5370</v>
      </c>
      <c r="G13" s="78" t="s">
        <v>5371</v>
      </c>
      <c r="H13" s="78" t="s">
        <v>5372</v>
      </c>
      <c r="I13" s="78" t="s">
        <v>5373</v>
      </c>
      <c r="J13" s="130" t="s">
        <v>5374</v>
      </c>
      <c r="K13" s="78" t="s">
        <v>5375</v>
      </c>
      <c r="L13" s="78" t="s">
        <v>5376</v>
      </c>
      <c r="M13" s="78" t="s">
        <v>5377</v>
      </c>
      <c r="N13" s="78" t="s">
        <v>5378</v>
      </c>
      <c r="O13" s="78" t="s">
        <v>5379</v>
      </c>
      <c r="P13" s="78" t="s">
        <v>5380</v>
      </c>
      <c r="Q13" s="78" t="s">
        <v>5381</v>
      </c>
      <c r="R13" s="78" t="s">
        <v>5382</v>
      </c>
      <c r="S13" s="78" t="s">
        <v>5383</v>
      </c>
      <c r="T13" s="78" t="s">
        <v>5384</v>
      </c>
      <c r="U13" s="78" t="s">
        <v>5385</v>
      </c>
      <c r="V13" s="78" t="s">
        <v>5386</v>
      </c>
      <c r="W13" s="78" t="s">
        <v>5387</v>
      </c>
      <c r="X13" s="78" t="s">
        <v>5388</v>
      </c>
      <c r="Y13" s="197" t="s">
        <v>5389</v>
      </c>
      <c r="Z13" s="2372" t="s">
        <v>5390</v>
      </c>
      <c r="AA13" s="2373" t="s">
        <v>5391</v>
      </c>
      <c r="AB13" s="2374" t="s">
        <v>5392</v>
      </c>
      <c r="AC13" s="143" t="s">
        <v>5393</v>
      </c>
      <c r="AD13" s="143" t="s">
        <v>5394</v>
      </c>
      <c r="AE13" s="143" t="s">
        <v>5395</v>
      </c>
      <c r="AF13" s="143" t="s">
        <v>5396</v>
      </c>
      <c r="AG13" s="1197"/>
      <c r="AH13" s="1434"/>
      <c r="AI13" s="1434"/>
      <c r="AJ13" s="1434"/>
      <c r="AK13" s="1434"/>
      <c r="AL13" s="1434"/>
      <c r="AM13" s="1434"/>
      <c r="AN13" s="1434"/>
      <c r="AO13" s="1434"/>
      <c r="AP13" s="1191"/>
      <c r="AQ13" s="1191"/>
      <c r="AR13" s="1191"/>
      <c r="CB13" s="1445" t="str">
        <f t="shared" si="0"/>
        <v/>
      </c>
      <c r="CC13" s="1445" t="str">
        <f t="shared" si="1"/>
        <v/>
      </c>
      <c r="CD13" s="1445" t="str">
        <f t="shared" si="2"/>
        <v/>
      </c>
      <c r="CE13" s="1445" t="str">
        <f t="shared" si="3"/>
        <v/>
      </c>
      <c r="CF13" s="1445"/>
      <c r="CG13" s="1445"/>
      <c r="CH13" s="1446">
        <f t="shared" si="4"/>
        <v>0</v>
      </c>
      <c r="CI13" s="1443"/>
      <c r="CJ13" s="1443"/>
      <c r="CK13" s="1443"/>
      <c r="CL13" s="1443"/>
      <c r="CM13" s="1443"/>
      <c r="CN13" s="1443"/>
      <c r="CO13" s="1443"/>
      <c r="CP13" s="1443"/>
    </row>
    <row r="14" spans="1:105" x14ac:dyDescent="0.3">
      <c r="A14" s="7258">
        <v>27280335</v>
      </c>
      <c r="B14" s="10823"/>
      <c r="C14" s="8619"/>
      <c r="D14" s="2091" t="s">
        <v>486</v>
      </c>
      <c r="E14" s="176" t="s">
        <v>5369</v>
      </c>
      <c r="F14" s="1288" t="s">
        <v>5370</v>
      </c>
      <c r="G14" s="1391" t="s">
        <v>5371</v>
      </c>
      <c r="H14" s="1391" t="s">
        <v>5372</v>
      </c>
      <c r="I14" s="1391" t="s">
        <v>5373</v>
      </c>
      <c r="J14" s="1308" t="s">
        <v>5374</v>
      </c>
      <c r="K14" s="1391" t="s">
        <v>5375</v>
      </c>
      <c r="L14" s="1391" t="s">
        <v>5376</v>
      </c>
      <c r="M14" s="1391" t="s">
        <v>5377</v>
      </c>
      <c r="N14" s="1391" t="s">
        <v>5378</v>
      </c>
      <c r="O14" s="1391" t="s">
        <v>5379</v>
      </c>
      <c r="P14" s="1391" t="s">
        <v>5380</v>
      </c>
      <c r="Q14" s="1391" t="s">
        <v>5381</v>
      </c>
      <c r="R14" s="1391" t="s">
        <v>5382</v>
      </c>
      <c r="S14" s="1391" t="s">
        <v>5383</v>
      </c>
      <c r="T14" s="1391" t="s">
        <v>5384</v>
      </c>
      <c r="U14" s="1391" t="s">
        <v>5385</v>
      </c>
      <c r="V14" s="1391" t="s">
        <v>5386</v>
      </c>
      <c r="W14" s="1391" t="s">
        <v>5387</v>
      </c>
      <c r="X14" s="1391" t="s">
        <v>5388</v>
      </c>
      <c r="Y14" s="1309" t="s">
        <v>5389</v>
      </c>
      <c r="Z14" s="2375" t="s">
        <v>5390</v>
      </c>
      <c r="AA14" s="2373" t="s">
        <v>5391</v>
      </c>
      <c r="AB14" s="2374" t="s">
        <v>5392</v>
      </c>
      <c r="AC14" s="1644" t="s">
        <v>5393</v>
      </c>
      <c r="AD14" s="1644" t="s">
        <v>5394</v>
      </c>
      <c r="AE14" s="1644" t="s">
        <v>5395</v>
      </c>
      <c r="AF14" s="1644" t="s">
        <v>5396</v>
      </c>
      <c r="AG14" s="1197"/>
      <c r="AH14" s="1434"/>
      <c r="AI14" s="1434"/>
      <c r="AJ14" s="1434"/>
      <c r="AK14" s="1434"/>
      <c r="AL14" s="1434"/>
      <c r="AM14" s="1434"/>
      <c r="AN14" s="1434"/>
      <c r="AO14" s="1434"/>
      <c r="AP14" s="1191"/>
      <c r="AQ14" s="1191"/>
      <c r="AR14" s="1191"/>
      <c r="CB14" s="1445" t="str">
        <f t="shared" si="0"/>
        <v/>
      </c>
      <c r="CC14" s="1445" t="str">
        <f t="shared" si="1"/>
        <v/>
      </c>
      <c r="CD14" s="1445" t="str">
        <f t="shared" si="2"/>
        <v/>
      </c>
      <c r="CE14" s="1445" t="str">
        <f t="shared" si="3"/>
        <v/>
      </c>
      <c r="CF14" s="1445"/>
      <c r="CG14" s="1445"/>
      <c r="CH14" s="1446">
        <f t="shared" si="4"/>
        <v>0</v>
      </c>
      <c r="CI14" s="1443"/>
      <c r="CJ14" s="1443"/>
      <c r="CK14" s="1443"/>
      <c r="CL14" s="1443"/>
      <c r="CM14" s="1443"/>
      <c r="CN14" s="1443"/>
      <c r="CO14" s="1443"/>
      <c r="CP14" s="1443"/>
    </row>
    <row r="15" spans="1:105" x14ac:dyDescent="0.3">
      <c r="A15" s="7258">
        <v>27500100</v>
      </c>
      <c r="B15" s="10823"/>
      <c r="C15" s="8978"/>
      <c r="D15" s="345" t="s">
        <v>487</v>
      </c>
      <c r="E15" s="336" t="s">
        <v>5369</v>
      </c>
      <c r="F15" s="148" t="s">
        <v>5370</v>
      </c>
      <c r="G15" s="95" t="s">
        <v>5371</v>
      </c>
      <c r="H15" s="95" t="s">
        <v>5372</v>
      </c>
      <c r="I15" s="95" t="s">
        <v>5373</v>
      </c>
      <c r="J15" s="149" t="s">
        <v>5374</v>
      </c>
      <c r="K15" s="95" t="s">
        <v>5375</v>
      </c>
      <c r="L15" s="95" t="s">
        <v>5376</v>
      </c>
      <c r="M15" s="95" t="s">
        <v>5377</v>
      </c>
      <c r="N15" s="95" t="s">
        <v>5378</v>
      </c>
      <c r="O15" s="95" t="s">
        <v>5379</v>
      </c>
      <c r="P15" s="95" t="s">
        <v>5380</v>
      </c>
      <c r="Q15" s="95" t="s">
        <v>5381</v>
      </c>
      <c r="R15" s="95" t="s">
        <v>5382</v>
      </c>
      <c r="S15" s="95" t="s">
        <v>5383</v>
      </c>
      <c r="T15" s="95" t="s">
        <v>5384</v>
      </c>
      <c r="U15" s="95" t="s">
        <v>5385</v>
      </c>
      <c r="V15" s="95" t="s">
        <v>5386</v>
      </c>
      <c r="W15" s="95" t="s">
        <v>5387</v>
      </c>
      <c r="X15" s="95" t="s">
        <v>5388</v>
      </c>
      <c r="Y15" s="245" t="s">
        <v>5389</v>
      </c>
      <c r="Z15" s="2376" t="s">
        <v>5390</v>
      </c>
      <c r="AA15" s="2377" t="s">
        <v>5391</v>
      </c>
      <c r="AB15" s="2378" t="s">
        <v>5392</v>
      </c>
      <c r="AC15" s="1697" t="s">
        <v>5393</v>
      </c>
      <c r="AD15" s="1697" t="s">
        <v>5394</v>
      </c>
      <c r="AE15" s="1697" t="s">
        <v>5395</v>
      </c>
      <c r="AF15" s="1697" t="s">
        <v>5396</v>
      </c>
      <c r="AG15" s="1197"/>
      <c r="AH15" s="1434"/>
      <c r="AI15" s="1434"/>
      <c r="AJ15" s="1434"/>
      <c r="AK15" s="1434"/>
      <c r="AL15" s="1434"/>
      <c r="AM15" s="1434"/>
      <c r="AN15" s="1434"/>
      <c r="AO15" s="1434"/>
      <c r="AP15" s="1191"/>
      <c r="AQ15" s="1191"/>
      <c r="AR15" s="1191"/>
      <c r="CB15" s="1445" t="str">
        <f t="shared" si="0"/>
        <v/>
      </c>
      <c r="CC15" s="1445" t="str">
        <f t="shared" si="1"/>
        <v/>
      </c>
      <c r="CD15" s="1445" t="str">
        <f t="shared" si="2"/>
        <v/>
      </c>
      <c r="CE15" s="1445" t="str">
        <f t="shared" si="3"/>
        <v/>
      </c>
      <c r="CF15" s="1445"/>
      <c r="CG15" s="1445"/>
      <c r="CH15" s="1446">
        <f t="shared" si="4"/>
        <v>0</v>
      </c>
      <c r="CI15" s="1443"/>
      <c r="CJ15" s="1443"/>
      <c r="CK15" s="1443"/>
      <c r="CL15" s="1443"/>
      <c r="CM15" s="1443"/>
      <c r="CN15" s="1443"/>
      <c r="CO15" s="1443"/>
      <c r="CP15" s="1443"/>
    </row>
    <row r="16" spans="1:105" x14ac:dyDescent="0.3">
      <c r="A16" s="7258">
        <v>27280400</v>
      </c>
      <c r="B16" s="10823"/>
      <c r="C16" s="9535" t="s">
        <v>488</v>
      </c>
      <c r="D16" s="9536"/>
      <c r="E16" s="87" t="s">
        <v>5369</v>
      </c>
      <c r="F16" s="129" t="s">
        <v>5370</v>
      </c>
      <c r="G16" s="78" t="s">
        <v>5371</v>
      </c>
      <c r="H16" s="78" t="s">
        <v>5372</v>
      </c>
      <c r="I16" s="78" t="s">
        <v>5373</v>
      </c>
      <c r="J16" s="143" t="s">
        <v>5374</v>
      </c>
      <c r="K16" s="100" t="s">
        <v>5375</v>
      </c>
      <c r="L16" s="78" t="s">
        <v>5376</v>
      </c>
      <c r="M16" s="78" t="s">
        <v>5377</v>
      </c>
      <c r="N16" s="166" t="s">
        <v>5378</v>
      </c>
      <c r="O16" s="166" t="s">
        <v>5379</v>
      </c>
      <c r="P16" s="166" t="s">
        <v>5380</v>
      </c>
      <c r="Q16" s="166" t="s">
        <v>5381</v>
      </c>
      <c r="R16" s="166" t="s">
        <v>5382</v>
      </c>
      <c r="S16" s="166" t="s">
        <v>5383</v>
      </c>
      <c r="T16" s="166" t="s">
        <v>5384</v>
      </c>
      <c r="U16" s="166" t="s">
        <v>5385</v>
      </c>
      <c r="V16" s="166" t="s">
        <v>5386</v>
      </c>
      <c r="W16" s="166" t="s">
        <v>5387</v>
      </c>
      <c r="X16" s="166" t="s">
        <v>5388</v>
      </c>
      <c r="Y16" s="166" t="s">
        <v>5389</v>
      </c>
      <c r="Z16" s="2379" t="s">
        <v>5390</v>
      </c>
      <c r="AA16" s="1809" t="s">
        <v>5391</v>
      </c>
      <c r="AB16" s="2380" t="s">
        <v>5392</v>
      </c>
      <c r="AC16" s="143" t="s">
        <v>5393</v>
      </c>
      <c r="AD16" s="143" t="s">
        <v>5394</v>
      </c>
      <c r="AE16" s="143" t="s">
        <v>5395</v>
      </c>
      <c r="AF16" s="143" t="s">
        <v>5396</v>
      </c>
      <c r="AG16" s="1197"/>
      <c r="AH16" s="1434"/>
      <c r="AI16" s="1434"/>
      <c r="AJ16" s="1434"/>
      <c r="AK16" s="1434"/>
      <c r="AL16" s="1434"/>
      <c r="AM16" s="1434"/>
      <c r="AN16" s="1434"/>
      <c r="AO16" s="1434"/>
      <c r="AP16" s="1191"/>
      <c r="AQ16" s="1191"/>
      <c r="AR16" s="1191"/>
      <c r="CB16" s="1445" t="str">
        <f t="shared" si="0"/>
        <v/>
      </c>
      <c r="CC16" s="1445" t="str">
        <f t="shared" si="1"/>
        <v/>
      </c>
      <c r="CD16" s="1445" t="str">
        <f t="shared" si="2"/>
        <v/>
      </c>
      <c r="CE16" s="1445" t="str">
        <f t="shared" si="3"/>
        <v/>
      </c>
      <c r="CF16" s="1445"/>
      <c r="CG16" s="1445"/>
      <c r="CH16" s="1446">
        <f t="shared" si="4"/>
        <v>0</v>
      </c>
      <c r="CI16" s="1443"/>
      <c r="CJ16" s="1443"/>
      <c r="CK16" s="1443"/>
      <c r="CL16" s="1443"/>
      <c r="CM16" s="1443"/>
      <c r="CN16" s="1443"/>
      <c r="CO16" s="1443"/>
      <c r="CP16" s="1443"/>
    </row>
    <row r="17" spans="1:94" x14ac:dyDescent="0.3">
      <c r="A17" s="7258">
        <v>27280500</v>
      </c>
      <c r="B17" s="10823"/>
      <c r="C17" s="8838" t="s">
        <v>489</v>
      </c>
      <c r="D17" s="9530"/>
      <c r="E17" s="109" t="s">
        <v>5369</v>
      </c>
      <c r="F17" s="110" t="s">
        <v>5370</v>
      </c>
      <c r="G17" s="111" t="s">
        <v>5371</v>
      </c>
      <c r="H17" s="111" t="s">
        <v>5372</v>
      </c>
      <c r="I17" s="111" t="s">
        <v>5373</v>
      </c>
      <c r="J17" s="144" t="s">
        <v>5374</v>
      </c>
      <c r="K17" s="136" t="s">
        <v>5375</v>
      </c>
      <c r="L17" s="111" t="s">
        <v>5376</v>
      </c>
      <c r="M17" s="111" t="s">
        <v>5377</v>
      </c>
      <c r="N17" s="168" t="s">
        <v>5378</v>
      </c>
      <c r="O17" s="168" t="s">
        <v>5379</v>
      </c>
      <c r="P17" s="168" t="s">
        <v>5380</v>
      </c>
      <c r="Q17" s="168" t="s">
        <v>5381</v>
      </c>
      <c r="R17" s="168" t="s">
        <v>5382</v>
      </c>
      <c r="S17" s="168" t="s">
        <v>5383</v>
      </c>
      <c r="T17" s="168" t="s">
        <v>5384</v>
      </c>
      <c r="U17" s="168" t="s">
        <v>5385</v>
      </c>
      <c r="V17" s="168" t="s">
        <v>5386</v>
      </c>
      <c r="W17" s="168" t="s">
        <v>5387</v>
      </c>
      <c r="X17" s="168" t="s">
        <v>5388</v>
      </c>
      <c r="Y17" s="168" t="s">
        <v>5389</v>
      </c>
      <c r="Z17" s="2381" t="s">
        <v>5390</v>
      </c>
      <c r="AA17" s="2373" t="s">
        <v>5391</v>
      </c>
      <c r="AB17" s="2374" t="s">
        <v>5392</v>
      </c>
      <c r="AC17" s="1644" t="s">
        <v>5393</v>
      </c>
      <c r="AD17" s="1644" t="s">
        <v>5394</v>
      </c>
      <c r="AE17" s="1644" t="s">
        <v>5395</v>
      </c>
      <c r="AF17" s="1644" t="s">
        <v>5396</v>
      </c>
      <c r="AG17" s="1197"/>
      <c r="AH17" s="1434"/>
      <c r="AI17" s="1434"/>
      <c r="AJ17" s="1434"/>
      <c r="AK17" s="1434"/>
      <c r="AL17" s="1434"/>
      <c r="AM17" s="1434"/>
      <c r="AN17" s="1434"/>
      <c r="AO17" s="1434"/>
      <c r="AP17" s="1191"/>
      <c r="AQ17" s="1191"/>
      <c r="AR17" s="1191"/>
      <c r="CB17" s="1445" t="str">
        <f t="shared" si="0"/>
        <v/>
      </c>
      <c r="CC17" s="1445" t="str">
        <f t="shared" si="1"/>
        <v/>
      </c>
      <c r="CD17" s="1445" t="str">
        <f t="shared" si="2"/>
        <v/>
      </c>
      <c r="CE17" s="1445" t="str">
        <f t="shared" si="3"/>
        <v/>
      </c>
      <c r="CF17" s="1445"/>
      <c r="CG17" s="1445"/>
      <c r="CH17" s="1446">
        <f t="shared" si="4"/>
        <v>0</v>
      </c>
      <c r="CI17" s="1443"/>
      <c r="CJ17" s="1443"/>
      <c r="CK17" s="1443"/>
      <c r="CL17" s="1443"/>
      <c r="CM17" s="1443"/>
      <c r="CN17" s="1443"/>
      <c r="CO17" s="1443"/>
      <c r="CP17" s="1443"/>
    </row>
    <row r="18" spans="1:94" x14ac:dyDescent="0.3">
      <c r="A18" s="7258">
        <v>27280600</v>
      </c>
      <c r="B18" s="10823"/>
      <c r="C18" s="8838" t="s">
        <v>490</v>
      </c>
      <c r="D18" s="9530"/>
      <c r="E18" s="109" t="s">
        <v>5369</v>
      </c>
      <c r="F18" s="110" t="s">
        <v>5370</v>
      </c>
      <c r="G18" s="111" t="s">
        <v>5371</v>
      </c>
      <c r="H18" s="111" t="s">
        <v>5372</v>
      </c>
      <c r="I18" s="111" t="s">
        <v>5373</v>
      </c>
      <c r="J18" s="144" t="s">
        <v>5374</v>
      </c>
      <c r="K18" s="136" t="s">
        <v>5375</v>
      </c>
      <c r="L18" s="111" t="s">
        <v>5376</v>
      </c>
      <c r="M18" s="111" t="s">
        <v>5377</v>
      </c>
      <c r="N18" s="168" t="s">
        <v>5378</v>
      </c>
      <c r="O18" s="168" t="s">
        <v>5379</v>
      </c>
      <c r="P18" s="168" t="s">
        <v>5380</v>
      </c>
      <c r="Q18" s="168" t="s">
        <v>5381</v>
      </c>
      <c r="R18" s="168" t="s">
        <v>5382</v>
      </c>
      <c r="S18" s="168" t="s">
        <v>5383</v>
      </c>
      <c r="T18" s="168" t="s">
        <v>5384</v>
      </c>
      <c r="U18" s="168" t="s">
        <v>5385</v>
      </c>
      <c r="V18" s="168" t="s">
        <v>5386</v>
      </c>
      <c r="W18" s="168" t="s">
        <v>5387</v>
      </c>
      <c r="X18" s="168" t="s">
        <v>5388</v>
      </c>
      <c r="Y18" s="168" t="s">
        <v>5389</v>
      </c>
      <c r="Z18" s="2381" t="s">
        <v>5390</v>
      </c>
      <c r="AA18" s="2373" t="s">
        <v>5391</v>
      </c>
      <c r="AB18" s="2374" t="s">
        <v>5392</v>
      </c>
      <c r="AC18" s="1644" t="s">
        <v>5393</v>
      </c>
      <c r="AD18" s="1644" t="s">
        <v>5394</v>
      </c>
      <c r="AE18" s="1644" t="s">
        <v>5395</v>
      </c>
      <c r="AF18" s="1644" t="s">
        <v>5396</v>
      </c>
      <c r="AG18" s="1197"/>
      <c r="AH18" s="1434"/>
      <c r="AI18" s="1434"/>
      <c r="AJ18" s="1434"/>
      <c r="AK18" s="1434"/>
      <c r="AL18" s="1434"/>
      <c r="AM18" s="1434"/>
      <c r="AN18" s="1434"/>
      <c r="AO18" s="1434"/>
      <c r="AP18" s="1191"/>
      <c r="AQ18" s="1191"/>
      <c r="AR18" s="1191"/>
      <c r="CB18" s="1445" t="str">
        <f t="shared" si="0"/>
        <v/>
      </c>
      <c r="CC18" s="1445" t="str">
        <f t="shared" si="1"/>
        <v/>
      </c>
      <c r="CD18" s="1445" t="str">
        <f t="shared" si="2"/>
        <v/>
      </c>
      <c r="CE18" s="1445" t="str">
        <f t="shared" si="3"/>
        <v/>
      </c>
      <c r="CF18" s="1445"/>
      <c r="CG18" s="1445"/>
      <c r="CH18" s="1446">
        <f t="shared" si="4"/>
        <v>0</v>
      </c>
      <c r="CI18" s="1443"/>
      <c r="CJ18" s="1443"/>
      <c r="CK18" s="1443"/>
      <c r="CL18" s="1443"/>
      <c r="CM18" s="1443"/>
      <c r="CN18" s="1443"/>
      <c r="CO18" s="1443"/>
      <c r="CP18" s="1443"/>
    </row>
    <row r="19" spans="1:94" x14ac:dyDescent="0.3">
      <c r="A19" s="7258">
        <v>27280700</v>
      </c>
      <c r="B19" s="10823"/>
      <c r="C19" s="10813" t="s">
        <v>491</v>
      </c>
      <c r="D19" s="10801"/>
      <c r="E19" s="1633" t="s">
        <v>5369</v>
      </c>
      <c r="F19" s="1621" t="s">
        <v>5370</v>
      </c>
      <c r="G19" s="1837" t="s">
        <v>5371</v>
      </c>
      <c r="H19" s="1837" t="s">
        <v>5372</v>
      </c>
      <c r="I19" s="1837" t="s">
        <v>5373</v>
      </c>
      <c r="J19" s="1636" t="s">
        <v>5374</v>
      </c>
      <c r="K19" s="1666" t="s">
        <v>5375</v>
      </c>
      <c r="L19" s="1837" t="s">
        <v>5376</v>
      </c>
      <c r="M19" s="1837" t="s">
        <v>5377</v>
      </c>
      <c r="N19" s="1860" t="s">
        <v>5378</v>
      </c>
      <c r="O19" s="1860" t="s">
        <v>5379</v>
      </c>
      <c r="P19" s="1860" t="s">
        <v>5380</v>
      </c>
      <c r="Q19" s="1860" t="s">
        <v>5381</v>
      </c>
      <c r="R19" s="1860" t="s">
        <v>5382</v>
      </c>
      <c r="S19" s="1860" t="s">
        <v>5383</v>
      </c>
      <c r="T19" s="1860" t="s">
        <v>5384</v>
      </c>
      <c r="U19" s="1860" t="s">
        <v>5385</v>
      </c>
      <c r="V19" s="1860" t="s">
        <v>5386</v>
      </c>
      <c r="W19" s="1860" t="s">
        <v>5387</v>
      </c>
      <c r="X19" s="1860" t="s">
        <v>5388</v>
      </c>
      <c r="Y19" s="1860" t="s">
        <v>5389</v>
      </c>
      <c r="Z19" s="1626" t="s">
        <v>5390</v>
      </c>
      <c r="AA19" s="1837" t="s">
        <v>5391</v>
      </c>
      <c r="AB19" s="1838" t="s">
        <v>5392</v>
      </c>
      <c r="AC19" s="1636" t="s">
        <v>5393</v>
      </c>
      <c r="AD19" s="1636" t="s">
        <v>5394</v>
      </c>
      <c r="AE19" s="1636" t="s">
        <v>5395</v>
      </c>
      <c r="AF19" s="1636" t="s">
        <v>5396</v>
      </c>
      <c r="AG19" s="1197"/>
      <c r="AH19" s="1434"/>
      <c r="AI19" s="1434"/>
      <c r="AJ19" s="1434"/>
      <c r="AK19" s="1434"/>
      <c r="AL19" s="1434"/>
      <c r="AM19" s="1434"/>
      <c r="AN19" s="1434"/>
      <c r="AO19" s="1434"/>
      <c r="AP19" s="1191"/>
      <c r="AQ19" s="1191"/>
      <c r="AR19" s="1191"/>
      <c r="CB19" s="1445" t="str">
        <f t="shared" si="0"/>
        <v/>
      </c>
      <c r="CC19" s="1445" t="str">
        <f t="shared" si="1"/>
        <v/>
      </c>
      <c r="CD19" s="1445" t="str">
        <f t="shared" si="2"/>
        <v/>
      </c>
      <c r="CE19" s="1445" t="str">
        <f t="shared" si="3"/>
        <v/>
      </c>
      <c r="CF19" s="1445"/>
      <c r="CG19" s="1445"/>
      <c r="CH19" s="1446">
        <f t="shared" si="4"/>
        <v>0</v>
      </c>
      <c r="CI19" s="1443"/>
      <c r="CJ19" s="1443"/>
      <c r="CK19" s="1443"/>
      <c r="CL19" s="1443"/>
      <c r="CM19" s="1443"/>
      <c r="CN19" s="1443"/>
      <c r="CO19" s="1443"/>
      <c r="CP19" s="1443"/>
    </row>
    <row r="20" spans="1:94" x14ac:dyDescent="0.3">
      <c r="A20" s="7258">
        <v>27500270</v>
      </c>
      <c r="B20" s="10823"/>
      <c r="C20" s="8939" t="s">
        <v>492</v>
      </c>
      <c r="D20" s="2344" t="s">
        <v>700</v>
      </c>
      <c r="E20" s="1572" t="s">
        <v>5369</v>
      </c>
      <c r="F20" s="1312" t="s">
        <v>5370</v>
      </c>
      <c r="G20" s="1669" t="s">
        <v>5371</v>
      </c>
      <c r="H20" s="1669" t="s">
        <v>5372</v>
      </c>
      <c r="I20" s="1669" t="s">
        <v>5373</v>
      </c>
      <c r="J20" s="918" t="s">
        <v>5374</v>
      </c>
      <c r="K20" s="1585" t="s">
        <v>5375</v>
      </c>
      <c r="L20" s="1669" t="s">
        <v>5376</v>
      </c>
      <c r="M20" s="1669" t="s">
        <v>5377</v>
      </c>
      <c r="N20" s="166" t="s">
        <v>5378</v>
      </c>
      <c r="O20" s="166" t="s">
        <v>5379</v>
      </c>
      <c r="P20" s="166" t="s">
        <v>5380</v>
      </c>
      <c r="Q20" s="166" t="s">
        <v>5381</v>
      </c>
      <c r="R20" s="166" t="s">
        <v>5382</v>
      </c>
      <c r="S20" s="166" t="s">
        <v>5383</v>
      </c>
      <c r="T20" s="166" t="s">
        <v>5384</v>
      </c>
      <c r="U20" s="166" t="s">
        <v>5385</v>
      </c>
      <c r="V20" s="166" t="s">
        <v>5386</v>
      </c>
      <c r="W20" s="166" t="s">
        <v>5387</v>
      </c>
      <c r="X20" s="166" t="s">
        <v>5388</v>
      </c>
      <c r="Y20" s="166" t="s">
        <v>5389</v>
      </c>
      <c r="Z20" s="1610" t="s">
        <v>5390</v>
      </c>
      <c r="AA20" s="1669" t="s">
        <v>5391</v>
      </c>
      <c r="AB20" s="1701" t="s">
        <v>5392</v>
      </c>
      <c r="AC20" s="918" t="s">
        <v>5393</v>
      </c>
      <c r="AD20" s="918" t="s">
        <v>5394</v>
      </c>
      <c r="AE20" s="918" t="s">
        <v>5395</v>
      </c>
      <c r="AF20" s="918" t="s">
        <v>5396</v>
      </c>
      <c r="AG20" s="1197"/>
      <c r="AH20" s="1434"/>
      <c r="AI20" s="1434"/>
      <c r="AJ20" s="1434"/>
      <c r="AK20" s="1434"/>
      <c r="AL20" s="1434"/>
      <c r="AM20" s="1434"/>
      <c r="AN20" s="1434"/>
      <c r="AO20" s="1434"/>
      <c r="AP20" s="1191"/>
      <c r="AQ20" s="1191"/>
      <c r="AR20" s="1191"/>
      <c r="CB20" s="1445" t="str">
        <f t="shared" si="0"/>
        <v/>
      </c>
      <c r="CC20" s="1445" t="str">
        <f t="shared" si="1"/>
        <v/>
      </c>
      <c r="CD20" s="1445" t="str">
        <f t="shared" si="2"/>
        <v/>
      </c>
      <c r="CE20" s="1445" t="str">
        <f t="shared" si="3"/>
        <v/>
      </c>
      <c r="CF20" s="1445"/>
      <c r="CG20" s="1445"/>
      <c r="CH20" s="1446">
        <f t="shared" si="4"/>
        <v>0</v>
      </c>
      <c r="CI20" s="1443"/>
      <c r="CJ20" s="1443"/>
      <c r="CK20" s="1443"/>
      <c r="CL20" s="1443"/>
      <c r="CM20" s="1443"/>
      <c r="CN20" s="1443"/>
      <c r="CO20" s="1443"/>
      <c r="CP20" s="1443"/>
    </row>
    <row r="21" spans="1:94" x14ac:dyDescent="0.3">
      <c r="A21" s="7258">
        <v>27500280</v>
      </c>
      <c r="B21" s="10823"/>
      <c r="C21" s="8555"/>
      <c r="D21" s="2345" t="s">
        <v>701</v>
      </c>
      <c r="E21" s="109" t="s">
        <v>5369</v>
      </c>
      <c r="F21" s="1661" t="s">
        <v>5370</v>
      </c>
      <c r="G21" s="1662" t="s">
        <v>5371</v>
      </c>
      <c r="H21" s="1662" t="s">
        <v>5372</v>
      </c>
      <c r="I21" s="1662" t="s">
        <v>5373</v>
      </c>
      <c r="J21" s="1644" t="s">
        <v>5374</v>
      </c>
      <c r="K21" s="1665" t="s">
        <v>5375</v>
      </c>
      <c r="L21" s="1662" t="s">
        <v>5376</v>
      </c>
      <c r="M21" s="1662" t="s">
        <v>5377</v>
      </c>
      <c r="N21" s="1689" t="s">
        <v>5378</v>
      </c>
      <c r="O21" s="1689" t="s">
        <v>5379</v>
      </c>
      <c r="P21" s="1689" t="s">
        <v>5380</v>
      </c>
      <c r="Q21" s="1689" t="s">
        <v>5381</v>
      </c>
      <c r="R21" s="1689" t="s">
        <v>5382</v>
      </c>
      <c r="S21" s="1689" t="s">
        <v>5383</v>
      </c>
      <c r="T21" s="1689" t="s">
        <v>5384</v>
      </c>
      <c r="U21" s="1689" t="s">
        <v>5385</v>
      </c>
      <c r="V21" s="1689" t="s">
        <v>5386</v>
      </c>
      <c r="W21" s="1689" t="s">
        <v>5387</v>
      </c>
      <c r="X21" s="1689" t="s">
        <v>5388</v>
      </c>
      <c r="Y21" s="1689" t="s">
        <v>5389</v>
      </c>
      <c r="Z21" s="1690" t="s">
        <v>5390</v>
      </c>
      <c r="AA21" s="1662" t="s">
        <v>5391</v>
      </c>
      <c r="AB21" s="1638" t="s">
        <v>5392</v>
      </c>
      <c r="AC21" s="1644" t="s">
        <v>5393</v>
      </c>
      <c r="AD21" s="1644" t="s">
        <v>5394</v>
      </c>
      <c r="AE21" s="1644" t="s">
        <v>5395</v>
      </c>
      <c r="AF21" s="1644" t="s">
        <v>5396</v>
      </c>
      <c r="AG21" s="1197"/>
      <c r="AH21" s="1434"/>
      <c r="AI21" s="1434"/>
      <c r="AJ21" s="1434"/>
      <c r="AK21" s="1434"/>
      <c r="AL21" s="1434"/>
      <c r="AM21" s="1434"/>
      <c r="AN21" s="1434"/>
      <c r="AO21" s="1434"/>
      <c r="AP21" s="1191"/>
      <c r="AQ21" s="1191"/>
      <c r="AR21" s="1191"/>
      <c r="CB21" s="1445" t="str">
        <f t="shared" si="0"/>
        <v/>
      </c>
      <c r="CC21" s="1445" t="str">
        <f t="shared" si="1"/>
        <v/>
      </c>
      <c r="CD21" s="1445" t="str">
        <f t="shared" si="2"/>
        <v/>
      </c>
      <c r="CE21" s="1445" t="str">
        <f t="shared" si="3"/>
        <v/>
      </c>
      <c r="CF21" s="1445"/>
      <c r="CG21" s="1445"/>
      <c r="CH21" s="1446">
        <f t="shared" si="4"/>
        <v>0</v>
      </c>
      <c r="CI21" s="1443"/>
      <c r="CJ21" s="1443"/>
      <c r="CK21" s="1443"/>
      <c r="CL21" s="1443"/>
      <c r="CM21" s="1443"/>
      <c r="CN21" s="1443"/>
      <c r="CO21" s="1443"/>
      <c r="CP21" s="1443"/>
    </row>
    <row r="22" spans="1:94" x14ac:dyDescent="0.3">
      <c r="A22" s="7258">
        <v>27500290</v>
      </c>
      <c r="B22" s="10824"/>
      <c r="C22" s="8705"/>
      <c r="D22" s="1811" t="s">
        <v>2348</v>
      </c>
      <c r="E22" s="1840" t="s">
        <v>5369</v>
      </c>
      <c r="F22" s="1842" t="s">
        <v>5370</v>
      </c>
      <c r="G22" s="1833" t="s">
        <v>5371</v>
      </c>
      <c r="H22" s="1833" t="s">
        <v>5372</v>
      </c>
      <c r="I22" s="1833" t="s">
        <v>5373</v>
      </c>
      <c r="J22" s="1843" t="s">
        <v>5374</v>
      </c>
      <c r="K22" s="1853" t="s">
        <v>5375</v>
      </c>
      <c r="L22" s="1833" t="s">
        <v>5376</v>
      </c>
      <c r="M22" s="1833" t="s">
        <v>5377</v>
      </c>
      <c r="N22" s="1859" t="s">
        <v>5378</v>
      </c>
      <c r="O22" s="1859" t="s">
        <v>5379</v>
      </c>
      <c r="P22" s="1859" t="s">
        <v>5380</v>
      </c>
      <c r="Q22" s="1859" t="s">
        <v>5381</v>
      </c>
      <c r="R22" s="1859" t="s">
        <v>5382</v>
      </c>
      <c r="S22" s="1859" t="s">
        <v>5383</v>
      </c>
      <c r="T22" s="1859" t="s">
        <v>5384</v>
      </c>
      <c r="U22" s="1859" t="s">
        <v>5385</v>
      </c>
      <c r="V22" s="1859" t="s">
        <v>5386</v>
      </c>
      <c r="W22" s="1859" t="s">
        <v>5387</v>
      </c>
      <c r="X22" s="1859" t="s">
        <v>5388</v>
      </c>
      <c r="Y22" s="1859" t="s">
        <v>5389</v>
      </c>
      <c r="Z22" s="1858" t="s">
        <v>5390</v>
      </c>
      <c r="AA22" s="1833" t="s">
        <v>5391</v>
      </c>
      <c r="AB22" s="1834" t="s">
        <v>5392</v>
      </c>
      <c r="AC22" s="1843" t="s">
        <v>5393</v>
      </c>
      <c r="AD22" s="1843" t="s">
        <v>5394</v>
      </c>
      <c r="AE22" s="1843" t="s">
        <v>5395</v>
      </c>
      <c r="AF22" s="1843" t="s">
        <v>5396</v>
      </c>
      <c r="AG22" s="1197"/>
      <c r="AH22" s="1434"/>
      <c r="AI22" s="1434"/>
      <c r="AJ22" s="1434"/>
      <c r="AK22" s="1434"/>
      <c r="AL22" s="1434"/>
      <c r="AM22" s="1434"/>
      <c r="AN22" s="1434"/>
      <c r="AO22" s="1434"/>
      <c r="AP22" s="1191"/>
      <c r="AQ22" s="1191"/>
      <c r="AR22" s="1191"/>
      <c r="CB22" s="1445" t="str">
        <f t="shared" si="0"/>
        <v/>
      </c>
      <c r="CC22" s="1445" t="str">
        <f t="shared" si="1"/>
        <v/>
      </c>
      <c r="CD22" s="1445" t="str">
        <f t="shared" si="2"/>
        <v/>
      </c>
      <c r="CE22" s="1445" t="str">
        <f t="shared" si="3"/>
        <v/>
      </c>
      <c r="CF22" s="1445"/>
      <c r="CG22" s="1445"/>
      <c r="CH22" s="1446">
        <f t="shared" si="4"/>
        <v>0</v>
      </c>
      <c r="CI22" s="1443"/>
      <c r="CJ22" s="1443"/>
      <c r="CK22" s="1443"/>
      <c r="CL22" s="1443"/>
      <c r="CM22" s="1443"/>
      <c r="CN22" s="1443"/>
      <c r="CO22" s="1443"/>
      <c r="CP22" s="1443"/>
    </row>
    <row r="23" spans="1:94" x14ac:dyDescent="0.3">
      <c r="A23" s="7258">
        <v>27500300</v>
      </c>
      <c r="B23" s="10823"/>
      <c r="C23" s="8940"/>
      <c r="D23" s="1812" t="s">
        <v>2349</v>
      </c>
      <c r="E23" s="1633" t="s">
        <v>5369</v>
      </c>
      <c r="F23" s="1621" t="s">
        <v>5370</v>
      </c>
      <c r="G23" s="1837" t="s">
        <v>5371</v>
      </c>
      <c r="H23" s="1837" t="s">
        <v>5372</v>
      </c>
      <c r="I23" s="1837" t="s">
        <v>5373</v>
      </c>
      <c r="J23" s="1636" t="s">
        <v>5374</v>
      </c>
      <c r="K23" s="1666" t="s">
        <v>5375</v>
      </c>
      <c r="L23" s="1837" t="s">
        <v>5376</v>
      </c>
      <c r="M23" s="1837" t="s">
        <v>5377</v>
      </c>
      <c r="N23" s="1860" t="s">
        <v>5378</v>
      </c>
      <c r="O23" s="1860" t="s">
        <v>5379</v>
      </c>
      <c r="P23" s="1860" t="s">
        <v>5380</v>
      </c>
      <c r="Q23" s="1860" t="s">
        <v>5381</v>
      </c>
      <c r="R23" s="1860" t="s">
        <v>5382</v>
      </c>
      <c r="S23" s="1860" t="s">
        <v>5383</v>
      </c>
      <c r="T23" s="1860" t="s">
        <v>5384</v>
      </c>
      <c r="U23" s="1860" t="s">
        <v>5385</v>
      </c>
      <c r="V23" s="1860" t="s">
        <v>5386</v>
      </c>
      <c r="W23" s="1860" t="s">
        <v>5387</v>
      </c>
      <c r="X23" s="1860" t="s">
        <v>5388</v>
      </c>
      <c r="Y23" s="1860" t="s">
        <v>5389</v>
      </c>
      <c r="Z23" s="1626" t="s">
        <v>5390</v>
      </c>
      <c r="AA23" s="1837" t="s">
        <v>5391</v>
      </c>
      <c r="AB23" s="1838" t="s">
        <v>5392</v>
      </c>
      <c r="AC23" s="1636" t="s">
        <v>5393</v>
      </c>
      <c r="AD23" s="1636" t="s">
        <v>5394</v>
      </c>
      <c r="AE23" s="1636" t="s">
        <v>5395</v>
      </c>
      <c r="AF23" s="1636" t="s">
        <v>5396</v>
      </c>
      <c r="AG23" s="1197"/>
      <c r="AH23" s="1434"/>
      <c r="AI23" s="1434"/>
      <c r="AJ23" s="1434"/>
      <c r="AK23" s="1434"/>
      <c r="AL23" s="1434"/>
      <c r="AM23" s="1434"/>
      <c r="AN23" s="1434"/>
      <c r="AO23" s="1434"/>
      <c r="AP23" s="1191"/>
      <c r="AQ23" s="1191"/>
      <c r="AR23" s="1191"/>
      <c r="CB23" s="1445" t="str">
        <f t="shared" si="0"/>
        <v/>
      </c>
      <c r="CC23" s="1445" t="str">
        <f t="shared" si="1"/>
        <v/>
      </c>
      <c r="CD23" s="1445" t="str">
        <f t="shared" si="2"/>
        <v/>
      </c>
      <c r="CE23" s="1445" t="str">
        <f t="shared" si="3"/>
        <v/>
      </c>
      <c r="CF23" s="1445"/>
      <c r="CG23" s="1445"/>
      <c r="CH23" s="1446">
        <f t="shared" si="4"/>
        <v>0</v>
      </c>
      <c r="CI23" s="1443"/>
      <c r="CJ23" s="1443"/>
      <c r="CK23" s="1443"/>
      <c r="CL23" s="1443"/>
      <c r="CM23" s="1443"/>
      <c r="CN23" s="1443"/>
      <c r="CO23" s="1443"/>
      <c r="CP23" s="1443"/>
    </row>
    <row r="24" spans="1:94" x14ac:dyDescent="0.3">
      <c r="A24" s="7258">
        <v>27500250</v>
      </c>
      <c r="B24" s="10823"/>
      <c r="C24" s="10818" t="s">
        <v>600</v>
      </c>
      <c r="D24" s="9536"/>
      <c r="E24" s="1572" t="s">
        <v>5369</v>
      </c>
      <c r="F24" s="1312" t="s">
        <v>5370</v>
      </c>
      <c r="G24" s="1669" t="s">
        <v>5371</v>
      </c>
      <c r="H24" s="1669" t="s">
        <v>5372</v>
      </c>
      <c r="I24" s="1669" t="s">
        <v>5373</v>
      </c>
      <c r="J24" s="918" t="s">
        <v>5374</v>
      </c>
      <c r="K24" s="1733" t="s">
        <v>5375</v>
      </c>
      <c r="L24" s="1680" t="s">
        <v>5376</v>
      </c>
      <c r="M24" s="1680" t="s">
        <v>5377</v>
      </c>
      <c r="N24" s="1680" t="s">
        <v>5378</v>
      </c>
      <c r="O24" s="1680" t="s">
        <v>5379</v>
      </c>
      <c r="P24" s="1680" t="s">
        <v>5380</v>
      </c>
      <c r="Q24" s="1733" t="s">
        <v>5381</v>
      </c>
      <c r="R24" s="166" t="s">
        <v>5382</v>
      </c>
      <c r="S24" s="166" t="s">
        <v>5383</v>
      </c>
      <c r="T24" s="166" t="s">
        <v>5384</v>
      </c>
      <c r="U24" s="166" t="s">
        <v>5385</v>
      </c>
      <c r="V24" s="1680" t="s">
        <v>5386</v>
      </c>
      <c r="W24" s="1680" t="s">
        <v>5387</v>
      </c>
      <c r="X24" s="1680" t="s">
        <v>5388</v>
      </c>
      <c r="Y24" s="1914" t="s">
        <v>5389</v>
      </c>
      <c r="Z24" s="2382" t="s">
        <v>5390</v>
      </c>
      <c r="AA24" s="1809" t="s">
        <v>5391</v>
      </c>
      <c r="AB24" s="2380" t="s">
        <v>5392</v>
      </c>
      <c r="AC24" s="918" t="s">
        <v>5393</v>
      </c>
      <c r="AD24" s="918" t="s">
        <v>5394</v>
      </c>
      <c r="AE24" s="918" t="s">
        <v>5395</v>
      </c>
      <c r="AF24" s="918" t="s">
        <v>5396</v>
      </c>
      <c r="AG24" s="1197"/>
      <c r="AH24" s="1434"/>
      <c r="AI24" s="1434"/>
      <c r="AJ24" s="1434"/>
      <c r="AK24" s="1434"/>
      <c r="AL24" s="1434"/>
      <c r="AM24" s="1434"/>
      <c r="AN24" s="1434"/>
      <c r="AO24" s="1434"/>
      <c r="AP24" s="1191"/>
      <c r="AQ24" s="1191"/>
      <c r="AR24" s="1191"/>
      <c r="CB24" s="1445" t="str">
        <f t="shared" si="0"/>
        <v/>
      </c>
      <c r="CC24" s="1445" t="str">
        <f t="shared" si="1"/>
        <v/>
      </c>
      <c r="CD24" s="1445" t="str">
        <f t="shared" si="2"/>
        <v/>
      </c>
      <c r="CE24" s="1445" t="str">
        <f t="shared" si="3"/>
        <v/>
      </c>
      <c r="CF24" s="1445"/>
      <c r="CG24" s="1445"/>
      <c r="CH24" s="1446">
        <f t="shared" si="4"/>
        <v>0</v>
      </c>
      <c r="CI24" s="1443"/>
      <c r="CJ24" s="1443"/>
      <c r="CK24" s="1443"/>
      <c r="CL24" s="1443"/>
      <c r="CM24" s="1443"/>
      <c r="CN24" s="1443"/>
      <c r="CO24" s="1443"/>
      <c r="CP24" s="1443"/>
    </row>
    <row r="25" spans="1:94" ht="22.5" customHeight="1" x14ac:dyDescent="0.3">
      <c r="A25" s="7258">
        <v>27500110</v>
      </c>
      <c r="B25" s="10823"/>
      <c r="C25" s="9604" t="s">
        <v>493</v>
      </c>
      <c r="D25" s="9605"/>
      <c r="E25" s="109" t="s">
        <v>5369</v>
      </c>
      <c r="F25" s="131" t="s">
        <v>5370</v>
      </c>
      <c r="G25" s="114" t="s">
        <v>5371</v>
      </c>
      <c r="H25" s="114" t="s">
        <v>5372</v>
      </c>
      <c r="I25" s="114" t="s">
        <v>5373</v>
      </c>
      <c r="J25" s="132" t="s">
        <v>5374</v>
      </c>
      <c r="K25" s="136" t="s">
        <v>5375</v>
      </c>
      <c r="L25" s="111" t="s">
        <v>5376</v>
      </c>
      <c r="M25" s="111" t="s">
        <v>5377</v>
      </c>
      <c r="N25" s="111" t="s">
        <v>5378</v>
      </c>
      <c r="O25" s="111" t="s">
        <v>5379</v>
      </c>
      <c r="P25" s="111" t="s">
        <v>5380</v>
      </c>
      <c r="Q25" s="111" t="s">
        <v>5381</v>
      </c>
      <c r="R25" s="111" t="s">
        <v>5382</v>
      </c>
      <c r="S25" s="111" t="s">
        <v>5383</v>
      </c>
      <c r="T25" s="111" t="s">
        <v>5384</v>
      </c>
      <c r="U25" s="338" t="s">
        <v>5385</v>
      </c>
      <c r="V25" s="338" t="s">
        <v>5386</v>
      </c>
      <c r="W25" s="338" t="s">
        <v>5387</v>
      </c>
      <c r="X25" s="338" t="s">
        <v>5388</v>
      </c>
      <c r="Y25" s="338" t="s">
        <v>5389</v>
      </c>
      <c r="Z25" s="1690" t="s">
        <v>5390</v>
      </c>
      <c r="AA25" s="1662" t="s">
        <v>5391</v>
      </c>
      <c r="AB25" s="1638" t="s">
        <v>5392</v>
      </c>
      <c r="AC25" s="1843" t="s">
        <v>5393</v>
      </c>
      <c r="AD25" s="1843" t="s">
        <v>5394</v>
      </c>
      <c r="AE25" s="1843" t="s">
        <v>5395</v>
      </c>
      <c r="AF25" s="1843" t="s">
        <v>5396</v>
      </c>
      <c r="AG25" s="1197"/>
      <c r="AH25" s="1434"/>
      <c r="AI25" s="1434"/>
      <c r="AJ25" s="1434"/>
      <c r="AK25" s="1434"/>
      <c r="AL25" s="1434"/>
      <c r="AM25" s="1434"/>
      <c r="AN25" s="1434"/>
      <c r="AO25" s="1434"/>
      <c r="AP25" s="1191"/>
      <c r="AQ25" s="1191"/>
      <c r="AR25" s="1191"/>
      <c r="CB25" s="1445" t="str">
        <f t="shared" si="0"/>
        <v/>
      </c>
      <c r="CC25" s="1445" t="str">
        <f t="shared" si="1"/>
        <v/>
      </c>
      <c r="CD25" s="1445" t="str">
        <f t="shared" si="2"/>
        <v/>
      </c>
      <c r="CE25" s="1445" t="str">
        <f t="shared" si="3"/>
        <v/>
      </c>
      <c r="CF25" s="1445"/>
      <c r="CG25" s="1445"/>
      <c r="CH25" s="1446">
        <f t="shared" si="4"/>
        <v>0</v>
      </c>
      <c r="CI25" s="1443"/>
      <c r="CJ25" s="1443"/>
      <c r="CK25" s="1443"/>
      <c r="CL25" s="1443"/>
      <c r="CM25" s="1443"/>
      <c r="CN25" s="1443"/>
      <c r="CO25" s="1443"/>
      <c r="CP25" s="1443"/>
    </row>
    <row r="26" spans="1:94" ht="15" customHeight="1" x14ac:dyDescent="0.3">
      <c r="A26" s="7258">
        <v>27500310</v>
      </c>
      <c r="B26" s="10823"/>
      <c r="C26" s="10798" t="s">
        <v>2220</v>
      </c>
      <c r="D26" s="10799"/>
      <c r="E26" s="1691" t="s">
        <v>5369</v>
      </c>
      <c r="F26" s="2047" t="s">
        <v>5370</v>
      </c>
      <c r="G26" s="2036" t="s">
        <v>5371</v>
      </c>
      <c r="H26" s="2036" t="s">
        <v>5372</v>
      </c>
      <c r="I26" s="2036" t="s">
        <v>5373</v>
      </c>
      <c r="J26" s="2048" t="s">
        <v>5374</v>
      </c>
      <c r="K26" s="2020" t="s">
        <v>5375</v>
      </c>
      <c r="L26" s="1297" t="s">
        <v>5376</v>
      </c>
      <c r="M26" s="1297" t="s">
        <v>5377</v>
      </c>
      <c r="N26" s="1297" t="s">
        <v>5378</v>
      </c>
      <c r="O26" s="1297" t="s">
        <v>5379</v>
      </c>
      <c r="P26" s="1297" t="s">
        <v>5380</v>
      </c>
      <c r="Q26" s="1297" t="s">
        <v>5381</v>
      </c>
      <c r="R26" s="1297" t="s">
        <v>5382</v>
      </c>
      <c r="S26" s="1297" t="s">
        <v>5383</v>
      </c>
      <c r="T26" s="1297" t="s">
        <v>5384</v>
      </c>
      <c r="U26" s="338" t="s">
        <v>5385</v>
      </c>
      <c r="V26" s="338" t="s">
        <v>5386</v>
      </c>
      <c r="W26" s="338" t="s">
        <v>5387</v>
      </c>
      <c r="X26" s="338" t="s">
        <v>5388</v>
      </c>
      <c r="Y26" s="338" t="s">
        <v>5389</v>
      </c>
      <c r="Z26" s="2381" t="s">
        <v>5390</v>
      </c>
      <c r="AA26" s="2373" t="s">
        <v>5391</v>
      </c>
      <c r="AB26" s="1628" t="s">
        <v>5392</v>
      </c>
      <c r="AC26" s="1843" t="s">
        <v>5393</v>
      </c>
      <c r="AD26" s="1843" t="s">
        <v>5394</v>
      </c>
      <c r="AE26" s="1843" t="s">
        <v>5395</v>
      </c>
      <c r="AF26" s="1843" t="s">
        <v>5396</v>
      </c>
      <c r="AG26" s="1197"/>
      <c r="AH26" s="1434"/>
      <c r="AI26" s="1434"/>
      <c r="AJ26" s="1434"/>
      <c r="AK26" s="1434"/>
      <c r="AL26" s="1434"/>
      <c r="AM26" s="1434"/>
      <c r="AN26" s="1434"/>
      <c r="AO26" s="1434"/>
      <c r="AP26" s="1191"/>
      <c r="AQ26" s="1191"/>
      <c r="AR26" s="1191"/>
      <c r="CB26" s="1445" t="str">
        <f t="shared" si="0"/>
        <v/>
      </c>
      <c r="CC26" s="1445" t="str">
        <f t="shared" si="1"/>
        <v/>
      </c>
      <c r="CD26" s="1445" t="str">
        <f t="shared" si="2"/>
        <v/>
      </c>
      <c r="CE26" s="1445" t="str">
        <f t="shared" si="3"/>
        <v/>
      </c>
      <c r="CF26" s="1445"/>
      <c r="CG26" s="1445"/>
      <c r="CH26" s="1446">
        <f t="shared" si="4"/>
        <v>0</v>
      </c>
      <c r="CI26" s="1443"/>
      <c r="CJ26" s="1443"/>
      <c r="CK26" s="1443"/>
      <c r="CL26" s="1443"/>
      <c r="CM26" s="1443"/>
      <c r="CN26" s="1443"/>
      <c r="CO26" s="1443"/>
      <c r="CP26" s="1443"/>
    </row>
    <row r="27" spans="1:94" x14ac:dyDescent="0.3">
      <c r="A27" s="7258">
        <v>27300918</v>
      </c>
      <c r="B27" s="10823"/>
      <c r="C27" s="10800" t="s">
        <v>494</v>
      </c>
      <c r="D27" s="10801"/>
      <c r="E27" s="92" t="s">
        <v>5369</v>
      </c>
      <c r="F27" s="1957" t="s">
        <v>5370</v>
      </c>
      <c r="G27" s="2046" t="s">
        <v>5371</v>
      </c>
      <c r="H27" s="2046" t="s">
        <v>5372</v>
      </c>
      <c r="I27" s="1950" t="s">
        <v>5373</v>
      </c>
      <c r="J27" s="2041" t="s">
        <v>5374</v>
      </c>
      <c r="K27" s="2025" t="s">
        <v>5375</v>
      </c>
      <c r="L27" s="1950" t="s">
        <v>5376</v>
      </c>
      <c r="M27" s="1950" t="s">
        <v>5377</v>
      </c>
      <c r="N27" s="1950" t="s">
        <v>5378</v>
      </c>
      <c r="O27" s="1950" t="s">
        <v>5379</v>
      </c>
      <c r="P27" s="1950" t="s">
        <v>5380</v>
      </c>
      <c r="Q27" s="1950" t="s">
        <v>5381</v>
      </c>
      <c r="R27" s="1950" t="s">
        <v>5382</v>
      </c>
      <c r="S27" s="1950" t="s">
        <v>5383</v>
      </c>
      <c r="T27" s="1950" t="s">
        <v>5384</v>
      </c>
      <c r="U27" s="1950" t="s">
        <v>5385</v>
      </c>
      <c r="V27" s="1950" t="s">
        <v>5386</v>
      </c>
      <c r="W27" s="1950" t="s">
        <v>5387</v>
      </c>
      <c r="X27" s="1950" t="s">
        <v>5388</v>
      </c>
      <c r="Y27" s="1950" t="s">
        <v>5389</v>
      </c>
      <c r="Z27" s="2051" t="s">
        <v>5390</v>
      </c>
      <c r="AA27" s="1950" t="s">
        <v>5391</v>
      </c>
      <c r="AB27" s="1958" t="s">
        <v>5392</v>
      </c>
      <c r="AC27" s="2392" t="s">
        <v>5393</v>
      </c>
      <c r="AD27" s="2041" t="s">
        <v>5394</v>
      </c>
      <c r="AE27" s="2041" t="s">
        <v>5395</v>
      </c>
      <c r="AF27" s="2041" t="s">
        <v>5396</v>
      </c>
      <c r="AG27" s="1197"/>
      <c r="AH27" s="1434"/>
      <c r="AI27" s="1434"/>
      <c r="AJ27" s="1434"/>
      <c r="AK27" s="1434"/>
      <c r="AL27" s="1434"/>
      <c r="AM27" s="1434"/>
      <c r="AN27" s="1434"/>
      <c r="AO27" s="1434"/>
      <c r="AP27" s="1191"/>
      <c r="AQ27" s="1191"/>
      <c r="AR27" s="1191"/>
      <c r="CB27" s="1445" t="str">
        <f t="shared" si="0"/>
        <v/>
      </c>
      <c r="CC27" s="1445" t="str">
        <f t="shared" si="1"/>
        <v/>
      </c>
      <c r="CD27" s="1445" t="str">
        <f t="shared" si="2"/>
        <v/>
      </c>
      <c r="CE27" s="1445" t="str">
        <f t="shared" si="3"/>
        <v/>
      </c>
      <c r="CF27" s="1445"/>
      <c r="CG27" s="1445"/>
      <c r="CH27" s="1446">
        <f t="shared" si="4"/>
        <v>0</v>
      </c>
      <c r="CI27" s="1443"/>
      <c r="CJ27" s="1443"/>
      <c r="CK27" s="1443"/>
      <c r="CL27" s="1443"/>
      <c r="CM27" s="1443"/>
      <c r="CN27" s="1443"/>
      <c r="CO27" s="1443"/>
      <c r="CP27" s="1443"/>
    </row>
    <row r="28" spans="1:94" x14ac:dyDescent="0.3">
      <c r="A28" s="7258">
        <v>27300902</v>
      </c>
      <c r="B28" s="10823"/>
      <c r="C28" s="8987" t="s">
        <v>495</v>
      </c>
      <c r="D28" s="339" t="s">
        <v>496</v>
      </c>
      <c r="E28" s="329" t="s">
        <v>5369</v>
      </c>
      <c r="F28" s="1312" t="s">
        <v>5370</v>
      </c>
      <c r="G28" s="1319" t="s">
        <v>5371</v>
      </c>
      <c r="H28" s="2035" t="s">
        <v>5372</v>
      </c>
      <c r="I28" s="2030" t="s">
        <v>5373</v>
      </c>
      <c r="J28" s="1807" t="s">
        <v>5374</v>
      </c>
      <c r="K28" s="1733" t="s">
        <v>5375</v>
      </c>
      <c r="L28" s="2035" t="s">
        <v>5376</v>
      </c>
      <c r="M28" s="2035" t="s">
        <v>5377</v>
      </c>
      <c r="N28" s="2035" t="s">
        <v>5378</v>
      </c>
      <c r="O28" s="2035" t="s">
        <v>5379</v>
      </c>
      <c r="P28" s="2035" t="s">
        <v>5380</v>
      </c>
      <c r="Q28" s="2035" t="s">
        <v>5381</v>
      </c>
      <c r="R28" s="2035" t="s">
        <v>5382</v>
      </c>
      <c r="S28" s="2035" t="s">
        <v>5383</v>
      </c>
      <c r="T28" s="2035" t="s">
        <v>5384</v>
      </c>
      <c r="U28" s="2035" t="s">
        <v>5385</v>
      </c>
      <c r="V28" s="2035" t="s">
        <v>5386</v>
      </c>
      <c r="W28" s="2035" t="s">
        <v>5387</v>
      </c>
      <c r="X28" s="2035" t="s">
        <v>5388</v>
      </c>
      <c r="Y28" s="1914" t="s">
        <v>5389</v>
      </c>
      <c r="Z28" s="2049" t="s">
        <v>5390</v>
      </c>
      <c r="AA28" s="2030" t="s">
        <v>5391</v>
      </c>
      <c r="AB28" s="2050" t="s">
        <v>5392</v>
      </c>
      <c r="AC28" s="2565" t="s">
        <v>5393</v>
      </c>
      <c r="AD28" s="2556" t="s">
        <v>5394</v>
      </c>
      <c r="AE28" s="2556" t="s">
        <v>5395</v>
      </c>
      <c r="AF28" s="2556" t="s">
        <v>5396</v>
      </c>
      <c r="AG28" s="1197"/>
      <c r="AH28" s="1434"/>
      <c r="AI28" s="1434"/>
      <c r="AJ28" s="1434"/>
      <c r="AK28" s="1434"/>
      <c r="AL28" s="1434"/>
      <c r="AM28" s="1434"/>
      <c r="AN28" s="1434"/>
      <c r="AO28" s="1434"/>
      <c r="AP28" s="1191"/>
      <c r="AQ28" s="1191"/>
      <c r="AR28" s="1191"/>
      <c r="CB28" s="1445" t="str">
        <f t="shared" si="0"/>
        <v/>
      </c>
      <c r="CC28" s="1445" t="str">
        <f t="shared" si="1"/>
        <v/>
      </c>
      <c r="CD28" s="1445" t="str">
        <f t="shared" si="2"/>
        <v/>
      </c>
      <c r="CE28" s="1445" t="str">
        <f t="shared" si="3"/>
        <v/>
      </c>
      <c r="CF28" s="1445"/>
      <c r="CG28" s="1445"/>
      <c r="CH28" s="1446">
        <f t="shared" si="4"/>
        <v>0</v>
      </c>
      <c r="CI28" s="1443"/>
      <c r="CJ28" s="1443"/>
      <c r="CK28" s="1443"/>
      <c r="CL28" s="1443"/>
      <c r="CM28" s="1443"/>
      <c r="CN28" s="1443"/>
      <c r="CO28" s="1443"/>
      <c r="CP28" s="1443"/>
    </row>
    <row r="29" spans="1:94" x14ac:dyDescent="0.3">
      <c r="A29" s="7258">
        <v>27300903</v>
      </c>
      <c r="B29" s="10823"/>
      <c r="C29" s="8555"/>
      <c r="D29" s="2166" t="s">
        <v>497</v>
      </c>
      <c r="E29" s="92" t="s">
        <v>5369</v>
      </c>
      <c r="F29" s="110" t="s">
        <v>5370</v>
      </c>
      <c r="G29" s="111" t="s">
        <v>5371</v>
      </c>
      <c r="H29" s="1319" t="s">
        <v>5372</v>
      </c>
      <c r="I29" s="340" t="s">
        <v>5373</v>
      </c>
      <c r="J29" s="96" t="s">
        <v>5374</v>
      </c>
      <c r="K29" s="120" t="s">
        <v>5375</v>
      </c>
      <c r="L29" s="114" t="s">
        <v>5376</v>
      </c>
      <c r="M29" s="114" t="s">
        <v>5377</v>
      </c>
      <c r="N29" s="114" t="s">
        <v>5378</v>
      </c>
      <c r="O29" s="114" t="s">
        <v>5379</v>
      </c>
      <c r="P29" s="114" t="s">
        <v>5380</v>
      </c>
      <c r="Q29" s="114" t="s">
        <v>5381</v>
      </c>
      <c r="R29" s="114" t="s">
        <v>5382</v>
      </c>
      <c r="S29" s="114" t="s">
        <v>5383</v>
      </c>
      <c r="T29" s="114" t="s">
        <v>5384</v>
      </c>
      <c r="U29" s="114" t="s">
        <v>5385</v>
      </c>
      <c r="V29" s="114" t="s">
        <v>5386</v>
      </c>
      <c r="W29" s="114" t="s">
        <v>5387</v>
      </c>
      <c r="X29" s="114" t="s">
        <v>5388</v>
      </c>
      <c r="Y29" s="341" t="s">
        <v>5389</v>
      </c>
      <c r="Z29" s="1710" t="s">
        <v>5390</v>
      </c>
      <c r="AA29" s="1693" t="s">
        <v>5391</v>
      </c>
      <c r="AB29" s="1702" t="s">
        <v>5392</v>
      </c>
      <c r="AC29" s="2512" t="s">
        <v>5393</v>
      </c>
      <c r="AD29" s="2499" t="s">
        <v>5394</v>
      </c>
      <c r="AE29" s="2499" t="s">
        <v>5395</v>
      </c>
      <c r="AF29" s="2499" t="s">
        <v>5396</v>
      </c>
      <c r="AG29" s="1197"/>
      <c r="AH29" s="1434"/>
      <c r="AI29" s="1434"/>
      <c r="AJ29" s="1434"/>
      <c r="AK29" s="1434"/>
      <c r="AL29" s="1434"/>
      <c r="AM29" s="1434"/>
      <c r="AN29" s="1434"/>
      <c r="AO29" s="1434"/>
      <c r="AP29" s="1191"/>
      <c r="AQ29" s="1191"/>
      <c r="AR29" s="1191"/>
      <c r="CB29" s="1445" t="str">
        <f t="shared" si="0"/>
        <v/>
      </c>
      <c r="CC29" s="1445" t="str">
        <f t="shared" si="1"/>
        <v/>
      </c>
      <c r="CD29" s="1445" t="str">
        <f t="shared" si="2"/>
        <v/>
      </c>
      <c r="CE29" s="1445" t="str">
        <f t="shared" si="3"/>
        <v/>
      </c>
      <c r="CF29" s="1445"/>
      <c r="CG29" s="1445"/>
      <c r="CH29" s="1446">
        <f t="shared" si="4"/>
        <v>0</v>
      </c>
      <c r="CI29" s="1443"/>
      <c r="CJ29" s="1443"/>
      <c r="CK29" s="1443"/>
      <c r="CL29" s="1443"/>
      <c r="CM29" s="1443"/>
      <c r="CN29" s="1443"/>
      <c r="CO29" s="1443"/>
      <c r="CP29" s="1443"/>
    </row>
    <row r="30" spans="1:94" x14ac:dyDescent="0.3">
      <c r="A30" s="7258">
        <v>27300904</v>
      </c>
      <c r="B30" s="10823"/>
      <c r="C30" s="8988"/>
      <c r="D30" s="2104" t="s">
        <v>70</v>
      </c>
      <c r="E30" s="81" t="s">
        <v>5369</v>
      </c>
      <c r="F30" s="125" t="s">
        <v>5370</v>
      </c>
      <c r="G30" s="180" t="s">
        <v>5371</v>
      </c>
      <c r="H30" s="180" t="s">
        <v>5372</v>
      </c>
      <c r="I30" s="263" t="s">
        <v>5373</v>
      </c>
      <c r="J30" s="85" t="s">
        <v>5374</v>
      </c>
      <c r="K30" s="263" t="s">
        <v>5375</v>
      </c>
      <c r="L30" s="84" t="s">
        <v>5376</v>
      </c>
      <c r="M30" s="84" t="s">
        <v>5377</v>
      </c>
      <c r="N30" s="84" t="s">
        <v>5378</v>
      </c>
      <c r="O30" s="84" t="s">
        <v>5379</v>
      </c>
      <c r="P30" s="84" t="s">
        <v>5380</v>
      </c>
      <c r="Q30" s="84" t="s">
        <v>5381</v>
      </c>
      <c r="R30" s="84" t="s">
        <v>5382</v>
      </c>
      <c r="S30" s="84" t="s">
        <v>5383</v>
      </c>
      <c r="T30" s="84" t="s">
        <v>5384</v>
      </c>
      <c r="U30" s="84" t="s">
        <v>5385</v>
      </c>
      <c r="V30" s="84" t="s">
        <v>5386</v>
      </c>
      <c r="W30" s="84" t="s">
        <v>5387</v>
      </c>
      <c r="X30" s="84" t="s">
        <v>5388</v>
      </c>
      <c r="Y30" s="117" t="s">
        <v>5389</v>
      </c>
      <c r="Z30" s="1711" t="s">
        <v>5390</v>
      </c>
      <c r="AA30" s="1686" t="s">
        <v>5391</v>
      </c>
      <c r="AB30" s="1703" t="s">
        <v>5392</v>
      </c>
      <c r="AC30" s="2443" t="s">
        <v>5393</v>
      </c>
      <c r="AD30" s="2443" t="s">
        <v>5394</v>
      </c>
      <c r="AE30" s="2443" t="s">
        <v>5395</v>
      </c>
      <c r="AF30" s="2443" t="s">
        <v>5396</v>
      </c>
      <c r="AG30" s="1197"/>
      <c r="AH30" s="1434"/>
      <c r="AI30" s="1434"/>
      <c r="AJ30" s="1434"/>
      <c r="AK30" s="1434"/>
      <c r="AL30" s="1434"/>
      <c r="AM30" s="1434"/>
      <c r="AN30" s="1434"/>
      <c r="AO30" s="1434"/>
      <c r="AP30" s="1191"/>
      <c r="AQ30" s="1191"/>
      <c r="AR30" s="1191"/>
      <c r="CB30" s="1445" t="str">
        <f t="shared" si="0"/>
        <v/>
      </c>
      <c r="CC30" s="1445" t="str">
        <f t="shared" si="1"/>
        <v/>
      </c>
      <c r="CD30" s="1445" t="str">
        <f t="shared" si="2"/>
        <v/>
      </c>
      <c r="CE30" s="1445" t="str">
        <f t="shared" si="3"/>
        <v/>
      </c>
      <c r="CF30" s="1445"/>
      <c r="CG30" s="1445"/>
      <c r="CH30" s="1446">
        <f t="shared" si="4"/>
        <v>0</v>
      </c>
      <c r="CI30" s="1443"/>
      <c r="CJ30" s="1443"/>
      <c r="CK30" s="1443"/>
      <c r="CL30" s="1443"/>
      <c r="CM30" s="1443"/>
      <c r="CN30" s="1443"/>
      <c r="CO30" s="1443"/>
      <c r="CP30" s="1443"/>
    </row>
    <row r="31" spans="1:94" x14ac:dyDescent="0.3">
      <c r="A31" s="7258">
        <v>27300700</v>
      </c>
      <c r="B31" s="10823"/>
      <c r="C31" s="8987" t="s">
        <v>498</v>
      </c>
      <c r="D31" s="315" t="s">
        <v>499</v>
      </c>
      <c r="E31" s="76" t="s">
        <v>5369</v>
      </c>
      <c r="F31" s="1863" t="s">
        <v>5370</v>
      </c>
      <c r="G31" s="1864" t="s">
        <v>5371</v>
      </c>
      <c r="H31" s="1864" t="s">
        <v>5372</v>
      </c>
      <c r="I31" s="1864" t="s">
        <v>5373</v>
      </c>
      <c r="J31" s="343" t="s">
        <v>5374</v>
      </c>
      <c r="K31" s="119" t="s">
        <v>5375</v>
      </c>
      <c r="L31" s="79" t="s">
        <v>5376</v>
      </c>
      <c r="M31" s="79" t="s">
        <v>5377</v>
      </c>
      <c r="N31" s="344" t="s">
        <v>5378</v>
      </c>
      <c r="O31" s="344" t="s">
        <v>5379</v>
      </c>
      <c r="P31" s="344" t="s">
        <v>5380</v>
      </c>
      <c r="Q31" s="344" t="s">
        <v>5381</v>
      </c>
      <c r="R31" s="344" t="s">
        <v>5382</v>
      </c>
      <c r="S31" s="344" t="s">
        <v>5383</v>
      </c>
      <c r="T31" s="344" t="s">
        <v>5384</v>
      </c>
      <c r="U31" s="344" t="s">
        <v>5385</v>
      </c>
      <c r="V31" s="344" t="s">
        <v>5386</v>
      </c>
      <c r="W31" s="344" t="s">
        <v>5387</v>
      </c>
      <c r="X31" s="344" t="s">
        <v>5388</v>
      </c>
      <c r="Y31" s="344" t="s">
        <v>5389</v>
      </c>
      <c r="Z31" s="1709" t="s">
        <v>5390</v>
      </c>
      <c r="AA31" s="1682" t="s">
        <v>5391</v>
      </c>
      <c r="AB31" s="1700" t="s">
        <v>5392</v>
      </c>
      <c r="AC31" s="1696" t="s">
        <v>5393</v>
      </c>
      <c r="AD31" s="1696" t="s">
        <v>5394</v>
      </c>
      <c r="AE31" s="1696" t="s">
        <v>5395</v>
      </c>
      <c r="AF31" s="1696" t="s">
        <v>5396</v>
      </c>
      <c r="AG31" s="1197"/>
      <c r="AH31" s="1434"/>
      <c r="AI31" s="1434"/>
      <c r="AJ31" s="1434"/>
      <c r="AK31" s="1434"/>
      <c r="AL31" s="1434"/>
      <c r="AM31" s="1434"/>
      <c r="AN31" s="1434"/>
      <c r="AO31" s="1434"/>
      <c r="AP31" s="1191"/>
      <c r="AQ31" s="1191"/>
      <c r="AR31" s="1191"/>
      <c r="CB31" s="1445" t="str">
        <f t="shared" si="0"/>
        <v/>
      </c>
      <c r="CC31" s="1445" t="str">
        <f t="shared" si="1"/>
        <v/>
      </c>
      <c r="CD31" s="1445" t="str">
        <f t="shared" si="2"/>
        <v/>
      </c>
      <c r="CE31" s="1445" t="str">
        <f t="shared" si="3"/>
        <v/>
      </c>
      <c r="CF31" s="1445"/>
      <c r="CG31" s="1445"/>
      <c r="CH31" s="1446">
        <f t="shared" si="4"/>
        <v>0</v>
      </c>
      <c r="CI31" s="1443"/>
      <c r="CJ31" s="1443"/>
      <c r="CK31" s="1443"/>
      <c r="CL31" s="1443"/>
      <c r="CM31" s="1443"/>
      <c r="CN31" s="1443"/>
      <c r="CO31" s="1443"/>
      <c r="CP31" s="1443"/>
    </row>
    <row r="32" spans="1:94" x14ac:dyDescent="0.3">
      <c r="A32" s="7258">
        <v>27400100</v>
      </c>
      <c r="B32" s="10823"/>
      <c r="C32" s="8555"/>
      <c r="D32" s="2798" t="s">
        <v>500</v>
      </c>
      <c r="E32" s="109" t="s">
        <v>5369</v>
      </c>
      <c r="F32" s="2680" t="s">
        <v>5370</v>
      </c>
      <c r="G32" s="2681" t="s">
        <v>5371</v>
      </c>
      <c r="H32" s="2681" t="s">
        <v>5372</v>
      </c>
      <c r="I32" s="2681" t="s">
        <v>5373</v>
      </c>
      <c r="J32" s="144" t="s">
        <v>5374</v>
      </c>
      <c r="K32" s="136" t="s">
        <v>5375</v>
      </c>
      <c r="L32" s="114" t="s">
        <v>5376</v>
      </c>
      <c r="M32" s="114" t="s">
        <v>5377</v>
      </c>
      <c r="N32" s="338" t="s">
        <v>5378</v>
      </c>
      <c r="O32" s="338" t="s">
        <v>5379</v>
      </c>
      <c r="P32" s="338" t="s">
        <v>5380</v>
      </c>
      <c r="Q32" s="338" t="s">
        <v>5381</v>
      </c>
      <c r="R32" s="338" t="s">
        <v>5382</v>
      </c>
      <c r="S32" s="338" t="s">
        <v>5383</v>
      </c>
      <c r="T32" s="338" t="s">
        <v>5384</v>
      </c>
      <c r="U32" s="338" t="s">
        <v>5385</v>
      </c>
      <c r="V32" s="338" t="s">
        <v>5386</v>
      </c>
      <c r="W32" s="338" t="s">
        <v>5387</v>
      </c>
      <c r="X32" s="338" t="s">
        <v>5388</v>
      </c>
      <c r="Y32" s="338" t="s">
        <v>5389</v>
      </c>
      <c r="Z32" s="1710" t="s">
        <v>5390</v>
      </c>
      <c r="AA32" s="1693" t="s">
        <v>5391</v>
      </c>
      <c r="AB32" s="1702" t="s">
        <v>5392</v>
      </c>
      <c r="AC32" s="1644" t="s">
        <v>5393</v>
      </c>
      <c r="AD32" s="1644" t="s">
        <v>5394</v>
      </c>
      <c r="AE32" s="1644" t="s">
        <v>5395</v>
      </c>
      <c r="AF32" s="1644" t="s">
        <v>5396</v>
      </c>
      <c r="AG32" s="1197"/>
      <c r="AH32" s="1434"/>
      <c r="AI32" s="1434"/>
      <c r="AJ32" s="1434"/>
      <c r="AK32" s="1434"/>
      <c r="AL32" s="1434"/>
      <c r="AM32" s="1434"/>
      <c r="AN32" s="1434"/>
      <c r="AO32" s="1434"/>
      <c r="AP32" s="1191"/>
      <c r="AQ32" s="1191"/>
      <c r="AR32" s="1191"/>
      <c r="CB32" s="1445" t="str">
        <f t="shared" si="0"/>
        <v/>
      </c>
      <c r="CC32" s="1445" t="str">
        <f t="shared" si="1"/>
        <v/>
      </c>
      <c r="CD32" s="1445" t="str">
        <f t="shared" si="2"/>
        <v/>
      </c>
      <c r="CE32" s="1445" t="str">
        <f t="shared" si="3"/>
        <v/>
      </c>
      <c r="CF32" s="1445"/>
      <c r="CG32" s="1445"/>
      <c r="CH32" s="1446">
        <f t="shared" si="4"/>
        <v>0</v>
      </c>
      <c r="CI32" s="1443"/>
      <c r="CJ32" s="1443"/>
      <c r="CK32" s="1443"/>
      <c r="CL32" s="1443"/>
      <c r="CM32" s="1443"/>
      <c r="CN32" s="1443"/>
      <c r="CO32" s="1443"/>
      <c r="CP32" s="1443"/>
    </row>
    <row r="33" spans="1:94" x14ac:dyDescent="0.3">
      <c r="A33" s="7258">
        <v>27400150</v>
      </c>
      <c r="B33" s="10823"/>
      <c r="C33" s="8988"/>
      <c r="D33" s="2104" t="s">
        <v>70</v>
      </c>
      <c r="E33" s="81" t="s">
        <v>5369</v>
      </c>
      <c r="F33" s="1656" t="s">
        <v>5370</v>
      </c>
      <c r="G33" s="758" t="s">
        <v>5371</v>
      </c>
      <c r="H33" s="758" t="s">
        <v>5372</v>
      </c>
      <c r="I33" s="758" t="s">
        <v>5373</v>
      </c>
      <c r="J33" s="127" t="s">
        <v>5374</v>
      </c>
      <c r="K33" s="263" t="s">
        <v>5375</v>
      </c>
      <c r="L33" s="84" t="s">
        <v>5376</v>
      </c>
      <c r="M33" s="84" t="s">
        <v>5377</v>
      </c>
      <c r="N33" s="117" t="s">
        <v>5378</v>
      </c>
      <c r="O33" s="117" t="s">
        <v>5379</v>
      </c>
      <c r="P33" s="117" t="s">
        <v>5380</v>
      </c>
      <c r="Q33" s="117" t="s">
        <v>5381</v>
      </c>
      <c r="R33" s="117" t="s">
        <v>5382</v>
      </c>
      <c r="S33" s="117" t="s">
        <v>5383</v>
      </c>
      <c r="T33" s="117" t="s">
        <v>5384</v>
      </c>
      <c r="U33" s="117" t="s">
        <v>5385</v>
      </c>
      <c r="V33" s="117" t="s">
        <v>5386</v>
      </c>
      <c r="W33" s="117" t="s">
        <v>5387</v>
      </c>
      <c r="X33" s="117" t="s">
        <v>5388</v>
      </c>
      <c r="Y33" s="117" t="s">
        <v>5389</v>
      </c>
      <c r="Z33" s="1711" t="s">
        <v>5390</v>
      </c>
      <c r="AA33" s="1686" t="s">
        <v>5391</v>
      </c>
      <c r="AB33" s="1703" t="s">
        <v>5392</v>
      </c>
      <c r="AC33" s="1636" t="s">
        <v>5393</v>
      </c>
      <c r="AD33" s="1636" t="s">
        <v>5394</v>
      </c>
      <c r="AE33" s="1636" t="s">
        <v>5395</v>
      </c>
      <c r="AF33" s="1636" t="s">
        <v>5396</v>
      </c>
      <c r="AG33" s="1197"/>
      <c r="AH33" s="1434"/>
      <c r="AI33" s="1434"/>
      <c r="AJ33" s="1434"/>
      <c r="AK33" s="1434"/>
      <c r="AL33" s="1434"/>
      <c r="AM33" s="1434"/>
      <c r="AN33" s="1434"/>
      <c r="AO33" s="1434"/>
      <c r="AP33" s="1191"/>
      <c r="AQ33" s="1191"/>
      <c r="AR33" s="1191"/>
      <c r="CB33" s="1445" t="str">
        <f t="shared" si="0"/>
        <v/>
      </c>
      <c r="CC33" s="1445" t="str">
        <f t="shared" si="1"/>
        <v/>
      </c>
      <c r="CD33" s="1445" t="str">
        <f t="shared" si="2"/>
        <v/>
      </c>
      <c r="CE33" s="1445" t="str">
        <f t="shared" si="3"/>
        <v/>
      </c>
      <c r="CF33" s="1445"/>
      <c r="CG33" s="1445"/>
      <c r="CH33" s="1446">
        <f t="shared" si="4"/>
        <v>0</v>
      </c>
      <c r="CI33" s="1443"/>
      <c r="CJ33" s="1443"/>
      <c r="CK33" s="1443"/>
      <c r="CL33" s="1443"/>
      <c r="CM33" s="1443"/>
      <c r="CN33" s="1443"/>
      <c r="CO33" s="1443"/>
      <c r="CP33" s="1443"/>
    </row>
    <row r="34" spans="1:94" x14ac:dyDescent="0.3">
      <c r="A34" s="7258">
        <v>27290700</v>
      </c>
      <c r="B34" s="10823"/>
      <c r="C34" s="10816" t="s">
        <v>501</v>
      </c>
      <c r="D34" s="10817"/>
      <c r="E34" s="1915" t="s">
        <v>5369</v>
      </c>
      <c r="F34" s="1916" t="s">
        <v>5370</v>
      </c>
      <c r="G34" s="1917" t="s">
        <v>5371</v>
      </c>
      <c r="H34" s="1917" t="s">
        <v>5372</v>
      </c>
      <c r="I34" s="1917" t="s">
        <v>5373</v>
      </c>
      <c r="J34" s="1918" t="s">
        <v>5374</v>
      </c>
      <c r="K34" s="1919" t="s">
        <v>5375</v>
      </c>
      <c r="L34" s="1917" t="s">
        <v>5376</v>
      </c>
      <c r="M34" s="1917" t="s">
        <v>5377</v>
      </c>
      <c r="N34" s="1920" t="s">
        <v>5378</v>
      </c>
      <c r="O34" s="1920" t="s">
        <v>5379</v>
      </c>
      <c r="P34" s="1920" t="s">
        <v>5380</v>
      </c>
      <c r="Q34" s="1920" t="s">
        <v>5381</v>
      </c>
      <c r="R34" s="1920" t="s">
        <v>5382</v>
      </c>
      <c r="S34" s="1920" t="s">
        <v>5383</v>
      </c>
      <c r="T34" s="1920" t="s">
        <v>5384</v>
      </c>
      <c r="U34" s="1920" t="s">
        <v>5385</v>
      </c>
      <c r="V34" s="1920" t="s">
        <v>5386</v>
      </c>
      <c r="W34" s="1920" t="s">
        <v>5387</v>
      </c>
      <c r="X34" s="1920" t="s">
        <v>5388</v>
      </c>
      <c r="Y34" s="1920" t="s">
        <v>5389</v>
      </c>
      <c r="Z34" s="1921" t="s">
        <v>5390</v>
      </c>
      <c r="AA34" s="1917" t="s">
        <v>5391</v>
      </c>
      <c r="AB34" s="1875" t="s">
        <v>5392</v>
      </c>
      <c r="AC34" s="1918" t="s">
        <v>5393</v>
      </c>
      <c r="AD34" s="1918" t="s">
        <v>5394</v>
      </c>
      <c r="AE34" s="1918" t="s">
        <v>5395</v>
      </c>
      <c r="AF34" s="1918" t="s">
        <v>5396</v>
      </c>
      <c r="AG34" s="1197"/>
      <c r="AH34" s="1434"/>
      <c r="AI34" s="1434"/>
      <c r="AJ34" s="1434"/>
      <c r="AK34" s="1434"/>
      <c r="AL34" s="1434"/>
      <c r="AM34" s="1434"/>
      <c r="AN34" s="1434"/>
      <c r="AO34" s="1434"/>
      <c r="AP34" s="1191"/>
      <c r="AQ34" s="1191"/>
      <c r="AR34" s="1191"/>
      <c r="CB34" s="1445" t="str">
        <f t="shared" si="0"/>
        <v/>
      </c>
      <c r="CC34" s="1445" t="str">
        <f t="shared" si="1"/>
        <v/>
      </c>
      <c r="CD34" s="1445" t="str">
        <f t="shared" si="2"/>
        <v/>
      </c>
      <c r="CE34" s="1445" t="str">
        <f t="shared" si="3"/>
        <v/>
      </c>
      <c r="CF34" s="1445"/>
      <c r="CG34" s="1445"/>
      <c r="CH34" s="1446">
        <f t="shared" si="4"/>
        <v>0</v>
      </c>
      <c r="CI34" s="1443"/>
      <c r="CJ34" s="1443"/>
      <c r="CK34" s="1443"/>
      <c r="CL34" s="1443"/>
      <c r="CM34" s="1443"/>
      <c r="CN34" s="1443"/>
      <c r="CO34" s="1443"/>
      <c r="CP34" s="1443"/>
    </row>
    <row r="35" spans="1:94" x14ac:dyDescent="0.3">
      <c r="A35" s="7258">
        <v>27300919</v>
      </c>
      <c r="B35" s="10823"/>
      <c r="C35" s="8944" t="s">
        <v>502</v>
      </c>
      <c r="D35" s="1808" t="s">
        <v>503</v>
      </c>
      <c r="E35" s="1572" t="s">
        <v>5369</v>
      </c>
      <c r="F35" s="1312" t="s">
        <v>5370</v>
      </c>
      <c r="G35" s="1319" t="s">
        <v>5371</v>
      </c>
      <c r="H35" s="1319" t="s">
        <v>5372</v>
      </c>
      <c r="I35" s="1319" t="s">
        <v>5373</v>
      </c>
      <c r="J35" s="918" t="s">
        <v>5374</v>
      </c>
      <c r="K35" s="1585" t="s">
        <v>5375</v>
      </c>
      <c r="L35" s="1319" t="s">
        <v>5376</v>
      </c>
      <c r="M35" s="1319" t="s">
        <v>5377</v>
      </c>
      <c r="N35" s="166" t="s">
        <v>5378</v>
      </c>
      <c r="O35" s="166" t="s">
        <v>5379</v>
      </c>
      <c r="P35" s="166" t="s">
        <v>5380</v>
      </c>
      <c r="Q35" s="166" t="s">
        <v>5381</v>
      </c>
      <c r="R35" s="166" t="s">
        <v>5382</v>
      </c>
      <c r="S35" s="166" t="s">
        <v>5383</v>
      </c>
      <c r="T35" s="166" t="s">
        <v>5384</v>
      </c>
      <c r="U35" s="166" t="s">
        <v>5385</v>
      </c>
      <c r="V35" s="166" t="s">
        <v>5386</v>
      </c>
      <c r="W35" s="166" t="s">
        <v>5387</v>
      </c>
      <c r="X35" s="166" t="s">
        <v>5388</v>
      </c>
      <c r="Y35" s="166" t="s">
        <v>5389</v>
      </c>
      <c r="Z35" s="1610" t="s">
        <v>5390</v>
      </c>
      <c r="AA35" s="1319" t="s">
        <v>5391</v>
      </c>
      <c r="AB35" s="1318" t="s">
        <v>5392</v>
      </c>
      <c r="AC35" s="918" t="s">
        <v>5393</v>
      </c>
      <c r="AD35" s="918" t="s">
        <v>5394</v>
      </c>
      <c r="AE35" s="918" t="s">
        <v>5395</v>
      </c>
      <c r="AF35" s="918" t="s">
        <v>5396</v>
      </c>
      <c r="AG35" s="1197"/>
      <c r="AH35" s="1434"/>
      <c r="AI35" s="1434"/>
      <c r="AJ35" s="1434"/>
      <c r="AK35" s="1434"/>
      <c r="AL35" s="1434"/>
      <c r="AM35" s="1434"/>
      <c r="AN35" s="1434"/>
      <c r="AO35" s="1434"/>
      <c r="AP35" s="1191"/>
      <c r="AQ35" s="1191"/>
      <c r="AR35" s="1191"/>
      <c r="CB35" s="1445" t="str">
        <f t="shared" si="0"/>
        <v/>
      </c>
      <c r="CC35" s="1445" t="str">
        <f t="shared" si="1"/>
        <v/>
      </c>
      <c r="CD35" s="1445" t="str">
        <f t="shared" si="2"/>
        <v/>
      </c>
      <c r="CE35" s="1445" t="str">
        <f t="shared" si="3"/>
        <v/>
      </c>
      <c r="CF35" s="1445"/>
      <c r="CG35" s="1445"/>
      <c r="CH35" s="1446">
        <f t="shared" si="4"/>
        <v>0</v>
      </c>
      <c r="CI35" s="1443"/>
      <c r="CJ35" s="1443"/>
      <c r="CK35" s="1443"/>
      <c r="CL35" s="1443"/>
      <c r="CM35" s="1443"/>
      <c r="CN35" s="1443"/>
      <c r="CO35" s="1443"/>
      <c r="CP35" s="1443"/>
    </row>
    <row r="36" spans="1:94" x14ac:dyDescent="0.3">
      <c r="A36" s="7258">
        <v>27300920</v>
      </c>
      <c r="B36" s="10823"/>
      <c r="C36" s="10814"/>
      <c r="D36" s="345" t="s">
        <v>504</v>
      </c>
      <c r="E36" s="109" t="s">
        <v>5369</v>
      </c>
      <c r="F36" s="110" t="s">
        <v>5370</v>
      </c>
      <c r="G36" s="111" t="s">
        <v>5371</v>
      </c>
      <c r="H36" s="111" t="s">
        <v>5372</v>
      </c>
      <c r="I36" s="111" t="s">
        <v>5373</v>
      </c>
      <c r="J36" s="144" t="s">
        <v>5374</v>
      </c>
      <c r="K36" s="136" t="s">
        <v>5375</v>
      </c>
      <c r="L36" s="111" t="s">
        <v>5376</v>
      </c>
      <c r="M36" s="111" t="s">
        <v>5377</v>
      </c>
      <c r="N36" s="168" t="s">
        <v>5378</v>
      </c>
      <c r="O36" s="168" t="s">
        <v>5379</v>
      </c>
      <c r="P36" s="168" t="s">
        <v>5380</v>
      </c>
      <c r="Q36" s="168" t="s">
        <v>5381</v>
      </c>
      <c r="R36" s="168" t="s">
        <v>5382</v>
      </c>
      <c r="S36" s="168" t="s">
        <v>5383</v>
      </c>
      <c r="T36" s="168" t="s">
        <v>5384</v>
      </c>
      <c r="U36" s="168" t="s">
        <v>5385</v>
      </c>
      <c r="V36" s="168" t="s">
        <v>5386</v>
      </c>
      <c r="W36" s="168" t="s">
        <v>5387</v>
      </c>
      <c r="X36" s="168" t="s">
        <v>5388</v>
      </c>
      <c r="Y36" s="168" t="s">
        <v>5389</v>
      </c>
      <c r="Z36" s="1690" t="s">
        <v>5390</v>
      </c>
      <c r="AA36" s="1662" t="s">
        <v>5391</v>
      </c>
      <c r="AB36" s="1638" t="s">
        <v>5392</v>
      </c>
      <c r="AC36" s="1644" t="s">
        <v>5393</v>
      </c>
      <c r="AD36" s="1644" t="s">
        <v>5394</v>
      </c>
      <c r="AE36" s="1644" t="s">
        <v>5395</v>
      </c>
      <c r="AF36" s="1644" t="s">
        <v>5396</v>
      </c>
      <c r="AG36" s="1197"/>
      <c r="AH36" s="1434"/>
      <c r="AI36" s="1434"/>
      <c r="AJ36" s="1434"/>
      <c r="AK36" s="1434"/>
      <c r="AL36" s="1434"/>
      <c r="AM36" s="1434"/>
      <c r="AN36" s="1434"/>
      <c r="AO36" s="1434"/>
      <c r="AP36" s="1191"/>
      <c r="AQ36" s="1191"/>
      <c r="AR36" s="1191"/>
      <c r="CB36" s="1445" t="str">
        <f t="shared" si="0"/>
        <v/>
      </c>
      <c r="CC36" s="1445" t="str">
        <f t="shared" si="1"/>
        <v/>
      </c>
      <c r="CD36" s="1445" t="str">
        <f t="shared" si="2"/>
        <v/>
      </c>
      <c r="CE36" s="1445" t="str">
        <f t="shared" si="3"/>
        <v/>
      </c>
      <c r="CF36" s="1445"/>
      <c r="CG36" s="1445"/>
      <c r="CH36" s="1446">
        <f t="shared" si="4"/>
        <v>0</v>
      </c>
      <c r="CI36" s="1443"/>
      <c r="CJ36" s="1443"/>
      <c r="CK36" s="1443"/>
      <c r="CL36" s="1443"/>
      <c r="CM36" s="1443"/>
      <c r="CN36" s="1443"/>
      <c r="CO36" s="1443"/>
      <c r="CP36" s="1443"/>
    </row>
    <row r="37" spans="1:94" x14ac:dyDescent="0.3">
      <c r="A37" s="7258">
        <v>27300921</v>
      </c>
      <c r="B37" s="10823"/>
      <c r="C37" s="10815" t="s">
        <v>624</v>
      </c>
      <c r="D37" s="10815"/>
      <c r="E37" s="109" t="s">
        <v>5369</v>
      </c>
      <c r="F37" s="110" t="s">
        <v>5370</v>
      </c>
      <c r="G37" s="111" t="s">
        <v>5371</v>
      </c>
      <c r="H37" s="111" t="s">
        <v>5372</v>
      </c>
      <c r="I37" s="111" t="s">
        <v>5373</v>
      </c>
      <c r="J37" s="144" t="s">
        <v>5374</v>
      </c>
      <c r="K37" s="136" t="s">
        <v>5375</v>
      </c>
      <c r="L37" s="111" t="s">
        <v>5376</v>
      </c>
      <c r="M37" s="111" t="s">
        <v>5377</v>
      </c>
      <c r="N37" s="168" t="s">
        <v>5378</v>
      </c>
      <c r="O37" s="168" t="s">
        <v>5379</v>
      </c>
      <c r="P37" s="168" t="s">
        <v>5380</v>
      </c>
      <c r="Q37" s="168" t="s">
        <v>5381</v>
      </c>
      <c r="R37" s="168" t="s">
        <v>5382</v>
      </c>
      <c r="S37" s="168" t="s">
        <v>5383</v>
      </c>
      <c r="T37" s="168" t="s">
        <v>5384</v>
      </c>
      <c r="U37" s="168" t="s">
        <v>5385</v>
      </c>
      <c r="V37" s="168" t="s">
        <v>5386</v>
      </c>
      <c r="W37" s="168" t="s">
        <v>5387</v>
      </c>
      <c r="X37" s="168" t="s">
        <v>5388</v>
      </c>
      <c r="Y37" s="168" t="s">
        <v>5389</v>
      </c>
      <c r="Z37" s="1690" t="s">
        <v>5390</v>
      </c>
      <c r="AA37" s="1662" t="s">
        <v>5391</v>
      </c>
      <c r="AB37" s="1638" t="s">
        <v>5392</v>
      </c>
      <c r="AC37" s="1644" t="s">
        <v>5393</v>
      </c>
      <c r="AD37" s="1644" t="s">
        <v>5394</v>
      </c>
      <c r="AE37" s="1644" t="s">
        <v>5395</v>
      </c>
      <c r="AF37" s="1644" t="s">
        <v>5396</v>
      </c>
      <c r="AG37" s="1197"/>
      <c r="AH37" s="1434"/>
      <c r="AI37" s="1434"/>
      <c r="AJ37" s="1434"/>
      <c r="AK37" s="1434"/>
      <c r="AL37" s="1434"/>
      <c r="AM37" s="1434"/>
      <c r="AN37" s="1434"/>
      <c r="AO37" s="1434"/>
      <c r="AP37" s="1191"/>
      <c r="AQ37" s="1191"/>
      <c r="AR37" s="1191"/>
      <c r="CB37" s="1445" t="str">
        <f t="shared" si="0"/>
        <v/>
      </c>
      <c r="CC37" s="1445" t="str">
        <f t="shared" si="1"/>
        <v/>
      </c>
      <c r="CD37" s="1445" t="str">
        <f t="shared" si="2"/>
        <v/>
      </c>
      <c r="CE37" s="1445" t="str">
        <f t="shared" si="3"/>
        <v/>
      </c>
      <c r="CF37" s="1445"/>
      <c r="CG37" s="1445"/>
      <c r="CH37" s="1446">
        <f t="shared" si="4"/>
        <v>0</v>
      </c>
      <c r="CI37" s="1443"/>
      <c r="CJ37" s="1443"/>
      <c r="CK37" s="1443"/>
      <c r="CL37" s="1443"/>
      <c r="CM37" s="1443"/>
      <c r="CN37" s="1443"/>
      <c r="CO37" s="1443"/>
      <c r="CP37" s="1443"/>
    </row>
    <row r="38" spans="1:94" x14ac:dyDescent="0.3">
      <c r="A38" s="7258">
        <v>27290301</v>
      </c>
      <c r="B38" s="10823"/>
      <c r="C38" s="9535" t="s">
        <v>505</v>
      </c>
      <c r="D38" s="9536"/>
      <c r="E38" s="109" t="s">
        <v>5369</v>
      </c>
      <c r="F38" s="110" t="s">
        <v>5370</v>
      </c>
      <c r="G38" s="111" t="s">
        <v>5371</v>
      </c>
      <c r="H38" s="111" t="s">
        <v>5372</v>
      </c>
      <c r="I38" s="111" t="s">
        <v>5373</v>
      </c>
      <c r="J38" s="144" t="s">
        <v>5374</v>
      </c>
      <c r="K38" s="136" t="s">
        <v>5375</v>
      </c>
      <c r="L38" s="111" t="s">
        <v>5376</v>
      </c>
      <c r="M38" s="111" t="s">
        <v>5377</v>
      </c>
      <c r="N38" s="168" t="s">
        <v>5378</v>
      </c>
      <c r="O38" s="168" t="s">
        <v>5379</v>
      </c>
      <c r="P38" s="168" t="s">
        <v>5380</v>
      </c>
      <c r="Q38" s="168" t="s">
        <v>5381</v>
      </c>
      <c r="R38" s="168" t="s">
        <v>5382</v>
      </c>
      <c r="S38" s="168" t="s">
        <v>5383</v>
      </c>
      <c r="T38" s="168" t="s">
        <v>5384</v>
      </c>
      <c r="U38" s="168" t="s">
        <v>5385</v>
      </c>
      <c r="V38" s="168" t="s">
        <v>5386</v>
      </c>
      <c r="W38" s="168" t="s">
        <v>5387</v>
      </c>
      <c r="X38" s="168" t="s">
        <v>5388</v>
      </c>
      <c r="Y38" s="168" t="s">
        <v>5389</v>
      </c>
      <c r="Z38" s="1690" t="s">
        <v>5390</v>
      </c>
      <c r="AA38" s="1662" t="s">
        <v>5391</v>
      </c>
      <c r="AB38" s="1638" t="s">
        <v>5392</v>
      </c>
      <c r="AC38" s="1644" t="s">
        <v>5393</v>
      </c>
      <c r="AD38" s="1644" t="s">
        <v>5394</v>
      </c>
      <c r="AE38" s="1644" t="s">
        <v>5395</v>
      </c>
      <c r="AF38" s="1644" t="s">
        <v>5396</v>
      </c>
      <c r="AG38" s="1197"/>
      <c r="AH38" s="1434"/>
      <c r="AI38" s="1434"/>
      <c r="AJ38" s="1434"/>
      <c r="AK38" s="1434"/>
      <c r="AL38" s="1434"/>
      <c r="AM38" s="1434"/>
      <c r="AN38" s="1434"/>
      <c r="AO38" s="1434"/>
      <c r="AP38" s="1191"/>
      <c r="AQ38" s="1191"/>
      <c r="AR38" s="1191"/>
      <c r="CB38" s="1445" t="str">
        <f t="shared" si="0"/>
        <v/>
      </c>
      <c r="CC38" s="1445" t="str">
        <f t="shared" si="1"/>
        <v/>
      </c>
      <c r="CD38" s="1445" t="str">
        <f t="shared" si="2"/>
        <v/>
      </c>
      <c r="CE38" s="1445" t="str">
        <f t="shared" si="3"/>
        <v/>
      </c>
      <c r="CF38" s="1445"/>
      <c r="CG38" s="1445"/>
      <c r="CH38" s="1446">
        <f t="shared" si="4"/>
        <v>0</v>
      </c>
      <c r="CI38" s="1443"/>
      <c r="CJ38" s="1443"/>
      <c r="CK38" s="1443"/>
      <c r="CL38" s="1443"/>
      <c r="CM38" s="1443"/>
      <c r="CN38" s="1443"/>
      <c r="CO38" s="1443"/>
      <c r="CP38" s="1443"/>
    </row>
    <row r="39" spans="1:94" x14ac:dyDescent="0.3">
      <c r="A39" s="7258">
        <v>27400010</v>
      </c>
      <c r="B39" s="10823"/>
      <c r="C39" s="9604" t="s">
        <v>506</v>
      </c>
      <c r="D39" s="9605"/>
      <c r="E39" s="176" t="s">
        <v>5369</v>
      </c>
      <c r="F39" s="131" t="s">
        <v>5370</v>
      </c>
      <c r="G39" s="114" t="s">
        <v>5371</v>
      </c>
      <c r="H39" s="114" t="s">
        <v>5372</v>
      </c>
      <c r="I39" s="114" t="s">
        <v>5373</v>
      </c>
      <c r="J39" s="132" t="s">
        <v>5374</v>
      </c>
      <c r="K39" s="136" t="s">
        <v>5375</v>
      </c>
      <c r="L39" s="111" t="s">
        <v>5376</v>
      </c>
      <c r="M39" s="111" t="s">
        <v>5377</v>
      </c>
      <c r="N39" s="168" t="s">
        <v>5378</v>
      </c>
      <c r="O39" s="168" t="s">
        <v>5379</v>
      </c>
      <c r="P39" s="168" t="s">
        <v>5380</v>
      </c>
      <c r="Q39" s="168" t="s">
        <v>5381</v>
      </c>
      <c r="R39" s="168" t="s">
        <v>5382</v>
      </c>
      <c r="S39" s="168" t="s">
        <v>5383</v>
      </c>
      <c r="T39" s="168" t="s">
        <v>5384</v>
      </c>
      <c r="U39" s="338" t="s">
        <v>5385</v>
      </c>
      <c r="V39" s="338" t="s">
        <v>5386</v>
      </c>
      <c r="W39" s="338" t="s">
        <v>5387</v>
      </c>
      <c r="X39" s="338" t="s">
        <v>5388</v>
      </c>
      <c r="Y39" s="338" t="s">
        <v>5389</v>
      </c>
      <c r="Z39" s="1690" t="s">
        <v>5390</v>
      </c>
      <c r="AA39" s="1662" t="s">
        <v>5391</v>
      </c>
      <c r="AB39" s="1638" t="s">
        <v>5392</v>
      </c>
      <c r="AC39" s="1644" t="s">
        <v>5393</v>
      </c>
      <c r="AD39" s="1644" t="s">
        <v>5394</v>
      </c>
      <c r="AE39" s="1644" t="s">
        <v>5395</v>
      </c>
      <c r="AF39" s="1644" t="s">
        <v>5396</v>
      </c>
      <c r="AG39" s="1197"/>
      <c r="AH39" s="1434"/>
      <c r="AI39" s="1434"/>
      <c r="AJ39" s="1434"/>
      <c r="AK39" s="1434"/>
      <c r="AL39" s="1434"/>
      <c r="AM39" s="1434"/>
      <c r="AN39" s="1434"/>
      <c r="AO39" s="1434"/>
      <c r="AP39" s="1191"/>
      <c r="AQ39" s="1191"/>
      <c r="AR39" s="1191"/>
      <c r="CB39" s="1445" t="str">
        <f t="shared" si="0"/>
        <v/>
      </c>
      <c r="CC39" s="1445" t="str">
        <f t="shared" si="1"/>
        <v/>
      </c>
      <c r="CD39" s="1445" t="str">
        <f t="shared" si="2"/>
        <v/>
      </c>
      <c r="CE39" s="1445" t="str">
        <f t="shared" si="3"/>
        <v/>
      </c>
      <c r="CF39" s="1445"/>
      <c r="CG39" s="1445"/>
      <c r="CH39" s="1446">
        <f t="shared" si="4"/>
        <v>0</v>
      </c>
      <c r="CI39" s="1443"/>
      <c r="CJ39" s="1443"/>
      <c r="CK39" s="1443"/>
      <c r="CL39" s="1443"/>
      <c r="CM39" s="1443"/>
      <c r="CN39" s="1443"/>
      <c r="CO39" s="1443"/>
      <c r="CP39" s="1443"/>
    </row>
    <row r="40" spans="1:94" x14ac:dyDescent="0.3">
      <c r="A40" s="7258">
        <v>27281000</v>
      </c>
      <c r="B40" s="10823"/>
      <c r="C40" s="10800" t="s">
        <v>507</v>
      </c>
      <c r="D40" s="10801"/>
      <c r="E40" s="92" t="s">
        <v>5369</v>
      </c>
      <c r="F40" s="137" t="s">
        <v>5370</v>
      </c>
      <c r="G40" s="115" t="s">
        <v>5371</v>
      </c>
      <c r="H40" s="115" t="s">
        <v>5372</v>
      </c>
      <c r="I40" s="115" t="s">
        <v>5373</v>
      </c>
      <c r="J40" s="164" t="s">
        <v>5374</v>
      </c>
      <c r="K40" s="113" t="s">
        <v>5375</v>
      </c>
      <c r="L40" s="115" t="s">
        <v>5376</v>
      </c>
      <c r="M40" s="115" t="s">
        <v>5377</v>
      </c>
      <c r="N40" s="116" t="s">
        <v>5378</v>
      </c>
      <c r="O40" s="116" t="s">
        <v>5379</v>
      </c>
      <c r="P40" s="116" t="s">
        <v>5380</v>
      </c>
      <c r="Q40" s="116" t="s">
        <v>5381</v>
      </c>
      <c r="R40" s="116" t="s">
        <v>5382</v>
      </c>
      <c r="S40" s="116" t="s">
        <v>5383</v>
      </c>
      <c r="T40" s="116" t="s">
        <v>5384</v>
      </c>
      <c r="U40" s="116" t="s">
        <v>5385</v>
      </c>
      <c r="V40" s="116" t="s">
        <v>5386</v>
      </c>
      <c r="W40" s="116" t="s">
        <v>5387</v>
      </c>
      <c r="X40" s="116" t="s">
        <v>5388</v>
      </c>
      <c r="Y40" s="116" t="s">
        <v>5389</v>
      </c>
      <c r="Z40" s="1624" t="s">
        <v>5390</v>
      </c>
      <c r="AA40" s="1297" t="s">
        <v>5391</v>
      </c>
      <c r="AB40" s="1628" t="s">
        <v>5392</v>
      </c>
      <c r="AC40" s="164" t="s">
        <v>5393</v>
      </c>
      <c r="AD40" s="164" t="s">
        <v>5394</v>
      </c>
      <c r="AE40" s="164" t="s">
        <v>5395</v>
      </c>
      <c r="AF40" s="164" t="s">
        <v>5396</v>
      </c>
      <c r="AG40" s="1197"/>
      <c r="AH40" s="1434"/>
      <c r="AI40" s="1434"/>
      <c r="AJ40" s="1434"/>
      <c r="AK40" s="1434"/>
      <c r="AL40" s="1434"/>
      <c r="AM40" s="1434"/>
      <c r="AN40" s="1434"/>
      <c r="AO40" s="1434"/>
      <c r="AP40" s="1191"/>
      <c r="AQ40" s="1191"/>
      <c r="AR40" s="1191"/>
      <c r="CB40" s="1445" t="str">
        <f t="shared" si="0"/>
        <v/>
      </c>
      <c r="CC40" s="1445" t="str">
        <f t="shared" si="1"/>
        <v/>
      </c>
      <c r="CD40" s="1445" t="str">
        <f t="shared" si="2"/>
        <v/>
      </c>
      <c r="CE40" s="1445" t="str">
        <f t="shared" si="3"/>
        <v/>
      </c>
      <c r="CF40" s="1445"/>
      <c r="CG40" s="1445"/>
      <c r="CH40" s="1446">
        <f t="shared" si="4"/>
        <v>0</v>
      </c>
      <c r="CI40" s="1443"/>
      <c r="CJ40" s="1443"/>
      <c r="CK40" s="1443"/>
      <c r="CL40" s="1443"/>
      <c r="CM40" s="1443"/>
      <c r="CN40" s="1443"/>
      <c r="CO40" s="1443"/>
      <c r="CP40" s="1443"/>
    </row>
    <row r="41" spans="1:94" ht="14.4" customHeight="1" x14ac:dyDescent="0.3">
      <c r="A41" s="7258">
        <v>27281100</v>
      </c>
      <c r="B41" s="10823"/>
      <c r="C41" s="10802" t="s">
        <v>508</v>
      </c>
      <c r="D41" s="346" t="s">
        <v>509</v>
      </c>
      <c r="E41" s="76" t="s">
        <v>5369</v>
      </c>
      <c r="F41" s="77" t="s">
        <v>5370</v>
      </c>
      <c r="G41" s="79" t="s">
        <v>5371</v>
      </c>
      <c r="H41" s="79" t="s">
        <v>5372</v>
      </c>
      <c r="I41" s="79" t="s">
        <v>5373</v>
      </c>
      <c r="J41" s="343" t="s">
        <v>5374</v>
      </c>
      <c r="K41" s="119" t="s">
        <v>5375</v>
      </c>
      <c r="L41" s="79" t="s">
        <v>5376</v>
      </c>
      <c r="M41" s="79" t="s">
        <v>5377</v>
      </c>
      <c r="N41" s="79" t="s">
        <v>5378</v>
      </c>
      <c r="O41" s="79" t="s">
        <v>5379</v>
      </c>
      <c r="P41" s="79" t="s">
        <v>5380</v>
      </c>
      <c r="Q41" s="79" t="s">
        <v>5381</v>
      </c>
      <c r="R41" s="79" t="s">
        <v>5382</v>
      </c>
      <c r="S41" s="79" t="s">
        <v>5383</v>
      </c>
      <c r="T41" s="79" t="s">
        <v>5384</v>
      </c>
      <c r="U41" s="79" t="s">
        <v>5385</v>
      </c>
      <c r="V41" s="174" t="s">
        <v>5386</v>
      </c>
      <c r="W41" s="174" t="s">
        <v>5387</v>
      </c>
      <c r="X41" s="174" t="s">
        <v>5388</v>
      </c>
      <c r="Y41" s="174" t="s">
        <v>5389</v>
      </c>
      <c r="Z41" s="1712" t="s">
        <v>5390</v>
      </c>
      <c r="AA41" s="1684" t="s">
        <v>5391</v>
      </c>
      <c r="AB41" s="1704" t="s">
        <v>5392</v>
      </c>
      <c r="AC41" s="1644" t="s">
        <v>5393</v>
      </c>
      <c r="AD41" s="1644" t="s">
        <v>5394</v>
      </c>
      <c r="AE41" s="1644" t="s">
        <v>5395</v>
      </c>
      <c r="AF41" s="1644" t="s">
        <v>5396</v>
      </c>
      <c r="AG41" s="1197"/>
      <c r="AH41" s="1434"/>
      <c r="AI41" s="1434"/>
      <c r="AJ41" s="1434"/>
      <c r="AK41" s="1434"/>
      <c r="AL41" s="1434"/>
      <c r="AM41" s="1434"/>
      <c r="AN41" s="1434"/>
      <c r="AO41" s="1434"/>
      <c r="AP41" s="1191"/>
      <c r="AQ41" s="1191"/>
      <c r="AR41" s="1191"/>
      <c r="CB41" s="1445" t="str">
        <f t="shared" si="0"/>
        <v/>
      </c>
      <c r="CC41" s="1445" t="str">
        <f t="shared" si="1"/>
        <v/>
      </c>
      <c r="CD41" s="1445" t="str">
        <f t="shared" si="2"/>
        <v/>
      </c>
      <c r="CE41" s="1445" t="str">
        <f t="shared" si="3"/>
        <v/>
      </c>
      <c r="CH41" s="1446">
        <f t="shared" si="4"/>
        <v>0</v>
      </c>
      <c r="CI41" s="1443"/>
      <c r="CJ41" s="1443"/>
      <c r="CK41" s="1443"/>
      <c r="CL41" s="1443"/>
      <c r="CM41" s="1443"/>
      <c r="CN41" s="1443"/>
      <c r="CO41" s="1443"/>
      <c r="CP41" s="1443"/>
    </row>
    <row r="42" spans="1:94" x14ac:dyDescent="0.3">
      <c r="A42" s="7258">
        <v>27281200</v>
      </c>
      <c r="B42" s="10823"/>
      <c r="C42" s="8705"/>
      <c r="D42" s="347" t="s">
        <v>510</v>
      </c>
      <c r="E42" s="109" t="s">
        <v>5369</v>
      </c>
      <c r="F42" s="131" t="s">
        <v>5370</v>
      </c>
      <c r="G42" s="114" t="s">
        <v>5371</v>
      </c>
      <c r="H42" s="114" t="s">
        <v>5372</v>
      </c>
      <c r="I42" s="114" t="s">
        <v>5373</v>
      </c>
      <c r="J42" s="132" t="s">
        <v>5374</v>
      </c>
      <c r="K42" s="120" t="s">
        <v>5375</v>
      </c>
      <c r="L42" s="114" t="s">
        <v>5376</v>
      </c>
      <c r="M42" s="114" t="s">
        <v>5377</v>
      </c>
      <c r="N42" s="114" t="s">
        <v>5378</v>
      </c>
      <c r="O42" s="114" t="s">
        <v>5379</v>
      </c>
      <c r="P42" s="114" t="s">
        <v>5380</v>
      </c>
      <c r="Q42" s="114" t="s">
        <v>5381</v>
      </c>
      <c r="R42" s="114" t="s">
        <v>5382</v>
      </c>
      <c r="S42" s="114" t="s">
        <v>5383</v>
      </c>
      <c r="T42" s="114" t="s">
        <v>5384</v>
      </c>
      <c r="U42" s="114" t="s">
        <v>5385</v>
      </c>
      <c r="V42" s="168" t="s">
        <v>5386</v>
      </c>
      <c r="W42" s="168" t="s">
        <v>5387</v>
      </c>
      <c r="X42" s="168" t="s">
        <v>5388</v>
      </c>
      <c r="Y42" s="168" t="s">
        <v>5389</v>
      </c>
      <c r="Z42" s="1713" t="s">
        <v>5390</v>
      </c>
      <c r="AA42" s="1685" t="s">
        <v>5391</v>
      </c>
      <c r="AB42" s="1705" t="s">
        <v>5392</v>
      </c>
      <c r="AC42" s="1644" t="s">
        <v>5393</v>
      </c>
      <c r="AD42" s="1644" t="s">
        <v>5394</v>
      </c>
      <c r="AE42" s="1644" t="s">
        <v>5395</v>
      </c>
      <c r="AF42" s="1644" t="s">
        <v>5396</v>
      </c>
      <c r="AG42" s="1197"/>
      <c r="AH42" s="1434"/>
      <c r="AI42" s="1434"/>
      <c r="AJ42" s="1434"/>
      <c r="AK42" s="1434"/>
      <c r="AL42" s="1434"/>
      <c r="AM42" s="1434"/>
      <c r="AN42" s="1434"/>
      <c r="AO42" s="1434"/>
      <c r="AP42" s="1191"/>
      <c r="AQ42" s="1191"/>
      <c r="AR42" s="1191"/>
      <c r="CB42" s="1445" t="str">
        <f t="shared" si="0"/>
        <v/>
      </c>
      <c r="CC42" s="1445" t="str">
        <f t="shared" si="1"/>
        <v/>
      </c>
      <c r="CD42" s="1445" t="str">
        <f t="shared" si="2"/>
        <v/>
      </c>
      <c r="CE42" s="1445" t="str">
        <f t="shared" si="3"/>
        <v/>
      </c>
      <c r="CH42" s="1446">
        <f t="shared" si="4"/>
        <v>0</v>
      </c>
      <c r="CI42" s="1443"/>
      <c r="CJ42" s="1443"/>
      <c r="CK42" s="1443"/>
      <c r="CL42" s="1443"/>
      <c r="CM42" s="1443"/>
      <c r="CN42" s="1443"/>
      <c r="CO42" s="1443"/>
      <c r="CP42" s="1443"/>
    </row>
    <row r="43" spans="1:94" x14ac:dyDescent="0.3">
      <c r="A43" s="7258">
        <v>27281300</v>
      </c>
      <c r="B43" s="10823"/>
      <c r="C43" s="8705"/>
      <c r="D43" s="2781" t="s">
        <v>511</v>
      </c>
      <c r="E43" s="2734" t="s">
        <v>5369</v>
      </c>
      <c r="F43" s="2408" t="s">
        <v>5370</v>
      </c>
      <c r="G43" s="2432" t="s">
        <v>5371</v>
      </c>
      <c r="H43" s="2432" t="s">
        <v>5372</v>
      </c>
      <c r="I43" s="2432" t="s">
        <v>5373</v>
      </c>
      <c r="J43" s="2782" t="s">
        <v>5374</v>
      </c>
      <c r="K43" s="2586" t="s">
        <v>5375</v>
      </c>
      <c r="L43" s="2432" t="s">
        <v>5376</v>
      </c>
      <c r="M43" s="2432" t="s">
        <v>5377</v>
      </c>
      <c r="N43" s="2432" t="s">
        <v>5378</v>
      </c>
      <c r="O43" s="2432" t="s">
        <v>5379</v>
      </c>
      <c r="P43" s="2432" t="s">
        <v>5380</v>
      </c>
      <c r="Q43" s="2432" t="s">
        <v>5381</v>
      </c>
      <c r="R43" s="2432" t="s">
        <v>5382</v>
      </c>
      <c r="S43" s="2432" t="s">
        <v>5383</v>
      </c>
      <c r="T43" s="2432" t="s">
        <v>5384</v>
      </c>
      <c r="U43" s="2432" t="s">
        <v>5385</v>
      </c>
      <c r="V43" s="2528" t="s">
        <v>5386</v>
      </c>
      <c r="W43" s="2528" t="s">
        <v>5387</v>
      </c>
      <c r="X43" s="2528" t="s">
        <v>5388</v>
      </c>
      <c r="Y43" s="2528" t="s">
        <v>5389</v>
      </c>
      <c r="Z43" s="2783" t="s">
        <v>5390</v>
      </c>
      <c r="AA43" s="2432" t="s">
        <v>5391</v>
      </c>
      <c r="AB43" s="2437" t="s">
        <v>5392</v>
      </c>
      <c r="AC43" s="2512" t="s">
        <v>5393</v>
      </c>
      <c r="AD43" s="2678" t="s">
        <v>5394</v>
      </c>
      <c r="AE43" s="2678" t="s">
        <v>5395</v>
      </c>
      <c r="AF43" s="2678" t="s">
        <v>5396</v>
      </c>
      <c r="AG43" s="1197"/>
      <c r="AH43" s="1434"/>
      <c r="AI43" s="1434"/>
      <c r="AJ43" s="1434"/>
      <c r="AK43" s="1434"/>
      <c r="AL43" s="1434"/>
      <c r="AM43" s="1434"/>
      <c r="AN43" s="1434"/>
      <c r="AO43" s="1434"/>
      <c r="AP43" s="1191"/>
      <c r="AQ43" s="1191"/>
      <c r="AR43" s="1191"/>
      <c r="CB43" s="1445" t="str">
        <f t="shared" si="0"/>
        <v/>
      </c>
      <c r="CC43" s="1445" t="str">
        <f t="shared" si="1"/>
        <v/>
      </c>
      <c r="CD43" s="1445" t="str">
        <f t="shared" si="2"/>
        <v/>
      </c>
      <c r="CE43" s="1445" t="str">
        <f t="shared" si="3"/>
        <v/>
      </c>
      <c r="CH43" s="1446">
        <f t="shared" si="4"/>
        <v>0</v>
      </c>
      <c r="CI43" s="1443"/>
      <c r="CJ43" s="1443"/>
      <c r="CK43" s="1443"/>
      <c r="CL43" s="1443"/>
      <c r="CM43" s="1443"/>
      <c r="CN43" s="1443"/>
      <c r="CO43" s="1443"/>
      <c r="CP43" s="1443"/>
    </row>
    <row r="44" spans="1:94" x14ac:dyDescent="0.3">
      <c r="A44" s="7294">
        <v>29101562</v>
      </c>
      <c r="B44" s="10824"/>
      <c r="C44" s="8705"/>
      <c r="D44" s="7673" t="s">
        <v>2705</v>
      </c>
      <c r="E44" s="2734" t="s">
        <v>5369</v>
      </c>
      <c r="F44" s="1671" t="s">
        <v>5370</v>
      </c>
      <c r="G44" s="2030" t="s">
        <v>5371</v>
      </c>
      <c r="H44" s="2030" t="s">
        <v>5372</v>
      </c>
      <c r="I44" s="2030" t="s">
        <v>5373</v>
      </c>
      <c r="J44" s="1672" t="s">
        <v>5374</v>
      </c>
      <c r="K44" s="2589" t="s">
        <v>5375</v>
      </c>
      <c r="L44" s="2030" t="s">
        <v>5376</v>
      </c>
      <c r="M44" s="2030" t="s">
        <v>5377</v>
      </c>
      <c r="N44" s="2779" t="s">
        <v>5378</v>
      </c>
      <c r="O44" s="2779" t="s">
        <v>5379</v>
      </c>
      <c r="P44" s="2779" t="s">
        <v>5380</v>
      </c>
      <c r="Q44" s="2779" t="s">
        <v>5381</v>
      </c>
      <c r="R44" s="2779" t="s">
        <v>5382</v>
      </c>
      <c r="S44" s="2779" t="s">
        <v>5383</v>
      </c>
      <c r="T44" s="2779" t="s">
        <v>5384</v>
      </c>
      <c r="U44" s="2779" t="s">
        <v>5385</v>
      </c>
      <c r="V44" s="2444" t="s">
        <v>5386</v>
      </c>
      <c r="W44" s="2444" t="s">
        <v>5387</v>
      </c>
      <c r="X44" s="2444" t="s">
        <v>5388</v>
      </c>
      <c r="Y44" s="2444" t="s">
        <v>5389</v>
      </c>
      <c r="Z44" s="2049" t="s">
        <v>5390</v>
      </c>
      <c r="AA44" s="2030" t="s">
        <v>5391</v>
      </c>
      <c r="AB44" s="2780" t="s">
        <v>5392</v>
      </c>
      <c r="AC44" s="1150" t="s">
        <v>5393</v>
      </c>
      <c r="AD44" s="1150" t="s">
        <v>5394</v>
      </c>
      <c r="AE44" s="1150" t="s">
        <v>5395</v>
      </c>
      <c r="AF44" s="1150" t="s">
        <v>5396</v>
      </c>
      <c r="AG44" s="1197"/>
      <c r="AH44" s="1434"/>
      <c r="AI44" s="1434"/>
      <c r="AJ44" s="1434"/>
      <c r="AK44" s="1434"/>
      <c r="AL44" s="1434"/>
      <c r="AM44" s="1434"/>
      <c r="AN44" s="1434"/>
      <c r="AO44" s="1434"/>
      <c r="AP44" s="1191"/>
      <c r="AQ44" s="1191"/>
      <c r="AR44" s="1191"/>
      <c r="CB44" s="1445" t="str">
        <f t="shared" si="0"/>
        <v/>
      </c>
      <c r="CC44" s="1445" t="str">
        <f t="shared" si="1"/>
        <v/>
      </c>
      <c r="CD44" s="1445" t="str">
        <f t="shared" si="2"/>
        <v/>
      </c>
      <c r="CE44" s="1445" t="str">
        <f t="shared" si="3"/>
        <v/>
      </c>
      <c r="CH44" s="1446">
        <f t="shared" si="4"/>
        <v>0</v>
      </c>
      <c r="CI44" s="1443"/>
      <c r="CJ44" s="1443"/>
      <c r="CK44" s="1443"/>
      <c r="CL44" s="1443"/>
      <c r="CM44" s="1443"/>
      <c r="CN44" s="1443"/>
      <c r="CO44" s="1443"/>
      <c r="CP44" s="1443"/>
    </row>
    <row r="45" spans="1:94" x14ac:dyDescent="0.3">
      <c r="A45" s="7294">
        <v>29101563</v>
      </c>
      <c r="B45" s="10824"/>
      <c r="C45" s="10803"/>
      <c r="D45" s="7673" t="s">
        <v>2706</v>
      </c>
      <c r="E45" s="2734" t="s">
        <v>5369</v>
      </c>
      <c r="F45" s="1671" t="s">
        <v>5370</v>
      </c>
      <c r="G45" s="2030" t="s">
        <v>5371</v>
      </c>
      <c r="H45" s="2030" t="s">
        <v>5372</v>
      </c>
      <c r="I45" s="2030" t="s">
        <v>5373</v>
      </c>
      <c r="J45" s="1672" t="s">
        <v>5374</v>
      </c>
      <c r="K45" s="2589" t="s">
        <v>5375</v>
      </c>
      <c r="L45" s="2030" t="s">
        <v>5376</v>
      </c>
      <c r="M45" s="2030" t="s">
        <v>5377</v>
      </c>
      <c r="N45" s="2779" t="s">
        <v>5378</v>
      </c>
      <c r="O45" s="2779" t="s">
        <v>5379</v>
      </c>
      <c r="P45" s="2779" t="s">
        <v>5380</v>
      </c>
      <c r="Q45" s="2779" t="s">
        <v>5381</v>
      </c>
      <c r="R45" s="2779" t="s">
        <v>5382</v>
      </c>
      <c r="S45" s="2779" t="s">
        <v>5383</v>
      </c>
      <c r="T45" s="2779" t="s">
        <v>5384</v>
      </c>
      <c r="U45" s="2779" t="s">
        <v>5385</v>
      </c>
      <c r="V45" s="2444" t="s">
        <v>5386</v>
      </c>
      <c r="W45" s="2444" t="s">
        <v>5387</v>
      </c>
      <c r="X45" s="2444" t="s">
        <v>5388</v>
      </c>
      <c r="Y45" s="2444" t="s">
        <v>5389</v>
      </c>
      <c r="Z45" s="2049" t="s">
        <v>5390</v>
      </c>
      <c r="AA45" s="2030" t="s">
        <v>5391</v>
      </c>
      <c r="AB45" s="2780" t="s">
        <v>5392</v>
      </c>
      <c r="AC45" s="1150" t="s">
        <v>5393</v>
      </c>
      <c r="AD45" s="1150" t="s">
        <v>5394</v>
      </c>
      <c r="AE45" s="1150" t="s">
        <v>5395</v>
      </c>
      <c r="AF45" s="1150" t="s">
        <v>5396</v>
      </c>
      <c r="AG45" s="1197"/>
      <c r="AH45" s="1434"/>
      <c r="AI45" s="1434"/>
      <c r="AJ45" s="1434"/>
      <c r="AK45" s="1434"/>
      <c r="AL45" s="1434"/>
      <c r="AM45" s="1434"/>
      <c r="AN45" s="1434"/>
      <c r="AO45" s="1434"/>
      <c r="AP45" s="1191"/>
      <c r="AQ45" s="1191"/>
      <c r="AR45" s="1191"/>
      <c r="CB45" s="1445" t="str">
        <f t="shared" si="0"/>
        <v/>
      </c>
      <c r="CC45" s="1445" t="str">
        <f t="shared" si="1"/>
        <v/>
      </c>
      <c r="CD45" s="1445" t="str">
        <f t="shared" si="2"/>
        <v/>
      </c>
      <c r="CE45" s="1445" t="str">
        <f t="shared" si="3"/>
        <v/>
      </c>
      <c r="CH45" s="1446">
        <f t="shared" si="4"/>
        <v>0</v>
      </c>
      <c r="CI45" s="1443"/>
      <c r="CJ45" s="1443"/>
      <c r="CK45" s="1443"/>
      <c r="CL45" s="1443"/>
      <c r="CM45" s="1443"/>
      <c r="CN45" s="1443"/>
      <c r="CO45" s="1443"/>
      <c r="CP45" s="1443"/>
    </row>
    <row r="46" spans="1:94" x14ac:dyDescent="0.3">
      <c r="A46" s="7258">
        <v>27300906</v>
      </c>
      <c r="B46" s="10823"/>
      <c r="C46" s="10804" t="s">
        <v>512</v>
      </c>
      <c r="D46" s="10805"/>
      <c r="E46" s="76" t="s">
        <v>5369</v>
      </c>
      <c r="F46" s="106" t="s">
        <v>5370</v>
      </c>
      <c r="G46" s="89" t="s">
        <v>5371</v>
      </c>
      <c r="H46" s="89" t="s">
        <v>5372</v>
      </c>
      <c r="I46" s="89" t="s">
        <v>5373</v>
      </c>
      <c r="J46" s="304" t="s">
        <v>5374</v>
      </c>
      <c r="K46" s="134" t="s">
        <v>5375</v>
      </c>
      <c r="L46" s="89" t="s">
        <v>5376</v>
      </c>
      <c r="M46" s="89" t="s">
        <v>5377</v>
      </c>
      <c r="N46" s="174" t="s">
        <v>5378</v>
      </c>
      <c r="O46" s="174" t="s">
        <v>5379</v>
      </c>
      <c r="P46" s="174" t="s">
        <v>5380</v>
      </c>
      <c r="Q46" s="174" t="s">
        <v>5381</v>
      </c>
      <c r="R46" s="174" t="s">
        <v>5382</v>
      </c>
      <c r="S46" s="174" t="s">
        <v>5383</v>
      </c>
      <c r="T46" s="174" t="s">
        <v>5384</v>
      </c>
      <c r="U46" s="174" t="s">
        <v>5385</v>
      </c>
      <c r="V46" s="174" t="s">
        <v>5386</v>
      </c>
      <c r="W46" s="174" t="s">
        <v>5387</v>
      </c>
      <c r="X46" s="174" t="s">
        <v>5388</v>
      </c>
      <c r="Y46" s="174" t="s">
        <v>5389</v>
      </c>
      <c r="Z46" s="1712" t="s">
        <v>5390</v>
      </c>
      <c r="AA46" s="1684" t="s">
        <v>5391</v>
      </c>
      <c r="AB46" s="1704" t="s">
        <v>5392</v>
      </c>
      <c r="AC46" s="2422" t="s">
        <v>5393</v>
      </c>
      <c r="AD46" s="2422" t="s">
        <v>5394</v>
      </c>
      <c r="AE46" s="2422" t="s">
        <v>5395</v>
      </c>
      <c r="AF46" s="2422" t="s">
        <v>5396</v>
      </c>
      <c r="AG46" s="1197"/>
      <c r="AH46" s="1434"/>
      <c r="AI46" s="1434"/>
      <c r="AJ46" s="1434"/>
      <c r="AK46" s="1434"/>
      <c r="AL46" s="1434"/>
      <c r="AM46" s="1434"/>
      <c r="AN46" s="1434"/>
      <c r="AO46" s="1434"/>
      <c r="AP46" s="1191"/>
      <c r="AQ46" s="1191"/>
      <c r="AR46" s="1191"/>
      <c r="CB46" s="1445" t="str">
        <f t="shared" si="0"/>
        <v/>
      </c>
      <c r="CC46" s="1445" t="str">
        <f t="shared" si="1"/>
        <v/>
      </c>
      <c r="CD46" s="1445" t="str">
        <f t="shared" si="2"/>
        <v/>
      </c>
      <c r="CE46" s="1445" t="str">
        <f t="shared" si="3"/>
        <v/>
      </c>
      <c r="CH46" s="1446">
        <f t="shared" si="4"/>
        <v>0</v>
      </c>
      <c r="CI46" s="1443"/>
      <c r="CJ46" s="1443"/>
      <c r="CK46" s="1443"/>
      <c r="CL46" s="1443"/>
      <c r="CM46" s="1443"/>
      <c r="CN46" s="1443"/>
      <c r="CO46" s="1443"/>
      <c r="CP46" s="1443"/>
    </row>
    <row r="47" spans="1:94" ht="20.25" customHeight="1" x14ac:dyDescent="0.3">
      <c r="A47" s="7258">
        <v>27500120</v>
      </c>
      <c r="B47" s="10823"/>
      <c r="C47" s="10806" t="s">
        <v>513</v>
      </c>
      <c r="D47" s="10807"/>
      <c r="E47" s="336" t="s">
        <v>5369</v>
      </c>
      <c r="F47" s="148" t="s">
        <v>5370</v>
      </c>
      <c r="G47" s="95" t="s">
        <v>5371</v>
      </c>
      <c r="H47" s="95" t="s">
        <v>5372</v>
      </c>
      <c r="I47" s="95" t="s">
        <v>5373</v>
      </c>
      <c r="J47" s="337" t="s">
        <v>5374</v>
      </c>
      <c r="K47" s="180" t="s">
        <v>5375</v>
      </c>
      <c r="L47" s="95" t="s">
        <v>5376</v>
      </c>
      <c r="M47" s="95" t="s">
        <v>5377</v>
      </c>
      <c r="N47" s="181" t="s">
        <v>5378</v>
      </c>
      <c r="O47" s="181" t="s">
        <v>5379</v>
      </c>
      <c r="P47" s="181" t="s">
        <v>5380</v>
      </c>
      <c r="Q47" s="181" t="s">
        <v>5381</v>
      </c>
      <c r="R47" s="181" t="s">
        <v>5382</v>
      </c>
      <c r="S47" s="181" t="s">
        <v>5383</v>
      </c>
      <c r="T47" s="181" t="s">
        <v>5384</v>
      </c>
      <c r="U47" s="181" t="s">
        <v>5385</v>
      </c>
      <c r="V47" s="181" t="s">
        <v>5386</v>
      </c>
      <c r="W47" s="181" t="s">
        <v>5387</v>
      </c>
      <c r="X47" s="181" t="s">
        <v>5388</v>
      </c>
      <c r="Y47" s="181" t="s">
        <v>5389</v>
      </c>
      <c r="Z47" s="1714" t="s">
        <v>5390</v>
      </c>
      <c r="AA47" s="804" t="s">
        <v>5391</v>
      </c>
      <c r="AB47" s="1706" t="s">
        <v>5392</v>
      </c>
      <c r="AC47" s="1644" t="s">
        <v>5393</v>
      </c>
      <c r="AD47" s="1644" t="s">
        <v>5394</v>
      </c>
      <c r="AE47" s="1644" t="s">
        <v>5395</v>
      </c>
      <c r="AF47" s="1644" t="s">
        <v>5396</v>
      </c>
      <c r="AG47" s="1197"/>
      <c r="AH47" s="1434"/>
      <c r="AI47" s="1434"/>
      <c r="AJ47" s="1434"/>
      <c r="AK47" s="1434"/>
      <c r="AL47" s="1434"/>
      <c r="AM47" s="1434"/>
      <c r="AN47" s="1434"/>
      <c r="AO47" s="1434"/>
      <c r="AP47" s="1191"/>
      <c r="AQ47" s="1191"/>
      <c r="AR47" s="1191"/>
      <c r="CB47" s="1445" t="str">
        <f t="shared" si="0"/>
        <v/>
      </c>
      <c r="CC47" s="1445" t="str">
        <f t="shared" si="1"/>
        <v/>
      </c>
      <c r="CD47" s="1445" t="str">
        <f t="shared" si="2"/>
        <v/>
      </c>
      <c r="CE47" s="1445" t="str">
        <f t="shared" si="3"/>
        <v/>
      </c>
      <c r="CH47" s="1446">
        <f t="shared" si="4"/>
        <v>0</v>
      </c>
      <c r="CI47" s="1443"/>
      <c r="CJ47" s="1443"/>
      <c r="CK47" s="1443"/>
      <c r="CL47" s="1443"/>
      <c r="CM47" s="1443"/>
      <c r="CN47" s="1443"/>
      <c r="CO47" s="1443"/>
      <c r="CP47" s="1443"/>
    </row>
    <row r="48" spans="1:94" x14ac:dyDescent="0.3">
      <c r="A48" s="7672"/>
      <c r="B48" s="10826"/>
      <c r="C48" s="10808" t="s">
        <v>24</v>
      </c>
      <c r="D48" s="10809"/>
      <c r="E48" s="348">
        <f>SUM(F48:Y48)</f>
        <v>0</v>
      </c>
      <c r="F48" s="310">
        <f>SUM(F11:F47)</f>
        <v>0</v>
      </c>
      <c r="G48" s="349">
        <f t="shared" ref="G48:AB48" si="5">SUM(G11:G47)</f>
        <v>0</v>
      </c>
      <c r="H48" s="349">
        <f t="shared" si="5"/>
        <v>0</v>
      </c>
      <c r="I48" s="349">
        <f t="shared" si="5"/>
        <v>0</v>
      </c>
      <c r="J48" s="350">
        <f t="shared" si="5"/>
        <v>0</v>
      </c>
      <c r="K48" s="351">
        <f t="shared" si="5"/>
        <v>0</v>
      </c>
      <c r="L48" s="349">
        <f t="shared" si="5"/>
        <v>0</v>
      </c>
      <c r="M48" s="349">
        <f t="shared" si="5"/>
        <v>0</v>
      </c>
      <c r="N48" s="352">
        <f t="shared" si="5"/>
        <v>0</v>
      </c>
      <c r="O48" s="352">
        <f t="shared" si="5"/>
        <v>0</v>
      </c>
      <c r="P48" s="352">
        <f t="shared" si="5"/>
        <v>0</v>
      </c>
      <c r="Q48" s="352">
        <f t="shared" si="5"/>
        <v>0</v>
      </c>
      <c r="R48" s="352">
        <f t="shared" si="5"/>
        <v>0</v>
      </c>
      <c r="S48" s="352">
        <f t="shared" si="5"/>
        <v>0</v>
      </c>
      <c r="T48" s="352">
        <f t="shared" si="5"/>
        <v>0</v>
      </c>
      <c r="U48" s="352">
        <f t="shared" si="5"/>
        <v>0</v>
      </c>
      <c r="V48" s="352">
        <f t="shared" si="5"/>
        <v>0</v>
      </c>
      <c r="W48" s="352">
        <f t="shared" si="5"/>
        <v>0</v>
      </c>
      <c r="X48" s="352">
        <f>SUM(X11:X47)</f>
        <v>0</v>
      </c>
      <c r="Y48" s="352">
        <f t="shared" si="5"/>
        <v>0</v>
      </c>
      <c r="Z48" s="353">
        <f>SUM(Z11:Z47)</f>
        <v>0</v>
      </c>
      <c r="AA48" s="1699">
        <f t="shared" si="5"/>
        <v>0</v>
      </c>
      <c r="AB48" s="1699">
        <f t="shared" si="5"/>
        <v>0</v>
      </c>
      <c r="AC48" s="350">
        <f>SUM(AC11:AC47)</f>
        <v>0</v>
      </c>
      <c r="AD48" s="350">
        <f>SUM(AD11:AD47)</f>
        <v>0</v>
      </c>
      <c r="AE48" s="350">
        <f>SUM(AE11:AE47)</f>
        <v>0</v>
      </c>
      <c r="AF48" s="350">
        <f>SUM(AF11:AF47)</f>
        <v>0</v>
      </c>
      <c r="AG48" s="1191"/>
      <c r="AH48" s="1191"/>
      <c r="AI48" s="1191"/>
      <c r="AJ48" s="1191"/>
      <c r="AK48" s="1191"/>
      <c r="AL48" s="1191"/>
      <c r="AM48" s="1191"/>
      <c r="AN48" s="1191"/>
      <c r="AO48" s="1191"/>
      <c r="AP48" s="1191"/>
      <c r="AQ48" s="1191"/>
      <c r="AR48" s="1191"/>
      <c r="CH48" s="1446"/>
      <c r="CI48" s="1443"/>
      <c r="CJ48" s="1443"/>
      <c r="CK48" s="1443"/>
      <c r="CL48" s="1443"/>
      <c r="CM48" s="1443"/>
      <c r="CN48" s="1443"/>
      <c r="CO48" s="1443"/>
      <c r="CP48" s="1443"/>
    </row>
    <row r="49" spans="1:94" ht="32.1" customHeight="1" x14ac:dyDescent="0.3">
      <c r="B49" s="365" t="s">
        <v>514</v>
      </c>
      <c r="C49" s="354"/>
      <c r="D49" s="354"/>
      <c r="E49" s="354"/>
      <c r="F49" s="354"/>
      <c r="G49" s="354"/>
      <c r="H49" s="355"/>
      <c r="I49" s="355"/>
      <c r="J49" s="214"/>
      <c r="K49" s="214"/>
      <c r="L49" s="214"/>
      <c r="M49" s="214"/>
      <c r="N49" s="214"/>
      <c r="O49" s="214"/>
      <c r="P49" s="71"/>
      <c r="Q49" s="214"/>
      <c r="R49" s="214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191"/>
      <c r="AF49" s="1191"/>
      <c r="AG49" s="1191"/>
      <c r="AH49" s="1191"/>
      <c r="AI49" s="1191"/>
      <c r="AJ49" s="1191"/>
      <c r="AK49" s="1191"/>
      <c r="AL49" s="1191"/>
      <c r="AM49" s="1191"/>
      <c r="AN49" s="1191"/>
      <c r="AO49" s="1191"/>
      <c r="AP49" s="1191"/>
      <c r="AQ49" s="1191"/>
      <c r="AR49" s="1191"/>
      <c r="AS49" s="1191"/>
      <c r="CH49" s="1443"/>
      <c r="CI49" s="1443"/>
      <c r="CJ49" s="1443"/>
      <c r="CK49" s="1443"/>
      <c r="CL49" s="1443"/>
      <c r="CM49" s="1443"/>
      <c r="CN49" s="1443"/>
      <c r="CO49" s="1443"/>
      <c r="CP49" s="1443"/>
    </row>
    <row r="50" spans="1:94" ht="63.75" customHeight="1" x14ac:dyDescent="0.3">
      <c r="B50" s="8989" t="s">
        <v>475</v>
      </c>
      <c r="C50" s="8990"/>
      <c r="D50" s="8991"/>
      <c r="E50" s="2170" t="s">
        <v>24</v>
      </c>
      <c r="F50" s="356" t="s">
        <v>133</v>
      </c>
      <c r="G50" s="2174" t="s">
        <v>515</v>
      </c>
      <c r="H50" s="2174" t="s">
        <v>516</v>
      </c>
      <c r="I50" s="308" t="s">
        <v>517</v>
      </c>
      <c r="J50" s="1448" t="s">
        <v>518</v>
      </c>
      <c r="K50" s="214"/>
      <c r="L50" s="214"/>
      <c r="M50" s="214"/>
      <c r="N50" s="214"/>
      <c r="O50" s="214"/>
      <c r="P50" s="214"/>
      <c r="Q50" s="214"/>
      <c r="R50" s="214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191"/>
      <c r="AF50" s="1191"/>
      <c r="AG50" s="1191"/>
      <c r="AH50" s="1191"/>
      <c r="AI50" s="1191"/>
      <c r="AJ50" s="1191"/>
      <c r="AK50" s="1191"/>
      <c r="AL50" s="1191"/>
      <c r="AM50" s="1191"/>
      <c r="AN50" s="1191"/>
      <c r="AO50" s="1191"/>
      <c r="AP50" s="1191"/>
      <c r="AQ50" s="1191"/>
      <c r="AR50" s="1191"/>
      <c r="AS50" s="1191"/>
      <c r="CH50" s="1443"/>
      <c r="CI50" s="1443"/>
      <c r="CJ50" s="1443"/>
      <c r="CK50" s="1443"/>
      <c r="CL50" s="1443"/>
      <c r="CM50" s="1443"/>
      <c r="CN50" s="1443"/>
      <c r="CO50" s="1443"/>
      <c r="CP50" s="1443"/>
    </row>
    <row r="51" spans="1:94" x14ac:dyDescent="0.3">
      <c r="A51" s="7258">
        <v>27281500</v>
      </c>
      <c r="B51" s="10822" t="s">
        <v>481</v>
      </c>
      <c r="C51" s="10827" t="s">
        <v>482</v>
      </c>
      <c r="D51" s="10828"/>
      <c r="E51" s="329" t="s">
        <v>5369</v>
      </c>
      <c r="F51" s="330" t="s">
        <v>5370</v>
      </c>
      <c r="G51" s="331" t="s">
        <v>5371</v>
      </c>
      <c r="H51" s="331" t="s">
        <v>5372</v>
      </c>
      <c r="I51" s="357" t="s">
        <v>5373</v>
      </c>
      <c r="J51" s="358" t="s">
        <v>5374</v>
      </c>
      <c r="K51" s="1197" t="str">
        <f>CB51</f>
        <v/>
      </c>
      <c r="L51" s="1434"/>
      <c r="M51" s="1434"/>
      <c r="N51" s="1434"/>
      <c r="O51" s="1434"/>
      <c r="P51" s="1434"/>
      <c r="Q51" s="1434"/>
      <c r="R51" s="1434"/>
      <c r="S51" s="1434"/>
      <c r="T51" s="1434"/>
      <c r="U51" s="1434"/>
      <c r="V51" s="1434"/>
      <c r="W51" s="288"/>
      <c r="X51" s="140"/>
      <c r="Y51" s="140"/>
      <c r="Z51" s="140"/>
      <c r="AA51" s="140"/>
      <c r="AB51" s="140"/>
      <c r="AC51" s="140"/>
      <c r="AD51" s="140"/>
      <c r="CB51" s="1445" t="str">
        <f>IF(CH51=1,"* En esta área en Sección A se consignan personas pero falta registrar la Sesión. ","")</f>
        <v/>
      </c>
      <c r="CC51" s="1445"/>
      <c r="CD51" s="1445"/>
      <c r="CE51" s="1445"/>
      <c r="CF51" s="1445"/>
      <c r="CG51" s="1445"/>
      <c r="CH51" s="1446">
        <f t="shared" ref="CH51:CH59" si="6">IF(AND(E51=0,E11&lt;&gt;0),1,0)</f>
        <v>0</v>
      </c>
      <c r="CI51" s="1443"/>
      <c r="CJ51" s="1443"/>
      <c r="CK51" s="1443"/>
      <c r="CL51" s="1443"/>
      <c r="CM51" s="1443"/>
      <c r="CN51" s="1443"/>
      <c r="CO51" s="1443"/>
      <c r="CP51" s="1443"/>
    </row>
    <row r="52" spans="1:94" ht="16.2" customHeight="1" x14ac:dyDescent="0.3">
      <c r="A52" s="7258" t="s">
        <v>5359</v>
      </c>
      <c r="B52" s="10823"/>
      <c r="C52" s="8977" t="s">
        <v>483</v>
      </c>
      <c r="D52" s="315" t="s">
        <v>484</v>
      </c>
      <c r="E52" s="329" t="s">
        <v>5369</v>
      </c>
      <c r="F52" s="106" t="s">
        <v>5370</v>
      </c>
      <c r="G52" s="89" t="s">
        <v>5371</v>
      </c>
      <c r="H52" s="89" t="s">
        <v>5372</v>
      </c>
      <c r="I52" s="174" t="s">
        <v>5373</v>
      </c>
      <c r="J52" s="205" t="s">
        <v>5374</v>
      </c>
      <c r="K52" s="1197" t="str">
        <f t="shared" ref="K52:K84" si="7">CB52</f>
        <v/>
      </c>
      <c r="L52" s="1434"/>
      <c r="M52" s="1434"/>
      <c r="N52" s="1434"/>
      <c r="O52" s="1434"/>
      <c r="P52" s="1434"/>
      <c r="Q52" s="1434"/>
      <c r="R52" s="1434"/>
      <c r="S52" s="1434"/>
      <c r="T52" s="1434"/>
      <c r="U52" s="1434"/>
      <c r="V52" s="1434"/>
      <c r="W52" s="288"/>
      <c r="X52" s="140"/>
      <c r="Y52" s="140"/>
      <c r="Z52" s="140"/>
      <c r="AA52" s="140"/>
      <c r="AB52" s="140"/>
      <c r="AC52" s="140"/>
      <c r="AD52" s="140"/>
      <c r="CB52" s="1445" t="str">
        <f t="shared" ref="CB52:CB84" si="8">IF(CH52=1,"* En esta área en Sección A se consignan personas pero falta registrar la Sesión. ","")</f>
        <v/>
      </c>
      <c r="CC52" s="1445"/>
      <c r="CD52" s="1445"/>
      <c r="CE52" s="1445"/>
      <c r="CF52" s="1445"/>
      <c r="CG52" s="1445"/>
      <c r="CH52" s="1446">
        <f t="shared" si="6"/>
        <v>0</v>
      </c>
      <c r="CI52" s="1443"/>
      <c r="CJ52" s="1443"/>
      <c r="CK52" s="1443"/>
      <c r="CL52" s="1443"/>
      <c r="CM52" s="1443"/>
      <c r="CN52" s="1443"/>
      <c r="CO52" s="1443"/>
      <c r="CP52" s="1443"/>
    </row>
    <row r="53" spans="1:94" x14ac:dyDescent="0.3">
      <c r="A53" s="7258" t="s">
        <v>5360</v>
      </c>
      <c r="B53" s="10823"/>
      <c r="C53" s="8619"/>
      <c r="D53" s="2135" t="s">
        <v>485</v>
      </c>
      <c r="E53" s="92" t="s">
        <v>5369</v>
      </c>
      <c r="F53" s="110" t="s">
        <v>5370</v>
      </c>
      <c r="G53" s="111" t="s">
        <v>5371</v>
      </c>
      <c r="H53" s="111" t="s">
        <v>5372</v>
      </c>
      <c r="I53" s="168" t="s">
        <v>5373</v>
      </c>
      <c r="J53" s="206" t="s">
        <v>5374</v>
      </c>
      <c r="K53" s="1197" t="str">
        <f t="shared" si="7"/>
        <v/>
      </c>
      <c r="L53" s="1434"/>
      <c r="M53" s="1434"/>
      <c r="N53" s="1434"/>
      <c r="O53" s="1434"/>
      <c r="P53" s="1434"/>
      <c r="Q53" s="1434"/>
      <c r="R53" s="1434"/>
      <c r="S53" s="1434"/>
      <c r="T53" s="1434"/>
      <c r="U53" s="1434"/>
      <c r="V53" s="1434"/>
      <c r="W53" s="288"/>
      <c r="X53" s="140"/>
      <c r="Y53" s="140"/>
      <c r="Z53" s="140"/>
      <c r="AA53" s="140"/>
      <c r="AB53" s="140"/>
      <c r="AC53" s="140"/>
      <c r="AD53" s="140"/>
      <c r="CB53" s="1445" t="str">
        <f t="shared" si="8"/>
        <v/>
      </c>
      <c r="CC53" s="1445"/>
      <c r="CD53" s="1445"/>
      <c r="CE53" s="1445"/>
      <c r="CF53" s="1445"/>
      <c r="CG53" s="1445"/>
      <c r="CH53" s="1446">
        <f t="shared" si="6"/>
        <v>0</v>
      </c>
      <c r="CI53" s="1443"/>
      <c r="CJ53" s="1443"/>
      <c r="CK53" s="1443"/>
      <c r="CL53" s="1443"/>
      <c r="CM53" s="1443"/>
      <c r="CN53" s="1443"/>
      <c r="CO53" s="1443"/>
      <c r="CP53" s="1443"/>
    </row>
    <row r="54" spans="1:94" x14ac:dyDescent="0.3">
      <c r="A54" s="7258" t="s">
        <v>5361</v>
      </c>
      <c r="B54" s="10823"/>
      <c r="C54" s="8619"/>
      <c r="D54" s="2135" t="s">
        <v>486</v>
      </c>
      <c r="E54" s="109" t="s">
        <v>5369</v>
      </c>
      <c r="F54" s="110" t="s">
        <v>5370</v>
      </c>
      <c r="G54" s="111" t="s">
        <v>5371</v>
      </c>
      <c r="H54" s="111" t="s">
        <v>5372</v>
      </c>
      <c r="I54" s="168" t="s">
        <v>5373</v>
      </c>
      <c r="J54" s="206" t="s">
        <v>5374</v>
      </c>
      <c r="K54" s="1197" t="str">
        <f t="shared" si="7"/>
        <v/>
      </c>
      <c r="L54" s="1434"/>
      <c r="M54" s="1434"/>
      <c r="N54" s="1434"/>
      <c r="O54" s="1434"/>
      <c r="P54" s="1434"/>
      <c r="Q54" s="1434"/>
      <c r="R54" s="1434"/>
      <c r="S54" s="1434"/>
      <c r="T54" s="1434"/>
      <c r="U54" s="1434"/>
      <c r="V54" s="1434"/>
      <c r="W54" s="288"/>
      <c r="X54" s="140"/>
      <c r="Y54" s="140"/>
      <c r="Z54" s="140"/>
      <c r="AA54" s="140"/>
      <c r="AB54" s="140"/>
      <c r="AC54" s="140"/>
      <c r="AD54" s="140"/>
      <c r="CB54" s="1445" t="str">
        <f t="shared" si="8"/>
        <v/>
      </c>
      <c r="CC54" s="1445"/>
      <c r="CD54" s="1445"/>
      <c r="CE54" s="1445"/>
      <c r="CF54" s="1445"/>
      <c r="CG54" s="1445"/>
      <c r="CH54" s="1446">
        <f t="shared" si="6"/>
        <v>0</v>
      </c>
      <c r="CI54" s="1443"/>
      <c r="CJ54" s="1443"/>
      <c r="CK54" s="1443"/>
      <c r="CL54" s="1443"/>
      <c r="CM54" s="1443"/>
      <c r="CN54" s="1443"/>
      <c r="CO54" s="1443"/>
      <c r="CP54" s="1443"/>
    </row>
    <row r="55" spans="1:94" x14ac:dyDescent="0.3">
      <c r="A55" s="7258">
        <v>27500130</v>
      </c>
      <c r="B55" s="10823"/>
      <c r="C55" s="8978"/>
      <c r="D55" s="2139" t="s">
        <v>487</v>
      </c>
      <c r="E55" s="336" t="s">
        <v>5369</v>
      </c>
      <c r="F55" s="148" t="s">
        <v>5370</v>
      </c>
      <c r="G55" s="95" t="s">
        <v>5371</v>
      </c>
      <c r="H55" s="95" t="s">
        <v>5372</v>
      </c>
      <c r="I55" s="181" t="s">
        <v>5373</v>
      </c>
      <c r="J55" s="210" t="s">
        <v>5374</v>
      </c>
      <c r="K55" s="1197" t="str">
        <f t="shared" si="7"/>
        <v/>
      </c>
      <c r="L55" s="1434"/>
      <c r="M55" s="1434"/>
      <c r="N55" s="1434"/>
      <c r="O55" s="1434"/>
      <c r="P55" s="1434"/>
      <c r="Q55" s="1434"/>
      <c r="R55" s="1434"/>
      <c r="S55" s="1434"/>
      <c r="T55" s="1434"/>
      <c r="U55" s="1434"/>
      <c r="V55" s="1434"/>
      <c r="W55" s="288"/>
      <c r="X55" s="140"/>
      <c r="Y55" s="140"/>
      <c r="Z55" s="140"/>
      <c r="AA55" s="140"/>
      <c r="AB55" s="140"/>
      <c r="AC55" s="140"/>
      <c r="AD55" s="140"/>
      <c r="CB55" s="1445" t="str">
        <f t="shared" si="8"/>
        <v/>
      </c>
      <c r="CC55" s="1445"/>
      <c r="CD55" s="1445"/>
      <c r="CE55" s="1445"/>
      <c r="CF55" s="1445"/>
      <c r="CG55" s="1445"/>
      <c r="CH55" s="1446">
        <f t="shared" si="6"/>
        <v>0</v>
      </c>
      <c r="CI55" s="1443"/>
      <c r="CJ55" s="1443"/>
      <c r="CK55" s="1443"/>
      <c r="CL55" s="1443"/>
      <c r="CM55" s="1443"/>
      <c r="CN55" s="1443"/>
      <c r="CO55" s="1443"/>
      <c r="CP55" s="1443"/>
    </row>
    <row r="56" spans="1:94" x14ac:dyDescent="0.3">
      <c r="A56" s="7258">
        <v>27281700</v>
      </c>
      <c r="B56" s="10823"/>
      <c r="C56" s="9535" t="s">
        <v>488</v>
      </c>
      <c r="D56" s="9536"/>
      <c r="E56" s="176" t="s">
        <v>5369</v>
      </c>
      <c r="F56" s="129" t="s">
        <v>5370</v>
      </c>
      <c r="G56" s="78" t="s">
        <v>5371</v>
      </c>
      <c r="H56" s="78" t="s">
        <v>5372</v>
      </c>
      <c r="I56" s="166" t="s">
        <v>5373</v>
      </c>
      <c r="J56" s="208" t="s">
        <v>5374</v>
      </c>
      <c r="K56" s="1197" t="str">
        <f t="shared" si="7"/>
        <v/>
      </c>
      <c r="L56" s="1434"/>
      <c r="M56" s="1434"/>
      <c r="N56" s="1434"/>
      <c r="O56" s="1434"/>
      <c r="P56" s="1434"/>
      <c r="Q56" s="1434"/>
      <c r="R56" s="1434"/>
      <c r="S56" s="1434"/>
      <c r="T56" s="1434"/>
      <c r="U56" s="1434"/>
      <c r="V56" s="1434"/>
      <c r="W56" s="288"/>
      <c r="X56" s="140"/>
      <c r="Y56" s="140"/>
      <c r="Z56" s="140"/>
      <c r="AA56" s="140"/>
      <c r="AB56" s="140"/>
      <c r="AC56" s="140"/>
      <c r="AD56" s="140"/>
      <c r="CB56" s="1445" t="str">
        <f t="shared" si="8"/>
        <v/>
      </c>
      <c r="CC56" s="1445"/>
      <c r="CD56" s="1445"/>
      <c r="CE56" s="1445"/>
      <c r="CF56" s="1445"/>
      <c r="CG56" s="1445"/>
      <c r="CH56" s="1446">
        <f t="shared" si="6"/>
        <v>0</v>
      </c>
      <c r="CI56" s="1443"/>
      <c r="CJ56" s="1443"/>
      <c r="CK56" s="1443"/>
      <c r="CL56" s="1443"/>
      <c r="CM56" s="1443"/>
      <c r="CN56" s="1443"/>
      <c r="CO56" s="1443"/>
      <c r="CP56" s="1443"/>
    </row>
    <row r="57" spans="1:94" x14ac:dyDescent="0.3">
      <c r="A57" s="7258">
        <v>27281900</v>
      </c>
      <c r="B57" s="10823"/>
      <c r="C57" s="8838" t="s">
        <v>489</v>
      </c>
      <c r="D57" s="9530"/>
      <c r="E57" s="92" t="s">
        <v>5369</v>
      </c>
      <c r="F57" s="110" t="s">
        <v>5370</v>
      </c>
      <c r="G57" s="111" t="s">
        <v>5371</v>
      </c>
      <c r="H57" s="111" t="s">
        <v>5372</v>
      </c>
      <c r="I57" s="168" t="s">
        <v>5373</v>
      </c>
      <c r="J57" s="206" t="s">
        <v>5374</v>
      </c>
      <c r="K57" s="1197" t="str">
        <f t="shared" si="7"/>
        <v/>
      </c>
      <c r="L57" s="1434"/>
      <c r="M57" s="1434"/>
      <c r="N57" s="1434"/>
      <c r="O57" s="1434"/>
      <c r="P57" s="1434"/>
      <c r="Q57" s="1434"/>
      <c r="R57" s="1434"/>
      <c r="S57" s="1434"/>
      <c r="T57" s="1434"/>
      <c r="U57" s="1434"/>
      <c r="V57" s="1434"/>
      <c r="W57" s="288"/>
      <c r="X57" s="140"/>
      <c r="Y57" s="140"/>
      <c r="Z57" s="140"/>
      <c r="AA57" s="140"/>
      <c r="AB57" s="140"/>
      <c r="AC57" s="140"/>
      <c r="AD57" s="140"/>
      <c r="CB57" s="1445" t="str">
        <f t="shared" si="8"/>
        <v/>
      </c>
      <c r="CC57" s="1445"/>
      <c r="CD57" s="1445"/>
      <c r="CE57" s="1445"/>
      <c r="CF57" s="1445"/>
      <c r="CG57" s="1445"/>
      <c r="CH57" s="1446">
        <f t="shared" si="6"/>
        <v>0</v>
      </c>
      <c r="CI57" s="1443"/>
      <c r="CJ57" s="1443"/>
      <c r="CK57" s="1443"/>
      <c r="CL57" s="1443"/>
      <c r="CM57" s="1443"/>
      <c r="CN57" s="1443"/>
      <c r="CO57" s="1443"/>
      <c r="CP57" s="1443"/>
    </row>
    <row r="58" spans="1:94" x14ac:dyDescent="0.3">
      <c r="A58" s="7258">
        <v>27282000</v>
      </c>
      <c r="B58" s="10823"/>
      <c r="C58" s="8838" t="s">
        <v>490</v>
      </c>
      <c r="D58" s="9530"/>
      <c r="E58" s="92" t="s">
        <v>5369</v>
      </c>
      <c r="F58" s="110" t="s">
        <v>5370</v>
      </c>
      <c r="G58" s="111" t="s">
        <v>5371</v>
      </c>
      <c r="H58" s="111" t="s">
        <v>5372</v>
      </c>
      <c r="I58" s="168" t="s">
        <v>5373</v>
      </c>
      <c r="J58" s="206" t="s">
        <v>5374</v>
      </c>
      <c r="K58" s="1197" t="str">
        <f t="shared" si="7"/>
        <v/>
      </c>
      <c r="L58" s="1434"/>
      <c r="M58" s="1434"/>
      <c r="N58" s="1434"/>
      <c r="O58" s="1434"/>
      <c r="P58" s="1434"/>
      <c r="Q58" s="1434"/>
      <c r="R58" s="1434"/>
      <c r="S58" s="1434"/>
      <c r="T58" s="1434"/>
      <c r="U58" s="1434"/>
      <c r="V58" s="1434"/>
      <c r="W58" s="288"/>
      <c r="X58" s="140"/>
      <c r="Y58" s="140"/>
      <c r="Z58" s="140"/>
      <c r="AA58" s="140"/>
      <c r="AB58" s="140"/>
      <c r="AC58" s="140"/>
      <c r="AD58" s="140"/>
      <c r="CB58" s="1445" t="str">
        <f t="shared" si="8"/>
        <v/>
      </c>
      <c r="CC58" s="1445"/>
      <c r="CD58" s="1445"/>
      <c r="CE58" s="1445"/>
      <c r="CF58" s="1445"/>
      <c r="CG58" s="1445"/>
      <c r="CH58" s="1446">
        <f t="shared" si="6"/>
        <v>0</v>
      </c>
      <c r="CI58" s="1443"/>
      <c r="CJ58" s="1443"/>
      <c r="CK58" s="1443"/>
      <c r="CL58" s="1443"/>
      <c r="CM58" s="1443"/>
      <c r="CN58" s="1443"/>
      <c r="CO58" s="1443"/>
      <c r="CP58" s="1443"/>
    </row>
    <row r="59" spans="1:94" x14ac:dyDescent="0.3">
      <c r="A59" s="7258">
        <v>27282100</v>
      </c>
      <c r="B59" s="10823"/>
      <c r="C59" s="8838" t="s">
        <v>491</v>
      </c>
      <c r="D59" s="9530"/>
      <c r="E59" s="92" t="s">
        <v>5369</v>
      </c>
      <c r="F59" s="110" t="s">
        <v>5370</v>
      </c>
      <c r="G59" s="111" t="s">
        <v>5371</v>
      </c>
      <c r="H59" s="111" t="s">
        <v>5372</v>
      </c>
      <c r="I59" s="168" t="s">
        <v>5373</v>
      </c>
      <c r="J59" s="206" t="s">
        <v>5374</v>
      </c>
      <c r="K59" s="1197" t="str">
        <f t="shared" si="7"/>
        <v/>
      </c>
      <c r="L59" s="1434"/>
      <c r="M59" s="1434"/>
      <c r="N59" s="1434"/>
      <c r="O59" s="1434"/>
      <c r="P59" s="1434"/>
      <c r="Q59" s="1434"/>
      <c r="R59" s="1434"/>
      <c r="S59" s="1434"/>
      <c r="T59" s="1434"/>
      <c r="U59" s="1434"/>
      <c r="V59" s="1434"/>
      <c r="W59" s="288"/>
      <c r="X59" s="140"/>
      <c r="Y59" s="140"/>
      <c r="Z59" s="140"/>
      <c r="AA59" s="140"/>
      <c r="AB59" s="140"/>
      <c r="AC59" s="140"/>
      <c r="AD59" s="140"/>
      <c r="CB59" s="1445" t="str">
        <f t="shared" si="8"/>
        <v/>
      </c>
      <c r="CC59" s="1445"/>
      <c r="CD59" s="1445"/>
      <c r="CE59" s="1445"/>
      <c r="CF59" s="1445"/>
      <c r="CG59" s="1445"/>
      <c r="CH59" s="1446">
        <f t="shared" si="6"/>
        <v>0</v>
      </c>
      <c r="CI59" s="1443"/>
      <c r="CJ59" s="1443"/>
      <c r="CK59" s="1443"/>
      <c r="CL59" s="1443"/>
      <c r="CM59" s="1443"/>
      <c r="CN59" s="1443"/>
      <c r="CO59" s="1443"/>
      <c r="CP59" s="1443"/>
    </row>
    <row r="60" spans="1:94" x14ac:dyDescent="0.3">
      <c r="A60" s="7258">
        <v>27282200</v>
      </c>
      <c r="B60" s="10823"/>
      <c r="C60" s="8838" t="s">
        <v>492</v>
      </c>
      <c r="D60" s="9530"/>
      <c r="E60" s="92" t="s">
        <v>5369</v>
      </c>
      <c r="F60" s="110" t="s">
        <v>5370</v>
      </c>
      <c r="G60" s="111" t="s">
        <v>5371</v>
      </c>
      <c r="H60" s="111" t="s">
        <v>5372</v>
      </c>
      <c r="I60" s="168" t="s">
        <v>5373</v>
      </c>
      <c r="J60" s="206" t="s">
        <v>5374</v>
      </c>
      <c r="K60" s="1197" t="str">
        <f t="shared" si="7"/>
        <v/>
      </c>
      <c r="L60" s="1434"/>
      <c r="M60" s="1434"/>
      <c r="N60" s="1434"/>
      <c r="O60" s="1434"/>
      <c r="P60" s="1434"/>
      <c r="Q60" s="1434"/>
      <c r="R60" s="1434"/>
      <c r="S60" s="1434"/>
      <c r="T60" s="1434"/>
      <c r="U60" s="1434"/>
      <c r="V60" s="1434"/>
      <c r="W60" s="288"/>
      <c r="X60" s="140"/>
      <c r="Y60" s="140"/>
      <c r="Z60" s="140"/>
      <c r="AA60" s="140"/>
      <c r="AB60" s="140"/>
      <c r="AC60" s="140"/>
      <c r="AD60" s="140"/>
      <c r="CB60" s="1445" t="str">
        <f t="shared" si="8"/>
        <v/>
      </c>
      <c r="CC60" s="1445"/>
      <c r="CD60" s="1445"/>
      <c r="CE60" s="1445"/>
      <c r="CF60" s="1445"/>
      <c r="CG60" s="1445"/>
      <c r="CH60" s="1446">
        <f>IF(AND(E60=0,SUM(E20:E23)&lt;&gt;0),1,0)</f>
        <v>0</v>
      </c>
      <c r="CI60" s="1443"/>
      <c r="CJ60" s="1443"/>
      <c r="CK60" s="1443"/>
      <c r="CL60" s="1443"/>
      <c r="CM60" s="1443"/>
      <c r="CN60" s="1443"/>
      <c r="CO60" s="1443"/>
      <c r="CP60" s="1443"/>
    </row>
    <row r="61" spans="1:94" x14ac:dyDescent="0.3">
      <c r="A61" s="7258">
        <v>27500260</v>
      </c>
      <c r="B61" s="10824"/>
      <c r="C61" s="8838" t="s">
        <v>600</v>
      </c>
      <c r="D61" s="9530"/>
      <c r="E61" s="92" t="s">
        <v>5369</v>
      </c>
      <c r="F61" s="137" t="s">
        <v>5370</v>
      </c>
      <c r="G61" s="115" t="s">
        <v>5371</v>
      </c>
      <c r="H61" s="115" t="s">
        <v>5372</v>
      </c>
      <c r="I61" s="116" t="s">
        <v>5373</v>
      </c>
      <c r="J61" s="207" t="s">
        <v>5374</v>
      </c>
      <c r="K61" s="1197" t="str">
        <f t="shared" si="7"/>
        <v/>
      </c>
      <c r="L61" s="1434"/>
      <c r="M61" s="1434"/>
      <c r="N61" s="1434"/>
      <c r="O61" s="1434"/>
      <c r="P61" s="1434"/>
      <c r="Q61" s="1434"/>
      <c r="R61" s="1434"/>
      <c r="S61" s="1434"/>
      <c r="T61" s="1434"/>
      <c r="U61" s="1434"/>
      <c r="V61" s="1434"/>
      <c r="W61" s="288"/>
      <c r="X61" s="140"/>
      <c r="Y61" s="140"/>
      <c r="Z61" s="140"/>
      <c r="AA61" s="140"/>
      <c r="AB61" s="140"/>
      <c r="AC61" s="140"/>
      <c r="AD61" s="140"/>
      <c r="CB61" s="1445" t="str">
        <f t="shared" si="8"/>
        <v/>
      </c>
      <c r="CC61" s="1445"/>
      <c r="CD61" s="1445"/>
      <c r="CE61" s="1445"/>
      <c r="CF61" s="1445"/>
      <c r="CG61" s="1445"/>
      <c r="CH61" s="1446">
        <f>IF(AND(E61=0,E24&lt;&gt;0),1,0)</f>
        <v>0</v>
      </c>
      <c r="CI61" s="1443"/>
      <c r="CJ61" s="1443"/>
      <c r="CK61" s="1443"/>
      <c r="CL61" s="1443"/>
      <c r="CM61" s="1443"/>
      <c r="CN61" s="1443"/>
      <c r="CO61" s="1443"/>
      <c r="CP61" s="1443"/>
    </row>
    <row r="62" spans="1:94" ht="22.5" customHeight="1" x14ac:dyDescent="0.3">
      <c r="A62" s="7258">
        <v>27500140</v>
      </c>
      <c r="B62" s="10823"/>
      <c r="C62" s="9604" t="s">
        <v>493</v>
      </c>
      <c r="D62" s="9605"/>
      <c r="E62" s="92" t="s">
        <v>5369</v>
      </c>
      <c r="F62" s="137" t="s">
        <v>5370</v>
      </c>
      <c r="G62" s="115" t="s">
        <v>5371</v>
      </c>
      <c r="H62" s="115" t="s">
        <v>5372</v>
      </c>
      <c r="I62" s="116" t="s">
        <v>5373</v>
      </c>
      <c r="J62" s="207" t="s">
        <v>5374</v>
      </c>
      <c r="K62" s="1197" t="str">
        <f t="shared" si="7"/>
        <v/>
      </c>
      <c r="L62" s="1434"/>
      <c r="M62" s="1434"/>
      <c r="N62" s="1434"/>
      <c r="O62" s="1434"/>
      <c r="P62" s="1434"/>
      <c r="Q62" s="1434"/>
      <c r="R62" s="1434"/>
      <c r="S62" s="1434"/>
      <c r="T62" s="1434"/>
      <c r="U62" s="1434"/>
      <c r="V62" s="1434"/>
      <c r="W62" s="288"/>
      <c r="X62" s="140"/>
      <c r="Y62" s="140"/>
      <c r="Z62" s="140"/>
      <c r="AA62" s="140"/>
      <c r="AB62" s="140"/>
      <c r="AC62" s="140"/>
      <c r="AD62" s="140"/>
      <c r="CB62" s="1445" t="str">
        <f t="shared" si="8"/>
        <v/>
      </c>
      <c r="CC62" s="1445"/>
      <c r="CD62" s="1445"/>
      <c r="CE62" s="1445"/>
      <c r="CF62" s="1445"/>
      <c r="CG62" s="1445"/>
      <c r="CH62" s="1446">
        <f t="shared" ref="CH62:CH84" si="9">IF(AND(E62=0,E25&lt;&gt;0),1,0)</f>
        <v>0</v>
      </c>
      <c r="CI62" s="1443"/>
      <c r="CJ62" s="1443"/>
      <c r="CK62" s="1443"/>
      <c r="CL62" s="1443"/>
      <c r="CM62" s="1443"/>
      <c r="CN62" s="1443"/>
      <c r="CO62" s="1443"/>
      <c r="CP62" s="1443"/>
    </row>
    <row r="63" spans="1:94" ht="15" customHeight="1" x14ac:dyDescent="0.3">
      <c r="A63" s="7258">
        <v>27500320</v>
      </c>
      <c r="B63" s="10823"/>
      <c r="C63" s="10798" t="s">
        <v>2220</v>
      </c>
      <c r="D63" s="10799"/>
      <c r="E63" s="92" t="s">
        <v>5369</v>
      </c>
      <c r="F63" s="1627" t="s">
        <v>5370</v>
      </c>
      <c r="G63" s="1297" t="s">
        <v>5371</v>
      </c>
      <c r="H63" s="1297" t="s">
        <v>5372</v>
      </c>
      <c r="I63" s="1715" t="s">
        <v>5373</v>
      </c>
      <c r="J63" s="1716" t="s">
        <v>5374</v>
      </c>
      <c r="K63" s="1197" t="str">
        <f t="shared" si="7"/>
        <v/>
      </c>
      <c r="L63" s="1434"/>
      <c r="M63" s="1434"/>
      <c r="N63" s="1434"/>
      <c r="O63" s="1434"/>
      <c r="P63" s="1434"/>
      <c r="Q63" s="1434"/>
      <c r="R63" s="1434"/>
      <c r="S63" s="1434"/>
      <c r="T63" s="1434"/>
      <c r="U63" s="1434"/>
      <c r="V63" s="1434"/>
      <c r="W63" s="288"/>
      <c r="X63" s="140"/>
      <c r="Y63" s="140"/>
      <c r="Z63" s="140"/>
      <c r="AA63" s="140"/>
      <c r="AB63" s="140"/>
      <c r="AC63" s="140"/>
      <c r="AD63" s="140"/>
      <c r="CB63" s="1445" t="str">
        <f t="shared" si="8"/>
        <v/>
      </c>
      <c r="CC63" s="1445"/>
      <c r="CD63" s="1445"/>
      <c r="CE63" s="1445"/>
      <c r="CF63" s="1445"/>
      <c r="CG63" s="1445"/>
      <c r="CH63" s="1446">
        <f t="shared" si="9"/>
        <v>0</v>
      </c>
      <c r="CI63" s="1443"/>
      <c r="CJ63" s="1443"/>
      <c r="CK63" s="1443"/>
      <c r="CL63" s="1443"/>
      <c r="CM63" s="1443"/>
      <c r="CN63" s="1443"/>
      <c r="CO63" s="1443"/>
      <c r="CP63" s="1443"/>
    </row>
    <row r="64" spans="1:94" x14ac:dyDescent="0.3">
      <c r="A64" s="7258">
        <v>27300922</v>
      </c>
      <c r="B64" s="10823"/>
      <c r="C64" s="10800" t="s">
        <v>494</v>
      </c>
      <c r="D64" s="10801"/>
      <c r="E64" s="92" t="s">
        <v>5369</v>
      </c>
      <c r="F64" s="137" t="s">
        <v>5370</v>
      </c>
      <c r="G64" s="115" t="s">
        <v>5371</v>
      </c>
      <c r="H64" s="115" t="s">
        <v>5372</v>
      </c>
      <c r="I64" s="116" t="s">
        <v>5373</v>
      </c>
      <c r="J64" s="207" t="s">
        <v>5374</v>
      </c>
      <c r="K64" s="1197" t="str">
        <f t="shared" si="7"/>
        <v/>
      </c>
      <c r="L64" s="1434"/>
      <c r="M64" s="1434"/>
      <c r="N64" s="1434"/>
      <c r="O64" s="1434"/>
      <c r="P64" s="1434"/>
      <c r="Q64" s="1434"/>
      <c r="R64" s="1434"/>
      <c r="S64" s="1434"/>
      <c r="T64" s="1434"/>
      <c r="U64" s="1434"/>
      <c r="V64" s="1434"/>
      <c r="W64" s="288"/>
      <c r="X64" s="140"/>
      <c r="Y64" s="140"/>
      <c r="Z64" s="140"/>
      <c r="AA64" s="140"/>
      <c r="AB64" s="140"/>
      <c r="AC64" s="140"/>
      <c r="AD64" s="140"/>
      <c r="CB64" s="1445" t="str">
        <f t="shared" si="8"/>
        <v/>
      </c>
      <c r="CC64" s="1445"/>
      <c r="CD64" s="1445"/>
      <c r="CE64" s="1445"/>
      <c r="CF64" s="1445"/>
      <c r="CG64" s="1445"/>
      <c r="CH64" s="1446">
        <f t="shared" si="9"/>
        <v>0</v>
      </c>
      <c r="CI64" s="1443"/>
      <c r="CJ64" s="1443"/>
      <c r="CK64" s="1443"/>
      <c r="CL64" s="1443"/>
      <c r="CM64" s="1443"/>
      <c r="CN64" s="1443"/>
      <c r="CO64" s="1443"/>
      <c r="CP64" s="1443"/>
    </row>
    <row r="65" spans="1:94" x14ac:dyDescent="0.3">
      <c r="A65" s="7258">
        <v>27300908</v>
      </c>
      <c r="B65" s="10823"/>
      <c r="C65" s="8987" t="s">
        <v>495</v>
      </c>
      <c r="D65" s="339" t="s">
        <v>496</v>
      </c>
      <c r="E65" s="76" t="s">
        <v>5369</v>
      </c>
      <c r="F65" s="134" t="s">
        <v>5370</v>
      </c>
      <c r="G65" s="89" t="s">
        <v>5371</v>
      </c>
      <c r="H65" s="89" t="s">
        <v>5372</v>
      </c>
      <c r="I65" s="174" t="s">
        <v>5373</v>
      </c>
      <c r="J65" s="205" t="s">
        <v>5374</v>
      </c>
      <c r="K65" s="1197" t="str">
        <f t="shared" si="7"/>
        <v/>
      </c>
      <c r="L65" s="1434"/>
      <c r="M65" s="1434"/>
      <c r="N65" s="1434"/>
      <c r="O65" s="1434"/>
      <c r="P65" s="1434"/>
      <c r="Q65" s="1434"/>
      <c r="R65" s="1434"/>
      <c r="S65" s="1434"/>
      <c r="T65" s="1434"/>
      <c r="U65" s="1434"/>
      <c r="V65" s="1434"/>
      <c r="W65" s="288"/>
      <c r="X65" s="140"/>
      <c r="Y65" s="140"/>
      <c r="Z65" s="140"/>
      <c r="AA65" s="140"/>
      <c r="AB65" s="140"/>
      <c r="AC65" s="140"/>
      <c r="AD65" s="140"/>
      <c r="CB65" s="1445" t="str">
        <f t="shared" si="8"/>
        <v/>
      </c>
      <c r="CC65" s="1445"/>
      <c r="CD65" s="1445"/>
      <c r="CE65" s="1445"/>
      <c r="CF65" s="1445"/>
      <c r="CG65" s="1445"/>
      <c r="CH65" s="1446">
        <f t="shared" si="9"/>
        <v>0</v>
      </c>
      <c r="CI65" s="1443"/>
      <c r="CJ65" s="1443"/>
      <c r="CK65" s="1443"/>
      <c r="CL65" s="1443"/>
      <c r="CM65" s="1443"/>
      <c r="CN65" s="1443"/>
      <c r="CO65" s="1443"/>
      <c r="CP65" s="1443"/>
    </row>
    <row r="66" spans="1:94" x14ac:dyDescent="0.3">
      <c r="A66" s="7258">
        <v>27300909</v>
      </c>
      <c r="B66" s="10823"/>
      <c r="C66" s="8555"/>
      <c r="D66" s="2166" t="s">
        <v>497</v>
      </c>
      <c r="E66" s="109" t="s">
        <v>5369</v>
      </c>
      <c r="F66" s="136" t="s">
        <v>5370</v>
      </c>
      <c r="G66" s="111" t="s">
        <v>5371</v>
      </c>
      <c r="H66" s="111" t="s">
        <v>5372</v>
      </c>
      <c r="I66" s="168" t="s">
        <v>5373</v>
      </c>
      <c r="J66" s="206" t="s">
        <v>5374</v>
      </c>
      <c r="K66" s="1197" t="str">
        <f t="shared" si="7"/>
        <v/>
      </c>
      <c r="L66" s="1434"/>
      <c r="M66" s="1434"/>
      <c r="N66" s="1434"/>
      <c r="O66" s="1434"/>
      <c r="P66" s="1434"/>
      <c r="Q66" s="1434"/>
      <c r="R66" s="1434"/>
      <c r="S66" s="1434"/>
      <c r="T66" s="1434"/>
      <c r="U66" s="1434"/>
      <c r="V66" s="1434"/>
      <c r="W66" s="288"/>
      <c r="X66" s="140"/>
      <c r="Y66" s="140"/>
      <c r="Z66" s="140"/>
      <c r="AA66" s="140"/>
      <c r="AB66" s="140"/>
      <c r="AC66" s="140"/>
      <c r="AD66" s="140"/>
      <c r="CB66" s="1445" t="str">
        <f t="shared" si="8"/>
        <v/>
      </c>
      <c r="CC66" s="1445"/>
      <c r="CD66" s="1445"/>
      <c r="CE66" s="1445"/>
      <c r="CF66" s="1445"/>
      <c r="CG66" s="1445"/>
      <c r="CH66" s="1446">
        <f t="shared" si="9"/>
        <v>0</v>
      </c>
      <c r="CI66" s="1443"/>
      <c r="CJ66" s="1443"/>
      <c r="CK66" s="1443"/>
      <c r="CL66" s="1443"/>
      <c r="CM66" s="1443"/>
      <c r="CN66" s="1443"/>
      <c r="CO66" s="1443"/>
      <c r="CP66" s="1443"/>
    </row>
    <row r="67" spans="1:94" x14ac:dyDescent="0.3">
      <c r="A67" s="7258">
        <v>27300910</v>
      </c>
      <c r="B67" s="10823"/>
      <c r="C67" s="8988"/>
      <c r="D67" s="2104" t="s">
        <v>70</v>
      </c>
      <c r="E67" s="81" t="s">
        <v>5369</v>
      </c>
      <c r="F67" s="102" t="s">
        <v>5370</v>
      </c>
      <c r="G67" s="83" t="s">
        <v>5371</v>
      </c>
      <c r="H67" s="83" t="s">
        <v>5372</v>
      </c>
      <c r="I67" s="175" t="s">
        <v>5373</v>
      </c>
      <c r="J67" s="211" t="s">
        <v>5374</v>
      </c>
      <c r="K67" s="1197" t="str">
        <f t="shared" si="7"/>
        <v/>
      </c>
      <c r="L67" s="1434"/>
      <c r="M67" s="1434"/>
      <c r="N67" s="1434"/>
      <c r="O67" s="1434"/>
      <c r="P67" s="1434"/>
      <c r="Q67" s="1434"/>
      <c r="R67" s="1434"/>
      <c r="S67" s="1434"/>
      <c r="T67" s="1434"/>
      <c r="U67" s="1434"/>
      <c r="V67" s="1434"/>
      <c r="W67" s="288"/>
      <c r="X67" s="140"/>
      <c r="Y67" s="140"/>
      <c r="Z67" s="140"/>
      <c r="AA67" s="140"/>
      <c r="AB67" s="140"/>
      <c r="AC67" s="140"/>
      <c r="AD67" s="140"/>
      <c r="CB67" s="1445" t="str">
        <f t="shared" si="8"/>
        <v/>
      </c>
      <c r="CC67" s="1445"/>
      <c r="CD67" s="1445"/>
      <c r="CE67" s="1445"/>
      <c r="CF67" s="1445"/>
      <c r="CG67" s="1445"/>
      <c r="CH67" s="1446">
        <f t="shared" si="9"/>
        <v>0</v>
      </c>
      <c r="CI67" s="1443"/>
      <c r="CJ67" s="1443"/>
      <c r="CK67" s="1443"/>
      <c r="CL67" s="1443"/>
      <c r="CM67" s="1443"/>
      <c r="CN67" s="1443"/>
      <c r="CO67" s="1443"/>
      <c r="CP67" s="1443"/>
    </row>
    <row r="68" spans="1:94" x14ac:dyDescent="0.3">
      <c r="A68" s="7258">
        <v>27300900</v>
      </c>
      <c r="B68" s="10823"/>
      <c r="C68" s="8987" t="s">
        <v>498</v>
      </c>
      <c r="D68" s="315" t="s">
        <v>499</v>
      </c>
      <c r="E68" s="329" t="s">
        <v>5369</v>
      </c>
      <c r="F68" s="106" t="s">
        <v>5370</v>
      </c>
      <c r="G68" s="89" t="s">
        <v>5371</v>
      </c>
      <c r="H68" s="89" t="s">
        <v>5372</v>
      </c>
      <c r="I68" s="174" t="s">
        <v>5373</v>
      </c>
      <c r="J68" s="205" t="s">
        <v>5374</v>
      </c>
      <c r="K68" s="1197" t="str">
        <f t="shared" si="7"/>
        <v/>
      </c>
      <c r="L68" s="1434"/>
      <c r="M68" s="1434"/>
      <c r="N68" s="1434"/>
      <c r="O68" s="1434"/>
      <c r="P68" s="1434"/>
      <c r="Q68" s="1434"/>
      <c r="R68" s="1434"/>
      <c r="S68" s="1434"/>
      <c r="T68" s="1434"/>
      <c r="U68" s="1434"/>
      <c r="V68" s="1434"/>
      <c r="W68" s="288"/>
      <c r="X68" s="140"/>
      <c r="Y68" s="140"/>
      <c r="Z68" s="140"/>
      <c r="AA68" s="140"/>
      <c r="AB68" s="140"/>
      <c r="AC68" s="140"/>
      <c r="AD68" s="140"/>
      <c r="CB68" s="1445" t="str">
        <f t="shared" si="8"/>
        <v/>
      </c>
      <c r="CC68" s="1445"/>
      <c r="CD68" s="1445"/>
      <c r="CE68" s="1445"/>
      <c r="CF68" s="1445"/>
      <c r="CG68" s="1445"/>
      <c r="CH68" s="1446">
        <f t="shared" si="9"/>
        <v>0</v>
      </c>
      <c r="CI68" s="1443"/>
      <c r="CJ68" s="1443"/>
      <c r="CK68" s="1443"/>
      <c r="CL68" s="1443"/>
      <c r="CM68" s="1443"/>
      <c r="CN68" s="1443"/>
      <c r="CO68" s="1443"/>
      <c r="CP68" s="1443"/>
    </row>
    <row r="69" spans="1:94" x14ac:dyDescent="0.3">
      <c r="A69" s="7258">
        <v>27400200</v>
      </c>
      <c r="B69" s="10823"/>
      <c r="C69" s="8555"/>
      <c r="D69" s="2798" t="s">
        <v>500</v>
      </c>
      <c r="E69" s="92" t="s">
        <v>5369</v>
      </c>
      <c r="F69" s="110" t="s">
        <v>5370</v>
      </c>
      <c r="G69" s="111" t="s">
        <v>5371</v>
      </c>
      <c r="H69" s="111" t="s">
        <v>5372</v>
      </c>
      <c r="I69" s="168" t="s">
        <v>5373</v>
      </c>
      <c r="J69" s="206" t="s">
        <v>5374</v>
      </c>
      <c r="K69" s="1197" t="str">
        <f t="shared" si="7"/>
        <v/>
      </c>
      <c r="L69" s="1434"/>
      <c r="M69" s="1434"/>
      <c r="N69" s="1434"/>
      <c r="O69" s="1434"/>
      <c r="P69" s="1434"/>
      <c r="Q69" s="1434"/>
      <c r="R69" s="1434"/>
      <c r="S69" s="1434"/>
      <c r="T69" s="1434"/>
      <c r="U69" s="1434"/>
      <c r="V69" s="1434"/>
      <c r="W69" s="288"/>
      <c r="X69" s="140"/>
      <c r="Y69" s="140"/>
      <c r="Z69" s="140"/>
      <c r="AA69" s="140"/>
      <c r="AB69" s="140"/>
      <c r="AC69" s="140"/>
      <c r="AD69" s="140"/>
      <c r="CB69" s="1445" t="str">
        <f t="shared" si="8"/>
        <v/>
      </c>
      <c r="CC69" s="1445"/>
      <c r="CD69" s="1445"/>
      <c r="CE69" s="1445"/>
      <c r="CF69" s="1445"/>
      <c r="CG69" s="1445"/>
      <c r="CH69" s="1446">
        <f t="shared" si="9"/>
        <v>0</v>
      </c>
      <c r="CI69" s="1443"/>
      <c r="CJ69" s="1443"/>
      <c r="CK69" s="1443"/>
      <c r="CL69" s="1443"/>
      <c r="CM69" s="1443"/>
      <c r="CN69" s="1443"/>
      <c r="CO69" s="1443"/>
      <c r="CP69" s="1443"/>
    </row>
    <row r="70" spans="1:94" x14ac:dyDescent="0.3">
      <c r="A70" s="7258">
        <v>27400250</v>
      </c>
      <c r="B70" s="10823"/>
      <c r="C70" s="8988"/>
      <c r="D70" s="2104" t="s">
        <v>70</v>
      </c>
      <c r="E70" s="81" t="s">
        <v>5369</v>
      </c>
      <c r="F70" s="125" t="s">
        <v>5370</v>
      </c>
      <c r="G70" s="83" t="s">
        <v>5371</v>
      </c>
      <c r="H70" s="83" t="s">
        <v>5372</v>
      </c>
      <c r="I70" s="175" t="s">
        <v>5373</v>
      </c>
      <c r="J70" s="211" t="s">
        <v>5374</v>
      </c>
      <c r="K70" s="1197" t="str">
        <f t="shared" si="7"/>
        <v/>
      </c>
      <c r="L70" s="1434"/>
      <c r="M70" s="1434"/>
      <c r="N70" s="1434"/>
      <c r="O70" s="1434"/>
      <c r="P70" s="1434"/>
      <c r="Q70" s="1434"/>
      <c r="R70" s="1434"/>
      <c r="S70" s="1434"/>
      <c r="T70" s="1434"/>
      <c r="U70" s="1434"/>
      <c r="V70" s="1434"/>
      <c r="W70" s="288"/>
      <c r="X70" s="140"/>
      <c r="Y70" s="140"/>
      <c r="Z70" s="140"/>
      <c r="AA70" s="140"/>
      <c r="AB70" s="140"/>
      <c r="AC70" s="140"/>
      <c r="AD70" s="140"/>
      <c r="CB70" s="1445" t="str">
        <f t="shared" si="8"/>
        <v/>
      </c>
      <c r="CC70" s="1445"/>
      <c r="CD70" s="1445"/>
      <c r="CE70" s="1445"/>
      <c r="CF70" s="1445"/>
      <c r="CG70" s="1445"/>
      <c r="CH70" s="1446">
        <f t="shared" si="9"/>
        <v>0</v>
      </c>
      <c r="CI70" s="1443"/>
      <c r="CJ70" s="1443"/>
      <c r="CK70" s="1443"/>
      <c r="CL70" s="1443"/>
      <c r="CM70" s="1443"/>
      <c r="CN70" s="1443"/>
      <c r="CO70" s="1443"/>
      <c r="CP70" s="1443"/>
    </row>
    <row r="71" spans="1:94" x14ac:dyDescent="0.3">
      <c r="A71" s="7258">
        <v>27300200</v>
      </c>
      <c r="B71" s="10823"/>
      <c r="C71" s="8838" t="s">
        <v>501</v>
      </c>
      <c r="D71" s="9530"/>
      <c r="E71" s="1915" t="s">
        <v>5369</v>
      </c>
      <c r="F71" s="1916" t="s">
        <v>5370</v>
      </c>
      <c r="G71" s="1917" t="s">
        <v>5371</v>
      </c>
      <c r="H71" s="1917" t="s">
        <v>5372</v>
      </c>
      <c r="I71" s="1920" t="s">
        <v>5373</v>
      </c>
      <c r="J71" s="1857" t="s">
        <v>5374</v>
      </c>
      <c r="K71" s="1197" t="str">
        <f t="shared" si="7"/>
        <v/>
      </c>
      <c r="L71" s="1434"/>
      <c r="M71" s="1434"/>
      <c r="N71" s="1434"/>
      <c r="O71" s="1434"/>
      <c r="P71" s="1434"/>
      <c r="Q71" s="1434"/>
      <c r="R71" s="1434"/>
      <c r="S71" s="1434"/>
      <c r="T71" s="1434"/>
      <c r="U71" s="1434"/>
      <c r="V71" s="1434"/>
      <c r="W71" s="288"/>
      <c r="X71" s="140"/>
      <c r="Y71" s="140"/>
      <c r="Z71" s="140"/>
      <c r="AA71" s="140"/>
      <c r="AB71" s="140"/>
      <c r="AC71" s="140"/>
      <c r="AD71" s="140"/>
      <c r="CB71" s="1445" t="str">
        <f t="shared" si="8"/>
        <v/>
      </c>
      <c r="CC71" s="1445"/>
      <c r="CD71" s="1445"/>
      <c r="CE71" s="1445"/>
      <c r="CF71" s="1445"/>
      <c r="CG71" s="1445"/>
      <c r="CH71" s="1446">
        <f t="shared" si="9"/>
        <v>0</v>
      </c>
      <c r="CI71" s="1443"/>
      <c r="CJ71" s="1443"/>
      <c r="CK71" s="1443"/>
      <c r="CL71" s="1443"/>
      <c r="CM71" s="1443"/>
      <c r="CN71" s="1443"/>
      <c r="CO71" s="1443"/>
      <c r="CP71" s="1443"/>
    </row>
    <row r="72" spans="1:94" x14ac:dyDescent="0.3">
      <c r="A72" s="7258">
        <v>27300923</v>
      </c>
      <c r="B72" s="10823"/>
      <c r="C72" s="10814" t="s">
        <v>502</v>
      </c>
      <c r="D72" s="359" t="s">
        <v>503</v>
      </c>
      <c r="E72" s="1922" t="s">
        <v>5369</v>
      </c>
      <c r="F72" s="1312" t="s">
        <v>5370</v>
      </c>
      <c r="G72" s="1669" t="s">
        <v>5371</v>
      </c>
      <c r="H72" s="1669" t="s">
        <v>5372</v>
      </c>
      <c r="I72" s="166" t="s">
        <v>5373</v>
      </c>
      <c r="J72" s="1314" t="s">
        <v>5374</v>
      </c>
      <c r="K72" s="1197" t="str">
        <f t="shared" si="7"/>
        <v/>
      </c>
      <c r="L72" s="1434"/>
      <c r="M72" s="1434"/>
      <c r="N72" s="1434"/>
      <c r="O72" s="1434"/>
      <c r="P72" s="1434"/>
      <c r="Q72" s="1434"/>
      <c r="R72" s="1434"/>
      <c r="S72" s="1434"/>
      <c r="T72" s="1434"/>
      <c r="U72" s="1434"/>
      <c r="V72" s="1434"/>
      <c r="W72" s="288"/>
      <c r="X72" s="140"/>
      <c r="Y72" s="140"/>
      <c r="Z72" s="140"/>
      <c r="AA72" s="140"/>
      <c r="AB72" s="140"/>
      <c r="AC72" s="140"/>
      <c r="AD72" s="140"/>
      <c r="CB72" s="1445" t="str">
        <f t="shared" si="8"/>
        <v/>
      </c>
      <c r="CC72" s="1445"/>
      <c r="CD72" s="1445"/>
      <c r="CE72" s="1445"/>
      <c r="CF72" s="1445"/>
      <c r="CG72" s="1445"/>
      <c r="CH72" s="1446">
        <f t="shared" si="9"/>
        <v>0</v>
      </c>
      <c r="CI72" s="1443"/>
      <c r="CJ72" s="1443"/>
      <c r="CK72" s="1443"/>
      <c r="CL72" s="1443"/>
      <c r="CM72" s="1443"/>
      <c r="CN72" s="1443"/>
      <c r="CO72" s="1443"/>
      <c r="CP72" s="1443"/>
    </row>
    <row r="73" spans="1:94" x14ac:dyDescent="0.3">
      <c r="A73" s="7258">
        <v>27300924</v>
      </c>
      <c r="B73" s="10823"/>
      <c r="C73" s="10814"/>
      <c r="D73" s="359" t="s">
        <v>504</v>
      </c>
      <c r="E73" s="92" t="s">
        <v>5369</v>
      </c>
      <c r="F73" s="110" t="s">
        <v>5370</v>
      </c>
      <c r="G73" s="111" t="s">
        <v>5371</v>
      </c>
      <c r="H73" s="111" t="s">
        <v>5372</v>
      </c>
      <c r="I73" s="168" t="s">
        <v>5373</v>
      </c>
      <c r="J73" s="206" t="s">
        <v>5374</v>
      </c>
      <c r="K73" s="1197" t="str">
        <f t="shared" si="7"/>
        <v/>
      </c>
      <c r="L73" s="1434"/>
      <c r="M73" s="1434"/>
      <c r="N73" s="1434"/>
      <c r="O73" s="1434"/>
      <c r="P73" s="1434"/>
      <c r="Q73" s="1434"/>
      <c r="R73" s="1434"/>
      <c r="S73" s="1434"/>
      <c r="T73" s="1434"/>
      <c r="U73" s="1434"/>
      <c r="V73" s="1434"/>
      <c r="W73" s="288"/>
      <c r="X73" s="140"/>
      <c r="Y73" s="140"/>
      <c r="Z73" s="140"/>
      <c r="AA73" s="140"/>
      <c r="AB73" s="140"/>
      <c r="AC73" s="140"/>
      <c r="AD73" s="140"/>
      <c r="CB73" s="1445" t="str">
        <f t="shared" si="8"/>
        <v/>
      </c>
      <c r="CC73" s="1445"/>
      <c r="CD73" s="1445"/>
      <c r="CE73" s="1445"/>
      <c r="CF73" s="1445"/>
      <c r="CG73" s="1445"/>
      <c r="CH73" s="1446">
        <f t="shared" si="9"/>
        <v>0</v>
      </c>
      <c r="CI73" s="1443"/>
      <c r="CJ73" s="1443"/>
      <c r="CK73" s="1443"/>
      <c r="CL73" s="1443"/>
      <c r="CM73" s="1443"/>
      <c r="CN73" s="1443"/>
      <c r="CO73" s="1443"/>
      <c r="CP73" s="1443"/>
    </row>
    <row r="74" spans="1:94" x14ac:dyDescent="0.3">
      <c r="A74" s="7258">
        <v>27300925</v>
      </c>
      <c r="B74" s="10823"/>
      <c r="C74" s="10819" t="s">
        <v>624</v>
      </c>
      <c r="D74" s="10819"/>
      <c r="E74" s="92" t="s">
        <v>5369</v>
      </c>
      <c r="F74" s="110" t="s">
        <v>5370</v>
      </c>
      <c r="G74" s="111" t="s">
        <v>5371</v>
      </c>
      <c r="H74" s="111" t="s">
        <v>5372</v>
      </c>
      <c r="I74" s="168" t="s">
        <v>5373</v>
      </c>
      <c r="J74" s="206" t="s">
        <v>5374</v>
      </c>
      <c r="K74" s="1197" t="str">
        <f t="shared" si="7"/>
        <v/>
      </c>
      <c r="L74" s="1434"/>
      <c r="M74" s="1434"/>
      <c r="N74" s="1434"/>
      <c r="O74" s="1434"/>
      <c r="P74" s="1434"/>
      <c r="Q74" s="1434"/>
      <c r="R74" s="1434"/>
      <c r="S74" s="1434"/>
      <c r="T74" s="1434"/>
      <c r="U74" s="1434"/>
      <c r="V74" s="1434"/>
      <c r="W74" s="288"/>
      <c r="X74" s="140"/>
      <c r="Y74" s="140"/>
      <c r="Z74" s="140"/>
      <c r="AA74" s="140"/>
      <c r="AB74" s="140"/>
      <c r="AC74" s="140"/>
      <c r="AD74" s="140"/>
      <c r="CB74" s="1445" t="str">
        <f t="shared" si="8"/>
        <v/>
      </c>
      <c r="CC74" s="1445"/>
      <c r="CD74" s="1445"/>
      <c r="CE74" s="1445"/>
      <c r="CF74" s="1445"/>
      <c r="CG74" s="1445"/>
      <c r="CH74" s="1446">
        <f t="shared" si="9"/>
        <v>0</v>
      </c>
      <c r="CI74" s="1443"/>
      <c r="CJ74" s="1443"/>
      <c r="CK74" s="1443"/>
      <c r="CL74" s="1443"/>
      <c r="CM74" s="1443"/>
      <c r="CN74" s="1443"/>
      <c r="CO74" s="1443"/>
      <c r="CP74" s="1443"/>
    </row>
    <row r="75" spans="1:94" x14ac:dyDescent="0.3">
      <c r="A75" s="7258">
        <v>27290302</v>
      </c>
      <c r="B75" s="10823"/>
      <c r="C75" s="10820" t="s">
        <v>505</v>
      </c>
      <c r="D75" s="10821"/>
      <c r="E75" s="92" t="s">
        <v>5369</v>
      </c>
      <c r="F75" s="110" t="s">
        <v>5370</v>
      </c>
      <c r="G75" s="111" t="s">
        <v>5371</v>
      </c>
      <c r="H75" s="111" t="s">
        <v>5372</v>
      </c>
      <c r="I75" s="168" t="s">
        <v>5373</v>
      </c>
      <c r="J75" s="206" t="s">
        <v>5374</v>
      </c>
      <c r="K75" s="1197" t="str">
        <f t="shared" si="7"/>
        <v/>
      </c>
      <c r="L75" s="1434"/>
      <c r="M75" s="1434"/>
      <c r="N75" s="1434"/>
      <c r="O75" s="1434"/>
      <c r="P75" s="1434"/>
      <c r="Q75" s="1434"/>
      <c r="R75" s="1434"/>
      <c r="S75" s="1434"/>
      <c r="T75" s="1434"/>
      <c r="U75" s="1434"/>
      <c r="V75" s="1434"/>
      <c r="W75" s="288"/>
      <c r="X75" s="140"/>
      <c r="Y75" s="140"/>
      <c r="Z75" s="140"/>
      <c r="AA75" s="140"/>
      <c r="AB75" s="140"/>
      <c r="AC75" s="140"/>
      <c r="AD75" s="140"/>
      <c r="CB75" s="1445" t="str">
        <f t="shared" si="8"/>
        <v/>
      </c>
      <c r="CC75" s="1445"/>
      <c r="CD75" s="1445"/>
      <c r="CE75" s="1445"/>
      <c r="CF75" s="1445"/>
      <c r="CG75" s="1445"/>
      <c r="CH75" s="1446">
        <f t="shared" si="9"/>
        <v>0</v>
      </c>
      <c r="CI75" s="1443"/>
      <c r="CJ75" s="1443"/>
      <c r="CK75" s="1443"/>
      <c r="CL75" s="1443"/>
      <c r="CM75" s="1443"/>
      <c r="CN75" s="1443"/>
      <c r="CO75" s="1443"/>
      <c r="CP75" s="1443"/>
    </row>
    <row r="76" spans="1:94" x14ac:dyDescent="0.3">
      <c r="A76" s="7258">
        <v>27400020</v>
      </c>
      <c r="B76" s="10823"/>
      <c r="C76" s="9604" t="s">
        <v>506</v>
      </c>
      <c r="D76" s="9605"/>
      <c r="E76" s="92" t="s">
        <v>5369</v>
      </c>
      <c r="F76" s="137" t="s">
        <v>5370</v>
      </c>
      <c r="G76" s="115" t="s">
        <v>5371</v>
      </c>
      <c r="H76" s="115" t="s">
        <v>5372</v>
      </c>
      <c r="I76" s="116" t="s">
        <v>5373</v>
      </c>
      <c r="J76" s="207" t="s">
        <v>5374</v>
      </c>
      <c r="K76" s="1197" t="str">
        <f t="shared" si="7"/>
        <v/>
      </c>
      <c r="L76" s="1434"/>
      <c r="M76" s="1434"/>
      <c r="N76" s="1434"/>
      <c r="O76" s="1434"/>
      <c r="P76" s="1434"/>
      <c r="Q76" s="1434"/>
      <c r="R76" s="1434"/>
      <c r="S76" s="1434"/>
      <c r="T76" s="1434"/>
      <c r="U76" s="1434"/>
      <c r="V76" s="1434"/>
      <c r="W76" s="288"/>
      <c r="X76" s="140"/>
      <c r="Y76" s="140"/>
      <c r="Z76" s="140"/>
      <c r="AA76" s="140"/>
      <c r="AB76" s="140"/>
      <c r="AC76" s="140"/>
      <c r="AD76" s="140"/>
      <c r="CB76" s="1445" t="str">
        <f t="shared" si="8"/>
        <v/>
      </c>
      <c r="CC76" s="1445"/>
      <c r="CD76" s="1445"/>
      <c r="CE76" s="1445"/>
      <c r="CF76" s="1445"/>
      <c r="CG76" s="1445"/>
      <c r="CH76" s="1446">
        <f t="shared" si="9"/>
        <v>0</v>
      </c>
      <c r="CI76" s="1443"/>
      <c r="CJ76" s="1443"/>
      <c r="CK76" s="1443"/>
      <c r="CL76" s="1443"/>
      <c r="CM76" s="1443"/>
      <c r="CN76" s="1443"/>
      <c r="CO76" s="1443"/>
      <c r="CP76" s="1443"/>
    </row>
    <row r="77" spans="1:94" x14ac:dyDescent="0.3">
      <c r="A77" s="7258">
        <v>27282400</v>
      </c>
      <c r="B77" s="10823"/>
      <c r="C77" s="10800" t="s">
        <v>507</v>
      </c>
      <c r="D77" s="10801"/>
      <c r="E77" s="92" t="s">
        <v>5369</v>
      </c>
      <c r="F77" s="137" t="s">
        <v>5370</v>
      </c>
      <c r="G77" s="115" t="s">
        <v>5371</v>
      </c>
      <c r="H77" s="115" t="s">
        <v>5372</v>
      </c>
      <c r="I77" s="116" t="s">
        <v>5373</v>
      </c>
      <c r="J77" s="207" t="s">
        <v>5374</v>
      </c>
      <c r="K77" s="1197" t="str">
        <f t="shared" si="7"/>
        <v/>
      </c>
      <c r="L77" s="1434"/>
      <c r="M77" s="1434"/>
      <c r="N77" s="1434"/>
      <c r="O77" s="1434"/>
      <c r="P77" s="1434"/>
      <c r="Q77" s="1434"/>
      <c r="R77" s="1434"/>
      <c r="S77" s="1434"/>
      <c r="T77" s="1434"/>
      <c r="U77" s="1434"/>
      <c r="V77" s="1434"/>
      <c r="W77" s="288"/>
      <c r="X77" s="140"/>
      <c r="Y77" s="140"/>
      <c r="Z77" s="140"/>
      <c r="AA77" s="140"/>
      <c r="AB77" s="140"/>
      <c r="AC77" s="140"/>
      <c r="AD77" s="140"/>
      <c r="CB77" s="1445" t="str">
        <f t="shared" si="8"/>
        <v/>
      </c>
      <c r="CC77" s="1445"/>
      <c r="CD77" s="1445"/>
      <c r="CE77" s="1445"/>
      <c r="CF77" s="1445"/>
      <c r="CG77" s="1445"/>
      <c r="CH77" s="1446">
        <f t="shared" si="9"/>
        <v>0</v>
      </c>
      <c r="CI77" s="1443"/>
      <c r="CJ77" s="1443"/>
      <c r="CK77" s="1443"/>
      <c r="CL77" s="1443"/>
      <c r="CM77" s="1443"/>
      <c r="CN77" s="1443"/>
      <c r="CO77" s="1443"/>
      <c r="CP77" s="1443"/>
    </row>
    <row r="78" spans="1:94" x14ac:dyDescent="0.3">
      <c r="A78" s="7258">
        <v>27282500</v>
      </c>
      <c r="B78" s="10823"/>
      <c r="C78" s="8987" t="s">
        <v>508</v>
      </c>
      <c r="D78" s="346" t="s">
        <v>509</v>
      </c>
      <c r="E78" s="329" t="s">
        <v>5369</v>
      </c>
      <c r="F78" s="106" t="s">
        <v>5370</v>
      </c>
      <c r="G78" s="89" t="s">
        <v>5371</v>
      </c>
      <c r="H78" s="89" t="s">
        <v>5372</v>
      </c>
      <c r="I78" s="174" t="s">
        <v>5373</v>
      </c>
      <c r="J78" s="205" t="s">
        <v>5374</v>
      </c>
      <c r="K78" s="1197" t="str">
        <f t="shared" si="7"/>
        <v/>
      </c>
      <c r="L78" s="1434"/>
      <c r="M78" s="1434"/>
      <c r="N78" s="1434"/>
      <c r="O78" s="1434"/>
      <c r="P78" s="1434"/>
      <c r="Q78" s="1434"/>
      <c r="R78" s="1434"/>
      <c r="S78" s="1434"/>
      <c r="T78" s="1434"/>
      <c r="U78" s="1434"/>
      <c r="V78" s="1434"/>
      <c r="W78" s="288"/>
      <c r="X78" s="140"/>
      <c r="Y78" s="140"/>
      <c r="Z78" s="140"/>
      <c r="AA78" s="140"/>
      <c r="AB78" s="140"/>
      <c r="AC78" s="140"/>
      <c r="AD78" s="140"/>
      <c r="CB78" s="1445" t="str">
        <f t="shared" si="8"/>
        <v/>
      </c>
      <c r="CC78" s="1445"/>
      <c r="CD78" s="1445"/>
      <c r="CE78" s="1445"/>
      <c r="CF78" s="1445"/>
      <c r="CG78" s="1445"/>
      <c r="CH78" s="1446">
        <f t="shared" si="9"/>
        <v>0</v>
      </c>
      <c r="CI78" s="1443"/>
      <c r="CJ78" s="1443"/>
      <c r="CK78" s="1443"/>
      <c r="CL78" s="1443"/>
      <c r="CM78" s="1443"/>
      <c r="CN78" s="1443"/>
      <c r="CO78" s="1443"/>
      <c r="CP78" s="1443"/>
    </row>
    <row r="79" spans="1:94" x14ac:dyDescent="0.3">
      <c r="A79" s="7258">
        <v>27282600</v>
      </c>
      <c r="B79" s="10823"/>
      <c r="C79" s="8555"/>
      <c r="D79" s="360" t="s">
        <v>510</v>
      </c>
      <c r="E79" s="92" t="s">
        <v>5369</v>
      </c>
      <c r="F79" s="110" t="s">
        <v>5370</v>
      </c>
      <c r="G79" s="111" t="s">
        <v>5371</v>
      </c>
      <c r="H79" s="111" t="s">
        <v>5372</v>
      </c>
      <c r="I79" s="168" t="s">
        <v>5373</v>
      </c>
      <c r="J79" s="206" t="s">
        <v>5374</v>
      </c>
      <c r="K79" s="1197" t="str">
        <f t="shared" si="7"/>
        <v/>
      </c>
      <c r="L79" s="1434"/>
      <c r="M79" s="1434"/>
      <c r="N79" s="1434"/>
      <c r="O79" s="1434"/>
      <c r="P79" s="1434"/>
      <c r="Q79" s="1434"/>
      <c r="R79" s="1434"/>
      <c r="S79" s="1434"/>
      <c r="T79" s="1434"/>
      <c r="U79" s="1434"/>
      <c r="V79" s="1434"/>
      <c r="W79" s="288"/>
      <c r="X79" s="140"/>
      <c r="Y79" s="140"/>
      <c r="Z79" s="140"/>
      <c r="AA79" s="140"/>
      <c r="AB79" s="140"/>
      <c r="AC79" s="140"/>
      <c r="AD79" s="140"/>
      <c r="CB79" s="1445" t="str">
        <f t="shared" si="8"/>
        <v/>
      </c>
      <c r="CC79" s="1445"/>
      <c r="CD79" s="1445"/>
      <c r="CE79" s="1445"/>
      <c r="CF79" s="1445"/>
      <c r="CG79" s="1445"/>
      <c r="CH79" s="1446">
        <f t="shared" si="9"/>
        <v>0</v>
      </c>
      <c r="CI79" s="1443"/>
      <c r="CJ79" s="1443"/>
      <c r="CK79" s="1443"/>
      <c r="CL79" s="1443"/>
      <c r="CM79" s="1443"/>
      <c r="CN79" s="1443"/>
      <c r="CO79" s="1443"/>
      <c r="CP79" s="1443"/>
    </row>
    <row r="80" spans="1:94" x14ac:dyDescent="0.3">
      <c r="A80" s="7258">
        <v>27290303</v>
      </c>
      <c r="B80" s="10825"/>
      <c r="C80" s="8620"/>
      <c r="D80" s="2813" t="s">
        <v>511</v>
      </c>
      <c r="E80" s="2507" t="s">
        <v>5369</v>
      </c>
      <c r="F80" s="2518" t="s">
        <v>5370</v>
      </c>
      <c r="G80" s="2568" t="s">
        <v>5371</v>
      </c>
      <c r="H80" s="2568" t="s">
        <v>5372</v>
      </c>
      <c r="I80" s="2812" t="s">
        <v>5373</v>
      </c>
      <c r="J80" s="2529" t="s">
        <v>5374</v>
      </c>
      <c r="K80" s="1197" t="str">
        <f t="shared" si="7"/>
        <v/>
      </c>
      <c r="L80" s="1434"/>
      <c r="M80" s="1434"/>
      <c r="N80" s="1434"/>
      <c r="O80" s="1434"/>
      <c r="P80" s="1434"/>
      <c r="Q80" s="1434"/>
      <c r="R80" s="1434"/>
      <c r="S80" s="1434"/>
      <c r="T80" s="1434"/>
      <c r="U80" s="1434"/>
      <c r="V80" s="1434"/>
      <c r="W80" s="288"/>
      <c r="X80" s="140"/>
      <c r="Y80" s="140"/>
      <c r="Z80" s="140"/>
      <c r="AA80" s="140"/>
      <c r="AB80" s="140"/>
      <c r="AC80" s="140"/>
      <c r="AD80" s="140"/>
      <c r="CB80" s="1445" t="str">
        <f t="shared" si="8"/>
        <v/>
      </c>
      <c r="CC80" s="1445"/>
      <c r="CD80" s="1445"/>
      <c r="CE80" s="1445"/>
      <c r="CF80" s="1445"/>
      <c r="CG80" s="1445"/>
      <c r="CH80" s="1446">
        <f t="shared" si="9"/>
        <v>0</v>
      </c>
      <c r="CI80" s="1443"/>
      <c r="CJ80" s="1443"/>
      <c r="CK80" s="1443"/>
      <c r="CL80" s="1443"/>
      <c r="CM80" s="1443"/>
      <c r="CN80" s="1443"/>
      <c r="CO80" s="1443"/>
      <c r="CP80" s="1443"/>
    </row>
    <row r="81" spans="1:94" x14ac:dyDescent="0.3">
      <c r="A81" s="7294">
        <v>29101564</v>
      </c>
      <c r="B81" s="10825"/>
      <c r="C81" s="8620"/>
      <c r="D81" s="7673" t="s">
        <v>2705</v>
      </c>
      <c r="E81" s="2507" t="s">
        <v>5369</v>
      </c>
      <c r="F81" s="2518" t="s">
        <v>5370</v>
      </c>
      <c r="G81" s="2568" t="s">
        <v>5371</v>
      </c>
      <c r="H81" s="2568" t="s">
        <v>5372</v>
      </c>
      <c r="I81" s="2812" t="s">
        <v>5373</v>
      </c>
      <c r="J81" s="2529" t="s">
        <v>5374</v>
      </c>
      <c r="K81" s="1197" t="str">
        <f t="shared" si="7"/>
        <v/>
      </c>
      <c r="L81" s="1434"/>
      <c r="M81" s="1434"/>
      <c r="N81" s="1434"/>
      <c r="O81" s="1434"/>
      <c r="P81" s="1434"/>
      <c r="Q81" s="1434"/>
      <c r="R81" s="1434"/>
      <c r="S81" s="1434"/>
      <c r="T81" s="1434"/>
      <c r="U81" s="1434"/>
      <c r="V81" s="1434"/>
      <c r="W81" s="288"/>
      <c r="X81" s="140"/>
      <c r="Y81" s="140"/>
      <c r="Z81" s="140"/>
      <c r="AA81" s="140"/>
      <c r="AB81" s="140"/>
      <c r="AC81" s="140"/>
      <c r="AD81" s="140"/>
      <c r="CB81" s="1445" t="str">
        <f t="shared" si="8"/>
        <v/>
      </c>
      <c r="CC81" s="1445"/>
      <c r="CD81" s="1445"/>
      <c r="CE81" s="1445"/>
      <c r="CF81" s="1445"/>
      <c r="CG81" s="1445"/>
      <c r="CH81" s="1446">
        <f t="shared" si="9"/>
        <v>0</v>
      </c>
      <c r="CI81" s="1443"/>
      <c r="CJ81" s="1443"/>
      <c r="CK81" s="1443"/>
      <c r="CL81" s="1443"/>
      <c r="CM81" s="1443"/>
      <c r="CN81" s="1443"/>
      <c r="CO81" s="1443"/>
      <c r="CP81" s="1443"/>
    </row>
    <row r="82" spans="1:94" x14ac:dyDescent="0.3">
      <c r="A82" s="7294">
        <v>29101565</v>
      </c>
      <c r="B82" s="10823"/>
      <c r="C82" s="8988"/>
      <c r="D82" s="7673" t="s">
        <v>2706</v>
      </c>
      <c r="E82" s="92" t="s">
        <v>5369</v>
      </c>
      <c r="F82" s="137" t="s">
        <v>5370</v>
      </c>
      <c r="G82" s="115" t="s">
        <v>5371</v>
      </c>
      <c r="H82" s="115" t="s">
        <v>5372</v>
      </c>
      <c r="I82" s="116" t="s">
        <v>5373</v>
      </c>
      <c r="J82" s="207" t="s">
        <v>5374</v>
      </c>
      <c r="K82" s="1197" t="str">
        <f t="shared" si="7"/>
        <v/>
      </c>
      <c r="L82" s="1434"/>
      <c r="M82" s="1434"/>
      <c r="N82" s="1434"/>
      <c r="O82" s="1434"/>
      <c r="P82" s="1434"/>
      <c r="Q82" s="1434"/>
      <c r="R82" s="1434"/>
      <c r="S82" s="1434"/>
      <c r="T82" s="1434"/>
      <c r="U82" s="1434"/>
      <c r="V82" s="1434"/>
      <c r="W82" s="288"/>
      <c r="X82" s="140"/>
      <c r="Y82" s="140"/>
      <c r="Z82" s="140"/>
      <c r="AA82" s="140"/>
      <c r="AB82" s="140"/>
      <c r="AC82" s="140"/>
      <c r="AD82" s="140"/>
      <c r="CB82" s="1445" t="str">
        <f t="shared" si="8"/>
        <v/>
      </c>
      <c r="CC82" s="1445"/>
      <c r="CD82" s="1445"/>
      <c r="CE82" s="1445"/>
      <c r="CF82" s="1445"/>
      <c r="CG82" s="1445"/>
      <c r="CH82" s="1446">
        <f t="shared" si="9"/>
        <v>0</v>
      </c>
      <c r="CI82" s="1443"/>
      <c r="CJ82" s="1443"/>
      <c r="CK82" s="1443"/>
      <c r="CL82" s="1443"/>
      <c r="CM82" s="1443"/>
      <c r="CN82" s="1443"/>
      <c r="CO82" s="1443"/>
      <c r="CP82" s="1443"/>
    </row>
    <row r="83" spans="1:94" x14ac:dyDescent="0.3">
      <c r="A83" s="7258">
        <v>27300912</v>
      </c>
      <c r="B83" s="10823"/>
      <c r="C83" s="10829" t="s">
        <v>512</v>
      </c>
      <c r="D83" s="10830"/>
      <c r="E83" s="76" t="s">
        <v>5369</v>
      </c>
      <c r="F83" s="106" t="s">
        <v>5370</v>
      </c>
      <c r="G83" s="89" t="s">
        <v>5371</v>
      </c>
      <c r="H83" s="89" t="s">
        <v>5372</v>
      </c>
      <c r="I83" s="361" t="s">
        <v>5373</v>
      </c>
      <c r="J83" s="205" t="s">
        <v>5374</v>
      </c>
      <c r="K83" s="1197" t="str">
        <f t="shared" si="7"/>
        <v/>
      </c>
      <c r="L83" s="1434"/>
      <c r="M83" s="1434"/>
      <c r="N83" s="1434"/>
      <c r="O83" s="1434"/>
      <c r="P83" s="1434"/>
      <c r="Q83" s="1434"/>
      <c r="R83" s="1434"/>
      <c r="S83" s="1434"/>
      <c r="T83" s="1434"/>
      <c r="U83" s="1434"/>
      <c r="V83" s="1434"/>
      <c r="W83" s="288"/>
      <c r="X83" s="140"/>
      <c r="Y83" s="140"/>
      <c r="Z83" s="140"/>
      <c r="AA83" s="140"/>
      <c r="AB83" s="140"/>
      <c r="AC83" s="140"/>
      <c r="AD83" s="140"/>
      <c r="CB83" s="1445" t="str">
        <f t="shared" si="8"/>
        <v/>
      </c>
      <c r="CC83" s="1445"/>
      <c r="CD83" s="1445"/>
      <c r="CE83" s="1445"/>
      <c r="CF83" s="1445"/>
      <c r="CG83" s="1445"/>
      <c r="CH83" s="1446">
        <f t="shared" si="9"/>
        <v>0</v>
      </c>
      <c r="CI83" s="1443"/>
      <c r="CJ83" s="1443"/>
      <c r="CK83" s="1443"/>
      <c r="CL83" s="1443"/>
      <c r="CM83" s="1443"/>
      <c r="CN83" s="1443"/>
      <c r="CO83" s="1443"/>
      <c r="CP83" s="1443"/>
    </row>
    <row r="84" spans="1:94" x14ac:dyDescent="0.3">
      <c r="A84" s="7258">
        <v>27500150</v>
      </c>
      <c r="B84" s="10823"/>
      <c r="C84" s="10806" t="s">
        <v>513</v>
      </c>
      <c r="D84" s="10807"/>
      <c r="E84" s="336" t="s">
        <v>5369</v>
      </c>
      <c r="F84" s="148" t="s">
        <v>5370</v>
      </c>
      <c r="G84" s="95" t="s">
        <v>5371</v>
      </c>
      <c r="H84" s="95" t="s">
        <v>5372</v>
      </c>
      <c r="I84" s="362" t="s">
        <v>5373</v>
      </c>
      <c r="J84" s="210" t="s">
        <v>5374</v>
      </c>
      <c r="K84" s="1197" t="str">
        <f t="shared" si="7"/>
        <v/>
      </c>
      <c r="L84" s="1434"/>
      <c r="M84" s="1434"/>
      <c r="N84" s="1434"/>
      <c r="O84" s="1434"/>
      <c r="P84" s="1434"/>
      <c r="Q84" s="1434"/>
      <c r="R84" s="1434"/>
      <c r="S84" s="1434"/>
      <c r="T84" s="1434"/>
      <c r="U84" s="1434"/>
      <c r="V84" s="1434"/>
      <c r="W84" s="288"/>
      <c r="X84" s="140"/>
      <c r="Y84" s="140"/>
      <c r="Z84" s="140"/>
      <c r="AA84" s="140"/>
      <c r="AB84" s="140"/>
      <c r="AC84" s="140"/>
      <c r="AD84" s="140"/>
      <c r="CB84" s="1445" t="str">
        <f t="shared" si="8"/>
        <v/>
      </c>
      <c r="CC84" s="1445"/>
      <c r="CD84" s="1445"/>
      <c r="CE84" s="1445"/>
      <c r="CF84" s="1445"/>
      <c r="CG84" s="1445"/>
      <c r="CH84" s="1446">
        <f t="shared" si="9"/>
        <v>0</v>
      </c>
      <c r="CI84" s="1443"/>
      <c r="CJ84" s="1443"/>
      <c r="CK84" s="1443"/>
      <c r="CL84" s="1443"/>
      <c r="CM84" s="1443"/>
      <c r="CN84" s="1443"/>
      <c r="CO84" s="1443"/>
      <c r="CP84" s="1443"/>
    </row>
    <row r="85" spans="1:94" x14ac:dyDescent="0.3">
      <c r="A85" s="7672"/>
      <c r="B85" s="10826"/>
      <c r="C85" s="10831" t="s">
        <v>24</v>
      </c>
      <c r="D85" s="10832"/>
      <c r="E85" s="348">
        <f>SUM(F85:I85)</f>
        <v>0</v>
      </c>
      <c r="F85" s="310">
        <f>SUM(F51:F84)</f>
        <v>0</v>
      </c>
      <c r="G85" s="351">
        <f>SUM(G51:G84)</f>
        <v>0</v>
      </c>
      <c r="H85" s="351">
        <f>SUM(H51:H84)</f>
        <v>0</v>
      </c>
      <c r="I85" s="363">
        <f>SUM(I51:I84)</f>
        <v>0</v>
      </c>
      <c r="J85" s="364">
        <f>SUM(J51:J84)</f>
        <v>0</v>
      </c>
      <c r="K85" s="288"/>
      <c r="L85" s="301"/>
      <c r="M85" s="301"/>
      <c r="N85" s="301"/>
      <c r="O85" s="301"/>
      <c r="P85" s="301"/>
      <c r="Q85" s="301"/>
      <c r="R85" s="301"/>
      <c r="S85" s="288"/>
      <c r="T85" s="288"/>
      <c r="U85" s="288"/>
      <c r="V85" s="288"/>
      <c r="W85" s="288"/>
      <c r="X85" s="140"/>
      <c r="Y85" s="140"/>
      <c r="Z85" s="140"/>
      <c r="AA85" s="140"/>
      <c r="AB85" s="140"/>
      <c r="AC85" s="140"/>
      <c r="CB85" s="1445"/>
      <c r="CH85" s="1446"/>
      <c r="CI85" s="1443"/>
      <c r="CJ85" s="1443"/>
      <c r="CK85" s="1443"/>
      <c r="CL85" s="1443"/>
      <c r="CM85" s="1443"/>
      <c r="CN85" s="1443"/>
      <c r="CO85" s="1443"/>
      <c r="CP85" s="1443"/>
    </row>
    <row r="86" spans="1:94" ht="32.1" customHeight="1" x14ac:dyDescent="0.3">
      <c r="B86" s="365" t="s">
        <v>3635</v>
      </c>
      <c r="C86" s="354"/>
      <c r="D86" s="354"/>
      <c r="E86" s="354"/>
      <c r="F86" s="366"/>
      <c r="G86" s="366"/>
      <c r="H86" s="366"/>
      <c r="I86" s="366"/>
      <c r="J86" s="366"/>
      <c r="K86" s="366"/>
      <c r="L86" s="239"/>
      <c r="M86" s="239"/>
      <c r="N86" s="239"/>
      <c r="O86" s="214"/>
      <c r="P86" s="214"/>
      <c r="Q86" s="214"/>
      <c r="R86" s="214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CH86" s="1443"/>
      <c r="CI86" s="1443"/>
      <c r="CJ86" s="1443"/>
      <c r="CK86" s="1443"/>
      <c r="CL86" s="1443"/>
      <c r="CM86" s="1443"/>
      <c r="CN86" s="1443"/>
      <c r="CO86" s="1443"/>
      <c r="CP86" s="1443"/>
    </row>
    <row r="87" spans="1:94" ht="26.4" customHeight="1" x14ac:dyDescent="0.3">
      <c r="B87" s="10844" t="s">
        <v>132</v>
      </c>
      <c r="C87" s="10845"/>
      <c r="D87" s="10846"/>
      <c r="E87" s="2170" t="s">
        <v>519</v>
      </c>
      <c r="F87" s="10836"/>
      <c r="G87" s="10836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CH87" s="1443"/>
      <c r="CI87" s="1443"/>
      <c r="CJ87" s="1443"/>
      <c r="CK87" s="1443"/>
      <c r="CL87" s="1443"/>
      <c r="CM87" s="1443"/>
      <c r="CN87" s="1443"/>
      <c r="CO87" s="1443"/>
      <c r="CP87" s="1443"/>
    </row>
    <row r="88" spans="1:94" x14ac:dyDescent="0.3">
      <c r="A88" s="7258">
        <v>27300300</v>
      </c>
      <c r="B88" s="10833" t="s">
        <v>138</v>
      </c>
      <c r="C88" s="10834"/>
      <c r="D88" s="10835"/>
      <c r="E88" s="238" t="s">
        <v>5369</v>
      </c>
      <c r="F88" s="10836"/>
      <c r="G88" s="10836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CH88" s="1443"/>
      <c r="CI88" s="1443"/>
      <c r="CJ88" s="1443"/>
      <c r="CK88" s="1443"/>
      <c r="CL88" s="1443"/>
      <c r="CM88" s="1443"/>
      <c r="CN88" s="1443"/>
      <c r="CO88" s="1443"/>
      <c r="CP88" s="1443"/>
    </row>
    <row r="89" spans="1:94" x14ac:dyDescent="0.3">
      <c r="A89" s="7258">
        <v>27300400</v>
      </c>
      <c r="B89" s="10837" t="s">
        <v>520</v>
      </c>
      <c r="C89" s="10838"/>
      <c r="D89" s="10839"/>
      <c r="E89" s="238" t="s">
        <v>5369</v>
      </c>
      <c r="F89" s="10836"/>
      <c r="G89" s="10836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CH89" s="1443"/>
      <c r="CI89" s="1443"/>
      <c r="CJ89" s="1443"/>
      <c r="CK89" s="1443"/>
      <c r="CL89" s="1443"/>
      <c r="CM89" s="1443"/>
      <c r="CN89" s="1443"/>
      <c r="CO89" s="1443"/>
      <c r="CP89" s="1443"/>
    </row>
    <row r="90" spans="1:94" x14ac:dyDescent="0.3">
      <c r="A90" s="7258">
        <v>27300600</v>
      </c>
      <c r="B90" s="10840" t="s">
        <v>521</v>
      </c>
      <c r="C90" s="10841"/>
      <c r="D90" s="10842"/>
      <c r="E90" s="256" t="s">
        <v>5369</v>
      </c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CH90" s="1443"/>
      <c r="CI90" s="1443"/>
      <c r="CJ90" s="1443"/>
      <c r="CK90" s="1443"/>
      <c r="CL90" s="1443"/>
      <c r="CM90" s="1443"/>
      <c r="CN90" s="1443"/>
      <c r="CO90" s="1443"/>
      <c r="CP90" s="1443"/>
    </row>
    <row r="91" spans="1:94" ht="32.1" customHeight="1" x14ac:dyDescent="0.3">
      <c r="B91" s="367" t="s">
        <v>3636</v>
      </c>
      <c r="C91" s="367"/>
      <c r="D91" s="368"/>
      <c r="F91" s="370"/>
      <c r="CH91" s="1443"/>
      <c r="CI91" s="1443"/>
      <c r="CJ91" s="1443"/>
      <c r="CK91" s="1443"/>
      <c r="CL91" s="1443"/>
      <c r="CM91" s="1443"/>
      <c r="CN91" s="1443"/>
      <c r="CO91" s="1443"/>
      <c r="CP91" s="1443"/>
    </row>
    <row r="92" spans="1:94" x14ac:dyDescent="0.3">
      <c r="B92" s="10843" t="s">
        <v>522</v>
      </c>
      <c r="C92" s="10843"/>
      <c r="D92" s="10843"/>
      <c r="E92" s="10844" t="s">
        <v>523</v>
      </c>
      <c r="F92" s="8991" t="s">
        <v>627</v>
      </c>
      <c r="CH92" s="1443"/>
      <c r="CI92" s="1443"/>
      <c r="CJ92" s="1443"/>
      <c r="CK92" s="1443"/>
      <c r="CL92" s="1443"/>
      <c r="CM92" s="1443"/>
      <c r="CN92" s="1443"/>
      <c r="CO92" s="1443"/>
      <c r="CP92" s="1443"/>
    </row>
    <row r="93" spans="1:94" ht="27.6" customHeight="1" x14ac:dyDescent="0.3">
      <c r="B93" s="10843"/>
      <c r="C93" s="10843"/>
      <c r="D93" s="10843"/>
      <c r="E93" s="10844"/>
      <c r="F93" s="8991"/>
      <c r="CH93" s="1443"/>
      <c r="CI93" s="1443"/>
      <c r="CJ93" s="1443"/>
      <c r="CK93" s="1443"/>
      <c r="CL93" s="1443"/>
      <c r="CM93" s="1443"/>
      <c r="CN93" s="1443"/>
      <c r="CO93" s="1443"/>
      <c r="CP93" s="1443"/>
    </row>
    <row r="94" spans="1:94" x14ac:dyDescent="0.3">
      <c r="A94" s="7258">
        <v>27300913</v>
      </c>
      <c r="B94" s="10877" t="s">
        <v>524</v>
      </c>
      <c r="C94" s="10878"/>
      <c r="D94" s="10879"/>
      <c r="E94" s="371" t="s">
        <v>5369</v>
      </c>
      <c r="F94" s="372" t="s">
        <v>5370</v>
      </c>
      <c r="CH94" s="1443"/>
      <c r="CI94" s="1443"/>
      <c r="CJ94" s="1443"/>
      <c r="CK94" s="1443"/>
      <c r="CL94" s="1443"/>
      <c r="CM94" s="1443"/>
      <c r="CN94" s="1443"/>
      <c r="CO94" s="1443"/>
      <c r="CP94" s="1443"/>
    </row>
    <row r="95" spans="1:94" x14ac:dyDescent="0.3">
      <c r="A95" s="7258">
        <v>27300914</v>
      </c>
      <c r="B95" s="10861" t="s">
        <v>525</v>
      </c>
      <c r="C95" s="10862"/>
      <c r="D95" s="10863"/>
      <c r="E95" s="373" t="s">
        <v>5369</v>
      </c>
      <c r="F95" s="374" t="s">
        <v>5370</v>
      </c>
      <c r="CH95" s="1443"/>
      <c r="CI95" s="1443"/>
      <c r="CJ95" s="1443"/>
      <c r="CK95" s="1443"/>
      <c r="CL95" s="1443"/>
      <c r="CM95" s="1443"/>
      <c r="CN95" s="1443"/>
      <c r="CO95" s="1443"/>
      <c r="CP95" s="1443"/>
    </row>
    <row r="96" spans="1:94" x14ac:dyDescent="0.3">
      <c r="A96" s="7258">
        <v>27300915</v>
      </c>
      <c r="B96" s="9647" t="s">
        <v>526</v>
      </c>
      <c r="C96" s="10880"/>
      <c r="D96" s="9648"/>
      <c r="E96" s="375" t="s">
        <v>5369</v>
      </c>
      <c r="F96" s="376" t="s">
        <v>5370</v>
      </c>
      <c r="CH96" s="1443"/>
      <c r="CI96" s="1443"/>
      <c r="CJ96" s="1443"/>
      <c r="CK96" s="1443"/>
      <c r="CL96" s="1443"/>
      <c r="CM96" s="1443"/>
      <c r="CN96" s="1443"/>
      <c r="CO96" s="1443"/>
      <c r="CP96" s="1443"/>
    </row>
    <row r="97" spans="1:94" ht="32.1" customHeight="1" x14ac:dyDescent="0.3">
      <c r="B97" s="367" t="s">
        <v>3637</v>
      </c>
      <c r="C97" s="367"/>
      <c r="D97" s="368"/>
      <c r="F97" s="370"/>
      <c r="CH97" s="1443"/>
      <c r="CI97" s="1443"/>
      <c r="CJ97" s="1443"/>
      <c r="CK97" s="1443"/>
      <c r="CL97" s="1443"/>
      <c r="CM97" s="1443"/>
      <c r="CN97" s="1443"/>
      <c r="CO97" s="1443"/>
      <c r="CP97" s="1443"/>
    </row>
    <row r="98" spans="1:94" ht="29.25" customHeight="1" x14ac:dyDescent="0.3">
      <c r="B98" s="10843" t="s">
        <v>522</v>
      </c>
      <c r="C98" s="10843"/>
      <c r="D98" s="10843"/>
      <c r="E98" s="10814" t="s">
        <v>523</v>
      </c>
      <c r="F98" s="8991" t="s">
        <v>2472</v>
      </c>
      <c r="G98" s="10857" t="s">
        <v>476</v>
      </c>
      <c r="H98" s="10858"/>
      <c r="I98" s="10871" t="s">
        <v>2</v>
      </c>
      <c r="J98" s="10871"/>
      <c r="K98" s="10871"/>
      <c r="L98" s="10871"/>
      <c r="M98" s="10871"/>
      <c r="N98" s="10871"/>
      <c r="O98" s="10871"/>
      <c r="P98" s="10871"/>
      <c r="Q98" s="10871"/>
      <c r="R98" s="10871"/>
      <c r="S98" s="10871"/>
      <c r="T98" s="10871"/>
      <c r="U98" s="10871"/>
      <c r="V98" s="10872"/>
      <c r="W98" s="10873" t="s">
        <v>78</v>
      </c>
      <c r="X98" s="8977" t="s">
        <v>527</v>
      </c>
      <c r="BU98" s="1123"/>
      <c r="BV98" s="1123"/>
      <c r="BW98" s="1123"/>
      <c r="BX98" s="1123"/>
      <c r="CH98" s="1443"/>
      <c r="CI98" s="1443"/>
      <c r="CJ98" s="1443"/>
      <c r="CK98" s="1443"/>
      <c r="CL98" s="1443"/>
      <c r="CM98" s="1443"/>
      <c r="CN98" s="1443"/>
      <c r="CO98" s="1443"/>
      <c r="CP98" s="1443"/>
    </row>
    <row r="99" spans="1:94" ht="26.25" customHeight="1" x14ac:dyDescent="0.3">
      <c r="B99" s="10843"/>
      <c r="C99" s="10843"/>
      <c r="D99" s="10843"/>
      <c r="E99" s="10814"/>
      <c r="F99" s="8991"/>
      <c r="G99" s="463" t="s">
        <v>137</v>
      </c>
      <c r="H99" s="425" t="s">
        <v>478</v>
      </c>
      <c r="I99" s="2084" t="s">
        <v>528</v>
      </c>
      <c r="J99" s="2174" t="s">
        <v>2519</v>
      </c>
      <c r="K99" s="306" t="s">
        <v>1415</v>
      </c>
      <c r="L99" s="306" t="s">
        <v>32</v>
      </c>
      <c r="M99" s="306" t="s">
        <v>33</v>
      </c>
      <c r="N99" s="306" t="s">
        <v>40</v>
      </c>
      <c r="O99" s="306" t="s">
        <v>82</v>
      </c>
      <c r="P99" s="306" t="s">
        <v>83</v>
      </c>
      <c r="Q99" s="306" t="s">
        <v>400</v>
      </c>
      <c r="R99" s="306" t="s">
        <v>124</v>
      </c>
      <c r="S99" s="306" t="s">
        <v>125</v>
      </c>
      <c r="T99" s="306" t="s">
        <v>126</v>
      </c>
      <c r="U99" s="306" t="s">
        <v>127</v>
      </c>
      <c r="V99" s="1449" t="s">
        <v>128</v>
      </c>
      <c r="W99" s="9630"/>
      <c r="X99" s="8978"/>
      <c r="BK99" s="1123"/>
      <c r="BL99" s="1123"/>
      <c r="BW99" s="1123"/>
      <c r="BX99" s="1123"/>
      <c r="CH99" s="1443"/>
      <c r="CI99" s="1443"/>
      <c r="CJ99" s="1443"/>
      <c r="CK99" s="1443"/>
      <c r="CL99" s="1443"/>
      <c r="CM99" s="1443"/>
      <c r="CN99" s="1443"/>
      <c r="CO99" s="1443"/>
      <c r="CP99" s="1443"/>
    </row>
    <row r="100" spans="1:94" x14ac:dyDescent="0.3">
      <c r="A100" s="7258">
        <v>27300916</v>
      </c>
      <c r="B100" s="10874" t="s">
        <v>625</v>
      </c>
      <c r="C100" s="10875"/>
      <c r="D100" s="10876"/>
      <c r="E100" s="377" t="s">
        <v>5369</v>
      </c>
      <c r="F100" s="1294" t="s">
        <v>5370</v>
      </c>
      <c r="G100" s="371" t="s">
        <v>5371</v>
      </c>
      <c r="H100" s="495" t="s">
        <v>5372</v>
      </c>
      <c r="I100" s="492" t="s">
        <v>5373</v>
      </c>
      <c r="J100" s="378" t="s">
        <v>5374</v>
      </c>
      <c r="K100" s="378" t="s">
        <v>5375</v>
      </c>
      <c r="L100" s="378" t="s">
        <v>5376</v>
      </c>
      <c r="M100" s="378" t="s">
        <v>5377</v>
      </c>
      <c r="N100" s="378" t="s">
        <v>5378</v>
      </c>
      <c r="O100" s="378" t="s">
        <v>5379</v>
      </c>
      <c r="P100" s="378" t="s">
        <v>5380</v>
      </c>
      <c r="Q100" s="378" t="s">
        <v>5381</v>
      </c>
      <c r="R100" s="378" t="s">
        <v>5382</v>
      </c>
      <c r="S100" s="378" t="s">
        <v>5383</v>
      </c>
      <c r="T100" s="378" t="s">
        <v>5384</v>
      </c>
      <c r="U100" s="378" t="s">
        <v>5385</v>
      </c>
      <c r="V100" s="379" t="s">
        <v>5386</v>
      </c>
      <c r="W100" s="380" t="s">
        <v>5387</v>
      </c>
      <c r="X100" s="372" t="s">
        <v>5388</v>
      </c>
      <c r="Y100" s="1433" t="e">
        <f>CB100&amp;CC100</f>
        <v>#VALUE!</v>
      </c>
      <c r="BI100" s="1123"/>
      <c r="BJ100" s="1123"/>
      <c r="BW100" s="1123"/>
      <c r="BX100" s="1123"/>
      <c r="CB100" s="1445" t="str">
        <f>IF(CH100=1," * No olvide agregar la columna Gestantes y/o Post Parto (Digite Cero si no tiene). ","")</f>
        <v/>
      </c>
      <c r="CC100" s="1445" t="e">
        <f>IF(CI100=1," * La suma de Gestantes y Post Parto debe ser menor o igual al total de participantes.","")</f>
        <v>#VALUE!</v>
      </c>
      <c r="CH100" s="1446">
        <f>IF(AND(F100&lt;&gt;0,OR(W100="",X100="")),1,0)</f>
        <v>0</v>
      </c>
      <c r="CI100" s="1446" t="e">
        <f>IF((W100+X100)&gt;F100,1,0)</f>
        <v>#VALUE!</v>
      </c>
      <c r="CJ100" s="1443"/>
      <c r="CK100" s="1443"/>
      <c r="CL100" s="1443"/>
      <c r="CM100" s="1443"/>
      <c r="CN100" s="1443"/>
      <c r="CO100" s="1443"/>
      <c r="CP100" s="1443"/>
    </row>
    <row r="101" spans="1:94" x14ac:dyDescent="0.3">
      <c r="A101" s="7258">
        <v>27500160</v>
      </c>
      <c r="B101" s="10861" t="s">
        <v>529</v>
      </c>
      <c r="C101" s="10862"/>
      <c r="D101" s="10863"/>
      <c r="E101" s="381" t="s">
        <v>5369</v>
      </c>
      <c r="F101" s="1295" t="s">
        <v>5370</v>
      </c>
      <c r="G101" s="373" t="s">
        <v>5371</v>
      </c>
      <c r="H101" s="385" t="s">
        <v>5372</v>
      </c>
      <c r="I101" s="382" t="s">
        <v>5373</v>
      </c>
      <c r="J101" s="383" t="s">
        <v>5374</v>
      </c>
      <c r="K101" s="383" t="s">
        <v>5375</v>
      </c>
      <c r="L101" s="383" t="s">
        <v>5376</v>
      </c>
      <c r="M101" s="383" t="s">
        <v>5377</v>
      </c>
      <c r="N101" s="383" t="s">
        <v>5378</v>
      </c>
      <c r="O101" s="383" t="s">
        <v>5379</v>
      </c>
      <c r="P101" s="383" t="s">
        <v>5380</v>
      </c>
      <c r="Q101" s="383" t="s">
        <v>5381</v>
      </c>
      <c r="R101" s="383" t="s">
        <v>5382</v>
      </c>
      <c r="S101" s="383" t="s">
        <v>5383</v>
      </c>
      <c r="T101" s="383" t="s">
        <v>5384</v>
      </c>
      <c r="U101" s="383" t="s">
        <v>5385</v>
      </c>
      <c r="V101" s="384" t="s">
        <v>5386</v>
      </c>
      <c r="W101" s="385" t="s">
        <v>5387</v>
      </c>
      <c r="X101" s="374" t="s">
        <v>5388</v>
      </c>
      <c r="Y101" s="1433" t="e">
        <f>CB101&amp;CC101</f>
        <v>#VALUE!</v>
      </c>
      <c r="BI101" s="1123"/>
      <c r="BJ101" s="1123"/>
      <c r="BW101" s="1123"/>
      <c r="BX101" s="1123"/>
      <c r="CB101" s="1445" t="str">
        <f>IF(CH101=1," * No olvide agregar la columna Gestantes y/o Post Parto (Digite Cero si no tiene). ","")</f>
        <v/>
      </c>
      <c r="CC101" s="1445" t="e">
        <f>IF(CI101=1," * La suma de Gestantes y Post Parto debe ser menor o igual al total de participantes.","")</f>
        <v>#VALUE!</v>
      </c>
      <c r="CH101" s="1446">
        <f>IF(AND(F101&lt;&gt;0,OR(W101="",X101="")),1,0)</f>
        <v>0</v>
      </c>
      <c r="CI101" s="1446" t="e">
        <f>IF((W101+X101)&gt;F101,1,0)</f>
        <v>#VALUE!</v>
      </c>
      <c r="CJ101" s="1443"/>
      <c r="CK101" s="1443"/>
      <c r="CL101" s="1443"/>
      <c r="CM101" s="1443"/>
      <c r="CN101" s="1443"/>
      <c r="CO101" s="1443"/>
      <c r="CP101" s="1443"/>
    </row>
    <row r="102" spans="1:94" x14ac:dyDescent="0.3">
      <c r="A102" s="7258">
        <v>27500170</v>
      </c>
      <c r="B102" s="10861" t="s">
        <v>530</v>
      </c>
      <c r="C102" s="10862"/>
      <c r="D102" s="10863"/>
      <c r="E102" s="386" t="s">
        <v>5369</v>
      </c>
      <c r="F102" s="1296" t="s">
        <v>5370</v>
      </c>
      <c r="G102" s="375" t="s">
        <v>5371</v>
      </c>
      <c r="H102" s="390" t="s">
        <v>5372</v>
      </c>
      <c r="I102" s="387" t="s">
        <v>5373</v>
      </c>
      <c r="J102" s="388" t="s">
        <v>5374</v>
      </c>
      <c r="K102" s="388" t="s">
        <v>5375</v>
      </c>
      <c r="L102" s="388" t="s">
        <v>5376</v>
      </c>
      <c r="M102" s="388" t="s">
        <v>5377</v>
      </c>
      <c r="N102" s="388" t="s">
        <v>5378</v>
      </c>
      <c r="O102" s="388" t="s">
        <v>5379</v>
      </c>
      <c r="P102" s="388" t="s">
        <v>5380</v>
      </c>
      <c r="Q102" s="388" t="s">
        <v>5381</v>
      </c>
      <c r="R102" s="388" t="s">
        <v>5382</v>
      </c>
      <c r="S102" s="388" t="s">
        <v>5383</v>
      </c>
      <c r="T102" s="388" t="s">
        <v>5384</v>
      </c>
      <c r="U102" s="388" t="s">
        <v>5385</v>
      </c>
      <c r="V102" s="389" t="s">
        <v>5386</v>
      </c>
      <c r="W102" s="390" t="s">
        <v>5387</v>
      </c>
      <c r="X102" s="376" t="s">
        <v>5388</v>
      </c>
      <c r="Y102" s="1433" t="e">
        <f>CB102&amp;CC102</f>
        <v>#VALUE!</v>
      </c>
      <c r="BI102" s="1123"/>
      <c r="BJ102" s="1123"/>
      <c r="BW102" s="1123"/>
      <c r="BX102" s="1123"/>
      <c r="CB102" s="1445" t="str">
        <f>IF(CH102=1," * No olvide agregar la columna Gestantes y/o Post Parto (Digite Cero si no tiene). ","")</f>
        <v/>
      </c>
      <c r="CC102" s="1445" t="e">
        <f>IF(CI102=1," * La suma de Gestantes y Post Parto debe ser menor o igual al total de participantes.","")</f>
        <v>#VALUE!</v>
      </c>
      <c r="CH102" s="1446">
        <f>IF(AND(F102&lt;&gt;0,OR(W102="",X102="")),1,0)</f>
        <v>0</v>
      </c>
      <c r="CI102" s="1446" t="e">
        <f>IF((W102+X102)&gt;F102,1,0)</f>
        <v>#VALUE!</v>
      </c>
      <c r="CJ102" s="1443"/>
      <c r="CK102" s="1443"/>
      <c r="CL102" s="1443"/>
      <c r="CM102" s="1443"/>
      <c r="CN102" s="1443"/>
      <c r="CO102" s="1443"/>
      <c r="CP102" s="1443"/>
    </row>
    <row r="103" spans="1:94" ht="32.1" customHeight="1" x14ac:dyDescent="0.3">
      <c r="B103" s="367" t="s">
        <v>3638</v>
      </c>
      <c r="C103" s="368"/>
      <c r="D103" s="368"/>
      <c r="E103" s="369"/>
      <c r="I103" s="235"/>
      <c r="CH103" s="1443"/>
      <c r="CI103" s="1443"/>
      <c r="CJ103" s="1443"/>
      <c r="CK103" s="1443"/>
      <c r="CL103" s="1443"/>
      <c r="CM103" s="1443"/>
      <c r="CN103" s="1443"/>
      <c r="CO103" s="1443"/>
      <c r="CP103" s="1443"/>
    </row>
    <row r="104" spans="1:94" ht="20.399999999999999" customHeight="1" x14ac:dyDescent="0.3">
      <c r="B104" s="10864" t="s">
        <v>531</v>
      </c>
      <c r="C104" s="10864"/>
      <c r="D104" s="10865"/>
      <c r="E104" s="10814" t="s">
        <v>626</v>
      </c>
      <c r="F104" s="10868" t="s">
        <v>2</v>
      </c>
      <c r="G104" s="8874"/>
      <c r="H104" s="8874"/>
      <c r="I104" s="8874"/>
      <c r="J104" s="8874"/>
      <c r="K104" s="10869"/>
      <c r="L104" s="9595" t="s">
        <v>22</v>
      </c>
      <c r="M104" s="10870"/>
      <c r="N104" s="1191"/>
      <c r="O104" s="1191"/>
      <c r="P104" s="1191"/>
      <c r="Q104" s="1191"/>
      <c r="R104" s="1191"/>
      <c r="S104" s="1191"/>
      <c r="T104" s="1191"/>
      <c r="U104" s="1191"/>
      <c r="V104" s="1191"/>
      <c r="W104" s="1191"/>
      <c r="X104" s="1191"/>
      <c r="Y104" s="1191"/>
      <c r="Z104" s="1191"/>
      <c r="AA104" s="1191"/>
      <c r="CH104" s="1443"/>
      <c r="CI104" s="1443"/>
      <c r="CJ104" s="1443"/>
      <c r="CK104" s="1443"/>
      <c r="CL104" s="1443"/>
      <c r="CM104" s="1443"/>
      <c r="CN104" s="1443"/>
      <c r="CO104" s="1443"/>
      <c r="CP104" s="1443"/>
    </row>
    <row r="105" spans="1:94" ht="20.399999999999999" customHeight="1" x14ac:dyDescent="0.3">
      <c r="B105" s="10866"/>
      <c r="C105" s="10866"/>
      <c r="D105" s="10867"/>
      <c r="E105" s="10814"/>
      <c r="F105" s="3135" t="s">
        <v>48</v>
      </c>
      <c r="G105" s="3133" t="s">
        <v>49</v>
      </c>
      <c r="H105" s="3124" t="s">
        <v>50</v>
      </c>
      <c r="I105" s="3124" t="s">
        <v>51</v>
      </c>
      <c r="J105" s="3130" t="s">
        <v>52</v>
      </c>
      <c r="K105" s="3136" t="s">
        <v>53</v>
      </c>
      <c r="L105" s="3133" t="s">
        <v>17</v>
      </c>
      <c r="M105" s="2112" t="s">
        <v>18</v>
      </c>
      <c r="N105" s="1191"/>
      <c r="O105" s="1191"/>
      <c r="P105" s="1191"/>
      <c r="Q105" s="1191"/>
      <c r="R105" s="1191"/>
      <c r="S105" s="1191"/>
      <c r="T105" s="1191"/>
      <c r="U105" s="1191"/>
      <c r="V105" s="1191"/>
      <c r="W105" s="1191"/>
      <c r="X105" s="1191"/>
      <c r="Y105" s="1191"/>
      <c r="Z105" s="1191"/>
      <c r="AA105" s="1191"/>
      <c r="CH105" s="1443"/>
      <c r="CI105" s="1443"/>
      <c r="CJ105" s="1443"/>
      <c r="CK105" s="1443"/>
      <c r="CL105" s="1443"/>
      <c r="CM105" s="1443"/>
      <c r="CN105" s="1443"/>
      <c r="CO105" s="1443"/>
      <c r="CP105" s="1443"/>
    </row>
    <row r="106" spans="1:94" x14ac:dyDescent="0.3">
      <c r="A106" s="7258">
        <v>27300926</v>
      </c>
      <c r="B106" s="8979" t="s">
        <v>532</v>
      </c>
      <c r="C106" s="10445"/>
      <c r="D106" s="225" t="s">
        <v>533</v>
      </c>
      <c r="E106" s="135" t="s">
        <v>5369</v>
      </c>
      <c r="F106" s="3137" t="s">
        <v>5370</v>
      </c>
      <c r="G106" s="3134" t="s">
        <v>5371</v>
      </c>
      <c r="H106" s="3126" t="s">
        <v>5372</v>
      </c>
      <c r="I106" s="3126" t="s">
        <v>5373</v>
      </c>
      <c r="J106" s="3126" t="s">
        <v>5374</v>
      </c>
      <c r="K106" s="3138" t="s">
        <v>5375</v>
      </c>
      <c r="L106" s="3134" t="s">
        <v>5376</v>
      </c>
      <c r="M106" s="304" t="s">
        <v>5377</v>
      </c>
      <c r="N106" s="1433" t="e">
        <f>CB106</f>
        <v>#VALUE!</v>
      </c>
      <c r="O106" s="1434"/>
      <c r="P106" s="1434"/>
      <c r="Q106" s="1434"/>
      <c r="R106" s="1434"/>
      <c r="S106" s="1434"/>
      <c r="T106" s="1434"/>
      <c r="U106" s="1434"/>
      <c r="V106" s="1434"/>
      <c r="W106" s="1434"/>
      <c r="X106" s="1434"/>
      <c r="Y106" s="1434"/>
      <c r="Z106" s="1191"/>
      <c r="AA106" s="1191"/>
      <c r="CB106" s="1445" t="e">
        <f>IF(CH106=1,"* La Suma por edad NO DEBE ser distinto al total por Sexo. ","")</f>
        <v>#VALUE!</v>
      </c>
      <c r="CC106" s="1445"/>
      <c r="CD106" s="1445"/>
      <c r="CE106" s="1445"/>
      <c r="CF106" s="1445"/>
      <c r="CG106" s="1445"/>
      <c r="CH106" s="1446" t="e">
        <f>IF((L106+M106)&lt;&gt;(F106+G106+H106+I106+J106+K106),1,0)</f>
        <v>#VALUE!</v>
      </c>
      <c r="CI106" s="1443"/>
      <c r="CJ106" s="1443"/>
      <c r="CK106" s="1443"/>
      <c r="CL106" s="1443"/>
      <c r="CM106" s="1443"/>
      <c r="CN106" s="1443"/>
      <c r="CO106" s="1443"/>
      <c r="CP106" s="1443"/>
    </row>
    <row r="107" spans="1:94" x14ac:dyDescent="0.3">
      <c r="A107" s="7258">
        <v>27300927</v>
      </c>
      <c r="B107" s="8887"/>
      <c r="C107" s="8868"/>
      <c r="D107" s="227" t="s">
        <v>534</v>
      </c>
      <c r="E107" s="135" t="s">
        <v>5369</v>
      </c>
      <c r="F107" s="2956" t="s">
        <v>5370</v>
      </c>
      <c r="G107" s="3054" t="s">
        <v>5371</v>
      </c>
      <c r="H107" s="2995" t="s">
        <v>5372</v>
      </c>
      <c r="I107" s="2995" t="s">
        <v>5373</v>
      </c>
      <c r="J107" s="2995" t="s">
        <v>5374</v>
      </c>
      <c r="K107" s="3059" t="s">
        <v>5375</v>
      </c>
      <c r="L107" s="3054" t="s">
        <v>5376</v>
      </c>
      <c r="M107" s="144" t="s">
        <v>5377</v>
      </c>
      <c r="N107" s="1433" t="e">
        <f t="shared" ref="N107:N114" si="10">CB107</f>
        <v>#VALUE!</v>
      </c>
      <c r="O107" s="1434"/>
      <c r="P107" s="1434"/>
      <c r="Q107" s="1434"/>
      <c r="R107" s="1434"/>
      <c r="S107" s="1434"/>
      <c r="T107" s="1434"/>
      <c r="U107" s="1434"/>
      <c r="V107" s="1434"/>
      <c r="W107" s="1434"/>
      <c r="X107" s="1434"/>
      <c r="Y107" s="1434"/>
      <c r="Z107" s="1191"/>
      <c r="AA107" s="1191"/>
      <c r="CB107" s="1445" t="e">
        <f t="shared" ref="CB107:CB114" si="11">IF(CH107=1,"* La Suma por edad NO DEBE ser distinto al total por Sexo. ","")</f>
        <v>#VALUE!</v>
      </c>
      <c r="CC107" s="1445"/>
      <c r="CD107" s="1445"/>
      <c r="CE107" s="1445"/>
      <c r="CF107" s="1445"/>
      <c r="CG107" s="1445"/>
      <c r="CH107" s="1446" t="e">
        <f t="shared" ref="CH107:CH113" si="12">IF((L107+M107)&lt;&gt;(F107+G107+H107+I107+J107+K107),1,0)</f>
        <v>#VALUE!</v>
      </c>
      <c r="CI107" s="1443"/>
      <c r="CJ107" s="1443"/>
      <c r="CK107" s="1443"/>
      <c r="CL107" s="1443"/>
      <c r="CM107" s="1443"/>
      <c r="CN107" s="1443"/>
      <c r="CO107" s="1443"/>
      <c r="CP107" s="1443"/>
    </row>
    <row r="108" spans="1:94" x14ac:dyDescent="0.3">
      <c r="A108" s="7258">
        <v>27300928</v>
      </c>
      <c r="B108" s="8887"/>
      <c r="C108" s="8868"/>
      <c r="D108" s="227" t="s">
        <v>535</v>
      </c>
      <c r="E108" s="81" t="s">
        <v>5369</v>
      </c>
      <c r="F108" s="2990" t="s">
        <v>5370</v>
      </c>
      <c r="G108" s="3045" t="s">
        <v>5371</v>
      </c>
      <c r="H108" s="2991" t="s">
        <v>5372</v>
      </c>
      <c r="I108" s="2991" t="s">
        <v>5373</v>
      </c>
      <c r="J108" s="2991" t="s">
        <v>5374</v>
      </c>
      <c r="K108" s="3052" t="s">
        <v>5375</v>
      </c>
      <c r="L108" s="3045" t="s">
        <v>5376</v>
      </c>
      <c r="M108" s="127" t="s">
        <v>5377</v>
      </c>
      <c r="N108" s="1433" t="e">
        <f t="shared" si="10"/>
        <v>#VALUE!</v>
      </c>
      <c r="O108" s="1434"/>
      <c r="P108" s="1434"/>
      <c r="Q108" s="1434"/>
      <c r="R108" s="1434"/>
      <c r="S108" s="1434"/>
      <c r="T108" s="1434"/>
      <c r="U108" s="1434"/>
      <c r="V108" s="1434"/>
      <c r="W108" s="1434"/>
      <c r="X108" s="1434"/>
      <c r="Y108" s="1434"/>
      <c r="Z108" s="1191"/>
      <c r="AA108" s="1191"/>
      <c r="CB108" s="1445" t="e">
        <f t="shared" si="11"/>
        <v>#VALUE!</v>
      </c>
      <c r="CC108" s="1445"/>
      <c r="CD108" s="1445"/>
      <c r="CE108" s="1445"/>
      <c r="CF108" s="1445"/>
      <c r="CG108" s="1445"/>
      <c r="CH108" s="1446" t="e">
        <f t="shared" si="12"/>
        <v>#VALUE!</v>
      </c>
      <c r="CI108" s="1443"/>
      <c r="CJ108" s="1443"/>
      <c r="CK108" s="1443"/>
      <c r="CL108" s="1443"/>
      <c r="CM108" s="1443"/>
      <c r="CN108" s="1443"/>
      <c r="CO108" s="1443"/>
      <c r="CP108" s="1443"/>
    </row>
    <row r="109" spans="1:94" x14ac:dyDescent="0.3">
      <c r="A109" s="7258">
        <v>27300929</v>
      </c>
      <c r="B109" s="8979" t="s">
        <v>3645</v>
      </c>
      <c r="C109" s="10445"/>
      <c r="D109" s="225" t="s">
        <v>533</v>
      </c>
      <c r="E109" s="98" t="s">
        <v>5369</v>
      </c>
      <c r="F109" s="3139" t="s">
        <v>5370</v>
      </c>
      <c r="G109" s="3032" t="s">
        <v>5371</v>
      </c>
      <c r="H109" s="2452" t="s">
        <v>5372</v>
      </c>
      <c r="I109" s="2452" t="s">
        <v>5373</v>
      </c>
      <c r="J109" s="2452" t="s">
        <v>5374</v>
      </c>
      <c r="K109" s="2413" t="s">
        <v>5375</v>
      </c>
      <c r="L109" s="3032" t="s">
        <v>5376</v>
      </c>
      <c r="M109" s="143" t="s">
        <v>5377</v>
      </c>
      <c r="N109" s="1433" t="e">
        <f t="shared" si="10"/>
        <v>#VALUE!</v>
      </c>
      <c r="O109" s="1434"/>
      <c r="P109" s="1434"/>
      <c r="Q109" s="1434"/>
      <c r="R109" s="1434"/>
      <c r="S109" s="1434"/>
      <c r="T109" s="1434"/>
      <c r="U109" s="1434"/>
      <c r="V109" s="1434"/>
      <c r="W109" s="1434"/>
      <c r="X109" s="1434"/>
      <c r="Y109" s="1434"/>
      <c r="Z109" s="1191"/>
      <c r="AA109" s="1191"/>
      <c r="CB109" s="1445" t="e">
        <f t="shared" si="11"/>
        <v>#VALUE!</v>
      </c>
      <c r="CC109" s="1445"/>
      <c r="CD109" s="1445"/>
      <c r="CE109" s="1445"/>
      <c r="CF109" s="1445"/>
      <c r="CG109" s="1445"/>
      <c r="CH109" s="1446" t="e">
        <f t="shared" si="12"/>
        <v>#VALUE!</v>
      </c>
      <c r="CI109" s="1443"/>
      <c r="CJ109" s="1443"/>
      <c r="CK109" s="1443"/>
      <c r="CL109" s="1443"/>
      <c r="CM109" s="1443"/>
      <c r="CN109" s="1443"/>
      <c r="CO109" s="1443"/>
      <c r="CP109" s="1443"/>
    </row>
    <row r="110" spans="1:94" x14ac:dyDescent="0.3">
      <c r="A110" s="7258">
        <v>27300930</v>
      </c>
      <c r="B110" s="8887"/>
      <c r="C110" s="8868"/>
      <c r="D110" s="227" t="s">
        <v>534</v>
      </c>
      <c r="E110" s="135" t="s">
        <v>5369</v>
      </c>
      <c r="F110" s="2518" t="s">
        <v>5370</v>
      </c>
      <c r="G110" s="2796" t="s">
        <v>5371</v>
      </c>
      <c r="H110" s="3140" t="s">
        <v>5372</v>
      </c>
      <c r="I110" s="3140" t="s">
        <v>5373</v>
      </c>
      <c r="J110" s="3140" t="s">
        <v>5374</v>
      </c>
      <c r="K110" s="2552" t="s">
        <v>5375</v>
      </c>
      <c r="L110" s="2796" t="s">
        <v>5376</v>
      </c>
      <c r="M110" s="164" t="s">
        <v>5377</v>
      </c>
      <c r="N110" s="1433" t="e">
        <f t="shared" si="10"/>
        <v>#VALUE!</v>
      </c>
      <c r="O110" s="1434"/>
      <c r="P110" s="1434"/>
      <c r="Q110" s="1434"/>
      <c r="R110" s="1434"/>
      <c r="S110" s="1434"/>
      <c r="T110" s="1434"/>
      <c r="U110" s="1434"/>
      <c r="V110" s="1434"/>
      <c r="W110" s="1434"/>
      <c r="X110" s="1434"/>
      <c r="Y110" s="1434"/>
      <c r="Z110" s="1191"/>
      <c r="AA110" s="1191"/>
      <c r="CB110" s="1445" t="e">
        <f t="shared" si="11"/>
        <v>#VALUE!</v>
      </c>
      <c r="CC110" s="1445"/>
      <c r="CD110" s="1445"/>
      <c r="CE110" s="1445"/>
      <c r="CF110" s="1445"/>
      <c r="CG110" s="1445"/>
      <c r="CH110" s="1446" t="e">
        <f t="shared" si="12"/>
        <v>#VALUE!</v>
      </c>
      <c r="CI110" s="1443"/>
      <c r="CJ110" s="1443"/>
      <c r="CK110" s="1443"/>
      <c r="CL110" s="1443"/>
      <c r="CM110" s="1443"/>
      <c r="CN110" s="1443"/>
      <c r="CO110" s="1443"/>
      <c r="CP110" s="1443"/>
    </row>
    <row r="111" spans="1:94" x14ac:dyDescent="0.3">
      <c r="A111" s="7258">
        <v>27300931</v>
      </c>
      <c r="B111" s="8887"/>
      <c r="C111" s="8868"/>
      <c r="D111" s="227" t="s">
        <v>535</v>
      </c>
      <c r="E111" s="81" t="s">
        <v>5369</v>
      </c>
      <c r="F111" s="2518" t="s">
        <v>5370</v>
      </c>
      <c r="G111" s="2796" t="s">
        <v>5371</v>
      </c>
      <c r="H111" s="3140" t="s">
        <v>5372</v>
      </c>
      <c r="I111" s="3140" t="s">
        <v>5373</v>
      </c>
      <c r="J111" s="3140" t="s">
        <v>5374</v>
      </c>
      <c r="K111" s="2552" t="s">
        <v>5375</v>
      </c>
      <c r="L111" s="2796" t="s">
        <v>5376</v>
      </c>
      <c r="M111" s="164" t="s">
        <v>5377</v>
      </c>
      <c r="N111" s="1433" t="e">
        <f t="shared" si="10"/>
        <v>#VALUE!</v>
      </c>
      <c r="O111" s="1434"/>
      <c r="P111" s="1434"/>
      <c r="Q111" s="1434"/>
      <c r="R111" s="1434"/>
      <c r="S111" s="1434"/>
      <c r="T111" s="1434"/>
      <c r="U111" s="1434"/>
      <c r="V111" s="1434"/>
      <c r="W111" s="1434"/>
      <c r="X111" s="1434"/>
      <c r="Y111" s="1434"/>
      <c r="Z111" s="1191"/>
      <c r="AA111" s="1191"/>
      <c r="CB111" s="1445" t="e">
        <f t="shared" si="11"/>
        <v>#VALUE!</v>
      </c>
      <c r="CC111" s="1445"/>
      <c r="CD111" s="1445"/>
      <c r="CE111" s="1445"/>
      <c r="CF111" s="1445"/>
      <c r="CG111" s="1445"/>
      <c r="CH111" s="1446" t="e">
        <f t="shared" si="12"/>
        <v>#VALUE!</v>
      </c>
      <c r="CI111" s="1443"/>
      <c r="CJ111" s="1443"/>
      <c r="CK111" s="1443"/>
      <c r="CL111" s="1443"/>
      <c r="CM111" s="1443"/>
      <c r="CN111" s="1443"/>
      <c r="CO111" s="1443"/>
      <c r="CP111" s="1443"/>
    </row>
    <row r="112" spans="1:94" x14ac:dyDescent="0.3">
      <c r="A112" s="7258">
        <v>27300932</v>
      </c>
      <c r="B112" s="8979" t="s">
        <v>536</v>
      </c>
      <c r="C112" s="8938"/>
      <c r="D112" s="225" t="s">
        <v>533</v>
      </c>
      <c r="E112" s="98" t="s">
        <v>5369</v>
      </c>
      <c r="F112" s="3137" t="s">
        <v>5370</v>
      </c>
      <c r="G112" s="3134" t="s">
        <v>5371</v>
      </c>
      <c r="H112" s="3126" t="s">
        <v>5372</v>
      </c>
      <c r="I112" s="3126" t="s">
        <v>5373</v>
      </c>
      <c r="J112" s="3126" t="s">
        <v>5374</v>
      </c>
      <c r="K112" s="3138" t="s">
        <v>5375</v>
      </c>
      <c r="L112" s="3134" t="s">
        <v>5376</v>
      </c>
      <c r="M112" s="304" t="s">
        <v>5377</v>
      </c>
      <c r="N112" s="1433" t="e">
        <f t="shared" si="10"/>
        <v>#VALUE!</v>
      </c>
      <c r="O112" s="1434"/>
      <c r="P112" s="1434"/>
      <c r="Q112" s="1434"/>
      <c r="R112" s="1434"/>
      <c r="S112" s="1434"/>
      <c r="T112" s="1434"/>
      <c r="U112" s="1434"/>
      <c r="V112" s="1434"/>
      <c r="W112" s="1434"/>
      <c r="X112" s="1434"/>
      <c r="Y112" s="1434"/>
      <c r="Z112" s="1191"/>
      <c r="AA112" s="1191"/>
      <c r="CB112" s="1445" t="e">
        <f t="shared" si="11"/>
        <v>#VALUE!</v>
      </c>
      <c r="CC112" s="1445"/>
      <c r="CD112" s="1445"/>
      <c r="CE112" s="1445"/>
      <c r="CF112" s="1445"/>
      <c r="CG112" s="1445"/>
      <c r="CH112" s="1446" t="e">
        <f t="shared" si="12"/>
        <v>#VALUE!</v>
      </c>
      <c r="CI112" s="1443"/>
      <c r="CJ112" s="1443"/>
      <c r="CK112" s="1443"/>
      <c r="CL112" s="1443"/>
      <c r="CM112" s="1443"/>
      <c r="CN112" s="1443"/>
      <c r="CO112" s="1443"/>
      <c r="CP112" s="1443"/>
    </row>
    <row r="113" spans="1:94" x14ac:dyDescent="0.3">
      <c r="A113" s="7258">
        <v>27300933</v>
      </c>
      <c r="B113" s="8621"/>
      <c r="C113" s="8622"/>
      <c r="D113" s="227" t="s">
        <v>534</v>
      </c>
      <c r="E113" s="135" t="s">
        <v>5369</v>
      </c>
      <c r="F113" s="2956" t="s">
        <v>5370</v>
      </c>
      <c r="G113" s="3054" t="s">
        <v>5371</v>
      </c>
      <c r="H113" s="2995" t="s">
        <v>5372</v>
      </c>
      <c r="I113" s="2995" t="s">
        <v>5373</v>
      </c>
      <c r="J113" s="2995" t="s">
        <v>5374</v>
      </c>
      <c r="K113" s="3059" t="s">
        <v>5375</v>
      </c>
      <c r="L113" s="3054" t="s">
        <v>5376</v>
      </c>
      <c r="M113" s="144" t="s">
        <v>5377</v>
      </c>
      <c r="N113" s="1433" t="e">
        <f t="shared" si="10"/>
        <v>#VALUE!</v>
      </c>
      <c r="O113" s="1434"/>
      <c r="P113" s="1434"/>
      <c r="Q113" s="1434"/>
      <c r="R113" s="1434"/>
      <c r="S113" s="1434"/>
      <c r="T113" s="1434"/>
      <c r="U113" s="1434"/>
      <c r="V113" s="1434"/>
      <c r="W113" s="1434"/>
      <c r="X113" s="1434"/>
      <c r="Y113" s="1434"/>
      <c r="Z113" s="1191"/>
      <c r="AA113" s="1191"/>
      <c r="CB113" s="1445" t="e">
        <f t="shared" si="11"/>
        <v>#VALUE!</v>
      </c>
      <c r="CC113" s="1445"/>
      <c r="CD113" s="1445"/>
      <c r="CE113" s="1445"/>
      <c r="CF113" s="1445"/>
      <c r="CG113" s="1445"/>
      <c r="CH113" s="1446" t="e">
        <f t="shared" si="12"/>
        <v>#VALUE!</v>
      </c>
      <c r="CI113" s="1443"/>
      <c r="CJ113" s="1443"/>
      <c r="CK113" s="1443"/>
      <c r="CL113" s="1443"/>
      <c r="CM113" s="1443"/>
      <c r="CN113" s="1443"/>
      <c r="CO113" s="1443"/>
      <c r="CP113" s="1443"/>
    </row>
    <row r="114" spans="1:94" x14ac:dyDescent="0.3">
      <c r="A114" s="7258">
        <v>27300934</v>
      </c>
      <c r="B114" s="8981"/>
      <c r="C114" s="8615"/>
      <c r="D114" s="226" t="s">
        <v>535</v>
      </c>
      <c r="E114" s="81" t="s">
        <v>5369</v>
      </c>
      <c r="F114" s="2990" t="s">
        <v>5370</v>
      </c>
      <c r="G114" s="3045" t="s">
        <v>5371</v>
      </c>
      <c r="H114" s="2991" t="s">
        <v>5372</v>
      </c>
      <c r="I114" s="2991" t="s">
        <v>5373</v>
      </c>
      <c r="J114" s="2991" t="s">
        <v>5374</v>
      </c>
      <c r="K114" s="3052" t="s">
        <v>5375</v>
      </c>
      <c r="L114" s="3045" t="s">
        <v>5376</v>
      </c>
      <c r="M114" s="127" t="s">
        <v>5377</v>
      </c>
      <c r="N114" s="1433" t="e">
        <f t="shared" si="10"/>
        <v>#VALUE!</v>
      </c>
      <c r="O114" s="1434"/>
      <c r="P114" s="1434"/>
      <c r="Q114" s="1434"/>
      <c r="R114" s="1434"/>
      <c r="S114" s="1434"/>
      <c r="T114" s="1434"/>
      <c r="U114" s="1434"/>
      <c r="V114" s="1434"/>
      <c r="W114" s="1434"/>
      <c r="X114" s="1434"/>
      <c r="Y114" s="1434"/>
      <c r="Z114" s="1191"/>
      <c r="AA114" s="1191"/>
      <c r="CB114" s="1445" t="e">
        <f t="shared" si="11"/>
        <v>#VALUE!</v>
      </c>
      <c r="CC114" s="1445"/>
      <c r="CD114" s="1445"/>
      <c r="CE114" s="1445"/>
      <c r="CF114" s="1445"/>
      <c r="CG114" s="1445"/>
      <c r="CH114" s="1446" t="e">
        <f>IF((L114+M114)&lt;&gt;(F114+G114+H114+I114+J114+K114),1,0)</f>
        <v>#VALUE!</v>
      </c>
      <c r="CI114" s="1443"/>
      <c r="CJ114" s="1443"/>
      <c r="CK114" s="1443"/>
      <c r="CL114" s="1443"/>
      <c r="CM114" s="1443"/>
      <c r="CN114" s="1443"/>
      <c r="CO114" s="1443"/>
      <c r="CP114" s="1443"/>
    </row>
    <row r="115" spans="1:94" ht="27.75" customHeight="1" x14ac:dyDescent="0.3">
      <c r="B115" s="367" t="s">
        <v>3639</v>
      </c>
      <c r="C115" s="367"/>
      <c r="D115" s="367"/>
      <c r="E115" s="367"/>
      <c r="F115" s="1450"/>
      <c r="G115" s="1450"/>
      <c r="N115" s="1191"/>
      <c r="O115" s="1191"/>
      <c r="P115" s="1191"/>
      <c r="Q115" s="1191"/>
      <c r="R115" s="1191"/>
      <c r="S115" s="1191"/>
      <c r="T115" s="1191"/>
      <c r="U115" s="1191"/>
      <c r="V115" s="1191"/>
      <c r="W115" s="1191"/>
      <c r="X115" s="1191"/>
      <c r="Y115" s="1191"/>
      <c r="Z115" s="1191"/>
      <c r="AA115" s="1191"/>
      <c r="CH115" s="1443"/>
      <c r="CI115" s="1443"/>
      <c r="CJ115" s="1443"/>
      <c r="CK115" s="1443"/>
      <c r="CL115" s="1443"/>
      <c r="CM115" s="1443"/>
      <c r="CN115" s="1443"/>
      <c r="CO115" s="1443"/>
      <c r="CP115" s="1443"/>
    </row>
    <row r="116" spans="1:94" ht="29.25" customHeight="1" x14ac:dyDescent="0.3">
      <c r="B116" s="2110" t="s">
        <v>31</v>
      </c>
      <c r="C116" s="1451" t="s">
        <v>2501</v>
      </c>
      <c r="D116" s="2080" t="s">
        <v>2499</v>
      </c>
      <c r="E116" s="2111" t="s">
        <v>2500</v>
      </c>
      <c r="N116" s="1191"/>
      <c r="O116" s="1191"/>
      <c r="P116" s="1191"/>
      <c r="Q116" s="1191"/>
      <c r="R116" s="1191"/>
      <c r="S116" s="1191"/>
      <c r="T116" s="1191"/>
      <c r="U116" s="1191"/>
      <c r="V116" s="1191"/>
      <c r="W116" s="1191"/>
      <c r="X116" s="1191"/>
      <c r="Y116" s="1191"/>
      <c r="Z116" s="1191"/>
      <c r="AA116" s="1191"/>
      <c r="CH116" s="1443"/>
      <c r="CI116" s="1443"/>
      <c r="CJ116" s="1443"/>
      <c r="CK116" s="1443"/>
      <c r="CL116" s="1443"/>
      <c r="CM116" s="1443"/>
      <c r="CN116" s="1443"/>
      <c r="CO116" s="1443"/>
      <c r="CP116" s="1443"/>
    </row>
    <row r="117" spans="1:94" ht="23.25" customHeight="1" x14ac:dyDescent="0.3">
      <c r="A117" s="7258">
        <v>27500180</v>
      </c>
      <c r="B117" s="1452" t="s">
        <v>2502</v>
      </c>
      <c r="C117" s="1453" t="s">
        <v>5369</v>
      </c>
      <c r="D117" s="1454" t="s">
        <v>5370</v>
      </c>
      <c r="E117" s="1455" t="s">
        <v>5371</v>
      </c>
      <c r="F117" s="1456"/>
      <c r="N117" s="1191"/>
      <c r="O117" s="1191"/>
      <c r="P117" s="1191"/>
      <c r="Q117" s="1191"/>
      <c r="R117" s="1191"/>
      <c r="S117" s="1191"/>
      <c r="T117" s="1191"/>
      <c r="U117" s="1191"/>
      <c r="V117" s="1191"/>
      <c r="W117" s="1191"/>
      <c r="X117" s="1191"/>
      <c r="Y117" s="1191"/>
      <c r="Z117" s="1191"/>
      <c r="AA117" s="1191"/>
      <c r="CH117" s="1443"/>
      <c r="CI117" s="1443"/>
      <c r="CJ117" s="1443"/>
      <c r="CK117" s="1443"/>
      <c r="CL117" s="1443"/>
      <c r="CM117" s="1443"/>
      <c r="CN117" s="1443"/>
      <c r="CO117" s="1443"/>
      <c r="CP117" s="1443"/>
    </row>
    <row r="118" spans="1:94" ht="27.75" customHeight="1" x14ac:dyDescent="0.3">
      <c r="B118" s="367" t="s">
        <v>3640</v>
      </c>
      <c r="C118" s="367"/>
      <c r="D118" s="367"/>
      <c r="E118" s="367"/>
      <c r="F118" s="365"/>
      <c r="G118" s="365"/>
      <c r="H118" s="365"/>
      <c r="I118" s="365"/>
      <c r="J118" s="365"/>
      <c r="N118" s="1191"/>
      <c r="O118" s="1191"/>
      <c r="P118" s="1191"/>
      <c r="Q118" s="1191"/>
      <c r="R118" s="1191"/>
      <c r="S118" s="1191"/>
      <c r="T118" s="1191"/>
      <c r="U118" s="1191"/>
      <c r="V118" s="1191"/>
      <c r="W118" s="1191"/>
      <c r="X118" s="1191"/>
      <c r="Y118" s="1191"/>
      <c r="Z118" s="1191"/>
      <c r="AA118" s="1191"/>
      <c r="CH118" s="1443"/>
      <c r="CI118" s="1443"/>
      <c r="CJ118" s="1443"/>
      <c r="CK118" s="1443"/>
      <c r="CL118" s="1443"/>
      <c r="CM118" s="1443"/>
      <c r="CN118" s="1443"/>
      <c r="CO118" s="1443"/>
      <c r="CP118" s="1443"/>
    </row>
    <row r="119" spans="1:94" ht="27" customHeight="1" x14ac:dyDescent="0.3">
      <c r="B119" s="10883" t="s">
        <v>31</v>
      </c>
      <c r="C119" s="10885" t="s">
        <v>537</v>
      </c>
      <c r="D119" s="10886"/>
      <c r="E119" s="10886"/>
      <c r="F119" s="10886"/>
      <c r="G119" s="10886"/>
      <c r="H119" s="10886"/>
      <c r="I119" s="10886"/>
      <c r="J119" s="10887"/>
      <c r="CH119" s="1443"/>
      <c r="CI119" s="1443"/>
      <c r="CJ119" s="1443"/>
      <c r="CK119" s="1443"/>
      <c r="CL119" s="1443"/>
      <c r="CM119" s="1443"/>
      <c r="CN119" s="1443"/>
      <c r="CO119" s="1443"/>
      <c r="CP119" s="1443"/>
    </row>
    <row r="120" spans="1:94" ht="30.6" x14ac:dyDescent="0.3">
      <c r="B120" s="10884"/>
      <c r="C120" s="2129" t="s">
        <v>2510</v>
      </c>
      <c r="D120" s="1457" t="s">
        <v>2503</v>
      </c>
      <c r="E120" s="1457" t="s">
        <v>2504</v>
      </c>
      <c r="F120" s="1457" t="s">
        <v>2505</v>
      </c>
      <c r="G120" s="1457" t="s">
        <v>2506</v>
      </c>
      <c r="H120" s="1457" t="s">
        <v>2507</v>
      </c>
      <c r="I120" s="1457" t="s">
        <v>2508</v>
      </c>
      <c r="J120" s="1457" t="s">
        <v>2509</v>
      </c>
      <c r="CH120" s="1443"/>
      <c r="CI120" s="1443"/>
      <c r="CJ120" s="1443"/>
      <c r="CK120" s="1443"/>
      <c r="CL120" s="1443"/>
      <c r="CM120" s="1443"/>
      <c r="CN120" s="1443"/>
      <c r="CO120" s="1443"/>
      <c r="CP120" s="1443"/>
    </row>
    <row r="121" spans="1:94" ht="44.25" customHeight="1" x14ac:dyDescent="0.3">
      <c r="A121" s="7258">
        <v>27500190</v>
      </c>
      <c r="B121" s="316" t="s">
        <v>2515</v>
      </c>
      <c r="C121" s="1458" t="s">
        <v>5369</v>
      </c>
      <c r="D121" s="701" t="s">
        <v>5370</v>
      </c>
      <c r="E121" s="701" t="s">
        <v>5371</v>
      </c>
      <c r="F121" s="701" t="s">
        <v>5372</v>
      </c>
      <c r="G121" s="701" t="s">
        <v>5373</v>
      </c>
      <c r="H121" s="701" t="s">
        <v>5374</v>
      </c>
      <c r="I121" s="701" t="s">
        <v>5375</v>
      </c>
      <c r="J121" s="694" t="s">
        <v>5376</v>
      </c>
      <c r="CH121" s="1443"/>
      <c r="CI121" s="1443"/>
      <c r="CJ121" s="1443"/>
      <c r="CK121" s="1443"/>
      <c r="CL121" s="1443"/>
      <c r="CM121" s="1443"/>
      <c r="CN121" s="1443"/>
      <c r="CO121" s="1443"/>
      <c r="CP121" s="1443"/>
    </row>
    <row r="122" spans="1:94" ht="45" customHeight="1" x14ac:dyDescent="0.3">
      <c r="A122" s="7258">
        <v>27500200</v>
      </c>
      <c r="B122" s="1459" t="s">
        <v>2514</v>
      </c>
      <c r="C122" s="1460" t="s">
        <v>5369</v>
      </c>
      <c r="D122" s="1461" t="s">
        <v>5370</v>
      </c>
      <c r="E122" s="1461" t="s">
        <v>5371</v>
      </c>
      <c r="F122" s="1461" t="s">
        <v>5372</v>
      </c>
      <c r="G122" s="1461" t="s">
        <v>5373</v>
      </c>
      <c r="H122" s="1461" t="s">
        <v>5374</v>
      </c>
      <c r="I122" s="1461" t="s">
        <v>5375</v>
      </c>
      <c r="J122" s="1462" t="s">
        <v>5376</v>
      </c>
      <c r="CH122" s="1443"/>
      <c r="CI122" s="1443"/>
      <c r="CJ122" s="1443"/>
      <c r="CK122" s="1443"/>
      <c r="CL122" s="1443"/>
      <c r="CM122" s="1443"/>
      <c r="CN122" s="1443"/>
      <c r="CO122" s="1443"/>
      <c r="CP122" s="1443"/>
    </row>
    <row r="123" spans="1:94" ht="27.75" customHeight="1" x14ac:dyDescent="0.3">
      <c r="B123" s="367" t="s">
        <v>3641</v>
      </c>
      <c r="CH123" s="1443"/>
      <c r="CI123" s="1443"/>
      <c r="CJ123" s="1443"/>
      <c r="CK123" s="1443"/>
      <c r="CL123" s="1443"/>
      <c r="CM123" s="1443"/>
      <c r="CN123" s="1443"/>
      <c r="CO123" s="1443"/>
      <c r="CP123" s="1443"/>
    </row>
    <row r="124" spans="1:94" ht="20.25" customHeight="1" x14ac:dyDescent="0.3">
      <c r="B124" s="10847" t="s">
        <v>31</v>
      </c>
      <c r="C124" s="10853" t="s">
        <v>2513</v>
      </c>
      <c r="D124" s="10854" t="s">
        <v>538</v>
      </c>
      <c r="E124" s="10855"/>
      <c r="F124" s="10855"/>
      <c r="G124" s="10855"/>
      <c r="H124" s="10855"/>
      <c r="I124" s="10855"/>
      <c r="J124" s="10855"/>
      <c r="K124" s="10855"/>
      <c r="L124" s="10855"/>
      <c r="M124" s="10855"/>
      <c r="N124" s="10856"/>
      <c r="CH124" s="1443"/>
      <c r="CI124" s="1443"/>
      <c r="CJ124" s="1443"/>
      <c r="CK124" s="1443"/>
      <c r="CL124" s="1443"/>
      <c r="CM124" s="1443"/>
      <c r="CN124" s="1443"/>
      <c r="CO124" s="1443"/>
      <c r="CP124" s="1443"/>
    </row>
    <row r="125" spans="1:94" ht="42" customHeight="1" x14ac:dyDescent="0.3">
      <c r="B125" s="10848"/>
      <c r="C125" s="8944"/>
      <c r="D125" s="2173" t="s">
        <v>2488</v>
      </c>
      <c r="E125" s="2174" t="s">
        <v>2489</v>
      </c>
      <c r="F125" s="2174" t="s">
        <v>2490</v>
      </c>
      <c r="G125" s="2174" t="s">
        <v>2491</v>
      </c>
      <c r="H125" s="2174" t="s">
        <v>2492</v>
      </c>
      <c r="I125" s="2174" t="s">
        <v>2493</v>
      </c>
      <c r="J125" s="2174" t="s">
        <v>2494</v>
      </c>
      <c r="K125" s="2174" t="s">
        <v>2495</v>
      </c>
      <c r="L125" s="2174" t="s">
        <v>2496</v>
      </c>
      <c r="M125" s="2174" t="s">
        <v>2497</v>
      </c>
      <c r="N125" s="2112" t="s">
        <v>2498</v>
      </c>
      <c r="CH125" s="1443"/>
      <c r="CI125" s="1443"/>
      <c r="CJ125" s="1443"/>
      <c r="CK125" s="1443"/>
      <c r="CL125" s="1443"/>
      <c r="CM125" s="1443"/>
      <c r="CN125" s="1443"/>
      <c r="CO125" s="1443"/>
      <c r="CP125" s="1443"/>
    </row>
    <row r="126" spans="1:94" ht="31.5" customHeight="1" x14ac:dyDescent="0.3">
      <c r="A126" s="7258">
        <v>27500210</v>
      </c>
      <c r="B126" s="316" t="s">
        <v>2511</v>
      </c>
      <c r="C126" s="1458" t="s">
        <v>5369</v>
      </c>
      <c r="D126" s="106" t="s">
        <v>5370</v>
      </c>
      <c r="E126" s="89" t="s">
        <v>5371</v>
      </c>
      <c r="F126" s="89" t="s">
        <v>5372</v>
      </c>
      <c r="G126" s="89" t="s">
        <v>5373</v>
      </c>
      <c r="H126" s="89" t="s">
        <v>5374</v>
      </c>
      <c r="I126" s="89" t="s">
        <v>5375</v>
      </c>
      <c r="J126" s="89" t="s">
        <v>5376</v>
      </c>
      <c r="K126" s="89" t="s">
        <v>5377</v>
      </c>
      <c r="L126" s="89" t="s">
        <v>5378</v>
      </c>
      <c r="M126" s="89" t="s">
        <v>5379</v>
      </c>
      <c r="N126" s="304" t="s">
        <v>5380</v>
      </c>
      <c r="CH126" s="1443"/>
      <c r="CI126" s="1443"/>
      <c r="CJ126" s="1443"/>
      <c r="CK126" s="1443"/>
      <c r="CL126" s="1443"/>
      <c r="CM126" s="1443"/>
      <c r="CN126" s="1443"/>
      <c r="CO126" s="1443"/>
      <c r="CP126" s="1443"/>
    </row>
    <row r="127" spans="1:94" ht="57" customHeight="1" x14ac:dyDescent="0.3">
      <c r="A127" s="7258">
        <v>27500220</v>
      </c>
      <c r="B127" s="1459" t="s">
        <v>2512</v>
      </c>
      <c r="C127" s="1460" t="s">
        <v>5369</v>
      </c>
      <c r="D127" s="148" t="s">
        <v>5370</v>
      </c>
      <c r="E127" s="95" t="s">
        <v>5371</v>
      </c>
      <c r="F127" s="95" t="s">
        <v>5372</v>
      </c>
      <c r="G127" s="95" t="s">
        <v>5373</v>
      </c>
      <c r="H127" s="95" t="s">
        <v>5374</v>
      </c>
      <c r="I127" s="95" t="s">
        <v>5375</v>
      </c>
      <c r="J127" s="95" t="s">
        <v>5376</v>
      </c>
      <c r="K127" s="95" t="s">
        <v>5377</v>
      </c>
      <c r="L127" s="95" t="s">
        <v>5378</v>
      </c>
      <c r="M127" s="95" t="s">
        <v>5379</v>
      </c>
      <c r="N127" s="337" t="s">
        <v>5380</v>
      </c>
      <c r="CH127" s="1443"/>
      <c r="CI127" s="1443"/>
      <c r="CJ127" s="1443"/>
      <c r="CK127" s="1443"/>
      <c r="CL127" s="1443"/>
      <c r="CM127" s="1443"/>
      <c r="CN127" s="1443"/>
      <c r="CO127" s="1443"/>
      <c r="CP127" s="1443"/>
    </row>
    <row r="128" spans="1:94" ht="24.75" customHeight="1" x14ac:dyDescent="0.3">
      <c r="B128" s="367" t="s">
        <v>3642</v>
      </c>
      <c r="C128" s="72"/>
      <c r="CH128" s="1443"/>
      <c r="CI128" s="1443"/>
      <c r="CJ128" s="1443"/>
      <c r="CK128" s="1443"/>
      <c r="CL128" s="1443"/>
      <c r="CM128" s="1443"/>
      <c r="CN128" s="1443"/>
      <c r="CO128" s="1443"/>
      <c r="CP128" s="1443"/>
    </row>
    <row r="129" spans="1:94" ht="21" customHeight="1" x14ac:dyDescent="0.3">
      <c r="A129" s="7315"/>
      <c r="B129" s="10445" t="s">
        <v>31</v>
      </c>
      <c r="C129" s="10881" t="s">
        <v>539</v>
      </c>
      <c r="D129" s="10849" t="s">
        <v>333</v>
      </c>
      <c r="E129" s="10104"/>
      <c r="F129" s="10104"/>
      <c r="G129" s="10105"/>
      <c r="H129" s="10850" t="s">
        <v>362</v>
      </c>
      <c r="I129" s="10852" t="s">
        <v>361</v>
      </c>
      <c r="CH129" s="1443"/>
      <c r="CI129" s="1443"/>
      <c r="CJ129" s="1443"/>
      <c r="CK129" s="1443"/>
      <c r="CL129" s="1443"/>
      <c r="CM129" s="1443"/>
      <c r="CN129" s="1443"/>
      <c r="CO129" s="1443"/>
      <c r="CP129" s="1443"/>
    </row>
    <row r="130" spans="1:94" ht="39.75" customHeight="1" x14ac:dyDescent="0.3">
      <c r="A130" s="7315"/>
      <c r="B130" s="8868"/>
      <c r="C130" s="10882"/>
      <c r="D130" s="1805" t="s">
        <v>331</v>
      </c>
      <c r="E130" s="1795" t="s">
        <v>330</v>
      </c>
      <c r="F130" s="1795" t="s">
        <v>329</v>
      </c>
      <c r="G130" s="1793" t="s">
        <v>332</v>
      </c>
      <c r="H130" s="10851"/>
      <c r="I130" s="8895"/>
      <c r="BW130" s="1123"/>
      <c r="BX130" s="1123"/>
      <c r="BZ130" s="827"/>
      <c r="CA130" s="827"/>
      <c r="CH130" s="1443"/>
      <c r="CI130" s="1443"/>
      <c r="CJ130" s="1443"/>
      <c r="CK130" s="1443"/>
      <c r="CL130" s="1443"/>
      <c r="CM130" s="1443"/>
      <c r="CN130" s="1443"/>
      <c r="CO130" s="1443"/>
      <c r="CP130" s="1443"/>
    </row>
    <row r="131" spans="1:94" ht="35.25" customHeight="1" x14ac:dyDescent="0.3">
      <c r="A131" s="7258">
        <v>27500240</v>
      </c>
      <c r="B131" s="2022" t="s">
        <v>2485</v>
      </c>
      <c r="C131" s="2023" t="s">
        <v>5369</v>
      </c>
      <c r="D131" s="1955" t="s">
        <v>5370</v>
      </c>
      <c r="E131" s="1799" t="s">
        <v>5371</v>
      </c>
      <c r="F131" s="1799" t="s">
        <v>5372</v>
      </c>
      <c r="G131" s="1832" t="s">
        <v>5373</v>
      </c>
      <c r="H131" s="1945" t="s">
        <v>5374</v>
      </c>
      <c r="I131" s="1847" t="s">
        <v>5375</v>
      </c>
      <c r="J131" s="1433" t="str">
        <f>CB131&amp;CC131&amp;CD131&amp;CE131</f>
        <v>* El total de Pueblos Originarios NO DEBE superar la suma por grupo de edad. * El total de Migrantes NO DEBE superar la suma por grupo de edad</v>
      </c>
      <c r="CB131" s="1445" t="str">
        <f>IF(CH131=1,"* No olvide ingresar la columna Pueblos Originarios (Digite cero si no tiene). ","")</f>
        <v/>
      </c>
      <c r="CC131" s="1445" t="str">
        <f>IF(CI131=1,"* No olvide ingresar la columna Migrantes (Digite cero si no tiene). ","")</f>
        <v/>
      </c>
      <c r="CD131" s="1445" t="str">
        <f>IF(CJ131=1,"* El total de Pueblos Originarios NO DEBE superar la suma por grupo de edad. ","")</f>
        <v xml:space="preserve">* El total de Pueblos Originarios NO DEBE superar la suma por grupo de edad. </v>
      </c>
      <c r="CE131" s="1445" t="str">
        <f>IF(CK131=1,"* El total de Migrantes NO DEBE superar la suma por grupo de edad","")</f>
        <v>* El total de Migrantes NO DEBE superar la suma por grupo de edad</v>
      </c>
      <c r="CF131" s="1445"/>
      <c r="CG131" s="1445"/>
      <c r="CH131" s="1446">
        <f>IF(AND(H131="",SUM(D131:G131)&lt;&gt;0),1,0)</f>
        <v>0</v>
      </c>
      <c r="CI131" s="1446">
        <f>IF(AND(I131="",SUM(D131:G131)&lt;&gt;0),1,0)</f>
        <v>0</v>
      </c>
      <c r="CJ131" s="1446">
        <f>IF(SUM(D131:G131)&lt;H131,1,0)</f>
        <v>1</v>
      </c>
      <c r="CK131" s="1446">
        <f>IF(SUM(D131:G131)&lt;I131,1,0)</f>
        <v>1</v>
      </c>
      <c r="CL131" s="1443"/>
      <c r="CM131" s="1443"/>
      <c r="CN131" s="1443"/>
      <c r="CO131" s="1443"/>
      <c r="CP131" s="1443"/>
    </row>
    <row r="132" spans="1:94" ht="37.5" customHeight="1" x14ac:dyDescent="0.3">
      <c r="A132" s="7258">
        <v>27500340</v>
      </c>
      <c r="B132" s="2347" t="s">
        <v>2484</v>
      </c>
      <c r="C132" s="2346" t="s">
        <v>5369</v>
      </c>
      <c r="D132" s="2024" t="s">
        <v>5370</v>
      </c>
      <c r="E132" s="1924" t="s">
        <v>5371</v>
      </c>
      <c r="F132" s="1924" t="s">
        <v>5372</v>
      </c>
      <c r="G132" s="1992" t="s">
        <v>5373</v>
      </c>
      <c r="H132" s="2021" t="s">
        <v>5374</v>
      </c>
      <c r="I132" s="1991" t="s">
        <v>5375</v>
      </c>
      <c r="J132" s="1433" t="str">
        <f>CB132&amp;CC132&amp;CD132&amp;CE132</f>
        <v>* El total de Pueblos Originarios NO DEBE superar la suma por grupo de edad. * El total de Migrantes NO DEBE superar la suma por grupo de edad</v>
      </c>
      <c r="CB132" s="1445" t="str">
        <f>IF(CH132=1,"* No olvide ingresar la columna Pueblos Originarios (Digite cero si no tiene). ","")</f>
        <v/>
      </c>
      <c r="CC132" s="1445" t="str">
        <f>IF(CI132=1,"* No olvide ingresar la columna Migrantes (Digite cero si no tiene). ","")</f>
        <v/>
      </c>
      <c r="CD132" s="1445" t="str">
        <f>IF(CJ132=1,"* El total de Pueblos Originarios NO DEBE superar la suma por grupo de edad. ","")</f>
        <v xml:space="preserve">* El total de Pueblos Originarios NO DEBE superar la suma por grupo de edad. </v>
      </c>
      <c r="CE132" s="1445" t="str">
        <f>IF(CK132=1,"* El total de Migrantes NO DEBE superar la suma por grupo de edad","")</f>
        <v>* El total de Migrantes NO DEBE superar la suma por grupo de edad</v>
      </c>
      <c r="CH132" s="1446">
        <f>IF(AND(H132="",SUM(D132:G132)&lt;&gt;0),1,0)</f>
        <v>0</v>
      </c>
      <c r="CI132" s="1446">
        <f>IF(AND(I132="",SUM(D132:G132)&lt;&gt;0),1,0)</f>
        <v>0</v>
      </c>
      <c r="CJ132" s="1446">
        <f>IF(SUM(D132:G132)&lt;H132,1,0)</f>
        <v>1</v>
      </c>
      <c r="CK132" s="1446">
        <f>IF(SUM(D132:G132)&lt;I132,1,0)</f>
        <v>1</v>
      </c>
    </row>
    <row r="133" spans="1:94" ht="28.95" customHeight="1" x14ac:dyDescent="0.3">
      <c r="B133" s="8418" t="s">
        <v>3643</v>
      </c>
      <c r="C133" s="8419"/>
      <c r="D133" s="8419"/>
      <c r="E133" s="8420"/>
      <c r="F133" s="8421"/>
      <c r="G133" s="8421"/>
      <c r="H133" s="8421"/>
      <c r="I133" s="8421"/>
      <c r="J133" s="8421"/>
      <c r="K133" s="8422"/>
      <c r="L133" s="8421"/>
      <c r="M133" s="8421"/>
      <c r="N133" s="8421"/>
      <c r="O133" s="8421"/>
      <c r="P133" s="8421"/>
      <c r="Q133" s="8421"/>
      <c r="CB133" s="1445"/>
      <c r="CC133" s="1445"/>
      <c r="CD133" s="1445"/>
      <c r="CE133" s="1445"/>
      <c r="CH133" s="1446"/>
      <c r="CI133" s="1446"/>
      <c r="CJ133" s="1446"/>
      <c r="CK133" s="1446"/>
    </row>
    <row r="134" spans="1:94" ht="37.5" customHeight="1" x14ac:dyDescent="0.3">
      <c r="A134" s="7315"/>
      <c r="B134" s="10774" t="s">
        <v>531</v>
      </c>
      <c r="C134" s="10775"/>
      <c r="D134" s="10776"/>
      <c r="E134" s="10779" t="s">
        <v>626</v>
      </c>
      <c r="F134" s="10781" t="s">
        <v>2</v>
      </c>
      <c r="G134" s="10775"/>
      <c r="H134" s="10775"/>
      <c r="I134" s="10775"/>
      <c r="J134" s="10775"/>
      <c r="K134" s="10775"/>
      <c r="L134" s="10775"/>
      <c r="M134" s="10775"/>
      <c r="N134" s="10775"/>
      <c r="O134" s="10782"/>
      <c r="P134" s="10783" t="s">
        <v>22</v>
      </c>
      <c r="Q134" s="10784"/>
      <c r="CB134" s="1445"/>
      <c r="CC134" s="1445"/>
      <c r="CD134" s="1445"/>
      <c r="CE134" s="1445"/>
      <c r="CH134" s="1446"/>
      <c r="CI134" s="1446"/>
      <c r="CJ134" s="1446"/>
      <c r="CK134" s="1446"/>
    </row>
    <row r="135" spans="1:94" ht="37.5" customHeight="1" x14ac:dyDescent="0.3">
      <c r="A135" s="7315"/>
      <c r="B135" s="10777"/>
      <c r="C135" s="10777"/>
      <c r="D135" s="10778"/>
      <c r="E135" s="10780"/>
      <c r="F135" s="8423" t="s">
        <v>3356</v>
      </c>
      <c r="G135" s="8424" t="s">
        <v>2271</v>
      </c>
      <c r="H135" s="8424" t="s">
        <v>48</v>
      </c>
      <c r="I135" s="8424" t="s">
        <v>49</v>
      </c>
      <c r="J135" s="8424" t="s">
        <v>50</v>
      </c>
      <c r="K135" s="8424" t="s">
        <v>51</v>
      </c>
      <c r="L135" s="8424" t="s">
        <v>52</v>
      </c>
      <c r="M135" s="8424" t="s">
        <v>2198</v>
      </c>
      <c r="N135" s="8424" t="s">
        <v>2199</v>
      </c>
      <c r="O135" s="8425" t="s">
        <v>1405</v>
      </c>
      <c r="P135" s="8426" t="s">
        <v>17</v>
      </c>
      <c r="Q135" s="8427" t="s">
        <v>18</v>
      </c>
      <c r="CB135" s="1445"/>
      <c r="CC135" s="1445"/>
      <c r="CD135" s="1445"/>
      <c r="CE135" s="1445"/>
      <c r="CH135" s="1446"/>
      <c r="CI135" s="1446"/>
      <c r="CJ135" s="1446"/>
      <c r="CK135" s="1446"/>
    </row>
    <row r="136" spans="1:94" ht="17.399999999999999" customHeight="1" x14ac:dyDescent="0.3">
      <c r="A136" s="7294">
        <v>29101566</v>
      </c>
      <c r="B136" s="10785" t="s">
        <v>3357</v>
      </c>
      <c r="C136" s="10776"/>
      <c r="D136" s="8428" t="s">
        <v>3358</v>
      </c>
      <c r="E136" s="8429" t="s">
        <v>5369</v>
      </c>
      <c r="F136" s="8430" t="s">
        <v>5370</v>
      </c>
      <c r="G136" s="8431" t="s">
        <v>5371</v>
      </c>
      <c r="H136" s="8431" t="s">
        <v>5372</v>
      </c>
      <c r="I136" s="8431" t="s">
        <v>5373</v>
      </c>
      <c r="J136" s="8431" t="s">
        <v>5374</v>
      </c>
      <c r="K136" s="8431" t="s">
        <v>5375</v>
      </c>
      <c r="L136" s="8431" t="s">
        <v>5376</v>
      </c>
      <c r="M136" s="8431" t="s">
        <v>5377</v>
      </c>
      <c r="N136" s="8431" t="s">
        <v>5378</v>
      </c>
      <c r="O136" s="8432" t="s">
        <v>5379</v>
      </c>
      <c r="P136" s="8433" t="s">
        <v>5379</v>
      </c>
      <c r="Q136" s="8434" t="s">
        <v>5380</v>
      </c>
      <c r="R136" s="827" t="e">
        <f>CB136</f>
        <v>#VALUE!</v>
      </c>
      <c r="CB136" s="1445" t="e">
        <f>IF(CH136=1," * El Total por sexo Debe ser igual al total de las intervenciones. ","")</f>
        <v>#VALUE!</v>
      </c>
      <c r="CC136" s="1445"/>
      <c r="CD136" s="1445"/>
      <c r="CE136" s="1445"/>
      <c r="CH136" s="1446" t="e">
        <f>IF((P136+Q136)&lt;&gt;E136,1,0)</f>
        <v>#VALUE!</v>
      </c>
      <c r="CI136" s="1446"/>
      <c r="CJ136" s="1446"/>
      <c r="CK136" s="1446"/>
    </row>
    <row r="137" spans="1:94" ht="18" customHeight="1" x14ac:dyDescent="0.3">
      <c r="A137" s="7294">
        <v>29101567</v>
      </c>
      <c r="B137" s="10786"/>
      <c r="C137" s="10787"/>
      <c r="D137" s="8435" t="s">
        <v>3399</v>
      </c>
      <c r="E137" s="8429" t="s">
        <v>5369</v>
      </c>
      <c r="F137" s="8436" t="s">
        <v>5370</v>
      </c>
      <c r="G137" s="8437" t="s">
        <v>5371</v>
      </c>
      <c r="H137" s="8438" t="s">
        <v>5372</v>
      </c>
      <c r="I137" s="8438" t="s">
        <v>5373</v>
      </c>
      <c r="J137" s="8438" t="s">
        <v>5374</v>
      </c>
      <c r="K137" s="8438" t="s">
        <v>5375</v>
      </c>
      <c r="L137" s="8438" t="s">
        <v>5376</v>
      </c>
      <c r="M137" s="8438" t="s">
        <v>5377</v>
      </c>
      <c r="N137" s="8438" t="s">
        <v>5378</v>
      </c>
      <c r="O137" s="8439" t="s">
        <v>5379</v>
      </c>
      <c r="P137" s="8440" t="s">
        <v>5379</v>
      </c>
      <c r="Q137" s="8441" t="s">
        <v>5380</v>
      </c>
      <c r="R137" s="827" t="e">
        <f t="shared" ref="R137:R151" si="13">CB137</f>
        <v>#VALUE!</v>
      </c>
      <c r="CB137" s="1445" t="e">
        <f t="shared" ref="CB137:CB151" si="14">IF(CH137=1," * El Total por sexo Debe ser igual al total de las intervenciones. ","")</f>
        <v>#VALUE!</v>
      </c>
      <c r="CC137" s="1445"/>
      <c r="CD137" s="1445"/>
      <c r="CE137" s="1445"/>
      <c r="CH137" s="1446" t="e">
        <f t="shared" ref="CH137:CH151" si="15">IF((P137+Q137)&lt;&gt;E137,1,0)</f>
        <v>#VALUE!</v>
      </c>
      <c r="CI137" s="1446"/>
      <c r="CJ137" s="1446"/>
      <c r="CK137" s="1446"/>
    </row>
    <row r="138" spans="1:94" ht="21" customHeight="1" x14ac:dyDescent="0.3">
      <c r="A138" s="7294">
        <v>29101568</v>
      </c>
      <c r="B138" s="10786"/>
      <c r="C138" s="10787"/>
      <c r="D138" s="8435" t="s">
        <v>3400</v>
      </c>
      <c r="E138" s="8429" t="s">
        <v>5369</v>
      </c>
      <c r="F138" s="8436" t="s">
        <v>5370</v>
      </c>
      <c r="G138" s="8438" t="s">
        <v>5371</v>
      </c>
      <c r="H138" s="8437" t="s">
        <v>5372</v>
      </c>
      <c r="I138" s="8438" t="s">
        <v>5373</v>
      </c>
      <c r="J138" s="8438" t="s">
        <v>5374</v>
      </c>
      <c r="K138" s="8438" t="s">
        <v>5375</v>
      </c>
      <c r="L138" s="8438" t="s">
        <v>5376</v>
      </c>
      <c r="M138" s="8438" t="s">
        <v>5377</v>
      </c>
      <c r="N138" s="8438" t="s">
        <v>5378</v>
      </c>
      <c r="O138" s="8439" t="s">
        <v>5379</v>
      </c>
      <c r="P138" s="8440" t="s">
        <v>5379</v>
      </c>
      <c r="Q138" s="8441" t="s">
        <v>5380</v>
      </c>
      <c r="R138" s="827" t="e">
        <f t="shared" si="13"/>
        <v>#VALUE!</v>
      </c>
      <c r="CB138" s="1445" t="e">
        <f t="shared" si="14"/>
        <v>#VALUE!</v>
      </c>
      <c r="CC138" s="1445"/>
      <c r="CD138" s="1445"/>
      <c r="CE138" s="1445"/>
      <c r="CH138" s="1446" t="e">
        <f t="shared" si="15"/>
        <v>#VALUE!</v>
      </c>
      <c r="CI138" s="1446"/>
      <c r="CJ138" s="1446"/>
      <c r="CK138" s="1446"/>
    </row>
    <row r="139" spans="1:94" ht="27.75" customHeight="1" x14ac:dyDescent="0.3">
      <c r="A139" s="7294">
        <v>29101569</v>
      </c>
      <c r="B139" s="10786"/>
      <c r="C139" s="10787"/>
      <c r="D139" s="8442" t="s">
        <v>3401</v>
      </c>
      <c r="E139" s="8429" t="s">
        <v>5369</v>
      </c>
      <c r="F139" s="8436" t="s">
        <v>5370</v>
      </c>
      <c r="G139" s="8438" t="s">
        <v>5371</v>
      </c>
      <c r="H139" s="8438" t="s">
        <v>5372</v>
      </c>
      <c r="I139" s="8437" t="s">
        <v>5373</v>
      </c>
      <c r="J139" s="8438" t="s">
        <v>5374</v>
      </c>
      <c r="K139" s="8438" t="s">
        <v>5375</v>
      </c>
      <c r="L139" s="8438" t="s">
        <v>5376</v>
      </c>
      <c r="M139" s="8438" t="s">
        <v>5377</v>
      </c>
      <c r="N139" s="8438" t="s">
        <v>5378</v>
      </c>
      <c r="O139" s="8439" t="s">
        <v>5379</v>
      </c>
      <c r="P139" s="8440" t="s">
        <v>5379</v>
      </c>
      <c r="Q139" s="8441" t="s">
        <v>5380</v>
      </c>
      <c r="R139" s="827" t="e">
        <f t="shared" si="13"/>
        <v>#VALUE!</v>
      </c>
      <c r="CB139" s="1445" t="e">
        <f t="shared" si="14"/>
        <v>#VALUE!</v>
      </c>
      <c r="CC139" s="1445"/>
      <c r="CD139" s="1445"/>
      <c r="CE139" s="1445"/>
      <c r="CH139" s="1446" t="e">
        <f t="shared" si="15"/>
        <v>#VALUE!</v>
      </c>
      <c r="CI139" s="1446"/>
      <c r="CJ139" s="1446"/>
      <c r="CK139" s="1446"/>
    </row>
    <row r="140" spans="1:94" ht="21.75" customHeight="1" x14ac:dyDescent="0.3">
      <c r="A140" s="7294">
        <v>29101570</v>
      </c>
      <c r="B140" s="10786"/>
      <c r="C140" s="10787"/>
      <c r="D140" s="8442" t="s">
        <v>3402</v>
      </c>
      <c r="E140" s="8429" t="s">
        <v>5369</v>
      </c>
      <c r="F140" s="8436" t="s">
        <v>5370</v>
      </c>
      <c r="G140" s="8438" t="s">
        <v>5371</v>
      </c>
      <c r="H140" s="8438" t="s">
        <v>5372</v>
      </c>
      <c r="I140" s="8438" t="s">
        <v>5373</v>
      </c>
      <c r="J140" s="8437" t="s">
        <v>5374</v>
      </c>
      <c r="K140" s="8437" t="s">
        <v>5375</v>
      </c>
      <c r="L140" s="8437" t="s">
        <v>5376</v>
      </c>
      <c r="M140" s="8438" t="s">
        <v>5377</v>
      </c>
      <c r="N140" s="8438" t="s">
        <v>5378</v>
      </c>
      <c r="O140" s="8439" t="s">
        <v>5379</v>
      </c>
      <c r="P140" s="8440" t="s">
        <v>5379</v>
      </c>
      <c r="Q140" s="8441" t="s">
        <v>5380</v>
      </c>
      <c r="R140" s="827" t="e">
        <f t="shared" si="13"/>
        <v>#VALUE!</v>
      </c>
      <c r="CB140" s="1445" t="e">
        <f t="shared" si="14"/>
        <v>#VALUE!</v>
      </c>
      <c r="CC140" s="1445"/>
      <c r="CD140" s="1445"/>
      <c r="CE140" s="1445"/>
      <c r="CH140" s="1446" t="e">
        <f t="shared" si="15"/>
        <v>#VALUE!</v>
      </c>
      <c r="CI140" s="1446"/>
      <c r="CJ140" s="1446"/>
      <c r="CK140" s="1446"/>
    </row>
    <row r="141" spans="1:94" ht="15.6" customHeight="1" x14ac:dyDescent="0.3">
      <c r="A141" s="7294">
        <v>29101571</v>
      </c>
      <c r="B141" s="10786"/>
      <c r="C141" s="10787"/>
      <c r="D141" s="8443" t="s">
        <v>3403</v>
      </c>
      <c r="E141" s="8429" t="s">
        <v>5369</v>
      </c>
      <c r="F141" s="8436" t="s">
        <v>5370</v>
      </c>
      <c r="G141" s="8438" t="s">
        <v>5371</v>
      </c>
      <c r="H141" s="8437" t="s">
        <v>5372</v>
      </c>
      <c r="I141" s="8437" t="s">
        <v>5373</v>
      </c>
      <c r="J141" s="8437" t="s">
        <v>5374</v>
      </c>
      <c r="K141" s="8438" t="s">
        <v>5375</v>
      </c>
      <c r="L141" s="8438" t="s">
        <v>5376</v>
      </c>
      <c r="M141" s="8438" t="s">
        <v>5377</v>
      </c>
      <c r="N141" s="8438" t="s">
        <v>5378</v>
      </c>
      <c r="O141" s="8439" t="s">
        <v>5379</v>
      </c>
      <c r="P141" s="8440" t="s">
        <v>5379</v>
      </c>
      <c r="Q141" s="8441" t="s">
        <v>5380</v>
      </c>
      <c r="R141" s="827" t="e">
        <f t="shared" si="13"/>
        <v>#VALUE!</v>
      </c>
      <c r="CB141" s="1445" t="e">
        <f t="shared" si="14"/>
        <v>#VALUE!</v>
      </c>
      <c r="CC141" s="1445"/>
      <c r="CD141" s="1445"/>
      <c r="CE141" s="1445"/>
      <c r="CH141" s="1446" t="e">
        <f t="shared" si="15"/>
        <v>#VALUE!</v>
      </c>
      <c r="CI141" s="1446"/>
      <c r="CJ141" s="1446"/>
      <c r="CK141" s="1446"/>
    </row>
    <row r="142" spans="1:94" ht="16.95" customHeight="1" x14ac:dyDescent="0.3">
      <c r="A142" s="7294">
        <v>29101572</v>
      </c>
      <c r="B142" s="10786"/>
      <c r="C142" s="10787"/>
      <c r="D142" s="8443" t="s">
        <v>3404</v>
      </c>
      <c r="E142" s="8429" t="s">
        <v>5369</v>
      </c>
      <c r="F142" s="8436" t="s">
        <v>5370</v>
      </c>
      <c r="G142" s="8438" t="s">
        <v>5371</v>
      </c>
      <c r="H142" s="8437" t="s">
        <v>5372</v>
      </c>
      <c r="I142" s="8437" t="s">
        <v>5373</v>
      </c>
      <c r="J142" s="8437" t="s">
        <v>5374</v>
      </c>
      <c r="K142" s="8438" t="s">
        <v>5375</v>
      </c>
      <c r="L142" s="8438" t="s">
        <v>5376</v>
      </c>
      <c r="M142" s="8438" t="s">
        <v>5377</v>
      </c>
      <c r="N142" s="8438" t="s">
        <v>5378</v>
      </c>
      <c r="O142" s="8439" t="s">
        <v>5379</v>
      </c>
      <c r="P142" s="8444" t="s">
        <v>5379</v>
      </c>
      <c r="Q142" s="8445" t="s">
        <v>5380</v>
      </c>
      <c r="R142" s="827" t="e">
        <f t="shared" si="13"/>
        <v>#VALUE!</v>
      </c>
      <c r="CB142" s="1445" t="e">
        <f t="shared" si="14"/>
        <v>#VALUE!</v>
      </c>
      <c r="CC142" s="1445"/>
      <c r="CD142" s="1445"/>
      <c r="CE142" s="1445"/>
      <c r="CH142" s="1446" t="e">
        <f t="shared" si="15"/>
        <v>#VALUE!</v>
      </c>
      <c r="CI142" s="1446"/>
      <c r="CJ142" s="1446"/>
      <c r="CK142" s="1446"/>
    </row>
    <row r="143" spans="1:94" ht="27" customHeight="1" x14ac:dyDescent="0.3">
      <c r="A143" s="7294">
        <v>29101573</v>
      </c>
      <c r="B143" s="10786"/>
      <c r="C143" s="10787"/>
      <c r="D143" s="8442" t="s">
        <v>3405</v>
      </c>
      <c r="E143" s="8446" t="s">
        <v>5369</v>
      </c>
      <c r="F143" s="8447" t="s">
        <v>5370</v>
      </c>
      <c r="G143" s="8448" t="s">
        <v>5371</v>
      </c>
      <c r="H143" s="8448" t="s">
        <v>5372</v>
      </c>
      <c r="I143" s="8448" t="s">
        <v>5373</v>
      </c>
      <c r="J143" s="8448" t="s">
        <v>5374</v>
      </c>
      <c r="K143" s="8448" t="s">
        <v>5375</v>
      </c>
      <c r="L143" s="8448" t="s">
        <v>5376</v>
      </c>
      <c r="M143" s="8449" t="s">
        <v>5377</v>
      </c>
      <c r="N143" s="8449" t="s">
        <v>5378</v>
      </c>
      <c r="O143" s="8450" t="s">
        <v>5379</v>
      </c>
      <c r="P143" s="8451" t="s">
        <v>5379</v>
      </c>
      <c r="Q143" s="8452" t="s">
        <v>5380</v>
      </c>
      <c r="R143" s="827" t="e">
        <f t="shared" si="13"/>
        <v>#VALUE!</v>
      </c>
      <c r="CB143" s="1445" t="e">
        <f t="shared" si="14"/>
        <v>#VALUE!</v>
      </c>
      <c r="CC143" s="1445"/>
      <c r="CD143" s="1445"/>
      <c r="CE143" s="1445"/>
      <c r="CH143" s="1446" t="e">
        <f t="shared" si="15"/>
        <v>#VALUE!</v>
      </c>
      <c r="CI143" s="1446"/>
      <c r="CJ143" s="1446"/>
      <c r="CK143" s="1446"/>
    </row>
    <row r="144" spans="1:94" ht="22.95" customHeight="1" x14ac:dyDescent="0.3">
      <c r="A144" s="7294">
        <v>29101574</v>
      </c>
      <c r="B144" s="10785" t="s">
        <v>3365</v>
      </c>
      <c r="C144" s="10776"/>
      <c r="D144" s="8428" t="s">
        <v>3358</v>
      </c>
      <c r="E144" s="8453" t="s">
        <v>5369</v>
      </c>
      <c r="F144" s="8454" t="s">
        <v>5370</v>
      </c>
      <c r="G144" s="8455" t="s">
        <v>5371</v>
      </c>
      <c r="H144" s="8455" t="s">
        <v>5372</v>
      </c>
      <c r="I144" s="8455" t="s">
        <v>5373</v>
      </c>
      <c r="J144" s="8455" t="s">
        <v>5374</v>
      </c>
      <c r="K144" s="8455" t="s">
        <v>5375</v>
      </c>
      <c r="L144" s="8455" t="s">
        <v>5376</v>
      </c>
      <c r="M144" s="8455" t="s">
        <v>5377</v>
      </c>
      <c r="N144" s="8455" t="s">
        <v>5378</v>
      </c>
      <c r="O144" s="8456" t="s">
        <v>5379</v>
      </c>
      <c r="P144" s="8457" t="s">
        <v>5379</v>
      </c>
      <c r="Q144" s="8458" t="s">
        <v>5380</v>
      </c>
      <c r="R144" s="827" t="e">
        <f t="shared" si="13"/>
        <v>#VALUE!</v>
      </c>
      <c r="CB144" s="1445" t="e">
        <f t="shared" si="14"/>
        <v>#VALUE!</v>
      </c>
      <c r="CC144" s="1445"/>
      <c r="CD144" s="1445"/>
      <c r="CE144" s="1445"/>
      <c r="CH144" s="1446" t="e">
        <f t="shared" si="15"/>
        <v>#VALUE!</v>
      </c>
      <c r="CI144" s="1446"/>
      <c r="CJ144" s="1446"/>
      <c r="CK144" s="1446"/>
    </row>
    <row r="145" spans="1:89" ht="16.95" customHeight="1" x14ac:dyDescent="0.3">
      <c r="A145" s="7294">
        <v>29101575</v>
      </c>
      <c r="B145" s="10786"/>
      <c r="C145" s="10787"/>
      <c r="D145" s="8435" t="s">
        <v>3399</v>
      </c>
      <c r="E145" s="8429" t="s">
        <v>5369</v>
      </c>
      <c r="F145" s="8436" t="s">
        <v>5370</v>
      </c>
      <c r="G145" s="8437" t="s">
        <v>5371</v>
      </c>
      <c r="H145" s="8438" t="s">
        <v>5372</v>
      </c>
      <c r="I145" s="8438" t="s">
        <v>5373</v>
      </c>
      <c r="J145" s="8438" t="s">
        <v>5374</v>
      </c>
      <c r="K145" s="8438" t="s">
        <v>5375</v>
      </c>
      <c r="L145" s="8438" t="s">
        <v>5376</v>
      </c>
      <c r="M145" s="8438" t="s">
        <v>5377</v>
      </c>
      <c r="N145" s="8438" t="s">
        <v>5378</v>
      </c>
      <c r="O145" s="8439" t="s">
        <v>5379</v>
      </c>
      <c r="P145" s="8440" t="s">
        <v>5379</v>
      </c>
      <c r="Q145" s="8441" t="s">
        <v>5380</v>
      </c>
      <c r="R145" s="827" t="e">
        <f t="shared" si="13"/>
        <v>#VALUE!</v>
      </c>
      <c r="CB145" s="1445" t="e">
        <f t="shared" si="14"/>
        <v>#VALUE!</v>
      </c>
      <c r="CC145" s="1445"/>
      <c r="CD145" s="1445"/>
      <c r="CE145" s="1445"/>
      <c r="CH145" s="1446" t="e">
        <f t="shared" si="15"/>
        <v>#VALUE!</v>
      </c>
      <c r="CI145" s="1446"/>
      <c r="CJ145" s="1446"/>
      <c r="CK145" s="1446"/>
    </row>
    <row r="146" spans="1:89" ht="18" customHeight="1" x14ac:dyDescent="0.3">
      <c r="A146" s="7294">
        <v>29101576</v>
      </c>
      <c r="B146" s="10786"/>
      <c r="C146" s="10787"/>
      <c r="D146" s="8435" t="s">
        <v>3400</v>
      </c>
      <c r="E146" s="8429" t="s">
        <v>5369</v>
      </c>
      <c r="F146" s="8436" t="s">
        <v>5370</v>
      </c>
      <c r="G146" s="8438" t="s">
        <v>5371</v>
      </c>
      <c r="H146" s="8437" t="s">
        <v>5372</v>
      </c>
      <c r="I146" s="8438" t="s">
        <v>5373</v>
      </c>
      <c r="J146" s="8438" t="s">
        <v>5374</v>
      </c>
      <c r="K146" s="8438" t="s">
        <v>5375</v>
      </c>
      <c r="L146" s="8438" t="s">
        <v>5376</v>
      </c>
      <c r="M146" s="8438" t="s">
        <v>5377</v>
      </c>
      <c r="N146" s="8438" t="s">
        <v>5378</v>
      </c>
      <c r="O146" s="8439" t="s">
        <v>5379</v>
      </c>
      <c r="P146" s="8440" t="s">
        <v>5379</v>
      </c>
      <c r="Q146" s="8441" t="s">
        <v>5380</v>
      </c>
      <c r="R146" s="827" t="e">
        <f t="shared" si="13"/>
        <v>#VALUE!</v>
      </c>
      <c r="CB146" s="1445" t="e">
        <f t="shared" si="14"/>
        <v>#VALUE!</v>
      </c>
      <c r="CC146" s="1445"/>
      <c r="CD146" s="1445"/>
      <c r="CE146" s="1445"/>
      <c r="CH146" s="1446" t="e">
        <f t="shared" si="15"/>
        <v>#VALUE!</v>
      </c>
      <c r="CI146" s="1446"/>
      <c r="CJ146" s="1446"/>
      <c r="CK146" s="1446"/>
    </row>
    <row r="147" spans="1:89" ht="36" customHeight="1" x14ac:dyDescent="0.3">
      <c r="A147" s="7294">
        <v>29101577</v>
      </c>
      <c r="B147" s="10786"/>
      <c r="C147" s="10787"/>
      <c r="D147" s="8442" t="s">
        <v>3401</v>
      </c>
      <c r="E147" s="8429" t="s">
        <v>5369</v>
      </c>
      <c r="F147" s="8436" t="s">
        <v>5370</v>
      </c>
      <c r="G147" s="8438" t="s">
        <v>5371</v>
      </c>
      <c r="H147" s="8438" t="s">
        <v>5372</v>
      </c>
      <c r="I147" s="8437" t="s">
        <v>5373</v>
      </c>
      <c r="J147" s="8438" t="s">
        <v>5374</v>
      </c>
      <c r="K147" s="8438" t="s">
        <v>5375</v>
      </c>
      <c r="L147" s="8438" t="s">
        <v>5376</v>
      </c>
      <c r="M147" s="8438" t="s">
        <v>5377</v>
      </c>
      <c r="N147" s="8438" t="s">
        <v>5378</v>
      </c>
      <c r="O147" s="8439" t="s">
        <v>5379</v>
      </c>
      <c r="P147" s="8440" t="s">
        <v>5379</v>
      </c>
      <c r="Q147" s="8441" t="s">
        <v>5380</v>
      </c>
      <c r="R147" s="827" t="e">
        <f t="shared" si="13"/>
        <v>#VALUE!</v>
      </c>
      <c r="CB147" s="1445" t="e">
        <f t="shared" si="14"/>
        <v>#VALUE!</v>
      </c>
      <c r="CC147" s="1445"/>
      <c r="CD147" s="1445"/>
      <c r="CE147" s="1445"/>
      <c r="CH147" s="1446" t="e">
        <f t="shared" si="15"/>
        <v>#VALUE!</v>
      </c>
      <c r="CI147" s="1446"/>
      <c r="CJ147" s="1446"/>
      <c r="CK147" s="1446"/>
    </row>
    <row r="148" spans="1:89" ht="25.5" customHeight="1" x14ac:dyDescent="0.3">
      <c r="A148" s="7294">
        <v>29101578</v>
      </c>
      <c r="B148" s="10786"/>
      <c r="C148" s="10787"/>
      <c r="D148" s="8442" t="s">
        <v>3402</v>
      </c>
      <c r="E148" s="8429" t="s">
        <v>5369</v>
      </c>
      <c r="F148" s="8436" t="s">
        <v>5370</v>
      </c>
      <c r="G148" s="8438" t="s">
        <v>5371</v>
      </c>
      <c r="H148" s="8438" t="s">
        <v>5372</v>
      </c>
      <c r="I148" s="8438" t="s">
        <v>5373</v>
      </c>
      <c r="J148" s="8437" t="s">
        <v>5374</v>
      </c>
      <c r="K148" s="8437" t="s">
        <v>5375</v>
      </c>
      <c r="L148" s="8437" t="s">
        <v>5376</v>
      </c>
      <c r="M148" s="8438" t="s">
        <v>5377</v>
      </c>
      <c r="N148" s="8438" t="s">
        <v>5378</v>
      </c>
      <c r="O148" s="8439" t="s">
        <v>5379</v>
      </c>
      <c r="P148" s="8440" t="s">
        <v>5379</v>
      </c>
      <c r="Q148" s="8441" t="s">
        <v>5380</v>
      </c>
      <c r="R148" s="827" t="e">
        <f t="shared" si="13"/>
        <v>#VALUE!</v>
      </c>
      <c r="CB148" s="1445" t="e">
        <f t="shared" si="14"/>
        <v>#VALUE!</v>
      </c>
      <c r="CC148" s="1445"/>
      <c r="CD148" s="1445"/>
      <c r="CE148" s="1445"/>
      <c r="CH148" s="1446" t="e">
        <f t="shared" si="15"/>
        <v>#VALUE!</v>
      </c>
      <c r="CI148" s="1446"/>
      <c r="CJ148" s="1446"/>
      <c r="CK148" s="1446"/>
    </row>
    <row r="149" spans="1:89" ht="18.600000000000001" customHeight="1" x14ac:dyDescent="0.3">
      <c r="A149" s="7294">
        <v>29101579</v>
      </c>
      <c r="B149" s="10786"/>
      <c r="C149" s="10787"/>
      <c r="D149" s="8443" t="s">
        <v>3403</v>
      </c>
      <c r="E149" s="8429" t="s">
        <v>5369</v>
      </c>
      <c r="F149" s="8436" t="s">
        <v>5370</v>
      </c>
      <c r="G149" s="8438" t="s">
        <v>5371</v>
      </c>
      <c r="H149" s="8437" t="s">
        <v>5372</v>
      </c>
      <c r="I149" s="8437" t="s">
        <v>5373</v>
      </c>
      <c r="J149" s="8437" t="s">
        <v>5374</v>
      </c>
      <c r="K149" s="8438" t="s">
        <v>5375</v>
      </c>
      <c r="L149" s="8438" t="s">
        <v>5376</v>
      </c>
      <c r="M149" s="8438" t="s">
        <v>5377</v>
      </c>
      <c r="N149" s="8438" t="s">
        <v>5378</v>
      </c>
      <c r="O149" s="8439" t="s">
        <v>5379</v>
      </c>
      <c r="P149" s="8440" t="s">
        <v>5379</v>
      </c>
      <c r="Q149" s="8441" t="s">
        <v>5380</v>
      </c>
      <c r="R149" s="827" t="e">
        <f t="shared" si="13"/>
        <v>#VALUE!</v>
      </c>
      <c r="CB149" s="1445" t="e">
        <f t="shared" si="14"/>
        <v>#VALUE!</v>
      </c>
      <c r="CC149" s="1445"/>
      <c r="CD149" s="1445"/>
      <c r="CE149" s="1445"/>
      <c r="CH149" s="1446" t="e">
        <f t="shared" si="15"/>
        <v>#VALUE!</v>
      </c>
      <c r="CI149" s="1446"/>
      <c r="CJ149" s="1446"/>
      <c r="CK149" s="1446"/>
    </row>
    <row r="150" spans="1:89" ht="18.600000000000001" customHeight="1" x14ac:dyDescent="0.3">
      <c r="A150" s="7294">
        <v>29101580</v>
      </c>
      <c r="B150" s="10786"/>
      <c r="C150" s="10787"/>
      <c r="D150" s="8443" t="s">
        <v>3404</v>
      </c>
      <c r="E150" s="8429" t="s">
        <v>5369</v>
      </c>
      <c r="F150" s="8436" t="s">
        <v>5370</v>
      </c>
      <c r="G150" s="8438" t="s">
        <v>5371</v>
      </c>
      <c r="H150" s="8437" t="s">
        <v>5372</v>
      </c>
      <c r="I150" s="8437" t="s">
        <v>5373</v>
      </c>
      <c r="J150" s="8437" t="s">
        <v>5374</v>
      </c>
      <c r="K150" s="8438" t="s">
        <v>5375</v>
      </c>
      <c r="L150" s="8438" t="s">
        <v>5376</v>
      </c>
      <c r="M150" s="8438" t="s">
        <v>5377</v>
      </c>
      <c r="N150" s="8438" t="s">
        <v>5378</v>
      </c>
      <c r="O150" s="8439" t="s">
        <v>5379</v>
      </c>
      <c r="P150" s="8444" t="s">
        <v>5379</v>
      </c>
      <c r="Q150" s="8445" t="s">
        <v>5380</v>
      </c>
      <c r="R150" s="827" t="e">
        <f t="shared" si="13"/>
        <v>#VALUE!</v>
      </c>
      <c r="CB150" s="1445" t="e">
        <f t="shared" si="14"/>
        <v>#VALUE!</v>
      </c>
      <c r="CC150" s="1445"/>
      <c r="CD150" s="1445"/>
      <c r="CE150" s="1445"/>
      <c r="CH150" s="1446" t="e">
        <f t="shared" si="15"/>
        <v>#VALUE!</v>
      </c>
      <c r="CI150" s="1446"/>
      <c r="CJ150" s="1446"/>
      <c r="CK150" s="1446"/>
    </row>
    <row r="151" spans="1:89" ht="29.25" customHeight="1" x14ac:dyDescent="0.3">
      <c r="A151" s="7294">
        <v>29101581</v>
      </c>
      <c r="B151" s="10788"/>
      <c r="C151" s="10778"/>
      <c r="D151" s="8442" t="s">
        <v>3405</v>
      </c>
      <c r="E151" s="8446" t="s">
        <v>5369</v>
      </c>
      <c r="F151" s="8447" t="s">
        <v>5370</v>
      </c>
      <c r="G151" s="8448" t="s">
        <v>5371</v>
      </c>
      <c r="H151" s="8448" t="s">
        <v>5372</v>
      </c>
      <c r="I151" s="8448" t="s">
        <v>5373</v>
      </c>
      <c r="J151" s="8448" t="s">
        <v>5374</v>
      </c>
      <c r="K151" s="8448" t="s">
        <v>5375</v>
      </c>
      <c r="L151" s="8448" t="s">
        <v>5376</v>
      </c>
      <c r="M151" s="8459" t="s">
        <v>5377</v>
      </c>
      <c r="N151" s="8459" t="s">
        <v>5378</v>
      </c>
      <c r="O151" s="8460" t="s">
        <v>5379</v>
      </c>
      <c r="P151" s="8451" t="s">
        <v>5379</v>
      </c>
      <c r="Q151" s="8452" t="s">
        <v>5380</v>
      </c>
      <c r="R151" s="827" t="e">
        <f t="shared" si="13"/>
        <v>#VALUE!</v>
      </c>
      <c r="CB151" s="1445" t="e">
        <f t="shared" si="14"/>
        <v>#VALUE!</v>
      </c>
      <c r="CC151" s="1445"/>
      <c r="CD151" s="1445"/>
      <c r="CE151" s="1445"/>
      <c r="CH151" s="1446" t="e">
        <f t="shared" si="15"/>
        <v>#VALUE!</v>
      </c>
      <c r="CI151" s="1446"/>
      <c r="CJ151" s="1446"/>
      <c r="CK151" s="1446"/>
    </row>
    <row r="152" spans="1:89" ht="25.2" customHeight="1" x14ac:dyDescent="0.3">
      <c r="B152" s="7270" t="s">
        <v>5493</v>
      </c>
      <c r="C152" s="1192"/>
      <c r="D152" s="140"/>
      <c r="E152" s="140"/>
      <c r="F152" s="140"/>
      <c r="G152" s="165"/>
      <c r="H152" s="165"/>
      <c r="I152" s="165"/>
      <c r="J152" s="165"/>
    </row>
    <row r="153" spans="1:89" ht="51" customHeight="1" x14ac:dyDescent="0.3">
      <c r="B153" s="9307" t="s">
        <v>475</v>
      </c>
      <c r="C153" s="9308"/>
      <c r="D153" s="10890"/>
      <c r="E153" s="8375" t="s">
        <v>24</v>
      </c>
      <c r="F153" s="8017" t="s">
        <v>3523</v>
      </c>
      <c r="G153" s="8461" t="s">
        <v>3646</v>
      </c>
      <c r="H153" s="8461" t="s">
        <v>3524</v>
      </c>
      <c r="I153" s="8462" t="s">
        <v>2614</v>
      </c>
      <c r="J153" s="8463" t="s">
        <v>3525</v>
      </c>
    </row>
    <row r="154" spans="1:89" x14ac:dyDescent="0.3">
      <c r="A154" s="7294">
        <v>29101582</v>
      </c>
      <c r="B154" s="10891" t="s">
        <v>481</v>
      </c>
      <c r="C154" s="10894" t="s">
        <v>482</v>
      </c>
      <c r="D154" s="10895"/>
      <c r="E154" s="8162" t="s">
        <v>5369</v>
      </c>
      <c r="F154" s="8163" t="s">
        <v>5370</v>
      </c>
      <c r="G154" s="8164" t="s">
        <v>5371</v>
      </c>
      <c r="H154" s="8164" t="s">
        <v>5372</v>
      </c>
      <c r="I154" s="8165" t="s">
        <v>5373</v>
      </c>
      <c r="J154" s="8464" t="s">
        <v>5374</v>
      </c>
    </row>
    <row r="155" spans="1:89" x14ac:dyDescent="0.3">
      <c r="A155" s="7294">
        <v>29101583</v>
      </c>
      <c r="B155" s="10892"/>
      <c r="C155" s="9298" t="s">
        <v>483</v>
      </c>
      <c r="D155" s="8465" t="s">
        <v>484</v>
      </c>
      <c r="E155" s="8162" t="s">
        <v>5369</v>
      </c>
      <c r="F155" s="8181" t="s">
        <v>5370</v>
      </c>
      <c r="G155" s="8182" t="s">
        <v>5371</v>
      </c>
      <c r="H155" s="8182" t="s">
        <v>5372</v>
      </c>
      <c r="I155" s="8183" t="s">
        <v>5373</v>
      </c>
      <c r="J155" s="8466" t="s">
        <v>5374</v>
      </c>
    </row>
    <row r="156" spans="1:89" x14ac:dyDescent="0.3">
      <c r="A156" s="7294">
        <v>29101584</v>
      </c>
      <c r="B156" s="10892"/>
      <c r="C156" s="9299"/>
      <c r="D156" s="8376" t="s">
        <v>485</v>
      </c>
      <c r="E156" s="8467" t="s">
        <v>5369</v>
      </c>
      <c r="F156" s="8170" t="s">
        <v>5370</v>
      </c>
      <c r="G156" s="8171" t="s">
        <v>5371</v>
      </c>
      <c r="H156" s="8171" t="s">
        <v>5372</v>
      </c>
      <c r="I156" s="8172" t="s">
        <v>5373</v>
      </c>
      <c r="J156" s="8468" t="s">
        <v>5374</v>
      </c>
    </row>
    <row r="157" spans="1:89" x14ac:dyDescent="0.3">
      <c r="A157" s="7294">
        <v>29101585</v>
      </c>
      <c r="B157" s="10892"/>
      <c r="C157" s="9299"/>
      <c r="D157" s="8376" t="s">
        <v>486</v>
      </c>
      <c r="E157" s="8169" t="s">
        <v>5369</v>
      </c>
      <c r="F157" s="8170" t="s">
        <v>5370</v>
      </c>
      <c r="G157" s="8171" t="s">
        <v>5371</v>
      </c>
      <c r="H157" s="8171" t="s">
        <v>5372</v>
      </c>
      <c r="I157" s="8172" t="s">
        <v>5373</v>
      </c>
      <c r="J157" s="8468" t="s">
        <v>5374</v>
      </c>
    </row>
    <row r="158" spans="1:89" x14ac:dyDescent="0.3">
      <c r="A158" s="7294">
        <v>29101586</v>
      </c>
      <c r="B158" s="10892"/>
      <c r="C158" s="9300"/>
      <c r="D158" s="7360" t="s">
        <v>487</v>
      </c>
      <c r="E158" s="8469" t="s">
        <v>5369</v>
      </c>
      <c r="F158" s="7395" t="s">
        <v>5370</v>
      </c>
      <c r="G158" s="8176" t="s">
        <v>5371</v>
      </c>
      <c r="H158" s="8176" t="s">
        <v>5372</v>
      </c>
      <c r="I158" s="8177" t="s">
        <v>5373</v>
      </c>
      <c r="J158" s="8470" t="s">
        <v>5374</v>
      </c>
    </row>
    <row r="159" spans="1:89" x14ac:dyDescent="0.3">
      <c r="A159" s="7294">
        <v>29101587</v>
      </c>
      <c r="B159" s="10892"/>
      <c r="C159" s="10499" t="s">
        <v>488</v>
      </c>
      <c r="D159" s="10500"/>
      <c r="E159" s="8471" t="s">
        <v>5369</v>
      </c>
      <c r="F159" s="7401" t="s">
        <v>5370</v>
      </c>
      <c r="G159" s="8472" t="s">
        <v>5371</v>
      </c>
      <c r="H159" s="8472" t="s">
        <v>5372</v>
      </c>
      <c r="I159" s="8473" t="s">
        <v>5373</v>
      </c>
      <c r="J159" s="8474" t="s">
        <v>5374</v>
      </c>
    </row>
    <row r="160" spans="1:89" x14ac:dyDescent="0.3">
      <c r="A160" s="7294">
        <v>29101588</v>
      </c>
      <c r="B160" s="10892"/>
      <c r="C160" s="10896" t="s">
        <v>489</v>
      </c>
      <c r="D160" s="10407"/>
      <c r="E160" s="8467" t="s">
        <v>5369</v>
      </c>
      <c r="F160" s="8170" t="s">
        <v>5370</v>
      </c>
      <c r="G160" s="8171" t="s">
        <v>5371</v>
      </c>
      <c r="H160" s="8171" t="s">
        <v>5372</v>
      </c>
      <c r="I160" s="8172" t="s">
        <v>5373</v>
      </c>
      <c r="J160" s="8468" t="s">
        <v>5374</v>
      </c>
    </row>
    <row r="161" spans="1:10" x14ac:dyDescent="0.3">
      <c r="A161" s="7294">
        <v>29101589</v>
      </c>
      <c r="B161" s="10892"/>
      <c r="C161" s="10896" t="s">
        <v>490</v>
      </c>
      <c r="D161" s="10407"/>
      <c r="E161" s="8467" t="s">
        <v>5369</v>
      </c>
      <c r="F161" s="8170" t="s">
        <v>5370</v>
      </c>
      <c r="G161" s="8171" t="s">
        <v>5371</v>
      </c>
      <c r="H161" s="8171" t="s">
        <v>5372</v>
      </c>
      <c r="I161" s="8172" t="s">
        <v>5373</v>
      </c>
      <c r="J161" s="8468" t="s">
        <v>5374</v>
      </c>
    </row>
    <row r="162" spans="1:10" x14ac:dyDescent="0.3">
      <c r="A162" s="7294">
        <v>29101590</v>
      </c>
      <c r="B162" s="10892"/>
      <c r="C162" s="10896" t="s">
        <v>491</v>
      </c>
      <c r="D162" s="10407"/>
      <c r="E162" s="8467" t="s">
        <v>5369</v>
      </c>
      <c r="F162" s="8170" t="s">
        <v>5370</v>
      </c>
      <c r="G162" s="8171" t="s">
        <v>5371</v>
      </c>
      <c r="H162" s="8171" t="s">
        <v>5372</v>
      </c>
      <c r="I162" s="8172" t="s">
        <v>5373</v>
      </c>
      <c r="J162" s="8468" t="s">
        <v>5374</v>
      </c>
    </row>
    <row r="163" spans="1:10" x14ac:dyDescent="0.3">
      <c r="A163" s="7294">
        <v>29101591</v>
      </c>
      <c r="B163" s="10892"/>
      <c r="C163" s="10896" t="s">
        <v>492</v>
      </c>
      <c r="D163" s="10407"/>
      <c r="E163" s="8467" t="s">
        <v>5369</v>
      </c>
      <c r="F163" s="8170" t="s">
        <v>5370</v>
      </c>
      <c r="G163" s="8171" t="s">
        <v>5371</v>
      </c>
      <c r="H163" s="8171" t="s">
        <v>5372</v>
      </c>
      <c r="I163" s="8172" t="s">
        <v>5373</v>
      </c>
      <c r="J163" s="8468" t="s">
        <v>5374</v>
      </c>
    </row>
    <row r="164" spans="1:10" x14ac:dyDescent="0.3">
      <c r="A164" s="7294">
        <v>29101592</v>
      </c>
      <c r="B164" s="10892"/>
      <c r="C164" s="10896" t="s">
        <v>600</v>
      </c>
      <c r="D164" s="10407"/>
      <c r="E164" s="8467" t="s">
        <v>5369</v>
      </c>
      <c r="F164" s="8475" t="s">
        <v>5370</v>
      </c>
      <c r="G164" s="8476" t="s">
        <v>5371</v>
      </c>
      <c r="H164" s="8476" t="s">
        <v>5372</v>
      </c>
      <c r="I164" s="8477" t="s">
        <v>5373</v>
      </c>
      <c r="J164" s="8478" t="s">
        <v>5374</v>
      </c>
    </row>
    <row r="165" spans="1:10" ht="23.25" customHeight="1" x14ac:dyDescent="0.3">
      <c r="A165" s="7294">
        <v>29101593</v>
      </c>
      <c r="B165" s="10892"/>
      <c r="C165" s="10897" t="s">
        <v>493</v>
      </c>
      <c r="D165" s="10898"/>
      <c r="E165" s="8467" t="s">
        <v>5369</v>
      </c>
      <c r="F165" s="8475" t="s">
        <v>5370</v>
      </c>
      <c r="G165" s="8476" t="s">
        <v>5371</v>
      </c>
      <c r="H165" s="8476" t="s">
        <v>5372</v>
      </c>
      <c r="I165" s="8477" t="s">
        <v>5373</v>
      </c>
      <c r="J165" s="8478" t="s">
        <v>5374</v>
      </c>
    </row>
    <row r="166" spans="1:10" ht="17.25" customHeight="1" x14ac:dyDescent="0.3">
      <c r="A166" s="7294">
        <v>29101594</v>
      </c>
      <c r="B166" s="10892"/>
      <c r="C166" s="10897" t="s">
        <v>2220</v>
      </c>
      <c r="D166" s="10898"/>
      <c r="E166" s="8467" t="s">
        <v>5369</v>
      </c>
      <c r="F166" s="8475" t="s">
        <v>5370</v>
      </c>
      <c r="G166" s="8476" t="s">
        <v>5371</v>
      </c>
      <c r="H166" s="8476" t="s">
        <v>5372</v>
      </c>
      <c r="I166" s="8477" t="s">
        <v>5373</v>
      </c>
      <c r="J166" s="8478" t="s">
        <v>5374</v>
      </c>
    </row>
    <row r="167" spans="1:10" x14ac:dyDescent="0.3">
      <c r="A167" s="7294">
        <v>29101595</v>
      </c>
      <c r="B167" s="10892"/>
      <c r="C167" s="10899" t="s">
        <v>494</v>
      </c>
      <c r="D167" s="10900"/>
      <c r="E167" s="8467" t="s">
        <v>5369</v>
      </c>
      <c r="F167" s="8475" t="s">
        <v>5370</v>
      </c>
      <c r="G167" s="8476" t="s">
        <v>5371</v>
      </c>
      <c r="H167" s="8476" t="s">
        <v>5372</v>
      </c>
      <c r="I167" s="8477" t="s">
        <v>5373</v>
      </c>
      <c r="J167" s="8478" t="s">
        <v>5374</v>
      </c>
    </row>
    <row r="168" spans="1:10" x14ac:dyDescent="0.3">
      <c r="A168" s="7294">
        <v>29101596</v>
      </c>
      <c r="B168" s="10892"/>
      <c r="C168" s="9311" t="s">
        <v>495</v>
      </c>
      <c r="D168" s="8480" t="s">
        <v>496</v>
      </c>
      <c r="E168" s="8180" t="s">
        <v>5369</v>
      </c>
      <c r="F168" s="8185" t="s">
        <v>5370</v>
      </c>
      <c r="G168" s="8182" t="s">
        <v>5371</v>
      </c>
      <c r="H168" s="8182" t="s">
        <v>5372</v>
      </c>
      <c r="I168" s="8183" t="s">
        <v>5373</v>
      </c>
      <c r="J168" s="8466" t="s">
        <v>5374</v>
      </c>
    </row>
    <row r="169" spans="1:10" x14ac:dyDescent="0.3">
      <c r="A169" s="7294">
        <v>29101597</v>
      </c>
      <c r="B169" s="10892"/>
      <c r="C169" s="9312"/>
      <c r="D169" s="8479" t="s">
        <v>497</v>
      </c>
      <c r="E169" s="8169" t="s">
        <v>5369</v>
      </c>
      <c r="F169" s="8174" t="s">
        <v>5370</v>
      </c>
      <c r="G169" s="8171" t="s">
        <v>5371</v>
      </c>
      <c r="H169" s="8171" t="s">
        <v>5372</v>
      </c>
      <c r="I169" s="8172" t="s">
        <v>5373</v>
      </c>
      <c r="J169" s="8468" t="s">
        <v>5374</v>
      </c>
    </row>
    <row r="170" spans="1:10" x14ac:dyDescent="0.3">
      <c r="A170" s="7294">
        <v>29101598</v>
      </c>
      <c r="B170" s="10892"/>
      <c r="C170" s="9313"/>
      <c r="D170" s="8481" t="s">
        <v>70</v>
      </c>
      <c r="E170" s="8175" t="s">
        <v>5369</v>
      </c>
      <c r="F170" s="8196" t="s">
        <v>5370</v>
      </c>
      <c r="G170" s="8193" t="s">
        <v>5371</v>
      </c>
      <c r="H170" s="8193" t="s">
        <v>5372</v>
      </c>
      <c r="I170" s="8194" t="s">
        <v>5373</v>
      </c>
      <c r="J170" s="8482" t="s">
        <v>5374</v>
      </c>
    </row>
    <row r="171" spans="1:10" x14ac:dyDescent="0.3">
      <c r="A171" s="7294">
        <v>29101599</v>
      </c>
      <c r="B171" s="10892"/>
      <c r="C171" s="9311" t="s">
        <v>498</v>
      </c>
      <c r="D171" s="8483" t="s">
        <v>499</v>
      </c>
      <c r="E171" s="8162" t="s">
        <v>5369</v>
      </c>
      <c r="F171" s="8181" t="s">
        <v>5370</v>
      </c>
      <c r="G171" s="8182" t="s">
        <v>5371</v>
      </c>
      <c r="H171" s="8182" t="s">
        <v>5372</v>
      </c>
      <c r="I171" s="8183" t="s">
        <v>5373</v>
      </c>
      <c r="J171" s="8466" t="s">
        <v>5374</v>
      </c>
    </row>
    <row r="172" spans="1:10" x14ac:dyDescent="0.3">
      <c r="A172" s="7294">
        <v>29101600</v>
      </c>
      <c r="B172" s="10892"/>
      <c r="C172" s="9312"/>
      <c r="D172" s="8484" t="s">
        <v>500</v>
      </c>
      <c r="E172" s="8467" t="s">
        <v>5369</v>
      </c>
      <c r="F172" s="8170" t="s">
        <v>5370</v>
      </c>
      <c r="G172" s="8171" t="s">
        <v>5371</v>
      </c>
      <c r="H172" s="8171" t="s">
        <v>5372</v>
      </c>
      <c r="I172" s="8172" t="s">
        <v>5373</v>
      </c>
      <c r="J172" s="8468" t="s">
        <v>5374</v>
      </c>
    </row>
    <row r="173" spans="1:10" x14ac:dyDescent="0.3">
      <c r="A173" s="7294">
        <v>29101601</v>
      </c>
      <c r="B173" s="10892"/>
      <c r="C173" s="9313"/>
      <c r="D173" s="8481" t="s">
        <v>70</v>
      </c>
      <c r="E173" s="8175" t="s">
        <v>5369</v>
      </c>
      <c r="F173" s="8192" t="s">
        <v>5370</v>
      </c>
      <c r="G173" s="8193" t="s">
        <v>5371</v>
      </c>
      <c r="H173" s="8193" t="s">
        <v>5372</v>
      </c>
      <c r="I173" s="8194" t="s">
        <v>5373</v>
      </c>
      <c r="J173" s="8482" t="s">
        <v>5374</v>
      </c>
    </row>
    <row r="174" spans="1:10" x14ac:dyDescent="0.3">
      <c r="A174" s="7294">
        <v>29101602</v>
      </c>
      <c r="B174" s="10892"/>
      <c r="C174" s="10896" t="s">
        <v>501</v>
      </c>
      <c r="D174" s="10407"/>
      <c r="E174" s="7621" t="s">
        <v>5369</v>
      </c>
      <c r="F174" s="8485" t="s">
        <v>5370</v>
      </c>
      <c r="G174" s="8486" t="s">
        <v>5371</v>
      </c>
      <c r="H174" s="8486" t="s">
        <v>5372</v>
      </c>
      <c r="I174" s="8487" t="s">
        <v>5373</v>
      </c>
      <c r="J174" s="8211" t="s">
        <v>5374</v>
      </c>
    </row>
    <row r="175" spans="1:10" x14ac:dyDescent="0.3">
      <c r="A175" s="7294">
        <v>29101603</v>
      </c>
      <c r="B175" s="10892"/>
      <c r="C175" s="9292" t="s">
        <v>502</v>
      </c>
      <c r="D175" s="8488" t="s">
        <v>503</v>
      </c>
      <c r="E175" s="8471" t="s">
        <v>5369</v>
      </c>
      <c r="F175" s="7401" t="s">
        <v>5370</v>
      </c>
      <c r="G175" s="8472" t="s">
        <v>5371</v>
      </c>
      <c r="H175" s="8472" t="s">
        <v>5372</v>
      </c>
      <c r="I175" s="8473" t="s">
        <v>5373</v>
      </c>
      <c r="J175" s="8474" t="s">
        <v>5374</v>
      </c>
    </row>
    <row r="176" spans="1:10" x14ac:dyDescent="0.3">
      <c r="A176" s="7294">
        <v>29101604</v>
      </c>
      <c r="B176" s="10892"/>
      <c r="C176" s="9292"/>
      <c r="D176" s="8488" t="s">
        <v>504</v>
      </c>
      <c r="E176" s="8467" t="s">
        <v>5369</v>
      </c>
      <c r="F176" s="8170" t="s">
        <v>5370</v>
      </c>
      <c r="G176" s="8171" t="s">
        <v>5371</v>
      </c>
      <c r="H176" s="8171" t="s">
        <v>5372</v>
      </c>
      <c r="I176" s="8172" t="s">
        <v>5373</v>
      </c>
      <c r="J176" s="8468" t="s">
        <v>5374</v>
      </c>
    </row>
    <row r="177" spans="1:105" x14ac:dyDescent="0.3">
      <c r="A177" s="7294">
        <v>29101605</v>
      </c>
      <c r="B177" s="10892"/>
      <c r="C177" s="10901" t="s">
        <v>624</v>
      </c>
      <c r="D177" s="10901"/>
      <c r="E177" s="8467" t="s">
        <v>5369</v>
      </c>
      <c r="F177" s="8170" t="s">
        <v>5370</v>
      </c>
      <c r="G177" s="8171" t="s">
        <v>5371</v>
      </c>
      <c r="H177" s="8171" t="s">
        <v>5372</v>
      </c>
      <c r="I177" s="8172" t="s">
        <v>5373</v>
      </c>
      <c r="J177" s="8468" t="s">
        <v>5374</v>
      </c>
    </row>
    <row r="178" spans="1:105" x14ac:dyDescent="0.3">
      <c r="A178" s="7294">
        <v>29101606</v>
      </c>
      <c r="B178" s="10892"/>
      <c r="C178" s="10902" t="s">
        <v>505</v>
      </c>
      <c r="D178" s="10903"/>
      <c r="E178" s="8467" t="s">
        <v>5369</v>
      </c>
      <c r="F178" s="8170" t="s">
        <v>5370</v>
      </c>
      <c r="G178" s="8171" t="s">
        <v>5371</v>
      </c>
      <c r="H178" s="8171" t="s">
        <v>5372</v>
      </c>
      <c r="I178" s="8172" t="s">
        <v>5373</v>
      </c>
      <c r="J178" s="8468" t="s">
        <v>5374</v>
      </c>
    </row>
    <row r="179" spans="1:105" x14ac:dyDescent="0.3">
      <c r="A179" s="7294">
        <v>29101607</v>
      </c>
      <c r="B179" s="10892"/>
      <c r="C179" s="10897" t="s">
        <v>506</v>
      </c>
      <c r="D179" s="10898"/>
      <c r="E179" s="8467" t="s">
        <v>5369</v>
      </c>
      <c r="F179" s="8475" t="s">
        <v>5370</v>
      </c>
      <c r="G179" s="8476" t="s">
        <v>5371</v>
      </c>
      <c r="H179" s="8476" t="s">
        <v>5372</v>
      </c>
      <c r="I179" s="8477" t="s">
        <v>5373</v>
      </c>
      <c r="J179" s="8478" t="s">
        <v>5374</v>
      </c>
    </row>
    <row r="180" spans="1:105" x14ac:dyDescent="0.3">
      <c r="A180" s="7294">
        <v>29101608</v>
      </c>
      <c r="B180" s="10892"/>
      <c r="C180" s="10899" t="s">
        <v>507</v>
      </c>
      <c r="D180" s="10900"/>
      <c r="E180" s="8467" t="s">
        <v>5369</v>
      </c>
      <c r="F180" s="8475" t="s">
        <v>5370</v>
      </c>
      <c r="G180" s="8476" t="s">
        <v>5371</v>
      </c>
      <c r="H180" s="8476" t="s">
        <v>5372</v>
      </c>
      <c r="I180" s="8477" t="s">
        <v>5373</v>
      </c>
      <c r="J180" s="8478" t="s">
        <v>5374</v>
      </c>
    </row>
    <row r="181" spans="1:105" x14ac:dyDescent="0.3">
      <c r="A181" s="7294">
        <v>29101609</v>
      </c>
      <c r="B181" s="10892"/>
      <c r="C181" s="9311" t="s">
        <v>508</v>
      </c>
      <c r="D181" s="8489" t="s">
        <v>509</v>
      </c>
      <c r="E181" s="8162" t="s">
        <v>5369</v>
      </c>
      <c r="F181" s="8181" t="s">
        <v>5370</v>
      </c>
      <c r="G181" s="8182" t="s">
        <v>5371</v>
      </c>
      <c r="H181" s="8182" t="s">
        <v>5372</v>
      </c>
      <c r="I181" s="8183" t="s">
        <v>5373</v>
      </c>
      <c r="J181" s="8466" t="s">
        <v>5374</v>
      </c>
    </row>
    <row r="182" spans="1:105" x14ac:dyDescent="0.3">
      <c r="A182" s="7294">
        <v>29101610</v>
      </c>
      <c r="B182" s="10892"/>
      <c r="C182" s="9312"/>
      <c r="D182" s="8490" t="s">
        <v>510</v>
      </c>
      <c r="E182" s="8467" t="s">
        <v>5369</v>
      </c>
      <c r="F182" s="8170" t="s">
        <v>5370</v>
      </c>
      <c r="G182" s="8171" t="s">
        <v>5371</v>
      </c>
      <c r="H182" s="8171" t="s">
        <v>5372</v>
      </c>
      <c r="I182" s="8172" t="s">
        <v>5373</v>
      </c>
      <c r="J182" s="8468" t="s">
        <v>5374</v>
      </c>
    </row>
    <row r="183" spans="1:105" x14ac:dyDescent="0.3">
      <c r="A183" s="7294">
        <v>29101611</v>
      </c>
      <c r="B183" s="10892"/>
      <c r="C183" s="9313"/>
      <c r="D183" s="8491" t="s">
        <v>511</v>
      </c>
      <c r="E183" s="8467" t="s">
        <v>5369</v>
      </c>
      <c r="F183" s="8475" t="s">
        <v>5370</v>
      </c>
      <c r="G183" s="8476" t="s">
        <v>5371</v>
      </c>
      <c r="H183" s="8476" t="s">
        <v>5372</v>
      </c>
      <c r="I183" s="8477" t="s">
        <v>5373</v>
      </c>
      <c r="J183" s="8478" t="s">
        <v>5374</v>
      </c>
    </row>
    <row r="184" spans="1:105" x14ac:dyDescent="0.3">
      <c r="A184" s="7294">
        <v>29101612</v>
      </c>
      <c r="B184" s="10892"/>
      <c r="C184" s="10904" t="s">
        <v>512</v>
      </c>
      <c r="D184" s="10905"/>
      <c r="E184" s="8180" t="s">
        <v>5369</v>
      </c>
      <c r="F184" s="8181" t="s">
        <v>5370</v>
      </c>
      <c r="G184" s="8182" t="s">
        <v>5371</v>
      </c>
      <c r="H184" s="8182" t="s">
        <v>5372</v>
      </c>
      <c r="I184" s="8492" t="s">
        <v>5373</v>
      </c>
      <c r="J184" s="8466" t="s">
        <v>5374</v>
      </c>
    </row>
    <row r="185" spans="1:105" x14ac:dyDescent="0.3">
      <c r="A185" s="7294">
        <v>29101613</v>
      </c>
      <c r="B185" s="10892"/>
      <c r="C185" s="10859" t="s">
        <v>513</v>
      </c>
      <c r="D185" s="10860"/>
      <c r="E185" s="8469" t="s">
        <v>5369</v>
      </c>
      <c r="F185" s="7395" t="s">
        <v>5370</v>
      </c>
      <c r="G185" s="8176" t="s">
        <v>5371</v>
      </c>
      <c r="H185" s="8176" t="s">
        <v>5372</v>
      </c>
      <c r="I185" s="8493" t="s">
        <v>5373</v>
      </c>
      <c r="J185" s="8470" t="s">
        <v>5374</v>
      </c>
    </row>
    <row r="186" spans="1:105" x14ac:dyDescent="0.3">
      <c r="A186" s="7266"/>
      <c r="B186" s="10893"/>
      <c r="C186" s="10888" t="s">
        <v>24</v>
      </c>
      <c r="D186" s="10889"/>
      <c r="E186" s="7621">
        <f>SUM(F186:I186)</f>
        <v>0</v>
      </c>
      <c r="F186" s="8494">
        <f>SUM(F154:F185)</f>
        <v>0</v>
      </c>
      <c r="G186" s="8495">
        <f>SUM(G154:G185)</f>
        <v>0</v>
      </c>
      <c r="H186" s="8495">
        <f>SUM(H154:H185)</f>
        <v>0</v>
      </c>
      <c r="I186" s="8496">
        <f>SUM(I154:I185)</f>
        <v>0</v>
      </c>
      <c r="J186" s="8497">
        <f>SUM(J154:J185)</f>
        <v>0</v>
      </c>
      <c r="K186" s="3141"/>
    </row>
    <row r="187" spans="1:105" ht="24" customHeight="1" x14ac:dyDescent="0.3">
      <c r="B187" s="7270" t="s">
        <v>3644</v>
      </c>
      <c r="C187" s="2386"/>
      <c r="D187" s="2386"/>
      <c r="E187" s="2386"/>
      <c r="F187" s="2386"/>
      <c r="G187" s="8498"/>
      <c r="H187" s="8498" t="s">
        <v>45</v>
      </c>
      <c r="I187" s="8499"/>
      <c r="J187" s="8499"/>
      <c r="K187" s="8500"/>
      <c r="L187" s="8500"/>
      <c r="M187" s="8500"/>
      <c r="N187" s="8500"/>
      <c r="O187" s="8500"/>
      <c r="P187" s="8500"/>
      <c r="Q187" s="8500"/>
      <c r="R187" s="8500"/>
      <c r="S187" s="8500"/>
      <c r="T187" s="8500"/>
      <c r="U187" s="8500"/>
      <c r="V187" s="8500"/>
      <c r="W187" s="8500"/>
      <c r="X187" s="8500"/>
      <c r="Y187" s="8500"/>
      <c r="Z187" s="8377"/>
      <c r="AA187" s="8377"/>
      <c r="AB187" s="8377"/>
      <c r="AC187" s="8377"/>
      <c r="AD187" s="8377"/>
      <c r="AE187" s="8377"/>
      <c r="AF187" s="8377"/>
      <c r="AG187" s="8377"/>
      <c r="AH187" s="8377"/>
      <c r="AI187" s="8377"/>
      <c r="AJ187" s="140"/>
      <c r="AK187" s="140"/>
      <c r="AL187" s="140"/>
      <c r="AM187" s="140"/>
      <c r="AN187" s="140"/>
      <c r="AO187" s="140"/>
    </row>
    <row r="188" spans="1:105" x14ac:dyDescent="0.3">
      <c r="B188" s="10913" t="s">
        <v>3419</v>
      </c>
      <c r="C188" s="10914" t="s">
        <v>3420</v>
      </c>
      <c r="D188" s="10915" t="s">
        <v>24</v>
      </c>
      <c r="E188" s="10915"/>
      <c r="F188" s="10916"/>
      <c r="G188" s="10911" t="s">
        <v>25</v>
      </c>
      <c r="H188" s="10918"/>
      <c r="I188" s="10918"/>
      <c r="J188" s="10918"/>
      <c r="K188" s="10918"/>
      <c r="L188" s="10918"/>
      <c r="M188" s="10918"/>
      <c r="N188" s="10918"/>
      <c r="O188" s="10918"/>
      <c r="P188" s="10918"/>
      <c r="Q188" s="10918"/>
      <c r="R188" s="10918"/>
      <c r="S188" s="10918"/>
      <c r="T188" s="10918"/>
      <c r="U188" s="10918"/>
      <c r="V188" s="10918"/>
      <c r="W188" s="10918"/>
      <c r="X188" s="10918"/>
      <c r="Y188" s="10918"/>
      <c r="Z188" s="10918"/>
      <c r="AA188" s="10918"/>
      <c r="AB188" s="10918"/>
      <c r="AC188" s="10918"/>
      <c r="AD188" s="10918"/>
      <c r="AE188" s="10918"/>
      <c r="AF188" s="10918"/>
      <c r="AG188" s="10918"/>
      <c r="AH188" s="10919"/>
      <c r="AI188" s="10906" t="s">
        <v>360</v>
      </c>
      <c r="BT188" s="1123"/>
      <c r="BU188" s="1123"/>
      <c r="BV188" s="1547"/>
      <c r="BW188" s="1547"/>
      <c r="BX188" s="1547"/>
      <c r="BY188" s="1547"/>
      <c r="BZ188" s="1547"/>
      <c r="CA188" s="1547"/>
      <c r="CV188" s="827"/>
      <c r="CW188" s="827"/>
      <c r="CX188" s="827"/>
      <c r="CY188" s="827"/>
      <c r="CZ188" s="827"/>
      <c r="DA188" s="827"/>
    </row>
    <row r="189" spans="1:105" x14ac:dyDescent="0.3">
      <c r="B189" s="10913"/>
      <c r="C189" s="9299"/>
      <c r="D189" s="10917"/>
      <c r="E189" s="10917"/>
      <c r="F189" s="9310"/>
      <c r="G189" s="10911" t="s">
        <v>33</v>
      </c>
      <c r="H189" s="10912"/>
      <c r="I189" s="10908" t="s">
        <v>81</v>
      </c>
      <c r="J189" s="10909"/>
      <c r="K189" s="10908" t="s">
        <v>82</v>
      </c>
      <c r="L189" s="10909"/>
      <c r="M189" s="10908" t="s">
        <v>83</v>
      </c>
      <c r="N189" s="10909"/>
      <c r="O189" s="10908" t="s">
        <v>400</v>
      </c>
      <c r="P189" s="10909"/>
      <c r="Q189" s="10908" t="s">
        <v>124</v>
      </c>
      <c r="R189" s="10909"/>
      <c r="S189" s="10908" t="s">
        <v>125</v>
      </c>
      <c r="T189" s="10909"/>
      <c r="U189" s="10908" t="s">
        <v>126</v>
      </c>
      <c r="V189" s="10909"/>
      <c r="W189" s="10908" t="s">
        <v>127</v>
      </c>
      <c r="X189" s="10909"/>
      <c r="Y189" s="10908" t="s">
        <v>128</v>
      </c>
      <c r="Z189" s="10909"/>
      <c r="AA189" s="10908" t="s">
        <v>129</v>
      </c>
      <c r="AB189" s="10909"/>
      <c r="AC189" s="10908" t="s">
        <v>130</v>
      </c>
      <c r="AD189" s="10909"/>
      <c r="AE189" s="10908" t="s">
        <v>131</v>
      </c>
      <c r="AF189" s="10909"/>
      <c r="AG189" s="10908" t="s">
        <v>1919</v>
      </c>
      <c r="AH189" s="10910"/>
      <c r="AI189" s="9310"/>
      <c r="BT189" s="1123"/>
      <c r="BU189" s="1123"/>
      <c r="BV189" s="1547"/>
      <c r="BW189" s="1547"/>
      <c r="BX189" s="1547"/>
      <c r="BY189" s="1547"/>
      <c r="BZ189" s="1547"/>
      <c r="CA189" s="1547"/>
      <c r="CV189" s="827"/>
      <c r="CW189" s="827"/>
      <c r="CX189" s="827"/>
      <c r="CY189" s="827"/>
      <c r="CZ189" s="827"/>
      <c r="DA189" s="827"/>
    </row>
    <row r="190" spans="1:105" x14ac:dyDescent="0.3">
      <c r="B190" s="10913"/>
      <c r="C190" s="9300"/>
      <c r="D190" s="8502" t="s">
        <v>42</v>
      </c>
      <c r="E190" s="8503" t="s">
        <v>17</v>
      </c>
      <c r="F190" s="8504" t="s">
        <v>18</v>
      </c>
      <c r="G190" s="7747" t="s">
        <v>17</v>
      </c>
      <c r="H190" s="7743" t="s">
        <v>18</v>
      </c>
      <c r="I190" s="7747" t="s">
        <v>17</v>
      </c>
      <c r="J190" s="7743" t="s">
        <v>18</v>
      </c>
      <c r="K190" s="7747" t="s">
        <v>17</v>
      </c>
      <c r="L190" s="7743" t="s">
        <v>18</v>
      </c>
      <c r="M190" s="7747" t="s">
        <v>17</v>
      </c>
      <c r="N190" s="7743" t="s">
        <v>18</v>
      </c>
      <c r="O190" s="7747" t="s">
        <v>17</v>
      </c>
      <c r="P190" s="7743" t="s">
        <v>18</v>
      </c>
      <c r="Q190" s="7747" t="s">
        <v>17</v>
      </c>
      <c r="R190" s="7743" t="s">
        <v>18</v>
      </c>
      <c r="S190" s="7747" t="s">
        <v>17</v>
      </c>
      <c r="T190" s="7743" t="s">
        <v>18</v>
      </c>
      <c r="U190" s="7747" t="s">
        <v>17</v>
      </c>
      <c r="V190" s="7743" t="s">
        <v>18</v>
      </c>
      <c r="W190" s="7747" t="s">
        <v>17</v>
      </c>
      <c r="X190" s="7743" t="s">
        <v>18</v>
      </c>
      <c r="Y190" s="7747" t="s">
        <v>17</v>
      </c>
      <c r="Z190" s="7743" t="s">
        <v>18</v>
      </c>
      <c r="AA190" s="7747" t="s">
        <v>17</v>
      </c>
      <c r="AB190" s="7743" t="s">
        <v>18</v>
      </c>
      <c r="AC190" s="7747" t="s">
        <v>17</v>
      </c>
      <c r="AD190" s="7743" t="s">
        <v>18</v>
      </c>
      <c r="AE190" s="7747" t="s">
        <v>17</v>
      </c>
      <c r="AF190" s="7743" t="s">
        <v>18</v>
      </c>
      <c r="AG190" s="7747" t="s">
        <v>17</v>
      </c>
      <c r="AH190" s="8501" t="s">
        <v>18</v>
      </c>
      <c r="AI190" s="10907"/>
      <c r="BT190" s="1123"/>
      <c r="BU190" s="1123"/>
      <c r="BV190" s="1547"/>
      <c r="BW190" s="1547"/>
      <c r="BX190" s="1547"/>
      <c r="BY190" s="1547"/>
      <c r="BZ190" s="1547"/>
      <c r="CA190" s="1547"/>
      <c r="CV190" s="827"/>
      <c r="CW190" s="827"/>
      <c r="CX190" s="827"/>
      <c r="CY190" s="827"/>
      <c r="CZ190" s="827"/>
      <c r="DA190" s="827"/>
    </row>
    <row r="191" spans="1:105" x14ac:dyDescent="0.3">
      <c r="A191" s="7296">
        <v>29101614</v>
      </c>
      <c r="B191" s="10906" t="s">
        <v>3421</v>
      </c>
      <c r="C191" s="8505" t="s">
        <v>2590</v>
      </c>
      <c r="D191" s="8506" t="s">
        <v>5369</v>
      </c>
      <c r="E191" s="8507" t="s">
        <v>5370</v>
      </c>
      <c r="F191" s="8508" t="s">
        <v>5371</v>
      </c>
      <c r="G191" s="7405" t="s">
        <v>5372</v>
      </c>
      <c r="H191" s="7754" t="s">
        <v>5373</v>
      </c>
      <c r="I191" s="7405" t="s">
        <v>5374</v>
      </c>
      <c r="J191" s="7754" t="s">
        <v>5375</v>
      </c>
      <c r="K191" s="7405" t="s">
        <v>5376</v>
      </c>
      <c r="L191" s="7754" t="s">
        <v>5377</v>
      </c>
      <c r="M191" s="7405" t="s">
        <v>5378</v>
      </c>
      <c r="N191" s="7754" t="s">
        <v>5379</v>
      </c>
      <c r="O191" s="7405" t="s">
        <v>5380</v>
      </c>
      <c r="P191" s="7754" t="s">
        <v>5381</v>
      </c>
      <c r="Q191" s="7405" t="s">
        <v>5382</v>
      </c>
      <c r="R191" s="7754" t="s">
        <v>5383</v>
      </c>
      <c r="S191" s="7405" t="s">
        <v>5384</v>
      </c>
      <c r="T191" s="7754" t="s">
        <v>5385</v>
      </c>
      <c r="U191" s="7405" t="s">
        <v>5386</v>
      </c>
      <c r="V191" s="7754" t="s">
        <v>5387</v>
      </c>
      <c r="W191" s="7405" t="s">
        <v>5388</v>
      </c>
      <c r="X191" s="7754" t="s">
        <v>5389</v>
      </c>
      <c r="Y191" s="7405" t="s">
        <v>5390</v>
      </c>
      <c r="Z191" s="7754" t="s">
        <v>5391</v>
      </c>
      <c r="AA191" s="7405" t="s">
        <v>5392</v>
      </c>
      <c r="AB191" s="7754" t="s">
        <v>5393</v>
      </c>
      <c r="AC191" s="7405" t="s">
        <v>5394</v>
      </c>
      <c r="AD191" s="7754" t="s">
        <v>5395</v>
      </c>
      <c r="AE191" s="7405" t="s">
        <v>5396</v>
      </c>
      <c r="AF191" s="7754" t="s">
        <v>5397</v>
      </c>
      <c r="AG191" s="7405" t="s">
        <v>5398</v>
      </c>
      <c r="AH191" s="8509" t="s">
        <v>5399</v>
      </c>
      <c r="AI191" s="8174" t="s">
        <v>5400</v>
      </c>
      <c r="AJ191" s="827" t="str">
        <f t="shared" ref="AJ191:AJ197" si="16">CB191&amp;CC191</f>
        <v xml:space="preserve">* El total de Beneficiarios NO DEBE superar el total por sexo. </v>
      </c>
      <c r="BT191" s="1123"/>
      <c r="BU191" s="1123"/>
      <c r="BV191" s="1547"/>
      <c r="BW191" s="1547"/>
      <c r="BX191" s="1547"/>
      <c r="BY191" s="1547"/>
      <c r="BZ191" s="1547"/>
      <c r="CA191" s="1547"/>
      <c r="CB191" s="1445" t="str">
        <f t="shared" ref="CB191:CB197" si="17">IF(CH191=1,"* No olvide ingresar la columna Beneficiarios (Digite cero si no tiene). ","")</f>
        <v/>
      </c>
      <c r="CC191" s="1445" t="str">
        <f t="shared" ref="CC191:CC197" si="18">IF(CI191=1,"* El total de Beneficiarios NO DEBE superar el total por sexo. ","")</f>
        <v xml:space="preserve">* El total de Beneficiarios NO DEBE superar el total por sexo. </v>
      </c>
      <c r="CH191" s="1446">
        <f t="shared" ref="CH191:CH197" si="19">IF(AND(AI191="",D191&lt;&gt;0),1,0)</f>
        <v>0</v>
      </c>
      <c r="CI191" s="1446">
        <f t="shared" ref="CI191:CI197" si="20">IF(D191&lt;AI191,1,0)</f>
        <v>1</v>
      </c>
      <c r="CV191" s="827"/>
      <c r="CW191" s="827"/>
      <c r="CX191" s="827"/>
      <c r="CY191" s="827"/>
      <c r="CZ191" s="827"/>
      <c r="DA191" s="827"/>
    </row>
    <row r="192" spans="1:105" x14ac:dyDescent="0.3">
      <c r="A192" s="7296">
        <v>29101615</v>
      </c>
      <c r="B192" s="9310"/>
      <c r="C192" s="8510" t="s">
        <v>2592</v>
      </c>
      <c r="D192" s="8511" t="s">
        <v>5369</v>
      </c>
      <c r="E192" s="8512" t="s">
        <v>5370</v>
      </c>
      <c r="F192" s="8513" t="s">
        <v>5371</v>
      </c>
      <c r="G192" s="8514" t="s">
        <v>5372</v>
      </c>
      <c r="H192" s="8515" t="s">
        <v>5373</v>
      </c>
      <c r="I192" s="8514" t="s">
        <v>5374</v>
      </c>
      <c r="J192" s="8515" t="s">
        <v>5375</v>
      </c>
      <c r="K192" s="8514" t="s">
        <v>5376</v>
      </c>
      <c r="L192" s="8515" t="s">
        <v>5377</v>
      </c>
      <c r="M192" s="8514" t="s">
        <v>5378</v>
      </c>
      <c r="N192" s="8515" t="s">
        <v>5379</v>
      </c>
      <c r="O192" s="8514" t="s">
        <v>5380</v>
      </c>
      <c r="P192" s="8515" t="s">
        <v>5381</v>
      </c>
      <c r="Q192" s="8514" t="s">
        <v>5382</v>
      </c>
      <c r="R192" s="8515" t="s">
        <v>5383</v>
      </c>
      <c r="S192" s="8514" t="s">
        <v>5384</v>
      </c>
      <c r="T192" s="8515" t="s">
        <v>5385</v>
      </c>
      <c r="U192" s="8514" t="s">
        <v>5386</v>
      </c>
      <c r="V192" s="8515" t="s">
        <v>5387</v>
      </c>
      <c r="W192" s="8514" t="s">
        <v>5388</v>
      </c>
      <c r="X192" s="8515" t="s">
        <v>5389</v>
      </c>
      <c r="Y192" s="8514" t="s">
        <v>5390</v>
      </c>
      <c r="Z192" s="8515" t="s">
        <v>5391</v>
      </c>
      <c r="AA192" s="8514" t="s">
        <v>5392</v>
      </c>
      <c r="AB192" s="8515" t="s">
        <v>5393</v>
      </c>
      <c r="AC192" s="8514" t="s">
        <v>5394</v>
      </c>
      <c r="AD192" s="8515" t="s">
        <v>5395</v>
      </c>
      <c r="AE192" s="8514" t="s">
        <v>5396</v>
      </c>
      <c r="AF192" s="8515" t="s">
        <v>5397</v>
      </c>
      <c r="AG192" s="8514" t="s">
        <v>5398</v>
      </c>
      <c r="AH192" s="8516" t="s">
        <v>5399</v>
      </c>
      <c r="AI192" s="8517" t="s">
        <v>5400</v>
      </c>
      <c r="AJ192" s="827" t="str">
        <f t="shared" si="16"/>
        <v xml:space="preserve">* El total de Beneficiarios NO DEBE superar el total por sexo. </v>
      </c>
      <c r="BT192" s="1123"/>
      <c r="BU192" s="1123"/>
      <c r="BV192" s="1547"/>
      <c r="BW192" s="1547"/>
      <c r="BX192" s="1547"/>
      <c r="BY192" s="1547"/>
      <c r="BZ192" s="1547"/>
      <c r="CA192" s="1547"/>
      <c r="CB192" s="1445" t="str">
        <f t="shared" si="17"/>
        <v/>
      </c>
      <c r="CC192" s="1445" t="str">
        <f t="shared" si="18"/>
        <v xml:space="preserve">* El total de Beneficiarios NO DEBE superar el total por sexo. </v>
      </c>
      <c r="CH192" s="1446">
        <f t="shared" si="19"/>
        <v>0</v>
      </c>
      <c r="CI192" s="1446">
        <f t="shared" si="20"/>
        <v>1</v>
      </c>
      <c r="CV192" s="827"/>
      <c r="CW192" s="827"/>
      <c r="CX192" s="827"/>
      <c r="CY192" s="827"/>
      <c r="CZ192" s="827"/>
      <c r="DA192" s="827"/>
    </row>
    <row r="193" spans="1:105" x14ac:dyDescent="0.3">
      <c r="A193" s="7296">
        <v>29101616</v>
      </c>
      <c r="B193" s="9310"/>
      <c r="C193" s="8169" t="s">
        <v>26</v>
      </c>
      <c r="D193" s="8511" t="s">
        <v>5369</v>
      </c>
      <c r="E193" s="8512" t="s">
        <v>5370</v>
      </c>
      <c r="F193" s="8513" t="s">
        <v>5371</v>
      </c>
      <c r="G193" s="8514" t="s">
        <v>5372</v>
      </c>
      <c r="H193" s="8515" t="s">
        <v>5373</v>
      </c>
      <c r="I193" s="8514" t="s">
        <v>5374</v>
      </c>
      <c r="J193" s="8515" t="s">
        <v>5375</v>
      </c>
      <c r="K193" s="8514" t="s">
        <v>5376</v>
      </c>
      <c r="L193" s="8515" t="s">
        <v>5377</v>
      </c>
      <c r="M193" s="8514" t="s">
        <v>5378</v>
      </c>
      <c r="N193" s="8515" t="s">
        <v>5379</v>
      </c>
      <c r="O193" s="8514" t="s">
        <v>5380</v>
      </c>
      <c r="P193" s="8515" t="s">
        <v>5381</v>
      </c>
      <c r="Q193" s="8514" t="s">
        <v>5382</v>
      </c>
      <c r="R193" s="8515" t="s">
        <v>5383</v>
      </c>
      <c r="S193" s="8514" t="s">
        <v>5384</v>
      </c>
      <c r="T193" s="8515" t="s">
        <v>5385</v>
      </c>
      <c r="U193" s="8514" t="s">
        <v>5386</v>
      </c>
      <c r="V193" s="8515" t="s">
        <v>5387</v>
      </c>
      <c r="W193" s="8514" t="s">
        <v>5388</v>
      </c>
      <c r="X193" s="8515" t="s">
        <v>5389</v>
      </c>
      <c r="Y193" s="8514" t="s">
        <v>5390</v>
      </c>
      <c r="Z193" s="8515" t="s">
        <v>5391</v>
      </c>
      <c r="AA193" s="8514" t="s">
        <v>5392</v>
      </c>
      <c r="AB193" s="8515" t="s">
        <v>5393</v>
      </c>
      <c r="AC193" s="8514" t="s">
        <v>5394</v>
      </c>
      <c r="AD193" s="8515" t="s">
        <v>5395</v>
      </c>
      <c r="AE193" s="8514" t="s">
        <v>5396</v>
      </c>
      <c r="AF193" s="8515" t="s">
        <v>5397</v>
      </c>
      <c r="AG193" s="8514" t="s">
        <v>5398</v>
      </c>
      <c r="AH193" s="8516" t="s">
        <v>5399</v>
      </c>
      <c r="AI193" s="8517" t="s">
        <v>5400</v>
      </c>
      <c r="AJ193" s="827" t="str">
        <f t="shared" si="16"/>
        <v xml:space="preserve">* El total de Beneficiarios NO DEBE superar el total por sexo. </v>
      </c>
      <c r="BT193" s="1123"/>
      <c r="BU193" s="1123"/>
      <c r="BV193" s="1547"/>
      <c r="BW193" s="1547"/>
      <c r="BX193" s="1547"/>
      <c r="BY193" s="1547"/>
      <c r="BZ193" s="1547"/>
      <c r="CA193" s="1547"/>
      <c r="CB193" s="1445" t="str">
        <f t="shared" si="17"/>
        <v/>
      </c>
      <c r="CC193" s="1445" t="str">
        <f t="shared" si="18"/>
        <v xml:space="preserve">* El total de Beneficiarios NO DEBE superar el total por sexo. </v>
      </c>
      <c r="CH193" s="1446">
        <f t="shared" si="19"/>
        <v>0</v>
      </c>
      <c r="CI193" s="1446">
        <f t="shared" si="20"/>
        <v>1</v>
      </c>
      <c r="CV193" s="827"/>
      <c r="CW193" s="827"/>
      <c r="CX193" s="827"/>
      <c r="CY193" s="827"/>
      <c r="CZ193" s="827"/>
      <c r="DA193" s="827"/>
    </row>
    <row r="194" spans="1:105" x14ac:dyDescent="0.3">
      <c r="A194" s="7296">
        <v>29101617</v>
      </c>
      <c r="B194" s="9310"/>
      <c r="C194" s="8518" t="s">
        <v>3423</v>
      </c>
      <c r="D194" s="8519" t="s">
        <v>5369</v>
      </c>
      <c r="E194" s="8512" t="s">
        <v>5370</v>
      </c>
      <c r="F194" s="8513" t="s">
        <v>5371</v>
      </c>
      <c r="G194" s="8514" t="s">
        <v>5372</v>
      </c>
      <c r="H194" s="8515" t="s">
        <v>5373</v>
      </c>
      <c r="I194" s="8514" t="s">
        <v>5374</v>
      </c>
      <c r="J194" s="8515" t="s">
        <v>5375</v>
      </c>
      <c r="K194" s="8514" t="s">
        <v>5376</v>
      </c>
      <c r="L194" s="8515" t="s">
        <v>5377</v>
      </c>
      <c r="M194" s="8514" t="s">
        <v>5378</v>
      </c>
      <c r="N194" s="8515" t="s">
        <v>5379</v>
      </c>
      <c r="O194" s="8514" t="s">
        <v>5380</v>
      </c>
      <c r="P194" s="8515" t="s">
        <v>5381</v>
      </c>
      <c r="Q194" s="8514" t="s">
        <v>5382</v>
      </c>
      <c r="R194" s="8515" t="s">
        <v>5383</v>
      </c>
      <c r="S194" s="8514" t="s">
        <v>5384</v>
      </c>
      <c r="T194" s="8515" t="s">
        <v>5385</v>
      </c>
      <c r="U194" s="8514" t="s">
        <v>5386</v>
      </c>
      <c r="V194" s="8515" t="s">
        <v>5387</v>
      </c>
      <c r="W194" s="8514" t="s">
        <v>5388</v>
      </c>
      <c r="X194" s="8515" t="s">
        <v>5389</v>
      </c>
      <c r="Y194" s="8514" t="s">
        <v>5390</v>
      </c>
      <c r="Z194" s="8515" t="s">
        <v>5391</v>
      </c>
      <c r="AA194" s="8514" t="s">
        <v>5392</v>
      </c>
      <c r="AB194" s="8515" t="s">
        <v>5393</v>
      </c>
      <c r="AC194" s="8514" t="s">
        <v>5394</v>
      </c>
      <c r="AD194" s="8515" t="s">
        <v>5395</v>
      </c>
      <c r="AE194" s="8514" t="s">
        <v>5396</v>
      </c>
      <c r="AF194" s="8515" t="s">
        <v>5397</v>
      </c>
      <c r="AG194" s="8514" t="s">
        <v>5398</v>
      </c>
      <c r="AH194" s="8516" t="s">
        <v>5399</v>
      </c>
      <c r="AI194" s="8517" t="s">
        <v>5400</v>
      </c>
      <c r="AJ194" s="827" t="str">
        <f t="shared" si="16"/>
        <v xml:space="preserve">* El total de Beneficiarios NO DEBE superar el total por sexo. </v>
      </c>
      <c r="BT194" s="1123"/>
      <c r="BU194" s="1123"/>
      <c r="BV194" s="1547"/>
      <c r="BW194" s="1547"/>
      <c r="BX194" s="1547"/>
      <c r="BY194" s="1547"/>
      <c r="BZ194" s="1547"/>
      <c r="CA194" s="1547"/>
      <c r="CB194" s="1445" t="str">
        <f t="shared" si="17"/>
        <v/>
      </c>
      <c r="CC194" s="1445" t="str">
        <f t="shared" si="18"/>
        <v xml:space="preserve">* El total de Beneficiarios NO DEBE superar el total por sexo. </v>
      </c>
      <c r="CH194" s="1446">
        <f t="shared" si="19"/>
        <v>0</v>
      </c>
      <c r="CI194" s="1446">
        <f t="shared" si="20"/>
        <v>1</v>
      </c>
      <c r="CV194" s="827"/>
      <c r="CW194" s="827"/>
      <c r="CX194" s="827"/>
      <c r="CY194" s="827"/>
      <c r="CZ194" s="827"/>
      <c r="DA194" s="827"/>
    </row>
    <row r="195" spans="1:105" s="1463" customFormat="1" x14ac:dyDescent="0.3">
      <c r="A195" s="7296">
        <v>29101618</v>
      </c>
      <c r="B195" s="9310"/>
      <c r="C195" s="8520" t="s">
        <v>3424</v>
      </c>
      <c r="D195" s="8521" t="s">
        <v>5369</v>
      </c>
      <c r="E195" s="8522" t="s">
        <v>5370</v>
      </c>
      <c r="F195" s="8523" t="s">
        <v>5371</v>
      </c>
      <c r="G195" s="7405" t="s">
        <v>5372</v>
      </c>
      <c r="H195" s="7754" t="s">
        <v>5373</v>
      </c>
      <c r="I195" s="7405" t="s">
        <v>5374</v>
      </c>
      <c r="J195" s="7754" t="s">
        <v>5375</v>
      </c>
      <c r="K195" s="7405" t="s">
        <v>5376</v>
      </c>
      <c r="L195" s="7754" t="s">
        <v>5377</v>
      </c>
      <c r="M195" s="7405" t="s">
        <v>5378</v>
      </c>
      <c r="N195" s="7754" t="s">
        <v>5379</v>
      </c>
      <c r="O195" s="7405" t="s">
        <v>5380</v>
      </c>
      <c r="P195" s="7754" t="s">
        <v>5381</v>
      </c>
      <c r="Q195" s="7405" t="s">
        <v>5382</v>
      </c>
      <c r="R195" s="7754" t="s">
        <v>5383</v>
      </c>
      <c r="S195" s="7405" t="s">
        <v>5384</v>
      </c>
      <c r="T195" s="7754" t="s">
        <v>5385</v>
      </c>
      <c r="U195" s="7405" t="s">
        <v>5386</v>
      </c>
      <c r="V195" s="7754" t="s">
        <v>5387</v>
      </c>
      <c r="W195" s="7405" t="s">
        <v>5388</v>
      </c>
      <c r="X195" s="7754" t="s">
        <v>5389</v>
      </c>
      <c r="Y195" s="7405" t="s">
        <v>5390</v>
      </c>
      <c r="Z195" s="7754" t="s">
        <v>5391</v>
      </c>
      <c r="AA195" s="7405" t="s">
        <v>5392</v>
      </c>
      <c r="AB195" s="7754" t="s">
        <v>5393</v>
      </c>
      <c r="AC195" s="7405" t="s">
        <v>5394</v>
      </c>
      <c r="AD195" s="7754" t="s">
        <v>5395</v>
      </c>
      <c r="AE195" s="7405" t="s">
        <v>5396</v>
      </c>
      <c r="AF195" s="7754" t="s">
        <v>5397</v>
      </c>
      <c r="AG195" s="7405" t="s">
        <v>5398</v>
      </c>
      <c r="AH195" s="8509" t="s">
        <v>5399</v>
      </c>
      <c r="AI195" s="8174" t="s">
        <v>5400</v>
      </c>
      <c r="AJ195" s="827" t="str">
        <f t="shared" si="16"/>
        <v xml:space="preserve">* El total de Beneficiarios NO DEBE superar el total por sexo. </v>
      </c>
      <c r="AK195" s="1191"/>
      <c r="AL195" s="1191"/>
      <c r="AM195" s="1191"/>
      <c r="AN195" s="1191"/>
      <c r="AO195" s="1191"/>
      <c r="AP195" s="1191"/>
      <c r="AQ195" s="1191"/>
      <c r="AR195" s="1191"/>
      <c r="AS195" s="1191"/>
      <c r="AT195" s="1191"/>
      <c r="AU195" s="1191"/>
      <c r="AV195" s="1191"/>
      <c r="AW195" s="1191"/>
      <c r="AX195" s="1191"/>
      <c r="AY195" s="1191"/>
      <c r="AZ195" s="1191"/>
      <c r="BA195" s="1191"/>
      <c r="BB195" s="1191"/>
      <c r="BC195" s="1191"/>
      <c r="BD195" s="1191"/>
      <c r="BE195" s="1191"/>
      <c r="BF195" s="1191"/>
      <c r="BG195" s="1191"/>
      <c r="BH195" s="1191"/>
      <c r="BI195" s="1191"/>
      <c r="BJ195" s="1191"/>
      <c r="BK195" s="1191"/>
      <c r="BL195" s="1191"/>
      <c r="BM195" s="1191"/>
      <c r="BN195" s="1191"/>
      <c r="BO195" s="1191"/>
      <c r="BP195" s="1191"/>
      <c r="BQ195" s="1191"/>
      <c r="BR195" s="1191"/>
      <c r="BS195" s="1191"/>
      <c r="BT195" s="1547"/>
      <c r="BU195" s="1547"/>
      <c r="BV195" s="1547"/>
      <c r="BW195" s="1547"/>
      <c r="BX195" s="1547"/>
      <c r="BY195" s="1547"/>
      <c r="BZ195" s="1547"/>
      <c r="CA195" s="1547"/>
      <c r="CB195" s="1445" t="str">
        <f t="shared" si="17"/>
        <v/>
      </c>
      <c r="CC195" s="1445" t="str">
        <f t="shared" si="18"/>
        <v xml:space="preserve">* El total de Beneficiarios NO DEBE superar el total por sexo. </v>
      </c>
      <c r="CD195" s="1464"/>
      <c r="CE195" s="1464"/>
      <c r="CF195" s="1464"/>
      <c r="CG195" s="1464"/>
      <c r="CH195" s="1446">
        <f t="shared" si="19"/>
        <v>0</v>
      </c>
      <c r="CI195" s="1446">
        <f t="shared" si="20"/>
        <v>1</v>
      </c>
      <c r="CJ195" s="1442"/>
      <c r="CK195" s="1442"/>
      <c r="CL195" s="1464"/>
      <c r="CM195" s="1464"/>
      <c r="CN195" s="1464"/>
      <c r="CO195" s="1464"/>
      <c r="CP195" s="1464"/>
      <c r="CQ195" s="1464"/>
      <c r="CR195" s="1464"/>
      <c r="CS195" s="1464"/>
      <c r="CT195" s="1464"/>
      <c r="CU195" s="1464"/>
    </row>
    <row r="196" spans="1:105" s="1463" customFormat="1" x14ac:dyDescent="0.3">
      <c r="A196" s="7296">
        <v>29101619</v>
      </c>
      <c r="B196" s="10907"/>
      <c r="C196" s="7337" t="s">
        <v>63</v>
      </c>
      <c r="D196" s="8521" t="s">
        <v>5369</v>
      </c>
      <c r="E196" s="8522" t="s">
        <v>5370</v>
      </c>
      <c r="F196" s="8523" t="s">
        <v>5371</v>
      </c>
      <c r="G196" s="7339" t="s">
        <v>5372</v>
      </c>
      <c r="H196" s="7374" t="s">
        <v>5373</v>
      </c>
      <c r="I196" s="7339" t="s">
        <v>5374</v>
      </c>
      <c r="J196" s="7374" t="s">
        <v>5375</v>
      </c>
      <c r="K196" s="7339" t="s">
        <v>5376</v>
      </c>
      <c r="L196" s="7374" t="s">
        <v>5377</v>
      </c>
      <c r="M196" s="7339" t="s">
        <v>5378</v>
      </c>
      <c r="N196" s="7374" t="s">
        <v>5379</v>
      </c>
      <c r="O196" s="7339" t="s">
        <v>5380</v>
      </c>
      <c r="P196" s="7374" t="s">
        <v>5381</v>
      </c>
      <c r="Q196" s="7339" t="s">
        <v>5382</v>
      </c>
      <c r="R196" s="7374" t="s">
        <v>5383</v>
      </c>
      <c r="S196" s="7339" t="s">
        <v>5384</v>
      </c>
      <c r="T196" s="7374" t="s">
        <v>5385</v>
      </c>
      <c r="U196" s="7339" t="s">
        <v>5386</v>
      </c>
      <c r="V196" s="7374" t="s">
        <v>5387</v>
      </c>
      <c r="W196" s="7339" t="s">
        <v>5388</v>
      </c>
      <c r="X196" s="7374" t="s">
        <v>5389</v>
      </c>
      <c r="Y196" s="7339" t="s">
        <v>5390</v>
      </c>
      <c r="Z196" s="7374" t="s">
        <v>5391</v>
      </c>
      <c r="AA196" s="7339" t="s">
        <v>5392</v>
      </c>
      <c r="AB196" s="7374" t="s">
        <v>5393</v>
      </c>
      <c r="AC196" s="7339" t="s">
        <v>5394</v>
      </c>
      <c r="AD196" s="7374" t="s">
        <v>5395</v>
      </c>
      <c r="AE196" s="7339" t="s">
        <v>5396</v>
      </c>
      <c r="AF196" s="7374" t="s">
        <v>5397</v>
      </c>
      <c r="AG196" s="7339" t="s">
        <v>5398</v>
      </c>
      <c r="AH196" s="8195" t="s">
        <v>5399</v>
      </c>
      <c r="AI196" s="8196" t="s">
        <v>5400</v>
      </c>
      <c r="AJ196" s="827"/>
      <c r="AK196" s="1191"/>
      <c r="AL196" s="1191"/>
      <c r="AM196" s="1191"/>
      <c r="AN196" s="1191"/>
      <c r="AO196" s="1191"/>
      <c r="AP196" s="1191"/>
      <c r="AQ196" s="1191"/>
      <c r="AR196" s="1191"/>
      <c r="AS196" s="1191"/>
      <c r="AT196" s="1191"/>
      <c r="AU196" s="1191"/>
      <c r="AV196" s="1191"/>
      <c r="AW196" s="1191"/>
      <c r="AX196" s="1191"/>
      <c r="AY196" s="1191"/>
      <c r="AZ196" s="1191"/>
      <c r="BA196" s="1191"/>
      <c r="BB196" s="1191"/>
      <c r="BC196" s="1191"/>
      <c r="BD196" s="1191"/>
      <c r="BE196" s="1191"/>
      <c r="BF196" s="1191"/>
      <c r="BG196" s="1191"/>
      <c r="BH196" s="1191"/>
      <c r="BI196" s="1191"/>
      <c r="BJ196" s="1191"/>
      <c r="BK196" s="1191"/>
      <c r="BL196" s="1191"/>
      <c r="BM196" s="1191"/>
      <c r="BN196" s="1191"/>
      <c r="BO196" s="1191"/>
      <c r="BP196" s="1191"/>
      <c r="BQ196" s="1191"/>
      <c r="BR196" s="1191"/>
      <c r="BS196" s="1191"/>
      <c r="BT196" s="1547"/>
      <c r="BU196" s="1547"/>
      <c r="BV196" s="1547"/>
      <c r="BW196" s="1547"/>
      <c r="BX196" s="1547"/>
      <c r="BY196" s="1547"/>
      <c r="BZ196" s="1547"/>
      <c r="CA196" s="1547"/>
      <c r="CB196" s="1445"/>
      <c r="CC196" s="1445"/>
      <c r="CD196" s="1464"/>
      <c r="CE196" s="1464"/>
      <c r="CF196" s="1464"/>
      <c r="CG196" s="1464"/>
      <c r="CH196" s="1446"/>
      <c r="CI196" s="1446"/>
      <c r="CJ196" s="1442"/>
      <c r="CK196" s="1442"/>
      <c r="CL196" s="1464"/>
      <c r="CM196" s="1464"/>
      <c r="CN196" s="1464"/>
      <c r="CO196" s="1464"/>
      <c r="CP196" s="1464"/>
      <c r="CQ196" s="1464"/>
      <c r="CR196" s="1464"/>
      <c r="CS196" s="1464"/>
      <c r="CT196" s="1464"/>
      <c r="CU196" s="1464"/>
    </row>
    <row r="197" spans="1:105" ht="18" customHeight="1" x14ac:dyDescent="0.3">
      <c r="A197" s="7296">
        <v>29101495</v>
      </c>
      <c r="B197" s="8378" t="s">
        <v>3422</v>
      </c>
      <c r="C197" s="8524" t="s">
        <v>3425</v>
      </c>
      <c r="D197" s="8525" t="s">
        <v>5369</v>
      </c>
      <c r="E197" s="8526" t="s">
        <v>5370</v>
      </c>
      <c r="F197" s="8527" t="s">
        <v>5371</v>
      </c>
      <c r="G197" s="8528" t="s">
        <v>5372</v>
      </c>
      <c r="H197" s="7789" t="s">
        <v>5373</v>
      </c>
      <c r="I197" s="8528" t="s">
        <v>5374</v>
      </c>
      <c r="J197" s="7789" t="s">
        <v>5375</v>
      </c>
      <c r="K197" s="8528" t="s">
        <v>5376</v>
      </c>
      <c r="L197" s="7789" t="s">
        <v>5377</v>
      </c>
      <c r="M197" s="8528" t="s">
        <v>5378</v>
      </c>
      <c r="N197" s="7789" t="s">
        <v>5379</v>
      </c>
      <c r="O197" s="8528" t="s">
        <v>5380</v>
      </c>
      <c r="P197" s="7789" t="s">
        <v>5381</v>
      </c>
      <c r="Q197" s="8528" t="s">
        <v>5382</v>
      </c>
      <c r="R197" s="7789" t="s">
        <v>5383</v>
      </c>
      <c r="S197" s="8528" t="s">
        <v>5384</v>
      </c>
      <c r="T197" s="7789" t="s">
        <v>5385</v>
      </c>
      <c r="U197" s="8528" t="s">
        <v>5386</v>
      </c>
      <c r="V197" s="7789" t="s">
        <v>5387</v>
      </c>
      <c r="W197" s="8528" t="s">
        <v>5388</v>
      </c>
      <c r="X197" s="7789" t="s">
        <v>5389</v>
      </c>
      <c r="Y197" s="8528" t="s">
        <v>5390</v>
      </c>
      <c r="Z197" s="7789" t="s">
        <v>5391</v>
      </c>
      <c r="AA197" s="8528" t="s">
        <v>5392</v>
      </c>
      <c r="AB197" s="7789" t="s">
        <v>5393</v>
      </c>
      <c r="AC197" s="8528" t="s">
        <v>5394</v>
      </c>
      <c r="AD197" s="7789" t="s">
        <v>5395</v>
      </c>
      <c r="AE197" s="8528" t="s">
        <v>5396</v>
      </c>
      <c r="AF197" s="7789" t="s">
        <v>5397</v>
      </c>
      <c r="AG197" s="8528" t="s">
        <v>5398</v>
      </c>
      <c r="AH197" s="8529" t="s">
        <v>5399</v>
      </c>
      <c r="AI197" s="7788" t="s">
        <v>5400</v>
      </c>
      <c r="AJ197" s="827" t="str">
        <f t="shared" si="16"/>
        <v xml:space="preserve">* El total de Beneficiarios NO DEBE superar el total por sexo. </v>
      </c>
      <c r="BT197" s="1123"/>
      <c r="BU197" s="1123"/>
      <c r="BV197" s="1547"/>
      <c r="BW197" s="1547"/>
      <c r="BX197" s="1547"/>
      <c r="BY197" s="1547"/>
      <c r="BZ197" s="1547"/>
      <c r="CA197" s="1547"/>
      <c r="CB197" s="1445" t="str">
        <f t="shared" si="17"/>
        <v/>
      </c>
      <c r="CC197" s="1445" t="str">
        <f t="shared" si="18"/>
        <v xml:space="preserve">* El total de Beneficiarios NO DEBE superar el total por sexo. </v>
      </c>
      <c r="CH197" s="1446">
        <f t="shared" si="19"/>
        <v>0</v>
      </c>
      <c r="CI197" s="1446">
        <f t="shared" si="20"/>
        <v>1</v>
      </c>
      <c r="CV197" s="827"/>
      <c r="CW197" s="827"/>
      <c r="CX197" s="827"/>
      <c r="CY197" s="827"/>
      <c r="CZ197" s="827"/>
      <c r="DA197" s="827"/>
    </row>
    <row r="198" spans="1:105" x14ac:dyDescent="0.3">
      <c r="BV198" s="1191"/>
      <c r="BW198" s="1191"/>
      <c r="BX198" s="1191"/>
      <c r="BY198" s="1191"/>
      <c r="BZ198" s="1547"/>
      <c r="CA198" s="1547"/>
    </row>
    <row r="201" spans="1:105" s="3218" customFormat="1" x14ac:dyDescent="0.3">
      <c r="B201" s="3218">
        <f>SUM(E11:E47,E51:E84,E88:E90,E94:F96,E100:F102,E106:E114,C117:E117,C121:C122,C126:C127,C131:G132,E136:E151,E154:E185,D191:D197)</f>
        <v>0</v>
      </c>
      <c r="C201" s="3218" t="e">
        <f>SUM(CH11:CK197)</f>
        <v>#VALUE!</v>
      </c>
      <c r="BZ201" s="3217"/>
      <c r="CA201" s="3217"/>
      <c r="CB201" s="3217"/>
      <c r="CC201" s="3217"/>
      <c r="CD201" s="3217"/>
      <c r="CE201" s="3217"/>
      <c r="CF201" s="3217"/>
      <c r="CG201" s="3217"/>
      <c r="CH201" s="3217"/>
      <c r="CI201" s="3217"/>
      <c r="CJ201" s="3217"/>
      <c r="CK201" s="3217"/>
      <c r="CL201" s="3217"/>
      <c r="CM201" s="3217"/>
      <c r="CN201" s="3217"/>
      <c r="CO201" s="3217"/>
      <c r="CP201" s="3217"/>
      <c r="CQ201" s="3217"/>
      <c r="CR201" s="3217"/>
      <c r="CS201" s="3217"/>
      <c r="CT201" s="3217"/>
      <c r="CU201" s="3217"/>
      <c r="CV201" s="3217"/>
      <c r="CW201" s="3217"/>
      <c r="CX201" s="3217"/>
      <c r="CY201" s="3217"/>
      <c r="CZ201" s="3217"/>
      <c r="DA201" s="3217"/>
    </row>
    <row r="203" spans="1:105" x14ac:dyDescent="0.3">
      <c r="A203" s="827" t="s">
        <v>4068</v>
      </c>
    </row>
    <row r="204" spans="1:105" x14ac:dyDescent="0.3">
      <c r="A204" s="7674">
        <v>29101562</v>
      </c>
    </row>
    <row r="205" spans="1:105" x14ac:dyDescent="0.3">
      <c r="A205" s="7674">
        <v>29101563</v>
      </c>
    </row>
    <row r="206" spans="1:105" x14ac:dyDescent="0.3">
      <c r="A206" s="7674">
        <v>29101564</v>
      </c>
    </row>
    <row r="207" spans="1:105" x14ac:dyDescent="0.3">
      <c r="A207" s="7674">
        <v>29101565</v>
      </c>
    </row>
    <row r="208" spans="1:105" x14ac:dyDescent="0.3">
      <c r="A208" s="7674">
        <v>29101566</v>
      </c>
    </row>
    <row r="209" spans="1:1" x14ac:dyDescent="0.3">
      <c r="A209" s="7674">
        <v>29101567</v>
      </c>
    </row>
    <row r="210" spans="1:1" x14ac:dyDescent="0.3">
      <c r="A210" s="7674">
        <v>29101568</v>
      </c>
    </row>
    <row r="211" spans="1:1" x14ac:dyDescent="0.3">
      <c r="A211" s="7674">
        <v>29101569</v>
      </c>
    </row>
    <row r="212" spans="1:1" x14ac:dyDescent="0.3">
      <c r="A212" s="7674">
        <v>29101570</v>
      </c>
    </row>
    <row r="213" spans="1:1" x14ac:dyDescent="0.3">
      <c r="A213" s="7674">
        <v>29101571</v>
      </c>
    </row>
    <row r="214" spans="1:1" x14ac:dyDescent="0.3">
      <c r="A214" s="7674">
        <v>29101572</v>
      </c>
    </row>
    <row r="215" spans="1:1" x14ac:dyDescent="0.3">
      <c r="A215" s="7674">
        <v>29101573</v>
      </c>
    </row>
    <row r="216" spans="1:1" x14ac:dyDescent="0.3">
      <c r="A216" s="7674">
        <v>29101574</v>
      </c>
    </row>
    <row r="217" spans="1:1" x14ac:dyDescent="0.3">
      <c r="A217" s="7674">
        <v>29101575</v>
      </c>
    </row>
    <row r="218" spans="1:1" x14ac:dyDescent="0.3">
      <c r="A218" s="7674">
        <v>29101576</v>
      </c>
    </row>
    <row r="219" spans="1:1" x14ac:dyDescent="0.3">
      <c r="A219" s="7674">
        <v>29101577</v>
      </c>
    </row>
    <row r="220" spans="1:1" x14ac:dyDescent="0.3">
      <c r="A220" s="7674">
        <v>29101578</v>
      </c>
    </row>
    <row r="221" spans="1:1" x14ac:dyDescent="0.3">
      <c r="A221" s="7674">
        <v>29101579</v>
      </c>
    </row>
    <row r="222" spans="1:1" x14ac:dyDescent="0.3">
      <c r="A222" s="7674">
        <v>29101580</v>
      </c>
    </row>
    <row r="223" spans="1:1" x14ac:dyDescent="0.3">
      <c r="A223" s="7674">
        <v>29101581</v>
      </c>
    </row>
    <row r="224" spans="1:1" x14ac:dyDescent="0.3">
      <c r="A224" s="7674">
        <v>29101582</v>
      </c>
    </row>
    <row r="225" spans="1:1" x14ac:dyDescent="0.3">
      <c r="A225" s="7674">
        <v>29101583</v>
      </c>
    </row>
    <row r="226" spans="1:1" x14ac:dyDescent="0.3">
      <c r="A226" s="7674">
        <v>29101584</v>
      </c>
    </row>
    <row r="227" spans="1:1" x14ac:dyDescent="0.3">
      <c r="A227" s="7674">
        <v>29101585</v>
      </c>
    </row>
    <row r="228" spans="1:1" x14ac:dyDescent="0.3">
      <c r="A228" s="7674">
        <v>29101586</v>
      </c>
    </row>
    <row r="229" spans="1:1" x14ac:dyDescent="0.3">
      <c r="A229" s="7674">
        <v>29101587</v>
      </c>
    </row>
    <row r="230" spans="1:1" x14ac:dyDescent="0.3">
      <c r="A230" s="7674">
        <v>29101588</v>
      </c>
    </row>
    <row r="231" spans="1:1" x14ac:dyDescent="0.3">
      <c r="A231" s="7674">
        <v>29101589</v>
      </c>
    </row>
    <row r="232" spans="1:1" x14ac:dyDescent="0.3">
      <c r="A232" s="7674">
        <v>29101590</v>
      </c>
    </row>
    <row r="233" spans="1:1" x14ac:dyDescent="0.3">
      <c r="A233" s="7674">
        <v>29101591</v>
      </c>
    </row>
    <row r="234" spans="1:1" x14ac:dyDescent="0.3">
      <c r="A234" s="7674">
        <v>29101592</v>
      </c>
    </row>
    <row r="235" spans="1:1" x14ac:dyDescent="0.3">
      <c r="A235" s="7674">
        <v>29101593</v>
      </c>
    </row>
    <row r="236" spans="1:1" x14ac:dyDescent="0.3">
      <c r="A236" s="7674">
        <v>29101594</v>
      </c>
    </row>
    <row r="237" spans="1:1" x14ac:dyDescent="0.3">
      <c r="A237" s="7674">
        <v>29101595</v>
      </c>
    </row>
    <row r="238" spans="1:1" x14ac:dyDescent="0.3">
      <c r="A238" s="7674">
        <v>29101596</v>
      </c>
    </row>
    <row r="239" spans="1:1" x14ac:dyDescent="0.3">
      <c r="A239" s="7674">
        <v>29101597</v>
      </c>
    </row>
    <row r="240" spans="1:1" x14ac:dyDescent="0.3">
      <c r="A240" s="7674">
        <v>29101598</v>
      </c>
    </row>
    <row r="241" spans="1:1" x14ac:dyDescent="0.3">
      <c r="A241" s="7674">
        <v>29101599</v>
      </c>
    </row>
    <row r="242" spans="1:1" x14ac:dyDescent="0.3">
      <c r="A242" s="7674">
        <v>29101600</v>
      </c>
    </row>
    <row r="243" spans="1:1" x14ac:dyDescent="0.3">
      <c r="A243" s="7674">
        <v>29101601</v>
      </c>
    </row>
    <row r="244" spans="1:1" x14ac:dyDescent="0.3">
      <c r="A244" s="7674">
        <v>29101602</v>
      </c>
    </row>
    <row r="245" spans="1:1" x14ac:dyDescent="0.3">
      <c r="A245" s="7674">
        <v>29101603</v>
      </c>
    </row>
    <row r="246" spans="1:1" x14ac:dyDescent="0.3">
      <c r="A246" s="7674">
        <v>29101604</v>
      </c>
    </row>
    <row r="247" spans="1:1" x14ac:dyDescent="0.3">
      <c r="A247" s="7674">
        <v>29101605</v>
      </c>
    </row>
    <row r="248" spans="1:1" x14ac:dyDescent="0.3">
      <c r="A248" s="7674">
        <v>29101606</v>
      </c>
    </row>
    <row r="249" spans="1:1" x14ac:dyDescent="0.3">
      <c r="A249" s="7674">
        <v>29101607</v>
      </c>
    </row>
    <row r="250" spans="1:1" x14ac:dyDescent="0.3">
      <c r="A250" s="7674">
        <v>29101608</v>
      </c>
    </row>
    <row r="251" spans="1:1" x14ac:dyDescent="0.3">
      <c r="A251" s="7674">
        <v>29101609</v>
      </c>
    </row>
    <row r="252" spans="1:1" x14ac:dyDescent="0.3">
      <c r="A252" s="7674">
        <v>29101610</v>
      </c>
    </row>
    <row r="253" spans="1:1" x14ac:dyDescent="0.3">
      <c r="A253" s="7674">
        <v>29101611</v>
      </c>
    </row>
    <row r="254" spans="1:1" x14ac:dyDescent="0.3">
      <c r="A254" s="7674">
        <v>29101612</v>
      </c>
    </row>
    <row r="255" spans="1:1" x14ac:dyDescent="0.3">
      <c r="A255" s="7674">
        <v>29101613</v>
      </c>
    </row>
    <row r="256" spans="1:1" x14ac:dyDescent="0.3">
      <c r="A256" s="7674">
        <v>29101614</v>
      </c>
    </row>
    <row r="257" spans="1:1" x14ac:dyDescent="0.3">
      <c r="A257" s="7674">
        <v>29101615</v>
      </c>
    </row>
    <row r="258" spans="1:1" x14ac:dyDescent="0.3">
      <c r="A258" s="7674">
        <v>29101616</v>
      </c>
    </row>
    <row r="259" spans="1:1" x14ac:dyDescent="0.3">
      <c r="A259" s="7674">
        <v>29101617</v>
      </c>
    </row>
    <row r="260" spans="1:1" x14ac:dyDescent="0.3">
      <c r="A260" s="7674">
        <v>29101618</v>
      </c>
    </row>
    <row r="261" spans="1:1" x14ac:dyDescent="0.3">
      <c r="A261" s="7674">
        <v>29101619</v>
      </c>
    </row>
    <row r="262" spans="1:1" x14ac:dyDescent="0.3">
      <c r="A262" s="7674">
        <v>29101495</v>
      </c>
    </row>
    <row r="264" spans="1:1" x14ac:dyDescent="0.3">
      <c r="A264" s="827" t="s">
        <v>4069</v>
      </c>
    </row>
    <row r="265" spans="1:1" x14ac:dyDescent="0.3">
      <c r="A265" s="7262">
        <v>27300500</v>
      </c>
    </row>
    <row r="266" spans="1:1" x14ac:dyDescent="0.3">
      <c r="A266" s="7262">
        <v>27290100</v>
      </c>
    </row>
    <row r="267" spans="1:1" x14ac:dyDescent="0.3">
      <c r="A267" s="7262">
        <v>27290200</v>
      </c>
    </row>
    <row r="268" spans="1:1" x14ac:dyDescent="0.3">
      <c r="A268" s="7262">
        <v>27290300</v>
      </c>
    </row>
    <row r="269" spans="1:1" x14ac:dyDescent="0.3">
      <c r="A269" s="7262">
        <v>27500230</v>
      </c>
    </row>
    <row r="270" spans="1:1" x14ac:dyDescent="0.3">
      <c r="A270" s="7262">
        <v>27500330</v>
      </c>
    </row>
  </sheetData>
  <mergeCells count="150">
    <mergeCell ref="B191:B196"/>
    <mergeCell ref="AI188:AI190"/>
    <mergeCell ref="AC189:AD189"/>
    <mergeCell ref="AE189:AF189"/>
    <mergeCell ref="AG189:AH189"/>
    <mergeCell ref="W189:X189"/>
    <mergeCell ref="Y189:Z189"/>
    <mergeCell ref="AA189:AB189"/>
    <mergeCell ref="U189:V189"/>
    <mergeCell ref="G189:H189"/>
    <mergeCell ref="I189:J189"/>
    <mergeCell ref="K189:L189"/>
    <mergeCell ref="M189:N189"/>
    <mergeCell ref="O189:P189"/>
    <mergeCell ref="B188:B190"/>
    <mergeCell ref="Q189:R189"/>
    <mergeCell ref="S189:T189"/>
    <mergeCell ref="C188:C190"/>
    <mergeCell ref="D188:F189"/>
    <mergeCell ref="G188:AH188"/>
    <mergeCell ref="C186:D186"/>
    <mergeCell ref="B153:D153"/>
    <mergeCell ref="B154:B186"/>
    <mergeCell ref="C154:D154"/>
    <mergeCell ref="C155:C158"/>
    <mergeCell ref="C159:D159"/>
    <mergeCell ref="C160:D160"/>
    <mergeCell ref="C161:D161"/>
    <mergeCell ref="C162:D162"/>
    <mergeCell ref="C163:D163"/>
    <mergeCell ref="C164:D164"/>
    <mergeCell ref="C165:D165"/>
    <mergeCell ref="C166:D166"/>
    <mergeCell ref="C167:D167"/>
    <mergeCell ref="C168:C170"/>
    <mergeCell ref="C171:C173"/>
    <mergeCell ref="C174:D174"/>
    <mergeCell ref="C175:C176"/>
    <mergeCell ref="C177:D177"/>
    <mergeCell ref="C178:D178"/>
    <mergeCell ref="C179:D179"/>
    <mergeCell ref="C180:D180"/>
    <mergeCell ref="C181:C183"/>
    <mergeCell ref="C184:D184"/>
    <mergeCell ref="C185:D185"/>
    <mergeCell ref="AF9:AF10"/>
    <mergeCell ref="AD9:AD10"/>
    <mergeCell ref="AE9:AE10"/>
    <mergeCell ref="B102:D102"/>
    <mergeCell ref="B104:D105"/>
    <mergeCell ref="E104:E105"/>
    <mergeCell ref="F104:K104"/>
    <mergeCell ref="L104:M104"/>
    <mergeCell ref="B106:C108"/>
    <mergeCell ref="I98:V98"/>
    <mergeCell ref="W98:W99"/>
    <mergeCell ref="X98:X99"/>
    <mergeCell ref="B100:D100"/>
    <mergeCell ref="B101:D101"/>
    <mergeCell ref="B94:D94"/>
    <mergeCell ref="B95:D95"/>
    <mergeCell ref="B96:D96"/>
    <mergeCell ref="B129:B130"/>
    <mergeCell ref="C129:C130"/>
    <mergeCell ref="B109:C111"/>
    <mergeCell ref="B112:C114"/>
    <mergeCell ref="B119:B120"/>
    <mergeCell ref="C119:J119"/>
    <mergeCell ref="B124:B125"/>
    <mergeCell ref="D129:G129"/>
    <mergeCell ref="H129:H130"/>
    <mergeCell ref="I129:I130"/>
    <mergeCell ref="C124:C125"/>
    <mergeCell ref="D124:N124"/>
    <mergeCell ref="B98:D99"/>
    <mergeCell ref="E98:E99"/>
    <mergeCell ref="F98:F99"/>
    <mergeCell ref="G98:H98"/>
    <mergeCell ref="B88:D88"/>
    <mergeCell ref="F88:G88"/>
    <mergeCell ref="B89:D89"/>
    <mergeCell ref="F89:G89"/>
    <mergeCell ref="B90:D90"/>
    <mergeCell ref="B92:D93"/>
    <mergeCell ref="E92:E93"/>
    <mergeCell ref="F92:F93"/>
    <mergeCell ref="B87:D87"/>
    <mergeCell ref="F87:G87"/>
    <mergeCell ref="B11:B48"/>
    <mergeCell ref="C11:D11"/>
    <mergeCell ref="C12:C15"/>
    <mergeCell ref="C16:D16"/>
    <mergeCell ref="C61:D61"/>
    <mergeCell ref="C59:D59"/>
    <mergeCell ref="C63:D63"/>
    <mergeCell ref="C71:D71"/>
    <mergeCell ref="C72:C73"/>
    <mergeCell ref="C74:D74"/>
    <mergeCell ref="C75:D75"/>
    <mergeCell ref="C76:D76"/>
    <mergeCell ref="C77:D77"/>
    <mergeCell ref="B50:D50"/>
    <mergeCell ref="B51:B85"/>
    <mergeCell ref="C51:D51"/>
    <mergeCell ref="C52:C55"/>
    <mergeCell ref="C56:D56"/>
    <mergeCell ref="C57:D57"/>
    <mergeCell ref="C58:D58"/>
    <mergeCell ref="C78:C82"/>
    <mergeCell ref="C83:D83"/>
    <mergeCell ref="C84:D84"/>
    <mergeCell ref="C85:D85"/>
    <mergeCell ref="Z9:AB9"/>
    <mergeCell ref="AC9:AC10"/>
    <mergeCell ref="C17:D17"/>
    <mergeCell ref="C18:D18"/>
    <mergeCell ref="C19:D19"/>
    <mergeCell ref="C35:C36"/>
    <mergeCell ref="C37:D37"/>
    <mergeCell ref="C38:D38"/>
    <mergeCell ref="C25:D25"/>
    <mergeCell ref="C27:D27"/>
    <mergeCell ref="C28:C30"/>
    <mergeCell ref="C31:C33"/>
    <mergeCell ref="C34:D34"/>
    <mergeCell ref="C24:D24"/>
    <mergeCell ref="B134:D135"/>
    <mergeCell ref="E134:E135"/>
    <mergeCell ref="F134:O134"/>
    <mergeCell ref="P134:Q134"/>
    <mergeCell ref="B136:C143"/>
    <mergeCell ref="B144:C151"/>
    <mergeCell ref="C62:D62"/>
    <mergeCell ref="C60:D60"/>
    <mergeCell ref="B6:P6"/>
    <mergeCell ref="B9:D10"/>
    <mergeCell ref="E9:E10"/>
    <mergeCell ref="F9:J9"/>
    <mergeCell ref="K9:Y9"/>
    <mergeCell ref="C20:C23"/>
    <mergeCell ref="C26:D26"/>
    <mergeCell ref="C39:D39"/>
    <mergeCell ref="C40:D40"/>
    <mergeCell ref="C41:C45"/>
    <mergeCell ref="C64:D64"/>
    <mergeCell ref="C65:C67"/>
    <mergeCell ref="C68:C70"/>
    <mergeCell ref="C46:D46"/>
    <mergeCell ref="C47:D47"/>
    <mergeCell ref="C48:D48"/>
  </mergeCells>
  <phoneticPr fontId="44" type="noConversion"/>
  <dataValidations count="4">
    <dataValidation allowBlank="1" showInputMessage="1" showErrorMessage="1" error="Valor no Permitido" sqref="CB9:XFD48 C1:C20 D1:D25 AA1:AB8 AG9:BX48 D27:D62 H129:I129 E130:G130 AE9:AF10 C126:D127 E125:N127 AD1:XFD8 C193:F197 AD11:AF48 AD9 C24:C41 D153:D165 K152:Q187 J129:Q132 E131:I132 B129:D132 B197 D167:D192 E153:J187 E188:F192 B1:B127 G188:G197 AJ191:CI191 AI188:XFD190 A271:A1048576 CK191:XFD191 R129:XFD187 E1:N123 AD49:XFD127 C46:C124 D64:D125 AC1:AC127 O1:Z127 AA10:AB127 B153:B191 C153:C192 A128:XFD128 B198:XFD1048576 A198:A203 A263:A264 O189:AH190 AJ192:XFD197 H189:N197 O191:AI197" xr:uid="{00000000-0002-0000-1300-000000000000}"/>
    <dataValidation type="decimal" prompt="Error - Favor ingresar Números." sqref="O136:O140" xr:uid="{CB8108DD-C7D2-4FDC-9933-9FEBAD8DB4B3}">
      <formula1>0</formula1>
      <formula2>1E+29</formula2>
    </dataValidation>
    <dataValidation type="decimal" allowBlank="1" prompt="Error - Favor ingresar Números." sqref="L136:L139 M136:N140 G144 H144:O145 I146:O146 J147:O147 M148:O150 K149:L151 F151:J151 F145 F146:G150 H147:H148 I148" xr:uid="{9B404401-F403-446F-A7CE-5B773263D109}">
      <formula1>0</formula1>
      <formula2>1E+29</formula2>
    </dataValidation>
    <dataValidation allowBlank="1" sqref="G136:K136 H137:K137 I138:K138 J139:K139 F137 F138:G138 F139:H139 F140:I140 F141:G143 H143:L143 K141:O142" xr:uid="{1EE5C4DD-AD81-4F75-A4ED-9E10BAF2F156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ET484"/>
  <sheetViews>
    <sheetView showGridLines="0" zoomScaleNormal="100" zoomScalePageLayoutView="90" workbookViewId="0"/>
  </sheetViews>
  <sheetFormatPr baseColWidth="10" defaultColWidth="11.44140625" defaultRowHeight="13.8" x14ac:dyDescent="0.25"/>
  <cols>
    <col min="1" max="1" width="17.44140625" style="4258" customWidth="1"/>
    <col min="2" max="2" width="49.88671875" style="4258" customWidth="1"/>
    <col min="3" max="3" width="43.6640625" style="4258" customWidth="1"/>
    <col min="4" max="4" width="16.33203125" style="4258" customWidth="1"/>
    <col min="5" max="39" width="19.33203125" style="4258" customWidth="1"/>
    <col min="40" max="41" width="12.6640625" style="4258" customWidth="1"/>
    <col min="42" max="42" width="14.44140625" style="4258" customWidth="1"/>
    <col min="43" max="43" width="12.6640625" style="4258" customWidth="1"/>
    <col min="44" max="44" width="14.44140625" style="4258" customWidth="1"/>
    <col min="45" max="45" width="12.44140625" style="4258" customWidth="1"/>
    <col min="46" max="46" width="11.44140625" style="4258"/>
    <col min="47" max="47" width="13.33203125" style="4258" customWidth="1"/>
    <col min="48" max="48" width="11.44140625" style="4258"/>
    <col min="49" max="49" width="12.33203125" style="4258" customWidth="1"/>
    <col min="50" max="73" width="11.44140625" style="4258" customWidth="1"/>
    <col min="74" max="74" width="11.44140625" style="4264" customWidth="1"/>
    <col min="75" max="77" width="11" style="4264" customWidth="1"/>
    <col min="78" max="78" width="11" style="4260" customWidth="1"/>
    <col min="79" max="79" width="13.33203125" style="4260" customWidth="1"/>
    <col min="80" max="99" width="13.33203125" style="4295" hidden="1" customWidth="1"/>
    <col min="100" max="105" width="13.33203125" style="4260" hidden="1" customWidth="1"/>
    <col min="106" max="106" width="0" style="4264" hidden="1" customWidth="1"/>
    <col min="107" max="131" width="11.44140625" style="4264"/>
    <col min="132" max="16384" width="11.44140625" style="4258"/>
  </cols>
  <sheetData>
    <row r="1" spans="1:105" ht="16.350000000000001" customHeight="1" x14ac:dyDescent="0.3">
      <c r="B1" s="3807" t="s">
        <v>207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 s="4976"/>
      <c r="BW1" s="4976"/>
      <c r="BX1" s="4976"/>
      <c r="BY1" s="4976"/>
      <c r="BZ1" s="4976"/>
      <c r="CA1" s="4976"/>
      <c r="CV1" s="4264"/>
      <c r="CW1" s="4264"/>
      <c r="CX1" s="4264"/>
      <c r="CY1" s="4264"/>
      <c r="CZ1" s="4264"/>
      <c r="DA1" s="4264"/>
    </row>
    <row r="2" spans="1:105" ht="16.350000000000001" customHeight="1" x14ac:dyDescent="0.3">
      <c r="B2" s="3807" t="str">
        <f>CONCATENATE("COMUNA: ",NOMBRE!B2," - ","( ",NOMBRE!C2,NOMBRE!D2,NOMBRE!E2,NOMBRE!F2,NOMBRE!G2," )")</f>
        <v>COMUNA:  - (  )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 s="4976"/>
      <c r="BW2" s="4976"/>
      <c r="BX2" s="4976"/>
      <c r="BY2" s="4976"/>
      <c r="BZ2" s="4976"/>
      <c r="CA2" s="4976"/>
      <c r="CV2" s="4264"/>
      <c r="CW2" s="4264"/>
      <c r="CX2" s="4264"/>
      <c r="CY2" s="4264"/>
      <c r="CZ2" s="4264"/>
      <c r="DA2" s="4264"/>
    </row>
    <row r="3" spans="1:105" ht="16.350000000000001" customHeight="1" x14ac:dyDescent="0.3">
      <c r="B3" s="3807" t="str">
        <f>CONCATENATE("ESTABLECIMIENTO/ESTRATEGIA: ",NOMBRE!B3," - ","( ",NOMBRE!C3,NOMBRE!D3,NOMBRE!E3,NOMBRE!F3,NOMBRE!G3,NOMBRE!H3," )")</f>
        <v>ESTABLECIMIENTO/ESTRATEGIA:  - (  )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 s="4976"/>
      <c r="BW3" s="4976"/>
      <c r="BX3" s="4976"/>
      <c r="BY3" s="4976"/>
      <c r="BZ3" s="4976"/>
      <c r="CA3" s="4976"/>
      <c r="CV3" s="4264"/>
      <c r="CW3" s="4264"/>
      <c r="CX3" s="4264"/>
      <c r="CY3" s="4264"/>
      <c r="CZ3" s="4264"/>
      <c r="DA3" s="4264"/>
    </row>
    <row r="4" spans="1:105" ht="16.350000000000001" customHeight="1" x14ac:dyDescent="0.3">
      <c r="B4" s="3807" t="str">
        <f>CONCATENATE("MES: ",NOMBRE!B6," - ","( ",NOMBRE!C6,NOMBRE!D6," )")</f>
        <v>MES:  - (  )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 s="4976"/>
      <c r="BW4" s="4976"/>
      <c r="BX4" s="4976"/>
      <c r="BY4" s="4976"/>
      <c r="BZ4" s="4976"/>
      <c r="CA4" s="4976"/>
      <c r="CV4" s="4264"/>
      <c r="CW4" s="4264"/>
      <c r="CX4" s="4264"/>
      <c r="CY4" s="4264"/>
      <c r="CZ4" s="4264"/>
      <c r="DA4" s="4264"/>
    </row>
    <row r="5" spans="1:105" ht="16.350000000000001" customHeight="1" x14ac:dyDescent="0.3">
      <c r="B5" s="3807" t="str">
        <f>CONCATENATE("AÑO: ",NOMBRE!B7)</f>
        <v>AÑO: 2023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 s="4976"/>
      <c r="BW5" s="4976"/>
      <c r="BX5" s="4976"/>
      <c r="BY5" s="4976"/>
      <c r="BZ5" s="4976"/>
      <c r="CA5" s="4976"/>
      <c r="CV5" s="4264"/>
      <c r="CW5" s="4264"/>
      <c r="CX5" s="4264"/>
      <c r="CY5" s="4264"/>
      <c r="CZ5" s="4264"/>
      <c r="DA5" s="4264"/>
    </row>
    <row r="6" spans="1:105" ht="16.2" customHeight="1" x14ac:dyDescent="0.3">
      <c r="B6" s="10972" t="s">
        <v>3553</v>
      </c>
      <c r="C6" s="10972"/>
      <c r="D6" s="10972"/>
      <c r="E6" s="10972"/>
      <c r="F6" s="10972"/>
      <c r="G6" s="10972"/>
      <c r="H6" s="10972"/>
      <c r="I6" s="10972"/>
      <c r="J6" s="10972"/>
      <c r="K6" s="10972"/>
      <c r="L6" s="10972"/>
      <c r="M6" s="10972"/>
      <c r="N6" s="10972"/>
      <c r="O6" s="10972"/>
      <c r="P6" s="4977"/>
      <c r="Q6" s="3940"/>
      <c r="R6" s="3940"/>
      <c r="S6" s="3940"/>
      <c r="T6" s="3940"/>
      <c r="U6" s="3940"/>
      <c r="V6" s="3940"/>
      <c r="W6" s="3940"/>
      <c r="X6" s="3940"/>
      <c r="Y6" s="3940"/>
      <c r="Z6" s="3940"/>
      <c r="AA6" s="3940"/>
      <c r="AB6" s="3940"/>
      <c r="AC6" s="3940"/>
      <c r="AD6" s="3940"/>
      <c r="AE6" s="3940"/>
      <c r="AF6" s="3940"/>
      <c r="AG6" s="3940"/>
      <c r="AH6" s="3940"/>
      <c r="AI6" s="3940"/>
      <c r="AJ6" s="3940"/>
      <c r="AK6" s="3940"/>
      <c r="AL6" s="3940"/>
      <c r="AM6" s="3940"/>
      <c r="AN6" s="3940"/>
      <c r="AO6" s="3940"/>
      <c r="AP6" s="3940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 s="4976"/>
      <c r="BW6" s="4976"/>
      <c r="BX6" s="4976"/>
      <c r="BY6" s="4976"/>
      <c r="BZ6" s="4976"/>
      <c r="CA6" s="4976"/>
      <c r="CH6" s="4978"/>
      <c r="CI6" s="4978"/>
      <c r="CJ6" s="4978"/>
      <c r="CK6" s="4978"/>
      <c r="CL6" s="4978"/>
      <c r="CM6" s="4978"/>
      <c r="CN6" s="4978"/>
      <c r="CO6" s="4978"/>
      <c r="CP6" s="4978"/>
      <c r="CQ6" s="4978"/>
      <c r="CR6" s="4978"/>
      <c r="CS6" s="4978"/>
      <c r="CT6" s="4978"/>
      <c r="CU6" s="4978"/>
      <c r="CV6" s="4264"/>
      <c r="CW6" s="4264"/>
      <c r="CX6" s="4264"/>
      <c r="CY6" s="4264"/>
      <c r="CZ6" s="4264"/>
      <c r="DA6" s="4264"/>
    </row>
    <row r="7" spans="1:105" ht="14.4" x14ac:dyDescent="0.3">
      <c r="B7" s="4979"/>
      <c r="C7" s="4979"/>
      <c r="D7" s="4979"/>
      <c r="E7" s="4979"/>
      <c r="F7" s="4979"/>
      <c r="G7" s="4979"/>
      <c r="H7" s="4979"/>
      <c r="I7" s="4979"/>
      <c r="J7" s="4979"/>
      <c r="K7" s="4979"/>
      <c r="L7" s="4979"/>
      <c r="M7" s="4979"/>
      <c r="N7" s="4979"/>
      <c r="O7" s="4979"/>
      <c r="P7" s="3940"/>
      <c r="Q7" s="3940"/>
      <c r="R7" s="3940"/>
      <c r="S7" s="3940"/>
      <c r="T7" s="3940"/>
      <c r="U7" s="3940"/>
      <c r="V7" s="3940"/>
      <c r="W7" s="3940"/>
      <c r="X7" s="3940"/>
      <c r="Y7" s="3940"/>
      <c r="Z7" s="3940"/>
      <c r="AA7" s="3940"/>
      <c r="AB7" s="3940"/>
      <c r="AC7" s="3940"/>
      <c r="AD7" s="3940"/>
      <c r="AE7" s="3940"/>
      <c r="AF7" s="3940"/>
      <c r="AG7" s="3940"/>
      <c r="AH7" s="3940"/>
      <c r="AI7" s="3940"/>
      <c r="AJ7" s="3940"/>
      <c r="AK7" s="3940"/>
      <c r="AL7" s="3940"/>
      <c r="AM7" s="3940"/>
      <c r="AN7" s="3940"/>
      <c r="AO7" s="3940"/>
      <c r="AP7" s="3940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 s="4976"/>
      <c r="BW7" s="4976"/>
      <c r="BX7" s="4976"/>
      <c r="BY7" s="4976"/>
      <c r="BZ7" s="4976"/>
      <c r="CA7" s="4976"/>
      <c r="CH7" s="4978"/>
      <c r="CI7" s="4978"/>
      <c r="CJ7" s="4978"/>
      <c r="CK7" s="4978"/>
      <c r="CL7" s="4978"/>
      <c r="CM7" s="4978"/>
      <c r="CN7" s="4978"/>
      <c r="CO7" s="4978"/>
      <c r="CP7" s="4978"/>
      <c r="CQ7" s="4978"/>
      <c r="CR7" s="4978"/>
      <c r="CS7" s="4978"/>
      <c r="CT7" s="4978"/>
      <c r="CU7" s="4978"/>
      <c r="CV7" s="4264"/>
      <c r="CW7" s="4264"/>
      <c r="CX7" s="4264"/>
      <c r="CY7" s="4264"/>
      <c r="CZ7" s="4264"/>
      <c r="DA7" s="4264"/>
    </row>
    <row r="8" spans="1:105" ht="32.1" customHeight="1" x14ac:dyDescent="0.3">
      <c r="B8" s="4268" t="s">
        <v>3512</v>
      </c>
      <c r="C8" s="4979"/>
      <c r="D8" s="4979"/>
      <c r="E8" s="4979"/>
      <c r="F8" s="4979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 s="4976"/>
      <c r="BW8" s="4976"/>
      <c r="BX8" s="4976"/>
      <c r="BY8" s="4976"/>
      <c r="BZ8" s="4976"/>
      <c r="CA8" s="4976"/>
      <c r="CH8" s="4978"/>
      <c r="CI8" s="4978"/>
      <c r="CJ8" s="4978"/>
      <c r="CK8" s="4978"/>
      <c r="CL8" s="4978"/>
      <c r="CM8" s="4978"/>
      <c r="CN8" s="4978"/>
      <c r="CO8" s="4978"/>
      <c r="CP8" s="4978"/>
      <c r="CQ8" s="4978"/>
      <c r="CR8" s="4978"/>
      <c r="CS8" s="4978"/>
      <c r="CT8" s="4978"/>
      <c r="CU8" s="4978"/>
      <c r="CV8" s="4264"/>
      <c r="CW8" s="4264"/>
      <c r="CX8" s="4264"/>
      <c r="CY8" s="4264"/>
      <c r="CZ8" s="4264"/>
      <c r="DA8" s="4264"/>
    </row>
    <row r="9" spans="1:105" ht="32.1" customHeight="1" x14ac:dyDescent="0.3">
      <c r="B9" s="4980" t="s">
        <v>2858</v>
      </c>
      <c r="C9" s="4981"/>
      <c r="D9" s="3914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 s="4976"/>
      <c r="BW9" s="4976"/>
      <c r="BX9" s="4976"/>
      <c r="BY9" s="4976"/>
      <c r="BZ9" s="4976"/>
      <c r="CA9" s="4976"/>
      <c r="CH9" s="4978"/>
      <c r="CI9" s="4978"/>
      <c r="CJ9" s="4978"/>
      <c r="CK9" s="4978"/>
      <c r="CL9" s="4978"/>
      <c r="CM9" s="4978"/>
      <c r="CN9" s="4978"/>
      <c r="CO9" s="4978"/>
      <c r="CP9" s="4978"/>
      <c r="CQ9" s="4978"/>
      <c r="CR9" s="4978"/>
      <c r="CS9" s="4978"/>
      <c r="CT9" s="4978"/>
      <c r="CU9" s="4978"/>
      <c r="CV9" s="4264"/>
      <c r="CW9" s="4264"/>
      <c r="CX9" s="4264"/>
      <c r="CY9" s="4264"/>
      <c r="CZ9" s="4264"/>
      <c r="DA9" s="4264"/>
    </row>
    <row r="10" spans="1:105" ht="21.75" customHeight="1" x14ac:dyDescent="0.3">
      <c r="B10" s="10349" t="s">
        <v>139</v>
      </c>
      <c r="C10" s="10973" t="s">
        <v>24</v>
      </c>
      <c r="D10" s="10974"/>
      <c r="E10" s="10313"/>
      <c r="F10" s="10268" t="s">
        <v>98</v>
      </c>
      <c r="G10" s="10265"/>
      <c r="H10" s="10265"/>
      <c r="I10" s="10265"/>
      <c r="J10" s="10265"/>
      <c r="K10" s="10265"/>
      <c r="L10" s="10265"/>
      <c r="M10" s="10265"/>
      <c r="N10" s="10265"/>
      <c r="O10" s="10265"/>
      <c r="P10" s="10265"/>
      <c r="Q10" s="10265"/>
      <c r="R10" s="10265"/>
      <c r="S10" s="10265"/>
      <c r="T10" s="10265"/>
      <c r="U10" s="10265"/>
      <c r="V10" s="10265"/>
      <c r="W10" s="10265"/>
      <c r="X10" s="10265"/>
      <c r="Y10" s="10265"/>
      <c r="Z10" s="10265"/>
      <c r="AA10" s="10265"/>
      <c r="AB10" s="10265"/>
      <c r="AC10" s="10265"/>
      <c r="AD10" s="10265"/>
      <c r="AE10" s="10265"/>
      <c r="AF10" s="10265"/>
      <c r="AG10" s="10265"/>
      <c r="AH10" s="10265"/>
      <c r="AI10" s="10265"/>
      <c r="AJ10" s="10265"/>
      <c r="AK10" s="10265"/>
      <c r="AL10" s="10265"/>
      <c r="AM10" s="10355"/>
      <c r="AN10" s="10936" t="s">
        <v>141</v>
      </c>
      <c r="AO10" s="10265"/>
      <c r="AP10" s="10265"/>
      <c r="AQ10" s="10269"/>
      <c r="AR10" s="10349" t="s">
        <v>2814</v>
      </c>
      <c r="AS10" s="10349" t="s">
        <v>362</v>
      </c>
      <c r="AT10" s="10349" t="s">
        <v>361</v>
      </c>
      <c r="AU10" s="4264"/>
      <c r="AV10" s="4264"/>
      <c r="AW10" s="4264"/>
      <c r="AX10" s="4264"/>
      <c r="AY10" s="4264"/>
      <c r="AZ10" s="4264"/>
      <c r="BA10" s="4264"/>
      <c r="BB10" s="4264"/>
      <c r="BC10" s="4264"/>
      <c r="BD10" s="4264"/>
      <c r="BE10" s="4264"/>
      <c r="BF10" s="4264"/>
      <c r="BG10" s="4264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4976"/>
      <c r="BW10" s="4976"/>
      <c r="BX10" s="4260"/>
      <c r="BY10" s="4260"/>
      <c r="CH10" s="4978"/>
      <c r="CI10" s="4978"/>
      <c r="CJ10" s="4978"/>
      <c r="CK10" s="4978"/>
      <c r="CL10" s="4978"/>
      <c r="CM10" s="4978"/>
      <c r="CN10" s="4978"/>
      <c r="CO10" s="4978"/>
      <c r="CP10" s="4978"/>
      <c r="CQ10" s="4978"/>
      <c r="CR10" s="4978"/>
      <c r="CS10" s="4978"/>
      <c r="CT10" s="4978"/>
      <c r="CU10" s="4978"/>
      <c r="CV10" s="4264"/>
      <c r="CW10" s="4264"/>
      <c r="CX10" s="4264"/>
      <c r="CY10" s="4264"/>
      <c r="CZ10" s="4264"/>
      <c r="DA10" s="4264"/>
    </row>
    <row r="11" spans="1:105" ht="15" customHeight="1" x14ac:dyDescent="0.3">
      <c r="B11" s="10350"/>
      <c r="C11" s="10975"/>
      <c r="D11" s="9181"/>
      <c r="E11" s="9116"/>
      <c r="F11" s="10294" t="s">
        <v>1416</v>
      </c>
      <c r="G11" s="10328"/>
      <c r="H11" s="10294" t="s">
        <v>1415</v>
      </c>
      <c r="I11" s="10328"/>
      <c r="J11" s="10294" t="s">
        <v>77</v>
      </c>
      <c r="K11" s="10328"/>
      <c r="L11" s="10294" t="s">
        <v>68</v>
      </c>
      <c r="M11" s="10328"/>
      <c r="N11" s="10294" t="s">
        <v>142</v>
      </c>
      <c r="O11" s="10328"/>
      <c r="P11" s="10294" t="s">
        <v>143</v>
      </c>
      <c r="Q11" s="10328"/>
      <c r="R11" s="10294" t="s">
        <v>144</v>
      </c>
      <c r="S11" s="10328"/>
      <c r="T11" s="10294" t="s">
        <v>7</v>
      </c>
      <c r="U11" s="10328"/>
      <c r="V11" s="10294" t="s">
        <v>8</v>
      </c>
      <c r="W11" s="10328"/>
      <c r="X11" s="10294" t="s">
        <v>145</v>
      </c>
      <c r="Y11" s="10328"/>
      <c r="Z11" s="10294" t="s">
        <v>10</v>
      </c>
      <c r="AA11" s="10328"/>
      <c r="AB11" s="10294" t="s">
        <v>11</v>
      </c>
      <c r="AC11" s="10328"/>
      <c r="AD11" s="10294" t="s">
        <v>12</v>
      </c>
      <c r="AE11" s="10328"/>
      <c r="AF11" s="10294" t="s">
        <v>13</v>
      </c>
      <c r="AG11" s="10328"/>
      <c r="AH11" s="10294" t="s">
        <v>14</v>
      </c>
      <c r="AI11" s="10328"/>
      <c r="AJ11" s="10294" t="s">
        <v>15</v>
      </c>
      <c r="AK11" s="10328"/>
      <c r="AL11" s="10268" t="s">
        <v>16</v>
      </c>
      <c r="AM11" s="10355"/>
      <c r="AN11" s="10360" t="s">
        <v>3976</v>
      </c>
      <c r="AO11" s="9052" t="s">
        <v>146</v>
      </c>
      <c r="AP11" s="9129" t="s">
        <v>147</v>
      </c>
      <c r="AQ11" s="9181" t="s">
        <v>148</v>
      </c>
      <c r="AR11" s="10350"/>
      <c r="AS11" s="10350"/>
      <c r="AT11" s="10350"/>
      <c r="AU11" s="4264"/>
      <c r="AV11" s="4264"/>
      <c r="AW11" s="4264"/>
      <c r="AX11" s="4264"/>
      <c r="AY11" s="4264"/>
      <c r="AZ11" s="4264"/>
      <c r="BA11" s="4264"/>
      <c r="BB11" s="4264"/>
      <c r="BC11" s="4264"/>
      <c r="BD11" s="4264"/>
      <c r="BE11" s="4264"/>
      <c r="BF11" s="4264"/>
      <c r="BG11" s="4264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4976"/>
      <c r="BW11" s="4976"/>
      <c r="BX11" s="4260"/>
      <c r="BY11" s="4260"/>
      <c r="CH11" s="4978"/>
      <c r="CI11" s="4978"/>
      <c r="CJ11" s="4978"/>
      <c r="CK11" s="4978"/>
      <c r="CL11" s="4978"/>
      <c r="CM11" s="4978"/>
      <c r="CN11" s="4978"/>
      <c r="CO11" s="4978"/>
      <c r="CP11" s="4978"/>
      <c r="CQ11" s="4978"/>
      <c r="CR11" s="4978"/>
      <c r="CS11" s="4978"/>
      <c r="CT11" s="4978"/>
      <c r="CU11" s="4978"/>
      <c r="CV11" s="4264"/>
      <c r="CW11" s="4264"/>
      <c r="CX11" s="4264"/>
      <c r="CY11" s="4264"/>
      <c r="CZ11" s="4264"/>
      <c r="DA11" s="4264"/>
    </row>
    <row r="12" spans="1:105" ht="32.25" customHeight="1" x14ac:dyDescent="0.3">
      <c r="B12" s="10351"/>
      <c r="C12" s="4982" t="s">
        <v>42</v>
      </c>
      <c r="D12" s="3888" t="s">
        <v>17</v>
      </c>
      <c r="E12" s="4983" t="s">
        <v>18</v>
      </c>
      <c r="F12" s="4982" t="s">
        <v>17</v>
      </c>
      <c r="G12" s="4983" t="s">
        <v>18</v>
      </c>
      <c r="H12" s="4982" t="s">
        <v>17</v>
      </c>
      <c r="I12" s="4983" t="s">
        <v>18</v>
      </c>
      <c r="J12" s="4982" t="s">
        <v>17</v>
      </c>
      <c r="K12" s="4983" t="s">
        <v>18</v>
      </c>
      <c r="L12" s="4982" t="s">
        <v>17</v>
      </c>
      <c r="M12" s="4983" t="s">
        <v>18</v>
      </c>
      <c r="N12" s="4982" t="s">
        <v>17</v>
      </c>
      <c r="O12" s="4983" t="s">
        <v>18</v>
      </c>
      <c r="P12" s="4982" t="s">
        <v>17</v>
      </c>
      <c r="Q12" s="4983" t="s">
        <v>18</v>
      </c>
      <c r="R12" s="4982" t="s">
        <v>17</v>
      </c>
      <c r="S12" s="4983" t="s">
        <v>18</v>
      </c>
      <c r="T12" s="4982" t="s">
        <v>17</v>
      </c>
      <c r="U12" s="4983" t="s">
        <v>18</v>
      </c>
      <c r="V12" s="4982" t="s">
        <v>17</v>
      </c>
      <c r="W12" s="4983" t="s">
        <v>18</v>
      </c>
      <c r="X12" s="4982" t="s">
        <v>17</v>
      </c>
      <c r="Y12" s="4983" t="s">
        <v>18</v>
      </c>
      <c r="Z12" s="4982" t="s">
        <v>17</v>
      </c>
      <c r="AA12" s="4983" t="s">
        <v>18</v>
      </c>
      <c r="AB12" s="4982" t="s">
        <v>17</v>
      </c>
      <c r="AC12" s="4983" t="s">
        <v>18</v>
      </c>
      <c r="AD12" s="4982" t="s">
        <v>17</v>
      </c>
      <c r="AE12" s="4983" t="s">
        <v>18</v>
      </c>
      <c r="AF12" s="4982" t="s">
        <v>17</v>
      </c>
      <c r="AG12" s="4983" t="s">
        <v>18</v>
      </c>
      <c r="AH12" s="4982" t="s">
        <v>17</v>
      </c>
      <c r="AI12" s="4983" t="s">
        <v>18</v>
      </c>
      <c r="AJ12" s="4982" t="s">
        <v>17</v>
      </c>
      <c r="AK12" s="4983" t="s">
        <v>18</v>
      </c>
      <c r="AL12" s="4982" t="s">
        <v>17</v>
      </c>
      <c r="AM12" s="4984" t="s">
        <v>18</v>
      </c>
      <c r="AN12" s="10361"/>
      <c r="AO12" s="10924"/>
      <c r="AP12" s="10923"/>
      <c r="AQ12" s="10922"/>
      <c r="AR12" s="10351"/>
      <c r="AS12" s="10351"/>
      <c r="AT12" s="10351"/>
      <c r="AU12" s="4264"/>
      <c r="AV12" s="4264"/>
      <c r="AW12" s="4264"/>
      <c r="AX12" s="4264"/>
      <c r="AY12" s="4264"/>
      <c r="AZ12" s="4264"/>
      <c r="BA12" s="4264"/>
      <c r="BB12" s="4264"/>
      <c r="BC12" s="4264"/>
      <c r="BD12" s="4264"/>
      <c r="BE12" s="4264"/>
      <c r="BF12" s="4264"/>
      <c r="BG12" s="4264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4976"/>
      <c r="BW12" s="4976"/>
      <c r="BX12" s="4260"/>
      <c r="BY12" s="4260"/>
      <c r="CH12" s="4978"/>
      <c r="CI12" s="4978"/>
      <c r="CJ12" s="4978"/>
      <c r="CK12" s="4978"/>
      <c r="CL12" s="4978"/>
      <c r="CM12" s="4978"/>
      <c r="CN12" s="4978"/>
      <c r="CO12" s="4978"/>
      <c r="CP12" s="4978"/>
      <c r="CQ12" s="4978"/>
      <c r="CR12" s="4978"/>
      <c r="CS12" s="4978"/>
      <c r="CT12" s="4978"/>
      <c r="CU12" s="4978"/>
      <c r="CV12" s="4264"/>
      <c r="CW12" s="4264"/>
      <c r="CX12" s="4264"/>
      <c r="CY12" s="4264"/>
      <c r="CZ12" s="4264"/>
      <c r="DA12" s="4264"/>
    </row>
    <row r="13" spans="1:105" ht="14.1" customHeight="1" x14ac:dyDescent="0.3">
      <c r="A13" s="7520">
        <v>28020500</v>
      </c>
      <c r="B13" s="4985" t="s">
        <v>29</v>
      </c>
      <c r="C13" s="4986" t="s">
        <v>5369</v>
      </c>
      <c r="D13" s="4987" t="s">
        <v>5370</v>
      </c>
      <c r="E13" s="4988" t="s">
        <v>5371</v>
      </c>
      <c r="F13" s="3868" t="s">
        <v>5372</v>
      </c>
      <c r="G13" s="3873" t="s">
        <v>5373</v>
      </c>
      <c r="H13" s="3868" t="s">
        <v>5374</v>
      </c>
      <c r="I13" s="3870" t="s">
        <v>5375</v>
      </c>
      <c r="J13" s="3868" t="s">
        <v>5376</v>
      </c>
      <c r="K13" s="3870" t="s">
        <v>5377</v>
      </c>
      <c r="L13" s="3868" t="s">
        <v>5378</v>
      </c>
      <c r="M13" s="3870" t="s">
        <v>5379</v>
      </c>
      <c r="N13" s="3868" t="s">
        <v>5380</v>
      </c>
      <c r="O13" s="3870" t="s">
        <v>5381</v>
      </c>
      <c r="P13" s="3868" t="s">
        <v>5382</v>
      </c>
      <c r="Q13" s="3870" t="s">
        <v>5383</v>
      </c>
      <c r="R13" s="3868" t="s">
        <v>5384</v>
      </c>
      <c r="S13" s="3870" t="s">
        <v>5385</v>
      </c>
      <c r="T13" s="3868" t="s">
        <v>5386</v>
      </c>
      <c r="U13" s="3870" t="s">
        <v>5387</v>
      </c>
      <c r="V13" s="3868" t="s">
        <v>5388</v>
      </c>
      <c r="W13" s="3870" t="s">
        <v>5389</v>
      </c>
      <c r="X13" s="3868" t="s">
        <v>5390</v>
      </c>
      <c r="Y13" s="3870" t="s">
        <v>5391</v>
      </c>
      <c r="Z13" s="3868" t="s">
        <v>5392</v>
      </c>
      <c r="AA13" s="3870" t="s">
        <v>5393</v>
      </c>
      <c r="AB13" s="3868" t="s">
        <v>5394</v>
      </c>
      <c r="AC13" s="3870" t="s">
        <v>5395</v>
      </c>
      <c r="AD13" s="3868" t="s">
        <v>5396</v>
      </c>
      <c r="AE13" s="3870" t="s">
        <v>5397</v>
      </c>
      <c r="AF13" s="3868" t="s">
        <v>5398</v>
      </c>
      <c r="AG13" s="3870" t="s">
        <v>5399</v>
      </c>
      <c r="AH13" s="3868" t="s">
        <v>5400</v>
      </c>
      <c r="AI13" s="3870" t="s">
        <v>5401</v>
      </c>
      <c r="AJ13" s="3868" t="s">
        <v>5402</v>
      </c>
      <c r="AK13" s="3870" t="s">
        <v>5403</v>
      </c>
      <c r="AL13" s="3868" t="s">
        <v>5404</v>
      </c>
      <c r="AM13" s="4989" t="s">
        <v>5405</v>
      </c>
      <c r="AN13" s="3870" t="s">
        <v>5406</v>
      </c>
      <c r="AO13" s="4990" t="s">
        <v>5407</v>
      </c>
      <c r="AP13" s="3869" t="s">
        <v>5408</v>
      </c>
      <c r="AQ13" s="3873" t="s">
        <v>5409</v>
      </c>
      <c r="AR13" s="3870" t="s">
        <v>5410</v>
      </c>
      <c r="AS13" s="3870" t="s">
        <v>5411</v>
      </c>
      <c r="AT13" s="3870" t="s">
        <v>5412</v>
      </c>
      <c r="AU13" s="4991" t="str">
        <f>CB13&amp;CC13&amp;CD13&amp;CE13</f>
        <v xml:space="preserve">* Total Ingresos debe ser igual a la suma de los Tipos de Estrategia.  * El Número de personas con discapacidad NO DEBE superar el total de ingresos.  * El Número de personas de pueblos originarios NO DEBE superar el total de ingresos.  * El Número de personas migrantes NO DEBE superar el total de ingresos. </v>
      </c>
      <c r="AV13" s="4992"/>
      <c r="AW13" s="4992"/>
      <c r="AX13" s="4992"/>
      <c r="AY13" s="4992"/>
      <c r="AZ13" s="4992"/>
      <c r="BA13" s="4992"/>
      <c r="BB13" s="4992"/>
      <c r="BC13" s="4992"/>
      <c r="BD13" s="4992"/>
      <c r="BE13" s="4992"/>
      <c r="BF13" s="4264"/>
      <c r="BG13" s="4264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4976"/>
      <c r="BW13" s="4976"/>
      <c r="BX13" s="4260"/>
      <c r="BY13" s="4260"/>
      <c r="BZ13" s="4264"/>
      <c r="CA13" s="4264"/>
      <c r="CB13" s="4993" t="str">
        <f t="shared" ref="CB13:CB18" si="0">IF(CH13=1,"* Total Ingresos debe ser igual a la suma de los Tipos de Estrategia. ","")</f>
        <v xml:space="preserve">* Total Ingresos debe ser igual a la suma de los Tipos de Estrategia. </v>
      </c>
      <c r="CC13" s="4993" t="str">
        <f t="shared" ref="CC13:CC18" si="1">IF(CI13=1," * El Número de personas con discapacidad NO DEBE superar el total de ingresos. ","")</f>
        <v xml:space="preserve"> * El Número de personas con discapacidad NO DEBE superar el total de ingresos. </v>
      </c>
      <c r="CD13" s="4993" t="str">
        <f t="shared" ref="CD13:CD18" si="2">IF(CJ13=1," * El Número de personas de pueblos originarios NO DEBE superar el total de ingresos. ","")</f>
        <v xml:space="preserve"> * El Número de personas de pueblos originarios NO DEBE superar el total de ingresos. </v>
      </c>
      <c r="CE13" s="4993" t="str">
        <f t="shared" ref="CE13:CE18" si="3">IF(CK13=1," * El Número de personas migrantes NO DEBE superar el total de ingresos. ","")</f>
        <v xml:space="preserve"> * El Número de personas migrantes NO DEBE superar el total de ingresos. </v>
      </c>
      <c r="CF13" s="4993"/>
      <c r="CG13" s="4993"/>
      <c r="CH13" s="4994">
        <f>IF(C13&lt;&gt;SUM(AN13:AQ13),1,0)</f>
        <v>1</v>
      </c>
      <c r="CI13" s="4994">
        <f>IF(C13&lt;AR13,1,0)</f>
        <v>1</v>
      </c>
      <c r="CJ13" s="4994">
        <f>IF(D13&lt;AS13,1,0)</f>
        <v>1</v>
      </c>
      <c r="CK13" s="4994">
        <f>IF(E13&lt;AT13,1,0)</f>
        <v>1</v>
      </c>
      <c r="CL13" s="4978"/>
      <c r="CM13" s="4978"/>
      <c r="CN13" s="4978"/>
      <c r="CO13" s="4978"/>
      <c r="CP13" s="4978"/>
      <c r="CQ13" s="4978"/>
      <c r="CR13" s="4978"/>
      <c r="CS13" s="4978"/>
      <c r="CT13" s="4978"/>
      <c r="CU13" s="4978"/>
      <c r="CV13" s="4264"/>
      <c r="CW13" s="4264"/>
      <c r="CX13" s="4264"/>
      <c r="CY13" s="4264"/>
      <c r="CZ13" s="4264"/>
      <c r="DA13" s="4264"/>
    </row>
    <row r="14" spans="1:105" ht="18" customHeight="1" x14ac:dyDescent="0.3">
      <c r="A14" s="7520">
        <v>28020550</v>
      </c>
      <c r="B14" s="4995" t="s">
        <v>149</v>
      </c>
      <c r="C14" s="4996" t="s">
        <v>5369</v>
      </c>
      <c r="D14" s="4997" t="s">
        <v>5370</v>
      </c>
      <c r="E14" s="4998" t="s">
        <v>5371</v>
      </c>
      <c r="F14" s="4999" t="s">
        <v>5372</v>
      </c>
      <c r="G14" s="4038" t="s">
        <v>5373</v>
      </c>
      <c r="H14" s="4999" t="s">
        <v>5374</v>
      </c>
      <c r="I14" s="4947" t="s">
        <v>5375</v>
      </c>
      <c r="J14" s="4999" t="s">
        <v>5376</v>
      </c>
      <c r="K14" s="4947" t="s">
        <v>5377</v>
      </c>
      <c r="L14" s="4999" t="s">
        <v>5378</v>
      </c>
      <c r="M14" s="4947" t="s">
        <v>5379</v>
      </c>
      <c r="N14" s="4999" t="s">
        <v>5380</v>
      </c>
      <c r="O14" s="4947" t="s">
        <v>5381</v>
      </c>
      <c r="P14" s="4999" t="s">
        <v>5382</v>
      </c>
      <c r="Q14" s="4947" t="s">
        <v>5383</v>
      </c>
      <c r="R14" s="4999" t="s">
        <v>5384</v>
      </c>
      <c r="S14" s="4947" t="s">
        <v>5385</v>
      </c>
      <c r="T14" s="4999" t="s">
        <v>5386</v>
      </c>
      <c r="U14" s="4947" t="s">
        <v>5387</v>
      </c>
      <c r="V14" s="4999" t="s">
        <v>5388</v>
      </c>
      <c r="W14" s="4947" t="s">
        <v>5389</v>
      </c>
      <c r="X14" s="4999" t="s">
        <v>5390</v>
      </c>
      <c r="Y14" s="4947" t="s">
        <v>5391</v>
      </c>
      <c r="Z14" s="4999" t="s">
        <v>5392</v>
      </c>
      <c r="AA14" s="4947" t="s">
        <v>5393</v>
      </c>
      <c r="AB14" s="4999" t="s">
        <v>5394</v>
      </c>
      <c r="AC14" s="4947" t="s">
        <v>5395</v>
      </c>
      <c r="AD14" s="4999" t="s">
        <v>5396</v>
      </c>
      <c r="AE14" s="4947" t="s">
        <v>5397</v>
      </c>
      <c r="AF14" s="4999" t="s">
        <v>5398</v>
      </c>
      <c r="AG14" s="4947" t="s">
        <v>5399</v>
      </c>
      <c r="AH14" s="4999" t="s">
        <v>5400</v>
      </c>
      <c r="AI14" s="4947" t="s">
        <v>5401</v>
      </c>
      <c r="AJ14" s="4999" t="s">
        <v>5402</v>
      </c>
      <c r="AK14" s="4947" t="s">
        <v>5403</v>
      </c>
      <c r="AL14" s="4999" t="s">
        <v>5404</v>
      </c>
      <c r="AM14" s="3907" t="s">
        <v>5405</v>
      </c>
      <c r="AN14" s="4947" t="s">
        <v>5406</v>
      </c>
      <c r="AO14" s="5000" t="s">
        <v>5407</v>
      </c>
      <c r="AP14" s="4427" t="s">
        <v>5408</v>
      </c>
      <c r="AQ14" s="4038" t="s">
        <v>5409</v>
      </c>
      <c r="AR14" s="4947" t="s">
        <v>5410</v>
      </c>
      <c r="AS14" s="4947" t="s">
        <v>5411</v>
      </c>
      <c r="AT14" s="4947" t="s">
        <v>5412</v>
      </c>
      <c r="AU14" s="4991" t="str">
        <f t="shared" ref="AU14:AU24" si="4">CB14&amp;CC14&amp;CD14&amp;CE14</f>
        <v xml:space="preserve">* Total Ingresos debe ser igual a la suma de los Tipos de Estrategia.  * El Número de personas con discapacidad NO DEBE superar el total de ingresos.  * El Número de personas de pueblos originarios NO DEBE superar el total de ingresos.  * El Número de personas migrantes NO DEBE superar el total de ingresos. </v>
      </c>
      <c r="AV14" s="4992"/>
      <c r="AW14" s="4992"/>
      <c r="AX14" s="4992"/>
      <c r="AY14" s="4992"/>
      <c r="AZ14" s="4992"/>
      <c r="BA14" s="4992"/>
      <c r="BB14" s="4992"/>
      <c r="BC14" s="4992"/>
      <c r="BD14" s="4992"/>
      <c r="BE14" s="4992"/>
      <c r="BF14" s="4264"/>
      <c r="BG14" s="426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4976"/>
      <c r="BW14" s="4976"/>
      <c r="BX14" s="4260"/>
      <c r="BY14" s="4260"/>
      <c r="BZ14" s="4264"/>
      <c r="CA14" s="4264"/>
      <c r="CB14" s="4993" t="str">
        <f t="shared" si="0"/>
        <v xml:space="preserve">* Total Ingresos debe ser igual a la suma de los Tipos de Estrategia. </v>
      </c>
      <c r="CC14" s="4993" t="str">
        <f t="shared" si="1"/>
        <v xml:space="preserve"> * El Número de personas con discapacidad NO DEBE superar el total de ingresos. </v>
      </c>
      <c r="CD14" s="4993" t="str">
        <f t="shared" si="2"/>
        <v xml:space="preserve"> * El Número de personas de pueblos originarios NO DEBE superar el total de ingresos. </v>
      </c>
      <c r="CE14" s="4993" t="str">
        <f t="shared" si="3"/>
        <v xml:space="preserve"> * El Número de personas migrantes NO DEBE superar el total de ingresos. </v>
      </c>
      <c r="CF14" s="4993"/>
      <c r="CG14" s="4993"/>
      <c r="CH14" s="4994">
        <f t="shared" ref="CH14:CH24" si="5">IF(C14&lt;&gt;SUM(AN14:AQ14),1,0)</f>
        <v>1</v>
      </c>
      <c r="CI14" s="4994">
        <f t="shared" ref="CI14:CI24" si="6">IF(C14&lt;AR14,1,0)</f>
        <v>1</v>
      </c>
      <c r="CJ14" s="4994">
        <f t="shared" ref="CJ14:CJ24" si="7">IF(D14&lt;AS14,1,0)</f>
        <v>1</v>
      </c>
      <c r="CK14" s="4994">
        <f t="shared" ref="CK14:CK24" si="8">IF(E14&lt;AT14,1,0)</f>
        <v>1</v>
      </c>
      <c r="CL14" s="4978"/>
      <c r="CM14" s="4978"/>
      <c r="CN14" s="4978"/>
      <c r="CO14" s="4978"/>
      <c r="CP14" s="4978"/>
      <c r="CQ14" s="4978"/>
      <c r="CR14" s="4978"/>
      <c r="CS14" s="4978"/>
      <c r="CT14" s="4978"/>
      <c r="CU14" s="4978"/>
      <c r="CV14" s="4264"/>
      <c r="CW14" s="4264"/>
      <c r="CX14" s="4264"/>
      <c r="CY14" s="4264"/>
      <c r="CZ14" s="4264"/>
      <c r="DA14" s="4264"/>
    </row>
    <row r="15" spans="1:105" ht="21.75" customHeight="1" x14ac:dyDescent="0.3">
      <c r="A15" s="7520">
        <v>28020560</v>
      </c>
      <c r="B15" s="4431" t="s">
        <v>150</v>
      </c>
      <c r="C15" s="5001" t="s">
        <v>5369</v>
      </c>
      <c r="D15" s="5002" t="s">
        <v>5370</v>
      </c>
      <c r="E15" s="5003" t="s">
        <v>5371</v>
      </c>
      <c r="F15" s="5004" t="s">
        <v>5372</v>
      </c>
      <c r="G15" s="5005" t="s">
        <v>5373</v>
      </c>
      <c r="H15" s="5004" t="s">
        <v>5374</v>
      </c>
      <c r="I15" s="5006" t="s">
        <v>5375</v>
      </c>
      <c r="J15" s="5004" t="s">
        <v>5376</v>
      </c>
      <c r="K15" s="5006" t="s">
        <v>5377</v>
      </c>
      <c r="L15" s="5004" t="s">
        <v>5378</v>
      </c>
      <c r="M15" s="5006" t="s">
        <v>5379</v>
      </c>
      <c r="N15" s="4999" t="s">
        <v>5380</v>
      </c>
      <c r="O15" s="4947" t="s">
        <v>5381</v>
      </c>
      <c r="P15" s="4999" t="s">
        <v>5382</v>
      </c>
      <c r="Q15" s="4947" t="s">
        <v>5383</v>
      </c>
      <c r="R15" s="4949" t="s">
        <v>5384</v>
      </c>
      <c r="S15" s="4137" t="s">
        <v>5385</v>
      </c>
      <c r="T15" s="4949" t="s">
        <v>5386</v>
      </c>
      <c r="U15" s="4137" t="s">
        <v>5387</v>
      </c>
      <c r="V15" s="4949" t="s">
        <v>5388</v>
      </c>
      <c r="W15" s="4137" t="s">
        <v>5389</v>
      </c>
      <c r="X15" s="4949" t="s">
        <v>5390</v>
      </c>
      <c r="Y15" s="4137" t="s">
        <v>5391</v>
      </c>
      <c r="Z15" s="4949" t="s">
        <v>5392</v>
      </c>
      <c r="AA15" s="4137" t="s">
        <v>5393</v>
      </c>
      <c r="AB15" s="4949" t="s">
        <v>5394</v>
      </c>
      <c r="AC15" s="4137" t="s">
        <v>5395</v>
      </c>
      <c r="AD15" s="4949" t="s">
        <v>5396</v>
      </c>
      <c r="AE15" s="4137" t="s">
        <v>5397</v>
      </c>
      <c r="AF15" s="4949" t="s">
        <v>5398</v>
      </c>
      <c r="AG15" s="4137" t="s">
        <v>5399</v>
      </c>
      <c r="AH15" s="4949" t="s">
        <v>5400</v>
      </c>
      <c r="AI15" s="4137" t="s">
        <v>5401</v>
      </c>
      <c r="AJ15" s="4949" t="s">
        <v>5402</v>
      </c>
      <c r="AK15" s="4137" t="s">
        <v>5403</v>
      </c>
      <c r="AL15" s="4949" t="s">
        <v>5404</v>
      </c>
      <c r="AM15" s="4950" t="s">
        <v>5405</v>
      </c>
      <c r="AN15" s="4137" t="s">
        <v>5406</v>
      </c>
      <c r="AO15" s="5007" t="s">
        <v>5407</v>
      </c>
      <c r="AP15" s="3831" t="s">
        <v>5408</v>
      </c>
      <c r="AQ15" s="4951" t="s">
        <v>5409</v>
      </c>
      <c r="AR15" s="4137" t="s">
        <v>5410</v>
      </c>
      <c r="AS15" s="4137" t="s">
        <v>5411</v>
      </c>
      <c r="AT15" s="4137" t="s">
        <v>5412</v>
      </c>
      <c r="AU15" s="4991" t="str">
        <f t="shared" si="4"/>
        <v xml:space="preserve">* Total Ingresos debe ser igual a la suma de los Tipos de Estrategia.  * El Número de personas con discapacidad NO DEBE superar el total de ingresos.  * El Número de personas de pueblos originarios NO DEBE superar el total de ingresos.  * El Número de personas migrantes NO DEBE superar el total de ingresos. </v>
      </c>
      <c r="AV15" s="4992"/>
      <c r="AW15" s="4992"/>
      <c r="AX15" s="4992"/>
      <c r="AY15" s="4992"/>
      <c r="AZ15" s="4992"/>
      <c r="BA15" s="4992"/>
      <c r="BB15" s="4992"/>
      <c r="BC15" s="4992"/>
      <c r="BD15" s="4992"/>
      <c r="BE15" s="4992"/>
      <c r="BF15" s="4264"/>
      <c r="BG15" s="4264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4976"/>
      <c r="BW15" s="4976"/>
      <c r="BX15" s="4260"/>
      <c r="BY15" s="4260"/>
      <c r="BZ15" s="4264"/>
      <c r="CA15" s="4264"/>
      <c r="CB15" s="4993" t="str">
        <f t="shared" si="0"/>
        <v xml:space="preserve">* Total Ingresos debe ser igual a la suma de los Tipos de Estrategia. </v>
      </c>
      <c r="CC15" s="4993" t="str">
        <f t="shared" si="1"/>
        <v xml:space="preserve"> * El Número de personas con discapacidad NO DEBE superar el total de ingresos. </v>
      </c>
      <c r="CD15" s="4993" t="str">
        <f t="shared" si="2"/>
        <v xml:space="preserve"> * El Número de personas de pueblos originarios NO DEBE superar el total de ingresos. </v>
      </c>
      <c r="CE15" s="4993" t="str">
        <f t="shared" si="3"/>
        <v xml:space="preserve"> * El Número de personas migrantes NO DEBE superar el total de ingresos. </v>
      </c>
      <c r="CF15" s="4993"/>
      <c r="CG15" s="4993"/>
      <c r="CH15" s="4994">
        <f t="shared" si="5"/>
        <v>1</v>
      </c>
      <c r="CI15" s="4994">
        <f t="shared" si="6"/>
        <v>1</v>
      </c>
      <c r="CJ15" s="4994">
        <f t="shared" si="7"/>
        <v>1</v>
      </c>
      <c r="CK15" s="4994">
        <f t="shared" si="8"/>
        <v>1</v>
      </c>
      <c r="CL15" s="4978"/>
      <c r="CM15" s="4978"/>
      <c r="CN15" s="4978"/>
      <c r="CO15" s="4978"/>
      <c r="CP15" s="4978"/>
      <c r="CQ15" s="4978"/>
      <c r="CR15" s="4978"/>
      <c r="CS15" s="4978"/>
      <c r="CT15" s="4978"/>
      <c r="CU15" s="4978"/>
      <c r="CV15" s="4264"/>
      <c r="CW15" s="4264"/>
      <c r="CX15" s="4264"/>
      <c r="CY15" s="4264"/>
      <c r="CZ15" s="4264"/>
      <c r="DA15" s="4264"/>
    </row>
    <row r="16" spans="1:105" ht="17.100000000000001" customHeight="1" x14ac:dyDescent="0.3">
      <c r="A16" s="7520">
        <v>28021621</v>
      </c>
      <c r="B16" s="5008" t="s">
        <v>151</v>
      </c>
      <c r="C16" s="5009" t="s">
        <v>5369</v>
      </c>
      <c r="D16" s="5010" t="s">
        <v>5370</v>
      </c>
      <c r="E16" s="5011" t="s">
        <v>5371</v>
      </c>
      <c r="F16" s="4949" t="s">
        <v>5372</v>
      </c>
      <c r="G16" s="4951" t="s">
        <v>5373</v>
      </c>
      <c r="H16" s="4949" t="s">
        <v>5374</v>
      </c>
      <c r="I16" s="4137" t="s">
        <v>5375</v>
      </c>
      <c r="J16" s="4949" t="s">
        <v>5376</v>
      </c>
      <c r="K16" s="4137" t="s">
        <v>5377</v>
      </c>
      <c r="L16" s="4949" t="s">
        <v>5378</v>
      </c>
      <c r="M16" s="4137" t="s">
        <v>5379</v>
      </c>
      <c r="N16" s="4949" t="s">
        <v>5380</v>
      </c>
      <c r="O16" s="4137" t="s">
        <v>5381</v>
      </c>
      <c r="P16" s="4949" t="s">
        <v>5382</v>
      </c>
      <c r="Q16" s="4137" t="s">
        <v>5383</v>
      </c>
      <c r="R16" s="4949" t="s">
        <v>5384</v>
      </c>
      <c r="S16" s="4137" t="s">
        <v>5385</v>
      </c>
      <c r="T16" s="4949" t="s">
        <v>5386</v>
      </c>
      <c r="U16" s="4137" t="s">
        <v>5387</v>
      </c>
      <c r="V16" s="4949" t="s">
        <v>5388</v>
      </c>
      <c r="W16" s="4137" t="s">
        <v>5389</v>
      </c>
      <c r="X16" s="4949" t="s">
        <v>5390</v>
      </c>
      <c r="Y16" s="4137" t="s">
        <v>5391</v>
      </c>
      <c r="Z16" s="4949" t="s">
        <v>5392</v>
      </c>
      <c r="AA16" s="4137" t="s">
        <v>5393</v>
      </c>
      <c r="AB16" s="4949" t="s">
        <v>5394</v>
      </c>
      <c r="AC16" s="4137" t="s">
        <v>5395</v>
      </c>
      <c r="AD16" s="4949" t="s">
        <v>5396</v>
      </c>
      <c r="AE16" s="4137" t="s">
        <v>5397</v>
      </c>
      <c r="AF16" s="4949" t="s">
        <v>5398</v>
      </c>
      <c r="AG16" s="4137" t="s">
        <v>5399</v>
      </c>
      <c r="AH16" s="4949" t="s">
        <v>5400</v>
      </c>
      <c r="AI16" s="4137" t="s">
        <v>5401</v>
      </c>
      <c r="AJ16" s="4949" t="s">
        <v>5402</v>
      </c>
      <c r="AK16" s="4137" t="s">
        <v>5403</v>
      </c>
      <c r="AL16" s="4949" t="s">
        <v>5404</v>
      </c>
      <c r="AM16" s="4950" t="s">
        <v>5405</v>
      </c>
      <c r="AN16" s="4137" t="s">
        <v>5406</v>
      </c>
      <c r="AO16" s="5007" t="s">
        <v>5407</v>
      </c>
      <c r="AP16" s="3831" t="s">
        <v>5408</v>
      </c>
      <c r="AQ16" s="4951" t="s">
        <v>5409</v>
      </c>
      <c r="AR16" s="4137" t="s">
        <v>5410</v>
      </c>
      <c r="AS16" s="4137" t="s">
        <v>5411</v>
      </c>
      <c r="AT16" s="4137" t="s">
        <v>5412</v>
      </c>
      <c r="AU16" s="4991" t="str">
        <f t="shared" si="4"/>
        <v xml:space="preserve">* Total Ingresos debe ser igual a la suma de los Tipos de Estrategia.  * El Número de personas con discapacidad NO DEBE superar el total de ingresos.  * El Número de personas de pueblos originarios NO DEBE superar el total de ingresos.  * El Número de personas migrantes NO DEBE superar el total de ingresos. </v>
      </c>
      <c r="AV16" s="4992"/>
      <c r="AW16" s="4992"/>
      <c r="AX16" s="4992"/>
      <c r="AY16" s="4992"/>
      <c r="AZ16" s="4992"/>
      <c r="BA16" s="4992"/>
      <c r="BB16" s="4992"/>
      <c r="BC16" s="4992"/>
      <c r="BD16" s="4992"/>
      <c r="BE16" s="4992"/>
      <c r="BF16" s="4264"/>
      <c r="BG16" s="4264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4976"/>
      <c r="BW16" s="4976"/>
      <c r="BX16" s="4260"/>
      <c r="BY16" s="4260"/>
      <c r="BZ16" s="4264"/>
      <c r="CA16" s="4264"/>
      <c r="CB16" s="4993" t="str">
        <f t="shared" si="0"/>
        <v xml:space="preserve">* Total Ingresos debe ser igual a la suma de los Tipos de Estrategia. </v>
      </c>
      <c r="CC16" s="4993" t="str">
        <f t="shared" si="1"/>
        <v xml:space="preserve"> * El Número de personas con discapacidad NO DEBE superar el total de ingresos. </v>
      </c>
      <c r="CD16" s="4993" t="str">
        <f t="shared" si="2"/>
        <v xml:space="preserve"> * El Número de personas de pueblos originarios NO DEBE superar el total de ingresos. </v>
      </c>
      <c r="CE16" s="4993" t="str">
        <f t="shared" si="3"/>
        <v xml:space="preserve"> * El Número de personas migrantes NO DEBE superar el total de ingresos. </v>
      </c>
      <c r="CF16" s="4993"/>
      <c r="CG16" s="4993"/>
      <c r="CH16" s="4994">
        <f t="shared" si="5"/>
        <v>1</v>
      </c>
      <c r="CI16" s="4994">
        <f t="shared" si="6"/>
        <v>1</v>
      </c>
      <c r="CJ16" s="4994">
        <f t="shared" si="7"/>
        <v>1</v>
      </c>
      <c r="CK16" s="4994">
        <f t="shared" si="8"/>
        <v>1</v>
      </c>
      <c r="CL16" s="4978"/>
      <c r="CM16" s="4978"/>
      <c r="CN16" s="4978"/>
      <c r="CO16" s="4978"/>
      <c r="CP16" s="4978"/>
      <c r="CQ16" s="4978"/>
      <c r="CR16" s="4978"/>
      <c r="CS16" s="4978"/>
      <c r="CT16" s="4978"/>
      <c r="CU16" s="4978"/>
      <c r="CV16" s="4264"/>
      <c r="CW16" s="4264"/>
      <c r="CX16" s="4264"/>
      <c r="CY16" s="4264"/>
      <c r="CZ16" s="4264"/>
      <c r="DA16" s="4264"/>
    </row>
    <row r="17" spans="1:105" ht="17.100000000000001" customHeight="1" x14ac:dyDescent="0.3">
      <c r="A17" s="7520">
        <v>28021631</v>
      </c>
      <c r="B17" s="4431" t="s">
        <v>3499</v>
      </c>
      <c r="C17" s="5012" t="s">
        <v>5369</v>
      </c>
      <c r="D17" s="5013" t="s">
        <v>5370</v>
      </c>
      <c r="E17" s="5011" t="s">
        <v>5371</v>
      </c>
      <c r="F17" s="5014" t="s">
        <v>5372</v>
      </c>
      <c r="G17" s="4137" t="s">
        <v>5373</v>
      </c>
      <c r="H17" s="4949" t="s">
        <v>5374</v>
      </c>
      <c r="I17" s="4137" t="s">
        <v>5375</v>
      </c>
      <c r="J17" s="4949" t="s">
        <v>5376</v>
      </c>
      <c r="K17" s="4137" t="s">
        <v>5377</v>
      </c>
      <c r="L17" s="4949" t="s">
        <v>5378</v>
      </c>
      <c r="M17" s="4137" t="s">
        <v>5379</v>
      </c>
      <c r="N17" s="4949" t="s">
        <v>5380</v>
      </c>
      <c r="O17" s="4137" t="s">
        <v>5381</v>
      </c>
      <c r="P17" s="4949" t="s">
        <v>5382</v>
      </c>
      <c r="Q17" s="4137" t="s">
        <v>5383</v>
      </c>
      <c r="R17" s="4949" t="s">
        <v>5384</v>
      </c>
      <c r="S17" s="4137" t="s">
        <v>5385</v>
      </c>
      <c r="T17" s="4949" t="s">
        <v>5386</v>
      </c>
      <c r="U17" s="4137" t="s">
        <v>5387</v>
      </c>
      <c r="V17" s="4949" t="s">
        <v>5388</v>
      </c>
      <c r="W17" s="4137" t="s">
        <v>5389</v>
      </c>
      <c r="X17" s="4949" t="s">
        <v>5390</v>
      </c>
      <c r="Y17" s="4137" t="s">
        <v>5391</v>
      </c>
      <c r="Z17" s="4949" t="s">
        <v>5392</v>
      </c>
      <c r="AA17" s="4137" t="s">
        <v>5393</v>
      </c>
      <c r="AB17" s="4949" t="s">
        <v>5394</v>
      </c>
      <c r="AC17" s="4137" t="s">
        <v>5395</v>
      </c>
      <c r="AD17" s="4949" t="s">
        <v>5396</v>
      </c>
      <c r="AE17" s="4137" t="s">
        <v>5397</v>
      </c>
      <c r="AF17" s="4949" t="s">
        <v>5398</v>
      </c>
      <c r="AG17" s="4137" t="s">
        <v>5399</v>
      </c>
      <c r="AH17" s="4949" t="s">
        <v>5400</v>
      </c>
      <c r="AI17" s="4137" t="s">
        <v>5401</v>
      </c>
      <c r="AJ17" s="4949" t="s">
        <v>5402</v>
      </c>
      <c r="AK17" s="4137" t="s">
        <v>5403</v>
      </c>
      <c r="AL17" s="4949" t="s">
        <v>5404</v>
      </c>
      <c r="AM17" s="4950" t="s">
        <v>5405</v>
      </c>
      <c r="AN17" s="5015" t="s">
        <v>5406</v>
      </c>
      <c r="AO17" s="5007" t="s">
        <v>5407</v>
      </c>
      <c r="AP17" s="3831" t="s">
        <v>5408</v>
      </c>
      <c r="AQ17" s="4951" t="s">
        <v>5409</v>
      </c>
      <c r="AR17" s="5015" t="s">
        <v>5410</v>
      </c>
      <c r="AS17" s="5015" t="s">
        <v>5411</v>
      </c>
      <c r="AT17" s="5015" t="s">
        <v>5412</v>
      </c>
      <c r="AU17" s="4991" t="str">
        <f t="shared" si="4"/>
        <v xml:space="preserve">* Total Ingresos debe ser igual a la suma de los Tipos de Estrategia.  * El Número de personas con discapacidad NO DEBE superar el total de ingresos.  * El Número de personas de pueblos originarios NO DEBE superar el total de ingresos.  * El Número de personas migrantes NO DEBE superar el total de ingresos. </v>
      </c>
      <c r="AV17" s="4992"/>
      <c r="AW17" s="4992"/>
      <c r="AX17" s="4992"/>
      <c r="AY17" s="4992"/>
      <c r="AZ17" s="4992"/>
      <c r="BA17" s="4992"/>
      <c r="BB17" s="4992"/>
      <c r="BC17" s="4992"/>
      <c r="BD17" s="4992"/>
      <c r="BE17" s="4992"/>
      <c r="BF17" s="4264"/>
      <c r="BG17" s="4264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 s="4976"/>
      <c r="BW17" s="4976"/>
      <c r="BX17" s="4260"/>
      <c r="BY17" s="4260"/>
      <c r="BZ17" s="4264"/>
      <c r="CA17" s="4264"/>
      <c r="CB17" s="4993" t="str">
        <f t="shared" si="0"/>
        <v xml:space="preserve">* Total Ingresos debe ser igual a la suma de los Tipos de Estrategia. </v>
      </c>
      <c r="CC17" s="4993" t="str">
        <f t="shared" si="1"/>
        <v xml:space="preserve"> * El Número de personas con discapacidad NO DEBE superar el total de ingresos. </v>
      </c>
      <c r="CD17" s="4993" t="str">
        <f t="shared" si="2"/>
        <v xml:space="preserve"> * El Número de personas de pueblos originarios NO DEBE superar el total de ingresos. </v>
      </c>
      <c r="CE17" s="4993" t="str">
        <f t="shared" si="3"/>
        <v xml:space="preserve"> * El Número de personas migrantes NO DEBE superar el total de ingresos. </v>
      </c>
      <c r="CF17" s="4993"/>
      <c r="CG17" s="4993"/>
      <c r="CH17" s="4994">
        <f t="shared" si="5"/>
        <v>1</v>
      </c>
      <c r="CI17" s="4994">
        <f t="shared" si="6"/>
        <v>1</v>
      </c>
      <c r="CJ17" s="4994">
        <f t="shared" si="7"/>
        <v>1</v>
      </c>
      <c r="CK17" s="4994">
        <f t="shared" si="8"/>
        <v>1</v>
      </c>
      <c r="CL17" s="4978"/>
      <c r="CM17" s="4978"/>
      <c r="CN17" s="4978"/>
      <c r="CO17" s="4978"/>
      <c r="CP17" s="4978"/>
      <c r="CQ17" s="4978"/>
      <c r="CR17" s="4978"/>
      <c r="CS17" s="4978"/>
      <c r="CT17" s="4978"/>
      <c r="CU17" s="4978"/>
      <c r="CV17" s="4264"/>
      <c r="CW17" s="4264"/>
      <c r="CX17" s="4264"/>
      <c r="CY17" s="4264"/>
      <c r="CZ17" s="4264"/>
      <c r="DA17" s="4264"/>
    </row>
    <row r="18" spans="1:105" ht="17.100000000000001" customHeight="1" x14ac:dyDescent="0.3">
      <c r="A18" s="7520">
        <v>28021632</v>
      </c>
      <c r="B18" s="4431" t="s">
        <v>140</v>
      </c>
      <c r="C18" s="5016" t="s">
        <v>5369</v>
      </c>
      <c r="D18" s="5017" t="s">
        <v>5370</v>
      </c>
      <c r="E18" s="5018" t="s">
        <v>5371</v>
      </c>
      <c r="F18" s="5019" t="s">
        <v>5372</v>
      </c>
      <c r="G18" s="5020" t="s">
        <v>5373</v>
      </c>
      <c r="H18" s="5021" t="s">
        <v>5374</v>
      </c>
      <c r="I18" s="5022" t="s">
        <v>5375</v>
      </c>
      <c r="J18" s="5021" t="s">
        <v>5376</v>
      </c>
      <c r="K18" s="5022" t="s">
        <v>5377</v>
      </c>
      <c r="L18" s="4949" t="s">
        <v>5378</v>
      </c>
      <c r="M18" s="4137" t="s">
        <v>5379</v>
      </c>
      <c r="N18" s="4949" t="s">
        <v>5380</v>
      </c>
      <c r="O18" s="4137" t="s">
        <v>5381</v>
      </c>
      <c r="P18" s="5023" t="s">
        <v>5382</v>
      </c>
      <c r="Q18" s="5024" t="s">
        <v>5383</v>
      </c>
      <c r="R18" s="5023" t="s">
        <v>5384</v>
      </c>
      <c r="S18" s="5024" t="s">
        <v>5385</v>
      </c>
      <c r="T18" s="5023" t="s">
        <v>5386</v>
      </c>
      <c r="U18" s="5024" t="s">
        <v>5387</v>
      </c>
      <c r="V18" s="5023" t="s">
        <v>5388</v>
      </c>
      <c r="W18" s="5024" t="s">
        <v>5389</v>
      </c>
      <c r="X18" s="5023" t="s">
        <v>5390</v>
      </c>
      <c r="Y18" s="5024" t="s">
        <v>5391</v>
      </c>
      <c r="Z18" s="5023" t="s">
        <v>5392</v>
      </c>
      <c r="AA18" s="5024" t="s">
        <v>5393</v>
      </c>
      <c r="AB18" s="5023" t="s">
        <v>5394</v>
      </c>
      <c r="AC18" s="5024" t="s">
        <v>5395</v>
      </c>
      <c r="AD18" s="5023" t="s">
        <v>5396</v>
      </c>
      <c r="AE18" s="5024" t="s">
        <v>5397</v>
      </c>
      <c r="AF18" s="5023" t="s">
        <v>5398</v>
      </c>
      <c r="AG18" s="5024" t="s">
        <v>5399</v>
      </c>
      <c r="AH18" s="5023" t="s">
        <v>5400</v>
      </c>
      <c r="AI18" s="5024" t="s">
        <v>5401</v>
      </c>
      <c r="AJ18" s="5023" t="s">
        <v>5402</v>
      </c>
      <c r="AK18" s="5024" t="s">
        <v>5403</v>
      </c>
      <c r="AL18" s="5023" t="s">
        <v>5404</v>
      </c>
      <c r="AM18" s="4442" t="s">
        <v>5405</v>
      </c>
      <c r="AN18" s="5025" t="s">
        <v>5406</v>
      </c>
      <c r="AO18" s="5026" t="s">
        <v>5407</v>
      </c>
      <c r="AP18" s="4441" t="s">
        <v>5408</v>
      </c>
      <c r="AQ18" s="5027" t="s">
        <v>5409</v>
      </c>
      <c r="AR18" s="5025" t="s">
        <v>5410</v>
      </c>
      <c r="AS18" s="5025" t="s">
        <v>5411</v>
      </c>
      <c r="AT18" s="5025" t="s">
        <v>5412</v>
      </c>
      <c r="AU18" s="4991" t="str">
        <f t="shared" si="4"/>
        <v xml:space="preserve">* Total Ingresos debe ser igual a la suma de los Tipos de Estrategia.  * El Número de personas con discapacidad NO DEBE superar el total de ingresos.  * El Número de personas de pueblos originarios NO DEBE superar el total de ingresos.  * El Número de personas migrantes NO DEBE superar el total de ingresos. </v>
      </c>
      <c r="AV18" s="4992"/>
      <c r="AW18" s="4992"/>
      <c r="AX18" s="4992"/>
      <c r="AY18" s="4992"/>
      <c r="AZ18" s="4992"/>
      <c r="BA18" s="4992"/>
      <c r="BB18" s="4992"/>
      <c r="BC18" s="4992"/>
      <c r="BD18" s="4992"/>
      <c r="BE18" s="4992"/>
      <c r="BF18" s="4264"/>
      <c r="BG18" s="4264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 s="4976"/>
      <c r="BW18" s="4976"/>
      <c r="BX18" s="4260"/>
      <c r="BY18" s="4260"/>
      <c r="BZ18" s="4264"/>
      <c r="CA18" s="4264"/>
      <c r="CB18" s="4993" t="str">
        <f t="shared" si="0"/>
        <v xml:space="preserve">* Total Ingresos debe ser igual a la suma de los Tipos de Estrategia. </v>
      </c>
      <c r="CC18" s="4993" t="str">
        <f t="shared" si="1"/>
        <v xml:space="preserve"> * El Número de personas con discapacidad NO DEBE superar el total de ingresos. </v>
      </c>
      <c r="CD18" s="4993" t="str">
        <f t="shared" si="2"/>
        <v xml:space="preserve"> * El Número de personas de pueblos originarios NO DEBE superar el total de ingresos. </v>
      </c>
      <c r="CE18" s="4993" t="str">
        <f t="shared" si="3"/>
        <v xml:space="preserve"> * El Número de personas migrantes NO DEBE superar el total de ingresos. </v>
      </c>
      <c r="CF18" s="4993"/>
      <c r="CG18" s="4993"/>
      <c r="CH18" s="4994">
        <f t="shared" si="5"/>
        <v>1</v>
      </c>
      <c r="CI18" s="4994">
        <f t="shared" si="6"/>
        <v>1</v>
      </c>
      <c r="CJ18" s="4994">
        <f t="shared" si="7"/>
        <v>1</v>
      </c>
      <c r="CK18" s="4994">
        <f t="shared" si="8"/>
        <v>1</v>
      </c>
      <c r="CL18" s="4978"/>
      <c r="CM18" s="4978"/>
      <c r="CN18" s="4978"/>
      <c r="CO18" s="4978"/>
      <c r="CP18" s="4978"/>
      <c r="CQ18" s="4978"/>
      <c r="CR18" s="4978"/>
      <c r="CS18" s="4978"/>
      <c r="CT18" s="4978"/>
      <c r="CU18" s="4978"/>
      <c r="CV18" s="4264"/>
      <c r="CW18" s="4264"/>
      <c r="CX18" s="4264"/>
      <c r="CY18" s="4264"/>
      <c r="CZ18" s="4264"/>
      <c r="DA18" s="4264"/>
    </row>
    <row r="19" spans="1:105" ht="17.100000000000001" customHeight="1" x14ac:dyDescent="0.3">
      <c r="B19" s="4985" t="s">
        <v>73</v>
      </c>
      <c r="C19" s="5016">
        <f t="shared" ref="C19" si="9">SUM(D19:E19)</f>
        <v>0</v>
      </c>
      <c r="D19" s="5028">
        <f t="shared" ref="D19" si="10">SUM(F19,H19,J19,L19,N19,P19,R19,T19,V19,X19,Z19,AB19,AD19,AF19,AH19,AJ19,AL19)</f>
        <v>0</v>
      </c>
      <c r="E19" s="4988">
        <f t="shared" ref="E19" si="11">SUM(G19,I19,K19,M19,O19,Q19,S19,U19,W19,Y19,AA19,AC19,AE19,AG19,AI19,AK19,AM19)</f>
        <v>0</v>
      </c>
      <c r="F19" s="4986">
        <f>SUM(F20:F24)</f>
        <v>0</v>
      </c>
      <c r="G19" s="4988">
        <f t="shared" ref="G19:AT19" si="12">SUM(G20:G24)</f>
        <v>0</v>
      </c>
      <c r="H19" s="4986">
        <f t="shared" si="12"/>
        <v>0</v>
      </c>
      <c r="I19" s="5029">
        <f t="shared" si="12"/>
        <v>0</v>
      </c>
      <c r="J19" s="4986">
        <f t="shared" si="12"/>
        <v>0</v>
      </c>
      <c r="K19" s="5029">
        <f t="shared" si="12"/>
        <v>0</v>
      </c>
      <c r="L19" s="4986">
        <f t="shared" si="12"/>
        <v>0</v>
      </c>
      <c r="M19" s="5029">
        <f t="shared" si="12"/>
        <v>0</v>
      </c>
      <c r="N19" s="4986">
        <f t="shared" si="12"/>
        <v>0</v>
      </c>
      <c r="O19" s="5029">
        <f t="shared" si="12"/>
        <v>0</v>
      </c>
      <c r="P19" s="4986">
        <f t="shared" si="12"/>
        <v>0</v>
      </c>
      <c r="Q19" s="5029">
        <f t="shared" si="12"/>
        <v>0</v>
      </c>
      <c r="R19" s="4986">
        <f t="shared" si="12"/>
        <v>0</v>
      </c>
      <c r="S19" s="5029">
        <f t="shared" si="12"/>
        <v>0</v>
      </c>
      <c r="T19" s="4986">
        <f t="shared" si="12"/>
        <v>0</v>
      </c>
      <c r="U19" s="5029">
        <f t="shared" si="12"/>
        <v>0</v>
      </c>
      <c r="V19" s="4986">
        <f t="shared" si="12"/>
        <v>0</v>
      </c>
      <c r="W19" s="5029">
        <f t="shared" si="12"/>
        <v>0</v>
      </c>
      <c r="X19" s="4986">
        <f t="shared" si="12"/>
        <v>0</v>
      </c>
      <c r="Y19" s="5029">
        <f t="shared" si="12"/>
        <v>0</v>
      </c>
      <c r="Z19" s="4986">
        <f t="shared" si="12"/>
        <v>0</v>
      </c>
      <c r="AA19" s="5029">
        <f t="shared" si="12"/>
        <v>0</v>
      </c>
      <c r="AB19" s="4986">
        <f t="shared" si="12"/>
        <v>0</v>
      </c>
      <c r="AC19" s="5029">
        <f t="shared" si="12"/>
        <v>0</v>
      </c>
      <c r="AD19" s="4986">
        <f t="shared" si="12"/>
        <v>0</v>
      </c>
      <c r="AE19" s="5029">
        <f t="shared" si="12"/>
        <v>0</v>
      </c>
      <c r="AF19" s="4986">
        <f t="shared" si="12"/>
        <v>0</v>
      </c>
      <c r="AG19" s="5029">
        <f t="shared" si="12"/>
        <v>0</v>
      </c>
      <c r="AH19" s="4986">
        <f t="shared" si="12"/>
        <v>0</v>
      </c>
      <c r="AI19" s="5029">
        <f t="shared" si="12"/>
        <v>0</v>
      </c>
      <c r="AJ19" s="4986">
        <f t="shared" si="12"/>
        <v>0</v>
      </c>
      <c r="AK19" s="5029">
        <f t="shared" si="12"/>
        <v>0</v>
      </c>
      <c r="AL19" s="4986">
        <f t="shared" si="12"/>
        <v>0</v>
      </c>
      <c r="AM19" s="5030">
        <f t="shared" si="12"/>
        <v>0</v>
      </c>
      <c r="AN19" s="5029">
        <f t="shared" si="12"/>
        <v>0</v>
      </c>
      <c r="AO19" s="5031">
        <f t="shared" si="12"/>
        <v>0</v>
      </c>
      <c r="AP19" s="4987">
        <f t="shared" si="12"/>
        <v>0</v>
      </c>
      <c r="AQ19" s="4988">
        <f t="shared" si="12"/>
        <v>0</v>
      </c>
      <c r="AR19" s="5029">
        <f t="shared" si="12"/>
        <v>0</v>
      </c>
      <c r="AS19" s="5029">
        <f t="shared" si="12"/>
        <v>0</v>
      </c>
      <c r="AT19" s="5029">
        <f t="shared" si="12"/>
        <v>0</v>
      </c>
      <c r="AU19" s="4991"/>
      <c r="AV19" s="4264"/>
      <c r="AW19" s="4264"/>
      <c r="AX19" s="4264"/>
      <c r="AY19" s="4264"/>
      <c r="AZ19" s="4264"/>
      <c r="BA19" s="4264"/>
      <c r="BB19" s="4264"/>
      <c r="BC19" s="4264"/>
      <c r="BD19" s="4264"/>
      <c r="BE19" s="4264"/>
      <c r="BF19" s="4264"/>
      <c r="BG19" s="4264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 s="4976"/>
      <c r="BW19" s="4976"/>
      <c r="BX19" s="4260"/>
      <c r="BY19" s="4260"/>
      <c r="BZ19" s="4264"/>
      <c r="CA19" s="4264"/>
      <c r="CB19" s="4993"/>
      <c r="CC19" s="4993"/>
      <c r="CD19" s="4993"/>
      <c r="CE19" s="4993"/>
      <c r="CF19" s="4993"/>
      <c r="CG19" s="4993"/>
      <c r="CH19" s="4994"/>
      <c r="CI19" s="4994"/>
      <c r="CJ19" s="4994"/>
      <c r="CK19" s="4994"/>
      <c r="CL19" s="4978"/>
      <c r="CM19" s="4978"/>
      <c r="CN19" s="4978"/>
      <c r="CO19" s="4978"/>
      <c r="CP19" s="4978"/>
      <c r="CQ19" s="4978"/>
      <c r="CR19" s="4978"/>
      <c r="CS19" s="4978"/>
      <c r="CT19" s="4978"/>
      <c r="CU19" s="4978"/>
      <c r="CV19" s="4264"/>
      <c r="CW19" s="4264"/>
      <c r="CX19" s="4264"/>
      <c r="CY19" s="4264"/>
      <c r="CZ19" s="4264"/>
      <c r="DA19" s="4264"/>
    </row>
    <row r="20" spans="1:105" ht="17.100000000000001" customHeight="1" x14ac:dyDescent="0.3">
      <c r="A20" s="7520">
        <v>28020570</v>
      </c>
      <c r="B20" s="4336" t="s">
        <v>152</v>
      </c>
      <c r="C20" s="5012" t="s">
        <v>5369</v>
      </c>
      <c r="D20" s="5010" t="s">
        <v>5370</v>
      </c>
      <c r="E20" s="5032" t="s">
        <v>5371</v>
      </c>
      <c r="F20" s="5033" t="s">
        <v>5372</v>
      </c>
      <c r="G20" s="5034" t="s">
        <v>5373</v>
      </c>
      <c r="H20" s="5033" t="s">
        <v>5374</v>
      </c>
      <c r="I20" s="5035" t="s">
        <v>5375</v>
      </c>
      <c r="J20" s="5033" t="s">
        <v>5376</v>
      </c>
      <c r="K20" s="5035" t="s">
        <v>5377</v>
      </c>
      <c r="L20" s="5033" t="s">
        <v>5378</v>
      </c>
      <c r="M20" s="5035" t="s">
        <v>5379</v>
      </c>
      <c r="N20" s="5033" t="s">
        <v>5380</v>
      </c>
      <c r="O20" s="5035" t="s">
        <v>5381</v>
      </c>
      <c r="P20" s="5033" t="s">
        <v>5382</v>
      </c>
      <c r="Q20" s="5035" t="s">
        <v>5383</v>
      </c>
      <c r="R20" s="5033" t="s">
        <v>5384</v>
      </c>
      <c r="S20" s="5035" t="s">
        <v>5385</v>
      </c>
      <c r="T20" s="5033" t="s">
        <v>5386</v>
      </c>
      <c r="U20" s="5035" t="s">
        <v>5387</v>
      </c>
      <c r="V20" s="5033" t="s">
        <v>5388</v>
      </c>
      <c r="W20" s="5035" t="s">
        <v>5389</v>
      </c>
      <c r="X20" s="5033" t="s">
        <v>5390</v>
      </c>
      <c r="Y20" s="5035" t="s">
        <v>5391</v>
      </c>
      <c r="Z20" s="5033" t="s">
        <v>5392</v>
      </c>
      <c r="AA20" s="5035" t="s">
        <v>5393</v>
      </c>
      <c r="AB20" s="5033" t="s">
        <v>5394</v>
      </c>
      <c r="AC20" s="5035" t="s">
        <v>5395</v>
      </c>
      <c r="AD20" s="5033" t="s">
        <v>5396</v>
      </c>
      <c r="AE20" s="5035" t="s">
        <v>5397</v>
      </c>
      <c r="AF20" s="5033" t="s">
        <v>5398</v>
      </c>
      <c r="AG20" s="5035" t="s">
        <v>5399</v>
      </c>
      <c r="AH20" s="5033" t="s">
        <v>5400</v>
      </c>
      <c r="AI20" s="5035" t="s">
        <v>5401</v>
      </c>
      <c r="AJ20" s="5033" t="s">
        <v>5402</v>
      </c>
      <c r="AK20" s="5035" t="s">
        <v>5403</v>
      </c>
      <c r="AL20" s="5033" t="s">
        <v>5404</v>
      </c>
      <c r="AM20" s="5036" t="s">
        <v>5405</v>
      </c>
      <c r="AN20" s="5037" t="s">
        <v>5406</v>
      </c>
      <c r="AO20" s="5038" t="s">
        <v>5407</v>
      </c>
      <c r="AP20" s="5039" t="s">
        <v>5408</v>
      </c>
      <c r="AQ20" s="5034" t="s">
        <v>5409</v>
      </c>
      <c r="AR20" s="5037" t="s">
        <v>5410</v>
      </c>
      <c r="AS20" s="5037" t="s">
        <v>5411</v>
      </c>
      <c r="AT20" s="5037" t="s">
        <v>5412</v>
      </c>
      <c r="AU20" s="4991" t="str">
        <f t="shared" si="4"/>
        <v xml:space="preserve">* Total Egresos debe ser igual a la suma de los Tipos de Estrategia.  * El Número de personas con discapacidad NO DEBE superar el total de egresos.  * El Número de personas de pueblos originarios NO DEBE superar el total de egresos.  * El Número de personas migrantes NO DEBE superar el total de egresos. </v>
      </c>
      <c r="AV20" s="4992"/>
      <c r="AW20" s="4992"/>
      <c r="AX20" s="4992"/>
      <c r="AY20" s="4992"/>
      <c r="AZ20" s="4992"/>
      <c r="BA20" s="4992"/>
      <c r="BB20" s="4992"/>
      <c r="BC20" s="4992"/>
      <c r="BD20" s="4992"/>
      <c r="BE20" s="4992"/>
      <c r="BF20" s="4264"/>
      <c r="BG20" s="4264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 s="4976"/>
      <c r="BW20" s="4976"/>
      <c r="BX20" s="4260"/>
      <c r="BY20" s="4260"/>
      <c r="BZ20" s="4264"/>
      <c r="CA20" s="4264"/>
      <c r="CB20" s="4993" t="str">
        <f>IF(CH20=1,"* Total Egresos debe ser igual a la suma de los Tipos de Estrategia. ","")</f>
        <v xml:space="preserve">* Total Egresos debe ser igual a la suma de los Tipos de Estrategia. </v>
      </c>
      <c r="CC20" s="4993" t="str">
        <f>IF(CI20=1," * El Número de personas con discapacidad NO DEBE superar el total de egresos. ","")</f>
        <v xml:space="preserve"> * El Número de personas con discapacidad NO DEBE superar el total de egresos. </v>
      </c>
      <c r="CD20" s="4993" t="str">
        <f>IF(CJ20=1," * El Número de personas de pueblos originarios NO DEBE superar el total de egresos. ","")</f>
        <v xml:space="preserve"> * El Número de personas de pueblos originarios NO DEBE superar el total de egresos. </v>
      </c>
      <c r="CE20" s="4993" t="str">
        <f>IF(CK20=1," * El Número de personas migrantes NO DEBE superar el total de egresos. ","")</f>
        <v xml:space="preserve"> * El Número de personas migrantes NO DEBE superar el total de egresos. </v>
      </c>
      <c r="CF20" s="4993"/>
      <c r="CG20" s="4993"/>
      <c r="CH20" s="4994">
        <f t="shared" si="5"/>
        <v>1</v>
      </c>
      <c r="CI20" s="4994">
        <f t="shared" si="6"/>
        <v>1</v>
      </c>
      <c r="CJ20" s="4994">
        <f t="shared" si="7"/>
        <v>1</v>
      </c>
      <c r="CK20" s="4994">
        <f t="shared" si="8"/>
        <v>1</v>
      </c>
      <c r="CL20" s="4978"/>
      <c r="CM20" s="4978"/>
      <c r="CN20" s="4978"/>
      <c r="CO20" s="4978"/>
      <c r="CP20" s="4978"/>
      <c r="CQ20" s="4978"/>
      <c r="CR20" s="4978"/>
      <c r="CS20" s="4978"/>
      <c r="CT20" s="4978"/>
      <c r="CU20" s="4978"/>
      <c r="CV20" s="4264"/>
      <c r="CW20" s="4264"/>
      <c r="CX20" s="4264"/>
      <c r="CY20" s="4264"/>
      <c r="CZ20" s="4264"/>
      <c r="DA20" s="4264"/>
    </row>
    <row r="21" spans="1:105" ht="17.100000000000001" customHeight="1" x14ac:dyDescent="0.3">
      <c r="A21" s="7520">
        <v>28020580</v>
      </c>
      <c r="B21" s="4431" t="s">
        <v>153</v>
      </c>
      <c r="C21" s="5009" t="s">
        <v>5369</v>
      </c>
      <c r="D21" s="5013" t="s">
        <v>5370</v>
      </c>
      <c r="E21" s="5003" t="s">
        <v>5371</v>
      </c>
      <c r="F21" s="4949" t="s">
        <v>5372</v>
      </c>
      <c r="G21" s="4951" t="s">
        <v>5373</v>
      </c>
      <c r="H21" s="4949" t="s">
        <v>5374</v>
      </c>
      <c r="I21" s="4137" t="s">
        <v>5375</v>
      </c>
      <c r="J21" s="4949" t="s">
        <v>5376</v>
      </c>
      <c r="K21" s="4137" t="s">
        <v>5377</v>
      </c>
      <c r="L21" s="4949" t="s">
        <v>5378</v>
      </c>
      <c r="M21" s="4137" t="s">
        <v>5379</v>
      </c>
      <c r="N21" s="4949" t="s">
        <v>5380</v>
      </c>
      <c r="O21" s="4137" t="s">
        <v>5381</v>
      </c>
      <c r="P21" s="4949" t="s">
        <v>5382</v>
      </c>
      <c r="Q21" s="4137" t="s">
        <v>5383</v>
      </c>
      <c r="R21" s="4949" t="s">
        <v>5384</v>
      </c>
      <c r="S21" s="4137" t="s">
        <v>5385</v>
      </c>
      <c r="T21" s="4949" t="s">
        <v>5386</v>
      </c>
      <c r="U21" s="4137" t="s">
        <v>5387</v>
      </c>
      <c r="V21" s="4949" t="s">
        <v>5388</v>
      </c>
      <c r="W21" s="4137" t="s">
        <v>5389</v>
      </c>
      <c r="X21" s="4949" t="s">
        <v>5390</v>
      </c>
      <c r="Y21" s="4137" t="s">
        <v>5391</v>
      </c>
      <c r="Z21" s="4949" t="s">
        <v>5392</v>
      </c>
      <c r="AA21" s="4137" t="s">
        <v>5393</v>
      </c>
      <c r="AB21" s="4949" t="s">
        <v>5394</v>
      </c>
      <c r="AC21" s="4137" t="s">
        <v>5395</v>
      </c>
      <c r="AD21" s="4949" t="s">
        <v>5396</v>
      </c>
      <c r="AE21" s="4137" t="s">
        <v>5397</v>
      </c>
      <c r="AF21" s="4949" t="s">
        <v>5398</v>
      </c>
      <c r="AG21" s="4137" t="s">
        <v>5399</v>
      </c>
      <c r="AH21" s="4949" t="s">
        <v>5400</v>
      </c>
      <c r="AI21" s="4137" t="s">
        <v>5401</v>
      </c>
      <c r="AJ21" s="4949" t="s">
        <v>5402</v>
      </c>
      <c r="AK21" s="4137" t="s">
        <v>5403</v>
      </c>
      <c r="AL21" s="4949" t="s">
        <v>5404</v>
      </c>
      <c r="AM21" s="4950" t="s">
        <v>5405</v>
      </c>
      <c r="AN21" s="4942" t="s">
        <v>5406</v>
      </c>
      <c r="AO21" s="5007" t="s">
        <v>5407</v>
      </c>
      <c r="AP21" s="3831" t="s">
        <v>5408</v>
      </c>
      <c r="AQ21" s="4951" t="s">
        <v>5409</v>
      </c>
      <c r="AR21" s="4942" t="s">
        <v>5410</v>
      </c>
      <c r="AS21" s="4942" t="s">
        <v>5411</v>
      </c>
      <c r="AT21" s="4942" t="s">
        <v>5412</v>
      </c>
      <c r="AU21" s="4991" t="str">
        <f t="shared" si="4"/>
        <v xml:space="preserve">* Total Egresos debe ser igual a la suma de los Tipos de Estrategia.  * El Número de personas con discapacidad NO DEBE superar el total de egresos.  * El Número de personas de pueblos originarios NO DEBE superar el total de egresos.  * El Número de personas migrantes NO DEBE superar el total de egresos. </v>
      </c>
      <c r="AV21" s="4992"/>
      <c r="AW21" s="4992"/>
      <c r="AX21" s="4992"/>
      <c r="AY21" s="4992"/>
      <c r="AZ21" s="4992"/>
      <c r="BA21" s="4992"/>
      <c r="BB21" s="4992"/>
      <c r="BC21" s="4992"/>
      <c r="BD21" s="4992"/>
      <c r="BE21" s="4992"/>
      <c r="BF21" s="4264"/>
      <c r="BG21" s="4264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 s="4976"/>
      <c r="BW21" s="4976"/>
      <c r="BX21" s="4260"/>
      <c r="BY21" s="4260"/>
      <c r="BZ21" s="4264"/>
      <c r="CA21" s="4264"/>
      <c r="CB21" s="4993" t="str">
        <f>IF(CH21=1,"* Total Egresos debe ser igual a la suma de los Tipos de Estrategia. ","")</f>
        <v xml:space="preserve">* Total Egresos debe ser igual a la suma de los Tipos de Estrategia. </v>
      </c>
      <c r="CC21" s="4993" t="str">
        <f>IF(CI21=1," * El Número de personas con discapacidad NO DEBE superar el total de egresos. ","")</f>
        <v xml:space="preserve"> * El Número de personas con discapacidad NO DEBE superar el total de egresos. </v>
      </c>
      <c r="CD21" s="4993" t="str">
        <f>IF(CJ21=1," * El Número de personas de pueblos originarios NO DEBE superar el total de egresos. ","")</f>
        <v xml:space="preserve"> * El Número de personas de pueblos originarios NO DEBE superar el total de egresos. </v>
      </c>
      <c r="CE21" s="4993" t="str">
        <f>IF(CK21=1," * El Número de personas migrantes NO DEBE superar el total de egresos. ","")</f>
        <v xml:space="preserve"> * El Número de personas migrantes NO DEBE superar el total de egresos. </v>
      </c>
      <c r="CF21" s="4993"/>
      <c r="CG21" s="4993"/>
      <c r="CH21" s="4994">
        <f t="shared" si="5"/>
        <v>1</v>
      </c>
      <c r="CI21" s="4994">
        <f t="shared" si="6"/>
        <v>1</v>
      </c>
      <c r="CJ21" s="4994">
        <f t="shared" si="7"/>
        <v>1</v>
      </c>
      <c r="CK21" s="4994">
        <f t="shared" si="8"/>
        <v>1</v>
      </c>
      <c r="CL21" s="4978"/>
      <c r="CM21" s="4978"/>
      <c r="CN21" s="4978"/>
      <c r="CO21" s="4978"/>
      <c r="CP21" s="4978"/>
      <c r="CQ21" s="4978"/>
      <c r="CR21" s="4978"/>
      <c r="CS21" s="4978"/>
      <c r="CT21" s="4978"/>
      <c r="CU21" s="4978"/>
      <c r="CV21" s="4264"/>
      <c r="CW21" s="4264"/>
      <c r="CX21" s="4264"/>
      <c r="CY21" s="4264"/>
      <c r="CZ21" s="4264"/>
      <c r="DA21" s="4264"/>
    </row>
    <row r="22" spans="1:105" ht="17.100000000000001" customHeight="1" x14ac:dyDescent="0.3">
      <c r="A22" s="7665">
        <v>28020590</v>
      </c>
      <c r="B22" s="5040" t="s">
        <v>154</v>
      </c>
      <c r="C22" s="5041" t="s">
        <v>5369</v>
      </c>
      <c r="D22" s="5042" t="s">
        <v>5370</v>
      </c>
      <c r="E22" s="5043" t="s">
        <v>5371</v>
      </c>
      <c r="F22" s="5014" t="s">
        <v>5372</v>
      </c>
      <c r="G22" s="5044" t="s">
        <v>5373</v>
      </c>
      <c r="H22" s="5014" t="s">
        <v>5374</v>
      </c>
      <c r="I22" s="5045" t="s">
        <v>5375</v>
      </c>
      <c r="J22" s="5014" t="s">
        <v>5376</v>
      </c>
      <c r="K22" s="5045" t="s">
        <v>5377</v>
      </c>
      <c r="L22" s="5014" t="s">
        <v>5378</v>
      </c>
      <c r="M22" s="5045" t="s">
        <v>5379</v>
      </c>
      <c r="N22" s="5014" t="s">
        <v>5380</v>
      </c>
      <c r="O22" s="5045" t="s">
        <v>5381</v>
      </c>
      <c r="P22" s="5014" t="s">
        <v>5382</v>
      </c>
      <c r="Q22" s="5045" t="s">
        <v>5383</v>
      </c>
      <c r="R22" s="5014" t="s">
        <v>5384</v>
      </c>
      <c r="S22" s="5045" t="s">
        <v>5385</v>
      </c>
      <c r="T22" s="5014" t="s">
        <v>5386</v>
      </c>
      <c r="U22" s="5045" t="s">
        <v>5387</v>
      </c>
      <c r="V22" s="5014" t="s">
        <v>5388</v>
      </c>
      <c r="W22" s="5045" t="s">
        <v>5389</v>
      </c>
      <c r="X22" s="5014" t="s">
        <v>5390</v>
      </c>
      <c r="Y22" s="5045" t="s">
        <v>5391</v>
      </c>
      <c r="Z22" s="5014" t="s">
        <v>5392</v>
      </c>
      <c r="AA22" s="5045" t="s">
        <v>5393</v>
      </c>
      <c r="AB22" s="5014" t="s">
        <v>5394</v>
      </c>
      <c r="AC22" s="5045" t="s">
        <v>5395</v>
      </c>
      <c r="AD22" s="5014" t="s">
        <v>5396</v>
      </c>
      <c r="AE22" s="5045" t="s">
        <v>5397</v>
      </c>
      <c r="AF22" s="5014" t="s">
        <v>5398</v>
      </c>
      <c r="AG22" s="5045" t="s">
        <v>5399</v>
      </c>
      <c r="AH22" s="5014" t="s">
        <v>5400</v>
      </c>
      <c r="AI22" s="5045" t="s">
        <v>5401</v>
      </c>
      <c r="AJ22" s="5014" t="s">
        <v>5402</v>
      </c>
      <c r="AK22" s="5045" t="s">
        <v>5403</v>
      </c>
      <c r="AL22" s="5014" t="s">
        <v>5404</v>
      </c>
      <c r="AM22" s="5046" t="s">
        <v>5405</v>
      </c>
      <c r="AN22" s="5047" t="s">
        <v>5406</v>
      </c>
      <c r="AO22" s="5048" t="s">
        <v>5407</v>
      </c>
      <c r="AP22" s="5049" t="s">
        <v>5408</v>
      </c>
      <c r="AQ22" s="5044" t="s">
        <v>5409</v>
      </c>
      <c r="AR22" s="5047" t="s">
        <v>5410</v>
      </c>
      <c r="AS22" s="5047" t="s">
        <v>5411</v>
      </c>
      <c r="AT22" s="5047" t="s">
        <v>5412</v>
      </c>
      <c r="AU22" s="4991" t="str">
        <f t="shared" si="4"/>
        <v xml:space="preserve">* Total Egresos debe ser igual a la suma de los Tipos de Estrategia.  * El Número de personas con discapacidad NO DEBE superar el total de egresos.  * El Número de personas de pueblos originarios NO DEBE superar el total de egresos.  * El Número de personas migrantes NO DEBE superar el total de egresos. </v>
      </c>
      <c r="AV22" s="4992"/>
      <c r="AW22" s="4992"/>
      <c r="AX22" s="4992"/>
      <c r="AY22" s="4992"/>
      <c r="AZ22" s="4992"/>
      <c r="BA22" s="4992"/>
      <c r="BB22" s="4992"/>
      <c r="BC22" s="4992"/>
      <c r="BD22" s="4992"/>
      <c r="BE22" s="4992"/>
      <c r="BF22" s="4264"/>
      <c r="BG22" s="4264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 s="4976"/>
      <c r="BW22" s="4976"/>
      <c r="BX22" s="4260"/>
      <c r="BY22" s="4260"/>
      <c r="BZ22" s="4264"/>
      <c r="CA22" s="4264"/>
      <c r="CB22" s="4993" t="str">
        <f>IF(CH22=1,"* Total Egresos debe ser igual a la suma de los Tipos de Estrategia. ","")</f>
        <v xml:space="preserve">* Total Egresos debe ser igual a la suma de los Tipos de Estrategia. </v>
      </c>
      <c r="CC22" s="4993" t="str">
        <f>IF(CI22=1," * El Número de personas con discapacidad NO DEBE superar el total de egresos. ","")</f>
        <v xml:space="preserve"> * El Número de personas con discapacidad NO DEBE superar el total de egresos. </v>
      </c>
      <c r="CD22" s="4993" t="str">
        <f>IF(CJ22=1," * El Número de personas de pueblos originarios NO DEBE superar el total de egresos. ","")</f>
        <v xml:space="preserve"> * El Número de personas de pueblos originarios NO DEBE superar el total de egresos. </v>
      </c>
      <c r="CE22" s="4993" t="str">
        <f>IF(CK22=1," * El Número de personas migrantes NO DEBE superar el total de egresos. ","")</f>
        <v xml:space="preserve"> * El Número de personas migrantes NO DEBE superar el total de egresos. </v>
      </c>
      <c r="CF22" s="4993"/>
      <c r="CG22" s="4993"/>
      <c r="CH22" s="4994">
        <f t="shared" si="5"/>
        <v>1</v>
      </c>
      <c r="CI22" s="4994">
        <f t="shared" si="6"/>
        <v>1</v>
      </c>
      <c r="CJ22" s="4994">
        <f t="shared" si="7"/>
        <v>1</v>
      </c>
      <c r="CK22" s="4994">
        <f t="shared" si="8"/>
        <v>1</v>
      </c>
      <c r="CL22" s="4978"/>
      <c r="CM22" s="4978"/>
      <c r="CN22" s="4978"/>
      <c r="CO22" s="4978"/>
      <c r="CP22" s="4978"/>
      <c r="CQ22" s="4978"/>
      <c r="CR22" s="4978"/>
      <c r="CS22" s="4978"/>
      <c r="CT22" s="4978"/>
      <c r="CU22" s="4978"/>
      <c r="CV22" s="4264"/>
      <c r="CW22" s="4264"/>
      <c r="CX22" s="4264"/>
      <c r="CY22" s="4264"/>
      <c r="CZ22" s="4264"/>
      <c r="DA22" s="4264"/>
    </row>
    <row r="23" spans="1:105" ht="17.100000000000001" customHeight="1" x14ac:dyDescent="0.3">
      <c r="A23" s="7665">
        <v>28020592</v>
      </c>
      <c r="B23" s="5050" t="s">
        <v>357</v>
      </c>
      <c r="C23" s="5009" t="s">
        <v>5369</v>
      </c>
      <c r="D23" s="5013" t="s">
        <v>5370</v>
      </c>
      <c r="E23" s="5003" t="s">
        <v>5371</v>
      </c>
      <c r="F23" s="4949" t="s">
        <v>5372</v>
      </c>
      <c r="G23" s="4951" t="s">
        <v>5373</v>
      </c>
      <c r="H23" s="4949" t="s">
        <v>5374</v>
      </c>
      <c r="I23" s="4137" t="s">
        <v>5375</v>
      </c>
      <c r="J23" s="4949" t="s">
        <v>5376</v>
      </c>
      <c r="K23" s="4137" t="s">
        <v>5377</v>
      </c>
      <c r="L23" s="4949" t="s">
        <v>5378</v>
      </c>
      <c r="M23" s="4137" t="s">
        <v>5379</v>
      </c>
      <c r="N23" s="4949" t="s">
        <v>5380</v>
      </c>
      <c r="O23" s="4137" t="s">
        <v>5381</v>
      </c>
      <c r="P23" s="4949" t="s">
        <v>5382</v>
      </c>
      <c r="Q23" s="4137" t="s">
        <v>5383</v>
      </c>
      <c r="R23" s="4949" t="s">
        <v>5384</v>
      </c>
      <c r="S23" s="4137" t="s">
        <v>5385</v>
      </c>
      <c r="T23" s="4949" t="s">
        <v>5386</v>
      </c>
      <c r="U23" s="4137" t="s">
        <v>5387</v>
      </c>
      <c r="V23" s="4949" t="s">
        <v>5388</v>
      </c>
      <c r="W23" s="4137" t="s">
        <v>5389</v>
      </c>
      <c r="X23" s="4949" t="s">
        <v>5390</v>
      </c>
      <c r="Y23" s="4137" t="s">
        <v>5391</v>
      </c>
      <c r="Z23" s="4949" t="s">
        <v>5392</v>
      </c>
      <c r="AA23" s="4137" t="s">
        <v>5393</v>
      </c>
      <c r="AB23" s="4949" t="s">
        <v>5394</v>
      </c>
      <c r="AC23" s="4137" t="s">
        <v>5395</v>
      </c>
      <c r="AD23" s="4949" t="s">
        <v>5396</v>
      </c>
      <c r="AE23" s="4137" t="s">
        <v>5397</v>
      </c>
      <c r="AF23" s="4949" t="s">
        <v>5398</v>
      </c>
      <c r="AG23" s="4137" t="s">
        <v>5399</v>
      </c>
      <c r="AH23" s="4949" t="s">
        <v>5400</v>
      </c>
      <c r="AI23" s="4137" t="s">
        <v>5401</v>
      </c>
      <c r="AJ23" s="4949" t="s">
        <v>5402</v>
      </c>
      <c r="AK23" s="4137" t="s">
        <v>5403</v>
      </c>
      <c r="AL23" s="4949" t="s">
        <v>5404</v>
      </c>
      <c r="AM23" s="4950" t="s">
        <v>5405</v>
      </c>
      <c r="AN23" s="4942" t="s">
        <v>5406</v>
      </c>
      <c r="AO23" s="5007" t="s">
        <v>5407</v>
      </c>
      <c r="AP23" s="3831" t="s">
        <v>5408</v>
      </c>
      <c r="AQ23" s="4951" t="s">
        <v>5409</v>
      </c>
      <c r="AR23" s="4942" t="s">
        <v>5410</v>
      </c>
      <c r="AS23" s="4942" t="s">
        <v>5411</v>
      </c>
      <c r="AT23" s="4942" t="s">
        <v>5412</v>
      </c>
      <c r="AU23" s="4991" t="str">
        <f t="shared" si="4"/>
        <v xml:space="preserve">* Total Egresos debe ser igual a la suma de los Tipos de Estrategia.  * El Número de personas con discapacidad NO DEBE superar el total de egresos.  * El Número de personas de pueblos originarios NO DEBE superar el total de egresos.  * El Número de personas migrantes NO DEBE superar el total de egresos. </v>
      </c>
      <c r="AV23" s="4992"/>
      <c r="AW23" s="4992"/>
      <c r="AX23" s="4992"/>
      <c r="AY23" s="4992"/>
      <c r="AZ23" s="4992"/>
      <c r="BA23" s="4992"/>
      <c r="BB23" s="4992"/>
      <c r="BC23" s="4992"/>
      <c r="BD23" s="4992"/>
      <c r="BE23" s="4992"/>
      <c r="BF23" s="4264"/>
      <c r="BG23" s="4264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 s="4976"/>
      <c r="BW23" s="4976"/>
      <c r="BX23" s="4260"/>
      <c r="BY23" s="4260"/>
      <c r="BZ23" s="4264"/>
      <c r="CA23" s="4264"/>
      <c r="CB23" s="4993" t="str">
        <f>IF(CH23=1,"* Total Egresos debe ser igual a la suma de los Tipos de Estrategia. ","")</f>
        <v xml:space="preserve">* Total Egresos debe ser igual a la suma de los Tipos de Estrategia. </v>
      </c>
      <c r="CC23" s="4993" t="str">
        <f>IF(CI23=1," * El Número de personas con discapacidad NO DEBE superar el total de egresos. ","")</f>
        <v xml:space="preserve"> * El Número de personas con discapacidad NO DEBE superar el total de egresos. </v>
      </c>
      <c r="CD23" s="4993" t="str">
        <f>IF(CJ23=1," * El Número de personas de pueblos originarios NO DEBE superar el total de egresos. ","")</f>
        <v xml:space="preserve"> * El Número de personas de pueblos originarios NO DEBE superar el total de egresos. </v>
      </c>
      <c r="CE23" s="4993" t="str">
        <f>IF(CK23=1," * El Número de personas migrantes NO DEBE superar el total de egresos. ","")</f>
        <v xml:space="preserve"> * El Número de personas migrantes NO DEBE superar el total de egresos. </v>
      </c>
      <c r="CF23" s="4993"/>
      <c r="CG23" s="4993"/>
      <c r="CH23" s="4994">
        <f t="shared" si="5"/>
        <v>1</v>
      </c>
      <c r="CI23" s="4994">
        <f t="shared" si="6"/>
        <v>1</v>
      </c>
      <c r="CJ23" s="4994">
        <f t="shared" si="7"/>
        <v>1</v>
      </c>
      <c r="CK23" s="4994">
        <f t="shared" si="8"/>
        <v>1</v>
      </c>
      <c r="CL23" s="4978"/>
      <c r="CM23" s="4978"/>
      <c r="CN23" s="4978"/>
      <c r="CO23" s="4978"/>
      <c r="CP23" s="4978"/>
      <c r="CQ23" s="4978"/>
      <c r="CR23" s="4978"/>
      <c r="CS23" s="4978"/>
      <c r="CT23" s="4978"/>
      <c r="CU23" s="4978"/>
      <c r="CV23" s="4264"/>
      <c r="CW23" s="4264"/>
      <c r="CX23" s="4264"/>
      <c r="CY23" s="4264"/>
      <c r="CZ23" s="4264"/>
      <c r="DA23" s="4264"/>
    </row>
    <row r="24" spans="1:105" ht="17.100000000000001" customHeight="1" x14ac:dyDescent="0.3">
      <c r="A24" s="7675">
        <v>28020593</v>
      </c>
      <c r="B24" s="5051" t="s">
        <v>197</v>
      </c>
      <c r="C24" s="5016" t="s">
        <v>5369</v>
      </c>
      <c r="D24" s="5028" t="s">
        <v>5370</v>
      </c>
      <c r="E24" s="4002" t="s">
        <v>5371</v>
      </c>
      <c r="F24" s="5023" t="s">
        <v>5372</v>
      </c>
      <c r="G24" s="5052" t="s">
        <v>5373</v>
      </c>
      <c r="H24" s="5023" t="s">
        <v>5374</v>
      </c>
      <c r="I24" s="5024" t="s">
        <v>5375</v>
      </c>
      <c r="J24" s="5023" t="s">
        <v>5376</v>
      </c>
      <c r="K24" s="5024" t="s">
        <v>5377</v>
      </c>
      <c r="L24" s="5023" t="s">
        <v>5378</v>
      </c>
      <c r="M24" s="5024" t="s">
        <v>5379</v>
      </c>
      <c r="N24" s="5023" t="s">
        <v>5380</v>
      </c>
      <c r="O24" s="5024" t="s">
        <v>5381</v>
      </c>
      <c r="P24" s="5023" t="s">
        <v>5382</v>
      </c>
      <c r="Q24" s="5024" t="s">
        <v>5383</v>
      </c>
      <c r="R24" s="5023" t="s">
        <v>5384</v>
      </c>
      <c r="S24" s="5024" t="s">
        <v>5385</v>
      </c>
      <c r="T24" s="5023" t="s">
        <v>5386</v>
      </c>
      <c r="U24" s="5024" t="s">
        <v>5387</v>
      </c>
      <c r="V24" s="5023" t="s">
        <v>5388</v>
      </c>
      <c r="W24" s="5024" t="s">
        <v>5389</v>
      </c>
      <c r="X24" s="5023" t="s">
        <v>5390</v>
      </c>
      <c r="Y24" s="5024" t="s">
        <v>5391</v>
      </c>
      <c r="Z24" s="5023" t="s">
        <v>5392</v>
      </c>
      <c r="AA24" s="5024" t="s">
        <v>5393</v>
      </c>
      <c r="AB24" s="5023" t="s">
        <v>5394</v>
      </c>
      <c r="AC24" s="5024" t="s">
        <v>5395</v>
      </c>
      <c r="AD24" s="5023" t="s">
        <v>5396</v>
      </c>
      <c r="AE24" s="5024" t="s">
        <v>5397</v>
      </c>
      <c r="AF24" s="5023" t="s">
        <v>5398</v>
      </c>
      <c r="AG24" s="5024" t="s">
        <v>5399</v>
      </c>
      <c r="AH24" s="5023" t="s">
        <v>5400</v>
      </c>
      <c r="AI24" s="5024" t="s">
        <v>5401</v>
      </c>
      <c r="AJ24" s="5023" t="s">
        <v>5402</v>
      </c>
      <c r="AK24" s="5024" t="s">
        <v>5403</v>
      </c>
      <c r="AL24" s="5023" t="s">
        <v>5404</v>
      </c>
      <c r="AM24" s="4442" t="s">
        <v>5405</v>
      </c>
      <c r="AN24" s="5024" t="s">
        <v>5406</v>
      </c>
      <c r="AO24" s="5026" t="s">
        <v>5407</v>
      </c>
      <c r="AP24" s="4441" t="s">
        <v>5408</v>
      </c>
      <c r="AQ24" s="5052" t="s">
        <v>5409</v>
      </c>
      <c r="AR24" s="5024" t="s">
        <v>5410</v>
      </c>
      <c r="AS24" s="5024" t="s">
        <v>5411</v>
      </c>
      <c r="AT24" s="5024" t="s">
        <v>5412</v>
      </c>
      <c r="AU24" s="4991" t="str">
        <f t="shared" si="4"/>
        <v xml:space="preserve">* Total Egresos debe ser igual a la suma de los Tipos de Estrategia.  * El Número de personas con discapacidad NO DEBE superar el total de egresos.  * El Número de personas de pueblos originarios NO DEBE superar el total de egresos.  * El Número de personas migrantes NO DEBE superar el total de egresos. </v>
      </c>
      <c r="AV24" s="4992"/>
      <c r="AW24" s="4992"/>
      <c r="AX24" s="4992"/>
      <c r="AY24" s="4992"/>
      <c r="AZ24" s="4992"/>
      <c r="BA24" s="4992"/>
      <c r="BB24" s="4992"/>
      <c r="BC24" s="4992"/>
      <c r="BD24" s="4992"/>
      <c r="BE24" s="4992"/>
      <c r="BF24" s="4264"/>
      <c r="BG24" s="426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 s="4976"/>
      <c r="BW24" s="4976"/>
      <c r="BX24" s="4260"/>
      <c r="BY24" s="4260"/>
      <c r="BZ24" s="4264"/>
      <c r="CA24" s="4264"/>
      <c r="CB24" s="4993" t="str">
        <f>IF(CH24=1,"* Total Egresos debe ser igual a la suma de los Tipos de Estrategia. ","")</f>
        <v xml:space="preserve">* Total Egresos debe ser igual a la suma de los Tipos de Estrategia. </v>
      </c>
      <c r="CC24" s="4993" t="str">
        <f>IF(CI24=1," * El Número de personas con discapacidad NO DEBE superar el total de egresos. ","")</f>
        <v xml:space="preserve"> * El Número de personas con discapacidad NO DEBE superar el total de egresos. </v>
      </c>
      <c r="CD24" s="4993" t="str">
        <f>IF(CJ24=1," * El Número de personas de pueblos originarios NO DEBE superar el total de egresos. ","")</f>
        <v xml:space="preserve"> * El Número de personas de pueblos originarios NO DEBE superar el total de egresos. </v>
      </c>
      <c r="CE24" s="4993" t="str">
        <f>IF(CK24=1," * El Número de personas migrantes NO DEBE superar el total de egresos. ","")</f>
        <v xml:space="preserve"> * El Número de personas migrantes NO DEBE superar el total de egresos. </v>
      </c>
      <c r="CF24" s="4993"/>
      <c r="CG24" s="4993"/>
      <c r="CH24" s="4994">
        <f t="shared" si="5"/>
        <v>1</v>
      </c>
      <c r="CI24" s="4994">
        <f t="shared" si="6"/>
        <v>1</v>
      </c>
      <c r="CJ24" s="4994">
        <f t="shared" si="7"/>
        <v>1</v>
      </c>
      <c r="CK24" s="4994">
        <f t="shared" si="8"/>
        <v>1</v>
      </c>
      <c r="CL24" s="4978"/>
      <c r="CM24" s="4978"/>
      <c r="CN24" s="4978"/>
      <c r="CO24" s="4978"/>
      <c r="CP24" s="4978"/>
      <c r="CQ24" s="4978"/>
      <c r="CR24" s="4978"/>
      <c r="CS24" s="4978"/>
      <c r="CT24" s="4978"/>
      <c r="CU24" s="4978"/>
      <c r="CV24" s="4264"/>
      <c r="CW24" s="4264"/>
      <c r="CX24" s="4264"/>
      <c r="CY24" s="4264"/>
      <c r="CZ24" s="4264"/>
      <c r="DA24" s="4264"/>
    </row>
    <row r="25" spans="1:105" ht="28.2" customHeight="1" x14ac:dyDescent="0.3">
      <c r="B25" s="4469" t="s">
        <v>644</v>
      </c>
      <c r="C25" s="5053"/>
      <c r="D25" s="4264"/>
      <c r="E25" s="5053"/>
      <c r="F25" s="5053"/>
      <c r="G25" s="4264"/>
      <c r="H25" s="4264"/>
      <c r="I25" s="4264"/>
      <c r="J25" s="4264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 s="4976"/>
      <c r="BW25" s="4976"/>
      <c r="BX25" s="4976"/>
      <c r="BY25" s="4976"/>
      <c r="BZ25" s="4976"/>
      <c r="CA25" s="4976"/>
      <c r="CB25" s="4993"/>
      <c r="CC25" s="4993"/>
      <c r="CD25" s="4993"/>
      <c r="CE25" s="4993"/>
      <c r="CF25" s="4993"/>
      <c r="CG25" s="4993"/>
      <c r="CH25" s="4994"/>
      <c r="CI25" s="4978"/>
      <c r="CJ25" s="4978"/>
      <c r="CK25" s="4978"/>
      <c r="CL25" s="4978"/>
      <c r="CM25" s="4978"/>
      <c r="CN25" s="4978"/>
      <c r="CO25" s="4978"/>
      <c r="CP25" s="4978"/>
      <c r="CQ25" s="4978"/>
      <c r="CR25" s="4978"/>
      <c r="CS25" s="4978"/>
      <c r="CT25" s="4978"/>
      <c r="CU25" s="4978"/>
      <c r="CV25" s="4976"/>
      <c r="CW25" s="4264"/>
      <c r="CX25" s="4264"/>
      <c r="CY25" s="4264"/>
      <c r="CZ25" s="4264"/>
      <c r="DA25" s="4264"/>
    </row>
    <row r="26" spans="1:105" ht="18" customHeight="1" x14ac:dyDescent="0.3">
      <c r="B26" s="10247" t="s">
        <v>155</v>
      </c>
      <c r="C26" s="10349" t="s">
        <v>31</v>
      </c>
      <c r="D26" s="10973" t="s">
        <v>24</v>
      </c>
      <c r="E26" s="10974"/>
      <c r="F26" s="10313"/>
      <c r="G26" s="10268" t="s">
        <v>98</v>
      </c>
      <c r="H26" s="10265"/>
      <c r="I26" s="10265"/>
      <c r="J26" s="10265"/>
      <c r="K26" s="10265"/>
      <c r="L26" s="10265"/>
      <c r="M26" s="10265"/>
      <c r="N26" s="10265"/>
      <c r="O26" s="10265"/>
      <c r="P26" s="10265"/>
      <c r="Q26" s="10265"/>
      <c r="R26" s="10265"/>
      <c r="S26" s="10265"/>
      <c r="T26" s="10265"/>
      <c r="U26" s="10265"/>
      <c r="V26" s="10265"/>
      <c r="W26" s="10265"/>
      <c r="X26" s="10265"/>
      <c r="Y26" s="10265"/>
      <c r="Z26" s="10265"/>
      <c r="AA26" s="10265"/>
      <c r="AB26" s="10265"/>
      <c r="AC26" s="10265"/>
      <c r="AD26" s="10265"/>
      <c r="AE26" s="10265"/>
      <c r="AF26" s="10265"/>
      <c r="AG26" s="10265"/>
      <c r="AH26" s="10265"/>
      <c r="AI26" s="10265"/>
      <c r="AJ26" s="10265"/>
      <c r="AK26" s="10265"/>
      <c r="AL26" s="10265"/>
      <c r="AM26" s="10265"/>
      <c r="AN26" s="10355"/>
      <c r="AO26" s="10936" t="s">
        <v>141</v>
      </c>
      <c r="AP26" s="10265"/>
      <c r="AQ26" s="10265"/>
      <c r="AR26" s="10269"/>
      <c r="AS26" s="4264"/>
      <c r="AT26" s="4264"/>
      <c r="AU26" s="4264"/>
      <c r="AV26" s="4264"/>
      <c r="AW26" s="4264"/>
      <c r="AX26" s="4264"/>
      <c r="AY26" s="4264"/>
      <c r="AZ26" s="4264"/>
      <c r="BA26" s="4264"/>
      <c r="BB26" s="4264"/>
      <c r="BC26" s="4264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 s="4259"/>
      <c r="BT26" s="4259"/>
      <c r="BU26" s="4259"/>
      <c r="BV26" s="4260"/>
      <c r="BW26" s="4260"/>
      <c r="BX26" s="4260"/>
      <c r="BY26" s="4260"/>
      <c r="CB26" s="4993"/>
      <c r="CC26" s="4993"/>
      <c r="CD26" s="4993"/>
      <c r="CE26" s="4993"/>
      <c r="CF26" s="4993"/>
      <c r="CG26" s="4993"/>
      <c r="CH26" s="4994"/>
      <c r="CI26" s="4978"/>
      <c r="CJ26" s="4978"/>
      <c r="CK26" s="4978"/>
      <c r="CL26" s="4978"/>
      <c r="CM26" s="4978"/>
      <c r="CN26" s="4978"/>
      <c r="CO26" s="4978"/>
      <c r="CP26" s="4978"/>
      <c r="CQ26" s="4978"/>
      <c r="CR26" s="4978"/>
      <c r="CS26" s="4978"/>
      <c r="CT26" s="4978"/>
      <c r="CU26" s="4978"/>
      <c r="CV26" s="4264"/>
      <c r="CW26" s="4264"/>
      <c r="CX26" s="4264"/>
      <c r="CY26" s="4264"/>
      <c r="CZ26" s="4264"/>
      <c r="DA26" s="4264"/>
    </row>
    <row r="27" spans="1:105" ht="32.1" customHeight="1" x14ac:dyDescent="0.3">
      <c r="B27" s="9055"/>
      <c r="C27" s="10350"/>
      <c r="D27" s="10988"/>
      <c r="E27" s="10922"/>
      <c r="F27" s="9156"/>
      <c r="G27" s="10294" t="s">
        <v>1416</v>
      </c>
      <c r="H27" s="10328"/>
      <c r="I27" s="10294" t="s">
        <v>1415</v>
      </c>
      <c r="J27" s="10328"/>
      <c r="K27" s="10294" t="s">
        <v>77</v>
      </c>
      <c r="L27" s="10328"/>
      <c r="M27" s="10294" t="s">
        <v>68</v>
      </c>
      <c r="N27" s="10328"/>
      <c r="O27" s="10294" t="s">
        <v>142</v>
      </c>
      <c r="P27" s="10328"/>
      <c r="Q27" s="10294" t="s">
        <v>143</v>
      </c>
      <c r="R27" s="10328"/>
      <c r="S27" s="10294" t="s">
        <v>144</v>
      </c>
      <c r="T27" s="10328"/>
      <c r="U27" s="10294" t="s">
        <v>7</v>
      </c>
      <c r="V27" s="10328"/>
      <c r="W27" s="10294" t="s">
        <v>8</v>
      </c>
      <c r="X27" s="10328"/>
      <c r="Y27" s="10294" t="s">
        <v>145</v>
      </c>
      <c r="Z27" s="10328"/>
      <c r="AA27" s="10294" t="s">
        <v>10</v>
      </c>
      <c r="AB27" s="10328"/>
      <c r="AC27" s="10294" t="s">
        <v>11</v>
      </c>
      <c r="AD27" s="10328"/>
      <c r="AE27" s="10294" t="s">
        <v>12</v>
      </c>
      <c r="AF27" s="10328"/>
      <c r="AG27" s="10294" t="s">
        <v>13</v>
      </c>
      <c r="AH27" s="10328"/>
      <c r="AI27" s="10294" t="s">
        <v>14</v>
      </c>
      <c r="AJ27" s="10328"/>
      <c r="AK27" s="10294" t="s">
        <v>15</v>
      </c>
      <c r="AL27" s="10328"/>
      <c r="AM27" s="10268" t="s">
        <v>16</v>
      </c>
      <c r="AN27" s="10265"/>
      <c r="AO27" s="10964" t="s">
        <v>3977</v>
      </c>
      <c r="AP27" s="10952" t="s">
        <v>146</v>
      </c>
      <c r="AQ27" s="10966" t="s">
        <v>147</v>
      </c>
      <c r="AR27" s="10968" t="s">
        <v>148</v>
      </c>
      <c r="AS27" s="4264"/>
      <c r="AT27" s="4264"/>
      <c r="AU27" s="4264"/>
      <c r="AV27" s="4264"/>
      <c r="AW27" s="4264"/>
      <c r="AX27" s="4264"/>
      <c r="AY27" s="4264"/>
      <c r="AZ27" s="4264"/>
      <c r="BA27" s="4264"/>
      <c r="BB27" s="4264"/>
      <c r="BC27" s="4264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 s="4259"/>
      <c r="BT27" s="4259"/>
      <c r="BU27" s="4259"/>
      <c r="BV27" s="4260"/>
      <c r="BW27" s="4260"/>
      <c r="BX27" s="4260"/>
      <c r="BY27" s="4260"/>
      <c r="CH27" s="4978"/>
      <c r="CI27" s="4978"/>
      <c r="CJ27" s="4978"/>
      <c r="CK27" s="4978"/>
      <c r="CL27" s="4978"/>
      <c r="CM27" s="4978"/>
      <c r="CN27" s="4978"/>
      <c r="CO27" s="4978"/>
      <c r="CP27" s="4978"/>
      <c r="CQ27" s="4978"/>
      <c r="CR27" s="4978"/>
      <c r="CS27" s="4978"/>
      <c r="CT27" s="4978"/>
      <c r="CU27" s="4978"/>
      <c r="CV27" s="4264"/>
      <c r="CW27" s="4264"/>
      <c r="CX27" s="4264"/>
      <c r="CY27" s="4264"/>
      <c r="CZ27" s="4264"/>
      <c r="DA27" s="4264"/>
    </row>
    <row r="28" spans="1:105" ht="14.4" x14ac:dyDescent="0.3">
      <c r="B28" s="9056"/>
      <c r="C28" s="10351"/>
      <c r="D28" s="5054" t="s">
        <v>42</v>
      </c>
      <c r="E28" s="5054" t="s">
        <v>17</v>
      </c>
      <c r="F28" s="5054" t="s">
        <v>18</v>
      </c>
      <c r="G28" s="4982" t="s">
        <v>17</v>
      </c>
      <c r="H28" s="4983" t="s">
        <v>18</v>
      </c>
      <c r="I28" s="4982" t="s">
        <v>17</v>
      </c>
      <c r="J28" s="4983" t="s">
        <v>18</v>
      </c>
      <c r="K28" s="4982" t="s">
        <v>17</v>
      </c>
      <c r="L28" s="4983" t="s">
        <v>18</v>
      </c>
      <c r="M28" s="4982" t="s">
        <v>17</v>
      </c>
      <c r="N28" s="4983" t="s">
        <v>18</v>
      </c>
      <c r="O28" s="5055" t="s">
        <v>17</v>
      </c>
      <c r="P28" s="4983" t="s">
        <v>18</v>
      </c>
      <c r="Q28" s="4982" t="s">
        <v>17</v>
      </c>
      <c r="R28" s="4983" t="s">
        <v>18</v>
      </c>
      <c r="S28" s="4982" t="s">
        <v>17</v>
      </c>
      <c r="T28" s="4983" t="s">
        <v>18</v>
      </c>
      <c r="U28" s="4982" t="s">
        <v>17</v>
      </c>
      <c r="V28" s="4983" t="s">
        <v>18</v>
      </c>
      <c r="W28" s="4982" t="s">
        <v>17</v>
      </c>
      <c r="X28" s="4983" t="s">
        <v>18</v>
      </c>
      <c r="Y28" s="4982" t="s">
        <v>17</v>
      </c>
      <c r="Z28" s="4983" t="s">
        <v>18</v>
      </c>
      <c r="AA28" s="4982" t="s">
        <v>17</v>
      </c>
      <c r="AB28" s="4983" t="s">
        <v>18</v>
      </c>
      <c r="AC28" s="4982" t="s">
        <v>17</v>
      </c>
      <c r="AD28" s="4983" t="s">
        <v>18</v>
      </c>
      <c r="AE28" s="4982" t="s">
        <v>17</v>
      </c>
      <c r="AF28" s="4983" t="s">
        <v>18</v>
      </c>
      <c r="AG28" s="4982" t="s">
        <v>17</v>
      </c>
      <c r="AH28" s="4983" t="s">
        <v>18</v>
      </c>
      <c r="AI28" s="4982" t="s">
        <v>17</v>
      </c>
      <c r="AJ28" s="4983" t="s">
        <v>18</v>
      </c>
      <c r="AK28" s="4982" t="s">
        <v>17</v>
      </c>
      <c r="AL28" s="4983" t="s">
        <v>18</v>
      </c>
      <c r="AM28" s="4982" t="s">
        <v>17</v>
      </c>
      <c r="AN28" s="5056" t="s">
        <v>18</v>
      </c>
      <c r="AO28" s="10965"/>
      <c r="AP28" s="10953"/>
      <c r="AQ28" s="10967"/>
      <c r="AR28" s="10969"/>
      <c r="AS28" s="4264"/>
      <c r="AT28" s="4264"/>
      <c r="AU28" s="4264"/>
      <c r="AV28" s="4264"/>
      <c r="AW28" s="4264"/>
      <c r="AX28" s="4264"/>
      <c r="AY28" s="4264"/>
      <c r="AZ28" s="4264"/>
      <c r="BA28" s="4264"/>
      <c r="BB28" s="4264"/>
      <c r="BC28" s="4264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 s="4259"/>
      <c r="BT28" s="4259"/>
      <c r="BU28" s="4259"/>
      <c r="BV28" s="4260"/>
      <c r="BW28" s="4260"/>
      <c r="BX28" s="4260"/>
      <c r="BY28" s="4260"/>
      <c r="CH28" s="4978"/>
      <c r="CI28" s="4978"/>
      <c r="CJ28" s="4978"/>
      <c r="CK28" s="4978"/>
      <c r="CL28" s="4978"/>
      <c r="CM28" s="4978"/>
      <c r="CN28" s="4978"/>
      <c r="CO28" s="4978"/>
      <c r="CP28" s="4978"/>
      <c r="CQ28" s="4978"/>
      <c r="CR28" s="4978"/>
      <c r="CS28" s="4978"/>
      <c r="CT28" s="4978"/>
      <c r="CU28" s="4978"/>
      <c r="CV28" s="4264"/>
      <c r="CW28" s="4264"/>
      <c r="CX28" s="4264"/>
      <c r="CY28" s="4264"/>
      <c r="CZ28" s="4264"/>
      <c r="DA28" s="4264"/>
    </row>
    <row r="29" spans="1:105" ht="14.1" customHeight="1" x14ac:dyDescent="0.3">
      <c r="A29" s="7676">
        <v>28014800</v>
      </c>
      <c r="B29" s="10268" t="s">
        <v>157</v>
      </c>
      <c r="C29" s="10269"/>
      <c r="D29" s="8297" t="s">
        <v>5369</v>
      </c>
      <c r="E29" s="8298" t="s">
        <v>5370</v>
      </c>
      <c r="F29" s="8298" t="s">
        <v>5371</v>
      </c>
      <c r="G29" s="8299" t="s">
        <v>5372</v>
      </c>
      <c r="H29" s="8300" t="s">
        <v>5373</v>
      </c>
      <c r="I29" s="8299" t="s">
        <v>5374</v>
      </c>
      <c r="J29" s="8301" t="s">
        <v>5375</v>
      </c>
      <c r="K29" s="8299" t="s">
        <v>5376</v>
      </c>
      <c r="L29" s="8301" t="s">
        <v>5377</v>
      </c>
      <c r="M29" s="8299" t="s">
        <v>5378</v>
      </c>
      <c r="N29" s="8300" t="s">
        <v>5379</v>
      </c>
      <c r="O29" s="8302" t="s">
        <v>5380</v>
      </c>
      <c r="P29" s="8301" t="s">
        <v>5381</v>
      </c>
      <c r="Q29" s="8302" t="s">
        <v>5382</v>
      </c>
      <c r="R29" s="8301" t="s">
        <v>5383</v>
      </c>
      <c r="S29" s="8302" t="s">
        <v>5384</v>
      </c>
      <c r="T29" s="8301" t="s">
        <v>5385</v>
      </c>
      <c r="U29" s="8302" t="s">
        <v>5386</v>
      </c>
      <c r="V29" s="8301" t="s">
        <v>5387</v>
      </c>
      <c r="W29" s="8302" t="s">
        <v>5388</v>
      </c>
      <c r="X29" s="8301" t="s">
        <v>5389</v>
      </c>
      <c r="Y29" s="8302" t="s">
        <v>5390</v>
      </c>
      <c r="Z29" s="8301" t="s">
        <v>5391</v>
      </c>
      <c r="AA29" s="8302" t="s">
        <v>5392</v>
      </c>
      <c r="AB29" s="8301" t="s">
        <v>5393</v>
      </c>
      <c r="AC29" s="8302" t="s">
        <v>5394</v>
      </c>
      <c r="AD29" s="8301" t="s">
        <v>5395</v>
      </c>
      <c r="AE29" s="8302" t="s">
        <v>5396</v>
      </c>
      <c r="AF29" s="8301" t="s">
        <v>5397</v>
      </c>
      <c r="AG29" s="8302" t="s">
        <v>5398</v>
      </c>
      <c r="AH29" s="8301" t="s">
        <v>5399</v>
      </c>
      <c r="AI29" s="8302" t="s">
        <v>5400</v>
      </c>
      <c r="AJ29" s="8301" t="s">
        <v>5401</v>
      </c>
      <c r="AK29" s="8302" t="s">
        <v>5402</v>
      </c>
      <c r="AL29" s="8301" t="s">
        <v>5403</v>
      </c>
      <c r="AM29" s="8302" t="s">
        <v>5404</v>
      </c>
      <c r="AN29" s="8303" t="s">
        <v>5405</v>
      </c>
      <c r="AO29" s="8304" t="s">
        <v>5406</v>
      </c>
      <c r="AP29" s="8302" t="s">
        <v>5407</v>
      </c>
      <c r="AQ29" s="8302" t="s">
        <v>5408</v>
      </c>
      <c r="AR29" s="8301" t="s">
        <v>5409</v>
      </c>
      <c r="AS29" s="8305"/>
      <c r="AT29" s="8306"/>
      <c r="AU29" s="4992"/>
      <c r="AV29" s="4992"/>
      <c r="AW29" s="4992"/>
      <c r="AX29" s="4992"/>
      <c r="AY29" s="4992"/>
      <c r="AZ29" s="4992"/>
      <c r="BA29" s="4992"/>
      <c r="BB29" s="4264"/>
      <c r="BC29" s="4264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 s="4259"/>
      <c r="BT29" s="4259"/>
      <c r="BU29" s="4259"/>
      <c r="BZ29" s="4264"/>
      <c r="CA29" s="4264"/>
      <c r="CB29" s="4993" t="str">
        <f>IF(CH29=1,"* Existen patologías que son mayores al Total de Ingresos-Persona. ","")</f>
        <v/>
      </c>
      <c r="CC29" s="4993" t="str">
        <f>IF(CI29=1,"* EN Rehabilitación Infantil Existen Patologías que son Mayores a los Ingresos-Personas. ","")</f>
        <v/>
      </c>
      <c r="CD29" s="4993" t="str">
        <f>IF(CJ29=1,"* En RBC existen Patologías que son mayores a los Ingresos-Personas. ","")</f>
        <v/>
      </c>
      <c r="CE29" s="4993" t="str">
        <f>IF(CK29=1,"* En RI Existen Patologías que son mayores a los Ingresos-Personas. ","")</f>
        <v/>
      </c>
      <c r="CF29" s="4993" t="str">
        <f>IF(CL29=1,"* En RR existen patologías que son mayores a los Ingresos-Persona. ","")</f>
        <v/>
      </c>
      <c r="CG29" s="4993"/>
      <c r="CH29" s="4994">
        <f>IF(D29&lt;MAX(D30:D48),1,0)</f>
        <v>0</v>
      </c>
      <c r="CI29" s="4994">
        <f>IF(AO29&lt;MAX(AO30:AO48),1,0)</f>
        <v>0</v>
      </c>
      <c r="CJ29" s="4994">
        <f>IF(AP29&lt;MAX(AP30:AP48),1,0)</f>
        <v>0</v>
      </c>
      <c r="CK29" s="4994">
        <f>IF(AQ29&lt;MAX(AQ30:AQ48),1,0)</f>
        <v>0</v>
      </c>
      <c r="CL29" s="4994">
        <f>IF(AR29&lt;MAX(AR30:AR48),1,0)</f>
        <v>0</v>
      </c>
      <c r="CM29" s="4994"/>
      <c r="CN29" s="4978"/>
      <c r="CO29" s="4978"/>
      <c r="CP29" s="4978"/>
      <c r="CQ29" s="4978"/>
      <c r="CR29" s="4978"/>
      <c r="CS29" s="4978"/>
      <c r="CT29" s="4978"/>
      <c r="CU29" s="4978"/>
      <c r="CV29" s="4264"/>
      <c r="CW29" s="4264"/>
      <c r="CX29" s="4264"/>
      <c r="CY29" s="4264"/>
      <c r="CZ29" s="4264"/>
      <c r="DA29" s="4264"/>
    </row>
    <row r="30" spans="1:105" ht="14.1" customHeight="1" x14ac:dyDescent="0.3">
      <c r="A30" s="7320">
        <v>29101620</v>
      </c>
      <c r="B30" s="10920" t="s">
        <v>302</v>
      </c>
      <c r="C30" s="5058" t="s">
        <v>2815</v>
      </c>
      <c r="D30" s="8307" t="s">
        <v>5369</v>
      </c>
      <c r="E30" s="8308" t="s">
        <v>5370</v>
      </c>
      <c r="F30" s="8308" t="s">
        <v>5371</v>
      </c>
      <c r="G30" s="8309" t="s">
        <v>5372</v>
      </c>
      <c r="H30" s="8310" t="s">
        <v>5373</v>
      </c>
      <c r="I30" s="8309" t="s">
        <v>5374</v>
      </c>
      <c r="J30" s="8311" t="s">
        <v>5375</v>
      </c>
      <c r="K30" s="8309" t="s">
        <v>5376</v>
      </c>
      <c r="L30" s="8311" t="s">
        <v>5377</v>
      </c>
      <c r="M30" s="8309" t="s">
        <v>5378</v>
      </c>
      <c r="N30" s="8310" t="s">
        <v>5379</v>
      </c>
      <c r="O30" s="8312" t="s">
        <v>5380</v>
      </c>
      <c r="P30" s="8311" t="s">
        <v>5381</v>
      </c>
      <c r="Q30" s="8312" t="s">
        <v>5382</v>
      </c>
      <c r="R30" s="8311" t="s">
        <v>5383</v>
      </c>
      <c r="S30" s="8312" t="s">
        <v>5384</v>
      </c>
      <c r="T30" s="8311" t="s">
        <v>5385</v>
      </c>
      <c r="U30" s="8312" t="s">
        <v>5386</v>
      </c>
      <c r="V30" s="8311" t="s">
        <v>5387</v>
      </c>
      <c r="W30" s="8312" t="s">
        <v>5388</v>
      </c>
      <c r="X30" s="8311" t="s">
        <v>5389</v>
      </c>
      <c r="Y30" s="8312" t="s">
        <v>5390</v>
      </c>
      <c r="Z30" s="8311" t="s">
        <v>5391</v>
      </c>
      <c r="AA30" s="8312" t="s">
        <v>5392</v>
      </c>
      <c r="AB30" s="8311" t="s">
        <v>5393</v>
      </c>
      <c r="AC30" s="8312" t="s">
        <v>5394</v>
      </c>
      <c r="AD30" s="8311" t="s">
        <v>5395</v>
      </c>
      <c r="AE30" s="8312" t="s">
        <v>5396</v>
      </c>
      <c r="AF30" s="8311" t="s">
        <v>5397</v>
      </c>
      <c r="AG30" s="8312" t="s">
        <v>5398</v>
      </c>
      <c r="AH30" s="8311" t="s">
        <v>5399</v>
      </c>
      <c r="AI30" s="8312" t="s">
        <v>5400</v>
      </c>
      <c r="AJ30" s="8311" t="s">
        <v>5401</v>
      </c>
      <c r="AK30" s="8312" t="s">
        <v>5402</v>
      </c>
      <c r="AL30" s="8311" t="s">
        <v>5403</v>
      </c>
      <c r="AM30" s="8312" t="s">
        <v>5404</v>
      </c>
      <c r="AN30" s="8313" t="s">
        <v>5405</v>
      </c>
      <c r="AO30" s="8314" t="s">
        <v>5406</v>
      </c>
      <c r="AP30" s="8312" t="s">
        <v>5407</v>
      </c>
      <c r="AQ30" s="8312" t="s">
        <v>5408</v>
      </c>
      <c r="AR30" s="8311" t="s">
        <v>5409</v>
      </c>
      <c r="AS30" s="8305"/>
      <c r="AT30" s="8306"/>
      <c r="AU30" s="4992"/>
      <c r="AV30" s="4992"/>
      <c r="AW30" s="4992"/>
      <c r="AX30" s="4992"/>
      <c r="AY30" s="4992"/>
      <c r="AZ30" s="4992"/>
      <c r="BA30" s="4992"/>
      <c r="BB30" s="4264"/>
      <c r="BC30" s="4264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 s="4259"/>
      <c r="BT30" s="4259"/>
      <c r="BU30" s="4259"/>
      <c r="BW30" s="4260"/>
      <c r="BX30" s="4260"/>
      <c r="BY30" s="4260"/>
      <c r="CB30" s="4993" t="str">
        <f>IF(CH30=1," * El total de Ingresos debe ser igual a la suma de los Tipos de Estrategia. ","")</f>
        <v xml:space="preserve"> * El total de Ingresos debe ser igual a la suma de los Tipos de Estrategia. </v>
      </c>
      <c r="CH30" s="4994">
        <f>IF(SUM(AO30:AR30)=D30,0,1)</f>
        <v>1</v>
      </c>
      <c r="CI30" s="4978"/>
      <c r="CJ30" s="4978"/>
      <c r="CK30" s="4978"/>
      <c r="CL30" s="4978"/>
      <c r="CM30" s="4978"/>
      <c r="CN30" s="4978"/>
      <c r="CO30" s="4978"/>
      <c r="CP30" s="4978"/>
      <c r="CQ30" s="4978"/>
      <c r="CR30" s="4978"/>
      <c r="CS30" s="4978"/>
      <c r="CT30" s="4978"/>
      <c r="CU30" s="4978"/>
      <c r="CV30" s="4264"/>
      <c r="CW30" s="4264"/>
      <c r="CX30" s="4264"/>
      <c r="CY30" s="4264"/>
      <c r="CZ30" s="4264"/>
      <c r="DA30" s="4264"/>
    </row>
    <row r="31" spans="1:105" ht="14.1" customHeight="1" x14ac:dyDescent="0.3">
      <c r="A31" s="7320">
        <v>29101621</v>
      </c>
      <c r="B31" s="9468"/>
      <c r="C31" s="5058" t="s">
        <v>2816</v>
      </c>
      <c r="D31" s="8315" t="s">
        <v>5369</v>
      </c>
      <c r="E31" s="5236" t="s">
        <v>5370</v>
      </c>
      <c r="F31" s="5236" t="s">
        <v>5371</v>
      </c>
      <c r="G31" s="8316" t="s">
        <v>5372</v>
      </c>
      <c r="H31" s="8317" t="s">
        <v>5373</v>
      </c>
      <c r="I31" s="8316" t="s">
        <v>5374</v>
      </c>
      <c r="J31" s="8318" t="s">
        <v>5375</v>
      </c>
      <c r="K31" s="8316" t="s">
        <v>5376</v>
      </c>
      <c r="L31" s="8318" t="s">
        <v>5377</v>
      </c>
      <c r="M31" s="8316" t="s">
        <v>5378</v>
      </c>
      <c r="N31" s="8317" t="s">
        <v>5379</v>
      </c>
      <c r="O31" s="8319" t="s">
        <v>5380</v>
      </c>
      <c r="P31" s="8318" t="s">
        <v>5381</v>
      </c>
      <c r="Q31" s="8319" t="s">
        <v>5382</v>
      </c>
      <c r="R31" s="8318" t="s">
        <v>5383</v>
      </c>
      <c r="S31" s="8319" t="s">
        <v>5384</v>
      </c>
      <c r="T31" s="8318" t="s">
        <v>5385</v>
      </c>
      <c r="U31" s="8319" t="s">
        <v>5386</v>
      </c>
      <c r="V31" s="8318" t="s">
        <v>5387</v>
      </c>
      <c r="W31" s="8319" t="s">
        <v>5388</v>
      </c>
      <c r="X31" s="8318" t="s">
        <v>5389</v>
      </c>
      <c r="Y31" s="8319" t="s">
        <v>5390</v>
      </c>
      <c r="Z31" s="8318" t="s">
        <v>5391</v>
      </c>
      <c r="AA31" s="8319" t="s">
        <v>5392</v>
      </c>
      <c r="AB31" s="8318" t="s">
        <v>5393</v>
      </c>
      <c r="AC31" s="8319" t="s">
        <v>5394</v>
      </c>
      <c r="AD31" s="8318" t="s">
        <v>5395</v>
      </c>
      <c r="AE31" s="8319" t="s">
        <v>5396</v>
      </c>
      <c r="AF31" s="8318" t="s">
        <v>5397</v>
      </c>
      <c r="AG31" s="8319" t="s">
        <v>5398</v>
      </c>
      <c r="AH31" s="8318" t="s">
        <v>5399</v>
      </c>
      <c r="AI31" s="8319" t="s">
        <v>5400</v>
      </c>
      <c r="AJ31" s="8318" t="s">
        <v>5401</v>
      </c>
      <c r="AK31" s="8319" t="s">
        <v>5402</v>
      </c>
      <c r="AL31" s="8318" t="s">
        <v>5403</v>
      </c>
      <c r="AM31" s="8319" t="s">
        <v>5404</v>
      </c>
      <c r="AN31" s="8320" t="s">
        <v>5405</v>
      </c>
      <c r="AO31" s="8321" t="s">
        <v>5406</v>
      </c>
      <c r="AP31" s="8319" t="s">
        <v>5407</v>
      </c>
      <c r="AQ31" s="8319" t="s">
        <v>5408</v>
      </c>
      <c r="AR31" s="8318" t="s">
        <v>5409</v>
      </c>
      <c r="AS31" s="8305"/>
      <c r="AT31" s="8306"/>
      <c r="AU31" s="4992"/>
      <c r="AV31" s="4992"/>
      <c r="AW31" s="4992"/>
      <c r="AX31" s="4992"/>
      <c r="AY31" s="4992"/>
      <c r="AZ31" s="4992"/>
      <c r="BA31" s="4992"/>
      <c r="BB31" s="4264"/>
      <c r="BC31" s="4264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 s="4259"/>
      <c r="BT31" s="4259"/>
      <c r="BU31" s="4259"/>
      <c r="BW31" s="4260"/>
      <c r="BX31" s="4260"/>
      <c r="BY31" s="4260"/>
      <c r="CB31" s="4993" t="str">
        <f t="shared" ref="CB31:CB52" si="13">IF(CH31=1," * El total de Ingresos debe ser igual a la suma de los Tipos de Estrategia. ","")</f>
        <v xml:space="preserve"> * El total de Ingresos debe ser igual a la suma de los Tipos de Estrategia. </v>
      </c>
      <c r="CH31" s="4994">
        <f t="shared" ref="CH31:CH50" si="14">IF(SUM(AO31:AR31)=D31,0,1)</f>
        <v>1</v>
      </c>
      <c r="CI31" s="4978"/>
      <c r="CJ31" s="4978"/>
      <c r="CK31" s="4978"/>
      <c r="CL31" s="4978"/>
      <c r="CM31" s="4994"/>
      <c r="CN31" s="4994"/>
      <c r="CO31" s="4994"/>
      <c r="CP31" s="4994"/>
      <c r="CQ31" s="4994"/>
      <c r="CR31" s="4994"/>
      <c r="CS31" s="4994"/>
      <c r="CT31" s="4994"/>
      <c r="CU31" s="4994"/>
      <c r="CV31" s="4264"/>
      <c r="CW31" s="4264"/>
      <c r="CX31" s="4264"/>
      <c r="CY31" s="4264"/>
      <c r="CZ31" s="4264"/>
      <c r="DA31" s="4264"/>
    </row>
    <row r="32" spans="1:105" ht="14.1" customHeight="1" x14ac:dyDescent="0.3">
      <c r="A32" s="7320">
        <v>29101622</v>
      </c>
      <c r="B32" s="9468"/>
      <c r="C32" s="5070" t="s">
        <v>2817</v>
      </c>
      <c r="D32" s="8322" t="s">
        <v>5369</v>
      </c>
      <c r="E32" s="5236" t="s">
        <v>5370</v>
      </c>
      <c r="F32" s="5236" t="s">
        <v>5371</v>
      </c>
      <c r="G32" s="8316" t="s">
        <v>5372</v>
      </c>
      <c r="H32" s="8317" t="s">
        <v>5373</v>
      </c>
      <c r="I32" s="8316" t="s">
        <v>5374</v>
      </c>
      <c r="J32" s="8318" t="s">
        <v>5375</v>
      </c>
      <c r="K32" s="8316" t="s">
        <v>5376</v>
      </c>
      <c r="L32" s="8318" t="s">
        <v>5377</v>
      </c>
      <c r="M32" s="8316" t="s">
        <v>5378</v>
      </c>
      <c r="N32" s="8317" t="s">
        <v>5379</v>
      </c>
      <c r="O32" s="8319" t="s">
        <v>5380</v>
      </c>
      <c r="P32" s="8318" t="s">
        <v>5381</v>
      </c>
      <c r="Q32" s="8319" t="s">
        <v>5382</v>
      </c>
      <c r="R32" s="8318" t="s">
        <v>5383</v>
      </c>
      <c r="S32" s="8319" t="s">
        <v>5384</v>
      </c>
      <c r="T32" s="8318" t="s">
        <v>5385</v>
      </c>
      <c r="U32" s="8319" t="s">
        <v>5386</v>
      </c>
      <c r="V32" s="8318" t="s">
        <v>5387</v>
      </c>
      <c r="W32" s="8319" t="s">
        <v>5388</v>
      </c>
      <c r="X32" s="8318" t="s">
        <v>5389</v>
      </c>
      <c r="Y32" s="8319" t="s">
        <v>5390</v>
      </c>
      <c r="Z32" s="8318" t="s">
        <v>5391</v>
      </c>
      <c r="AA32" s="8319" t="s">
        <v>5392</v>
      </c>
      <c r="AB32" s="8318" t="s">
        <v>5393</v>
      </c>
      <c r="AC32" s="8319" t="s">
        <v>5394</v>
      </c>
      <c r="AD32" s="8318" t="s">
        <v>5395</v>
      </c>
      <c r="AE32" s="8319" t="s">
        <v>5396</v>
      </c>
      <c r="AF32" s="8318" t="s">
        <v>5397</v>
      </c>
      <c r="AG32" s="8319" t="s">
        <v>5398</v>
      </c>
      <c r="AH32" s="8318" t="s">
        <v>5399</v>
      </c>
      <c r="AI32" s="8319" t="s">
        <v>5400</v>
      </c>
      <c r="AJ32" s="8318" t="s">
        <v>5401</v>
      </c>
      <c r="AK32" s="8319" t="s">
        <v>5402</v>
      </c>
      <c r="AL32" s="8318" t="s">
        <v>5403</v>
      </c>
      <c r="AM32" s="8319" t="s">
        <v>5404</v>
      </c>
      <c r="AN32" s="8320" t="s">
        <v>5405</v>
      </c>
      <c r="AO32" s="8321" t="s">
        <v>5406</v>
      </c>
      <c r="AP32" s="8319" t="s">
        <v>5407</v>
      </c>
      <c r="AQ32" s="8319" t="s">
        <v>5408</v>
      </c>
      <c r="AR32" s="8318" t="s">
        <v>5409</v>
      </c>
      <c r="AS32" s="8305"/>
      <c r="AT32" s="8306"/>
      <c r="AU32" s="4992"/>
      <c r="AV32" s="4992"/>
      <c r="AW32" s="4992"/>
      <c r="AX32" s="4992"/>
      <c r="AY32" s="4992"/>
      <c r="AZ32" s="4992"/>
      <c r="BA32" s="4992"/>
      <c r="BB32" s="4264"/>
      <c r="BC32" s="4264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 s="4259"/>
      <c r="BT32" s="4259"/>
      <c r="BU32" s="4259"/>
      <c r="BW32" s="4260"/>
      <c r="BX32" s="4260"/>
      <c r="BY32" s="4260"/>
      <c r="CB32" s="4993" t="str">
        <f t="shared" si="13"/>
        <v xml:space="preserve"> * El total de Ingresos debe ser igual a la suma de los Tipos de Estrategia. </v>
      </c>
      <c r="CH32" s="4994">
        <f t="shared" si="14"/>
        <v>1</v>
      </c>
      <c r="CI32" s="4978"/>
      <c r="CJ32" s="4978"/>
      <c r="CK32" s="4978"/>
      <c r="CL32" s="4978"/>
      <c r="CM32" s="4978"/>
      <c r="CN32" s="4978"/>
      <c r="CO32" s="4978"/>
      <c r="CP32" s="4978"/>
      <c r="CQ32" s="4978"/>
      <c r="CR32" s="4978"/>
      <c r="CS32" s="4978"/>
      <c r="CT32" s="4978"/>
      <c r="CU32" s="4978"/>
      <c r="CV32" s="4264"/>
      <c r="CW32" s="4264"/>
      <c r="CX32" s="4264"/>
      <c r="CY32" s="4264"/>
      <c r="CZ32" s="4264"/>
      <c r="DA32" s="4264"/>
    </row>
    <row r="33" spans="1:105" ht="14.1" customHeight="1" x14ac:dyDescent="0.25">
      <c r="A33" s="7320">
        <v>29101623</v>
      </c>
      <c r="B33" s="9468"/>
      <c r="C33" s="5070" t="s">
        <v>2818</v>
      </c>
      <c r="D33" s="8322" t="s">
        <v>5369</v>
      </c>
      <c r="E33" s="5236" t="s">
        <v>5370</v>
      </c>
      <c r="F33" s="5236" t="s">
        <v>5371</v>
      </c>
      <c r="G33" s="8316" t="s">
        <v>5372</v>
      </c>
      <c r="H33" s="8317" t="s">
        <v>5373</v>
      </c>
      <c r="I33" s="8316" t="s">
        <v>5374</v>
      </c>
      <c r="J33" s="8318" t="s">
        <v>5375</v>
      </c>
      <c r="K33" s="8316" t="s">
        <v>5376</v>
      </c>
      <c r="L33" s="8318" t="s">
        <v>5377</v>
      </c>
      <c r="M33" s="8316" t="s">
        <v>5378</v>
      </c>
      <c r="N33" s="8317" t="s">
        <v>5379</v>
      </c>
      <c r="O33" s="8319" t="s">
        <v>5380</v>
      </c>
      <c r="P33" s="8318" t="s">
        <v>5381</v>
      </c>
      <c r="Q33" s="8319" t="s">
        <v>5382</v>
      </c>
      <c r="R33" s="8318" t="s">
        <v>5383</v>
      </c>
      <c r="S33" s="8319" t="s">
        <v>5384</v>
      </c>
      <c r="T33" s="8318" t="s">
        <v>5385</v>
      </c>
      <c r="U33" s="8319" t="s">
        <v>5386</v>
      </c>
      <c r="V33" s="8318" t="s">
        <v>5387</v>
      </c>
      <c r="W33" s="8319" t="s">
        <v>5388</v>
      </c>
      <c r="X33" s="8318" t="s">
        <v>5389</v>
      </c>
      <c r="Y33" s="8319" t="s">
        <v>5390</v>
      </c>
      <c r="Z33" s="8318" t="s">
        <v>5391</v>
      </c>
      <c r="AA33" s="8319" t="s">
        <v>5392</v>
      </c>
      <c r="AB33" s="8318" t="s">
        <v>5393</v>
      </c>
      <c r="AC33" s="8319" t="s">
        <v>5394</v>
      </c>
      <c r="AD33" s="8318" t="s">
        <v>5395</v>
      </c>
      <c r="AE33" s="8319" t="s">
        <v>5396</v>
      </c>
      <c r="AF33" s="8318" t="s">
        <v>5397</v>
      </c>
      <c r="AG33" s="8319" t="s">
        <v>5398</v>
      </c>
      <c r="AH33" s="8318" t="s">
        <v>5399</v>
      </c>
      <c r="AI33" s="8319" t="s">
        <v>5400</v>
      </c>
      <c r="AJ33" s="8318" t="s">
        <v>5401</v>
      </c>
      <c r="AK33" s="8319" t="s">
        <v>5402</v>
      </c>
      <c r="AL33" s="8318" t="s">
        <v>5403</v>
      </c>
      <c r="AM33" s="8319" t="s">
        <v>5404</v>
      </c>
      <c r="AN33" s="8320" t="s">
        <v>5405</v>
      </c>
      <c r="AO33" s="8321" t="s">
        <v>5406</v>
      </c>
      <c r="AP33" s="8319" t="s">
        <v>5407</v>
      </c>
      <c r="AQ33" s="8319" t="s">
        <v>5408</v>
      </c>
      <c r="AR33" s="8318" t="s">
        <v>5409</v>
      </c>
      <c r="AS33" s="8305"/>
      <c r="AT33" s="8323"/>
      <c r="AU33" s="4264"/>
      <c r="AV33" s="4264"/>
      <c r="AW33" s="4264"/>
      <c r="AX33" s="4264"/>
      <c r="AY33" s="4264"/>
      <c r="AZ33" s="4264"/>
      <c r="BA33" s="4264"/>
      <c r="BB33" s="4264"/>
      <c r="BC33" s="4264"/>
      <c r="BS33" s="4259"/>
      <c r="BT33" s="4259"/>
      <c r="BU33" s="4259"/>
      <c r="BW33" s="4260"/>
      <c r="BX33" s="4260"/>
      <c r="BY33" s="4260"/>
      <c r="CB33" s="4993" t="str">
        <f t="shared" si="13"/>
        <v xml:space="preserve"> * El total de Ingresos debe ser igual a la suma de los Tipos de Estrategia. </v>
      </c>
      <c r="CH33" s="4994">
        <f t="shared" si="14"/>
        <v>1</v>
      </c>
      <c r="CI33" s="4978"/>
      <c r="CJ33" s="4978"/>
      <c r="CK33" s="4978"/>
      <c r="CL33" s="4978"/>
      <c r="CM33" s="4978"/>
      <c r="CN33" s="4978"/>
      <c r="CO33" s="4978"/>
      <c r="CP33" s="4978"/>
      <c r="CQ33" s="4978"/>
      <c r="CR33" s="4978"/>
      <c r="CS33" s="4978"/>
      <c r="CT33" s="4978"/>
      <c r="CU33" s="4978"/>
      <c r="CV33" s="4264"/>
      <c r="CW33" s="4264"/>
      <c r="CX33" s="4264"/>
      <c r="CY33" s="4264"/>
      <c r="CZ33" s="4264"/>
      <c r="DA33" s="4264"/>
    </row>
    <row r="34" spans="1:105" ht="14.1" customHeight="1" x14ac:dyDescent="0.25">
      <c r="A34" s="7320">
        <v>29101624</v>
      </c>
      <c r="B34" s="9468"/>
      <c r="C34" s="5070" t="s">
        <v>2819</v>
      </c>
      <c r="D34" s="8322" t="s">
        <v>5369</v>
      </c>
      <c r="E34" s="5236" t="s">
        <v>5370</v>
      </c>
      <c r="F34" s="5236" t="s">
        <v>5371</v>
      </c>
      <c r="G34" s="8316" t="s">
        <v>5372</v>
      </c>
      <c r="H34" s="8317" t="s">
        <v>5373</v>
      </c>
      <c r="I34" s="8316" t="s">
        <v>5374</v>
      </c>
      <c r="J34" s="8318" t="s">
        <v>5375</v>
      </c>
      <c r="K34" s="8316" t="s">
        <v>5376</v>
      </c>
      <c r="L34" s="8318" t="s">
        <v>5377</v>
      </c>
      <c r="M34" s="8316" t="s">
        <v>5378</v>
      </c>
      <c r="N34" s="8317" t="s">
        <v>5379</v>
      </c>
      <c r="O34" s="8319" t="s">
        <v>5380</v>
      </c>
      <c r="P34" s="8318" t="s">
        <v>5381</v>
      </c>
      <c r="Q34" s="8319" t="s">
        <v>5382</v>
      </c>
      <c r="R34" s="8318" t="s">
        <v>5383</v>
      </c>
      <c r="S34" s="8319" t="s">
        <v>5384</v>
      </c>
      <c r="T34" s="8318" t="s">
        <v>5385</v>
      </c>
      <c r="U34" s="8319" t="s">
        <v>5386</v>
      </c>
      <c r="V34" s="8318" t="s">
        <v>5387</v>
      </c>
      <c r="W34" s="8319" t="s">
        <v>5388</v>
      </c>
      <c r="X34" s="8318" t="s">
        <v>5389</v>
      </c>
      <c r="Y34" s="8319" t="s">
        <v>5390</v>
      </c>
      <c r="Z34" s="8318" t="s">
        <v>5391</v>
      </c>
      <c r="AA34" s="8319" t="s">
        <v>5392</v>
      </c>
      <c r="AB34" s="8318" t="s">
        <v>5393</v>
      </c>
      <c r="AC34" s="8319" t="s">
        <v>5394</v>
      </c>
      <c r="AD34" s="8318" t="s">
        <v>5395</v>
      </c>
      <c r="AE34" s="8319" t="s">
        <v>5396</v>
      </c>
      <c r="AF34" s="8318" t="s">
        <v>5397</v>
      </c>
      <c r="AG34" s="8319" t="s">
        <v>5398</v>
      </c>
      <c r="AH34" s="8318" t="s">
        <v>5399</v>
      </c>
      <c r="AI34" s="8319" t="s">
        <v>5400</v>
      </c>
      <c r="AJ34" s="8318" t="s">
        <v>5401</v>
      </c>
      <c r="AK34" s="8319" t="s">
        <v>5402</v>
      </c>
      <c r="AL34" s="8318" t="s">
        <v>5403</v>
      </c>
      <c r="AM34" s="8319" t="s">
        <v>5404</v>
      </c>
      <c r="AN34" s="8320" t="s">
        <v>5405</v>
      </c>
      <c r="AO34" s="8321" t="s">
        <v>5406</v>
      </c>
      <c r="AP34" s="8319" t="s">
        <v>5407</v>
      </c>
      <c r="AQ34" s="8319" t="s">
        <v>5408</v>
      </c>
      <c r="AR34" s="8318" t="s">
        <v>5409</v>
      </c>
      <c r="AS34" s="8305"/>
      <c r="AT34" s="8323"/>
      <c r="AU34" s="4264"/>
      <c r="AV34" s="4264"/>
      <c r="AW34" s="4264"/>
      <c r="AX34" s="4264"/>
      <c r="AY34" s="4264"/>
      <c r="AZ34" s="4264"/>
      <c r="BA34" s="4264"/>
      <c r="BB34" s="4264"/>
      <c r="BC34" s="4264"/>
      <c r="BD34" s="4264"/>
      <c r="BT34" s="4259"/>
      <c r="BU34" s="4259"/>
      <c r="BW34" s="4260"/>
      <c r="BX34" s="4260"/>
      <c r="BY34" s="4260"/>
      <c r="CB34" s="4993" t="str">
        <f t="shared" si="13"/>
        <v xml:space="preserve"> * El total de Ingresos debe ser igual a la suma de los Tipos de Estrategia. </v>
      </c>
      <c r="CH34" s="4994">
        <f t="shared" si="14"/>
        <v>1</v>
      </c>
      <c r="CI34" s="4978"/>
      <c r="CJ34" s="4978"/>
      <c r="CK34" s="4978"/>
      <c r="CL34" s="4978"/>
      <c r="CM34" s="4978"/>
      <c r="CN34" s="4978"/>
      <c r="CO34" s="4978"/>
      <c r="CP34" s="4978"/>
      <c r="CQ34" s="4978"/>
      <c r="CR34" s="4978"/>
      <c r="CS34" s="4978"/>
      <c r="CT34" s="4978"/>
      <c r="CU34" s="4978"/>
      <c r="CV34" s="4264"/>
      <c r="CW34" s="4264"/>
      <c r="CX34" s="4264"/>
      <c r="CY34" s="4264"/>
      <c r="CZ34" s="4264"/>
      <c r="DA34" s="4264"/>
    </row>
    <row r="35" spans="1:105" ht="14.1" customHeight="1" x14ac:dyDescent="0.25">
      <c r="A35" s="7320">
        <v>29101625</v>
      </c>
      <c r="B35" s="9468"/>
      <c r="C35" s="5070" t="s">
        <v>2820</v>
      </c>
      <c r="D35" s="8322" t="s">
        <v>5369</v>
      </c>
      <c r="E35" s="5236" t="s">
        <v>5370</v>
      </c>
      <c r="F35" s="5236" t="s">
        <v>5371</v>
      </c>
      <c r="G35" s="8316" t="s">
        <v>5372</v>
      </c>
      <c r="H35" s="8317" t="s">
        <v>5373</v>
      </c>
      <c r="I35" s="8316" t="s">
        <v>5374</v>
      </c>
      <c r="J35" s="8318" t="s">
        <v>5375</v>
      </c>
      <c r="K35" s="8316" t="s">
        <v>5376</v>
      </c>
      <c r="L35" s="8318" t="s">
        <v>5377</v>
      </c>
      <c r="M35" s="8316" t="s">
        <v>5378</v>
      </c>
      <c r="N35" s="8317" t="s">
        <v>5379</v>
      </c>
      <c r="O35" s="8319" t="s">
        <v>5380</v>
      </c>
      <c r="P35" s="8318" t="s">
        <v>5381</v>
      </c>
      <c r="Q35" s="8319" t="s">
        <v>5382</v>
      </c>
      <c r="R35" s="8318" t="s">
        <v>5383</v>
      </c>
      <c r="S35" s="8319" t="s">
        <v>5384</v>
      </c>
      <c r="T35" s="8318" t="s">
        <v>5385</v>
      </c>
      <c r="U35" s="8319" t="s">
        <v>5386</v>
      </c>
      <c r="V35" s="8318" t="s">
        <v>5387</v>
      </c>
      <c r="W35" s="8319" t="s">
        <v>5388</v>
      </c>
      <c r="X35" s="8318" t="s">
        <v>5389</v>
      </c>
      <c r="Y35" s="8319" t="s">
        <v>5390</v>
      </c>
      <c r="Z35" s="8318" t="s">
        <v>5391</v>
      </c>
      <c r="AA35" s="8319" t="s">
        <v>5392</v>
      </c>
      <c r="AB35" s="8318" t="s">
        <v>5393</v>
      </c>
      <c r="AC35" s="8319" t="s">
        <v>5394</v>
      </c>
      <c r="AD35" s="8318" t="s">
        <v>5395</v>
      </c>
      <c r="AE35" s="8319" t="s">
        <v>5396</v>
      </c>
      <c r="AF35" s="8318" t="s">
        <v>5397</v>
      </c>
      <c r="AG35" s="8319" t="s">
        <v>5398</v>
      </c>
      <c r="AH35" s="8318" t="s">
        <v>5399</v>
      </c>
      <c r="AI35" s="8319" t="s">
        <v>5400</v>
      </c>
      <c r="AJ35" s="8318" t="s">
        <v>5401</v>
      </c>
      <c r="AK35" s="8319" t="s">
        <v>5402</v>
      </c>
      <c r="AL35" s="8318" t="s">
        <v>5403</v>
      </c>
      <c r="AM35" s="8319" t="s">
        <v>5404</v>
      </c>
      <c r="AN35" s="8320" t="s">
        <v>5405</v>
      </c>
      <c r="AO35" s="8321" t="s">
        <v>5406</v>
      </c>
      <c r="AP35" s="8319" t="s">
        <v>5407</v>
      </c>
      <c r="AQ35" s="8319" t="s">
        <v>5408</v>
      </c>
      <c r="AR35" s="8318" t="s">
        <v>5409</v>
      </c>
      <c r="AS35" s="8305"/>
      <c r="AT35" s="8323"/>
      <c r="AU35" s="4264"/>
      <c r="AV35" s="4264"/>
      <c r="AW35" s="4264"/>
      <c r="AX35" s="4264"/>
      <c r="AY35" s="4264"/>
      <c r="AZ35" s="4264"/>
      <c r="BA35" s="4264"/>
      <c r="BB35" s="4264"/>
      <c r="BC35" s="4264"/>
      <c r="BD35" s="4264"/>
      <c r="BT35" s="4259"/>
      <c r="BU35" s="4259"/>
      <c r="BW35" s="4260"/>
      <c r="BX35" s="4260"/>
      <c r="BY35" s="4260"/>
      <c r="CB35" s="4993" t="str">
        <f t="shared" si="13"/>
        <v xml:space="preserve"> * El total de Ingresos debe ser igual a la suma de los Tipos de Estrategia. </v>
      </c>
      <c r="CH35" s="4994">
        <f t="shared" si="14"/>
        <v>1</v>
      </c>
      <c r="CI35" s="4978"/>
      <c r="CJ35" s="4978"/>
      <c r="CK35" s="4978"/>
      <c r="CL35" s="4978"/>
      <c r="CM35" s="4978"/>
      <c r="CN35" s="4978"/>
      <c r="CO35" s="4978"/>
      <c r="CP35" s="4978"/>
      <c r="CQ35" s="4978"/>
      <c r="CR35" s="4978"/>
      <c r="CS35" s="4978"/>
      <c r="CT35" s="4978"/>
      <c r="CU35" s="4978"/>
      <c r="CV35" s="4264"/>
      <c r="CW35" s="4264"/>
      <c r="CX35" s="4264"/>
      <c r="CY35" s="4264"/>
      <c r="CZ35" s="4264"/>
      <c r="DA35" s="4264"/>
    </row>
    <row r="36" spans="1:105" ht="14.1" customHeight="1" x14ac:dyDescent="0.25">
      <c r="A36" s="7320">
        <v>29101626</v>
      </c>
      <c r="B36" s="9468"/>
      <c r="C36" s="5071" t="s">
        <v>2821</v>
      </c>
      <c r="D36" s="8324" t="s">
        <v>5369</v>
      </c>
      <c r="E36" s="5236" t="s">
        <v>5370</v>
      </c>
      <c r="F36" s="5236" t="s">
        <v>5371</v>
      </c>
      <c r="G36" s="8316" t="s">
        <v>5372</v>
      </c>
      <c r="H36" s="8317" t="s">
        <v>5373</v>
      </c>
      <c r="I36" s="8316" t="s">
        <v>5374</v>
      </c>
      <c r="J36" s="8318" t="s">
        <v>5375</v>
      </c>
      <c r="K36" s="8316" t="s">
        <v>5376</v>
      </c>
      <c r="L36" s="8318" t="s">
        <v>5377</v>
      </c>
      <c r="M36" s="8316" t="s">
        <v>5378</v>
      </c>
      <c r="N36" s="8317" t="s">
        <v>5379</v>
      </c>
      <c r="O36" s="8319" t="s">
        <v>5380</v>
      </c>
      <c r="P36" s="8318" t="s">
        <v>5381</v>
      </c>
      <c r="Q36" s="8319" t="s">
        <v>5382</v>
      </c>
      <c r="R36" s="8318" t="s">
        <v>5383</v>
      </c>
      <c r="S36" s="8319" t="s">
        <v>5384</v>
      </c>
      <c r="T36" s="8318" t="s">
        <v>5385</v>
      </c>
      <c r="U36" s="8319" t="s">
        <v>5386</v>
      </c>
      <c r="V36" s="8318" t="s">
        <v>5387</v>
      </c>
      <c r="W36" s="8319" t="s">
        <v>5388</v>
      </c>
      <c r="X36" s="8318" t="s">
        <v>5389</v>
      </c>
      <c r="Y36" s="8319" t="s">
        <v>5390</v>
      </c>
      <c r="Z36" s="8318" t="s">
        <v>5391</v>
      </c>
      <c r="AA36" s="8319" t="s">
        <v>5392</v>
      </c>
      <c r="AB36" s="8318" t="s">
        <v>5393</v>
      </c>
      <c r="AC36" s="8319" t="s">
        <v>5394</v>
      </c>
      <c r="AD36" s="8318" t="s">
        <v>5395</v>
      </c>
      <c r="AE36" s="8319" t="s">
        <v>5396</v>
      </c>
      <c r="AF36" s="8318" t="s">
        <v>5397</v>
      </c>
      <c r="AG36" s="8319" t="s">
        <v>5398</v>
      </c>
      <c r="AH36" s="8318" t="s">
        <v>5399</v>
      </c>
      <c r="AI36" s="8319" t="s">
        <v>5400</v>
      </c>
      <c r="AJ36" s="8318" t="s">
        <v>5401</v>
      </c>
      <c r="AK36" s="8319" t="s">
        <v>5402</v>
      </c>
      <c r="AL36" s="8318" t="s">
        <v>5403</v>
      </c>
      <c r="AM36" s="8319" t="s">
        <v>5404</v>
      </c>
      <c r="AN36" s="8320" t="s">
        <v>5405</v>
      </c>
      <c r="AO36" s="8321" t="s">
        <v>5406</v>
      </c>
      <c r="AP36" s="8319" t="s">
        <v>5407</v>
      </c>
      <c r="AQ36" s="8319" t="s">
        <v>5408</v>
      </c>
      <c r="AR36" s="8318" t="s">
        <v>5409</v>
      </c>
      <c r="AS36" s="8305"/>
      <c r="AT36" s="8323"/>
      <c r="AU36" s="4264"/>
      <c r="AV36" s="4264"/>
      <c r="AW36" s="4264"/>
      <c r="AX36" s="4264"/>
      <c r="AY36" s="4264"/>
      <c r="AZ36" s="4264"/>
      <c r="BA36" s="4264"/>
      <c r="BB36" s="4264"/>
      <c r="BC36" s="4264"/>
      <c r="BD36" s="4264"/>
      <c r="BT36" s="4259"/>
      <c r="BU36" s="4259"/>
      <c r="BW36" s="4260"/>
      <c r="BX36" s="4260"/>
      <c r="BY36" s="4260"/>
      <c r="CB36" s="4993" t="str">
        <f t="shared" si="13"/>
        <v xml:space="preserve"> * El total de Ingresos debe ser igual a la suma de los Tipos de Estrategia. </v>
      </c>
      <c r="CH36" s="4994">
        <f t="shared" si="14"/>
        <v>1</v>
      </c>
      <c r="CI36" s="4978"/>
      <c r="CJ36" s="4978"/>
      <c r="CK36" s="4978"/>
      <c r="CL36" s="4978"/>
      <c r="CM36" s="4978"/>
      <c r="CN36" s="4978"/>
      <c r="CO36" s="4978"/>
      <c r="CP36" s="4978"/>
      <c r="CQ36" s="4978"/>
      <c r="CR36" s="4978"/>
      <c r="CS36" s="4978"/>
      <c r="CT36" s="4978"/>
      <c r="CU36" s="4978"/>
      <c r="CV36" s="4264"/>
      <c r="CW36" s="4264"/>
      <c r="CX36" s="4264"/>
      <c r="CY36" s="4264"/>
      <c r="CZ36" s="4264"/>
      <c r="DA36" s="4264"/>
    </row>
    <row r="37" spans="1:105" ht="14.1" customHeight="1" x14ac:dyDescent="0.25">
      <c r="A37" s="7676" t="s">
        <v>5362</v>
      </c>
      <c r="B37" s="9468"/>
      <c r="C37" s="5072" t="s">
        <v>3554</v>
      </c>
      <c r="D37" s="8204" t="s">
        <v>5369</v>
      </c>
      <c r="E37" s="5236" t="s">
        <v>5370</v>
      </c>
      <c r="F37" s="5236" t="s">
        <v>5371</v>
      </c>
      <c r="G37" s="8316" t="s">
        <v>5372</v>
      </c>
      <c r="H37" s="8317" t="s">
        <v>5373</v>
      </c>
      <c r="I37" s="8316" t="s">
        <v>5374</v>
      </c>
      <c r="J37" s="8318" t="s">
        <v>5375</v>
      </c>
      <c r="K37" s="8316" t="s">
        <v>5376</v>
      </c>
      <c r="L37" s="8318" t="s">
        <v>5377</v>
      </c>
      <c r="M37" s="8316" t="s">
        <v>5378</v>
      </c>
      <c r="N37" s="8317" t="s">
        <v>5379</v>
      </c>
      <c r="O37" s="8319" t="s">
        <v>5380</v>
      </c>
      <c r="P37" s="8318" t="s">
        <v>5381</v>
      </c>
      <c r="Q37" s="8319" t="s">
        <v>5382</v>
      </c>
      <c r="R37" s="8318" t="s">
        <v>5383</v>
      </c>
      <c r="S37" s="8319" t="s">
        <v>5384</v>
      </c>
      <c r="T37" s="8318" t="s">
        <v>5385</v>
      </c>
      <c r="U37" s="8319" t="s">
        <v>5386</v>
      </c>
      <c r="V37" s="8318" t="s">
        <v>5387</v>
      </c>
      <c r="W37" s="8319" t="s">
        <v>5388</v>
      </c>
      <c r="X37" s="8318" t="s">
        <v>5389</v>
      </c>
      <c r="Y37" s="8319" t="s">
        <v>5390</v>
      </c>
      <c r="Z37" s="8318" t="s">
        <v>5391</v>
      </c>
      <c r="AA37" s="8319" t="s">
        <v>5392</v>
      </c>
      <c r="AB37" s="8318" t="s">
        <v>5393</v>
      </c>
      <c r="AC37" s="8319" t="s">
        <v>5394</v>
      </c>
      <c r="AD37" s="8318" t="s">
        <v>5395</v>
      </c>
      <c r="AE37" s="8319" t="s">
        <v>5396</v>
      </c>
      <c r="AF37" s="8318" t="s">
        <v>5397</v>
      </c>
      <c r="AG37" s="8319" t="s">
        <v>5398</v>
      </c>
      <c r="AH37" s="8318" t="s">
        <v>5399</v>
      </c>
      <c r="AI37" s="8319" t="s">
        <v>5400</v>
      </c>
      <c r="AJ37" s="8318" t="s">
        <v>5401</v>
      </c>
      <c r="AK37" s="8319" t="s">
        <v>5402</v>
      </c>
      <c r="AL37" s="8318" t="s">
        <v>5403</v>
      </c>
      <c r="AM37" s="8319" t="s">
        <v>5404</v>
      </c>
      <c r="AN37" s="8320" t="s">
        <v>5405</v>
      </c>
      <c r="AO37" s="8321" t="s">
        <v>5406</v>
      </c>
      <c r="AP37" s="8319" t="s">
        <v>5407</v>
      </c>
      <c r="AQ37" s="8319" t="s">
        <v>5408</v>
      </c>
      <c r="AR37" s="8318" t="s">
        <v>5409</v>
      </c>
      <c r="AS37" s="8305"/>
      <c r="AT37" s="8323"/>
      <c r="AU37" s="4264"/>
      <c r="AV37" s="4264"/>
      <c r="AW37" s="4264"/>
      <c r="AX37" s="4264"/>
      <c r="AY37" s="4264"/>
      <c r="AZ37" s="4264"/>
      <c r="BA37" s="4264"/>
      <c r="BB37" s="4264"/>
      <c r="BC37" s="4264"/>
      <c r="BD37" s="4264"/>
      <c r="BT37" s="4259"/>
      <c r="BU37" s="4259"/>
      <c r="BW37" s="4260"/>
      <c r="BX37" s="4260"/>
      <c r="BY37" s="4260"/>
      <c r="CB37" s="4993" t="str">
        <f t="shared" si="13"/>
        <v xml:space="preserve"> * El total de Ingresos debe ser igual a la suma de los Tipos de Estrategia. </v>
      </c>
      <c r="CH37" s="4994">
        <f t="shared" si="14"/>
        <v>1</v>
      </c>
      <c r="CI37" s="4978"/>
      <c r="CJ37" s="4978"/>
      <c r="CK37" s="4978"/>
      <c r="CL37" s="4978"/>
      <c r="CM37" s="4978"/>
      <c r="CN37" s="4978"/>
      <c r="CO37" s="4978"/>
      <c r="CP37" s="4978"/>
      <c r="CQ37" s="4978"/>
      <c r="CR37" s="4978"/>
      <c r="CS37" s="4978"/>
      <c r="CT37" s="4978"/>
      <c r="CU37" s="4978"/>
      <c r="CV37" s="4264"/>
      <c r="CW37" s="4264"/>
      <c r="CX37" s="4264"/>
      <c r="CY37" s="4264"/>
      <c r="CZ37" s="4264"/>
      <c r="DA37" s="4264"/>
    </row>
    <row r="38" spans="1:105" ht="14.1" customHeight="1" x14ac:dyDescent="0.25">
      <c r="A38" s="7676" t="s">
        <v>5363</v>
      </c>
      <c r="B38" s="9468"/>
      <c r="C38" s="5073" t="s">
        <v>2822</v>
      </c>
      <c r="D38" s="8325" t="s">
        <v>5369</v>
      </c>
      <c r="E38" s="5236" t="s">
        <v>5370</v>
      </c>
      <c r="F38" s="5236" t="s">
        <v>5371</v>
      </c>
      <c r="G38" s="8316" t="s">
        <v>5372</v>
      </c>
      <c r="H38" s="8317" t="s">
        <v>5373</v>
      </c>
      <c r="I38" s="8316" t="s">
        <v>5374</v>
      </c>
      <c r="J38" s="8318" t="s">
        <v>5375</v>
      </c>
      <c r="K38" s="8316" t="s">
        <v>5376</v>
      </c>
      <c r="L38" s="8318" t="s">
        <v>5377</v>
      </c>
      <c r="M38" s="8316" t="s">
        <v>5378</v>
      </c>
      <c r="N38" s="8317" t="s">
        <v>5379</v>
      </c>
      <c r="O38" s="8319" t="s">
        <v>5380</v>
      </c>
      <c r="P38" s="8318" t="s">
        <v>5381</v>
      </c>
      <c r="Q38" s="8319" t="s">
        <v>5382</v>
      </c>
      <c r="R38" s="8318" t="s">
        <v>5383</v>
      </c>
      <c r="S38" s="8319" t="s">
        <v>5384</v>
      </c>
      <c r="T38" s="8318" t="s">
        <v>5385</v>
      </c>
      <c r="U38" s="8319" t="s">
        <v>5386</v>
      </c>
      <c r="V38" s="8318" t="s">
        <v>5387</v>
      </c>
      <c r="W38" s="8319" t="s">
        <v>5388</v>
      </c>
      <c r="X38" s="8318" t="s">
        <v>5389</v>
      </c>
      <c r="Y38" s="8319" t="s">
        <v>5390</v>
      </c>
      <c r="Z38" s="8318" t="s">
        <v>5391</v>
      </c>
      <c r="AA38" s="8319" t="s">
        <v>5392</v>
      </c>
      <c r="AB38" s="8318" t="s">
        <v>5393</v>
      </c>
      <c r="AC38" s="8319" t="s">
        <v>5394</v>
      </c>
      <c r="AD38" s="8318" t="s">
        <v>5395</v>
      </c>
      <c r="AE38" s="8319" t="s">
        <v>5396</v>
      </c>
      <c r="AF38" s="8318" t="s">
        <v>5397</v>
      </c>
      <c r="AG38" s="8319" t="s">
        <v>5398</v>
      </c>
      <c r="AH38" s="8318" t="s">
        <v>5399</v>
      </c>
      <c r="AI38" s="8319" t="s">
        <v>5400</v>
      </c>
      <c r="AJ38" s="8318" t="s">
        <v>5401</v>
      </c>
      <c r="AK38" s="8319" t="s">
        <v>5402</v>
      </c>
      <c r="AL38" s="8318" t="s">
        <v>5403</v>
      </c>
      <c r="AM38" s="8319" t="s">
        <v>5404</v>
      </c>
      <c r="AN38" s="8320" t="s">
        <v>5405</v>
      </c>
      <c r="AO38" s="8321" t="s">
        <v>5406</v>
      </c>
      <c r="AP38" s="8319" t="s">
        <v>5407</v>
      </c>
      <c r="AQ38" s="8319" t="s">
        <v>5408</v>
      </c>
      <c r="AR38" s="8318" t="s">
        <v>5409</v>
      </c>
      <c r="AS38" s="8305"/>
      <c r="AT38" s="8323"/>
      <c r="AU38" s="4264"/>
      <c r="AV38" s="4264"/>
      <c r="AW38" s="4264"/>
      <c r="AX38" s="4264"/>
      <c r="AY38" s="4264"/>
      <c r="AZ38" s="4264"/>
      <c r="BA38" s="4264"/>
      <c r="BB38" s="4264"/>
      <c r="BC38" s="4264"/>
      <c r="BD38" s="4264"/>
      <c r="BT38" s="4259"/>
      <c r="BU38" s="4259"/>
      <c r="BW38" s="4260"/>
      <c r="BX38" s="4260"/>
      <c r="BY38" s="4260"/>
      <c r="CB38" s="4993" t="str">
        <f t="shared" si="13"/>
        <v xml:space="preserve"> * El total de Ingresos debe ser igual a la suma de los Tipos de Estrategia. </v>
      </c>
      <c r="CH38" s="4994">
        <f t="shared" si="14"/>
        <v>1</v>
      </c>
      <c r="CI38" s="4978"/>
      <c r="CJ38" s="4978"/>
      <c r="CK38" s="4978"/>
      <c r="CL38" s="4978"/>
      <c r="CM38" s="4978"/>
      <c r="CN38" s="4978"/>
      <c r="CO38" s="4978"/>
      <c r="CP38" s="4978"/>
      <c r="CQ38" s="4978"/>
      <c r="CR38" s="4978"/>
      <c r="CS38" s="4978"/>
      <c r="CT38" s="4978"/>
      <c r="CU38" s="4978"/>
      <c r="CV38" s="4264"/>
      <c r="CW38" s="4264"/>
      <c r="CX38" s="4264"/>
      <c r="CY38" s="4264"/>
      <c r="CZ38" s="4264"/>
      <c r="DA38" s="4264"/>
    </row>
    <row r="39" spans="1:105" ht="14.1" customHeight="1" x14ac:dyDescent="0.25">
      <c r="A39" s="7520">
        <v>28010600</v>
      </c>
      <c r="B39" s="9468"/>
      <c r="C39" s="5072" t="s">
        <v>2823</v>
      </c>
      <c r="D39" s="8204" t="s">
        <v>5369</v>
      </c>
      <c r="E39" s="5236" t="s">
        <v>5370</v>
      </c>
      <c r="F39" s="5236" t="s">
        <v>5371</v>
      </c>
      <c r="G39" s="8316" t="s">
        <v>5372</v>
      </c>
      <c r="H39" s="8317" t="s">
        <v>5373</v>
      </c>
      <c r="I39" s="8316" t="s">
        <v>5374</v>
      </c>
      <c r="J39" s="8318" t="s">
        <v>5375</v>
      </c>
      <c r="K39" s="8316" t="s">
        <v>5376</v>
      </c>
      <c r="L39" s="8318" t="s">
        <v>5377</v>
      </c>
      <c r="M39" s="8316" t="s">
        <v>5378</v>
      </c>
      <c r="N39" s="8317" t="s">
        <v>5379</v>
      </c>
      <c r="O39" s="8319" t="s">
        <v>5380</v>
      </c>
      <c r="P39" s="8318" t="s">
        <v>5381</v>
      </c>
      <c r="Q39" s="8319" t="s">
        <v>5382</v>
      </c>
      <c r="R39" s="8318" t="s">
        <v>5383</v>
      </c>
      <c r="S39" s="8319" t="s">
        <v>5384</v>
      </c>
      <c r="T39" s="8318" t="s">
        <v>5385</v>
      </c>
      <c r="U39" s="8319" t="s">
        <v>5386</v>
      </c>
      <c r="V39" s="8318" t="s">
        <v>5387</v>
      </c>
      <c r="W39" s="8319" t="s">
        <v>5388</v>
      </c>
      <c r="X39" s="8318" t="s">
        <v>5389</v>
      </c>
      <c r="Y39" s="8319" t="s">
        <v>5390</v>
      </c>
      <c r="Z39" s="8318" t="s">
        <v>5391</v>
      </c>
      <c r="AA39" s="8319" t="s">
        <v>5392</v>
      </c>
      <c r="AB39" s="8318" t="s">
        <v>5393</v>
      </c>
      <c r="AC39" s="8319" t="s">
        <v>5394</v>
      </c>
      <c r="AD39" s="8318" t="s">
        <v>5395</v>
      </c>
      <c r="AE39" s="8319" t="s">
        <v>5396</v>
      </c>
      <c r="AF39" s="8318" t="s">
        <v>5397</v>
      </c>
      <c r="AG39" s="8319" t="s">
        <v>5398</v>
      </c>
      <c r="AH39" s="8318" t="s">
        <v>5399</v>
      </c>
      <c r="AI39" s="8319" t="s">
        <v>5400</v>
      </c>
      <c r="AJ39" s="8318" t="s">
        <v>5401</v>
      </c>
      <c r="AK39" s="8319" t="s">
        <v>5402</v>
      </c>
      <c r="AL39" s="8318" t="s">
        <v>5403</v>
      </c>
      <c r="AM39" s="8319" t="s">
        <v>5404</v>
      </c>
      <c r="AN39" s="8320" t="s">
        <v>5405</v>
      </c>
      <c r="AO39" s="8321" t="s">
        <v>5406</v>
      </c>
      <c r="AP39" s="8319" t="s">
        <v>5407</v>
      </c>
      <c r="AQ39" s="8319" t="s">
        <v>5408</v>
      </c>
      <c r="AR39" s="8318" t="s">
        <v>5409</v>
      </c>
      <c r="AS39" s="8305"/>
      <c r="AT39" s="8323"/>
      <c r="AU39" s="4264"/>
      <c r="AV39" s="4264"/>
      <c r="AW39" s="4264"/>
      <c r="AX39" s="4264"/>
      <c r="AY39" s="4264"/>
      <c r="AZ39" s="4264"/>
      <c r="BA39" s="4264"/>
      <c r="BB39" s="4264"/>
      <c r="BC39" s="4264"/>
      <c r="BD39" s="4264"/>
      <c r="BT39" s="4259"/>
      <c r="BU39" s="4259"/>
      <c r="BW39" s="4260"/>
      <c r="BX39" s="4260"/>
      <c r="BY39" s="4260"/>
      <c r="CB39" s="4993" t="str">
        <f t="shared" si="13"/>
        <v xml:space="preserve"> * El total de Ingresos debe ser igual a la suma de los Tipos de Estrategia. </v>
      </c>
      <c r="CH39" s="4994">
        <f t="shared" si="14"/>
        <v>1</v>
      </c>
      <c r="CI39" s="4978"/>
      <c r="CJ39" s="4978"/>
      <c r="CK39" s="4978"/>
      <c r="CL39" s="4978"/>
      <c r="CM39" s="4978"/>
      <c r="CN39" s="4978"/>
      <c r="CO39" s="4978"/>
      <c r="CP39" s="4978"/>
      <c r="CQ39" s="4978"/>
      <c r="CR39" s="4978"/>
      <c r="CS39" s="4978"/>
      <c r="CT39" s="4978"/>
      <c r="CU39" s="4978"/>
      <c r="CV39" s="4264"/>
      <c r="CW39" s="4264"/>
      <c r="CX39" s="4264"/>
      <c r="CY39" s="4264"/>
      <c r="CZ39" s="4264"/>
      <c r="DA39" s="4264"/>
    </row>
    <row r="40" spans="1:105" ht="14.1" customHeight="1" x14ac:dyDescent="0.25">
      <c r="A40" s="7676" t="s">
        <v>5364</v>
      </c>
      <c r="B40" s="9468"/>
      <c r="C40" s="5072" t="s">
        <v>158</v>
      </c>
      <c r="D40" s="8204" t="s">
        <v>5369</v>
      </c>
      <c r="E40" s="5236" t="s">
        <v>5370</v>
      </c>
      <c r="F40" s="5236" t="s">
        <v>5371</v>
      </c>
      <c r="G40" s="8316" t="s">
        <v>5372</v>
      </c>
      <c r="H40" s="8317" t="s">
        <v>5373</v>
      </c>
      <c r="I40" s="8316" t="s">
        <v>5374</v>
      </c>
      <c r="J40" s="8318" t="s">
        <v>5375</v>
      </c>
      <c r="K40" s="8316" t="s">
        <v>5376</v>
      </c>
      <c r="L40" s="8318" t="s">
        <v>5377</v>
      </c>
      <c r="M40" s="8316" t="s">
        <v>5378</v>
      </c>
      <c r="N40" s="8317" t="s">
        <v>5379</v>
      </c>
      <c r="O40" s="8319" t="s">
        <v>5380</v>
      </c>
      <c r="P40" s="8318" t="s">
        <v>5381</v>
      </c>
      <c r="Q40" s="8319" t="s">
        <v>5382</v>
      </c>
      <c r="R40" s="8318" t="s">
        <v>5383</v>
      </c>
      <c r="S40" s="8319" t="s">
        <v>5384</v>
      </c>
      <c r="T40" s="8318" t="s">
        <v>5385</v>
      </c>
      <c r="U40" s="8319" t="s">
        <v>5386</v>
      </c>
      <c r="V40" s="8318" t="s">
        <v>5387</v>
      </c>
      <c r="W40" s="8319" t="s">
        <v>5388</v>
      </c>
      <c r="X40" s="8318" t="s">
        <v>5389</v>
      </c>
      <c r="Y40" s="8319" t="s">
        <v>5390</v>
      </c>
      <c r="Z40" s="8318" t="s">
        <v>5391</v>
      </c>
      <c r="AA40" s="8319" t="s">
        <v>5392</v>
      </c>
      <c r="AB40" s="8318" t="s">
        <v>5393</v>
      </c>
      <c r="AC40" s="8319" t="s">
        <v>5394</v>
      </c>
      <c r="AD40" s="8318" t="s">
        <v>5395</v>
      </c>
      <c r="AE40" s="8319" t="s">
        <v>5396</v>
      </c>
      <c r="AF40" s="8318" t="s">
        <v>5397</v>
      </c>
      <c r="AG40" s="8319" t="s">
        <v>5398</v>
      </c>
      <c r="AH40" s="8318" t="s">
        <v>5399</v>
      </c>
      <c r="AI40" s="8319" t="s">
        <v>5400</v>
      </c>
      <c r="AJ40" s="8318" t="s">
        <v>5401</v>
      </c>
      <c r="AK40" s="8319" t="s">
        <v>5402</v>
      </c>
      <c r="AL40" s="8318" t="s">
        <v>5403</v>
      </c>
      <c r="AM40" s="8319" t="s">
        <v>5404</v>
      </c>
      <c r="AN40" s="8320" t="s">
        <v>5405</v>
      </c>
      <c r="AO40" s="8321" t="s">
        <v>5406</v>
      </c>
      <c r="AP40" s="8319" t="s">
        <v>5407</v>
      </c>
      <c r="AQ40" s="8319" t="s">
        <v>5408</v>
      </c>
      <c r="AR40" s="8318" t="s">
        <v>5409</v>
      </c>
      <c r="AS40" s="8305"/>
      <c r="AT40" s="5516"/>
      <c r="BT40" s="4259"/>
      <c r="BU40" s="4259"/>
      <c r="BW40" s="4260"/>
      <c r="BX40" s="4260"/>
      <c r="BY40" s="4260"/>
      <c r="CB40" s="4993" t="str">
        <f t="shared" si="13"/>
        <v xml:space="preserve"> * El total de Ingresos debe ser igual a la suma de los Tipos de Estrategia. </v>
      </c>
      <c r="CH40" s="4994">
        <f t="shared" si="14"/>
        <v>1</v>
      </c>
      <c r="CI40" s="4978"/>
      <c r="CJ40" s="4978"/>
      <c r="CK40" s="4978"/>
      <c r="CL40" s="4978"/>
      <c r="CM40" s="4978"/>
      <c r="CN40" s="4978"/>
      <c r="CO40" s="4978"/>
      <c r="CP40" s="4978"/>
      <c r="CQ40" s="4978"/>
      <c r="CR40" s="4978"/>
      <c r="CS40" s="4978"/>
      <c r="CT40" s="4978"/>
      <c r="CU40" s="4978"/>
      <c r="CV40" s="4264"/>
      <c r="CW40" s="4264"/>
      <c r="CX40" s="4264"/>
      <c r="CY40" s="4264"/>
      <c r="CZ40" s="4264"/>
      <c r="DA40" s="4264"/>
    </row>
    <row r="41" spans="1:105" ht="14.1" customHeight="1" x14ac:dyDescent="0.25">
      <c r="A41" s="7320">
        <v>29101627</v>
      </c>
      <c r="B41" s="9468"/>
      <c r="C41" s="5074" t="s">
        <v>2824</v>
      </c>
      <c r="D41" s="8326" t="s">
        <v>5369</v>
      </c>
      <c r="E41" s="5236" t="s">
        <v>5370</v>
      </c>
      <c r="F41" s="5236" t="s">
        <v>5371</v>
      </c>
      <c r="G41" s="8316" t="s">
        <v>5372</v>
      </c>
      <c r="H41" s="8317" t="s">
        <v>5373</v>
      </c>
      <c r="I41" s="8316" t="s">
        <v>5374</v>
      </c>
      <c r="J41" s="8318" t="s">
        <v>5375</v>
      </c>
      <c r="K41" s="8316" t="s">
        <v>5376</v>
      </c>
      <c r="L41" s="8318" t="s">
        <v>5377</v>
      </c>
      <c r="M41" s="8316" t="s">
        <v>5378</v>
      </c>
      <c r="N41" s="8317" t="s">
        <v>5379</v>
      </c>
      <c r="O41" s="8319" t="s">
        <v>5380</v>
      </c>
      <c r="P41" s="8318" t="s">
        <v>5381</v>
      </c>
      <c r="Q41" s="8319" t="s">
        <v>5382</v>
      </c>
      <c r="R41" s="8318" t="s">
        <v>5383</v>
      </c>
      <c r="S41" s="8319" t="s">
        <v>5384</v>
      </c>
      <c r="T41" s="8318" t="s">
        <v>5385</v>
      </c>
      <c r="U41" s="8319" t="s">
        <v>5386</v>
      </c>
      <c r="V41" s="8318" t="s">
        <v>5387</v>
      </c>
      <c r="W41" s="8319" t="s">
        <v>5388</v>
      </c>
      <c r="X41" s="8318" t="s">
        <v>5389</v>
      </c>
      <c r="Y41" s="8319" t="s">
        <v>5390</v>
      </c>
      <c r="Z41" s="8318" t="s">
        <v>5391</v>
      </c>
      <c r="AA41" s="8319" t="s">
        <v>5392</v>
      </c>
      <c r="AB41" s="8318" t="s">
        <v>5393</v>
      </c>
      <c r="AC41" s="8319" t="s">
        <v>5394</v>
      </c>
      <c r="AD41" s="8318" t="s">
        <v>5395</v>
      </c>
      <c r="AE41" s="8319" t="s">
        <v>5396</v>
      </c>
      <c r="AF41" s="8318" t="s">
        <v>5397</v>
      </c>
      <c r="AG41" s="8319" t="s">
        <v>5398</v>
      </c>
      <c r="AH41" s="8318" t="s">
        <v>5399</v>
      </c>
      <c r="AI41" s="8319" t="s">
        <v>5400</v>
      </c>
      <c r="AJ41" s="8318" t="s">
        <v>5401</v>
      </c>
      <c r="AK41" s="8319" t="s">
        <v>5402</v>
      </c>
      <c r="AL41" s="8318" t="s">
        <v>5403</v>
      </c>
      <c r="AM41" s="8319" t="s">
        <v>5404</v>
      </c>
      <c r="AN41" s="8320" t="s">
        <v>5405</v>
      </c>
      <c r="AO41" s="8321" t="s">
        <v>5406</v>
      </c>
      <c r="AP41" s="8319" t="s">
        <v>5407</v>
      </c>
      <c r="AQ41" s="8319" t="s">
        <v>5408</v>
      </c>
      <c r="AR41" s="8318" t="s">
        <v>5409</v>
      </c>
      <c r="AS41" s="8305"/>
      <c r="AT41" s="5516"/>
      <c r="BT41" s="4259"/>
      <c r="BU41" s="4259"/>
      <c r="BW41" s="4260"/>
      <c r="BX41" s="4260"/>
      <c r="BY41" s="4260"/>
      <c r="CB41" s="4993" t="str">
        <f t="shared" si="13"/>
        <v xml:space="preserve"> * El total de Ingresos debe ser igual a la suma de los Tipos de Estrategia. </v>
      </c>
      <c r="CH41" s="4994">
        <f t="shared" si="14"/>
        <v>1</v>
      </c>
      <c r="CI41" s="4978"/>
      <c r="CJ41" s="4978"/>
      <c r="CK41" s="4978"/>
      <c r="CL41" s="4978"/>
      <c r="CM41" s="4978"/>
      <c r="CN41" s="4978"/>
      <c r="CO41" s="4978"/>
      <c r="CP41" s="4978"/>
      <c r="CQ41" s="4978"/>
      <c r="CR41" s="4978"/>
      <c r="CS41" s="4978"/>
      <c r="CT41" s="4978"/>
      <c r="CU41" s="4978"/>
      <c r="CV41" s="4264"/>
      <c r="CW41" s="4264"/>
      <c r="CX41" s="4264"/>
      <c r="CY41" s="4264"/>
      <c r="CZ41" s="4264"/>
      <c r="DA41" s="4264"/>
    </row>
    <row r="42" spans="1:105" ht="14.1" customHeight="1" x14ac:dyDescent="0.25">
      <c r="A42" s="7320">
        <v>29101628</v>
      </c>
      <c r="B42" s="9468"/>
      <c r="C42" s="5071" t="s">
        <v>2825</v>
      </c>
      <c r="D42" s="8327" t="s">
        <v>5369</v>
      </c>
      <c r="E42" s="5245" t="s">
        <v>5370</v>
      </c>
      <c r="F42" s="5245" t="s">
        <v>5371</v>
      </c>
      <c r="G42" s="8316" t="s">
        <v>5372</v>
      </c>
      <c r="H42" s="8317" t="s">
        <v>5373</v>
      </c>
      <c r="I42" s="8316" t="s">
        <v>5374</v>
      </c>
      <c r="J42" s="8317" t="s">
        <v>5375</v>
      </c>
      <c r="K42" s="8316" t="s">
        <v>5376</v>
      </c>
      <c r="L42" s="8318" t="s">
        <v>5377</v>
      </c>
      <c r="M42" s="8316" t="s">
        <v>5378</v>
      </c>
      <c r="N42" s="8317" t="s">
        <v>5379</v>
      </c>
      <c r="O42" s="8319" t="s">
        <v>5380</v>
      </c>
      <c r="P42" s="8317" t="s">
        <v>5381</v>
      </c>
      <c r="Q42" s="8328" t="s">
        <v>5382</v>
      </c>
      <c r="R42" s="8317" t="s">
        <v>5383</v>
      </c>
      <c r="S42" s="8328" t="s">
        <v>5384</v>
      </c>
      <c r="T42" s="8317" t="s">
        <v>5385</v>
      </c>
      <c r="U42" s="8328" t="s">
        <v>5386</v>
      </c>
      <c r="V42" s="8317" t="s">
        <v>5387</v>
      </c>
      <c r="W42" s="8328" t="s">
        <v>5388</v>
      </c>
      <c r="X42" s="8317" t="s">
        <v>5389</v>
      </c>
      <c r="Y42" s="8328" t="s">
        <v>5390</v>
      </c>
      <c r="Z42" s="8317" t="s">
        <v>5391</v>
      </c>
      <c r="AA42" s="8328" t="s">
        <v>5392</v>
      </c>
      <c r="AB42" s="8317" t="s">
        <v>5393</v>
      </c>
      <c r="AC42" s="8328" t="s">
        <v>5394</v>
      </c>
      <c r="AD42" s="8317" t="s">
        <v>5395</v>
      </c>
      <c r="AE42" s="8328" t="s">
        <v>5396</v>
      </c>
      <c r="AF42" s="8317" t="s">
        <v>5397</v>
      </c>
      <c r="AG42" s="8328" t="s">
        <v>5398</v>
      </c>
      <c r="AH42" s="8317" t="s">
        <v>5399</v>
      </c>
      <c r="AI42" s="8328" t="s">
        <v>5400</v>
      </c>
      <c r="AJ42" s="8317" t="s">
        <v>5401</v>
      </c>
      <c r="AK42" s="8328" t="s">
        <v>5402</v>
      </c>
      <c r="AL42" s="8317" t="s">
        <v>5403</v>
      </c>
      <c r="AM42" s="8328" t="s">
        <v>5404</v>
      </c>
      <c r="AN42" s="8329" t="s">
        <v>5405</v>
      </c>
      <c r="AO42" s="8321" t="s">
        <v>5406</v>
      </c>
      <c r="AP42" s="8319" t="s">
        <v>5407</v>
      </c>
      <c r="AQ42" s="8328" t="s">
        <v>5408</v>
      </c>
      <c r="AR42" s="8317" t="s">
        <v>5409</v>
      </c>
      <c r="AS42" s="8305"/>
      <c r="AT42" s="5516"/>
      <c r="BT42" s="4259"/>
      <c r="BU42" s="4259"/>
      <c r="BW42" s="4260"/>
      <c r="BX42" s="4260"/>
      <c r="BY42" s="4260"/>
      <c r="CB42" s="4993" t="str">
        <f t="shared" si="13"/>
        <v xml:space="preserve"> * El total de Ingresos debe ser igual a la suma de los Tipos de Estrategia. </v>
      </c>
      <c r="CH42" s="4994">
        <f t="shared" si="14"/>
        <v>1</v>
      </c>
      <c r="CI42" s="4978"/>
      <c r="CJ42" s="4978"/>
      <c r="CK42" s="4978"/>
      <c r="CL42" s="4978"/>
      <c r="CM42" s="4978"/>
      <c r="CN42" s="4978"/>
      <c r="CO42" s="4978"/>
      <c r="CP42" s="4978"/>
      <c r="CQ42" s="4978"/>
      <c r="CR42" s="4978"/>
      <c r="CS42" s="4978"/>
      <c r="CT42" s="4978"/>
      <c r="CU42" s="4978"/>
      <c r="CV42" s="4264"/>
      <c r="CW42" s="4264"/>
      <c r="CX42" s="4264"/>
      <c r="CY42" s="4264"/>
      <c r="CZ42" s="4264"/>
      <c r="DA42" s="4264"/>
    </row>
    <row r="43" spans="1:105" ht="14.1" customHeight="1" x14ac:dyDescent="0.25">
      <c r="A43" s="7520">
        <v>28022110</v>
      </c>
      <c r="B43" s="9468"/>
      <c r="C43" s="5078" t="s">
        <v>2826</v>
      </c>
      <c r="D43" s="8330" t="s">
        <v>5369</v>
      </c>
      <c r="E43" s="8205" t="s">
        <v>5370</v>
      </c>
      <c r="F43" s="8205" t="s">
        <v>5371</v>
      </c>
      <c r="G43" s="8316" t="s">
        <v>5372</v>
      </c>
      <c r="H43" s="8317" t="s">
        <v>5373</v>
      </c>
      <c r="I43" s="8316" t="s">
        <v>5374</v>
      </c>
      <c r="J43" s="8317" t="s">
        <v>5375</v>
      </c>
      <c r="K43" s="8316" t="s">
        <v>5376</v>
      </c>
      <c r="L43" s="8318" t="s">
        <v>5377</v>
      </c>
      <c r="M43" s="8316" t="s">
        <v>5378</v>
      </c>
      <c r="N43" s="8317" t="s">
        <v>5379</v>
      </c>
      <c r="O43" s="8319" t="s">
        <v>5380</v>
      </c>
      <c r="P43" s="8317" t="s">
        <v>5381</v>
      </c>
      <c r="Q43" s="8328" t="s">
        <v>5382</v>
      </c>
      <c r="R43" s="8317" t="s">
        <v>5383</v>
      </c>
      <c r="S43" s="8328" t="s">
        <v>5384</v>
      </c>
      <c r="T43" s="8317" t="s">
        <v>5385</v>
      </c>
      <c r="U43" s="8328" t="s">
        <v>5386</v>
      </c>
      <c r="V43" s="8317" t="s">
        <v>5387</v>
      </c>
      <c r="W43" s="8328" t="s">
        <v>5388</v>
      </c>
      <c r="X43" s="8317" t="s">
        <v>5389</v>
      </c>
      <c r="Y43" s="8328" t="s">
        <v>5390</v>
      </c>
      <c r="Z43" s="8317" t="s">
        <v>5391</v>
      </c>
      <c r="AA43" s="8328" t="s">
        <v>5392</v>
      </c>
      <c r="AB43" s="8317" t="s">
        <v>5393</v>
      </c>
      <c r="AC43" s="8328" t="s">
        <v>5394</v>
      </c>
      <c r="AD43" s="8317" t="s">
        <v>5395</v>
      </c>
      <c r="AE43" s="8328" t="s">
        <v>5396</v>
      </c>
      <c r="AF43" s="8317" t="s">
        <v>5397</v>
      </c>
      <c r="AG43" s="8328" t="s">
        <v>5398</v>
      </c>
      <c r="AH43" s="8317" t="s">
        <v>5399</v>
      </c>
      <c r="AI43" s="8328" t="s">
        <v>5400</v>
      </c>
      <c r="AJ43" s="8317" t="s">
        <v>5401</v>
      </c>
      <c r="AK43" s="8328" t="s">
        <v>5402</v>
      </c>
      <c r="AL43" s="8317" t="s">
        <v>5403</v>
      </c>
      <c r="AM43" s="8328" t="s">
        <v>5404</v>
      </c>
      <c r="AN43" s="8329" t="s">
        <v>5405</v>
      </c>
      <c r="AO43" s="8321" t="s">
        <v>5406</v>
      </c>
      <c r="AP43" s="8319" t="s">
        <v>5407</v>
      </c>
      <c r="AQ43" s="8328" t="s">
        <v>5408</v>
      </c>
      <c r="AR43" s="8317" t="s">
        <v>5409</v>
      </c>
      <c r="AS43" s="8305"/>
      <c r="AT43" s="5516"/>
      <c r="BT43" s="4259"/>
      <c r="BU43" s="4259"/>
      <c r="BW43" s="4260"/>
      <c r="BX43" s="4260"/>
      <c r="BY43" s="4260"/>
      <c r="CB43" s="4993" t="str">
        <f t="shared" si="13"/>
        <v xml:space="preserve"> * El total de Ingresos debe ser igual a la suma de los Tipos de Estrategia. </v>
      </c>
      <c r="CH43" s="4994">
        <f t="shared" si="14"/>
        <v>1</v>
      </c>
      <c r="CI43" s="4978"/>
      <c r="CJ43" s="4978"/>
      <c r="CK43" s="4978"/>
      <c r="CL43" s="4978"/>
      <c r="CM43" s="4978"/>
      <c r="CN43" s="4978"/>
      <c r="CO43" s="4978"/>
      <c r="CP43" s="4978"/>
      <c r="CQ43" s="4978"/>
      <c r="CR43" s="4978"/>
      <c r="CS43" s="4978"/>
      <c r="CT43" s="4978"/>
      <c r="CU43" s="4978"/>
      <c r="CV43" s="4264"/>
      <c r="CW43" s="4264"/>
      <c r="CX43" s="4264"/>
      <c r="CY43" s="4264"/>
      <c r="CZ43" s="4264"/>
      <c r="DA43" s="4264"/>
    </row>
    <row r="44" spans="1:105" ht="14.1" customHeight="1" x14ac:dyDescent="0.25">
      <c r="A44" s="7320">
        <v>29101629</v>
      </c>
      <c r="B44" s="9468"/>
      <c r="C44" s="7093" t="s">
        <v>3974</v>
      </c>
      <c r="D44" s="8330" t="s">
        <v>5369</v>
      </c>
      <c r="E44" s="8205" t="s">
        <v>5370</v>
      </c>
      <c r="F44" s="8205" t="s">
        <v>5371</v>
      </c>
      <c r="G44" s="8316" t="s">
        <v>5372</v>
      </c>
      <c r="H44" s="8317" t="s">
        <v>5373</v>
      </c>
      <c r="I44" s="8316" t="s">
        <v>5374</v>
      </c>
      <c r="J44" s="8317" t="s">
        <v>5375</v>
      </c>
      <c r="K44" s="8316" t="s">
        <v>5376</v>
      </c>
      <c r="L44" s="8318" t="s">
        <v>5377</v>
      </c>
      <c r="M44" s="8316" t="s">
        <v>5378</v>
      </c>
      <c r="N44" s="8317" t="s">
        <v>5379</v>
      </c>
      <c r="O44" s="8319" t="s">
        <v>5380</v>
      </c>
      <c r="P44" s="8317" t="s">
        <v>5381</v>
      </c>
      <c r="Q44" s="8328" t="s">
        <v>5382</v>
      </c>
      <c r="R44" s="8317" t="s">
        <v>5383</v>
      </c>
      <c r="S44" s="8328" t="s">
        <v>5384</v>
      </c>
      <c r="T44" s="8317" t="s">
        <v>5385</v>
      </c>
      <c r="U44" s="8328" t="s">
        <v>5386</v>
      </c>
      <c r="V44" s="8317" t="s">
        <v>5387</v>
      </c>
      <c r="W44" s="8328" t="s">
        <v>5388</v>
      </c>
      <c r="X44" s="8317" t="s">
        <v>5389</v>
      </c>
      <c r="Y44" s="8328" t="s">
        <v>5390</v>
      </c>
      <c r="Z44" s="8317" t="s">
        <v>5391</v>
      </c>
      <c r="AA44" s="8328" t="s">
        <v>5392</v>
      </c>
      <c r="AB44" s="8317" t="s">
        <v>5393</v>
      </c>
      <c r="AC44" s="8328" t="s">
        <v>5394</v>
      </c>
      <c r="AD44" s="8317" t="s">
        <v>5395</v>
      </c>
      <c r="AE44" s="8328" t="s">
        <v>5396</v>
      </c>
      <c r="AF44" s="8317" t="s">
        <v>5397</v>
      </c>
      <c r="AG44" s="8328" t="s">
        <v>5398</v>
      </c>
      <c r="AH44" s="8317" t="s">
        <v>5399</v>
      </c>
      <c r="AI44" s="8328" t="s">
        <v>5400</v>
      </c>
      <c r="AJ44" s="8317" t="s">
        <v>5401</v>
      </c>
      <c r="AK44" s="8328" t="s">
        <v>5402</v>
      </c>
      <c r="AL44" s="8317" t="s">
        <v>5403</v>
      </c>
      <c r="AM44" s="8328" t="s">
        <v>5404</v>
      </c>
      <c r="AN44" s="8329" t="s">
        <v>5405</v>
      </c>
      <c r="AO44" s="8321" t="s">
        <v>5406</v>
      </c>
      <c r="AP44" s="8319" t="s">
        <v>5407</v>
      </c>
      <c r="AQ44" s="8328" t="s">
        <v>5408</v>
      </c>
      <c r="AR44" s="8317" t="s">
        <v>5409</v>
      </c>
      <c r="AS44" s="8305"/>
      <c r="AT44" s="5516"/>
      <c r="BT44" s="4259"/>
      <c r="BU44" s="4259"/>
      <c r="BW44" s="4260"/>
      <c r="BX44" s="4260"/>
      <c r="BY44" s="4260"/>
      <c r="CB44" s="4993" t="str">
        <f t="shared" si="13"/>
        <v xml:space="preserve"> * El total de Ingresos debe ser igual a la suma de los Tipos de Estrategia. </v>
      </c>
      <c r="CH44" s="4994">
        <f t="shared" si="14"/>
        <v>1</v>
      </c>
      <c r="CI44" s="4978"/>
      <c r="CJ44" s="4978"/>
      <c r="CK44" s="4978"/>
      <c r="CL44" s="4978"/>
      <c r="CM44" s="4978"/>
      <c r="CN44" s="4978"/>
      <c r="CO44" s="4978"/>
      <c r="CP44" s="4978"/>
      <c r="CQ44" s="4978"/>
      <c r="CR44" s="4978"/>
      <c r="CS44" s="4978"/>
      <c r="CT44" s="4978"/>
      <c r="CU44" s="4978"/>
      <c r="CV44" s="4264"/>
      <c r="CW44" s="4264"/>
      <c r="CX44" s="4264"/>
      <c r="CY44" s="4264"/>
      <c r="CZ44" s="4264"/>
      <c r="DA44" s="4264"/>
    </row>
    <row r="45" spans="1:105" ht="14.1" customHeight="1" x14ac:dyDescent="0.25">
      <c r="A45" s="7320">
        <v>29101630</v>
      </c>
      <c r="B45" s="9468"/>
      <c r="C45" s="5078" t="s">
        <v>2828</v>
      </c>
      <c r="D45" s="8330" t="s">
        <v>5369</v>
      </c>
      <c r="E45" s="8205" t="s">
        <v>5370</v>
      </c>
      <c r="F45" s="8205" t="s">
        <v>5371</v>
      </c>
      <c r="G45" s="8316" t="s">
        <v>5372</v>
      </c>
      <c r="H45" s="8317" t="s">
        <v>5373</v>
      </c>
      <c r="I45" s="8316" t="s">
        <v>5374</v>
      </c>
      <c r="J45" s="8317" t="s">
        <v>5375</v>
      </c>
      <c r="K45" s="8316" t="s">
        <v>5376</v>
      </c>
      <c r="L45" s="8318" t="s">
        <v>5377</v>
      </c>
      <c r="M45" s="8316" t="s">
        <v>5378</v>
      </c>
      <c r="N45" s="8317" t="s">
        <v>5379</v>
      </c>
      <c r="O45" s="8319" t="s">
        <v>5380</v>
      </c>
      <c r="P45" s="8317" t="s">
        <v>5381</v>
      </c>
      <c r="Q45" s="8328" t="s">
        <v>5382</v>
      </c>
      <c r="R45" s="8317" t="s">
        <v>5383</v>
      </c>
      <c r="S45" s="8328" t="s">
        <v>5384</v>
      </c>
      <c r="T45" s="8317" t="s">
        <v>5385</v>
      </c>
      <c r="U45" s="8328" t="s">
        <v>5386</v>
      </c>
      <c r="V45" s="8317" t="s">
        <v>5387</v>
      </c>
      <c r="W45" s="8328" t="s">
        <v>5388</v>
      </c>
      <c r="X45" s="8317" t="s">
        <v>5389</v>
      </c>
      <c r="Y45" s="8328" t="s">
        <v>5390</v>
      </c>
      <c r="Z45" s="8317" t="s">
        <v>5391</v>
      </c>
      <c r="AA45" s="8328" t="s">
        <v>5392</v>
      </c>
      <c r="AB45" s="8317" t="s">
        <v>5393</v>
      </c>
      <c r="AC45" s="8328" t="s">
        <v>5394</v>
      </c>
      <c r="AD45" s="8317" t="s">
        <v>5395</v>
      </c>
      <c r="AE45" s="8328" t="s">
        <v>5396</v>
      </c>
      <c r="AF45" s="8317" t="s">
        <v>5397</v>
      </c>
      <c r="AG45" s="8328" t="s">
        <v>5398</v>
      </c>
      <c r="AH45" s="8317" t="s">
        <v>5399</v>
      </c>
      <c r="AI45" s="8328" t="s">
        <v>5400</v>
      </c>
      <c r="AJ45" s="8317" t="s">
        <v>5401</v>
      </c>
      <c r="AK45" s="8328" t="s">
        <v>5402</v>
      </c>
      <c r="AL45" s="8317" t="s">
        <v>5403</v>
      </c>
      <c r="AM45" s="8328" t="s">
        <v>5404</v>
      </c>
      <c r="AN45" s="8329" t="s">
        <v>5405</v>
      </c>
      <c r="AO45" s="8321" t="s">
        <v>5406</v>
      </c>
      <c r="AP45" s="8319" t="s">
        <v>5407</v>
      </c>
      <c r="AQ45" s="8328" t="s">
        <v>5408</v>
      </c>
      <c r="AR45" s="8317" t="s">
        <v>5409</v>
      </c>
      <c r="AS45" s="8305"/>
      <c r="AT45" s="5516"/>
      <c r="BT45" s="4259"/>
      <c r="BU45" s="4259"/>
      <c r="BW45" s="4260"/>
      <c r="BX45" s="4260"/>
      <c r="BY45" s="4260"/>
      <c r="CB45" s="4993" t="str">
        <f t="shared" si="13"/>
        <v xml:space="preserve"> * El total de Ingresos debe ser igual a la suma de los Tipos de Estrategia. </v>
      </c>
      <c r="CH45" s="4994">
        <f t="shared" si="14"/>
        <v>1</v>
      </c>
      <c r="CI45" s="4978"/>
      <c r="CJ45" s="4978"/>
      <c r="CK45" s="4978"/>
      <c r="CL45" s="4978"/>
      <c r="CM45" s="4978"/>
      <c r="CN45" s="4978"/>
      <c r="CO45" s="4978"/>
      <c r="CP45" s="4978"/>
      <c r="CQ45" s="4978"/>
      <c r="CR45" s="4978"/>
      <c r="CS45" s="4978"/>
      <c r="CT45" s="4978"/>
      <c r="CU45" s="4978"/>
      <c r="CV45" s="4264"/>
      <c r="CW45" s="4264"/>
      <c r="CX45" s="4264"/>
      <c r="CY45" s="4264"/>
      <c r="CZ45" s="4264"/>
      <c r="DA45" s="4264"/>
    </row>
    <row r="46" spans="1:105" ht="14.1" customHeight="1" x14ac:dyDescent="0.25">
      <c r="A46" s="7320">
        <v>29101631</v>
      </c>
      <c r="B46" s="9468"/>
      <c r="C46" s="5078" t="s">
        <v>1762</v>
      </c>
      <c r="D46" s="8330" t="s">
        <v>5369</v>
      </c>
      <c r="E46" s="8205" t="s">
        <v>5370</v>
      </c>
      <c r="F46" s="8205" t="s">
        <v>5371</v>
      </c>
      <c r="G46" s="8316" t="s">
        <v>5372</v>
      </c>
      <c r="H46" s="8317" t="s">
        <v>5373</v>
      </c>
      <c r="I46" s="8316" t="s">
        <v>5374</v>
      </c>
      <c r="J46" s="8317" t="s">
        <v>5375</v>
      </c>
      <c r="K46" s="8316" t="s">
        <v>5376</v>
      </c>
      <c r="L46" s="8318" t="s">
        <v>5377</v>
      </c>
      <c r="M46" s="8316" t="s">
        <v>5378</v>
      </c>
      <c r="N46" s="8317" t="s">
        <v>5379</v>
      </c>
      <c r="O46" s="8319" t="s">
        <v>5380</v>
      </c>
      <c r="P46" s="8317" t="s">
        <v>5381</v>
      </c>
      <c r="Q46" s="8328" t="s">
        <v>5382</v>
      </c>
      <c r="R46" s="8317" t="s">
        <v>5383</v>
      </c>
      <c r="S46" s="8328" t="s">
        <v>5384</v>
      </c>
      <c r="T46" s="8317" t="s">
        <v>5385</v>
      </c>
      <c r="U46" s="8328" t="s">
        <v>5386</v>
      </c>
      <c r="V46" s="8317" t="s">
        <v>5387</v>
      </c>
      <c r="W46" s="8328" t="s">
        <v>5388</v>
      </c>
      <c r="X46" s="8317" t="s">
        <v>5389</v>
      </c>
      <c r="Y46" s="8328" t="s">
        <v>5390</v>
      </c>
      <c r="Z46" s="8317" t="s">
        <v>5391</v>
      </c>
      <c r="AA46" s="8328" t="s">
        <v>5392</v>
      </c>
      <c r="AB46" s="8317" t="s">
        <v>5393</v>
      </c>
      <c r="AC46" s="8328" t="s">
        <v>5394</v>
      </c>
      <c r="AD46" s="8317" t="s">
        <v>5395</v>
      </c>
      <c r="AE46" s="8328" t="s">
        <v>5396</v>
      </c>
      <c r="AF46" s="8317" t="s">
        <v>5397</v>
      </c>
      <c r="AG46" s="8328" t="s">
        <v>5398</v>
      </c>
      <c r="AH46" s="8317" t="s">
        <v>5399</v>
      </c>
      <c r="AI46" s="8328" t="s">
        <v>5400</v>
      </c>
      <c r="AJ46" s="8317" t="s">
        <v>5401</v>
      </c>
      <c r="AK46" s="8328" t="s">
        <v>5402</v>
      </c>
      <c r="AL46" s="8317" t="s">
        <v>5403</v>
      </c>
      <c r="AM46" s="8328" t="s">
        <v>5404</v>
      </c>
      <c r="AN46" s="8329" t="s">
        <v>5405</v>
      </c>
      <c r="AO46" s="8321" t="s">
        <v>5406</v>
      </c>
      <c r="AP46" s="8319" t="s">
        <v>5407</v>
      </c>
      <c r="AQ46" s="8328" t="s">
        <v>5408</v>
      </c>
      <c r="AR46" s="8317" t="s">
        <v>5409</v>
      </c>
      <c r="AS46" s="8305"/>
      <c r="AT46" s="5516"/>
      <c r="BT46" s="4259"/>
      <c r="BU46" s="4259"/>
      <c r="BW46" s="4260"/>
      <c r="BX46" s="4260"/>
      <c r="BY46" s="4260"/>
      <c r="CB46" s="4993" t="str">
        <f t="shared" si="13"/>
        <v xml:space="preserve"> * El total de Ingresos debe ser igual a la suma de los Tipos de Estrategia. </v>
      </c>
      <c r="CH46" s="4994">
        <f t="shared" si="14"/>
        <v>1</v>
      </c>
      <c r="CI46" s="4978"/>
      <c r="CJ46" s="4978"/>
      <c r="CK46" s="4978"/>
      <c r="CL46" s="4978"/>
      <c r="CM46" s="4978"/>
      <c r="CN46" s="4978"/>
      <c r="CO46" s="4978"/>
      <c r="CP46" s="4978"/>
      <c r="CQ46" s="4978"/>
      <c r="CR46" s="4978"/>
      <c r="CS46" s="4978"/>
      <c r="CT46" s="4978"/>
      <c r="CU46" s="4978"/>
      <c r="CV46" s="4264"/>
      <c r="CW46" s="4264"/>
      <c r="CX46" s="4264"/>
      <c r="CY46" s="4264"/>
      <c r="CZ46" s="4264"/>
      <c r="DA46" s="4264"/>
    </row>
    <row r="47" spans="1:105" ht="14.1" customHeight="1" x14ac:dyDescent="0.25">
      <c r="A47" s="7320">
        <v>29101632</v>
      </c>
      <c r="B47" s="9468"/>
      <c r="C47" s="5078" t="s">
        <v>2829</v>
      </c>
      <c r="D47" s="8331" t="s">
        <v>5369</v>
      </c>
      <c r="E47" s="8332" t="s">
        <v>5370</v>
      </c>
      <c r="F47" s="8332" t="s">
        <v>5371</v>
      </c>
      <c r="G47" s="8333" t="s">
        <v>5372</v>
      </c>
      <c r="H47" s="8334" t="s">
        <v>5373</v>
      </c>
      <c r="I47" s="8333" t="s">
        <v>5374</v>
      </c>
      <c r="J47" s="8334" t="s">
        <v>5375</v>
      </c>
      <c r="K47" s="8333" t="s">
        <v>5376</v>
      </c>
      <c r="L47" s="8335" t="s">
        <v>5377</v>
      </c>
      <c r="M47" s="8333" t="s">
        <v>5378</v>
      </c>
      <c r="N47" s="8334" t="s">
        <v>5379</v>
      </c>
      <c r="O47" s="8336" t="s">
        <v>5380</v>
      </c>
      <c r="P47" s="8334" t="s">
        <v>5381</v>
      </c>
      <c r="Q47" s="8337" t="s">
        <v>5382</v>
      </c>
      <c r="R47" s="8334" t="s">
        <v>5383</v>
      </c>
      <c r="S47" s="8337" t="s">
        <v>5384</v>
      </c>
      <c r="T47" s="8334" t="s">
        <v>5385</v>
      </c>
      <c r="U47" s="8337" t="s">
        <v>5386</v>
      </c>
      <c r="V47" s="8334" t="s">
        <v>5387</v>
      </c>
      <c r="W47" s="8337" t="s">
        <v>5388</v>
      </c>
      <c r="X47" s="8334" t="s">
        <v>5389</v>
      </c>
      <c r="Y47" s="8337" t="s">
        <v>5390</v>
      </c>
      <c r="Z47" s="8334" t="s">
        <v>5391</v>
      </c>
      <c r="AA47" s="8337" t="s">
        <v>5392</v>
      </c>
      <c r="AB47" s="8334" t="s">
        <v>5393</v>
      </c>
      <c r="AC47" s="8337" t="s">
        <v>5394</v>
      </c>
      <c r="AD47" s="8334" t="s">
        <v>5395</v>
      </c>
      <c r="AE47" s="8337" t="s">
        <v>5396</v>
      </c>
      <c r="AF47" s="8334" t="s">
        <v>5397</v>
      </c>
      <c r="AG47" s="8337" t="s">
        <v>5398</v>
      </c>
      <c r="AH47" s="8334" t="s">
        <v>5399</v>
      </c>
      <c r="AI47" s="8337" t="s">
        <v>5400</v>
      </c>
      <c r="AJ47" s="8334" t="s">
        <v>5401</v>
      </c>
      <c r="AK47" s="8337" t="s">
        <v>5402</v>
      </c>
      <c r="AL47" s="8334" t="s">
        <v>5403</v>
      </c>
      <c r="AM47" s="8337" t="s">
        <v>5404</v>
      </c>
      <c r="AN47" s="8338" t="s">
        <v>5405</v>
      </c>
      <c r="AO47" s="8339" t="s">
        <v>5406</v>
      </c>
      <c r="AP47" s="8336" t="s">
        <v>5407</v>
      </c>
      <c r="AQ47" s="8337" t="s">
        <v>5408</v>
      </c>
      <c r="AR47" s="8334" t="s">
        <v>5409</v>
      </c>
      <c r="AS47" s="8305"/>
      <c r="AT47" s="5516"/>
      <c r="BT47" s="4259"/>
      <c r="BU47" s="4259"/>
      <c r="BW47" s="4260"/>
      <c r="BX47" s="4260"/>
      <c r="BY47" s="4260"/>
      <c r="CB47" s="4993" t="str">
        <f t="shared" si="13"/>
        <v xml:space="preserve"> * El total de Ingresos debe ser igual a la suma de los Tipos de Estrategia. </v>
      </c>
      <c r="CH47" s="4994">
        <f t="shared" si="14"/>
        <v>1</v>
      </c>
      <c r="CI47" s="4978"/>
      <c r="CJ47" s="4978"/>
      <c r="CK47" s="4978"/>
      <c r="CL47" s="4978"/>
      <c r="CM47" s="4978"/>
      <c r="CN47" s="4978"/>
      <c r="CO47" s="4978"/>
      <c r="CP47" s="4978"/>
      <c r="CQ47" s="4978"/>
      <c r="CR47" s="4978"/>
      <c r="CS47" s="4978"/>
      <c r="CT47" s="4978"/>
      <c r="CU47" s="4978"/>
      <c r="CV47" s="4264"/>
      <c r="CW47" s="4264"/>
      <c r="CX47" s="4264"/>
      <c r="CY47" s="4264"/>
      <c r="CZ47" s="4264"/>
      <c r="DA47" s="4264"/>
    </row>
    <row r="48" spans="1:105" ht="14.1" customHeight="1" x14ac:dyDescent="0.25">
      <c r="A48" s="7520">
        <v>28021633</v>
      </c>
      <c r="B48" s="10921"/>
      <c r="C48" s="5086" t="s">
        <v>70</v>
      </c>
      <c r="D48" s="8340" t="s">
        <v>5369</v>
      </c>
      <c r="E48" s="3801" t="s">
        <v>5370</v>
      </c>
      <c r="F48" s="3801" t="s">
        <v>5371</v>
      </c>
      <c r="G48" s="8341" t="s">
        <v>5372</v>
      </c>
      <c r="H48" s="8342" t="s">
        <v>5373</v>
      </c>
      <c r="I48" s="8341" t="s">
        <v>5374</v>
      </c>
      <c r="J48" s="8342" t="s">
        <v>5375</v>
      </c>
      <c r="K48" s="8341" t="s">
        <v>5376</v>
      </c>
      <c r="L48" s="8343" t="s">
        <v>5377</v>
      </c>
      <c r="M48" s="8341" t="s">
        <v>5378</v>
      </c>
      <c r="N48" s="8342" t="s">
        <v>5379</v>
      </c>
      <c r="O48" s="8344" t="s">
        <v>5380</v>
      </c>
      <c r="P48" s="8342" t="s">
        <v>5381</v>
      </c>
      <c r="Q48" s="8345" t="s">
        <v>5382</v>
      </c>
      <c r="R48" s="8342" t="s">
        <v>5383</v>
      </c>
      <c r="S48" s="8345" t="s">
        <v>5384</v>
      </c>
      <c r="T48" s="8342" t="s">
        <v>5385</v>
      </c>
      <c r="U48" s="8345" t="s">
        <v>5386</v>
      </c>
      <c r="V48" s="8342" t="s">
        <v>5387</v>
      </c>
      <c r="W48" s="8345" t="s">
        <v>5388</v>
      </c>
      <c r="X48" s="8342" t="s">
        <v>5389</v>
      </c>
      <c r="Y48" s="8345" t="s">
        <v>5390</v>
      </c>
      <c r="Z48" s="8342" t="s">
        <v>5391</v>
      </c>
      <c r="AA48" s="8345" t="s">
        <v>5392</v>
      </c>
      <c r="AB48" s="8342" t="s">
        <v>5393</v>
      </c>
      <c r="AC48" s="8345" t="s">
        <v>5394</v>
      </c>
      <c r="AD48" s="8342" t="s">
        <v>5395</v>
      </c>
      <c r="AE48" s="8345" t="s">
        <v>5396</v>
      </c>
      <c r="AF48" s="8342" t="s">
        <v>5397</v>
      </c>
      <c r="AG48" s="8345" t="s">
        <v>5398</v>
      </c>
      <c r="AH48" s="8342" t="s">
        <v>5399</v>
      </c>
      <c r="AI48" s="8345" t="s">
        <v>5400</v>
      </c>
      <c r="AJ48" s="8342" t="s">
        <v>5401</v>
      </c>
      <c r="AK48" s="8345" t="s">
        <v>5402</v>
      </c>
      <c r="AL48" s="8342" t="s">
        <v>5403</v>
      </c>
      <c r="AM48" s="8345" t="s">
        <v>5404</v>
      </c>
      <c r="AN48" s="8346" t="s">
        <v>5405</v>
      </c>
      <c r="AO48" s="8347" t="s">
        <v>5406</v>
      </c>
      <c r="AP48" s="8344" t="s">
        <v>5407</v>
      </c>
      <c r="AQ48" s="8345" t="s">
        <v>5408</v>
      </c>
      <c r="AR48" s="8342" t="s">
        <v>5409</v>
      </c>
      <c r="AS48" s="8305"/>
      <c r="AT48" s="5516"/>
      <c r="BT48" s="4259"/>
      <c r="BU48" s="4259"/>
      <c r="BW48" s="4260"/>
      <c r="BX48" s="4260"/>
      <c r="BY48" s="4260"/>
      <c r="CB48" s="4993" t="str">
        <f t="shared" si="13"/>
        <v xml:space="preserve"> * El total de Ingresos debe ser igual a la suma de los Tipos de Estrategia. </v>
      </c>
      <c r="CH48" s="4994">
        <f t="shared" si="14"/>
        <v>1</v>
      </c>
      <c r="CI48" s="4978"/>
      <c r="CJ48" s="4978"/>
      <c r="CK48" s="4978"/>
      <c r="CL48" s="4978"/>
      <c r="CM48" s="4978"/>
      <c r="CN48" s="4978"/>
      <c r="CO48" s="4978"/>
      <c r="CP48" s="4978"/>
      <c r="CQ48" s="4978"/>
      <c r="CR48" s="4978"/>
      <c r="CS48" s="4978"/>
      <c r="CT48" s="4978"/>
      <c r="CU48" s="4978"/>
      <c r="CV48" s="4264"/>
      <c r="CW48" s="4264"/>
      <c r="CX48" s="4264"/>
      <c r="CY48" s="4264"/>
      <c r="CZ48" s="4264"/>
      <c r="DA48" s="4264"/>
    </row>
    <row r="49" spans="1:131" ht="14.1" customHeight="1" x14ac:dyDescent="0.25">
      <c r="A49" s="7520">
        <v>28022210</v>
      </c>
      <c r="B49" s="5093" t="s">
        <v>159</v>
      </c>
      <c r="C49" s="5094"/>
      <c r="D49" s="8348" t="s">
        <v>5369</v>
      </c>
      <c r="E49" s="5245" t="s">
        <v>5370</v>
      </c>
      <c r="F49" s="5245" t="s">
        <v>5371</v>
      </c>
      <c r="G49" s="8309" t="s">
        <v>5372</v>
      </c>
      <c r="H49" s="8310" t="s">
        <v>5373</v>
      </c>
      <c r="I49" s="8309" t="s">
        <v>5374</v>
      </c>
      <c r="J49" s="8311" t="s">
        <v>5375</v>
      </c>
      <c r="K49" s="8309" t="s">
        <v>5376</v>
      </c>
      <c r="L49" s="8311" t="s">
        <v>5377</v>
      </c>
      <c r="M49" s="8309" t="s">
        <v>5378</v>
      </c>
      <c r="N49" s="8310" t="s">
        <v>5379</v>
      </c>
      <c r="O49" s="8312" t="s">
        <v>5380</v>
      </c>
      <c r="P49" s="8311" t="s">
        <v>5381</v>
      </c>
      <c r="Q49" s="8312" t="s">
        <v>5382</v>
      </c>
      <c r="R49" s="8311" t="s">
        <v>5383</v>
      </c>
      <c r="S49" s="8312" t="s">
        <v>5384</v>
      </c>
      <c r="T49" s="8311" t="s">
        <v>5385</v>
      </c>
      <c r="U49" s="8312" t="s">
        <v>5386</v>
      </c>
      <c r="V49" s="8311" t="s">
        <v>5387</v>
      </c>
      <c r="W49" s="8312" t="s">
        <v>5388</v>
      </c>
      <c r="X49" s="8311" t="s">
        <v>5389</v>
      </c>
      <c r="Y49" s="8312" t="s">
        <v>5390</v>
      </c>
      <c r="Z49" s="8311" t="s">
        <v>5391</v>
      </c>
      <c r="AA49" s="8312" t="s">
        <v>5392</v>
      </c>
      <c r="AB49" s="8311" t="s">
        <v>5393</v>
      </c>
      <c r="AC49" s="8312" t="s">
        <v>5394</v>
      </c>
      <c r="AD49" s="8311" t="s">
        <v>5395</v>
      </c>
      <c r="AE49" s="8312" t="s">
        <v>5396</v>
      </c>
      <c r="AF49" s="8311" t="s">
        <v>5397</v>
      </c>
      <c r="AG49" s="8312" t="s">
        <v>5398</v>
      </c>
      <c r="AH49" s="8311" t="s">
        <v>5399</v>
      </c>
      <c r="AI49" s="8312" t="s">
        <v>5400</v>
      </c>
      <c r="AJ49" s="8311" t="s">
        <v>5401</v>
      </c>
      <c r="AK49" s="8312" t="s">
        <v>5402</v>
      </c>
      <c r="AL49" s="8311" t="s">
        <v>5403</v>
      </c>
      <c r="AM49" s="8312" t="s">
        <v>5404</v>
      </c>
      <c r="AN49" s="8313" t="s">
        <v>5405</v>
      </c>
      <c r="AO49" s="8314" t="s">
        <v>5406</v>
      </c>
      <c r="AP49" s="8312" t="s">
        <v>5407</v>
      </c>
      <c r="AQ49" s="8312" t="s">
        <v>5408</v>
      </c>
      <c r="AR49" s="8311" t="s">
        <v>5409</v>
      </c>
      <c r="AS49" s="8305"/>
      <c r="AT49" s="5516"/>
      <c r="BT49" s="4259"/>
      <c r="BU49" s="4259"/>
      <c r="BW49" s="4260"/>
      <c r="BX49" s="4260"/>
      <c r="BY49" s="4260"/>
      <c r="CB49" s="4993" t="str">
        <f t="shared" si="13"/>
        <v xml:space="preserve"> * El total de Ingresos debe ser igual a la suma de los Tipos de Estrategia. </v>
      </c>
      <c r="CH49" s="4994">
        <f t="shared" si="14"/>
        <v>1</v>
      </c>
      <c r="CI49" s="4978"/>
      <c r="CJ49" s="4978"/>
      <c r="CK49" s="4978"/>
      <c r="CL49" s="4978"/>
      <c r="CM49" s="4978"/>
      <c r="CN49" s="4978"/>
      <c r="CO49" s="4978"/>
      <c r="CP49" s="4978"/>
      <c r="CQ49" s="4978"/>
      <c r="CR49" s="4978"/>
      <c r="CS49" s="4978"/>
      <c r="CT49" s="4978"/>
      <c r="CU49" s="4978"/>
      <c r="CV49" s="4264"/>
      <c r="CW49" s="4264"/>
      <c r="CX49" s="4264"/>
      <c r="CY49" s="4264"/>
      <c r="CZ49" s="4264"/>
      <c r="DA49" s="4264"/>
    </row>
    <row r="50" spans="1:131" ht="14.1" customHeight="1" x14ac:dyDescent="0.25">
      <c r="A50" s="7520">
        <v>28022220</v>
      </c>
      <c r="B50" s="5095" t="s">
        <v>160</v>
      </c>
      <c r="C50" s="5096"/>
      <c r="D50" s="6837" t="s">
        <v>5369</v>
      </c>
      <c r="E50" s="5238" t="s">
        <v>5370</v>
      </c>
      <c r="F50" s="5238" t="s">
        <v>5371</v>
      </c>
      <c r="G50" s="8341" t="s">
        <v>5372</v>
      </c>
      <c r="H50" s="8342" t="s">
        <v>5373</v>
      </c>
      <c r="I50" s="8341" t="s">
        <v>5374</v>
      </c>
      <c r="J50" s="8343" t="s">
        <v>5375</v>
      </c>
      <c r="K50" s="8341" t="s">
        <v>5376</v>
      </c>
      <c r="L50" s="8343" t="s">
        <v>5377</v>
      </c>
      <c r="M50" s="8341" t="s">
        <v>5378</v>
      </c>
      <c r="N50" s="8342" t="s">
        <v>5379</v>
      </c>
      <c r="O50" s="8344" t="s">
        <v>5380</v>
      </c>
      <c r="P50" s="8343" t="s">
        <v>5381</v>
      </c>
      <c r="Q50" s="8344" t="s">
        <v>5382</v>
      </c>
      <c r="R50" s="8343" t="s">
        <v>5383</v>
      </c>
      <c r="S50" s="8344" t="s">
        <v>5384</v>
      </c>
      <c r="T50" s="8343" t="s">
        <v>5385</v>
      </c>
      <c r="U50" s="8344" t="s">
        <v>5386</v>
      </c>
      <c r="V50" s="8343" t="s">
        <v>5387</v>
      </c>
      <c r="W50" s="8344" t="s">
        <v>5388</v>
      </c>
      <c r="X50" s="8343" t="s">
        <v>5389</v>
      </c>
      <c r="Y50" s="8344" t="s">
        <v>5390</v>
      </c>
      <c r="Z50" s="8343" t="s">
        <v>5391</v>
      </c>
      <c r="AA50" s="8344" t="s">
        <v>5392</v>
      </c>
      <c r="AB50" s="8343" t="s">
        <v>5393</v>
      </c>
      <c r="AC50" s="8344" t="s">
        <v>5394</v>
      </c>
      <c r="AD50" s="8343" t="s">
        <v>5395</v>
      </c>
      <c r="AE50" s="8344" t="s">
        <v>5396</v>
      </c>
      <c r="AF50" s="8343" t="s">
        <v>5397</v>
      </c>
      <c r="AG50" s="8344" t="s">
        <v>5398</v>
      </c>
      <c r="AH50" s="8343" t="s">
        <v>5399</v>
      </c>
      <c r="AI50" s="8344" t="s">
        <v>5400</v>
      </c>
      <c r="AJ50" s="8343" t="s">
        <v>5401</v>
      </c>
      <c r="AK50" s="8344" t="s">
        <v>5402</v>
      </c>
      <c r="AL50" s="8343" t="s">
        <v>5403</v>
      </c>
      <c r="AM50" s="8344" t="s">
        <v>5404</v>
      </c>
      <c r="AN50" s="8349" t="s">
        <v>5405</v>
      </c>
      <c r="AO50" s="8347" t="s">
        <v>5406</v>
      </c>
      <c r="AP50" s="8344" t="s">
        <v>5407</v>
      </c>
      <c r="AQ50" s="8344" t="s">
        <v>5408</v>
      </c>
      <c r="AR50" s="8343" t="s">
        <v>5409</v>
      </c>
      <c r="AS50" s="8305"/>
      <c r="AT50" s="5516"/>
      <c r="BT50" s="4259"/>
      <c r="BU50" s="4259"/>
      <c r="BW50" s="4260"/>
      <c r="BX50" s="4260"/>
      <c r="BY50" s="4260"/>
      <c r="CB50" s="4993" t="str">
        <f t="shared" si="13"/>
        <v xml:space="preserve"> * El total de Ingresos debe ser igual a la suma de los Tipos de Estrategia. </v>
      </c>
      <c r="CH50" s="4994">
        <f t="shared" si="14"/>
        <v>1</v>
      </c>
      <c r="CI50" s="4978"/>
      <c r="CJ50" s="4978"/>
      <c r="CK50" s="4978"/>
      <c r="CL50" s="4978"/>
      <c r="CM50" s="4978"/>
      <c r="CN50" s="4978"/>
      <c r="CO50" s="4978"/>
      <c r="CP50" s="4978"/>
      <c r="CQ50" s="4978"/>
      <c r="CR50" s="4978"/>
      <c r="CS50" s="4978"/>
      <c r="CT50" s="4978"/>
      <c r="CU50" s="4978"/>
      <c r="CV50" s="4264"/>
      <c r="CW50" s="4264"/>
      <c r="CX50" s="4264"/>
      <c r="CY50" s="4264"/>
      <c r="CZ50" s="4264"/>
      <c r="DA50" s="4264"/>
    </row>
    <row r="51" spans="1:131" ht="23.4" customHeight="1" x14ac:dyDescent="0.25">
      <c r="B51" s="4469" t="s">
        <v>198</v>
      </c>
      <c r="C51" s="4268"/>
      <c r="D51" s="5099"/>
      <c r="E51" s="4268"/>
      <c r="F51" s="4268"/>
      <c r="G51" s="4268"/>
      <c r="H51" s="4268"/>
      <c r="I51" s="4268"/>
      <c r="J51" s="4268"/>
      <c r="K51" s="4268"/>
      <c r="L51" s="4268"/>
      <c r="M51" s="4268"/>
      <c r="N51" s="4268"/>
      <c r="O51" s="4268"/>
      <c r="P51" s="4268"/>
      <c r="CB51" s="4993" t="str">
        <f t="shared" si="13"/>
        <v/>
      </c>
      <c r="CH51" s="4994"/>
      <c r="CI51" s="4978"/>
      <c r="CJ51" s="4978"/>
      <c r="CK51" s="4978"/>
      <c r="CL51" s="4978"/>
      <c r="CM51" s="4978"/>
      <c r="CN51" s="4978"/>
      <c r="CO51" s="4978"/>
      <c r="CP51" s="4978"/>
      <c r="CQ51" s="4978"/>
      <c r="CR51" s="4978"/>
      <c r="CS51" s="4978"/>
      <c r="CT51" s="4978"/>
      <c r="CU51" s="4978"/>
      <c r="CV51" s="4264"/>
      <c r="CW51" s="4264"/>
      <c r="CX51" s="4264"/>
      <c r="CY51" s="4264"/>
      <c r="CZ51" s="4264"/>
      <c r="DA51" s="4264"/>
    </row>
    <row r="52" spans="1:131" ht="18.75" customHeight="1" x14ac:dyDescent="0.25">
      <c r="B52" s="10920" t="s">
        <v>0</v>
      </c>
      <c r="C52" s="10349" t="s">
        <v>1</v>
      </c>
      <c r="D52" s="10265" t="s">
        <v>141</v>
      </c>
      <c r="E52" s="10265"/>
      <c r="F52" s="10265"/>
      <c r="G52" s="10355"/>
      <c r="H52" s="10970" t="s">
        <v>2879</v>
      </c>
      <c r="I52" s="10971"/>
      <c r="J52" s="5100"/>
      <c r="AJ52" s="4259"/>
      <c r="AK52" s="4259"/>
      <c r="BZ52" s="4264"/>
      <c r="CB52" s="4993" t="str">
        <f t="shared" si="13"/>
        <v/>
      </c>
      <c r="CH52" s="4994"/>
      <c r="CI52" s="4978"/>
      <c r="CJ52" s="4978"/>
      <c r="CK52" s="4978"/>
      <c r="CL52" s="4978"/>
      <c r="CM52" s="4978"/>
      <c r="CN52" s="4978"/>
      <c r="CO52" s="4978"/>
      <c r="CP52" s="4978"/>
      <c r="CQ52" s="4978"/>
      <c r="CR52" s="4978"/>
      <c r="CS52" s="4978"/>
      <c r="CT52" s="4978"/>
      <c r="CU52" s="4978"/>
      <c r="CV52" s="4264"/>
      <c r="CW52" s="4264"/>
      <c r="CX52" s="4264"/>
      <c r="CY52" s="4264"/>
      <c r="CZ52" s="4264"/>
      <c r="DA52" s="4264"/>
    </row>
    <row r="53" spans="1:131" ht="18.75" customHeight="1" x14ac:dyDescent="0.25">
      <c r="B53" s="9468"/>
      <c r="C53" s="10350"/>
      <c r="D53" s="9310" t="s">
        <v>3977</v>
      </c>
      <c r="E53" s="10961" t="s">
        <v>146</v>
      </c>
      <c r="F53" s="9129" t="s">
        <v>147</v>
      </c>
      <c r="G53" s="10958" t="s">
        <v>148</v>
      </c>
      <c r="H53" s="10983" t="s">
        <v>2878</v>
      </c>
      <c r="I53" s="10984" t="s">
        <v>2833</v>
      </c>
      <c r="AI53" s="4259"/>
      <c r="AJ53" s="4259"/>
      <c r="BU53" s="4264"/>
      <c r="CA53" s="4993"/>
      <c r="CG53" s="4994"/>
      <c r="CH53" s="4978"/>
      <c r="CI53" s="4978"/>
      <c r="CJ53" s="4978"/>
      <c r="CK53" s="4978"/>
      <c r="CL53" s="4978"/>
      <c r="CM53" s="4978"/>
      <c r="CN53" s="4978"/>
      <c r="CO53" s="4978"/>
      <c r="CP53" s="4978"/>
      <c r="CQ53" s="4978"/>
      <c r="CR53" s="4978"/>
      <c r="CS53" s="4978"/>
      <c r="CT53" s="4978"/>
      <c r="CU53" s="4264"/>
      <c r="CV53" s="4264"/>
      <c r="CW53" s="4264"/>
      <c r="CX53" s="4264"/>
      <c r="CY53" s="4264"/>
      <c r="CZ53" s="4264"/>
      <c r="DA53" s="4264"/>
      <c r="EA53" s="4258"/>
    </row>
    <row r="54" spans="1:131" ht="15.6" customHeight="1" x14ac:dyDescent="0.25">
      <c r="B54" s="10921"/>
      <c r="C54" s="10351"/>
      <c r="D54" s="10940"/>
      <c r="E54" s="10962"/>
      <c r="F54" s="10923"/>
      <c r="G54" s="10959"/>
      <c r="H54" s="10983"/>
      <c r="I54" s="10984"/>
      <c r="AI54" s="4259"/>
      <c r="AJ54" s="4259"/>
      <c r="BU54" s="4264"/>
      <c r="CA54" s="4993"/>
      <c r="CG54" s="4994"/>
      <c r="CH54" s="4978"/>
      <c r="CI54" s="4978"/>
      <c r="CJ54" s="4978"/>
      <c r="CK54" s="4978"/>
      <c r="CL54" s="4978"/>
      <c r="CM54" s="4978"/>
      <c r="CN54" s="4978"/>
      <c r="CO54" s="4978"/>
      <c r="CP54" s="4978"/>
      <c r="CQ54" s="4978"/>
      <c r="CR54" s="4978"/>
      <c r="CS54" s="4978"/>
      <c r="CT54" s="4978"/>
      <c r="CU54" s="4264"/>
      <c r="CV54" s="4264"/>
      <c r="CW54" s="4264"/>
      <c r="CX54" s="4264"/>
      <c r="CY54" s="4264"/>
      <c r="CZ54" s="4264"/>
      <c r="DA54" s="4264"/>
      <c r="EA54" s="4258"/>
    </row>
    <row r="55" spans="1:131" ht="14.1" customHeight="1" x14ac:dyDescent="0.25">
      <c r="A55" s="7520">
        <v>28010100</v>
      </c>
      <c r="B55" s="5101" t="s">
        <v>2590</v>
      </c>
      <c r="C55" s="5102" t="s">
        <v>5369</v>
      </c>
      <c r="D55" s="5103" t="s">
        <v>5370</v>
      </c>
      <c r="E55" s="5104" t="s">
        <v>5371</v>
      </c>
      <c r="F55" s="5105" t="s">
        <v>5372</v>
      </c>
      <c r="G55" s="5106" t="s">
        <v>5373</v>
      </c>
      <c r="H55" s="5103" t="s">
        <v>5374</v>
      </c>
      <c r="I55" s="5103" t="s">
        <v>5375</v>
      </c>
      <c r="AI55" s="4259"/>
      <c r="AJ55" s="4259"/>
      <c r="BU55" s="4264"/>
      <c r="BZ55" s="4264"/>
      <c r="CA55" s="4993" t="str">
        <f>IF(CG55=1," * El total de Ingresos debe ser igual a la suma de los Tipos de Estrategia. ","")</f>
        <v/>
      </c>
      <c r="CG55" s="4994"/>
      <c r="CH55" s="4978"/>
      <c r="CI55" s="4978"/>
      <c r="CJ55" s="4978"/>
      <c r="CK55" s="4978"/>
      <c r="CL55" s="4978"/>
      <c r="CM55" s="4978"/>
      <c r="CN55" s="4978"/>
      <c r="CO55" s="4978"/>
      <c r="CP55" s="4978"/>
      <c r="CQ55" s="4978"/>
      <c r="CR55" s="4978"/>
      <c r="CS55" s="4978"/>
      <c r="CT55" s="4978"/>
      <c r="CU55" s="4264"/>
      <c r="CV55" s="4264"/>
      <c r="CW55" s="4264"/>
      <c r="CX55" s="4264"/>
      <c r="CY55" s="4264"/>
      <c r="CZ55" s="4264"/>
      <c r="DA55" s="4264"/>
      <c r="EA55" s="4258"/>
    </row>
    <row r="56" spans="1:131" ht="14.1" customHeight="1" x14ac:dyDescent="0.25">
      <c r="A56" s="7520">
        <v>28010200</v>
      </c>
      <c r="B56" s="5107" t="s">
        <v>1016</v>
      </c>
      <c r="C56" s="5102" t="s">
        <v>5369</v>
      </c>
      <c r="D56" s="5108" t="s">
        <v>5370</v>
      </c>
      <c r="E56" s="5104" t="s">
        <v>5371</v>
      </c>
      <c r="F56" s="5105" t="s">
        <v>5372</v>
      </c>
      <c r="G56" s="5109" t="s">
        <v>5373</v>
      </c>
      <c r="H56" s="5108" t="s">
        <v>5374</v>
      </c>
      <c r="I56" s="5108" t="s">
        <v>5375</v>
      </c>
      <c r="AI56" s="4259"/>
      <c r="AJ56" s="4259"/>
      <c r="BU56" s="4264"/>
      <c r="BZ56" s="4264"/>
      <c r="CA56" s="4993" t="str">
        <f>IF(CG56=1," * El total de Ingresos debe ser igual a la suma de los Tipos de Estrategia. ","")</f>
        <v/>
      </c>
      <c r="CG56" s="4994"/>
      <c r="CH56" s="4978"/>
      <c r="CI56" s="4978"/>
      <c r="CJ56" s="4978"/>
      <c r="CK56" s="4978"/>
      <c r="CL56" s="4978"/>
      <c r="CM56" s="4978"/>
      <c r="CN56" s="4978"/>
      <c r="CO56" s="4978"/>
      <c r="CP56" s="4978"/>
      <c r="CQ56" s="4978"/>
      <c r="CR56" s="4978"/>
      <c r="CS56" s="4978"/>
      <c r="CT56" s="4978"/>
      <c r="CU56" s="4264"/>
      <c r="CV56" s="4264"/>
      <c r="CW56" s="4264"/>
      <c r="CX56" s="4264"/>
      <c r="CY56" s="4264"/>
      <c r="CZ56" s="4264"/>
      <c r="DA56" s="4264"/>
      <c r="EA56" s="4258"/>
    </row>
    <row r="57" spans="1:131" ht="14.1" customHeight="1" x14ac:dyDescent="0.25">
      <c r="A57" s="7520">
        <v>28010300</v>
      </c>
      <c r="B57" s="5107" t="s">
        <v>62</v>
      </c>
      <c r="C57" s="5102" t="s">
        <v>5369</v>
      </c>
      <c r="D57" s="5108" t="s">
        <v>5370</v>
      </c>
      <c r="E57" s="5104" t="s">
        <v>5371</v>
      </c>
      <c r="F57" s="5105" t="s">
        <v>5372</v>
      </c>
      <c r="G57" s="5109" t="s">
        <v>5373</v>
      </c>
      <c r="H57" s="5108" t="s">
        <v>5374</v>
      </c>
      <c r="I57" s="5108" t="s">
        <v>5375</v>
      </c>
      <c r="AI57" s="4259"/>
      <c r="AJ57" s="4259"/>
      <c r="BU57" s="4264"/>
      <c r="BZ57" s="4264"/>
      <c r="CA57" s="4295"/>
      <c r="CJ57" s="4978"/>
      <c r="CK57" s="4978"/>
      <c r="CL57" s="4978"/>
      <c r="CM57" s="4978"/>
      <c r="CN57" s="4978"/>
      <c r="CO57" s="4978"/>
      <c r="CP57" s="4978"/>
      <c r="CQ57" s="4978"/>
      <c r="CR57" s="4978"/>
      <c r="CS57" s="4978"/>
      <c r="CT57" s="4978"/>
      <c r="CU57" s="4264"/>
      <c r="CV57" s="4264"/>
      <c r="CW57" s="4264"/>
      <c r="CX57" s="4264"/>
      <c r="CY57" s="4264"/>
      <c r="CZ57" s="4264"/>
      <c r="DA57" s="4264"/>
      <c r="EA57" s="4258"/>
    </row>
    <row r="58" spans="1:131" ht="14.1" customHeight="1" x14ac:dyDescent="0.25">
      <c r="A58" s="7520">
        <v>28010400</v>
      </c>
      <c r="B58" s="5107" t="s">
        <v>2593</v>
      </c>
      <c r="C58" s="5102" t="s">
        <v>5369</v>
      </c>
      <c r="D58" s="5108" t="s">
        <v>5370</v>
      </c>
      <c r="E58" s="5104" t="s">
        <v>5371</v>
      </c>
      <c r="F58" s="5105" t="s">
        <v>5372</v>
      </c>
      <c r="G58" s="5109" t="s">
        <v>5373</v>
      </c>
      <c r="H58" s="5108" t="s">
        <v>5374</v>
      </c>
      <c r="I58" s="5108" t="s">
        <v>5375</v>
      </c>
      <c r="AI58" s="4259"/>
      <c r="AJ58" s="4259"/>
      <c r="BU58" s="4264"/>
      <c r="BZ58" s="4264"/>
      <c r="CA58" s="4295"/>
      <c r="CJ58" s="4978"/>
      <c r="CK58" s="4978"/>
      <c r="CL58" s="4978"/>
      <c r="CM58" s="4978"/>
      <c r="CN58" s="4978"/>
      <c r="CO58" s="4978"/>
      <c r="CP58" s="4978"/>
      <c r="CQ58" s="4978"/>
      <c r="CR58" s="4978"/>
      <c r="CS58" s="4978"/>
      <c r="CT58" s="4978"/>
      <c r="CU58" s="4264"/>
      <c r="CV58" s="4264"/>
      <c r="CW58" s="4264"/>
      <c r="CX58" s="4264"/>
      <c r="CY58" s="4264"/>
      <c r="CZ58" s="4264"/>
      <c r="DA58" s="4264"/>
      <c r="EA58" s="4258"/>
    </row>
    <row r="59" spans="1:131" ht="14.1" customHeight="1" x14ac:dyDescent="0.25">
      <c r="A59" s="7520">
        <v>28010500</v>
      </c>
      <c r="B59" s="5107" t="s">
        <v>60</v>
      </c>
      <c r="C59" s="5102" t="s">
        <v>5369</v>
      </c>
      <c r="D59" s="5110" t="s">
        <v>5370</v>
      </c>
      <c r="E59" s="5111" t="s">
        <v>5371</v>
      </c>
      <c r="F59" s="5112" t="s">
        <v>5372</v>
      </c>
      <c r="G59" s="5113" t="s">
        <v>5373</v>
      </c>
      <c r="H59" s="5110" t="s">
        <v>5374</v>
      </c>
      <c r="I59" s="5110" t="s">
        <v>5375</v>
      </c>
      <c r="AI59" s="4259"/>
      <c r="AJ59" s="4259"/>
      <c r="BU59" s="4264"/>
      <c r="BZ59" s="4264"/>
      <c r="CA59" s="4295"/>
      <c r="CG59" s="4978"/>
      <c r="CH59" s="4978"/>
      <c r="CI59" s="4978"/>
      <c r="CJ59" s="4978"/>
      <c r="CK59" s="4978"/>
      <c r="CL59" s="4978"/>
      <c r="CM59" s="4978"/>
      <c r="CN59" s="4978"/>
      <c r="CO59" s="4978"/>
      <c r="CP59" s="4978"/>
      <c r="CQ59" s="4978"/>
      <c r="CR59" s="4978"/>
      <c r="CS59" s="4978"/>
      <c r="CT59" s="4978"/>
      <c r="CU59" s="4264"/>
      <c r="CV59" s="4264"/>
      <c r="CW59" s="4264"/>
      <c r="CX59" s="4264"/>
      <c r="CY59" s="4264"/>
      <c r="CZ59" s="4264"/>
      <c r="DA59" s="4264"/>
      <c r="EA59" s="4258"/>
    </row>
    <row r="60" spans="1:131" ht="14.1" customHeight="1" x14ac:dyDescent="0.25">
      <c r="A60" s="7298"/>
      <c r="B60" s="5114" t="s">
        <v>24</v>
      </c>
      <c r="C60" s="5115">
        <f t="shared" ref="C60:H60" si="15">SUM(C55:C59)</f>
        <v>0</v>
      </c>
      <c r="D60" s="5116">
        <f t="shared" si="15"/>
        <v>0</v>
      </c>
      <c r="E60" s="5117">
        <f t="shared" si="15"/>
        <v>0</v>
      </c>
      <c r="F60" s="5118">
        <f t="shared" si="15"/>
        <v>0</v>
      </c>
      <c r="G60" s="5119">
        <f t="shared" si="15"/>
        <v>0</v>
      </c>
      <c r="H60" s="5116">
        <f t="shared" si="15"/>
        <v>0</v>
      </c>
      <c r="I60" s="5116">
        <f>SUM(I55:I59)</f>
        <v>0</v>
      </c>
      <c r="AI60" s="4259"/>
      <c r="AJ60" s="4259"/>
      <c r="BU60" s="4264"/>
      <c r="CA60" s="4295"/>
      <c r="CG60" s="4978"/>
      <c r="CH60" s="4978"/>
      <c r="CI60" s="4978"/>
      <c r="CJ60" s="4978"/>
      <c r="CK60" s="4978"/>
      <c r="CL60" s="4978"/>
      <c r="CM60" s="4978"/>
      <c r="CN60" s="4978"/>
      <c r="CO60" s="4978"/>
      <c r="CP60" s="4978"/>
      <c r="CQ60" s="4978"/>
      <c r="CR60" s="4978"/>
      <c r="CS60" s="4978"/>
      <c r="CT60" s="4978"/>
      <c r="CU60" s="4264"/>
      <c r="CV60" s="4264"/>
      <c r="CW60" s="4264"/>
      <c r="CX60" s="4264"/>
      <c r="CY60" s="4264"/>
      <c r="CZ60" s="4264"/>
      <c r="DA60" s="4264"/>
      <c r="EA60" s="4258"/>
    </row>
    <row r="61" spans="1:131" ht="27" customHeight="1" x14ac:dyDescent="0.25">
      <c r="B61" s="4469" t="s">
        <v>303</v>
      </c>
      <c r="E61" s="4268"/>
      <c r="F61" s="4268"/>
      <c r="G61" s="4268"/>
      <c r="H61" s="4268"/>
      <c r="I61" s="4268"/>
      <c r="J61" s="4268"/>
      <c r="K61" s="4268"/>
      <c r="L61" s="4268"/>
      <c r="CB61" s="4993"/>
      <c r="CC61" s="4993"/>
      <c r="CD61" s="4993"/>
      <c r="CE61" s="4993"/>
      <c r="CF61" s="4993"/>
      <c r="CG61" s="4993"/>
      <c r="CH61" s="4994"/>
      <c r="CI61" s="4994"/>
      <c r="CJ61" s="4994"/>
      <c r="CK61" s="4978"/>
      <c r="CL61" s="4978"/>
      <c r="CM61" s="4978"/>
      <c r="CN61" s="4978"/>
      <c r="CO61" s="4978"/>
      <c r="CP61" s="4978"/>
      <c r="CQ61" s="4978"/>
      <c r="CR61" s="4978"/>
      <c r="CS61" s="4978"/>
      <c r="CT61" s="4978"/>
      <c r="CU61" s="4978"/>
      <c r="CV61" s="4264"/>
      <c r="CW61" s="4264"/>
      <c r="CX61" s="4264"/>
      <c r="CY61" s="4264"/>
      <c r="CZ61" s="4264"/>
      <c r="DA61" s="4264"/>
    </row>
    <row r="62" spans="1:131" ht="16.5" customHeight="1" x14ac:dyDescent="0.25">
      <c r="B62" s="10247" t="s">
        <v>0</v>
      </c>
      <c r="C62" s="10313" t="s">
        <v>1</v>
      </c>
      <c r="D62" s="10941" t="s">
        <v>98</v>
      </c>
      <c r="E62" s="10941"/>
      <c r="F62" s="10941"/>
      <c r="G62" s="10941"/>
      <c r="H62" s="10941"/>
      <c r="I62" s="10941"/>
      <c r="J62" s="10941"/>
      <c r="K62" s="10941"/>
      <c r="L62" s="10941"/>
      <c r="M62" s="10941"/>
      <c r="N62" s="10941"/>
      <c r="O62" s="10941"/>
      <c r="P62" s="10941"/>
      <c r="Q62" s="10941"/>
      <c r="R62" s="10941"/>
      <c r="S62" s="10941"/>
      <c r="T62" s="10942"/>
      <c r="U62" s="10265" t="s">
        <v>141</v>
      </c>
      <c r="V62" s="10265"/>
      <c r="W62" s="10265"/>
      <c r="X62" s="10269"/>
      <c r="Y62" s="10937" t="s">
        <v>2880</v>
      </c>
      <c r="Z62" s="10938"/>
      <c r="AA62" s="10939"/>
      <c r="AB62" s="4268"/>
      <c r="AC62" s="4268"/>
      <c r="BZ62" s="4264"/>
      <c r="CA62" s="4264"/>
      <c r="CB62" s="4993"/>
      <c r="CC62" s="4993"/>
      <c r="CD62" s="4993"/>
      <c r="CE62" s="4993"/>
      <c r="CF62" s="4993"/>
      <c r="CG62" s="4993"/>
      <c r="CH62" s="4994"/>
      <c r="CI62" s="4994"/>
      <c r="CJ62" s="4994"/>
      <c r="CK62" s="4978"/>
      <c r="CL62" s="4978"/>
      <c r="CM62" s="4978"/>
      <c r="CN62" s="4978"/>
      <c r="CO62" s="4978"/>
      <c r="CP62" s="4978"/>
      <c r="CQ62" s="4978"/>
      <c r="CR62" s="4978"/>
      <c r="CS62" s="4978"/>
      <c r="CT62" s="4978"/>
      <c r="CU62" s="4978"/>
      <c r="DB62" s="4260"/>
      <c r="DC62" s="4260"/>
      <c r="DD62" s="4260"/>
      <c r="DE62" s="4260"/>
      <c r="DF62" s="4260"/>
      <c r="DG62" s="4260"/>
      <c r="DH62" s="4260"/>
      <c r="DI62" s="4260"/>
      <c r="DJ62" s="4260"/>
      <c r="DK62" s="4260"/>
      <c r="DL62" s="4260"/>
    </row>
    <row r="63" spans="1:131" ht="36" customHeight="1" x14ac:dyDescent="0.25">
      <c r="B63" s="9056"/>
      <c r="C63" s="9156"/>
      <c r="D63" s="5120" t="s">
        <v>1416</v>
      </c>
      <c r="E63" s="5120" t="s">
        <v>1415</v>
      </c>
      <c r="F63" s="5120" t="s">
        <v>77</v>
      </c>
      <c r="G63" s="5120" t="s">
        <v>68</v>
      </c>
      <c r="H63" s="5120" t="s">
        <v>142</v>
      </c>
      <c r="I63" s="5120" t="s">
        <v>143</v>
      </c>
      <c r="J63" s="5120" t="s">
        <v>144</v>
      </c>
      <c r="K63" s="5120" t="s">
        <v>7</v>
      </c>
      <c r="L63" s="5120" t="s">
        <v>8</v>
      </c>
      <c r="M63" s="5120" t="s">
        <v>145</v>
      </c>
      <c r="N63" s="5120" t="s">
        <v>10</v>
      </c>
      <c r="O63" s="5120" t="s">
        <v>11</v>
      </c>
      <c r="P63" s="5120" t="s">
        <v>12</v>
      </c>
      <c r="Q63" s="5120" t="s">
        <v>13</v>
      </c>
      <c r="R63" s="5120" t="s">
        <v>14</v>
      </c>
      <c r="S63" s="5120" t="s">
        <v>15</v>
      </c>
      <c r="T63" s="5121" t="s">
        <v>16</v>
      </c>
      <c r="U63" s="7094" t="s">
        <v>3977</v>
      </c>
      <c r="V63" s="5055" t="s">
        <v>146</v>
      </c>
      <c r="W63" s="3888" t="s">
        <v>156</v>
      </c>
      <c r="X63" s="3888" t="s">
        <v>148</v>
      </c>
      <c r="Y63" s="5122" t="s">
        <v>2831</v>
      </c>
      <c r="Z63" s="4983" t="s">
        <v>2832</v>
      </c>
      <c r="AA63" s="4983" t="s">
        <v>2833</v>
      </c>
      <c r="AB63" s="3940"/>
      <c r="BL63" s="3940"/>
      <c r="BZ63" s="4264"/>
      <c r="CA63" s="4264"/>
      <c r="CB63" s="4993"/>
      <c r="CC63" s="4993"/>
      <c r="CD63" s="4993"/>
      <c r="CE63" s="4993"/>
      <c r="CF63" s="4993"/>
      <c r="CG63" s="4993"/>
      <c r="CH63" s="4994"/>
      <c r="CI63" s="4994"/>
      <c r="CJ63" s="4994"/>
      <c r="CK63" s="4978"/>
      <c r="CL63" s="4978"/>
      <c r="CM63" s="4978"/>
      <c r="CN63" s="4978"/>
      <c r="CO63" s="4978"/>
      <c r="CP63" s="4978"/>
      <c r="CQ63" s="4978"/>
      <c r="CR63" s="4978"/>
      <c r="CS63" s="4978"/>
      <c r="CT63" s="4978"/>
      <c r="CU63" s="4978"/>
      <c r="DB63" s="4260"/>
      <c r="DC63" s="4260"/>
      <c r="DD63" s="4260"/>
      <c r="DE63" s="4260"/>
      <c r="DF63" s="4260"/>
      <c r="DG63" s="4260"/>
      <c r="DH63" s="4260"/>
      <c r="DI63" s="4260"/>
      <c r="DJ63" s="4260"/>
      <c r="DK63" s="4260"/>
    </row>
    <row r="64" spans="1:131" ht="14.1" customHeight="1" x14ac:dyDescent="0.25">
      <c r="A64" s="7520">
        <v>28011000</v>
      </c>
      <c r="B64" s="5101" t="s">
        <v>1016</v>
      </c>
      <c r="C64" s="5123" t="s">
        <v>5369</v>
      </c>
      <c r="D64" s="5124" t="s">
        <v>5370</v>
      </c>
      <c r="E64" s="5108" t="s">
        <v>5371</v>
      </c>
      <c r="F64" s="5108" t="s">
        <v>5372</v>
      </c>
      <c r="G64" s="5108" t="s">
        <v>5373</v>
      </c>
      <c r="H64" s="5108" t="s">
        <v>5374</v>
      </c>
      <c r="I64" s="5108" t="s">
        <v>5375</v>
      </c>
      <c r="J64" s="5108" t="s">
        <v>5376</v>
      </c>
      <c r="K64" s="5108" t="s">
        <v>5377</v>
      </c>
      <c r="L64" s="5108" t="s">
        <v>5378</v>
      </c>
      <c r="M64" s="5108" t="s">
        <v>5379</v>
      </c>
      <c r="N64" s="5108" t="s">
        <v>5380</v>
      </c>
      <c r="O64" s="5108" t="s">
        <v>5381</v>
      </c>
      <c r="P64" s="5108" t="s">
        <v>5382</v>
      </c>
      <c r="Q64" s="5108" t="s">
        <v>5383</v>
      </c>
      <c r="R64" s="5108" t="s">
        <v>5384</v>
      </c>
      <c r="S64" s="5108" t="s">
        <v>5385</v>
      </c>
      <c r="T64" s="5125" t="s">
        <v>5386</v>
      </c>
      <c r="U64" s="5000" t="s">
        <v>5387</v>
      </c>
      <c r="V64" s="4427" t="s">
        <v>5388</v>
      </c>
      <c r="W64" s="4427" t="s">
        <v>5389</v>
      </c>
      <c r="X64" s="4038" t="s">
        <v>5390</v>
      </c>
      <c r="Y64" s="4948" t="s">
        <v>5391</v>
      </c>
      <c r="Z64" s="4948" t="s">
        <v>5392</v>
      </c>
      <c r="AA64" s="4948" t="s">
        <v>5393</v>
      </c>
      <c r="AB64" s="3940"/>
      <c r="BL64" s="3940"/>
      <c r="BZ64" s="4264"/>
      <c r="CA64" s="4264"/>
      <c r="CB64" s="4993"/>
      <c r="CC64" s="4993"/>
      <c r="CD64" s="4993"/>
      <c r="CE64" s="4993"/>
      <c r="CF64" s="4993"/>
      <c r="CG64" s="4993"/>
      <c r="CH64" s="4994"/>
      <c r="CI64" s="4994"/>
      <c r="CJ64" s="4994"/>
      <c r="CK64" s="4978"/>
      <c r="CL64" s="4978"/>
      <c r="CM64" s="4978"/>
      <c r="CN64" s="4978"/>
      <c r="CO64" s="4978"/>
      <c r="CP64" s="4978"/>
      <c r="CQ64" s="4978"/>
      <c r="CR64" s="4978"/>
      <c r="CS64" s="4978"/>
      <c r="CT64" s="4978"/>
      <c r="CU64" s="4978"/>
      <c r="DB64" s="4260"/>
      <c r="DC64" s="4260"/>
      <c r="DD64" s="4260"/>
      <c r="DE64" s="4260"/>
      <c r="DF64" s="4260"/>
      <c r="DG64" s="4260"/>
      <c r="DH64" s="4260"/>
      <c r="DI64" s="4260"/>
      <c r="DJ64" s="4260"/>
      <c r="DK64" s="4260"/>
    </row>
    <row r="65" spans="1:116" ht="14.1" customHeight="1" x14ac:dyDescent="0.25">
      <c r="A65" s="7520">
        <v>28011100</v>
      </c>
      <c r="B65" s="5107" t="s">
        <v>62</v>
      </c>
      <c r="C65" s="5126" t="s">
        <v>5369</v>
      </c>
      <c r="D65" s="5124" t="s">
        <v>5370</v>
      </c>
      <c r="E65" s="5108" t="s">
        <v>5371</v>
      </c>
      <c r="F65" s="5108" t="s">
        <v>5372</v>
      </c>
      <c r="G65" s="5108" t="s">
        <v>5373</v>
      </c>
      <c r="H65" s="5108" t="s">
        <v>5374</v>
      </c>
      <c r="I65" s="5108" t="s">
        <v>5375</v>
      </c>
      <c r="J65" s="5108" t="s">
        <v>5376</v>
      </c>
      <c r="K65" s="5108" t="s">
        <v>5377</v>
      </c>
      <c r="L65" s="5108" t="s">
        <v>5378</v>
      </c>
      <c r="M65" s="5108" t="s">
        <v>5379</v>
      </c>
      <c r="N65" s="5108" t="s">
        <v>5380</v>
      </c>
      <c r="O65" s="5108" t="s">
        <v>5381</v>
      </c>
      <c r="P65" s="5108" t="s">
        <v>5382</v>
      </c>
      <c r="Q65" s="5108" t="s">
        <v>5383</v>
      </c>
      <c r="R65" s="5108" t="s">
        <v>5384</v>
      </c>
      <c r="S65" s="5108" t="s">
        <v>5385</v>
      </c>
      <c r="T65" s="5125" t="s">
        <v>5386</v>
      </c>
      <c r="U65" s="5007" t="s">
        <v>5387</v>
      </c>
      <c r="V65" s="3831" t="s">
        <v>5388</v>
      </c>
      <c r="W65" s="3831" t="s">
        <v>5389</v>
      </c>
      <c r="X65" s="4951" t="s">
        <v>5390</v>
      </c>
      <c r="Y65" s="4942" t="s">
        <v>5391</v>
      </c>
      <c r="Z65" s="4942" t="s">
        <v>5392</v>
      </c>
      <c r="AA65" s="4942" t="s">
        <v>5393</v>
      </c>
      <c r="AB65" s="3940"/>
      <c r="BL65" s="3940"/>
      <c r="BZ65" s="4264"/>
      <c r="CA65" s="4264"/>
      <c r="CB65" s="4993"/>
      <c r="CC65" s="4993"/>
      <c r="CD65" s="4993"/>
      <c r="CE65" s="4993"/>
      <c r="CF65" s="4993"/>
      <c r="CG65" s="4993"/>
      <c r="CH65" s="4994"/>
      <c r="CI65" s="4994"/>
      <c r="CJ65" s="4994"/>
      <c r="CK65" s="4978"/>
      <c r="CL65" s="4978"/>
      <c r="CM65" s="4978"/>
      <c r="CN65" s="4978"/>
      <c r="CO65" s="4978"/>
      <c r="CP65" s="4978"/>
      <c r="CQ65" s="4978"/>
      <c r="CR65" s="4978"/>
      <c r="CS65" s="4978"/>
      <c r="CT65" s="4978"/>
      <c r="CU65" s="4978"/>
      <c r="DB65" s="4260"/>
      <c r="DC65" s="4260"/>
      <c r="DD65" s="4260"/>
      <c r="DE65" s="4260"/>
      <c r="DF65" s="4260"/>
      <c r="DG65" s="4260"/>
      <c r="DH65" s="4260"/>
      <c r="DI65" s="4260"/>
      <c r="DJ65" s="4260"/>
      <c r="DK65" s="4260"/>
    </row>
    <row r="66" spans="1:116" ht="14.1" customHeight="1" x14ac:dyDescent="0.25">
      <c r="A66" s="7520">
        <v>28011200</v>
      </c>
      <c r="B66" s="5107" t="s">
        <v>2593</v>
      </c>
      <c r="C66" s="5126" t="s">
        <v>5369</v>
      </c>
      <c r="D66" s="5124" t="s">
        <v>5370</v>
      </c>
      <c r="E66" s="5108" t="s">
        <v>5371</v>
      </c>
      <c r="F66" s="5108" t="s">
        <v>5372</v>
      </c>
      <c r="G66" s="5108" t="s">
        <v>5373</v>
      </c>
      <c r="H66" s="5108" t="s">
        <v>5374</v>
      </c>
      <c r="I66" s="5108" t="s">
        <v>5375</v>
      </c>
      <c r="J66" s="5108" t="s">
        <v>5376</v>
      </c>
      <c r="K66" s="5108" t="s">
        <v>5377</v>
      </c>
      <c r="L66" s="5108" t="s">
        <v>5378</v>
      </c>
      <c r="M66" s="5108" t="s">
        <v>5379</v>
      </c>
      <c r="N66" s="5108" t="s">
        <v>5380</v>
      </c>
      <c r="O66" s="5108" t="s">
        <v>5381</v>
      </c>
      <c r="P66" s="5108" t="s">
        <v>5382</v>
      </c>
      <c r="Q66" s="5108" t="s">
        <v>5383</v>
      </c>
      <c r="R66" s="5108" t="s">
        <v>5384</v>
      </c>
      <c r="S66" s="5108" t="s">
        <v>5385</v>
      </c>
      <c r="T66" s="5125" t="s">
        <v>5386</v>
      </c>
      <c r="U66" s="5007" t="s">
        <v>5387</v>
      </c>
      <c r="V66" s="3831" t="s">
        <v>5388</v>
      </c>
      <c r="W66" s="3831" t="s">
        <v>5389</v>
      </c>
      <c r="X66" s="4951" t="s">
        <v>5390</v>
      </c>
      <c r="Y66" s="4942" t="s">
        <v>5391</v>
      </c>
      <c r="Z66" s="4942" t="s">
        <v>5392</v>
      </c>
      <c r="AA66" s="4942" t="s">
        <v>5393</v>
      </c>
      <c r="AB66" s="3940"/>
      <c r="BL66" s="3940"/>
      <c r="BZ66" s="4264"/>
      <c r="CA66" s="4264"/>
      <c r="CH66" s="4978"/>
      <c r="CI66" s="4978"/>
      <c r="CJ66" s="4978"/>
      <c r="CK66" s="4978"/>
      <c r="CL66" s="4978"/>
      <c r="CM66" s="4978"/>
      <c r="CN66" s="4978"/>
      <c r="CO66" s="4978"/>
      <c r="CP66" s="4978"/>
      <c r="CQ66" s="4978"/>
      <c r="CR66" s="4978"/>
      <c r="CS66" s="4978"/>
      <c r="CT66" s="4978"/>
      <c r="CU66" s="4978"/>
      <c r="DB66" s="4260"/>
      <c r="DC66" s="4260"/>
      <c r="DD66" s="4260"/>
      <c r="DE66" s="4260"/>
      <c r="DF66" s="4260"/>
      <c r="DG66" s="4260"/>
      <c r="DH66" s="4260"/>
      <c r="DI66" s="4260"/>
      <c r="DJ66" s="4260"/>
      <c r="DK66" s="4260"/>
    </row>
    <row r="67" spans="1:116" ht="14.1" customHeight="1" x14ac:dyDescent="0.25">
      <c r="A67" s="7520">
        <v>28011300</v>
      </c>
      <c r="B67" s="5107" t="s">
        <v>60</v>
      </c>
      <c r="C67" s="5127" t="s">
        <v>5369</v>
      </c>
      <c r="D67" s="5124" t="s">
        <v>5370</v>
      </c>
      <c r="E67" s="5108" t="s">
        <v>5371</v>
      </c>
      <c r="F67" s="5108" t="s">
        <v>5372</v>
      </c>
      <c r="G67" s="5108" t="s">
        <v>5373</v>
      </c>
      <c r="H67" s="5108" t="s">
        <v>5374</v>
      </c>
      <c r="I67" s="5108" t="s">
        <v>5375</v>
      </c>
      <c r="J67" s="5108" t="s">
        <v>5376</v>
      </c>
      <c r="K67" s="5108" t="s">
        <v>5377</v>
      </c>
      <c r="L67" s="5108" t="s">
        <v>5378</v>
      </c>
      <c r="M67" s="5108" t="s">
        <v>5379</v>
      </c>
      <c r="N67" s="5108" t="s">
        <v>5380</v>
      </c>
      <c r="O67" s="5108" t="s">
        <v>5381</v>
      </c>
      <c r="P67" s="5108" t="s">
        <v>5382</v>
      </c>
      <c r="Q67" s="5108" t="s">
        <v>5383</v>
      </c>
      <c r="R67" s="5108" t="s">
        <v>5384</v>
      </c>
      <c r="S67" s="5108" t="s">
        <v>5385</v>
      </c>
      <c r="T67" s="5125" t="s">
        <v>5386</v>
      </c>
      <c r="U67" s="5128" t="s">
        <v>5387</v>
      </c>
      <c r="V67" s="4421" t="s">
        <v>5388</v>
      </c>
      <c r="W67" s="4421" t="s">
        <v>5389</v>
      </c>
      <c r="X67" s="5027" t="s">
        <v>5390</v>
      </c>
      <c r="Y67" s="5025" t="s">
        <v>5391</v>
      </c>
      <c r="Z67" s="5025" t="s">
        <v>5392</v>
      </c>
      <c r="AA67" s="5025" t="s">
        <v>5393</v>
      </c>
      <c r="AB67" s="3940"/>
      <c r="BL67" s="3940"/>
      <c r="BZ67" s="4264"/>
      <c r="CA67" s="4264"/>
      <c r="CH67" s="4978"/>
      <c r="CI67" s="4978"/>
      <c r="CJ67" s="4978"/>
      <c r="CK67" s="4978"/>
      <c r="CL67" s="4978"/>
      <c r="CM67" s="4978"/>
      <c r="CN67" s="4978"/>
      <c r="CO67" s="4978"/>
      <c r="CP67" s="4978"/>
      <c r="CQ67" s="4978"/>
      <c r="CR67" s="4978"/>
      <c r="CS67" s="4978"/>
      <c r="CT67" s="4978"/>
      <c r="CU67" s="4978"/>
      <c r="DB67" s="4260"/>
      <c r="DC67" s="4260"/>
      <c r="DD67" s="4260"/>
      <c r="DE67" s="4260"/>
      <c r="DF67" s="4260"/>
      <c r="DG67" s="4260"/>
      <c r="DH67" s="4260"/>
      <c r="DI67" s="4260"/>
      <c r="DJ67" s="4260"/>
      <c r="DK67" s="4260"/>
    </row>
    <row r="68" spans="1:116" ht="14.1" customHeight="1" x14ac:dyDescent="0.25">
      <c r="A68" s="7318"/>
      <c r="B68" s="5129" t="s">
        <v>24</v>
      </c>
      <c r="C68" s="5130">
        <f>SUM(C64:C67)</f>
        <v>0</v>
      </c>
      <c r="D68" s="5131">
        <f>SUM(D64:D67)</f>
        <v>0</v>
      </c>
      <c r="E68" s="5131">
        <f t="shared" ref="E68:T68" si="16">SUM(E64:E67)</f>
        <v>0</v>
      </c>
      <c r="F68" s="5131">
        <f t="shared" si="16"/>
        <v>0</v>
      </c>
      <c r="G68" s="5131">
        <f t="shared" si="16"/>
        <v>0</v>
      </c>
      <c r="H68" s="5131">
        <f t="shared" si="16"/>
        <v>0</v>
      </c>
      <c r="I68" s="5131">
        <f t="shared" si="16"/>
        <v>0</v>
      </c>
      <c r="J68" s="5131">
        <f t="shared" si="16"/>
        <v>0</v>
      </c>
      <c r="K68" s="5131">
        <f t="shared" si="16"/>
        <v>0</v>
      </c>
      <c r="L68" s="5131">
        <f t="shared" si="16"/>
        <v>0</v>
      </c>
      <c r="M68" s="5131">
        <f t="shared" si="16"/>
        <v>0</v>
      </c>
      <c r="N68" s="5131">
        <f t="shared" si="16"/>
        <v>0</v>
      </c>
      <c r="O68" s="5131">
        <f t="shared" si="16"/>
        <v>0</v>
      </c>
      <c r="P68" s="5131">
        <f t="shared" si="16"/>
        <v>0</v>
      </c>
      <c r="Q68" s="5131">
        <f t="shared" si="16"/>
        <v>0</v>
      </c>
      <c r="R68" s="5131">
        <f t="shared" si="16"/>
        <v>0</v>
      </c>
      <c r="S68" s="5131">
        <f t="shared" si="16"/>
        <v>0</v>
      </c>
      <c r="T68" s="5132">
        <f t="shared" si="16"/>
        <v>0</v>
      </c>
      <c r="U68" s="5133">
        <f t="shared" ref="U68:AA68" si="17">SUM(U64:U67)</f>
        <v>0</v>
      </c>
      <c r="V68" s="5134">
        <f t="shared" si="17"/>
        <v>0</v>
      </c>
      <c r="W68" s="5134">
        <f t="shared" si="17"/>
        <v>0</v>
      </c>
      <c r="X68" s="5134">
        <f t="shared" si="17"/>
        <v>0</v>
      </c>
      <c r="Y68" s="5134">
        <f t="shared" si="17"/>
        <v>0</v>
      </c>
      <c r="Z68" s="5134">
        <f t="shared" si="17"/>
        <v>0</v>
      </c>
      <c r="AA68" s="5135">
        <f t="shared" si="17"/>
        <v>0</v>
      </c>
      <c r="AB68" s="3940"/>
      <c r="BL68" s="3940"/>
      <c r="BZ68" s="4264"/>
      <c r="CA68" s="4264"/>
      <c r="CH68" s="4978"/>
      <c r="CI68" s="4978"/>
      <c r="CJ68" s="4978"/>
      <c r="CK68" s="4978"/>
      <c r="CL68" s="4978"/>
      <c r="CM68" s="4978"/>
      <c r="CN68" s="4978"/>
      <c r="CO68" s="4978"/>
      <c r="CP68" s="4978"/>
      <c r="CQ68" s="4978"/>
      <c r="CR68" s="4978"/>
      <c r="CS68" s="4978"/>
      <c r="CT68" s="4978"/>
      <c r="CU68" s="4978"/>
      <c r="DB68" s="4260"/>
      <c r="DC68" s="4260"/>
      <c r="DD68" s="4260"/>
      <c r="DE68" s="4260"/>
      <c r="DF68" s="4260"/>
      <c r="DG68" s="4260"/>
      <c r="DH68" s="4260"/>
      <c r="DI68" s="4260"/>
      <c r="DJ68" s="4260"/>
      <c r="DK68" s="4260"/>
    </row>
    <row r="69" spans="1:116" ht="29.4" customHeight="1" x14ac:dyDescent="0.25">
      <c r="B69" s="4469" t="s">
        <v>199</v>
      </c>
      <c r="E69" s="3940"/>
      <c r="F69" s="3940"/>
      <c r="G69" s="3940"/>
      <c r="H69" s="3940"/>
      <c r="I69" s="3940"/>
      <c r="J69" s="3940"/>
      <c r="K69" s="3940"/>
      <c r="L69" s="3940"/>
      <c r="AV69" s="3940"/>
      <c r="CH69" s="4978"/>
      <c r="CI69" s="4978"/>
      <c r="CJ69" s="4978"/>
      <c r="CK69" s="4978"/>
      <c r="CL69" s="4978"/>
      <c r="CM69" s="4978"/>
      <c r="CN69" s="4978"/>
      <c r="CO69" s="4978"/>
      <c r="CP69" s="4978"/>
      <c r="CQ69" s="4978"/>
      <c r="CR69" s="4978"/>
      <c r="CS69" s="4978"/>
      <c r="CT69" s="4978"/>
      <c r="CU69" s="4978"/>
      <c r="CV69" s="4264"/>
      <c r="CW69" s="4264"/>
      <c r="CX69" s="4264"/>
      <c r="CY69" s="4264"/>
      <c r="CZ69" s="4264"/>
      <c r="DA69" s="4264"/>
    </row>
    <row r="70" spans="1:116" ht="20.25" customHeight="1" x14ac:dyDescent="0.25">
      <c r="B70" s="10247" t="s">
        <v>0</v>
      </c>
      <c r="C70" s="10349" t="s">
        <v>1</v>
      </c>
      <c r="D70" s="10941" t="s">
        <v>98</v>
      </c>
      <c r="E70" s="10941"/>
      <c r="F70" s="10941"/>
      <c r="G70" s="10941"/>
      <c r="H70" s="10941"/>
      <c r="I70" s="10941"/>
      <c r="J70" s="10941"/>
      <c r="K70" s="10941"/>
      <c r="L70" s="10941"/>
      <c r="M70" s="10941"/>
      <c r="N70" s="10941"/>
      <c r="O70" s="10941"/>
      <c r="P70" s="10941"/>
      <c r="Q70" s="10941"/>
      <c r="R70" s="10941"/>
      <c r="S70" s="10941"/>
      <c r="T70" s="10942"/>
      <c r="U70" s="10268" t="s">
        <v>141</v>
      </c>
      <c r="V70" s="10265"/>
      <c r="W70" s="10265"/>
      <c r="X70" s="10269"/>
      <c r="Y70" s="10937" t="s">
        <v>2880</v>
      </c>
      <c r="Z70" s="10938"/>
      <c r="AA70" s="10939"/>
      <c r="AB70" s="3940"/>
      <c r="AC70" s="3940"/>
      <c r="BM70" s="3940"/>
      <c r="BZ70" s="4264"/>
      <c r="CA70" s="4264"/>
      <c r="CH70" s="4978"/>
      <c r="CI70" s="4978"/>
      <c r="CJ70" s="4978"/>
      <c r="CK70" s="4978"/>
      <c r="CL70" s="4978"/>
      <c r="CM70" s="4978"/>
      <c r="CN70" s="4978"/>
      <c r="CO70" s="4978"/>
      <c r="CP70" s="4978"/>
      <c r="CQ70" s="4978"/>
      <c r="CR70" s="4978"/>
      <c r="CS70" s="4978"/>
      <c r="CT70" s="4978"/>
      <c r="CU70" s="4978"/>
      <c r="DB70" s="4260"/>
      <c r="DC70" s="4260"/>
      <c r="DD70" s="4260"/>
      <c r="DE70" s="4260"/>
      <c r="DF70" s="4260"/>
      <c r="DG70" s="4260"/>
      <c r="DH70" s="4260"/>
      <c r="DI70" s="4260"/>
      <c r="DJ70" s="4260"/>
      <c r="DK70" s="4260"/>
      <c r="DL70" s="4260"/>
    </row>
    <row r="71" spans="1:116" ht="42.75" customHeight="1" x14ac:dyDescent="0.25">
      <c r="B71" s="9056"/>
      <c r="C71" s="10351"/>
      <c r="D71" s="5120" t="s">
        <v>1416</v>
      </c>
      <c r="E71" s="5120" t="s">
        <v>1415</v>
      </c>
      <c r="F71" s="5120" t="s">
        <v>77</v>
      </c>
      <c r="G71" s="5120" t="s">
        <v>68</v>
      </c>
      <c r="H71" s="5120" t="s">
        <v>142</v>
      </c>
      <c r="I71" s="5120" t="s">
        <v>143</v>
      </c>
      <c r="J71" s="5120" t="s">
        <v>144</v>
      </c>
      <c r="K71" s="5120" t="s">
        <v>7</v>
      </c>
      <c r="L71" s="5120" t="s">
        <v>8</v>
      </c>
      <c r="M71" s="5120" t="s">
        <v>145</v>
      </c>
      <c r="N71" s="5120" t="s">
        <v>10</v>
      </c>
      <c r="O71" s="5120" t="s">
        <v>11</v>
      </c>
      <c r="P71" s="5120" t="s">
        <v>12</v>
      </c>
      <c r="Q71" s="5120" t="s">
        <v>13</v>
      </c>
      <c r="R71" s="5120" t="s">
        <v>14</v>
      </c>
      <c r="S71" s="5120" t="s">
        <v>15</v>
      </c>
      <c r="T71" s="5121" t="s">
        <v>16</v>
      </c>
      <c r="U71" s="7094" t="s">
        <v>3977</v>
      </c>
      <c r="V71" s="5055" t="s">
        <v>146</v>
      </c>
      <c r="W71" s="3888" t="s">
        <v>156</v>
      </c>
      <c r="X71" s="3888" t="s">
        <v>148</v>
      </c>
      <c r="Y71" s="5122" t="s">
        <v>2831</v>
      </c>
      <c r="Z71" s="4983" t="s">
        <v>2832</v>
      </c>
      <c r="AA71" s="4983" t="s">
        <v>2833</v>
      </c>
      <c r="AB71" s="3940"/>
      <c r="BL71" s="3940"/>
      <c r="BZ71" s="4264"/>
      <c r="CA71" s="4264"/>
      <c r="CH71" s="4978"/>
      <c r="CI71" s="4978"/>
      <c r="CJ71" s="4978"/>
      <c r="CK71" s="4978"/>
      <c r="CL71" s="4978"/>
      <c r="CM71" s="4978"/>
      <c r="CN71" s="4978"/>
      <c r="CO71" s="4978"/>
      <c r="CP71" s="4978"/>
      <c r="CQ71" s="4978"/>
      <c r="CR71" s="4978"/>
      <c r="CS71" s="4978"/>
      <c r="CT71" s="4978"/>
      <c r="CU71" s="4978"/>
      <c r="DB71" s="4260"/>
      <c r="DC71" s="4260"/>
      <c r="DD71" s="4260"/>
      <c r="DE71" s="4260"/>
      <c r="DF71" s="4260"/>
      <c r="DG71" s="4260"/>
      <c r="DH71" s="4260"/>
      <c r="DI71" s="4260"/>
      <c r="DJ71" s="4260"/>
      <c r="DK71" s="4260"/>
    </row>
    <row r="72" spans="1:116" ht="14.1" customHeight="1" x14ac:dyDescent="0.25">
      <c r="A72" s="7520">
        <v>28020660</v>
      </c>
      <c r="B72" s="5101" t="s">
        <v>1016</v>
      </c>
      <c r="C72" s="5123" t="s">
        <v>5369</v>
      </c>
      <c r="D72" s="5124" t="s">
        <v>5370</v>
      </c>
      <c r="E72" s="5108" t="s">
        <v>5371</v>
      </c>
      <c r="F72" s="5108" t="s">
        <v>5372</v>
      </c>
      <c r="G72" s="5108" t="s">
        <v>5373</v>
      </c>
      <c r="H72" s="5108" t="s">
        <v>5374</v>
      </c>
      <c r="I72" s="5108" t="s">
        <v>5375</v>
      </c>
      <c r="J72" s="5108" t="s">
        <v>5376</v>
      </c>
      <c r="K72" s="5108" t="s">
        <v>5377</v>
      </c>
      <c r="L72" s="5108" t="s">
        <v>5378</v>
      </c>
      <c r="M72" s="5108" t="s">
        <v>5379</v>
      </c>
      <c r="N72" s="5108" t="s">
        <v>5380</v>
      </c>
      <c r="O72" s="5108" t="s">
        <v>5381</v>
      </c>
      <c r="P72" s="5108" t="s">
        <v>5382</v>
      </c>
      <c r="Q72" s="5108" t="s">
        <v>5383</v>
      </c>
      <c r="R72" s="5108" t="s">
        <v>5384</v>
      </c>
      <c r="S72" s="5108" t="s">
        <v>5385</v>
      </c>
      <c r="T72" s="5125" t="s">
        <v>5386</v>
      </c>
      <c r="U72" s="4999" t="s">
        <v>5387</v>
      </c>
      <c r="V72" s="5000" t="s">
        <v>5388</v>
      </c>
      <c r="W72" s="4427" t="s">
        <v>5389</v>
      </c>
      <c r="X72" s="4427" t="s">
        <v>5390</v>
      </c>
      <c r="Y72" s="4948" t="s">
        <v>5391</v>
      </c>
      <c r="Z72" s="4948" t="s">
        <v>5392</v>
      </c>
      <c r="AA72" s="4948" t="s">
        <v>5393</v>
      </c>
      <c r="AB72" s="3940"/>
      <c r="BL72" s="3940"/>
      <c r="BZ72" s="4264"/>
      <c r="CA72" s="4264"/>
      <c r="CH72" s="4978"/>
      <c r="CI72" s="4978"/>
      <c r="CJ72" s="4978"/>
      <c r="CK72" s="4978"/>
      <c r="CL72" s="4978"/>
      <c r="CM72" s="4978"/>
      <c r="CN72" s="4978"/>
      <c r="CO72" s="4978"/>
      <c r="CP72" s="4978"/>
      <c r="CQ72" s="4978"/>
      <c r="CR72" s="4978"/>
      <c r="CS72" s="4978"/>
      <c r="CT72" s="4978"/>
      <c r="CU72" s="4978"/>
      <c r="DB72" s="4260"/>
      <c r="DC72" s="4260"/>
      <c r="DD72" s="4260"/>
      <c r="DE72" s="4260"/>
      <c r="DF72" s="4260"/>
      <c r="DG72" s="4260"/>
      <c r="DH72" s="4260"/>
      <c r="DI72" s="4260"/>
      <c r="DJ72" s="4260"/>
      <c r="DK72" s="4260"/>
    </row>
    <row r="73" spans="1:116" ht="14.1" customHeight="1" x14ac:dyDescent="0.25">
      <c r="A73" s="7520">
        <v>28020670</v>
      </c>
      <c r="B73" s="5107" t="s">
        <v>62</v>
      </c>
      <c r="C73" s="5126" t="s">
        <v>5369</v>
      </c>
      <c r="D73" s="5124" t="s">
        <v>5370</v>
      </c>
      <c r="E73" s="5108" t="s">
        <v>5371</v>
      </c>
      <c r="F73" s="5108" t="s">
        <v>5372</v>
      </c>
      <c r="G73" s="5108" t="s">
        <v>5373</v>
      </c>
      <c r="H73" s="5108" t="s">
        <v>5374</v>
      </c>
      <c r="I73" s="5108" t="s">
        <v>5375</v>
      </c>
      <c r="J73" s="5108" t="s">
        <v>5376</v>
      </c>
      <c r="K73" s="5108" t="s">
        <v>5377</v>
      </c>
      <c r="L73" s="5108" t="s">
        <v>5378</v>
      </c>
      <c r="M73" s="5108" t="s">
        <v>5379</v>
      </c>
      <c r="N73" s="5108" t="s">
        <v>5380</v>
      </c>
      <c r="O73" s="5108" t="s">
        <v>5381</v>
      </c>
      <c r="P73" s="5108" t="s">
        <v>5382</v>
      </c>
      <c r="Q73" s="5108" t="s">
        <v>5383</v>
      </c>
      <c r="R73" s="5108" t="s">
        <v>5384</v>
      </c>
      <c r="S73" s="5108" t="s">
        <v>5385</v>
      </c>
      <c r="T73" s="5125" t="s">
        <v>5386</v>
      </c>
      <c r="U73" s="4949" t="s">
        <v>5387</v>
      </c>
      <c r="V73" s="5007" t="s">
        <v>5388</v>
      </c>
      <c r="W73" s="3831" t="s">
        <v>5389</v>
      </c>
      <c r="X73" s="3831" t="s">
        <v>5390</v>
      </c>
      <c r="Y73" s="4942" t="s">
        <v>5391</v>
      </c>
      <c r="Z73" s="4942" t="s">
        <v>5392</v>
      </c>
      <c r="AA73" s="4942" t="s">
        <v>5393</v>
      </c>
      <c r="AB73" s="3940"/>
      <c r="BL73" s="3940"/>
      <c r="BZ73" s="4264"/>
      <c r="CA73" s="4264"/>
      <c r="CH73" s="4978"/>
      <c r="CI73" s="4978"/>
      <c r="CJ73" s="4978"/>
      <c r="CK73" s="4978"/>
      <c r="CL73" s="4978"/>
      <c r="CM73" s="4978"/>
      <c r="CN73" s="4978"/>
      <c r="CO73" s="4978"/>
      <c r="CP73" s="4978"/>
      <c r="CQ73" s="4978"/>
      <c r="CR73" s="4978"/>
      <c r="CS73" s="4978"/>
      <c r="CT73" s="4978"/>
      <c r="CU73" s="4978"/>
      <c r="DB73" s="4260"/>
      <c r="DC73" s="4260"/>
      <c r="DD73" s="4260"/>
      <c r="DE73" s="4260"/>
      <c r="DF73" s="4260"/>
      <c r="DG73" s="4260"/>
      <c r="DH73" s="4260"/>
      <c r="DI73" s="4260"/>
      <c r="DJ73" s="4260"/>
      <c r="DK73" s="4260"/>
    </row>
    <row r="74" spans="1:116" ht="14.1" customHeight="1" x14ac:dyDescent="0.25">
      <c r="A74" s="7520">
        <v>28020680</v>
      </c>
      <c r="B74" s="5107" t="s">
        <v>2593</v>
      </c>
      <c r="C74" s="5126" t="s">
        <v>5369</v>
      </c>
      <c r="D74" s="5124" t="s">
        <v>5370</v>
      </c>
      <c r="E74" s="5108" t="s">
        <v>5371</v>
      </c>
      <c r="F74" s="5108" t="s">
        <v>5372</v>
      </c>
      <c r="G74" s="5108" t="s">
        <v>5373</v>
      </c>
      <c r="H74" s="5108" t="s">
        <v>5374</v>
      </c>
      <c r="I74" s="5108" t="s">
        <v>5375</v>
      </c>
      <c r="J74" s="5108" t="s">
        <v>5376</v>
      </c>
      <c r="K74" s="5108" t="s">
        <v>5377</v>
      </c>
      <c r="L74" s="5108" t="s">
        <v>5378</v>
      </c>
      <c r="M74" s="5108" t="s">
        <v>5379</v>
      </c>
      <c r="N74" s="5108" t="s">
        <v>5380</v>
      </c>
      <c r="O74" s="5108" t="s">
        <v>5381</v>
      </c>
      <c r="P74" s="5108" t="s">
        <v>5382</v>
      </c>
      <c r="Q74" s="5108" t="s">
        <v>5383</v>
      </c>
      <c r="R74" s="5108" t="s">
        <v>5384</v>
      </c>
      <c r="S74" s="5108" t="s">
        <v>5385</v>
      </c>
      <c r="T74" s="5125" t="s">
        <v>5386</v>
      </c>
      <c r="U74" s="4949" t="s">
        <v>5387</v>
      </c>
      <c r="V74" s="5007" t="s">
        <v>5388</v>
      </c>
      <c r="W74" s="3831" t="s">
        <v>5389</v>
      </c>
      <c r="X74" s="3831" t="s">
        <v>5390</v>
      </c>
      <c r="Y74" s="4942" t="s">
        <v>5391</v>
      </c>
      <c r="Z74" s="4942" t="s">
        <v>5392</v>
      </c>
      <c r="AA74" s="4942" t="s">
        <v>5393</v>
      </c>
      <c r="AB74" s="3940"/>
      <c r="BL74" s="3940"/>
      <c r="BZ74" s="4264"/>
      <c r="CA74" s="4264"/>
      <c r="CH74" s="4978"/>
      <c r="CI74" s="4978"/>
      <c r="CJ74" s="4978"/>
      <c r="CK74" s="4978"/>
      <c r="CL74" s="4978"/>
      <c r="CM74" s="4978"/>
      <c r="CN74" s="4978"/>
      <c r="CO74" s="4978"/>
      <c r="CP74" s="4978"/>
      <c r="CQ74" s="4978"/>
      <c r="CR74" s="4978"/>
      <c r="CS74" s="4978"/>
      <c r="CT74" s="4978"/>
      <c r="CU74" s="4978"/>
      <c r="DB74" s="4260"/>
      <c r="DC74" s="4260"/>
      <c r="DD74" s="4260"/>
      <c r="DE74" s="4260"/>
      <c r="DF74" s="4260"/>
      <c r="DG74" s="4260"/>
      <c r="DH74" s="4260"/>
      <c r="DI74" s="4260"/>
      <c r="DJ74" s="4260"/>
      <c r="DK74" s="4260"/>
    </row>
    <row r="75" spans="1:116" ht="14.1" customHeight="1" x14ac:dyDescent="0.25">
      <c r="A75" s="7520">
        <v>28020690</v>
      </c>
      <c r="B75" s="5107" t="s">
        <v>60</v>
      </c>
      <c r="C75" s="5127" t="s">
        <v>5369</v>
      </c>
      <c r="D75" s="5124" t="s">
        <v>5370</v>
      </c>
      <c r="E75" s="5108" t="s">
        <v>5371</v>
      </c>
      <c r="F75" s="5108" t="s">
        <v>5372</v>
      </c>
      <c r="G75" s="5108" t="s">
        <v>5373</v>
      </c>
      <c r="H75" s="5108" t="s">
        <v>5374</v>
      </c>
      <c r="I75" s="5108" t="s">
        <v>5375</v>
      </c>
      <c r="J75" s="5108" t="s">
        <v>5376</v>
      </c>
      <c r="K75" s="5108" t="s">
        <v>5377</v>
      </c>
      <c r="L75" s="5108" t="s">
        <v>5378</v>
      </c>
      <c r="M75" s="5108" t="s">
        <v>5379</v>
      </c>
      <c r="N75" s="5108" t="s">
        <v>5380</v>
      </c>
      <c r="O75" s="5108" t="s">
        <v>5381</v>
      </c>
      <c r="P75" s="5108" t="s">
        <v>5382</v>
      </c>
      <c r="Q75" s="5108" t="s">
        <v>5383</v>
      </c>
      <c r="R75" s="5108" t="s">
        <v>5384</v>
      </c>
      <c r="S75" s="5108" t="s">
        <v>5385</v>
      </c>
      <c r="T75" s="5125" t="s">
        <v>5386</v>
      </c>
      <c r="U75" s="5136" t="s">
        <v>5387</v>
      </c>
      <c r="V75" s="5128" t="s">
        <v>5388</v>
      </c>
      <c r="W75" s="4421" t="s">
        <v>5389</v>
      </c>
      <c r="X75" s="4421" t="s">
        <v>5390</v>
      </c>
      <c r="Y75" s="5025" t="s">
        <v>5391</v>
      </c>
      <c r="Z75" s="5025" t="s">
        <v>5392</v>
      </c>
      <c r="AA75" s="5025" t="s">
        <v>5393</v>
      </c>
      <c r="AB75" s="3940"/>
      <c r="BL75" s="3940"/>
      <c r="BZ75" s="4264"/>
      <c r="CA75" s="4264"/>
      <c r="CH75" s="4978"/>
      <c r="CI75" s="4978"/>
      <c r="CJ75" s="4978"/>
      <c r="CK75" s="4978"/>
      <c r="CL75" s="4978"/>
      <c r="CM75" s="4978"/>
      <c r="CN75" s="4978"/>
      <c r="CO75" s="4978"/>
      <c r="CP75" s="4978"/>
      <c r="CQ75" s="4978"/>
      <c r="CR75" s="4978"/>
      <c r="CS75" s="4978"/>
      <c r="CT75" s="4978"/>
      <c r="CU75" s="4978"/>
      <c r="DB75" s="4260"/>
      <c r="DC75" s="4260"/>
      <c r="DD75" s="4260"/>
      <c r="DE75" s="4260"/>
      <c r="DF75" s="4260"/>
      <c r="DG75" s="4260"/>
      <c r="DH75" s="4260"/>
      <c r="DI75" s="4260"/>
      <c r="DJ75" s="4260"/>
      <c r="DK75" s="4260"/>
    </row>
    <row r="76" spans="1:116" ht="14.1" customHeight="1" x14ac:dyDescent="0.25">
      <c r="A76" s="7318"/>
      <c r="B76" s="5129" t="s">
        <v>24</v>
      </c>
      <c r="C76" s="5130">
        <f>SUM(C72:C75)</f>
        <v>0</v>
      </c>
      <c r="D76" s="5131">
        <f>SUM(D72:D75)</f>
        <v>0</v>
      </c>
      <c r="E76" s="5131">
        <f t="shared" ref="E76:S76" si="18">SUM(E72:E75)</f>
        <v>0</v>
      </c>
      <c r="F76" s="5131">
        <f t="shared" si="18"/>
        <v>0</v>
      </c>
      <c r="G76" s="5131">
        <f t="shared" si="18"/>
        <v>0</v>
      </c>
      <c r="H76" s="5131">
        <f t="shared" si="18"/>
        <v>0</v>
      </c>
      <c r="I76" s="5131">
        <f t="shared" si="18"/>
        <v>0</v>
      </c>
      <c r="J76" s="5131">
        <f t="shared" si="18"/>
        <v>0</v>
      </c>
      <c r="K76" s="5131">
        <f t="shared" si="18"/>
        <v>0</v>
      </c>
      <c r="L76" s="5131">
        <f t="shared" si="18"/>
        <v>0</v>
      </c>
      <c r="M76" s="5131">
        <f t="shared" si="18"/>
        <v>0</v>
      </c>
      <c r="N76" s="5131">
        <f t="shared" si="18"/>
        <v>0</v>
      </c>
      <c r="O76" s="5131">
        <f t="shared" si="18"/>
        <v>0</v>
      </c>
      <c r="P76" s="5131">
        <f t="shared" si="18"/>
        <v>0</v>
      </c>
      <c r="Q76" s="5131">
        <f t="shared" si="18"/>
        <v>0</v>
      </c>
      <c r="R76" s="5131">
        <f t="shared" si="18"/>
        <v>0</v>
      </c>
      <c r="S76" s="5131">
        <f t="shared" si="18"/>
        <v>0</v>
      </c>
      <c r="T76" s="5132">
        <f>SUM(T72:T75)</f>
        <v>0</v>
      </c>
      <c r="U76" s="5137">
        <f>SUM(U72:U75)</f>
        <v>0</v>
      </c>
      <c r="V76" s="5137">
        <f t="shared" ref="V76:AA76" si="19">SUM(V72:V75)</f>
        <v>0</v>
      </c>
      <c r="W76" s="5137">
        <f t="shared" si="19"/>
        <v>0</v>
      </c>
      <c r="X76" s="5137">
        <f t="shared" si="19"/>
        <v>0</v>
      </c>
      <c r="Y76" s="5137">
        <f t="shared" si="19"/>
        <v>0</v>
      </c>
      <c r="Z76" s="5137">
        <f t="shared" si="19"/>
        <v>0</v>
      </c>
      <c r="AA76" s="5137">
        <f t="shared" si="19"/>
        <v>0</v>
      </c>
      <c r="AB76" s="3940"/>
      <c r="BL76" s="3940"/>
      <c r="BZ76" s="4264"/>
      <c r="CA76" s="4264"/>
      <c r="CH76" s="4978"/>
      <c r="CI76" s="4978"/>
      <c r="CJ76" s="4978"/>
      <c r="CK76" s="4978"/>
      <c r="CL76" s="4978"/>
      <c r="CM76" s="4978"/>
      <c r="CN76" s="4978"/>
      <c r="CO76" s="4978"/>
      <c r="CP76" s="4978"/>
      <c r="CQ76" s="4978"/>
      <c r="CR76" s="4978"/>
      <c r="CS76" s="4978"/>
      <c r="CT76" s="4978"/>
      <c r="CU76" s="4978"/>
      <c r="DB76" s="4260"/>
      <c r="DC76" s="4260"/>
      <c r="DD76" s="4260"/>
      <c r="DE76" s="4260"/>
      <c r="DF76" s="4260"/>
      <c r="DG76" s="4260"/>
      <c r="DH76" s="4260"/>
      <c r="DI76" s="4260"/>
      <c r="DJ76" s="4260"/>
      <c r="DK76" s="4260"/>
    </row>
    <row r="77" spans="1:116" ht="27.6" customHeight="1" x14ac:dyDescent="0.25">
      <c r="B77" s="5138" t="s">
        <v>451</v>
      </c>
      <c r="C77" s="5139"/>
      <c r="D77" s="4269"/>
      <c r="E77" s="4470"/>
      <c r="G77" s="3940"/>
      <c r="H77" s="3940"/>
      <c r="J77" s="3940"/>
      <c r="K77" s="3940"/>
      <c r="L77" s="3940"/>
      <c r="AV77" s="3940"/>
      <c r="CH77" s="4978"/>
      <c r="CI77" s="4978"/>
      <c r="CJ77" s="4978"/>
      <c r="CK77" s="4978"/>
      <c r="CL77" s="4978"/>
      <c r="CM77" s="4978"/>
      <c r="CN77" s="4978"/>
      <c r="CO77" s="4978"/>
      <c r="CP77" s="4978"/>
      <c r="CQ77" s="4978"/>
      <c r="CR77" s="4978"/>
      <c r="CS77" s="4978"/>
      <c r="CT77" s="4978"/>
      <c r="CU77" s="4978"/>
      <c r="CV77" s="4264"/>
      <c r="CW77" s="4264"/>
      <c r="CX77" s="4264"/>
      <c r="CY77" s="4264"/>
      <c r="CZ77" s="4264"/>
      <c r="DA77" s="4264"/>
    </row>
    <row r="78" spans="1:116" ht="33.6" customHeight="1" x14ac:dyDescent="0.25">
      <c r="B78" s="5140" t="s">
        <v>47</v>
      </c>
      <c r="C78" s="7094" t="s">
        <v>3977</v>
      </c>
      <c r="D78" s="4332" t="s">
        <v>162</v>
      </c>
      <c r="E78" s="5141" t="s">
        <v>163</v>
      </c>
      <c r="F78" s="5142" t="s">
        <v>164</v>
      </c>
      <c r="G78" s="3940"/>
      <c r="I78" s="3940"/>
      <c r="J78" s="3940"/>
      <c r="K78" s="3940"/>
      <c r="AU78" s="3940"/>
      <c r="BY78" s="4260"/>
      <c r="CH78" s="4978"/>
      <c r="CI78" s="4978"/>
      <c r="CJ78" s="4978"/>
      <c r="CK78" s="4978"/>
      <c r="CL78" s="4978"/>
      <c r="CM78" s="4978"/>
      <c r="CN78" s="4978"/>
      <c r="CO78" s="4978"/>
      <c r="CP78" s="4978"/>
      <c r="CQ78" s="4978"/>
      <c r="CR78" s="4978"/>
      <c r="CS78" s="4978"/>
      <c r="CT78" s="4978"/>
      <c r="CU78" s="4978"/>
      <c r="CV78" s="4264"/>
      <c r="CW78" s="4264"/>
      <c r="CX78" s="4264"/>
      <c r="CY78" s="4264"/>
      <c r="CZ78" s="4264"/>
      <c r="DA78" s="4264"/>
    </row>
    <row r="79" spans="1:116" ht="14.1" customHeight="1" x14ac:dyDescent="0.25">
      <c r="A79" s="7520">
        <v>28011500</v>
      </c>
      <c r="B79" s="5143" t="s">
        <v>304</v>
      </c>
      <c r="C79" s="4999" t="s">
        <v>5369</v>
      </c>
      <c r="D79" s="5000" t="s">
        <v>5370</v>
      </c>
      <c r="E79" s="4427" t="s">
        <v>5371</v>
      </c>
      <c r="F79" s="4947" t="s">
        <v>5372</v>
      </c>
      <c r="G79" s="3940"/>
      <c r="I79" s="3940"/>
      <c r="J79" s="3940"/>
      <c r="K79" s="3940"/>
      <c r="AU79" s="3940"/>
      <c r="BY79" s="4260"/>
      <c r="CH79" s="4978"/>
      <c r="CI79" s="4978"/>
      <c r="CJ79" s="4978"/>
      <c r="CK79" s="4978"/>
      <c r="CL79" s="4978"/>
      <c r="CM79" s="4978"/>
      <c r="CN79" s="4978"/>
      <c r="CO79" s="4978"/>
      <c r="CP79" s="4978"/>
      <c r="CQ79" s="4978"/>
      <c r="CR79" s="4978"/>
      <c r="CS79" s="4978"/>
      <c r="CT79" s="4978"/>
      <c r="CU79" s="4978"/>
      <c r="CV79" s="4264"/>
      <c r="CW79" s="4264"/>
      <c r="CX79" s="4264"/>
      <c r="CY79" s="4264"/>
      <c r="CZ79" s="4264"/>
      <c r="DA79" s="4264"/>
    </row>
    <row r="80" spans="1:116" ht="14.1" customHeight="1" x14ac:dyDescent="0.25">
      <c r="A80" s="7320">
        <v>29101633</v>
      </c>
      <c r="B80" s="5143" t="s">
        <v>2834</v>
      </c>
      <c r="C80" s="4949" t="s">
        <v>5369</v>
      </c>
      <c r="D80" s="5007" t="s">
        <v>5370</v>
      </c>
      <c r="E80" s="3831" t="s">
        <v>5371</v>
      </c>
      <c r="F80" s="4137" t="s">
        <v>5372</v>
      </c>
      <c r="G80" s="3940"/>
      <c r="I80" s="3940"/>
      <c r="J80" s="3940"/>
      <c r="K80" s="3940"/>
      <c r="AU80" s="3940"/>
      <c r="BY80" s="4260"/>
      <c r="CH80" s="4978"/>
      <c r="CI80" s="4978"/>
      <c r="CJ80" s="4978"/>
      <c r="CK80" s="4978"/>
      <c r="CL80" s="4978"/>
      <c r="CM80" s="4978"/>
      <c r="CN80" s="4978"/>
      <c r="CO80" s="4978"/>
      <c r="CP80" s="4978"/>
      <c r="CQ80" s="4978"/>
      <c r="CR80" s="4978"/>
      <c r="CS80" s="4978"/>
      <c r="CT80" s="4978"/>
      <c r="CU80" s="4978"/>
      <c r="CV80" s="4264"/>
      <c r="CW80" s="4264"/>
      <c r="CX80" s="4264"/>
      <c r="CY80" s="4264"/>
      <c r="CZ80" s="4264"/>
      <c r="DA80" s="4264"/>
    </row>
    <row r="81" spans="1:105" ht="14.1" customHeight="1" x14ac:dyDescent="0.25">
      <c r="A81" s="7520">
        <v>28011700</v>
      </c>
      <c r="B81" s="5143" t="s">
        <v>305</v>
      </c>
      <c r="C81" s="4949" t="s">
        <v>5369</v>
      </c>
      <c r="D81" s="5007" t="s">
        <v>5370</v>
      </c>
      <c r="E81" s="3831" t="s">
        <v>5371</v>
      </c>
      <c r="F81" s="4137" t="s">
        <v>5372</v>
      </c>
      <c r="G81" s="3940"/>
      <c r="I81" s="3940"/>
      <c r="J81" s="3940"/>
      <c r="K81" s="3940"/>
      <c r="AU81" s="3940"/>
      <c r="BY81" s="4260"/>
      <c r="CH81" s="4978"/>
      <c r="CI81" s="4978"/>
      <c r="CJ81" s="4978"/>
      <c r="CK81" s="4978"/>
      <c r="CL81" s="4978"/>
      <c r="CM81" s="4978"/>
      <c r="CN81" s="4978"/>
      <c r="CO81" s="4978"/>
      <c r="CP81" s="4978"/>
      <c r="CQ81" s="4978"/>
      <c r="CR81" s="4978"/>
      <c r="CS81" s="4978"/>
      <c r="CT81" s="4978"/>
      <c r="CU81" s="4978"/>
      <c r="CV81" s="4264"/>
      <c r="CW81" s="4264"/>
      <c r="CX81" s="4264"/>
      <c r="CY81" s="4264"/>
      <c r="CZ81" s="4264"/>
      <c r="DA81" s="4264"/>
    </row>
    <row r="82" spans="1:105" ht="21.75" customHeight="1" x14ac:dyDescent="0.25">
      <c r="A82" s="7520">
        <v>28012200</v>
      </c>
      <c r="B82" s="4437" t="s">
        <v>2835</v>
      </c>
      <c r="C82" s="4949" t="s">
        <v>5369</v>
      </c>
      <c r="D82" s="5007" t="s">
        <v>5370</v>
      </c>
      <c r="E82" s="3831" t="s">
        <v>5371</v>
      </c>
      <c r="F82" s="4137" t="s">
        <v>5372</v>
      </c>
      <c r="G82" s="3940"/>
      <c r="I82" s="3940"/>
      <c r="J82" s="3940"/>
      <c r="K82" s="3940"/>
      <c r="AU82" s="3940"/>
      <c r="BY82" s="4260"/>
      <c r="CH82" s="4978"/>
      <c r="CI82" s="4978"/>
      <c r="CJ82" s="4978"/>
      <c r="CK82" s="4978"/>
      <c r="CL82" s="4978"/>
      <c r="CM82" s="4978"/>
      <c r="CN82" s="4978"/>
      <c r="CO82" s="4978"/>
      <c r="CP82" s="4978"/>
      <c r="CQ82" s="4978"/>
      <c r="CR82" s="4978"/>
      <c r="CS82" s="4978"/>
      <c r="CT82" s="4978"/>
      <c r="CU82" s="4978"/>
      <c r="CV82" s="4264"/>
      <c r="CW82" s="4264"/>
      <c r="CX82" s="4264"/>
      <c r="CY82" s="4264"/>
      <c r="CZ82" s="4264"/>
      <c r="DA82" s="4264"/>
    </row>
    <row r="83" spans="1:105" ht="14.1" customHeight="1" x14ac:dyDescent="0.25">
      <c r="A83" s="7520">
        <v>28020710</v>
      </c>
      <c r="B83" s="5143" t="s">
        <v>324</v>
      </c>
      <c r="C83" s="5033" t="s">
        <v>5369</v>
      </c>
      <c r="D83" s="5048" t="s">
        <v>5370</v>
      </c>
      <c r="E83" s="5039" t="s">
        <v>5371</v>
      </c>
      <c r="F83" s="5035" t="s">
        <v>5372</v>
      </c>
      <c r="G83" s="3940"/>
      <c r="I83" s="3940"/>
      <c r="J83" s="3940"/>
      <c r="K83" s="3940"/>
      <c r="AU83" s="3940"/>
      <c r="BY83" s="4260"/>
      <c r="CH83" s="4978"/>
      <c r="CI83" s="4978"/>
      <c r="CJ83" s="4978"/>
      <c r="CK83" s="4978"/>
      <c r="CL83" s="4978"/>
      <c r="CM83" s="4978"/>
      <c r="CN83" s="4978"/>
      <c r="CO83" s="4978"/>
      <c r="CP83" s="4978"/>
      <c r="CQ83" s="4978"/>
      <c r="CR83" s="4978"/>
      <c r="CS83" s="4978"/>
      <c r="CT83" s="4978"/>
      <c r="CU83" s="4978"/>
      <c r="CV83" s="4264"/>
      <c r="CW83" s="4264"/>
      <c r="CX83" s="4264"/>
      <c r="CY83" s="4264"/>
      <c r="CZ83" s="4264"/>
      <c r="DA83" s="4264"/>
    </row>
    <row r="84" spans="1:105" ht="14.1" customHeight="1" x14ac:dyDescent="0.25">
      <c r="A84" s="7520">
        <v>28012500</v>
      </c>
      <c r="B84" s="5143" t="s">
        <v>308</v>
      </c>
      <c r="C84" s="5033" t="s">
        <v>5369</v>
      </c>
      <c r="D84" s="5007" t="s">
        <v>5370</v>
      </c>
      <c r="E84" s="5039" t="s">
        <v>5371</v>
      </c>
      <c r="F84" s="5035" t="s">
        <v>5372</v>
      </c>
      <c r="G84" s="3940"/>
      <c r="I84" s="3940"/>
      <c r="J84" s="3940"/>
      <c r="K84" s="3940"/>
      <c r="AU84" s="3940"/>
      <c r="BY84" s="4260"/>
      <c r="CH84" s="4978"/>
      <c r="CI84" s="4978"/>
      <c r="CJ84" s="4978"/>
      <c r="CK84" s="4978"/>
      <c r="CL84" s="4978"/>
      <c r="CM84" s="4978"/>
      <c r="CN84" s="4978"/>
      <c r="CO84" s="4978"/>
      <c r="CP84" s="4978"/>
      <c r="CQ84" s="4978"/>
      <c r="CR84" s="4978"/>
      <c r="CS84" s="4978"/>
      <c r="CT84" s="4978"/>
      <c r="CU84" s="4978"/>
      <c r="CV84" s="4264"/>
      <c r="CW84" s="4264"/>
      <c r="CX84" s="4264"/>
      <c r="CY84" s="4264"/>
      <c r="CZ84" s="4264"/>
      <c r="DA84" s="4264"/>
    </row>
    <row r="85" spans="1:105" ht="14.1" customHeight="1" x14ac:dyDescent="0.25">
      <c r="A85" s="7520">
        <v>28022340</v>
      </c>
      <c r="B85" s="5143" t="s">
        <v>325</v>
      </c>
      <c r="C85" s="5033" t="s">
        <v>5369</v>
      </c>
      <c r="D85" s="5007" t="s">
        <v>5370</v>
      </c>
      <c r="E85" s="5039" t="s">
        <v>5371</v>
      </c>
      <c r="F85" s="5035" t="s">
        <v>5372</v>
      </c>
      <c r="G85" s="3940"/>
      <c r="I85" s="3940"/>
      <c r="J85" s="3940"/>
      <c r="K85" s="3940"/>
      <c r="AU85" s="3940"/>
      <c r="BY85" s="4260"/>
      <c r="CH85" s="4978"/>
      <c r="CI85" s="4978"/>
      <c r="CJ85" s="4978"/>
      <c r="CK85" s="4978"/>
      <c r="CL85" s="4978"/>
      <c r="CM85" s="4978"/>
      <c r="CN85" s="4978"/>
      <c r="CO85" s="4978"/>
      <c r="CP85" s="4978"/>
      <c r="CQ85" s="4978"/>
      <c r="CR85" s="4978"/>
      <c r="CS85" s="4978"/>
      <c r="CT85" s="4978"/>
      <c r="CU85" s="4978"/>
      <c r="CV85" s="4264"/>
      <c r="CW85" s="4264"/>
      <c r="CX85" s="4264"/>
      <c r="CY85" s="4264"/>
      <c r="CZ85" s="4264"/>
      <c r="DA85" s="4264"/>
    </row>
    <row r="86" spans="1:105" ht="14.1" customHeight="1" x14ac:dyDescent="0.25">
      <c r="A86" s="7520">
        <v>28012300</v>
      </c>
      <c r="B86" s="5143" t="s">
        <v>307</v>
      </c>
      <c r="C86" s="5033" t="s">
        <v>5369</v>
      </c>
      <c r="D86" s="5007" t="s">
        <v>5370</v>
      </c>
      <c r="E86" s="5039" t="s">
        <v>5371</v>
      </c>
      <c r="F86" s="5035" t="s">
        <v>5372</v>
      </c>
      <c r="G86" s="3940"/>
      <c r="I86" s="3940"/>
      <c r="J86" s="3940"/>
      <c r="K86" s="3940"/>
      <c r="AU86" s="3940"/>
      <c r="BY86" s="4260"/>
      <c r="CH86" s="4978"/>
      <c r="CI86" s="4978"/>
      <c r="CJ86" s="4978"/>
      <c r="CK86" s="4978"/>
      <c r="CL86" s="4978"/>
      <c r="CM86" s="4978"/>
      <c r="CN86" s="4978"/>
      <c r="CO86" s="4978"/>
      <c r="CP86" s="4978"/>
      <c r="CQ86" s="4978"/>
      <c r="CR86" s="4978"/>
      <c r="CS86" s="4978"/>
      <c r="CT86" s="4978"/>
      <c r="CU86" s="4978"/>
      <c r="CV86" s="4264"/>
      <c r="CW86" s="4264"/>
      <c r="CX86" s="4264"/>
      <c r="CY86" s="4264"/>
      <c r="CZ86" s="4264"/>
      <c r="DA86" s="4264"/>
    </row>
    <row r="87" spans="1:105" ht="14.1" customHeight="1" x14ac:dyDescent="0.25">
      <c r="A87" s="7520">
        <v>28012000</v>
      </c>
      <c r="B87" s="5143" t="s">
        <v>306</v>
      </c>
      <c r="C87" s="5033" t="s">
        <v>5369</v>
      </c>
      <c r="D87" s="5007" t="s">
        <v>5370</v>
      </c>
      <c r="E87" s="5039" t="s">
        <v>5371</v>
      </c>
      <c r="F87" s="5035" t="s">
        <v>5372</v>
      </c>
      <c r="G87" s="3940"/>
      <c r="I87" s="3940"/>
      <c r="J87" s="3940"/>
      <c r="K87" s="3940"/>
      <c r="AU87" s="3940"/>
      <c r="BY87" s="4260"/>
      <c r="CH87" s="4978"/>
      <c r="CI87" s="4978"/>
      <c r="CJ87" s="4978"/>
      <c r="CK87" s="4978"/>
      <c r="CL87" s="4978"/>
      <c r="CM87" s="4978"/>
      <c r="CN87" s="4978"/>
      <c r="CO87" s="4978"/>
      <c r="CP87" s="4978"/>
      <c r="CQ87" s="4978"/>
      <c r="CR87" s="4978"/>
      <c r="CS87" s="4978"/>
      <c r="CT87" s="4978"/>
      <c r="CU87" s="4978"/>
      <c r="CV87" s="4264"/>
      <c r="CW87" s="4264"/>
      <c r="CX87" s="4264"/>
      <c r="CY87" s="4264"/>
      <c r="CZ87" s="4264"/>
      <c r="DA87" s="4264"/>
    </row>
    <row r="88" spans="1:105" ht="14.1" customHeight="1" x14ac:dyDescent="0.25">
      <c r="A88" s="7320">
        <v>29101634</v>
      </c>
      <c r="B88" s="5144" t="s">
        <v>2836</v>
      </c>
      <c r="C88" s="5033" t="s">
        <v>5369</v>
      </c>
      <c r="D88" s="5007" t="s">
        <v>5370</v>
      </c>
      <c r="E88" s="5039" t="s">
        <v>5371</v>
      </c>
      <c r="F88" s="5035" t="s">
        <v>5372</v>
      </c>
      <c r="G88" s="3940"/>
      <c r="I88" s="3940"/>
      <c r="J88" s="3940"/>
      <c r="K88" s="3940"/>
      <c r="AU88" s="3940"/>
      <c r="BY88" s="4260"/>
      <c r="CH88" s="4978"/>
      <c r="CI88" s="4978"/>
      <c r="CJ88" s="4978"/>
      <c r="CK88" s="4978"/>
      <c r="CL88" s="4978"/>
      <c r="CM88" s="4978"/>
      <c r="CN88" s="4978"/>
      <c r="CO88" s="4978"/>
      <c r="CP88" s="4978"/>
      <c r="CQ88" s="4978"/>
      <c r="CR88" s="4978"/>
      <c r="CS88" s="4978"/>
      <c r="CT88" s="4978"/>
      <c r="CU88" s="4978"/>
      <c r="CV88" s="4264"/>
      <c r="CW88" s="4264"/>
      <c r="CX88" s="4264"/>
      <c r="CY88" s="4264"/>
      <c r="CZ88" s="4264"/>
      <c r="DA88" s="4264"/>
    </row>
    <row r="89" spans="1:105" ht="14.1" customHeight="1" x14ac:dyDescent="0.25">
      <c r="A89" s="7320">
        <v>29101635</v>
      </c>
      <c r="B89" s="5143" t="s">
        <v>2837</v>
      </c>
      <c r="C89" s="5033" t="s">
        <v>5369</v>
      </c>
      <c r="D89" s="5007" t="s">
        <v>5370</v>
      </c>
      <c r="E89" s="5039" t="s">
        <v>5371</v>
      </c>
      <c r="F89" s="5035" t="s">
        <v>5372</v>
      </c>
      <c r="G89" s="3940"/>
      <c r="I89" s="3940"/>
      <c r="J89" s="3940"/>
      <c r="K89" s="3940"/>
      <c r="AU89" s="3940"/>
      <c r="BY89" s="4260"/>
      <c r="CH89" s="4978"/>
      <c r="CI89" s="4978"/>
      <c r="CJ89" s="4978"/>
      <c r="CK89" s="4978"/>
      <c r="CL89" s="4978"/>
      <c r="CM89" s="4978"/>
      <c r="CN89" s="4978"/>
      <c r="CO89" s="4978"/>
      <c r="CP89" s="4978"/>
      <c r="CQ89" s="4978"/>
      <c r="CR89" s="4978"/>
      <c r="CS89" s="4978"/>
      <c r="CT89" s="4978"/>
      <c r="CU89" s="4978"/>
      <c r="CV89" s="4264"/>
      <c r="CW89" s="4264"/>
      <c r="CX89" s="4264"/>
      <c r="CY89" s="4264"/>
      <c r="CZ89" s="4264"/>
      <c r="DA89" s="4264"/>
    </row>
    <row r="90" spans="1:105" ht="14.1" customHeight="1" x14ac:dyDescent="0.25">
      <c r="A90" s="7520">
        <v>28022300</v>
      </c>
      <c r="B90" s="5143" t="s">
        <v>323</v>
      </c>
      <c r="C90" s="5033" t="s">
        <v>5369</v>
      </c>
      <c r="D90" s="5007" t="s">
        <v>5370</v>
      </c>
      <c r="E90" s="5039" t="s">
        <v>5371</v>
      </c>
      <c r="F90" s="5035" t="s">
        <v>5372</v>
      </c>
      <c r="G90" s="3940"/>
      <c r="I90" s="3940"/>
      <c r="J90" s="3940"/>
      <c r="K90" s="3940"/>
      <c r="AU90" s="3940"/>
      <c r="BY90" s="4260"/>
      <c r="CH90" s="4978"/>
      <c r="CI90" s="4978"/>
      <c r="CJ90" s="4978"/>
      <c r="CK90" s="4978"/>
      <c r="CL90" s="4978"/>
      <c r="CM90" s="4978"/>
      <c r="CN90" s="4978"/>
      <c r="CO90" s="4978"/>
      <c r="CP90" s="4978"/>
      <c r="CQ90" s="4978"/>
      <c r="CR90" s="4978"/>
      <c r="CS90" s="4978"/>
      <c r="CT90" s="4978"/>
      <c r="CU90" s="4978"/>
      <c r="CV90" s="4264"/>
      <c r="CW90" s="4264"/>
      <c r="CX90" s="4264"/>
      <c r="CY90" s="4264"/>
      <c r="CZ90" s="4264"/>
      <c r="DA90" s="4264"/>
    </row>
    <row r="91" spans="1:105" ht="14.1" customHeight="1" x14ac:dyDescent="0.25">
      <c r="A91" s="7520">
        <v>28022280</v>
      </c>
      <c r="B91" s="4437" t="s">
        <v>2838</v>
      </c>
      <c r="C91" s="5033" t="s">
        <v>5369</v>
      </c>
      <c r="D91" s="5007" t="s">
        <v>5370</v>
      </c>
      <c r="E91" s="5039" t="s">
        <v>5371</v>
      </c>
      <c r="F91" s="5035" t="s">
        <v>5372</v>
      </c>
      <c r="G91" s="3940"/>
      <c r="I91" s="3940"/>
      <c r="J91" s="3940"/>
      <c r="K91" s="3940"/>
      <c r="AU91" s="3940"/>
      <c r="BY91" s="4260"/>
      <c r="CH91" s="4978"/>
      <c r="CI91" s="4978"/>
      <c r="CJ91" s="4978"/>
      <c r="CK91" s="4978"/>
      <c r="CL91" s="4978"/>
      <c r="CM91" s="4978"/>
      <c r="CN91" s="4978"/>
      <c r="CO91" s="4978"/>
      <c r="CP91" s="4978"/>
      <c r="CQ91" s="4978"/>
      <c r="CR91" s="4978"/>
      <c r="CS91" s="4978"/>
      <c r="CT91" s="4978"/>
      <c r="CU91" s="4978"/>
      <c r="CV91" s="4264"/>
      <c r="CW91" s="4264"/>
      <c r="CX91" s="4264"/>
      <c r="CY91" s="4264"/>
      <c r="CZ91" s="4264"/>
      <c r="DA91" s="4264"/>
    </row>
    <row r="92" spans="1:105" ht="14.1" customHeight="1" x14ac:dyDescent="0.25">
      <c r="A92" s="7520">
        <v>28101030</v>
      </c>
      <c r="B92" s="5145" t="s">
        <v>2839</v>
      </c>
      <c r="C92" s="5033" t="s">
        <v>5369</v>
      </c>
      <c r="D92" s="5007" t="s">
        <v>5370</v>
      </c>
      <c r="E92" s="5039" t="s">
        <v>5371</v>
      </c>
      <c r="F92" s="5035" t="s">
        <v>5372</v>
      </c>
      <c r="G92" s="3940"/>
      <c r="I92" s="3940"/>
      <c r="J92" s="3940"/>
      <c r="K92" s="3940"/>
      <c r="AU92" s="3940"/>
      <c r="BY92" s="4260"/>
      <c r="CH92" s="4978"/>
      <c r="CI92" s="4978"/>
      <c r="CJ92" s="4978"/>
      <c r="CK92" s="4978"/>
      <c r="CL92" s="4978"/>
      <c r="CM92" s="4978"/>
      <c r="CN92" s="4978"/>
      <c r="CO92" s="4978"/>
      <c r="CP92" s="4978"/>
      <c r="CQ92" s="4978"/>
      <c r="CR92" s="4978"/>
      <c r="CS92" s="4978"/>
      <c r="CT92" s="4978"/>
      <c r="CU92" s="4978"/>
      <c r="CV92" s="4264"/>
      <c r="CW92" s="4264"/>
      <c r="CX92" s="4264"/>
      <c r="CY92" s="4264"/>
      <c r="CZ92" s="4264"/>
      <c r="DA92" s="4264"/>
    </row>
    <row r="93" spans="1:105" ht="14.1" customHeight="1" x14ac:dyDescent="0.25">
      <c r="A93" s="7320">
        <v>29101636</v>
      </c>
      <c r="B93" s="5146" t="s">
        <v>2840</v>
      </c>
      <c r="C93" s="5033" t="s">
        <v>5369</v>
      </c>
      <c r="D93" s="5007" t="s">
        <v>5370</v>
      </c>
      <c r="E93" s="5039" t="s">
        <v>5371</v>
      </c>
      <c r="F93" s="5035" t="s">
        <v>5372</v>
      </c>
      <c r="G93" s="3940"/>
      <c r="I93" s="3940"/>
      <c r="J93" s="3940"/>
      <c r="K93" s="3940"/>
      <c r="AU93" s="3940"/>
      <c r="BY93" s="4260"/>
      <c r="CH93" s="4978"/>
      <c r="CI93" s="4978"/>
      <c r="CJ93" s="4978"/>
      <c r="CK93" s="4978"/>
      <c r="CL93" s="4978"/>
      <c r="CM93" s="4978"/>
      <c r="CN93" s="4978"/>
      <c r="CO93" s="4978"/>
      <c r="CP93" s="4978"/>
      <c r="CQ93" s="4978"/>
      <c r="CR93" s="4978"/>
      <c r="CS93" s="4978"/>
      <c r="CT93" s="4978"/>
      <c r="CU93" s="4978"/>
      <c r="CV93" s="4264"/>
      <c r="CW93" s="4264"/>
      <c r="CX93" s="4264"/>
      <c r="CY93" s="4264"/>
      <c r="CZ93" s="4264"/>
      <c r="DA93" s="4264"/>
    </row>
    <row r="94" spans="1:105" ht="14.1" customHeight="1" x14ac:dyDescent="0.25">
      <c r="A94" s="7320">
        <v>29101637</v>
      </c>
      <c r="B94" s="5143" t="s">
        <v>2859</v>
      </c>
      <c r="C94" s="5033" t="s">
        <v>5369</v>
      </c>
      <c r="D94" s="5007" t="s">
        <v>5370</v>
      </c>
      <c r="E94" s="5039" t="s">
        <v>5371</v>
      </c>
      <c r="F94" s="5035" t="s">
        <v>5372</v>
      </c>
      <c r="G94" s="3940"/>
      <c r="I94" s="3940"/>
      <c r="J94" s="3940"/>
      <c r="K94" s="3940"/>
      <c r="AU94" s="3940"/>
      <c r="BY94" s="4260"/>
      <c r="CH94" s="4978"/>
      <c r="CI94" s="4978"/>
      <c r="CJ94" s="4978"/>
      <c r="CK94" s="4978"/>
      <c r="CL94" s="4978"/>
      <c r="CM94" s="4978"/>
      <c r="CN94" s="4978"/>
      <c r="CO94" s="4978"/>
      <c r="CP94" s="4978"/>
      <c r="CQ94" s="4978"/>
      <c r="CR94" s="4978"/>
      <c r="CS94" s="4978"/>
      <c r="CT94" s="4978"/>
      <c r="CU94" s="4978"/>
      <c r="CV94" s="4264"/>
      <c r="CW94" s="4264"/>
      <c r="CX94" s="4264"/>
      <c r="CY94" s="4264"/>
      <c r="CZ94" s="4264"/>
      <c r="DA94" s="4264"/>
    </row>
    <row r="95" spans="1:105" ht="14.1" customHeight="1" x14ac:dyDescent="0.25">
      <c r="A95" s="7320">
        <v>29101638</v>
      </c>
      <c r="B95" s="5143" t="s">
        <v>2842</v>
      </c>
      <c r="C95" s="5033" t="s">
        <v>5369</v>
      </c>
      <c r="D95" s="5007" t="s">
        <v>5370</v>
      </c>
      <c r="E95" s="5039" t="s">
        <v>5371</v>
      </c>
      <c r="F95" s="5035" t="s">
        <v>5372</v>
      </c>
      <c r="G95" s="3940"/>
      <c r="I95" s="3940"/>
      <c r="J95" s="3940"/>
      <c r="K95" s="3940"/>
      <c r="AU95" s="3940"/>
      <c r="BY95" s="4260"/>
      <c r="CH95" s="4978"/>
      <c r="CI95" s="4978"/>
      <c r="CJ95" s="4978"/>
      <c r="CK95" s="4978"/>
      <c r="CL95" s="4978"/>
      <c r="CM95" s="4978"/>
      <c r="CN95" s="4978"/>
      <c r="CO95" s="4978"/>
      <c r="CP95" s="4978"/>
      <c r="CQ95" s="4978"/>
      <c r="CR95" s="4978"/>
      <c r="CS95" s="4978"/>
      <c r="CT95" s="4978"/>
      <c r="CU95" s="4978"/>
      <c r="CV95" s="4264"/>
      <c r="CW95" s="4264"/>
      <c r="CX95" s="4264"/>
      <c r="CY95" s="4264"/>
      <c r="CZ95" s="4264"/>
      <c r="DA95" s="4264"/>
    </row>
    <row r="96" spans="1:105" ht="21.6" customHeight="1" x14ac:dyDescent="0.25">
      <c r="A96" s="7308"/>
      <c r="B96" s="5147" t="s">
        <v>24</v>
      </c>
      <c r="C96" s="5137">
        <f>SUM(C79:C95)</f>
        <v>0</v>
      </c>
      <c r="D96" s="5148">
        <f>SUM(D79:D95)</f>
        <v>0</v>
      </c>
      <c r="E96" s="5149">
        <f>SUM(E79:E95)</f>
        <v>0</v>
      </c>
      <c r="F96" s="5150">
        <f>SUM(F79:F95)</f>
        <v>0</v>
      </c>
      <c r="G96" s="3940"/>
      <c r="I96" s="3940"/>
      <c r="J96" s="3940"/>
      <c r="K96" s="3940"/>
      <c r="AU96" s="3940"/>
      <c r="BY96" s="4260"/>
      <c r="CH96" s="4978"/>
      <c r="CI96" s="4978"/>
      <c r="CJ96" s="4978"/>
      <c r="CK96" s="4978"/>
      <c r="CL96" s="4978"/>
      <c r="CM96" s="4978"/>
      <c r="CN96" s="4978"/>
      <c r="CO96" s="4978"/>
      <c r="CP96" s="4978"/>
      <c r="CQ96" s="4978"/>
      <c r="CR96" s="4978"/>
      <c r="CS96" s="4978"/>
      <c r="CT96" s="4978"/>
      <c r="CU96" s="4978"/>
      <c r="CV96" s="4264"/>
      <c r="CW96" s="4264"/>
      <c r="CX96" s="4264"/>
      <c r="CY96" s="4264"/>
      <c r="CZ96" s="4264"/>
      <c r="DA96" s="4264"/>
    </row>
    <row r="97" spans="1:105" ht="31.95" customHeight="1" x14ac:dyDescent="0.25">
      <c r="B97" s="5151" t="s">
        <v>200</v>
      </c>
      <c r="E97" s="4979"/>
      <c r="F97" s="4979"/>
      <c r="G97" s="4979"/>
      <c r="H97" s="4979"/>
      <c r="I97" s="4979"/>
      <c r="J97" s="4979"/>
      <c r="K97" s="4979"/>
      <c r="L97" s="4979"/>
      <c r="M97" s="4979"/>
      <c r="N97" s="4979"/>
      <c r="O97" s="4979"/>
      <c r="P97" s="3940"/>
      <c r="Q97" s="3940"/>
      <c r="R97" s="3940"/>
      <c r="S97" s="3940"/>
      <c r="T97" s="3940"/>
      <c r="U97" s="3940"/>
      <c r="V97" s="3940"/>
      <c r="W97" s="3940"/>
      <c r="X97" s="3940"/>
      <c r="Y97" s="3940"/>
      <c r="Z97" s="3940"/>
      <c r="AA97" s="3940"/>
      <c r="AB97" s="3940"/>
      <c r="AC97" s="3940"/>
      <c r="AD97" s="3940"/>
      <c r="AE97" s="3940"/>
      <c r="AF97" s="3940"/>
      <c r="AG97" s="3940"/>
      <c r="AH97" s="3940"/>
      <c r="AI97" s="3940"/>
      <c r="AJ97" s="3940"/>
      <c r="AK97" s="3940"/>
      <c r="AL97" s="3940"/>
      <c r="AM97" s="3940"/>
      <c r="AN97" s="3940"/>
      <c r="AO97" s="3940"/>
      <c r="AP97" s="3940"/>
      <c r="AQ97" s="3940"/>
      <c r="AR97" s="3940"/>
      <c r="AS97" s="3940"/>
      <c r="AT97" s="3940"/>
      <c r="AU97" s="3940"/>
      <c r="BY97" s="4260"/>
      <c r="CH97" s="4978"/>
      <c r="CI97" s="4978"/>
      <c r="CJ97" s="4978"/>
      <c r="CK97" s="4978"/>
      <c r="CL97" s="4978"/>
      <c r="CM97" s="4978"/>
      <c r="CN97" s="4978"/>
      <c r="CO97" s="4978"/>
      <c r="CP97" s="4978"/>
      <c r="CQ97" s="4978"/>
      <c r="CR97" s="4978"/>
      <c r="CS97" s="4978"/>
      <c r="CT97" s="4978"/>
      <c r="CU97" s="4978"/>
      <c r="CV97" s="4264"/>
      <c r="CW97" s="4264"/>
      <c r="CX97" s="4264"/>
      <c r="CY97" s="4264"/>
      <c r="CZ97" s="4264"/>
      <c r="DA97" s="4264"/>
    </row>
    <row r="98" spans="1:105" ht="47.25" customHeight="1" x14ac:dyDescent="0.4">
      <c r="B98" s="5152" t="s">
        <v>0</v>
      </c>
      <c r="C98" s="7095" t="s">
        <v>3977</v>
      </c>
      <c r="D98" s="4332" t="s">
        <v>162</v>
      </c>
      <c r="E98" s="5141" t="s">
        <v>163</v>
      </c>
      <c r="F98" s="5142" t="s">
        <v>164</v>
      </c>
      <c r="G98" s="5153"/>
      <c r="H98" s="4979"/>
      <c r="I98" s="4979"/>
      <c r="J98" s="4979"/>
      <c r="K98" s="4979"/>
      <c r="L98" s="4979"/>
      <c r="M98" s="4979"/>
      <c r="N98" s="4979"/>
      <c r="O98" s="3940"/>
      <c r="P98" s="3940"/>
      <c r="Q98" s="3940"/>
      <c r="R98" s="3940"/>
      <c r="S98" s="3940"/>
      <c r="T98" s="3940"/>
      <c r="U98" s="3940"/>
      <c r="V98" s="3940"/>
      <c r="W98" s="3940"/>
      <c r="X98" s="3940"/>
      <c r="Y98" s="3940"/>
      <c r="Z98" s="3940"/>
      <c r="AA98" s="3940"/>
      <c r="AB98" s="3940"/>
      <c r="AC98" s="3940"/>
      <c r="AD98" s="3940"/>
      <c r="AE98" s="3940"/>
      <c r="AF98" s="3940"/>
      <c r="AG98" s="3940"/>
      <c r="AH98" s="3940"/>
      <c r="AI98" s="3940"/>
      <c r="AJ98" s="3940"/>
      <c r="AK98" s="3940"/>
      <c r="AL98" s="3940"/>
      <c r="AM98" s="3940"/>
      <c r="AN98" s="3940"/>
      <c r="AO98" s="3940"/>
      <c r="AP98" s="3940"/>
      <c r="AQ98" s="3940"/>
      <c r="AR98" s="3940"/>
      <c r="AS98" s="3940"/>
      <c r="AT98" s="3940"/>
      <c r="BY98" s="4260"/>
      <c r="CH98" s="4978"/>
      <c r="CI98" s="4978"/>
      <c r="CJ98" s="4978"/>
      <c r="CK98" s="4978"/>
      <c r="CL98" s="4978"/>
      <c r="CM98" s="4978"/>
      <c r="CN98" s="4978"/>
      <c r="CO98" s="4978"/>
      <c r="CP98" s="4978"/>
      <c r="CQ98" s="4978"/>
      <c r="CR98" s="4978"/>
      <c r="CS98" s="4978"/>
      <c r="CT98" s="4978"/>
      <c r="CU98" s="4978"/>
      <c r="CV98" s="4264"/>
      <c r="CW98" s="4264"/>
      <c r="CX98" s="4264"/>
      <c r="CY98" s="4264"/>
      <c r="CZ98" s="4264"/>
      <c r="DA98" s="4264"/>
    </row>
    <row r="99" spans="1:105" x14ac:dyDescent="0.25">
      <c r="A99" s="7520">
        <v>28012600</v>
      </c>
      <c r="B99" s="5154" t="s">
        <v>1016</v>
      </c>
      <c r="C99" s="3831" t="s">
        <v>5369</v>
      </c>
      <c r="D99" s="5007" t="s">
        <v>5370</v>
      </c>
      <c r="E99" s="3831" t="s">
        <v>5371</v>
      </c>
      <c r="F99" s="4137" t="s">
        <v>5372</v>
      </c>
      <c r="G99" s="4979"/>
      <c r="H99" s="4979"/>
      <c r="I99" s="4979"/>
      <c r="J99" s="4979"/>
      <c r="K99" s="4979"/>
      <c r="L99" s="4979"/>
      <c r="M99" s="4979"/>
      <c r="N99" s="4979"/>
      <c r="O99" s="3940"/>
      <c r="P99" s="3940"/>
      <c r="Q99" s="3940"/>
      <c r="R99" s="3940"/>
      <c r="S99" s="3940"/>
      <c r="T99" s="3940"/>
      <c r="U99" s="3940"/>
      <c r="V99" s="3940"/>
      <c r="W99" s="3940"/>
      <c r="X99" s="3940"/>
      <c r="Y99" s="3940"/>
      <c r="Z99" s="3940"/>
      <c r="AA99" s="3940"/>
      <c r="AB99" s="3940"/>
      <c r="AC99" s="3940"/>
      <c r="AD99" s="3940"/>
      <c r="AE99" s="3940"/>
      <c r="AF99" s="3940"/>
      <c r="AG99" s="3940"/>
      <c r="AH99" s="3940"/>
      <c r="AI99" s="3940"/>
      <c r="AJ99" s="3940"/>
      <c r="AK99" s="3940"/>
      <c r="AL99" s="3940"/>
      <c r="AM99" s="3940"/>
      <c r="AN99" s="3940"/>
      <c r="AO99" s="3940"/>
      <c r="AP99" s="3940"/>
      <c r="AQ99" s="3940"/>
      <c r="AR99" s="3940"/>
      <c r="AS99" s="3940"/>
      <c r="AT99" s="3940"/>
      <c r="AU99" s="3940"/>
      <c r="BY99" s="4260"/>
      <c r="CH99" s="4978"/>
      <c r="CI99" s="4978"/>
      <c r="CJ99" s="4978"/>
      <c r="CK99" s="4978"/>
      <c r="CL99" s="4978"/>
      <c r="CM99" s="4978"/>
      <c r="CN99" s="4978"/>
      <c r="CO99" s="4978"/>
      <c r="CP99" s="4978"/>
      <c r="CQ99" s="4978"/>
      <c r="CR99" s="4978"/>
      <c r="CS99" s="4978"/>
      <c r="CT99" s="4978"/>
      <c r="CU99" s="4978"/>
      <c r="CV99" s="4264"/>
      <c r="CW99" s="4264"/>
      <c r="CX99" s="4264"/>
      <c r="CY99" s="4264"/>
      <c r="CZ99" s="4264"/>
      <c r="DA99" s="4264"/>
    </row>
    <row r="100" spans="1:105" x14ac:dyDescent="0.25">
      <c r="A100" s="7520">
        <v>28012700</v>
      </c>
      <c r="B100" s="5155" t="s">
        <v>62</v>
      </c>
      <c r="C100" s="3831" t="s">
        <v>5369</v>
      </c>
      <c r="D100" s="5007" t="s">
        <v>5370</v>
      </c>
      <c r="E100" s="3831" t="s">
        <v>5371</v>
      </c>
      <c r="F100" s="4137" t="s">
        <v>5372</v>
      </c>
      <c r="G100" s="4979"/>
      <c r="H100" s="4979"/>
      <c r="I100" s="4979"/>
      <c r="J100" s="4979"/>
      <c r="K100" s="4979"/>
      <c r="L100" s="4979"/>
      <c r="M100" s="4979"/>
      <c r="N100" s="4979"/>
      <c r="O100" s="3940"/>
      <c r="P100" s="3940"/>
      <c r="Q100" s="3940"/>
      <c r="R100" s="3940"/>
      <c r="S100" s="3940"/>
      <c r="T100" s="3940"/>
      <c r="U100" s="3940"/>
      <c r="V100" s="3940"/>
      <c r="W100" s="3940"/>
      <c r="X100" s="3940"/>
      <c r="Y100" s="3940"/>
      <c r="Z100" s="3940"/>
      <c r="AA100" s="3940"/>
      <c r="AB100" s="3940"/>
      <c r="AC100" s="3940"/>
      <c r="AD100" s="3940"/>
      <c r="AE100" s="3940"/>
      <c r="AF100" s="3940"/>
      <c r="AG100" s="3940"/>
      <c r="AH100" s="3940"/>
      <c r="AI100" s="3940"/>
      <c r="AJ100" s="3940"/>
      <c r="AK100" s="3940"/>
      <c r="AL100" s="3940"/>
      <c r="AM100" s="3940"/>
      <c r="AN100" s="3940"/>
      <c r="AO100" s="3940"/>
      <c r="AP100" s="3940"/>
      <c r="AQ100" s="3940"/>
      <c r="AR100" s="3940"/>
      <c r="AS100" s="3940"/>
      <c r="AT100" s="3940"/>
      <c r="AU100" s="3940"/>
      <c r="BY100" s="4260"/>
      <c r="CH100" s="4978"/>
      <c r="CI100" s="4978"/>
      <c r="CJ100" s="4978"/>
      <c r="CK100" s="4978"/>
      <c r="CL100" s="4978"/>
      <c r="CM100" s="4978"/>
      <c r="CN100" s="4978"/>
      <c r="CO100" s="4978"/>
      <c r="CP100" s="4978"/>
      <c r="CQ100" s="4978"/>
      <c r="CR100" s="4978"/>
      <c r="CS100" s="4978"/>
      <c r="CT100" s="4978"/>
      <c r="CU100" s="4978"/>
      <c r="CV100" s="4264"/>
      <c r="CW100" s="4264"/>
      <c r="CX100" s="4264"/>
      <c r="CY100" s="4264"/>
      <c r="CZ100" s="4264"/>
      <c r="DA100" s="4264"/>
    </row>
    <row r="101" spans="1:105" x14ac:dyDescent="0.25">
      <c r="A101" s="7520">
        <v>28012800</v>
      </c>
      <c r="B101" s="5155" t="s">
        <v>2593</v>
      </c>
      <c r="C101" s="3831" t="s">
        <v>5369</v>
      </c>
      <c r="D101" s="5007" t="s">
        <v>5370</v>
      </c>
      <c r="E101" s="3831" t="s">
        <v>5371</v>
      </c>
      <c r="F101" s="4137" t="s">
        <v>5372</v>
      </c>
      <c r="G101" s="4979"/>
      <c r="H101" s="4979"/>
      <c r="I101" s="4979"/>
      <c r="J101" s="4979"/>
      <c r="K101" s="4979"/>
      <c r="L101" s="4979"/>
      <c r="M101" s="4979"/>
      <c r="N101" s="4979"/>
      <c r="O101" s="3940"/>
      <c r="P101" s="3940"/>
      <c r="Q101" s="3940"/>
      <c r="R101" s="3940"/>
      <c r="S101" s="3940"/>
      <c r="T101" s="3940"/>
      <c r="U101" s="3940"/>
      <c r="V101" s="3940"/>
      <c r="W101" s="3940"/>
      <c r="X101" s="3940"/>
      <c r="Y101" s="3940"/>
      <c r="Z101" s="3940"/>
      <c r="AA101" s="3940"/>
      <c r="AB101" s="3940"/>
      <c r="AC101" s="3940"/>
      <c r="AD101" s="3940"/>
      <c r="AE101" s="3940"/>
      <c r="AF101" s="3940"/>
      <c r="AG101" s="3940"/>
      <c r="AH101" s="3940"/>
      <c r="AI101" s="3940"/>
      <c r="AJ101" s="3940"/>
      <c r="AK101" s="3940"/>
      <c r="AL101" s="3940"/>
      <c r="AM101" s="3940"/>
      <c r="AN101" s="3940"/>
      <c r="AO101" s="3940"/>
      <c r="AP101" s="3940"/>
      <c r="AQ101" s="3940"/>
      <c r="AR101" s="3940"/>
      <c r="AS101" s="3940"/>
      <c r="AT101" s="3940"/>
      <c r="AU101" s="3940"/>
      <c r="BY101" s="4260"/>
      <c r="CH101" s="4978"/>
      <c r="CI101" s="4978"/>
      <c r="CJ101" s="4978"/>
      <c r="CK101" s="4978"/>
      <c r="CL101" s="4978"/>
      <c r="CM101" s="4978"/>
      <c r="CN101" s="4978"/>
      <c r="CO101" s="4978"/>
      <c r="CP101" s="4978"/>
      <c r="CQ101" s="4978"/>
      <c r="CR101" s="4978"/>
      <c r="CS101" s="4978"/>
      <c r="CT101" s="4978"/>
      <c r="CU101" s="4978"/>
      <c r="CV101" s="4264"/>
      <c r="CW101" s="4264"/>
      <c r="CX101" s="4264"/>
      <c r="CY101" s="4264"/>
      <c r="CZ101" s="4264"/>
      <c r="DA101" s="4264"/>
    </row>
    <row r="102" spans="1:105" x14ac:dyDescent="0.25">
      <c r="A102" s="7520">
        <v>28012900</v>
      </c>
      <c r="B102" s="5155" t="s">
        <v>60</v>
      </c>
      <c r="C102" s="3831" t="s">
        <v>5369</v>
      </c>
      <c r="D102" s="5007" t="s">
        <v>5370</v>
      </c>
      <c r="E102" s="3831" t="s">
        <v>5371</v>
      </c>
      <c r="F102" s="4137" t="s">
        <v>5372</v>
      </c>
      <c r="G102" s="4979"/>
      <c r="H102" s="4979"/>
      <c r="I102" s="4979"/>
      <c r="J102" s="4979"/>
      <c r="K102" s="4979"/>
      <c r="L102" s="4979"/>
      <c r="M102" s="4979"/>
      <c r="N102" s="4979"/>
      <c r="O102" s="3940"/>
      <c r="P102" s="3940"/>
      <c r="Q102" s="3940"/>
      <c r="R102" s="3940"/>
      <c r="S102" s="3940"/>
      <c r="T102" s="3940"/>
      <c r="U102" s="3940"/>
      <c r="V102" s="3940"/>
      <c r="W102" s="3940"/>
      <c r="X102" s="3940"/>
      <c r="Y102" s="3940"/>
      <c r="Z102" s="3940"/>
      <c r="AA102" s="3940"/>
      <c r="AB102" s="3940"/>
      <c r="AC102" s="3940"/>
      <c r="AD102" s="3940"/>
      <c r="AE102" s="3940"/>
      <c r="AF102" s="3940"/>
      <c r="AG102" s="3940"/>
      <c r="AH102" s="3940"/>
      <c r="AI102" s="3940"/>
      <c r="AJ102" s="3940"/>
      <c r="AK102" s="3940"/>
      <c r="AL102" s="3940"/>
      <c r="AM102" s="3940"/>
      <c r="AN102" s="3940"/>
      <c r="AO102" s="3940"/>
      <c r="AP102" s="3940"/>
      <c r="AQ102" s="3940"/>
      <c r="AR102" s="3940"/>
      <c r="AS102" s="3940"/>
      <c r="AT102" s="3940"/>
      <c r="AU102" s="3940"/>
      <c r="BY102" s="4260"/>
      <c r="CH102" s="4978"/>
      <c r="CI102" s="4978"/>
      <c r="CJ102" s="4978"/>
      <c r="CK102" s="4978"/>
      <c r="CL102" s="4978"/>
      <c r="CM102" s="4978"/>
      <c r="CN102" s="4978"/>
      <c r="CO102" s="4978"/>
      <c r="CP102" s="4978"/>
      <c r="CQ102" s="4978"/>
      <c r="CR102" s="4978"/>
      <c r="CS102" s="4978"/>
      <c r="CT102" s="4978"/>
      <c r="CU102" s="4978"/>
      <c r="CV102" s="4264"/>
      <c r="CW102" s="4264"/>
      <c r="CX102" s="4264"/>
      <c r="CY102" s="4264"/>
      <c r="CZ102" s="4264"/>
      <c r="DA102" s="4264"/>
    </row>
    <row r="103" spans="1:105" x14ac:dyDescent="0.25">
      <c r="A103" s="7520">
        <v>28013000</v>
      </c>
      <c r="B103" s="5156" t="s">
        <v>2898</v>
      </c>
      <c r="C103" s="4421" t="s">
        <v>5369</v>
      </c>
      <c r="D103" s="5128" t="s">
        <v>5370</v>
      </c>
      <c r="E103" s="4421" t="s">
        <v>5371</v>
      </c>
      <c r="F103" s="5157" t="s">
        <v>5372</v>
      </c>
      <c r="G103" s="4979"/>
      <c r="H103" s="4979"/>
      <c r="I103" s="4979"/>
      <c r="J103" s="4979"/>
      <c r="K103" s="4979"/>
      <c r="L103" s="4979"/>
      <c r="M103" s="4979"/>
      <c r="N103" s="4979"/>
      <c r="O103" s="3940"/>
      <c r="P103" s="3940"/>
      <c r="Q103" s="3940"/>
      <c r="R103" s="3940"/>
      <c r="S103" s="3940"/>
      <c r="T103" s="3940"/>
      <c r="U103" s="3940"/>
      <c r="V103" s="3940"/>
      <c r="W103" s="3940"/>
      <c r="X103" s="3940"/>
      <c r="Y103" s="3940"/>
      <c r="Z103" s="3940"/>
      <c r="AA103" s="3940"/>
      <c r="AB103" s="3940"/>
      <c r="AC103" s="3940"/>
      <c r="AD103" s="3940"/>
      <c r="AE103" s="3940"/>
      <c r="AF103" s="3940"/>
      <c r="AG103" s="3940"/>
      <c r="AH103" s="3940"/>
      <c r="AI103" s="3940"/>
      <c r="AJ103" s="3940"/>
      <c r="AK103" s="3940"/>
      <c r="AL103" s="3940"/>
      <c r="AM103" s="3940"/>
      <c r="AN103" s="3940"/>
      <c r="AO103" s="3940"/>
      <c r="AP103" s="3940"/>
      <c r="AQ103" s="3940"/>
      <c r="AR103" s="3940"/>
      <c r="AS103" s="3940"/>
      <c r="AT103" s="3940"/>
      <c r="AU103" s="3940"/>
      <c r="BY103" s="4260"/>
      <c r="CH103" s="4978"/>
      <c r="CI103" s="4978"/>
      <c r="CJ103" s="4978"/>
      <c r="CK103" s="4978"/>
      <c r="CL103" s="4978"/>
      <c r="CM103" s="4978"/>
      <c r="CN103" s="4978"/>
      <c r="CO103" s="4978"/>
      <c r="CP103" s="4978"/>
      <c r="CQ103" s="4978"/>
      <c r="CR103" s="4978"/>
      <c r="CS103" s="4978"/>
      <c r="CT103" s="4978"/>
      <c r="CU103" s="4978"/>
      <c r="CV103" s="4264"/>
      <c r="CW103" s="4264"/>
      <c r="CX103" s="4264"/>
      <c r="CY103" s="4264"/>
      <c r="CZ103" s="4264"/>
      <c r="DA103" s="4264"/>
    </row>
    <row r="104" spans="1:105" ht="24" customHeight="1" x14ac:dyDescent="0.25">
      <c r="A104" s="7298"/>
      <c r="B104" s="5114" t="s">
        <v>24</v>
      </c>
      <c r="C104" s="5149">
        <f>SUM(C99:C103)</f>
        <v>0</v>
      </c>
      <c r="D104" s="5148">
        <f>SUM(D99:D103)</f>
        <v>0</v>
      </c>
      <c r="E104" s="5149">
        <f>SUM(E99:E103)</f>
        <v>0</v>
      </c>
      <c r="F104" s="5150">
        <f>SUM(F99:F103)</f>
        <v>0</v>
      </c>
      <c r="G104" s="4979"/>
      <c r="H104" s="4979"/>
      <c r="I104" s="4979"/>
      <c r="J104" s="4979"/>
      <c r="K104" s="4979"/>
      <c r="L104" s="4979"/>
      <c r="M104" s="4979"/>
      <c r="N104" s="4979"/>
      <c r="O104" s="3940"/>
      <c r="P104" s="3940"/>
      <c r="Q104" s="3940"/>
      <c r="R104" s="3940"/>
      <c r="S104" s="3940"/>
      <c r="T104" s="3940"/>
      <c r="U104" s="3940"/>
      <c r="V104" s="3940"/>
      <c r="W104" s="3940"/>
      <c r="X104" s="3940"/>
      <c r="Y104" s="3940"/>
      <c r="Z104" s="3940"/>
      <c r="AA104" s="3940"/>
      <c r="AB104" s="3940"/>
      <c r="AC104" s="3940"/>
      <c r="AD104" s="3940"/>
      <c r="AE104" s="3940"/>
      <c r="AF104" s="3940"/>
      <c r="AG104" s="3940"/>
      <c r="AH104" s="3940"/>
      <c r="AI104" s="3940"/>
      <c r="AJ104" s="3940"/>
      <c r="AK104" s="3940"/>
      <c r="AL104" s="3940"/>
      <c r="AM104" s="3940"/>
      <c r="AN104" s="3940"/>
      <c r="AO104" s="3940"/>
      <c r="AP104" s="3940"/>
      <c r="AQ104" s="3940"/>
      <c r="AR104" s="3940"/>
      <c r="AS104" s="3940"/>
      <c r="AT104" s="3940"/>
      <c r="AU104" s="3940"/>
      <c r="BY104" s="4260"/>
      <c r="CH104" s="4978"/>
      <c r="CI104" s="4978"/>
      <c r="CJ104" s="4978"/>
      <c r="CK104" s="4978"/>
      <c r="CL104" s="4978"/>
      <c r="CM104" s="4978"/>
      <c r="CN104" s="4978"/>
      <c r="CO104" s="4978"/>
      <c r="CP104" s="4978"/>
      <c r="CQ104" s="4978"/>
      <c r="CR104" s="4978"/>
      <c r="CS104" s="4978"/>
      <c r="CT104" s="4978"/>
      <c r="CU104" s="4978"/>
      <c r="CV104" s="4264"/>
      <c r="CW104" s="4264"/>
      <c r="CX104" s="4264"/>
      <c r="CY104" s="4264"/>
      <c r="CZ104" s="4264"/>
      <c r="DA104" s="4264"/>
    </row>
    <row r="105" spans="1:105" ht="28.2" customHeight="1" x14ac:dyDescent="0.25">
      <c r="B105" s="5151" t="s">
        <v>201</v>
      </c>
      <c r="E105" s="4979"/>
      <c r="F105" s="4979"/>
      <c r="G105" s="4979"/>
      <c r="H105" s="4979"/>
      <c r="I105" s="4979"/>
      <c r="J105" s="4979"/>
      <c r="K105" s="4979"/>
      <c r="L105" s="4979"/>
      <c r="M105" s="4979"/>
      <c r="N105" s="4979"/>
      <c r="O105" s="4979"/>
      <c r="P105" s="3940"/>
      <c r="Q105" s="3940"/>
      <c r="R105" s="3940"/>
      <c r="S105" s="3940"/>
      <c r="T105" s="3940"/>
      <c r="U105" s="3940"/>
      <c r="V105" s="3940"/>
      <c r="W105" s="3940"/>
      <c r="X105" s="3940"/>
      <c r="Y105" s="3940"/>
      <c r="Z105" s="3940"/>
      <c r="AA105" s="3940"/>
      <c r="AB105" s="3940"/>
      <c r="AC105" s="3940"/>
      <c r="AD105" s="3940"/>
      <c r="AE105" s="3940"/>
      <c r="AF105" s="3940"/>
      <c r="AG105" s="3940"/>
      <c r="AH105" s="3940"/>
      <c r="AI105" s="3940"/>
      <c r="AJ105" s="3940"/>
      <c r="AK105" s="3940"/>
      <c r="AL105" s="3940"/>
      <c r="AM105" s="3940"/>
      <c r="AN105" s="3940"/>
      <c r="AO105" s="3940"/>
      <c r="AP105" s="3940"/>
      <c r="AQ105" s="3940"/>
      <c r="AR105" s="3940"/>
      <c r="AS105" s="3940"/>
      <c r="AT105" s="3940"/>
      <c r="AU105" s="3940"/>
      <c r="AV105" s="3940"/>
      <c r="CH105" s="4978"/>
      <c r="CI105" s="4978"/>
      <c r="CJ105" s="4978"/>
      <c r="CK105" s="4978"/>
      <c r="CL105" s="4978"/>
      <c r="CM105" s="4978"/>
      <c r="CN105" s="4978"/>
      <c r="CO105" s="4978"/>
      <c r="CP105" s="4978"/>
      <c r="CQ105" s="4978"/>
      <c r="CR105" s="4978"/>
      <c r="CS105" s="4978"/>
      <c r="CT105" s="4978"/>
      <c r="CU105" s="4978"/>
      <c r="CV105" s="4264"/>
      <c r="CW105" s="4264"/>
      <c r="CX105" s="4264"/>
      <c r="CY105" s="4264"/>
      <c r="CZ105" s="4264"/>
      <c r="DA105" s="4264"/>
    </row>
    <row r="106" spans="1:105" ht="39" customHeight="1" x14ac:dyDescent="0.25">
      <c r="B106" s="5152" t="s">
        <v>0</v>
      </c>
      <c r="C106" s="7095" t="s">
        <v>3977</v>
      </c>
      <c r="D106" s="4332" t="s">
        <v>162</v>
      </c>
      <c r="E106" s="5141" t="s">
        <v>163</v>
      </c>
      <c r="F106" s="5142" t="s">
        <v>164</v>
      </c>
      <c r="G106" s="4979"/>
      <c r="H106" s="4979"/>
      <c r="I106" s="4979"/>
      <c r="J106" s="4979"/>
      <c r="K106" s="4979"/>
      <c r="L106" s="4979"/>
      <c r="M106" s="4979"/>
      <c r="N106" s="4979"/>
      <c r="O106" s="3940"/>
      <c r="P106" s="3940"/>
      <c r="Q106" s="3940"/>
      <c r="R106" s="3940"/>
      <c r="S106" s="3940"/>
      <c r="T106" s="3940"/>
      <c r="U106" s="3940"/>
      <c r="V106" s="3940"/>
      <c r="W106" s="3940"/>
      <c r="X106" s="3940"/>
      <c r="Y106" s="3940"/>
      <c r="Z106" s="3940"/>
      <c r="AA106" s="3940"/>
      <c r="AB106" s="3940"/>
      <c r="AC106" s="3940"/>
      <c r="AD106" s="3940"/>
      <c r="AE106" s="3940"/>
      <c r="AF106" s="3940"/>
      <c r="AG106" s="3940"/>
      <c r="AH106" s="3940"/>
      <c r="AI106" s="3940"/>
      <c r="AJ106" s="3940"/>
      <c r="AK106" s="3940"/>
      <c r="AL106" s="3940"/>
      <c r="AM106" s="3940"/>
      <c r="AN106" s="3940"/>
      <c r="AO106" s="3940"/>
      <c r="AP106" s="3940"/>
      <c r="AQ106" s="3940"/>
      <c r="AR106" s="3940"/>
      <c r="AS106" s="3940"/>
      <c r="AT106" s="3940"/>
      <c r="AU106" s="3940"/>
      <c r="BY106" s="4260"/>
      <c r="CH106" s="4978"/>
      <c r="CI106" s="4978"/>
      <c r="CJ106" s="4978"/>
      <c r="CK106" s="4978"/>
      <c r="CL106" s="4978"/>
      <c r="CM106" s="4978"/>
      <c r="CN106" s="4978"/>
      <c r="CO106" s="4978"/>
      <c r="CP106" s="4978"/>
      <c r="CQ106" s="4978"/>
      <c r="CR106" s="4978"/>
      <c r="CS106" s="4978"/>
      <c r="CT106" s="4978"/>
      <c r="CU106" s="4978"/>
      <c r="CV106" s="4264"/>
      <c r="CW106" s="4264"/>
      <c r="CX106" s="4264"/>
      <c r="CY106" s="4264"/>
      <c r="CZ106" s="4264"/>
      <c r="DA106" s="4264"/>
    </row>
    <row r="107" spans="1:105" ht="14.1" customHeight="1" x14ac:dyDescent="0.25">
      <c r="A107" s="7520">
        <v>28013100</v>
      </c>
      <c r="B107" s="5154" t="s">
        <v>103</v>
      </c>
      <c r="C107" s="3831" t="s">
        <v>5369</v>
      </c>
      <c r="D107" s="5007" t="s">
        <v>5370</v>
      </c>
      <c r="E107" s="3831" t="s">
        <v>5371</v>
      </c>
      <c r="F107" s="4137" t="s">
        <v>5372</v>
      </c>
      <c r="G107" s="4979"/>
      <c r="H107" s="4979"/>
      <c r="I107" s="4979"/>
      <c r="J107" s="4979"/>
      <c r="K107" s="4979"/>
      <c r="L107" s="4979"/>
      <c r="M107" s="4979"/>
      <c r="N107" s="4979"/>
      <c r="O107" s="3940"/>
      <c r="P107" s="3940"/>
      <c r="Q107" s="3940"/>
      <c r="R107" s="3940"/>
      <c r="S107" s="3940"/>
      <c r="T107" s="3940"/>
      <c r="U107" s="3940"/>
      <c r="V107" s="3940"/>
      <c r="W107" s="3940"/>
      <c r="X107" s="3940"/>
      <c r="Y107" s="3940"/>
      <c r="Z107" s="3940"/>
      <c r="AA107" s="3940"/>
      <c r="AB107" s="3940"/>
      <c r="AC107" s="3940"/>
      <c r="AD107" s="3940"/>
      <c r="AE107" s="3940"/>
      <c r="AF107" s="3940"/>
      <c r="AG107" s="3940"/>
      <c r="AH107" s="3940"/>
      <c r="AI107" s="3940"/>
      <c r="AJ107" s="3940"/>
      <c r="AK107" s="3940"/>
      <c r="AL107" s="3940"/>
      <c r="AM107" s="3940"/>
      <c r="AN107" s="3940"/>
      <c r="AO107" s="3940"/>
      <c r="AP107" s="3940"/>
      <c r="AQ107" s="3940"/>
      <c r="AR107" s="3940"/>
      <c r="AS107" s="3940"/>
      <c r="AT107" s="3940"/>
      <c r="AU107" s="3940"/>
      <c r="BY107" s="4260"/>
      <c r="CH107" s="4978"/>
      <c r="CI107" s="4978"/>
      <c r="CJ107" s="4978"/>
      <c r="CK107" s="4978"/>
      <c r="CL107" s="4978"/>
      <c r="CM107" s="4978"/>
      <c r="CN107" s="4978"/>
      <c r="CO107" s="4978"/>
      <c r="CP107" s="4978"/>
      <c r="CQ107" s="4978"/>
      <c r="CR107" s="4978"/>
      <c r="CS107" s="4978"/>
      <c r="CT107" s="4978"/>
      <c r="CU107" s="4978"/>
      <c r="CV107" s="4264"/>
      <c r="CW107" s="4264"/>
      <c r="CX107" s="4264"/>
      <c r="CY107" s="4264"/>
      <c r="CZ107" s="4264"/>
      <c r="DA107" s="4264"/>
    </row>
    <row r="108" spans="1:105" ht="14.1" customHeight="1" x14ac:dyDescent="0.25">
      <c r="A108" s="7520">
        <v>28013200</v>
      </c>
      <c r="B108" s="5155" t="s">
        <v>62</v>
      </c>
      <c r="C108" s="3831" t="s">
        <v>5369</v>
      </c>
      <c r="D108" s="5007" t="s">
        <v>5370</v>
      </c>
      <c r="E108" s="3831" t="s">
        <v>5371</v>
      </c>
      <c r="F108" s="4137" t="s">
        <v>5372</v>
      </c>
      <c r="G108" s="4979"/>
      <c r="H108" s="4979"/>
      <c r="I108" s="4979"/>
      <c r="J108" s="4979"/>
      <c r="K108" s="4979"/>
      <c r="L108" s="4979"/>
      <c r="M108" s="4979"/>
      <c r="N108" s="4979"/>
      <c r="O108" s="3940"/>
      <c r="P108" s="3940"/>
      <c r="Q108" s="3940"/>
      <c r="R108" s="3940"/>
      <c r="S108" s="3940"/>
      <c r="T108" s="3940"/>
      <c r="U108" s="3940"/>
      <c r="V108" s="3940"/>
      <c r="W108" s="3940"/>
      <c r="X108" s="3940"/>
      <c r="Y108" s="3940"/>
      <c r="Z108" s="3940"/>
      <c r="AA108" s="3940"/>
      <c r="AB108" s="3940"/>
      <c r="AC108" s="3940"/>
      <c r="AD108" s="3940"/>
      <c r="AE108" s="3940"/>
      <c r="AF108" s="3940"/>
      <c r="AG108" s="3940"/>
      <c r="AH108" s="3940"/>
      <c r="AI108" s="3940"/>
      <c r="AJ108" s="3940"/>
      <c r="AK108" s="3940"/>
      <c r="AL108" s="3940"/>
      <c r="AM108" s="3940"/>
      <c r="AN108" s="3940"/>
      <c r="AO108" s="3940"/>
      <c r="AP108" s="3940"/>
      <c r="AQ108" s="3940"/>
      <c r="AR108" s="3940"/>
      <c r="AS108" s="3940"/>
      <c r="AT108" s="3940"/>
      <c r="AU108" s="3940"/>
      <c r="BY108" s="4260"/>
      <c r="CH108" s="4978"/>
      <c r="CI108" s="4978"/>
      <c r="CJ108" s="4978"/>
      <c r="CK108" s="4978"/>
      <c r="CL108" s="4978"/>
      <c r="CM108" s="4978"/>
      <c r="CN108" s="4978"/>
      <c r="CO108" s="4978"/>
      <c r="CP108" s="4978"/>
      <c r="CQ108" s="4978"/>
      <c r="CR108" s="4978"/>
      <c r="CS108" s="4978"/>
      <c r="CT108" s="4978"/>
      <c r="CU108" s="4978"/>
      <c r="CV108" s="4264"/>
      <c r="CW108" s="4264"/>
      <c r="CX108" s="4264"/>
      <c r="CY108" s="4264"/>
      <c r="CZ108" s="4264"/>
      <c r="DA108" s="4264"/>
    </row>
    <row r="109" spans="1:105" ht="14.1" customHeight="1" x14ac:dyDescent="0.25">
      <c r="A109" s="7520">
        <v>28013300</v>
      </c>
      <c r="B109" s="5155" t="s">
        <v>61</v>
      </c>
      <c r="C109" s="3831" t="s">
        <v>5369</v>
      </c>
      <c r="D109" s="5007" t="s">
        <v>5370</v>
      </c>
      <c r="E109" s="3831" t="s">
        <v>5371</v>
      </c>
      <c r="F109" s="4137" t="s">
        <v>5372</v>
      </c>
      <c r="G109" s="4979"/>
      <c r="H109" s="4979"/>
      <c r="I109" s="4979"/>
      <c r="J109" s="4979"/>
      <c r="K109" s="4979"/>
      <c r="L109" s="4979"/>
      <c r="M109" s="4979"/>
      <c r="N109" s="4979"/>
      <c r="O109" s="3940"/>
      <c r="P109" s="3940"/>
      <c r="Q109" s="3940"/>
      <c r="R109" s="3940"/>
      <c r="S109" s="3940"/>
      <c r="T109" s="3940"/>
      <c r="U109" s="3940"/>
      <c r="V109" s="3940"/>
      <c r="W109" s="3940"/>
      <c r="X109" s="3940"/>
      <c r="Y109" s="3940"/>
      <c r="Z109" s="3940"/>
      <c r="AA109" s="3940"/>
      <c r="AB109" s="3940"/>
      <c r="AC109" s="3940"/>
      <c r="AD109" s="3940"/>
      <c r="AE109" s="3940"/>
      <c r="AF109" s="3940"/>
      <c r="AG109" s="3940"/>
      <c r="AH109" s="3940"/>
      <c r="AI109" s="3940"/>
      <c r="AJ109" s="3940"/>
      <c r="AK109" s="3940"/>
      <c r="AL109" s="3940"/>
      <c r="AM109" s="3940"/>
      <c r="AN109" s="3940"/>
      <c r="AO109" s="3940"/>
      <c r="AP109" s="3940"/>
      <c r="AQ109" s="3940"/>
      <c r="AR109" s="3940"/>
      <c r="AS109" s="3940"/>
      <c r="AT109" s="3940"/>
      <c r="AU109" s="3940"/>
      <c r="BY109" s="4260"/>
      <c r="CH109" s="4978"/>
      <c r="CI109" s="4978"/>
      <c r="CJ109" s="4978"/>
      <c r="CK109" s="4978"/>
      <c r="CL109" s="4978"/>
      <c r="CM109" s="4978"/>
      <c r="CN109" s="4978"/>
      <c r="CO109" s="4978"/>
      <c r="CP109" s="4978"/>
      <c r="CQ109" s="4978"/>
      <c r="CR109" s="4978"/>
      <c r="CS109" s="4978"/>
      <c r="CT109" s="4978"/>
      <c r="CU109" s="4978"/>
      <c r="CV109" s="4264"/>
      <c r="CW109" s="4264"/>
      <c r="CX109" s="4264"/>
      <c r="CY109" s="4264"/>
      <c r="CZ109" s="4264"/>
      <c r="DA109" s="4264"/>
    </row>
    <row r="110" spans="1:105" ht="14.1" customHeight="1" x14ac:dyDescent="0.25">
      <c r="A110" s="7520">
        <v>28013400</v>
      </c>
      <c r="B110" s="5155" t="s">
        <v>60</v>
      </c>
      <c r="C110" s="3831" t="s">
        <v>5369</v>
      </c>
      <c r="D110" s="5007" t="s">
        <v>5370</v>
      </c>
      <c r="E110" s="3831" t="s">
        <v>5371</v>
      </c>
      <c r="F110" s="4137" t="s">
        <v>5372</v>
      </c>
      <c r="G110" s="4979"/>
      <c r="H110" s="4979"/>
      <c r="I110" s="4979"/>
      <c r="J110" s="4979"/>
      <c r="K110" s="4979"/>
      <c r="L110" s="4979"/>
      <c r="M110" s="4979"/>
      <c r="N110" s="4979"/>
      <c r="O110" s="3940"/>
      <c r="P110" s="3940"/>
      <c r="Q110" s="3940"/>
      <c r="R110" s="3940"/>
      <c r="S110" s="3940"/>
      <c r="T110" s="3940"/>
      <c r="U110" s="3940"/>
      <c r="V110" s="3940"/>
      <c r="W110" s="3940"/>
      <c r="X110" s="3940"/>
      <c r="Y110" s="3940"/>
      <c r="Z110" s="3940"/>
      <c r="AA110" s="3940"/>
      <c r="AB110" s="3940"/>
      <c r="AC110" s="3940"/>
      <c r="AD110" s="3940"/>
      <c r="AE110" s="3940"/>
      <c r="AF110" s="3940"/>
      <c r="AG110" s="3940"/>
      <c r="AH110" s="3940"/>
      <c r="AI110" s="3940"/>
      <c r="AJ110" s="3940"/>
      <c r="AK110" s="3940"/>
      <c r="AL110" s="3940"/>
      <c r="AM110" s="3940"/>
      <c r="AN110" s="3940"/>
      <c r="AO110" s="3940"/>
      <c r="AP110" s="3940"/>
      <c r="AQ110" s="3940"/>
      <c r="AR110" s="3940"/>
      <c r="AS110" s="3940"/>
      <c r="AT110" s="3940"/>
      <c r="AU110" s="3940"/>
      <c r="BY110" s="4260"/>
      <c r="CH110" s="4978"/>
      <c r="CI110" s="4978"/>
      <c r="CJ110" s="4978"/>
      <c r="CK110" s="4978"/>
      <c r="CL110" s="4978"/>
      <c r="CM110" s="4978"/>
      <c r="CN110" s="4978"/>
      <c r="CO110" s="4978"/>
      <c r="CP110" s="4978"/>
      <c r="CQ110" s="4978"/>
      <c r="CR110" s="4978"/>
      <c r="CS110" s="4978"/>
      <c r="CT110" s="4978"/>
      <c r="CU110" s="4978"/>
      <c r="CV110" s="4264"/>
      <c r="CW110" s="4264"/>
      <c r="CX110" s="4264"/>
      <c r="CY110" s="4264"/>
      <c r="CZ110" s="4264"/>
      <c r="DA110" s="4264"/>
    </row>
    <row r="111" spans="1:105" ht="14.1" customHeight="1" x14ac:dyDescent="0.25">
      <c r="A111" s="7520">
        <v>28013500</v>
      </c>
      <c r="B111" s="5156" t="s">
        <v>2597</v>
      </c>
      <c r="C111" s="4421" t="s">
        <v>5369</v>
      </c>
      <c r="D111" s="5128" t="s">
        <v>5370</v>
      </c>
      <c r="E111" s="4421" t="s">
        <v>5371</v>
      </c>
      <c r="F111" s="5157" t="s">
        <v>5372</v>
      </c>
      <c r="G111" s="4979"/>
      <c r="H111" s="4979"/>
      <c r="I111" s="4979"/>
      <c r="J111" s="4979"/>
      <c r="K111" s="4979"/>
      <c r="L111" s="4979"/>
      <c r="M111" s="4979"/>
      <c r="N111" s="4979"/>
      <c r="O111" s="3940"/>
      <c r="P111" s="3940"/>
      <c r="Q111" s="3940"/>
      <c r="R111" s="3940"/>
      <c r="S111" s="3940"/>
      <c r="T111" s="3940"/>
      <c r="U111" s="3940"/>
      <c r="V111" s="3940"/>
      <c r="W111" s="3940"/>
      <c r="X111" s="3940"/>
      <c r="Y111" s="3940"/>
      <c r="Z111" s="3940"/>
      <c r="AA111" s="3940"/>
      <c r="AB111" s="3940"/>
      <c r="AC111" s="3940"/>
      <c r="AD111" s="3940"/>
      <c r="AE111" s="3940"/>
      <c r="AF111" s="3940"/>
      <c r="AG111" s="3940"/>
      <c r="AH111" s="3940"/>
      <c r="AI111" s="3940"/>
      <c r="AJ111" s="3940"/>
      <c r="AK111" s="3940"/>
      <c r="AL111" s="3940"/>
      <c r="AM111" s="3940"/>
      <c r="AN111" s="3940"/>
      <c r="AO111" s="3940"/>
      <c r="AP111" s="3940"/>
      <c r="AQ111" s="3940"/>
      <c r="AR111" s="3940"/>
      <c r="AS111" s="3940"/>
      <c r="AT111" s="3940"/>
      <c r="AU111" s="3940"/>
      <c r="BY111" s="4260"/>
      <c r="CH111" s="4978"/>
      <c r="CI111" s="4978"/>
      <c r="CJ111" s="4978"/>
      <c r="CK111" s="4978"/>
      <c r="CL111" s="4978"/>
      <c r="CM111" s="4978"/>
      <c r="CN111" s="4978"/>
      <c r="CO111" s="4978"/>
      <c r="CP111" s="4978"/>
      <c r="CQ111" s="4978"/>
      <c r="CR111" s="4978"/>
      <c r="CS111" s="4978"/>
      <c r="CT111" s="4978"/>
      <c r="CU111" s="4978"/>
      <c r="CV111" s="4264"/>
      <c r="CW111" s="4264"/>
      <c r="CX111" s="4264"/>
      <c r="CY111" s="4264"/>
      <c r="CZ111" s="4264"/>
      <c r="DA111" s="4264"/>
    </row>
    <row r="112" spans="1:105" ht="14.1" customHeight="1" x14ac:dyDescent="0.3">
      <c r="A112" s="7298"/>
      <c r="B112" s="5129" t="s">
        <v>24</v>
      </c>
      <c r="C112" s="5149">
        <f>SUM(C107:C111)</f>
        <v>0</v>
      </c>
      <c r="D112" s="5148">
        <f>SUM(D107:D111)</f>
        <v>0</v>
      </c>
      <c r="E112" s="5149">
        <f>SUM(E107:E111)</f>
        <v>0</v>
      </c>
      <c r="F112" s="5150">
        <f>SUM(F107:F111)</f>
        <v>0</v>
      </c>
      <c r="G112" s="4979"/>
      <c r="H112" s="4979"/>
      <c r="I112" s="4979"/>
      <c r="J112" s="4979"/>
      <c r="K112" s="4979"/>
      <c r="L112" s="4979"/>
      <c r="M112" s="4979"/>
      <c r="N112" s="4979"/>
      <c r="O112" s="3940"/>
      <c r="P112" s="3940"/>
      <c r="Q112" s="3940"/>
      <c r="R112" s="3940"/>
      <c r="S112" s="3940"/>
      <c r="T112" s="3940"/>
      <c r="U112" s="3940"/>
      <c r="V112" s="3940"/>
      <c r="W112" s="3940"/>
      <c r="X112" s="3940"/>
      <c r="Y112" s="3940"/>
      <c r="Z112" s="3940"/>
      <c r="AA112" s="3940"/>
      <c r="AB112" s="3940"/>
      <c r="AC112" s="3940"/>
      <c r="AD112" s="3940"/>
      <c r="AE112" s="3940"/>
      <c r="AF112" s="3940"/>
      <c r="AG112" s="3940"/>
      <c r="AH112" s="3940"/>
      <c r="AI112" s="3940"/>
      <c r="AJ112" s="3940"/>
      <c r="AK112" s="3940"/>
      <c r="AL112" s="3940"/>
      <c r="AM112" s="3940"/>
      <c r="AN112" s="3940"/>
      <c r="AO112" s="3940"/>
      <c r="AP112" s="3940"/>
      <c r="AQ112" s="3940"/>
      <c r="AR112" s="3940"/>
      <c r="AS112" s="3940"/>
      <c r="AT112" s="3940"/>
      <c r="AU112" s="3940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 s="4976"/>
      <c r="BW112" s="4976"/>
      <c r="BX112" s="4976"/>
      <c r="BY112" s="4260"/>
      <c r="BZ112" s="4976"/>
      <c r="CH112" s="4978"/>
      <c r="CI112" s="4978"/>
      <c r="CJ112" s="4978"/>
      <c r="CK112" s="4978"/>
      <c r="CL112" s="4978"/>
      <c r="CM112" s="4978"/>
      <c r="CN112" s="4978"/>
      <c r="CO112" s="4978"/>
      <c r="CP112" s="4978"/>
      <c r="CQ112" s="4978"/>
      <c r="CR112" s="4978"/>
      <c r="CS112" s="4978"/>
      <c r="CT112" s="4978"/>
      <c r="CU112" s="4978"/>
      <c r="CV112" s="4264"/>
      <c r="CW112" s="4264"/>
      <c r="CX112" s="4264"/>
      <c r="CY112" s="4264"/>
      <c r="CZ112" s="4264"/>
      <c r="DA112" s="4264"/>
    </row>
    <row r="113" spans="1:131" ht="28.2" customHeight="1" x14ac:dyDescent="0.3">
      <c r="B113" s="5138" t="s">
        <v>2899</v>
      </c>
      <c r="C113"/>
      <c r="D113"/>
      <c r="E113" s="3804"/>
      <c r="F113" s="4979"/>
      <c r="G113" s="4979"/>
      <c r="H113" s="4979"/>
      <c r="I113" s="4979"/>
      <c r="J113" s="4979"/>
      <c r="K113" s="4979"/>
      <c r="L113" s="4979"/>
      <c r="M113" s="4979"/>
      <c r="N113" s="4979"/>
      <c r="O113" s="4979"/>
      <c r="P113" s="3940"/>
      <c r="Q113" s="3940"/>
      <c r="R113" s="3940"/>
      <c r="S113" s="3940"/>
      <c r="T113" s="3940"/>
      <c r="U113" s="3940"/>
      <c r="V113" s="3940"/>
      <c r="W113" s="3940"/>
      <c r="X113" s="3940"/>
      <c r="Y113" s="3940"/>
      <c r="Z113" s="3940"/>
      <c r="AA113" s="3940"/>
      <c r="AB113" s="3940"/>
      <c r="AC113" s="3940"/>
      <c r="AD113" s="3940"/>
      <c r="AE113" s="3940"/>
      <c r="AF113" s="3940"/>
      <c r="AG113" s="3940"/>
      <c r="AH113" s="3940"/>
      <c r="AI113" s="3940"/>
      <c r="AJ113" s="3940"/>
      <c r="AK113" s="3940"/>
      <c r="AL113" s="3940"/>
      <c r="AM113" s="3940"/>
      <c r="AN113" s="3940"/>
      <c r="AO113" s="3940"/>
      <c r="AP113" s="3940"/>
      <c r="AQ113" s="3940"/>
      <c r="AR113" s="3940"/>
      <c r="AS113" s="3940"/>
      <c r="AT113" s="3940"/>
      <c r="AU113" s="3940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 s="4976"/>
      <c r="BW113" s="4976"/>
      <c r="BX113" s="4976"/>
      <c r="BY113" s="4976"/>
      <c r="BZ113" s="4264"/>
      <c r="CA113" s="4264"/>
      <c r="CH113" s="4978"/>
      <c r="CI113" s="4978"/>
      <c r="CJ113" s="4978"/>
      <c r="CK113" s="4978"/>
      <c r="CL113" s="4978"/>
      <c r="CM113" s="4978"/>
      <c r="CN113" s="4978"/>
      <c r="CO113" s="4978"/>
      <c r="CP113" s="4978"/>
      <c r="CQ113" s="4978"/>
      <c r="CR113" s="4978"/>
      <c r="CS113" s="4978"/>
      <c r="CT113" s="4978"/>
      <c r="CU113" s="4978"/>
      <c r="CV113" s="4976"/>
      <c r="CW113" s="4976"/>
      <c r="CX113" s="4976"/>
      <c r="CY113" s="4976"/>
      <c r="CZ113" s="4976"/>
      <c r="DA113" s="4976"/>
    </row>
    <row r="114" spans="1:131" ht="17.25" customHeight="1" x14ac:dyDescent="0.25">
      <c r="B114" s="10288" t="s">
        <v>165</v>
      </c>
      <c r="C114" s="10315" t="s">
        <v>24</v>
      </c>
      <c r="D114" s="10268" t="s">
        <v>141</v>
      </c>
      <c r="E114" s="10265"/>
      <c r="F114" s="10265"/>
      <c r="G114" s="10355"/>
      <c r="H114" s="10976" t="s">
        <v>2881</v>
      </c>
      <c r="I114" s="10977"/>
      <c r="J114" s="4979"/>
      <c r="K114" s="4979"/>
      <c r="L114" s="3940"/>
      <c r="M114" s="3940"/>
      <c r="N114" s="3940"/>
      <c r="O114" s="3940"/>
      <c r="P114" s="3940"/>
      <c r="Q114" s="3940"/>
      <c r="R114" s="3940"/>
      <c r="S114" s="3940"/>
      <c r="T114" s="3940"/>
      <c r="U114" s="3940"/>
      <c r="V114" s="3940"/>
      <c r="W114" s="3940"/>
      <c r="X114" s="3940"/>
      <c r="Y114" s="3940"/>
      <c r="Z114" s="3940"/>
      <c r="AA114" s="3940"/>
      <c r="AB114" s="3940"/>
      <c r="AC114" s="3940"/>
      <c r="AD114" s="3940"/>
      <c r="AE114" s="3940"/>
      <c r="AF114" s="3940"/>
      <c r="AG114" s="3940"/>
      <c r="AH114" s="3940"/>
      <c r="AI114" s="3940"/>
      <c r="AJ114" s="3940"/>
      <c r="AK114" s="3940"/>
      <c r="AL114" s="3940"/>
      <c r="AM114" s="3940"/>
      <c r="AN114" s="3940"/>
      <c r="AO114" s="3940"/>
      <c r="AP114" s="3940"/>
      <c r="AQ114" s="3940"/>
      <c r="AR114" s="4264"/>
      <c r="AS114" s="4264"/>
      <c r="AT114" s="4264"/>
      <c r="AU114" s="4264"/>
      <c r="AV114" s="4264"/>
      <c r="AW114" s="4264"/>
      <c r="AX114" s="4264"/>
      <c r="AY114" s="4264"/>
      <c r="AZ114" s="4264"/>
      <c r="BA114" s="4264"/>
      <c r="BB114" s="4264"/>
      <c r="BC114" s="4264"/>
      <c r="BD114" s="4264"/>
      <c r="BU114" s="4264"/>
      <c r="BX114" s="5158"/>
      <c r="BY114" s="5158"/>
      <c r="CA114" s="4295"/>
      <c r="CG114" s="4978"/>
      <c r="CH114" s="4978"/>
      <c r="CI114" s="4978"/>
      <c r="CJ114" s="4978"/>
      <c r="CK114" s="4978"/>
      <c r="CL114" s="4978"/>
      <c r="CM114" s="4978"/>
      <c r="CN114" s="4978"/>
      <c r="CO114" s="4978"/>
      <c r="CP114" s="4978"/>
      <c r="CQ114" s="4978"/>
      <c r="CR114" s="4978"/>
      <c r="CS114" s="4978"/>
      <c r="CT114" s="4978"/>
      <c r="CU114" s="5159"/>
      <c r="CV114" s="5159"/>
      <c r="CW114" s="5159"/>
      <c r="CX114" s="5159"/>
      <c r="CY114" s="5159"/>
      <c r="CZ114" s="5158"/>
      <c r="DA114" s="4264"/>
      <c r="EA114" s="4258"/>
    </row>
    <row r="115" spans="1:131" ht="35.4" customHeight="1" x14ac:dyDescent="0.3">
      <c r="B115" s="10290"/>
      <c r="C115" s="10317"/>
      <c r="D115" s="7094" t="s">
        <v>3977</v>
      </c>
      <c r="E115" s="5055" t="s">
        <v>146</v>
      </c>
      <c r="F115" s="3888" t="s">
        <v>147</v>
      </c>
      <c r="G115" s="4411" t="s">
        <v>148</v>
      </c>
      <c r="H115" s="4983" t="s">
        <v>2831</v>
      </c>
      <c r="I115" s="4983" t="s">
        <v>2832</v>
      </c>
      <c r="J115" s="4979"/>
      <c r="K115" s="4979"/>
      <c r="L115" s="3940"/>
      <c r="M115" s="3940"/>
      <c r="N115" s="3940"/>
      <c r="O115" s="3940"/>
      <c r="P115" s="3940"/>
      <c r="Q115" s="3940"/>
      <c r="R115" s="3940"/>
      <c r="S115" s="3940"/>
      <c r="T115" s="3940"/>
      <c r="U115" s="3940"/>
      <c r="V115" s="3940"/>
      <c r="W115" s="3940"/>
      <c r="X115" s="3940"/>
      <c r="Y115" s="3940"/>
      <c r="Z115" s="3940"/>
      <c r="AA115" s="3940"/>
      <c r="AB115" s="3940"/>
      <c r="AC115" s="3940"/>
      <c r="AD115" s="3940"/>
      <c r="AE115" s="3940"/>
      <c r="AF115" s="3940"/>
      <c r="AG115" s="3940"/>
      <c r="AH115" s="3940"/>
      <c r="AI115" s="3940"/>
      <c r="AJ115" s="3940"/>
      <c r="AK115" s="3940"/>
      <c r="AL115" s="3940"/>
      <c r="AM115" s="3940"/>
      <c r="AN115" s="3940"/>
      <c r="AO115" s="3940"/>
      <c r="AP115" s="3940"/>
      <c r="AQ115" s="3940"/>
      <c r="AR115" s="4264"/>
      <c r="AS115" s="4264"/>
      <c r="AT115" s="4264"/>
      <c r="AU115" s="4264"/>
      <c r="AV115" s="4264"/>
      <c r="AW115" s="4264"/>
      <c r="AX115" s="4264"/>
      <c r="AY115" s="4264"/>
      <c r="AZ115" s="4264"/>
      <c r="BA115" s="4264"/>
      <c r="BB115" s="4264"/>
      <c r="BC115" s="4264"/>
      <c r="BD115" s="4264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 s="4976"/>
      <c r="BV115" s="4976"/>
      <c r="BW115" s="4976"/>
      <c r="BX115" s="4260"/>
      <c r="BY115" s="4976"/>
      <c r="CA115" s="4295"/>
      <c r="CG115" s="4978"/>
      <c r="CH115" s="4978"/>
      <c r="CI115" s="4978"/>
      <c r="CJ115" s="4978"/>
      <c r="CK115" s="4978"/>
      <c r="CL115" s="4978"/>
      <c r="CM115" s="4978"/>
      <c r="CN115" s="4978"/>
      <c r="CO115" s="4978"/>
      <c r="CP115" s="4978"/>
      <c r="CQ115" s="4978"/>
      <c r="CR115" s="4978"/>
      <c r="CS115" s="4978"/>
      <c r="CT115" s="4978"/>
      <c r="CU115" s="4976"/>
      <c r="CV115" s="4976"/>
      <c r="CW115" s="4976"/>
      <c r="CX115" s="4976"/>
      <c r="CY115" s="4976"/>
      <c r="CZ115" s="4264"/>
      <c r="DA115" s="4264"/>
      <c r="EA115" s="4258"/>
    </row>
    <row r="116" spans="1:131" ht="14.1" customHeight="1" x14ac:dyDescent="0.3">
      <c r="A116" s="7520">
        <v>27300800</v>
      </c>
      <c r="B116" s="5160" t="s">
        <v>645</v>
      </c>
      <c r="C116" s="5161" t="s">
        <v>5369</v>
      </c>
      <c r="D116" s="3893" t="s">
        <v>5370</v>
      </c>
      <c r="E116" s="5162" t="s">
        <v>5371</v>
      </c>
      <c r="F116" s="5163" t="s">
        <v>5372</v>
      </c>
      <c r="G116" s="4415" t="s">
        <v>5373</v>
      </c>
      <c r="H116" s="5164" t="s">
        <v>5374</v>
      </c>
      <c r="I116" s="4946" t="s">
        <v>5375</v>
      </c>
      <c r="J116" s="4979"/>
      <c r="K116" s="4979"/>
      <c r="L116" s="3940"/>
      <c r="M116" s="3940"/>
      <c r="N116" s="3940"/>
      <c r="O116" s="3940"/>
      <c r="P116" s="3940"/>
      <c r="Q116" s="3940"/>
      <c r="R116" s="3940"/>
      <c r="S116" s="3940"/>
      <c r="T116" s="3940"/>
      <c r="U116" s="3940"/>
      <c r="V116" s="3940"/>
      <c r="W116" s="3940"/>
      <c r="X116" s="3940"/>
      <c r="Y116" s="3940"/>
      <c r="Z116" s="3940"/>
      <c r="AA116" s="3940"/>
      <c r="AB116" s="3940"/>
      <c r="AC116" s="3940"/>
      <c r="AD116" s="3940"/>
      <c r="AE116" s="3940"/>
      <c r="AF116" s="3940"/>
      <c r="AG116" s="3940"/>
      <c r="AH116" s="3940"/>
      <c r="AI116" s="3940"/>
      <c r="AJ116" s="3940"/>
      <c r="AK116" s="3940"/>
      <c r="AL116" s="3940"/>
      <c r="AM116" s="3940"/>
      <c r="AN116" s="3940"/>
      <c r="AO116" s="3940"/>
      <c r="AP116" s="3940"/>
      <c r="AQ116" s="3940"/>
      <c r="AR116" s="5165"/>
      <c r="AS116" s="4264"/>
      <c r="AT116" s="4264"/>
      <c r="AU116" s="4264"/>
      <c r="AV116" s="4264"/>
      <c r="AW116" s="4264"/>
      <c r="AX116" s="4264"/>
      <c r="AY116" s="4264"/>
      <c r="AZ116" s="4264"/>
      <c r="BA116" s="4264"/>
      <c r="BB116" s="4264"/>
      <c r="BC116" s="4264"/>
      <c r="BD116" s="4264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 s="4976"/>
      <c r="BV116" s="4260"/>
      <c r="BW116" s="4260"/>
      <c r="BX116" s="4260"/>
      <c r="BY116" s="4976"/>
      <c r="CA116" s="4295"/>
      <c r="CG116" s="4978"/>
      <c r="CH116" s="4978"/>
      <c r="CI116" s="4978"/>
      <c r="CJ116" s="4978"/>
      <c r="CK116" s="4978"/>
      <c r="CL116" s="4978"/>
      <c r="CM116" s="4978"/>
      <c r="CN116" s="4978"/>
      <c r="CO116" s="4978"/>
      <c r="CP116" s="4978"/>
      <c r="CQ116" s="4978"/>
      <c r="CR116" s="4978"/>
      <c r="CS116" s="4978"/>
      <c r="CT116" s="4978"/>
      <c r="CU116" s="4976"/>
      <c r="CV116" s="4976"/>
      <c r="CW116" s="4976"/>
      <c r="CX116" s="4976"/>
      <c r="CY116" s="4976"/>
      <c r="CZ116" s="4264"/>
      <c r="DA116" s="4264"/>
      <c r="EA116" s="4258"/>
    </row>
    <row r="117" spans="1:131" ht="14.1" customHeight="1" x14ac:dyDescent="0.3">
      <c r="A117" s="7520">
        <v>28013600</v>
      </c>
      <c r="B117" s="5166" t="s">
        <v>166</v>
      </c>
      <c r="C117" s="5167" t="s">
        <v>5369</v>
      </c>
      <c r="D117" s="5023" t="s">
        <v>5370</v>
      </c>
      <c r="E117" s="5026" t="s">
        <v>5371</v>
      </c>
      <c r="F117" s="4441" t="s">
        <v>5372</v>
      </c>
      <c r="G117" s="4442" t="s">
        <v>5373</v>
      </c>
      <c r="H117" s="5052" t="s">
        <v>5374</v>
      </c>
      <c r="I117" s="5024" t="s">
        <v>5375</v>
      </c>
      <c r="J117" s="5168"/>
      <c r="K117" s="5168"/>
      <c r="L117" s="4234"/>
      <c r="M117" s="4234"/>
      <c r="N117" s="4234"/>
      <c r="O117" s="4234"/>
      <c r="P117" s="4234"/>
      <c r="Q117" s="4234"/>
      <c r="R117" s="4234"/>
      <c r="S117" s="4234"/>
      <c r="T117" s="4234"/>
      <c r="U117" s="4234"/>
      <c r="V117" s="4234"/>
      <c r="W117" s="4234"/>
      <c r="X117" s="4234"/>
      <c r="Y117" s="4234"/>
      <c r="Z117" s="3940"/>
      <c r="AA117" s="3940"/>
      <c r="AB117" s="3940"/>
      <c r="AC117" s="3940"/>
      <c r="AD117" s="3940"/>
      <c r="AE117" s="3940"/>
      <c r="AF117" s="3940"/>
      <c r="AG117" s="3940"/>
      <c r="AH117" s="3940"/>
      <c r="AI117" s="3940"/>
      <c r="AJ117" s="3940"/>
      <c r="AK117" s="3940"/>
      <c r="AL117" s="3940"/>
      <c r="AM117" s="3940"/>
      <c r="AN117" s="3940"/>
      <c r="AO117" s="3940"/>
      <c r="AP117" s="3940"/>
      <c r="AQ117" s="3940"/>
      <c r="AR117" s="4264"/>
      <c r="AS117" s="4264"/>
      <c r="AT117" s="4264"/>
      <c r="AU117" s="4264"/>
      <c r="AV117" s="4264"/>
      <c r="AW117" s="4264"/>
      <c r="AX117" s="4264"/>
      <c r="AY117" s="4264"/>
      <c r="AZ117" s="4264"/>
      <c r="BA117" s="4264"/>
      <c r="BB117" s="4264"/>
      <c r="BC117" s="4264"/>
      <c r="BD117" s="4264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 s="4976"/>
      <c r="BV117" s="4260"/>
      <c r="BW117" s="4260"/>
      <c r="BX117" s="4260"/>
      <c r="BY117" s="4976"/>
      <c r="CA117" s="4295"/>
      <c r="CG117" s="4978"/>
      <c r="CH117" s="4978"/>
      <c r="CI117" s="4978"/>
      <c r="CJ117" s="4978"/>
      <c r="CK117" s="4978"/>
      <c r="CL117" s="4978"/>
      <c r="CM117" s="4978"/>
      <c r="CN117" s="4978"/>
      <c r="CO117" s="4978"/>
      <c r="CP117" s="4978"/>
      <c r="CQ117" s="4978"/>
      <c r="CR117" s="4978"/>
      <c r="CS117" s="4978"/>
      <c r="CT117" s="4978"/>
      <c r="CU117" s="4976"/>
      <c r="CV117" s="4976"/>
      <c r="CW117" s="4976"/>
      <c r="CX117" s="4976"/>
      <c r="CY117" s="4976"/>
      <c r="CZ117" s="4264"/>
      <c r="DA117" s="4264"/>
      <c r="EA117" s="4258"/>
    </row>
    <row r="118" spans="1:131" ht="31.2" customHeight="1" x14ac:dyDescent="0.3">
      <c r="B118" s="4981" t="s">
        <v>2900</v>
      </c>
      <c r="C118"/>
      <c r="D118"/>
      <c r="E118" s="5169"/>
      <c r="F118" s="5170"/>
      <c r="G118" s="5171"/>
      <c r="H118" s="5172"/>
      <c r="I118" s="5173"/>
      <c r="J118" s="5174"/>
      <c r="K118" s="5174"/>
      <c r="L118" s="5174"/>
      <c r="M118" s="5174"/>
      <c r="N118" s="4264"/>
      <c r="O118" s="4264"/>
      <c r="P118" s="4264"/>
      <c r="Q118" s="4264"/>
      <c r="R118" s="4264"/>
      <c r="S118" s="4264"/>
      <c r="T118" s="4264"/>
      <c r="U118" s="4264"/>
      <c r="V118" s="4264"/>
      <c r="W118" s="4264"/>
      <c r="X118" s="4264"/>
      <c r="Y118" s="4264"/>
      <c r="Z118" s="4264"/>
      <c r="AA118" s="4264"/>
      <c r="AB118" s="4264"/>
      <c r="AC118" s="4264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 s="4992"/>
      <c r="AW118" s="4992"/>
      <c r="AX118" s="4992"/>
      <c r="AY118" s="4992"/>
      <c r="AZ118" s="4992"/>
      <c r="BA118" s="4992"/>
      <c r="BB118" s="4992"/>
      <c r="BC118" s="4992"/>
      <c r="BD118" s="4992"/>
      <c r="BE118" s="4992"/>
      <c r="BF118" s="4992"/>
      <c r="BG118" s="4264"/>
      <c r="BH118" s="4264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 s="4976"/>
      <c r="BW118" s="4976"/>
      <c r="BX118" s="4976"/>
      <c r="BY118" s="4976"/>
      <c r="BZ118" s="4976"/>
      <c r="CA118" s="4976"/>
      <c r="CH118" s="4978"/>
      <c r="CI118" s="4978"/>
      <c r="CJ118" s="4978"/>
      <c r="CK118" s="4978"/>
      <c r="CL118" s="4978"/>
      <c r="CM118" s="4978"/>
      <c r="CN118" s="4978"/>
      <c r="CO118" s="4978"/>
      <c r="CP118" s="4978"/>
      <c r="CQ118" s="4978"/>
      <c r="CR118" s="4978"/>
      <c r="CS118" s="4978"/>
      <c r="CT118" s="4978"/>
      <c r="CU118" s="4978"/>
      <c r="CV118" s="4976"/>
      <c r="CW118" s="4976"/>
      <c r="CX118" s="4976"/>
      <c r="CY118" s="4976"/>
      <c r="CZ118" s="4976"/>
      <c r="DA118" s="4976"/>
    </row>
    <row r="119" spans="1:131" ht="17.25" customHeight="1" x14ac:dyDescent="0.3">
      <c r="B119" s="10920" t="s">
        <v>167</v>
      </c>
      <c r="C119" s="10349" t="s">
        <v>24</v>
      </c>
      <c r="D119" s="10960" t="s">
        <v>168</v>
      </c>
      <c r="E119" s="10963"/>
      <c r="F119" s="10328"/>
      <c r="G119" s="10980" t="s">
        <v>367</v>
      </c>
      <c r="H119" s="10982" t="s">
        <v>368</v>
      </c>
      <c r="I119" s="10954" t="s">
        <v>141</v>
      </c>
      <c r="J119" s="10265"/>
      <c r="K119" s="10265"/>
      <c r="L119" s="10269"/>
      <c r="M119" s="4264"/>
      <c r="N119" s="4264"/>
      <c r="O119" s="4264"/>
      <c r="P119" s="4264"/>
      <c r="Q119" s="4264"/>
      <c r="R119" s="4264"/>
      <c r="S119" s="4264"/>
      <c r="T119" s="4264"/>
      <c r="U119" s="4264"/>
      <c r="V119" s="4264"/>
      <c r="W119" s="4264"/>
      <c r="X119" s="4264"/>
      <c r="Y119" s="4264"/>
      <c r="Z119" s="4264"/>
      <c r="AA119" s="4264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 s="4992"/>
      <c r="AV119" s="4992"/>
      <c r="AW119" s="4992"/>
      <c r="AX119" s="4992"/>
      <c r="AY119" s="4992"/>
      <c r="AZ119" s="4992"/>
      <c r="BA119" s="4992"/>
      <c r="BB119" s="4992"/>
      <c r="BC119" s="4992"/>
      <c r="BD119" s="4992"/>
      <c r="BE119" s="4992"/>
      <c r="BF119" s="4264"/>
      <c r="BG119" s="4264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 s="4976"/>
      <c r="BW119" s="4976"/>
      <c r="BX119" s="4976"/>
      <c r="BY119" s="4260"/>
      <c r="BZ119" s="4976"/>
      <c r="CH119" s="4978"/>
      <c r="CI119" s="4978"/>
      <c r="CJ119" s="4978"/>
      <c r="CK119" s="4978"/>
      <c r="CL119" s="4978"/>
      <c r="CM119" s="4978"/>
      <c r="CN119" s="4978"/>
      <c r="CO119" s="4978"/>
      <c r="CP119" s="4978"/>
      <c r="CQ119" s="4978"/>
      <c r="CR119" s="4978"/>
      <c r="CS119" s="4978"/>
      <c r="CT119" s="4978"/>
      <c r="CU119" s="4978"/>
      <c r="CV119" s="4976"/>
      <c r="CW119" s="4976"/>
      <c r="CX119" s="4976"/>
      <c r="CY119" s="4976"/>
      <c r="CZ119" s="4976"/>
      <c r="DA119" s="4264"/>
    </row>
    <row r="120" spans="1:131" ht="52.95" customHeight="1" x14ac:dyDescent="0.3">
      <c r="B120" s="10921"/>
      <c r="C120" s="10351"/>
      <c r="D120" s="5175" t="s">
        <v>310</v>
      </c>
      <c r="E120" s="5176" t="s">
        <v>311</v>
      </c>
      <c r="F120" s="4983" t="s">
        <v>312</v>
      </c>
      <c r="G120" s="10980"/>
      <c r="H120" s="10982"/>
      <c r="I120" s="7097" t="s">
        <v>3977</v>
      </c>
      <c r="J120" s="4983" t="s">
        <v>146</v>
      </c>
      <c r="K120" s="5177" t="s">
        <v>147</v>
      </c>
      <c r="L120" s="5177" t="s">
        <v>148</v>
      </c>
      <c r="M120" s="4264"/>
      <c r="N120" s="4264"/>
      <c r="O120" s="4264"/>
      <c r="P120" s="4264"/>
      <c r="Q120" s="4264"/>
      <c r="R120" s="4264"/>
      <c r="S120" s="4264"/>
      <c r="T120" s="4264"/>
      <c r="U120" s="4264"/>
      <c r="V120" s="4264"/>
      <c r="W120" s="4264"/>
      <c r="X120" s="4264"/>
      <c r="Y120" s="4264"/>
      <c r="Z120" s="4264"/>
      <c r="AA120" s="4264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 s="4992"/>
      <c r="AV120" s="4992"/>
      <c r="AW120" s="4992"/>
      <c r="AX120" s="4992"/>
      <c r="AY120" s="4992"/>
      <c r="AZ120" s="4992"/>
      <c r="BA120" s="4992"/>
      <c r="BB120" s="4992"/>
      <c r="BC120" s="4992"/>
      <c r="BD120" s="4992"/>
      <c r="BE120" s="4992"/>
      <c r="BF120" s="4264"/>
      <c r="BG120" s="4264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 s="4976"/>
      <c r="BW120" s="4976"/>
      <c r="BX120" s="4976"/>
      <c r="BY120" s="4260"/>
      <c r="BZ120" s="4976"/>
      <c r="CH120" s="4978"/>
      <c r="CI120" s="4978"/>
      <c r="CJ120" s="4978"/>
      <c r="CK120" s="4978"/>
      <c r="CL120" s="4978"/>
      <c r="CM120" s="4978"/>
      <c r="CN120" s="4978"/>
      <c r="CO120" s="4978"/>
      <c r="CP120" s="4978"/>
      <c r="CQ120" s="4978"/>
      <c r="CR120" s="4978"/>
      <c r="CS120" s="4978"/>
      <c r="CT120" s="4978"/>
      <c r="CU120" s="4978"/>
      <c r="CV120" s="4976"/>
      <c r="CW120" s="4976"/>
      <c r="CX120" s="4976"/>
      <c r="CY120" s="4976"/>
      <c r="CZ120" s="4976"/>
      <c r="DA120" s="4264"/>
    </row>
    <row r="121" spans="1:131" ht="14.1" customHeight="1" x14ac:dyDescent="0.3">
      <c r="A121" s="7520">
        <v>28020730</v>
      </c>
      <c r="B121" s="5178" t="s">
        <v>302</v>
      </c>
      <c r="C121" s="5179" t="s">
        <v>5369</v>
      </c>
      <c r="D121" s="5180" t="s">
        <v>5370</v>
      </c>
      <c r="E121" s="5181" t="s">
        <v>5371</v>
      </c>
      <c r="F121" s="5182" t="s">
        <v>5372</v>
      </c>
      <c r="G121" s="5181" t="s">
        <v>5373</v>
      </c>
      <c r="H121" s="5183" t="s">
        <v>5374</v>
      </c>
      <c r="I121" s="5181" t="s">
        <v>5375</v>
      </c>
      <c r="J121" s="5182" t="s">
        <v>5376</v>
      </c>
      <c r="K121" s="5181" t="s">
        <v>5377</v>
      </c>
      <c r="L121" s="5181" t="s">
        <v>5378</v>
      </c>
      <c r="M121" s="4945" t="str">
        <f>CB121</f>
        <v xml:space="preserve">* Total Personas debe ser igual que según Tipo estrategia. </v>
      </c>
      <c r="N121" s="4992"/>
      <c r="O121" s="4992"/>
      <c r="P121" s="4992"/>
      <c r="Q121" s="4992"/>
      <c r="R121" s="4992"/>
      <c r="S121" s="4992"/>
      <c r="T121" s="4992"/>
      <c r="U121" s="4992"/>
      <c r="V121" s="4992"/>
      <c r="W121" s="4992"/>
      <c r="X121" s="4264"/>
      <c r="Y121" s="4264"/>
      <c r="Z121" s="4264"/>
      <c r="AA121" s="4264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 s="4992"/>
      <c r="AV121" s="4992"/>
      <c r="AW121" s="4992"/>
      <c r="AX121" s="4992"/>
      <c r="AY121" s="4992"/>
      <c r="AZ121" s="4992"/>
      <c r="BA121" s="4992"/>
      <c r="BB121" s="4992"/>
      <c r="BC121" s="4992"/>
      <c r="BD121" s="4992"/>
      <c r="BE121" s="4992"/>
      <c r="BF121" s="4264"/>
      <c r="BG121" s="4264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 s="4976"/>
      <c r="BW121" s="4976"/>
      <c r="BX121" s="4976"/>
      <c r="BY121" s="4260"/>
      <c r="BZ121" s="4976"/>
      <c r="CA121" s="4264"/>
      <c r="CB121" s="4993" t="str">
        <f>IF(CH121=1,"* Total Personas debe ser igual que según Tipo estrategia. ","")</f>
        <v xml:space="preserve">* Total Personas debe ser igual que según Tipo estrategia. </v>
      </c>
      <c r="CC121" s="4993"/>
      <c r="CD121" s="4993"/>
      <c r="CE121" s="4993"/>
      <c r="CF121" s="4993"/>
      <c r="CG121" s="4993"/>
      <c r="CH121" s="4994">
        <f>IF(C121&lt;&gt;SUM(I121:L121),1,0)</f>
        <v>1</v>
      </c>
      <c r="CI121" s="4978"/>
      <c r="CJ121" s="4978"/>
      <c r="CK121" s="4978"/>
      <c r="CL121" s="4978"/>
      <c r="CM121" s="4978"/>
      <c r="CN121" s="4978"/>
      <c r="CO121" s="4978"/>
      <c r="CP121" s="4978"/>
      <c r="CQ121" s="4978"/>
      <c r="CR121" s="4978"/>
      <c r="CS121" s="4978"/>
      <c r="CT121" s="4978"/>
      <c r="CU121" s="4978"/>
      <c r="CV121" s="4976"/>
      <c r="CW121" s="4976"/>
      <c r="CX121" s="4976"/>
      <c r="CY121" s="4976"/>
      <c r="CZ121" s="4976"/>
      <c r="DA121" s="4264"/>
    </row>
    <row r="122" spans="1:131" ht="14.1" customHeight="1" x14ac:dyDescent="0.3">
      <c r="A122" s="7520">
        <v>28020740</v>
      </c>
      <c r="B122" s="4437" t="s">
        <v>159</v>
      </c>
      <c r="C122" s="5184" t="s">
        <v>5369</v>
      </c>
      <c r="D122" s="4949" t="s">
        <v>5370</v>
      </c>
      <c r="E122" s="4942" t="s">
        <v>5371</v>
      </c>
      <c r="F122" s="4951" t="s">
        <v>5372</v>
      </c>
      <c r="G122" s="4942" t="s">
        <v>5373</v>
      </c>
      <c r="H122" s="5185" t="s">
        <v>5374</v>
      </c>
      <c r="I122" s="4942" t="s">
        <v>5375</v>
      </c>
      <c r="J122" s="4951" t="s">
        <v>5376</v>
      </c>
      <c r="K122" s="4942" t="s">
        <v>5377</v>
      </c>
      <c r="L122" s="4942" t="s">
        <v>5378</v>
      </c>
      <c r="M122" s="4945" t="str">
        <f>CB122</f>
        <v xml:space="preserve">* Total Personas debe ser igual que según Tipo estrategia. </v>
      </c>
      <c r="N122" s="4992"/>
      <c r="O122" s="4992"/>
      <c r="P122" s="4992"/>
      <c r="Q122" s="4992"/>
      <c r="R122" s="4992"/>
      <c r="S122" s="4992"/>
      <c r="T122" s="4992"/>
      <c r="U122" s="4992"/>
      <c r="V122" s="4992"/>
      <c r="W122" s="4992"/>
      <c r="X122" s="4264"/>
      <c r="Y122" s="4264"/>
      <c r="Z122" s="4264"/>
      <c r="AA122" s="4264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 s="4992"/>
      <c r="AV122" s="4992"/>
      <c r="AW122" s="4992"/>
      <c r="AX122" s="4992"/>
      <c r="AY122" s="4992"/>
      <c r="AZ122" s="4992"/>
      <c r="BA122" s="4992"/>
      <c r="BB122" s="4992"/>
      <c r="BC122" s="4992"/>
      <c r="BD122" s="4992"/>
      <c r="BE122" s="4992"/>
      <c r="BF122" s="4264"/>
      <c r="BG122" s="4264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 s="4976"/>
      <c r="BW122" s="4976"/>
      <c r="BX122" s="4976"/>
      <c r="BY122" s="4260"/>
      <c r="BZ122" s="4976"/>
      <c r="CA122" s="4264"/>
      <c r="CB122" s="4993" t="str">
        <f>IF(CH122=1,"* Total Personas debe ser igual que según Tipo estrategia. ","")</f>
        <v xml:space="preserve">* Total Personas debe ser igual que según Tipo estrategia. </v>
      </c>
      <c r="CC122" s="4993"/>
      <c r="CD122" s="4993"/>
      <c r="CE122" s="4993"/>
      <c r="CF122" s="4993"/>
      <c r="CG122" s="4993"/>
      <c r="CH122" s="4994">
        <f>IF(C122&lt;&gt;SUM(I122:L122),1,0)</f>
        <v>1</v>
      </c>
      <c r="CI122" s="4978"/>
      <c r="CJ122" s="4978"/>
      <c r="CK122" s="4978"/>
      <c r="CL122" s="4978"/>
      <c r="CM122" s="4978"/>
      <c r="CN122" s="4978"/>
      <c r="CO122" s="4978"/>
      <c r="CP122" s="4978"/>
      <c r="CQ122" s="4978"/>
      <c r="CR122" s="4978"/>
      <c r="CS122" s="4978"/>
      <c r="CT122" s="4978"/>
      <c r="CU122" s="4978"/>
      <c r="CV122" s="4976"/>
      <c r="CW122" s="4976"/>
      <c r="CX122" s="4976"/>
      <c r="CY122" s="4976"/>
      <c r="CZ122" s="4976"/>
      <c r="DA122" s="4264"/>
    </row>
    <row r="123" spans="1:131" ht="14.1" customHeight="1" x14ac:dyDescent="0.3">
      <c r="A123" s="7520">
        <v>28020750</v>
      </c>
      <c r="B123" s="5186" t="s">
        <v>160</v>
      </c>
      <c r="C123" s="5187" t="s">
        <v>5369</v>
      </c>
      <c r="D123" s="5136" t="s">
        <v>5370</v>
      </c>
      <c r="E123" s="5025" t="s">
        <v>5371</v>
      </c>
      <c r="F123" s="5027" t="s">
        <v>5372</v>
      </c>
      <c r="G123" s="5025" t="s">
        <v>5373</v>
      </c>
      <c r="H123" s="5188" t="s">
        <v>5374</v>
      </c>
      <c r="I123" s="5025" t="s">
        <v>5375</v>
      </c>
      <c r="J123" s="5027" t="s">
        <v>5376</v>
      </c>
      <c r="K123" s="5025" t="s">
        <v>5377</v>
      </c>
      <c r="L123" s="5025" t="s">
        <v>5378</v>
      </c>
      <c r="M123" s="4945" t="str">
        <f>CB123</f>
        <v xml:space="preserve">* Total Personas debe ser igual que según Tipo estrategia. </v>
      </c>
      <c r="N123" s="4992"/>
      <c r="O123" s="4992"/>
      <c r="P123" s="4992"/>
      <c r="Q123" s="4992"/>
      <c r="R123" s="4992"/>
      <c r="S123" s="4992"/>
      <c r="T123" s="4992"/>
      <c r="U123" s="4992"/>
      <c r="V123" s="4992"/>
      <c r="W123" s="4992"/>
      <c r="X123" s="4264"/>
      <c r="Y123" s="4264"/>
      <c r="Z123" s="4264"/>
      <c r="AA123" s="4264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 s="4992"/>
      <c r="AV123" s="4992"/>
      <c r="AW123" s="4992"/>
      <c r="AX123" s="4992"/>
      <c r="AY123" s="4992"/>
      <c r="AZ123" s="4992"/>
      <c r="BA123" s="4992"/>
      <c r="BB123" s="4992"/>
      <c r="BC123" s="4992"/>
      <c r="BD123" s="4992"/>
      <c r="BE123" s="4992"/>
      <c r="BF123" s="4264"/>
      <c r="BG123" s="4264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 s="4976"/>
      <c r="BW123" s="4976"/>
      <c r="BX123" s="4976"/>
      <c r="BY123" s="4260"/>
      <c r="BZ123" s="4976"/>
      <c r="CA123" s="4264"/>
      <c r="CB123" s="4993" t="str">
        <f>IF(CH123=1,"* Total Personas debe ser igual que según Tipo estrategia. ","")</f>
        <v xml:space="preserve">* Total Personas debe ser igual que según Tipo estrategia. </v>
      </c>
      <c r="CC123" s="4993"/>
      <c r="CD123" s="4993"/>
      <c r="CE123" s="4993"/>
      <c r="CF123" s="4993"/>
      <c r="CG123" s="4993"/>
      <c r="CH123" s="4994">
        <f>IF(C123&lt;&gt;SUM(I123:L123),1,0)</f>
        <v>1</v>
      </c>
      <c r="CI123" s="4978"/>
      <c r="CJ123" s="4978"/>
      <c r="CK123" s="4978"/>
      <c r="CL123" s="4978"/>
      <c r="CM123" s="4978"/>
      <c r="CN123" s="4978"/>
      <c r="CO123" s="4978"/>
      <c r="CP123" s="4978"/>
      <c r="CQ123" s="4978"/>
      <c r="CR123" s="4978"/>
      <c r="CS123" s="4978"/>
      <c r="CT123" s="4978"/>
      <c r="CU123" s="4978"/>
      <c r="CV123" s="4976"/>
      <c r="CW123" s="4976"/>
      <c r="CX123" s="4976"/>
      <c r="CY123" s="4976"/>
      <c r="CZ123" s="4976"/>
      <c r="DA123" s="4264"/>
    </row>
    <row r="124" spans="1:131" ht="32.4" customHeight="1" x14ac:dyDescent="0.3">
      <c r="B124" s="5151" t="s">
        <v>2901</v>
      </c>
      <c r="C124"/>
      <c r="D124"/>
      <c r="E124" s="3804"/>
      <c r="F124" s="3804"/>
      <c r="G124" s="3804"/>
      <c r="H124" s="3804"/>
      <c r="I124" s="3804"/>
      <c r="J124" s="3804"/>
      <c r="K124" s="3804"/>
      <c r="L124" s="3804"/>
      <c r="M124" s="3804"/>
      <c r="N124" s="4264"/>
      <c r="O124" s="4264"/>
      <c r="P124" s="4264"/>
      <c r="Q124" s="4264"/>
      <c r="R124" s="4264"/>
      <c r="S124" s="4264"/>
      <c r="T124" s="4264"/>
      <c r="U124" s="4264"/>
      <c r="V124" s="4264"/>
      <c r="W124" s="4264"/>
      <c r="X124" s="4264"/>
      <c r="Y124" s="4264"/>
      <c r="Z124" s="4264"/>
      <c r="AA124" s="4264"/>
      <c r="AB124" s="4264"/>
      <c r="AC124" s="426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 s="4992"/>
      <c r="AW124" s="4992"/>
      <c r="AX124" s="4992"/>
      <c r="AY124" s="4992"/>
      <c r="AZ124" s="4992"/>
      <c r="BA124" s="4992"/>
      <c r="BB124" s="4992"/>
      <c r="BC124" s="4992"/>
      <c r="BD124" s="4992"/>
      <c r="BE124" s="4992"/>
      <c r="BF124" s="4992"/>
      <c r="BG124" s="4264"/>
      <c r="BH124" s="426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 s="4976"/>
      <c r="BW124" s="4976"/>
      <c r="BX124" s="4976"/>
      <c r="BY124" s="4976"/>
      <c r="BZ124" s="4976"/>
      <c r="CA124" s="4976"/>
      <c r="CH124" s="4978"/>
      <c r="CI124" s="4978"/>
      <c r="CJ124" s="4978"/>
      <c r="CK124" s="4978"/>
      <c r="CL124" s="4978"/>
      <c r="CM124" s="4978"/>
      <c r="CN124" s="4978"/>
      <c r="CO124" s="4978"/>
      <c r="CP124" s="4978"/>
      <c r="CQ124" s="4978"/>
      <c r="CR124" s="4978"/>
      <c r="CS124" s="4978"/>
      <c r="CT124" s="4978"/>
      <c r="CU124" s="4978"/>
      <c r="CV124" s="4264"/>
      <c r="CW124" s="4264"/>
      <c r="CX124" s="4264"/>
      <c r="CY124" s="4264"/>
      <c r="CZ124" s="4264"/>
      <c r="DA124" s="4264"/>
    </row>
    <row r="125" spans="1:131" ht="32.1" customHeight="1" x14ac:dyDescent="0.3">
      <c r="B125" s="10920" t="s">
        <v>169</v>
      </c>
      <c r="C125" s="10349" t="s">
        <v>170</v>
      </c>
      <c r="D125" s="10960" t="s">
        <v>2885</v>
      </c>
      <c r="E125" s="10328"/>
      <c r="F125" s="10960" t="s">
        <v>2882</v>
      </c>
      <c r="G125" s="10328"/>
      <c r="H125" s="10963" t="s">
        <v>2883</v>
      </c>
      <c r="I125" s="10328"/>
      <c r="J125" s="10960" t="s">
        <v>2884</v>
      </c>
      <c r="K125" s="10989"/>
      <c r="L125" s="10976" t="s">
        <v>2830</v>
      </c>
      <c r="M125" s="10977"/>
      <c r="N125" s="4234"/>
      <c r="O125" s="4234"/>
      <c r="P125" s="4234"/>
      <c r="Q125" s="4234"/>
      <c r="R125" s="4234"/>
      <c r="S125" s="4234"/>
      <c r="T125" s="4234"/>
      <c r="U125" s="4234"/>
      <c r="V125" s="4234"/>
      <c r="W125" s="4234"/>
      <c r="X125" s="4234"/>
      <c r="Y125" s="4234"/>
      <c r="Z125" s="4234"/>
      <c r="AA125" s="3940"/>
      <c r="AB125" s="3940"/>
      <c r="AC125" s="3940"/>
      <c r="AD125" s="3940"/>
      <c r="AE125" s="3940"/>
      <c r="AF125" s="3940"/>
      <c r="AG125" s="3940"/>
      <c r="AH125" s="3940"/>
      <c r="AI125" s="3940"/>
      <c r="AJ125" s="3940"/>
      <c r="AK125" s="3940"/>
      <c r="AL125" s="3940"/>
      <c r="AM125" s="3940"/>
      <c r="AN125" s="3940"/>
      <c r="AO125" s="3940"/>
      <c r="AP125" s="3940"/>
      <c r="AQ125" s="3940"/>
      <c r="AR125" s="3940"/>
      <c r="AS125" s="4992"/>
      <c r="AT125" s="4992"/>
      <c r="AU125" s="4992"/>
      <c r="AV125" s="4992"/>
      <c r="AW125" s="4992"/>
      <c r="AX125" s="4992"/>
      <c r="AY125" s="4992"/>
      <c r="AZ125" s="4992"/>
      <c r="BA125" s="4992"/>
      <c r="BB125" s="4992"/>
      <c r="BC125" s="4992"/>
      <c r="BD125" s="4264"/>
      <c r="BE125" s="4264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 s="4976"/>
      <c r="BV125" s="4976"/>
      <c r="BW125" s="4260"/>
      <c r="BX125" s="4260"/>
      <c r="BY125" s="4260"/>
      <c r="CA125" s="4295"/>
      <c r="CG125" s="4978"/>
      <c r="CH125" s="4978"/>
      <c r="CI125" s="4978"/>
      <c r="CJ125" s="4978"/>
      <c r="CK125" s="4978"/>
      <c r="CL125" s="4978"/>
      <c r="CM125" s="4978"/>
      <c r="CN125" s="4978"/>
      <c r="CO125" s="4978"/>
      <c r="CP125" s="4978"/>
      <c r="CQ125" s="4978"/>
      <c r="CR125" s="4978"/>
      <c r="CS125" s="4978"/>
      <c r="CT125" s="4978"/>
      <c r="CU125" s="4264"/>
      <c r="CV125" s="4264"/>
      <c r="CW125" s="4264"/>
      <c r="CX125" s="4264"/>
      <c r="CY125" s="4264"/>
      <c r="CZ125" s="4264"/>
      <c r="DA125" s="4264"/>
      <c r="EA125" s="4258"/>
    </row>
    <row r="126" spans="1:131" s="5193" customFormat="1" ht="32.1" customHeight="1" x14ac:dyDescent="0.3">
      <c r="A126" s="4470"/>
      <c r="B126" s="10921"/>
      <c r="C126" s="10351"/>
      <c r="D126" s="5189" t="s">
        <v>171</v>
      </c>
      <c r="E126" s="4983" t="s">
        <v>172</v>
      </c>
      <c r="F126" s="5189" t="s">
        <v>171</v>
      </c>
      <c r="G126" s="4983" t="s">
        <v>172</v>
      </c>
      <c r="H126" s="5189" t="s">
        <v>171</v>
      </c>
      <c r="I126" s="5190" t="s">
        <v>172</v>
      </c>
      <c r="J126" s="5189" t="s">
        <v>171</v>
      </c>
      <c r="K126" s="5191" t="s">
        <v>172</v>
      </c>
      <c r="L126" s="4983" t="s">
        <v>2831</v>
      </c>
      <c r="M126" s="4983" t="s">
        <v>2832</v>
      </c>
      <c r="N126" s="3940"/>
      <c r="O126" s="3940"/>
      <c r="P126" s="3940"/>
      <c r="Q126" s="3940"/>
      <c r="R126" s="3940"/>
      <c r="S126" s="3940"/>
      <c r="T126" s="3940"/>
      <c r="U126" s="3940"/>
      <c r="V126" s="3940"/>
      <c r="W126" s="3940"/>
      <c r="X126" s="3940"/>
      <c r="Y126" s="3940"/>
      <c r="Z126" s="3940"/>
      <c r="AA126" s="3940"/>
      <c r="AB126" s="3940"/>
      <c r="AC126" s="3940"/>
      <c r="AD126" s="3940"/>
      <c r="AE126" s="3940"/>
      <c r="AF126" s="3940"/>
      <c r="AG126" s="3940"/>
      <c r="AH126" s="3940"/>
      <c r="AI126" s="3940"/>
      <c r="AJ126" s="3940"/>
      <c r="AK126" s="3940"/>
      <c r="AL126" s="3940"/>
      <c r="AM126" s="3940"/>
      <c r="AN126" s="3940"/>
      <c r="AO126" s="3940"/>
      <c r="AP126" s="3940"/>
      <c r="AQ126" s="3940"/>
      <c r="AR126" s="3940"/>
      <c r="AS126" s="4992"/>
      <c r="AT126" s="4992"/>
      <c r="AU126" s="4992"/>
      <c r="AV126" s="4992"/>
      <c r="AW126" s="4992"/>
      <c r="AX126" s="4992"/>
      <c r="AY126" s="4992"/>
      <c r="AZ126" s="4992"/>
      <c r="BA126" s="4992"/>
      <c r="BB126" s="4992"/>
      <c r="BC126" s="4992"/>
      <c r="BD126" s="4264"/>
      <c r="BE126" s="4264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 s="4976"/>
      <c r="BV126" s="4976"/>
      <c r="BW126" s="4260"/>
      <c r="BX126" s="4260"/>
      <c r="BY126" s="4260"/>
      <c r="BZ126" s="4260"/>
      <c r="CA126" s="4295"/>
      <c r="CB126" s="4295"/>
      <c r="CC126" s="4295"/>
      <c r="CD126" s="4295"/>
      <c r="CE126" s="4295"/>
      <c r="CF126" s="4295"/>
      <c r="CG126" s="4978"/>
      <c r="CH126" s="4978"/>
      <c r="CI126" s="4978"/>
      <c r="CJ126" s="4978"/>
      <c r="CK126" s="4978"/>
      <c r="CL126" s="4978"/>
      <c r="CM126" s="4978"/>
      <c r="CN126" s="4978"/>
      <c r="CO126" s="4978"/>
      <c r="CP126" s="4978"/>
      <c r="CQ126" s="4978"/>
      <c r="CR126" s="4978"/>
      <c r="CS126" s="4978"/>
      <c r="CT126" s="4978"/>
      <c r="CU126" s="4264"/>
      <c r="CV126" s="4264"/>
      <c r="CW126" s="4264"/>
      <c r="CX126" s="4264"/>
      <c r="CY126" s="4264"/>
      <c r="CZ126" s="4264"/>
      <c r="DA126" s="5192"/>
      <c r="DB126" s="5192"/>
      <c r="DC126" s="5192"/>
      <c r="DD126" s="5192"/>
      <c r="DE126" s="5192"/>
      <c r="DF126" s="5192"/>
      <c r="DG126" s="5192"/>
      <c r="DH126" s="5192"/>
      <c r="DI126" s="5192"/>
      <c r="DJ126" s="5192"/>
      <c r="DK126" s="5192"/>
      <c r="DL126" s="5192"/>
      <c r="DM126" s="5192"/>
      <c r="DN126" s="5192"/>
      <c r="DO126" s="5192"/>
      <c r="DP126" s="5192"/>
      <c r="DQ126" s="5192"/>
      <c r="DR126" s="5192"/>
      <c r="DS126" s="5192"/>
      <c r="DT126" s="5192"/>
      <c r="DU126" s="5192"/>
      <c r="DV126" s="5192"/>
      <c r="DW126" s="5192"/>
      <c r="DX126" s="5192"/>
      <c r="DY126" s="5192"/>
      <c r="DZ126" s="5192"/>
    </row>
    <row r="127" spans="1:131" ht="14.1" customHeight="1" x14ac:dyDescent="0.3">
      <c r="A127" s="7520">
        <v>28020760</v>
      </c>
      <c r="B127" s="10349" t="s">
        <v>313</v>
      </c>
      <c r="C127" s="5178" t="s">
        <v>123</v>
      </c>
      <c r="D127" s="5180" t="s">
        <v>5369</v>
      </c>
      <c r="E127" s="5182" t="s">
        <v>5370</v>
      </c>
      <c r="F127" s="5180" t="s">
        <v>5371</v>
      </c>
      <c r="G127" s="5182" t="s">
        <v>5372</v>
      </c>
      <c r="H127" s="5180" t="s">
        <v>5373</v>
      </c>
      <c r="I127" s="5182" t="s">
        <v>5374</v>
      </c>
      <c r="J127" s="5180" t="s">
        <v>5375</v>
      </c>
      <c r="K127" s="5194" t="s">
        <v>5376</v>
      </c>
      <c r="L127" s="4951" t="s">
        <v>5377</v>
      </c>
      <c r="M127" s="5182" t="s">
        <v>5378</v>
      </c>
      <c r="N127" s="3940"/>
      <c r="O127" s="3940"/>
      <c r="P127" s="3940"/>
      <c r="Q127" s="3940"/>
      <c r="R127" s="3940"/>
      <c r="S127" s="3940"/>
      <c r="T127" s="3940"/>
      <c r="U127" s="3940"/>
      <c r="V127" s="3940"/>
      <c r="W127" s="3940"/>
      <c r="X127" s="3940"/>
      <c r="Y127" s="3940"/>
      <c r="Z127" s="3940"/>
      <c r="AA127" s="3940"/>
      <c r="AB127" s="3940"/>
      <c r="AC127" s="3940"/>
      <c r="AD127" s="3940"/>
      <c r="AE127" s="3940"/>
      <c r="AF127" s="3940"/>
      <c r="AG127" s="3940"/>
      <c r="AH127" s="3940"/>
      <c r="AI127" s="3940"/>
      <c r="AJ127" s="3940"/>
      <c r="AK127" s="3940"/>
      <c r="AL127" s="3940"/>
      <c r="AM127" s="3940"/>
      <c r="AN127" s="3940"/>
      <c r="AO127" s="3940"/>
      <c r="AP127" s="3940"/>
      <c r="AQ127" s="3940"/>
      <c r="AR127" s="3940"/>
      <c r="AS127" s="4992"/>
      <c r="AT127" s="4992"/>
      <c r="AU127" s="4992"/>
      <c r="AV127" s="4992"/>
      <c r="AW127" s="4992"/>
      <c r="AX127" s="4992"/>
      <c r="AY127" s="4992"/>
      <c r="AZ127" s="4992"/>
      <c r="BA127" s="4992"/>
      <c r="BB127" s="4992"/>
      <c r="BC127" s="4992"/>
      <c r="BD127" s="4264"/>
      <c r="BE127" s="4264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 s="4976"/>
      <c r="BV127" s="4976"/>
      <c r="BW127" s="4260"/>
      <c r="BX127" s="4260"/>
      <c r="BY127" s="4260"/>
      <c r="CA127" s="4295"/>
      <c r="CG127" s="4978"/>
      <c r="CH127" s="4978"/>
      <c r="CI127" s="4978"/>
      <c r="CJ127" s="4978"/>
      <c r="CK127" s="4978"/>
      <c r="CL127" s="4978"/>
      <c r="CM127" s="4978"/>
      <c r="CN127" s="4978"/>
      <c r="CO127" s="4978"/>
      <c r="CP127" s="4978"/>
      <c r="CQ127" s="4978"/>
      <c r="CR127" s="4978"/>
      <c r="CS127" s="4978"/>
      <c r="CT127" s="4978"/>
      <c r="CU127" s="4264"/>
      <c r="CV127" s="4264"/>
      <c r="CW127" s="4264"/>
      <c r="CX127" s="4264"/>
      <c r="CY127" s="4264"/>
      <c r="CZ127" s="4264"/>
      <c r="DA127" s="4264"/>
      <c r="EA127" s="4258"/>
    </row>
    <row r="128" spans="1:131" ht="14.1" customHeight="1" x14ac:dyDescent="0.25">
      <c r="A128" s="7520">
        <v>28020770</v>
      </c>
      <c r="B128" s="10350"/>
      <c r="C128" s="4437" t="s">
        <v>173</v>
      </c>
      <c r="D128" s="4949" t="s">
        <v>5369</v>
      </c>
      <c r="E128" s="4951" t="s">
        <v>5370</v>
      </c>
      <c r="F128" s="4949" t="s">
        <v>5371</v>
      </c>
      <c r="G128" s="4951" t="s">
        <v>5372</v>
      </c>
      <c r="H128" s="4949" t="s">
        <v>5373</v>
      </c>
      <c r="I128" s="4951" t="s">
        <v>5374</v>
      </c>
      <c r="J128" s="4949" t="s">
        <v>5375</v>
      </c>
      <c r="K128" s="5195" t="s">
        <v>5376</v>
      </c>
      <c r="L128" s="4951" t="s">
        <v>5377</v>
      </c>
      <c r="M128" s="4951" t="s">
        <v>5378</v>
      </c>
      <c r="N128" s="3940"/>
      <c r="O128" s="3940"/>
      <c r="P128" s="3940"/>
      <c r="Q128" s="3940"/>
      <c r="R128" s="3940"/>
      <c r="S128" s="3940"/>
      <c r="T128" s="3940"/>
      <c r="U128" s="3940"/>
      <c r="V128" s="3940"/>
      <c r="W128" s="3940"/>
      <c r="X128" s="3940"/>
      <c r="Y128" s="3940"/>
      <c r="Z128" s="3940"/>
      <c r="AA128" s="3940"/>
      <c r="AB128" s="3940"/>
      <c r="AC128" s="3940"/>
      <c r="AD128" s="3940"/>
      <c r="AE128" s="3940"/>
      <c r="AF128" s="3940"/>
      <c r="AG128" s="3940"/>
      <c r="AH128" s="3940"/>
      <c r="AI128" s="3940"/>
      <c r="AJ128" s="3940"/>
      <c r="AK128" s="3940"/>
      <c r="AL128" s="3940"/>
      <c r="AM128" s="3940"/>
      <c r="AN128" s="3940"/>
      <c r="AO128" s="3940"/>
      <c r="AP128" s="3940"/>
      <c r="AQ128" s="3940"/>
      <c r="AR128" s="3940"/>
      <c r="AS128" s="4992"/>
      <c r="AT128" s="4992"/>
      <c r="AU128" s="4992"/>
      <c r="AV128" s="4992"/>
      <c r="AW128" s="4992"/>
      <c r="AX128" s="4992"/>
      <c r="AY128" s="4992"/>
      <c r="AZ128" s="4992"/>
      <c r="BA128" s="4992"/>
      <c r="BB128" s="4992"/>
      <c r="BC128" s="4992"/>
      <c r="BD128" s="4264"/>
      <c r="BE128" s="4264"/>
      <c r="BU128" s="4264"/>
      <c r="BW128" s="4260"/>
      <c r="BX128" s="4260"/>
      <c r="BY128" s="4260"/>
      <c r="CA128" s="4295"/>
      <c r="CG128" s="4978"/>
      <c r="CH128" s="4978"/>
      <c r="CI128" s="4978"/>
      <c r="CJ128" s="4978"/>
      <c r="CK128" s="4978"/>
      <c r="CL128" s="4978"/>
      <c r="CM128" s="4978"/>
      <c r="CN128" s="4978"/>
      <c r="CO128" s="4978"/>
      <c r="CP128" s="4978"/>
      <c r="CQ128" s="4978"/>
      <c r="CR128" s="4978"/>
      <c r="CS128" s="4978"/>
      <c r="CT128" s="4978"/>
      <c r="CU128" s="4260"/>
      <c r="CZ128" s="4264"/>
      <c r="DA128" s="4264"/>
      <c r="EA128" s="4258"/>
    </row>
    <row r="129" spans="1:131" ht="14.1" customHeight="1" x14ac:dyDescent="0.25">
      <c r="A129" s="7520">
        <v>28020780</v>
      </c>
      <c r="B129" s="10350"/>
      <c r="C129" s="4437" t="s">
        <v>174</v>
      </c>
      <c r="D129" s="4949" t="s">
        <v>5369</v>
      </c>
      <c r="E129" s="4951" t="s">
        <v>5370</v>
      </c>
      <c r="F129" s="4949" t="s">
        <v>5371</v>
      </c>
      <c r="G129" s="4951" t="s">
        <v>5372</v>
      </c>
      <c r="H129" s="4949" t="s">
        <v>5373</v>
      </c>
      <c r="I129" s="4951" t="s">
        <v>5374</v>
      </c>
      <c r="J129" s="4949" t="s">
        <v>5375</v>
      </c>
      <c r="K129" s="5195" t="s">
        <v>5376</v>
      </c>
      <c r="L129" s="4951" t="s">
        <v>5377</v>
      </c>
      <c r="M129" s="4951" t="s">
        <v>5378</v>
      </c>
      <c r="N129" s="3940"/>
      <c r="O129" s="3940"/>
      <c r="P129" s="3940"/>
      <c r="Q129" s="3940"/>
      <c r="R129" s="3940"/>
      <c r="S129" s="3940"/>
      <c r="T129" s="3940"/>
      <c r="U129" s="3940"/>
      <c r="V129" s="3940"/>
      <c r="W129" s="3940"/>
      <c r="X129" s="3940"/>
      <c r="Y129" s="3940"/>
      <c r="Z129" s="3940"/>
      <c r="AA129" s="3940"/>
      <c r="AB129" s="3940"/>
      <c r="AC129" s="3940"/>
      <c r="AD129" s="3940"/>
      <c r="AE129" s="3940"/>
      <c r="AF129" s="3940"/>
      <c r="AG129" s="3940"/>
      <c r="AH129" s="3940"/>
      <c r="AI129" s="3940"/>
      <c r="AJ129" s="3940"/>
      <c r="AK129" s="3940"/>
      <c r="AL129" s="3940"/>
      <c r="AM129" s="3940"/>
      <c r="AN129" s="3940"/>
      <c r="AO129" s="3940"/>
      <c r="AP129" s="3940"/>
      <c r="AQ129" s="3940"/>
      <c r="AR129" s="3940"/>
      <c r="AS129" s="4992"/>
      <c r="AT129" s="4992"/>
      <c r="AU129" s="4992"/>
      <c r="AV129" s="4992"/>
      <c r="AW129" s="4992"/>
      <c r="AX129" s="4992"/>
      <c r="AY129" s="4992"/>
      <c r="AZ129" s="4992"/>
      <c r="BA129" s="4992"/>
      <c r="BB129" s="4992"/>
      <c r="BC129" s="4992"/>
      <c r="BD129" s="4264"/>
      <c r="BE129" s="4264"/>
      <c r="BU129" s="4264"/>
      <c r="BW129" s="4260"/>
      <c r="BX129" s="4260"/>
      <c r="BY129" s="4260"/>
      <c r="CA129" s="4295"/>
      <c r="CG129" s="4978"/>
      <c r="CH129" s="4978"/>
      <c r="CI129" s="4978"/>
      <c r="CJ129" s="4978"/>
      <c r="CK129" s="4978"/>
      <c r="CL129" s="4978"/>
      <c r="CM129" s="4978"/>
      <c r="CN129" s="4978"/>
      <c r="CO129" s="4978"/>
      <c r="CP129" s="4978"/>
      <c r="CQ129" s="4978"/>
      <c r="CR129" s="4978"/>
      <c r="CS129" s="4978"/>
      <c r="CT129" s="4978"/>
      <c r="CU129" s="4260"/>
      <c r="CZ129" s="4264"/>
      <c r="DA129" s="4264"/>
      <c r="EA129" s="4258"/>
    </row>
    <row r="130" spans="1:131" ht="14.1" customHeight="1" x14ac:dyDescent="0.25">
      <c r="A130" s="7520">
        <v>28020790</v>
      </c>
      <c r="B130" s="10351"/>
      <c r="C130" s="4437" t="s">
        <v>175</v>
      </c>
      <c r="D130" s="5136" t="s">
        <v>5369</v>
      </c>
      <c r="E130" s="5027" t="s">
        <v>5370</v>
      </c>
      <c r="F130" s="5136" t="s">
        <v>5371</v>
      </c>
      <c r="G130" s="5027" t="s">
        <v>5372</v>
      </c>
      <c r="H130" s="5136" t="s">
        <v>5373</v>
      </c>
      <c r="I130" s="5027" t="s">
        <v>5374</v>
      </c>
      <c r="J130" s="5136" t="s">
        <v>5375</v>
      </c>
      <c r="K130" s="5196" t="s">
        <v>5376</v>
      </c>
      <c r="L130" s="5027" t="s">
        <v>5377</v>
      </c>
      <c r="M130" s="5027" t="s">
        <v>5378</v>
      </c>
      <c r="N130" s="3940"/>
      <c r="O130" s="3940"/>
      <c r="P130" s="3940"/>
      <c r="Q130" s="3940"/>
      <c r="R130" s="3940"/>
      <c r="S130" s="3940"/>
      <c r="T130" s="3940"/>
      <c r="U130" s="3940"/>
      <c r="V130" s="3940"/>
      <c r="W130" s="3940"/>
      <c r="X130" s="3940"/>
      <c r="Y130" s="3940"/>
      <c r="Z130" s="3940"/>
      <c r="AA130" s="3940"/>
      <c r="AB130" s="3940"/>
      <c r="AC130" s="3940"/>
      <c r="AD130" s="3940"/>
      <c r="AE130" s="3940"/>
      <c r="AF130" s="3940"/>
      <c r="AG130" s="3940"/>
      <c r="AH130" s="3940"/>
      <c r="AI130" s="3940"/>
      <c r="AJ130" s="3940"/>
      <c r="AK130" s="3940"/>
      <c r="AL130" s="3940"/>
      <c r="AM130" s="3940"/>
      <c r="AN130" s="3940"/>
      <c r="AO130" s="3940"/>
      <c r="AP130" s="3940"/>
      <c r="AQ130" s="3940"/>
      <c r="AR130" s="3940"/>
      <c r="AS130" s="4992"/>
      <c r="AT130" s="4992"/>
      <c r="AU130" s="4992"/>
      <c r="AV130" s="4992"/>
      <c r="AW130" s="4992"/>
      <c r="AX130" s="4992"/>
      <c r="AY130" s="4992"/>
      <c r="AZ130" s="4992"/>
      <c r="BA130" s="4992"/>
      <c r="BB130" s="4992"/>
      <c r="BC130" s="4992"/>
      <c r="BD130" s="4264"/>
      <c r="BE130" s="4264"/>
      <c r="BU130" s="4264"/>
      <c r="BW130" s="4260"/>
      <c r="BX130" s="4260"/>
      <c r="BY130" s="4260"/>
      <c r="CA130" s="4295"/>
      <c r="CG130" s="4978"/>
      <c r="CH130" s="4978"/>
      <c r="CI130" s="4978"/>
      <c r="CJ130" s="4978"/>
      <c r="CK130" s="4978"/>
      <c r="CL130" s="4978"/>
      <c r="CM130" s="4978"/>
      <c r="CN130" s="4978"/>
      <c r="CO130" s="4978"/>
      <c r="CP130" s="4978"/>
      <c r="CQ130" s="4978"/>
      <c r="CR130" s="4978"/>
      <c r="CS130" s="4978"/>
      <c r="CT130" s="4978"/>
      <c r="CU130" s="4260"/>
      <c r="DA130" s="4264"/>
      <c r="EA130" s="4258"/>
    </row>
    <row r="131" spans="1:131" ht="14.1" customHeight="1" x14ac:dyDescent="0.25">
      <c r="A131" s="7520">
        <v>28020800</v>
      </c>
      <c r="B131" s="10980" t="s">
        <v>176</v>
      </c>
      <c r="C131" s="5178" t="s">
        <v>122</v>
      </c>
      <c r="D131" s="5180" t="s">
        <v>5369</v>
      </c>
      <c r="E131" s="5182" t="s">
        <v>5370</v>
      </c>
      <c r="F131" s="5180" t="s">
        <v>5371</v>
      </c>
      <c r="G131" s="5182" t="s">
        <v>5372</v>
      </c>
      <c r="H131" s="5180" t="s">
        <v>5373</v>
      </c>
      <c r="I131" s="5182" t="s">
        <v>5374</v>
      </c>
      <c r="J131" s="5180" t="s">
        <v>5375</v>
      </c>
      <c r="K131" s="5194" t="s">
        <v>5376</v>
      </c>
      <c r="L131" s="5182" t="s">
        <v>5377</v>
      </c>
      <c r="M131" s="5182" t="s">
        <v>5378</v>
      </c>
      <c r="N131" s="3940"/>
      <c r="O131" s="3940"/>
      <c r="P131" s="3940"/>
      <c r="Q131" s="3940"/>
      <c r="R131" s="3940"/>
      <c r="S131" s="3940"/>
      <c r="T131" s="3940"/>
      <c r="U131" s="3940"/>
      <c r="V131" s="3940"/>
      <c r="W131" s="3940"/>
      <c r="X131" s="3940"/>
      <c r="Y131" s="3940"/>
      <c r="Z131" s="3940"/>
      <c r="AA131" s="3940"/>
      <c r="AB131" s="3940"/>
      <c r="AC131" s="3940"/>
      <c r="AD131" s="3940"/>
      <c r="AE131" s="3940"/>
      <c r="AF131" s="3940"/>
      <c r="AG131" s="3940"/>
      <c r="AH131" s="3940"/>
      <c r="AI131" s="3940"/>
      <c r="AJ131" s="3940"/>
      <c r="AK131" s="3940"/>
      <c r="AL131" s="3940"/>
      <c r="AM131" s="3940"/>
      <c r="AN131" s="3940"/>
      <c r="AO131" s="3940"/>
      <c r="AP131" s="3940"/>
      <c r="AQ131" s="3940"/>
      <c r="AR131" s="3940"/>
      <c r="AS131" s="4992"/>
      <c r="AT131" s="4992"/>
      <c r="AU131" s="4992"/>
      <c r="AV131" s="4992"/>
      <c r="AW131" s="4992"/>
      <c r="AX131" s="4992"/>
      <c r="AY131" s="4992"/>
      <c r="AZ131" s="4992"/>
      <c r="BA131" s="4992"/>
      <c r="BB131" s="4992"/>
      <c r="BC131" s="4992"/>
      <c r="BD131" s="4264"/>
      <c r="BE131" s="4264"/>
      <c r="BU131" s="4264"/>
      <c r="BW131" s="4260"/>
      <c r="BX131" s="4260"/>
      <c r="BY131" s="4260"/>
      <c r="CA131" s="4295"/>
      <c r="CG131" s="4978"/>
      <c r="CH131" s="4978"/>
      <c r="CI131" s="4978"/>
      <c r="CJ131" s="4978"/>
      <c r="CK131" s="4978"/>
      <c r="CL131" s="4978"/>
      <c r="CM131" s="4978"/>
      <c r="CN131" s="4978"/>
      <c r="CO131" s="4978"/>
      <c r="CP131" s="4978"/>
      <c r="CQ131" s="4978"/>
      <c r="CR131" s="4978"/>
      <c r="CS131" s="4978"/>
      <c r="CT131" s="4978"/>
      <c r="CU131" s="4260"/>
      <c r="CZ131" s="4264"/>
      <c r="DA131" s="4264"/>
      <c r="EA131" s="4258"/>
    </row>
    <row r="132" spans="1:131" ht="14.1" customHeight="1" x14ac:dyDescent="0.25">
      <c r="A132" s="7520">
        <v>28020810</v>
      </c>
      <c r="B132" s="10981"/>
      <c r="C132" s="4437" t="s">
        <v>177</v>
      </c>
      <c r="D132" s="4949" t="s">
        <v>5369</v>
      </c>
      <c r="E132" s="4951" t="s">
        <v>5370</v>
      </c>
      <c r="F132" s="4949" t="s">
        <v>5371</v>
      </c>
      <c r="G132" s="4951" t="s">
        <v>5372</v>
      </c>
      <c r="H132" s="4949" t="s">
        <v>5373</v>
      </c>
      <c r="I132" s="4951" t="s">
        <v>5374</v>
      </c>
      <c r="J132" s="4949" t="s">
        <v>5375</v>
      </c>
      <c r="K132" s="5195" t="s">
        <v>5376</v>
      </c>
      <c r="L132" s="4951" t="s">
        <v>5377</v>
      </c>
      <c r="M132" s="4951" t="s">
        <v>5378</v>
      </c>
      <c r="N132" s="3940"/>
      <c r="O132" s="3940"/>
      <c r="P132" s="3940"/>
      <c r="Q132" s="3940"/>
      <c r="R132" s="3940"/>
      <c r="S132" s="3940"/>
      <c r="T132" s="3940"/>
      <c r="U132" s="3940"/>
      <c r="V132" s="3940"/>
      <c r="W132" s="3940"/>
      <c r="X132" s="3940"/>
      <c r="Y132" s="3940"/>
      <c r="Z132" s="3940"/>
      <c r="AA132" s="3940"/>
      <c r="AB132" s="3940"/>
      <c r="AC132" s="3940"/>
      <c r="AD132" s="3940"/>
      <c r="AE132" s="3940"/>
      <c r="AF132" s="3940"/>
      <c r="AG132" s="3940"/>
      <c r="AH132" s="3940"/>
      <c r="AI132" s="3940"/>
      <c r="AJ132" s="3940"/>
      <c r="AK132" s="3940"/>
      <c r="AL132" s="3940"/>
      <c r="AM132" s="3940"/>
      <c r="AN132" s="3940"/>
      <c r="AO132" s="3940"/>
      <c r="AP132" s="3940"/>
      <c r="AQ132" s="3940"/>
      <c r="AR132" s="3940"/>
      <c r="AS132" s="4992"/>
      <c r="AT132" s="4992"/>
      <c r="AU132" s="4992"/>
      <c r="AV132" s="4992"/>
      <c r="AW132" s="4992"/>
      <c r="AX132" s="4992"/>
      <c r="AY132" s="4992"/>
      <c r="AZ132" s="4992"/>
      <c r="BA132" s="4992"/>
      <c r="BB132" s="4992"/>
      <c r="BC132" s="4992"/>
      <c r="BD132" s="4264"/>
      <c r="BE132" s="4264"/>
      <c r="BU132" s="4264"/>
      <c r="BW132" s="4260"/>
      <c r="BX132" s="4260"/>
      <c r="BY132" s="4260"/>
      <c r="CA132" s="4295"/>
      <c r="CG132" s="4978"/>
      <c r="CH132" s="5197"/>
      <c r="CI132" s="5197"/>
      <c r="CJ132" s="5197"/>
      <c r="CK132" s="5197"/>
      <c r="CL132" s="5197"/>
      <c r="CM132" s="5197"/>
      <c r="CN132" s="5197"/>
      <c r="CO132" s="5197"/>
      <c r="CP132" s="5197"/>
      <c r="CQ132" s="5197"/>
      <c r="CR132" s="5197"/>
      <c r="CS132" s="5197"/>
      <c r="CT132" s="5197"/>
      <c r="CU132" s="4260"/>
      <c r="CZ132" s="4264"/>
      <c r="DA132" s="4264"/>
      <c r="EA132" s="4258"/>
    </row>
    <row r="133" spans="1:131" ht="14.1" customHeight="1" x14ac:dyDescent="0.25">
      <c r="A133" s="7520">
        <v>28020820</v>
      </c>
      <c r="B133" s="10981"/>
      <c r="C133" s="4437" t="s">
        <v>175</v>
      </c>
      <c r="D133" s="4949" t="s">
        <v>5369</v>
      </c>
      <c r="E133" s="4951" t="s">
        <v>5370</v>
      </c>
      <c r="F133" s="4949" t="s">
        <v>5371</v>
      </c>
      <c r="G133" s="4951" t="s">
        <v>5372</v>
      </c>
      <c r="H133" s="4949" t="s">
        <v>5373</v>
      </c>
      <c r="I133" s="4951" t="s">
        <v>5374</v>
      </c>
      <c r="J133" s="4949" t="s">
        <v>5375</v>
      </c>
      <c r="K133" s="5195" t="s">
        <v>5376</v>
      </c>
      <c r="L133" s="4951" t="s">
        <v>5377</v>
      </c>
      <c r="M133" s="4951" t="s">
        <v>5378</v>
      </c>
      <c r="N133" s="3940"/>
      <c r="O133" s="3940"/>
      <c r="P133" s="3940"/>
      <c r="Q133" s="3940"/>
      <c r="R133" s="3940"/>
      <c r="S133" s="3940"/>
      <c r="T133" s="3940"/>
      <c r="U133" s="3940"/>
      <c r="V133" s="3940"/>
      <c r="W133" s="3940"/>
      <c r="X133" s="3940"/>
      <c r="Y133" s="3940"/>
      <c r="Z133" s="3940"/>
      <c r="AA133" s="3940"/>
      <c r="AB133" s="3940"/>
      <c r="AC133" s="3940"/>
      <c r="AD133" s="3940"/>
      <c r="AE133" s="3940"/>
      <c r="AF133" s="3940"/>
      <c r="AG133" s="3940"/>
      <c r="AH133" s="3940"/>
      <c r="AI133" s="3940"/>
      <c r="AJ133" s="3940"/>
      <c r="AK133" s="3940"/>
      <c r="AL133" s="3940"/>
      <c r="AM133" s="3940"/>
      <c r="AN133" s="3940"/>
      <c r="AO133" s="3940"/>
      <c r="AP133" s="3940"/>
      <c r="AQ133" s="3940"/>
      <c r="AR133" s="3940"/>
      <c r="AS133" s="4992"/>
      <c r="AT133" s="4992"/>
      <c r="AU133" s="4992"/>
      <c r="AV133" s="4992"/>
      <c r="AW133" s="4992"/>
      <c r="AX133" s="4992"/>
      <c r="AY133" s="4992"/>
      <c r="AZ133" s="4992"/>
      <c r="BA133" s="4992"/>
      <c r="BB133" s="4992"/>
      <c r="BC133" s="4992"/>
      <c r="BD133" s="4264"/>
      <c r="BE133" s="4264"/>
      <c r="BU133" s="4264"/>
      <c r="BW133" s="4260"/>
      <c r="BX133" s="4260"/>
      <c r="BY133" s="4260"/>
      <c r="CA133" s="4295"/>
      <c r="CG133" s="4978"/>
      <c r="CH133" s="4978"/>
      <c r="CI133" s="4978"/>
      <c r="CJ133" s="4978"/>
      <c r="CK133" s="4978"/>
      <c r="CL133" s="4978"/>
      <c r="CM133" s="4978"/>
      <c r="CN133" s="4978"/>
      <c r="CO133" s="4978"/>
      <c r="CP133" s="4978"/>
      <c r="CQ133" s="4978"/>
      <c r="CR133" s="4978"/>
      <c r="CS133" s="4978"/>
      <c r="CT133" s="4978"/>
      <c r="CU133" s="4260"/>
      <c r="CZ133" s="4264"/>
      <c r="DA133" s="4264"/>
      <c r="EA133" s="4258"/>
    </row>
    <row r="134" spans="1:131" ht="14.1" customHeight="1" x14ac:dyDescent="0.25">
      <c r="A134" s="7520">
        <v>28020830</v>
      </c>
      <c r="B134" s="10981"/>
      <c r="C134" s="5198" t="s">
        <v>178</v>
      </c>
      <c r="D134" s="5033" t="s">
        <v>5369</v>
      </c>
      <c r="E134" s="5034" t="s">
        <v>5370</v>
      </c>
      <c r="F134" s="5033" t="s">
        <v>5371</v>
      </c>
      <c r="G134" s="5034" t="s">
        <v>5372</v>
      </c>
      <c r="H134" s="5033" t="s">
        <v>5373</v>
      </c>
      <c r="I134" s="5034" t="s">
        <v>5374</v>
      </c>
      <c r="J134" s="5033" t="s">
        <v>5375</v>
      </c>
      <c r="K134" s="5199" t="s">
        <v>5376</v>
      </c>
      <c r="L134" s="5034" t="s">
        <v>5377</v>
      </c>
      <c r="M134" s="5034" t="s">
        <v>5378</v>
      </c>
      <c r="N134" s="3940"/>
      <c r="O134" s="3940"/>
      <c r="P134" s="3940"/>
      <c r="Q134" s="3940"/>
      <c r="R134" s="3940"/>
      <c r="S134" s="3940"/>
      <c r="T134" s="3940"/>
      <c r="U134" s="3940"/>
      <c r="V134" s="3940"/>
      <c r="W134" s="3940"/>
      <c r="X134" s="3940"/>
      <c r="Y134" s="3940"/>
      <c r="Z134" s="3940"/>
      <c r="AA134" s="3940"/>
      <c r="AB134" s="3940"/>
      <c r="AC134" s="3940"/>
      <c r="AD134" s="3940"/>
      <c r="AE134" s="3940"/>
      <c r="AF134" s="3940"/>
      <c r="AG134" s="3940"/>
      <c r="AH134" s="3940"/>
      <c r="AI134" s="3940"/>
      <c r="AJ134" s="3940"/>
      <c r="AK134" s="3940"/>
      <c r="AL134" s="3940"/>
      <c r="AM134" s="3940"/>
      <c r="AN134" s="3940"/>
      <c r="AO134" s="3940"/>
      <c r="AP134" s="3940"/>
      <c r="AQ134" s="3940"/>
      <c r="AR134" s="3940"/>
      <c r="AS134" s="4992"/>
      <c r="AT134" s="4992"/>
      <c r="AU134" s="4992"/>
      <c r="AV134" s="4992"/>
      <c r="AW134" s="4992"/>
      <c r="AX134" s="4992"/>
      <c r="AY134" s="4992"/>
      <c r="AZ134" s="4992"/>
      <c r="BA134" s="4992"/>
      <c r="BB134" s="4992"/>
      <c r="BC134" s="4992"/>
      <c r="BD134" s="4264"/>
      <c r="BE134" s="4264"/>
      <c r="BU134" s="4264"/>
      <c r="BW134" s="4260"/>
      <c r="BX134" s="4260"/>
      <c r="BY134" s="4260"/>
      <c r="CA134" s="4295"/>
      <c r="CG134" s="4978"/>
      <c r="CH134" s="4978"/>
      <c r="CI134" s="4978"/>
      <c r="CJ134" s="4978"/>
      <c r="CK134" s="4978"/>
      <c r="CL134" s="4978"/>
      <c r="CM134" s="4978"/>
      <c r="CN134" s="4978"/>
      <c r="CO134" s="4978"/>
      <c r="CP134" s="4978"/>
      <c r="CQ134" s="4978"/>
      <c r="CR134" s="4978"/>
      <c r="CS134" s="4978"/>
      <c r="CT134" s="4978"/>
      <c r="CU134" s="4260"/>
      <c r="CZ134" s="4264"/>
      <c r="DA134" s="4264"/>
      <c r="EA134" s="4258"/>
    </row>
    <row r="135" spans="1:131" ht="14.1" customHeight="1" x14ac:dyDescent="0.25">
      <c r="A135" s="7520">
        <v>28020840</v>
      </c>
      <c r="B135" s="10981"/>
      <c r="C135" s="5186" t="s">
        <v>161</v>
      </c>
      <c r="D135" s="5136" t="s">
        <v>5369</v>
      </c>
      <c r="E135" s="5027" t="s">
        <v>5370</v>
      </c>
      <c r="F135" s="5136" t="s">
        <v>5371</v>
      </c>
      <c r="G135" s="5027" t="s">
        <v>5372</v>
      </c>
      <c r="H135" s="5136" t="s">
        <v>5373</v>
      </c>
      <c r="I135" s="5027" t="s">
        <v>5374</v>
      </c>
      <c r="J135" s="5136" t="s">
        <v>5375</v>
      </c>
      <c r="K135" s="5196" t="s">
        <v>5376</v>
      </c>
      <c r="L135" s="5027" t="s">
        <v>5377</v>
      </c>
      <c r="M135" s="5027" t="s">
        <v>5378</v>
      </c>
      <c r="N135" s="3940"/>
      <c r="O135" s="3940"/>
      <c r="P135" s="3940"/>
      <c r="Q135" s="3940"/>
      <c r="R135" s="3940"/>
      <c r="S135" s="3940"/>
      <c r="T135" s="3940"/>
      <c r="U135" s="3940"/>
      <c r="V135" s="3940"/>
      <c r="W135" s="3940"/>
      <c r="X135" s="3940"/>
      <c r="Y135" s="3940"/>
      <c r="Z135" s="3940"/>
      <c r="AA135" s="3940"/>
      <c r="AB135" s="3940"/>
      <c r="AC135" s="3940"/>
      <c r="AD135" s="3940"/>
      <c r="AE135" s="3940"/>
      <c r="AF135" s="3940"/>
      <c r="AG135" s="3940"/>
      <c r="AH135" s="3940"/>
      <c r="AI135" s="3940"/>
      <c r="AJ135" s="3940"/>
      <c r="AK135" s="3940"/>
      <c r="AL135" s="3940"/>
      <c r="AM135" s="3940"/>
      <c r="AN135" s="3940"/>
      <c r="AO135" s="3940"/>
      <c r="AP135" s="3940"/>
      <c r="AQ135" s="3940"/>
      <c r="AR135" s="3940"/>
      <c r="AS135" s="4992"/>
      <c r="AT135" s="4992"/>
      <c r="AU135" s="4992"/>
      <c r="AV135" s="4992"/>
      <c r="AW135" s="4992"/>
      <c r="AX135" s="4992"/>
      <c r="AY135" s="4992"/>
      <c r="AZ135" s="4992"/>
      <c r="BA135" s="4992"/>
      <c r="BB135" s="4992"/>
      <c r="BC135" s="4992"/>
      <c r="BD135" s="4264"/>
      <c r="BE135" s="4264"/>
      <c r="BU135" s="4264"/>
      <c r="BW135" s="4260"/>
      <c r="BX135" s="4260"/>
      <c r="BY135" s="4260"/>
      <c r="CA135" s="4295"/>
      <c r="CG135" s="4978"/>
      <c r="CH135" s="4978"/>
      <c r="CI135" s="4978"/>
      <c r="CJ135" s="4978"/>
      <c r="CK135" s="4978"/>
      <c r="CL135" s="4978"/>
      <c r="CM135" s="4978"/>
      <c r="CN135" s="4978"/>
      <c r="CO135" s="4978"/>
      <c r="CP135" s="4978"/>
      <c r="CQ135" s="4978"/>
      <c r="CR135" s="4978"/>
      <c r="CS135" s="4978"/>
      <c r="CT135" s="4978"/>
      <c r="CU135" s="4260"/>
      <c r="CZ135" s="4264"/>
      <c r="DA135" s="4264"/>
      <c r="EA135" s="4258"/>
    </row>
    <row r="136" spans="1:131" ht="14.1" customHeight="1" x14ac:dyDescent="0.25">
      <c r="A136" s="7520">
        <v>28020850</v>
      </c>
      <c r="B136" s="10349" t="s">
        <v>179</v>
      </c>
      <c r="C136" s="5178" t="s">
        <v>180</v>
      </c>
      <c r="D136" s="5180" t="s">
        <v>5369</v>
      </c>
      <c r="E136" s="5182" t="s">
        <v>5370</v>
      </c>
      <c r="F136" s="5180" t="s">
        <v>5371</v>
      </c>
      <c r="G136" s="5182" t="s">
        <v>5372</v>
      </c>
      <c r="H136" s="5180" t="s">
        <v>5373</v>
      </c>
      <c r="I136" s="5182" t="s">
        <v>5374</v>
      </c>
      <c r="J136" s="5180" t="s">
        <v>5375</v>
      </c>
      <c r="K136" s="5194" t="s">
        <v>5376</v>
      </c>
      <c r="L136" s="5182" t="s">
        <v>5377</v>
      </c>
      <c r="M136" s="5182" t="s">
        <v>5378</v>
      </c>
      <c r="N136" s="3940"/>
      <c r="O136" s="3940"/>
      <c r="P136" s="3940"/>
      <c r="Q136" s="3940"/>
      <c r="R136" s="3940"/>
      <c r="S136" s="3940"/>
      <c r="T136" s="3940"/>
      <c r="U136" s="3940"/>
      <c r="V136" s="3940"/>
      <c r="W136" s="3940"/>
      <c r="X136" s="3940"/>
      <c r="Y136" s="3940"/>
      <c r="Z136" s="3940"/>
      <c r="AA136" s="3940"/>
      <c r="AB136" s="3940"/>
      <c r="AC136" s="3940"/>
      <c r="AD136" s="3940"/>
      <c r="AE136" s="3940"/>
      <c r="AF136" s="3940"/>
      <c r="AG136" s="3940"/>
      <c r="AH136" s="3940"/>
      <c r="AI136" s="3940"/>
      <c r="AJ136" s="3940"/>
      <c r="AK136" s="3940"/>
      <c r="AL136" s="3940"/>
      <c r="AM136" s="3940"/>
      <c r="AN136" s="3940"/>
      <c r="AO136" s="3940"/>
      <c r="AP136" s="3940"/>
      <c r="AQ136" s="3940"/>
      <c r="AR136" s="3940"/>
      <c r="AS136" s="4992"/>
      <c r="AT136" s="4992"/>
      <c r="AU136" s="4992"/>
      <c r="AV136" s="4992"/>
      <c r="AW136" s="4992"/>
      <c r="AX136" s="4992"/>
      <c r="AY136" s="4992"/>
      <c r="AZ136" s="4992"/>
      <c r="BA136" s="4992"/>
      <c r="BB136" s="4992"/>
      <c r="BC136" s="4992"/>
      <c r="BD136" s="4264"/>
      <c r="BE136" s="4264"/>
      <c r="BU136" s="4264"/>
      <c r="BW136" s="4260"/>
      <c r="BX136" s="4260"/>
      <c r="BY136" s="4260"/>
      <c r="CA136" s="4295"/>
      <c r="CG136" s="4978"/>
      <c r="CH136" s="4978"/>
      <c r="CI136" s="4978"/>
      <c r="CJ136" s="4978"/>
      <c r="CK136" s="4978"/>
      <c r="CL136" s="4978"/>
      <c r="CM136" s="4978"/>
      <c r="CN136" s="4978"/>
      <c r="CO136" s="4978"/>
      <c r="CP136" s="4978"/>
      <c r="CQ136" s="4978"/>
      <c r="CR136" s="4978"/>
      <c r="CS136" s="4978"/>
      <c r="CT136" s="4978"/>
      <c r="CU136" s="4264"/>
      <c r="CV136" s="4264"/>
      <c r="CW136" s="4264"/>
      <c r="CX136" s="4264"/>
      <c r="CY136" s="4264"/>
      <c r="CZ136" s="4264"/>
      <c r="DA136" s="4264"/>
      <c r="EA136" s="4258"/>
    </row>
    <row r="137" spans="1:131" ht="14.1" customHeight="1" x14ac:dyDescent="0.25">
      <c r="A137" s="7520">
        <v>28020860</v>
      </c>
      <c r="B137" s="10350"/>
      <c r="C137" s="4437" t="s">
        <v>177</v>
      </c>
      <c r="D137" s="4949" t="s">
        <v>5369</v>
      </c>
      <c r="E137" s="4951" t="s">
        <v>5370</v>
      </c>
      <c r="F137" s="4949" t="s">
        <v>5371</v>
      </c>
      <c r="G137" s="4951" t="s">
        <v>5372</v>
      </c>
      <c r="H137" s="4949" t="s">
        <v>5373</v>
      </c>
      <c r="I137" s="4951" t="s">
        <v>5374</v>
      </c>
      <c r="J137" s="4949" t="s">
        <v>5375</v>
      </c>
      <c r="K137" s="5195" t="s">
        <v>5376</v>
      </c>
      <c r="L137" s="4951" t="s">
        <v>5377</v>
      </c>
      <c r="M137" s="4951" t="s">
        <v>5378</v>
      </c>
      <c r="N137" s="3940"/>
      <c r="O137" s="3940"/>
      <c r="P137" s="3940"/>
      <c r="Q137" s="3940"/>
      <c r="R137" s="3940"/>
      <c r="S137" s="3940"/>
      <c r="T137" s="3940"/>
      <c r="U137" s="3940"/>
      <c r="V137" s="3940"/>
      <c r="W137" s="3940"/>
      <c r="X137" s="3940"/>
      <c r="Y137" s="3940"/>
      <c r="Z137" s="3940"/>
      <c r="AA137" s="3940"/>
      <c r="AB137" s="3940"/>
      <c r="AC137" s="3940"/>
      <c r="AD137" s="3940"/>
      <c r="AE137" s="3940"/>
      <c r="AF137" s="3940"/>
      <c r="AG137" s="3940"/>
      <c r="AH137" s="3940"/>
      <c r="AI137" s="3940"/>
      <c r="AJ137" s="3940"/>
      <c r="AK137" s="3940"/>
      <c r="AL137" s="3940"/>
      <c r="AM137" s="3940"/>
      <c r="AN137" s="3940"/>
      <c r="AO137" s="3940"/>
      <c r="AP137" s="3940"/>
      <c r="AQ137" s="3940"/>
      <c r="AR137" s="3940"/>
      <c r="AS137" s="4992"/>
      <c r="AT137" s="4992"/>
      <c r="AU137" s="4992"/>
      <c r="AV137" s="4992"/>
      <c r="AW137" s="4992"/>
      <c r="AX137" s="4992"/>
      <c r="AY137" s="4992"/>
      <c r="AZ137" s="4992"/>
      <c r="BA137" s="4992"/>
      <c r="BB137" s="4992"/>
      <c r="BC137" s="4992"/>
      <c r="BD137" s="4264"/>
      <c r="BE137" s="4264"/>
      <c r="BU137" s="4264"/>
      <c r="BW137" s="4260"/>
      <c r="BX137" s="4260"/>
      <c r="BY137" s="4260"/>
      <c r="CA137" s="4295"/>
      <c r="CG137" s="4978"/>
      <c r="CH137" s="4978"/>
      <c r="CI137" s="4978"/>
      <c r="CJ137" s="4978"/>
      <c r="CK137" s="4978"/>
      <c r="CL137" s="4978"/>
      <c r="CM137" s="4978"/>
      <c r="CN137" s="4978"/>
      <c r="CO137" s="4978"/>
      <c r="CP137" s="4978"/>
      <c r="CQ137" s="4978"/>
      <c r="CR137" s="4978"/>
      <c r="CS137" s="4978"/>
      <c r="CT137" s="4978"/>
      <c r="CU137" s="4264"/>
      <c r="CV137" s="4264"/>
      <c r="CW137" s="4264"/>
      <c r="CX137" s="4264"/>
      <c r="CY137" s="4264"/>
      <c r="CZ137" s="4264"/>
      <c r="DA137" s="4264"/>
      <c r="EA137" s="4258"/>
    </row>
    <row r="138" spans="1:131" ht="14.1" customHeight="1" x14ac:dyDescent="0.25">
      <c r="A138" s="7520">
        <v>28020870</v>
      </c>
      <c r="B138" s="10350"/>
      <c r="C138" s="4437" t="s">
        <v>175</v>
      </c>
      <c r="D138" s="4949" t="s">
        <v>5369</v>
      </c>
      <c r="E138" s="4951" t="s">
        <v>5370</v>
      </c>
      <c r="F138" s="4949" t="s">
        <v>5371</v>
      </c>
      <c r="G138" s="4951" t="s">
        <v>5372</v>
      </c>
      <c r="H138" s="4949" t="s">
        <v>5373</v>
      </c>
      <c r="I138" s="4951" t="s">
        <v>5374</v>
      </c>
      <c r="J138" s="4949" t="s">
        <v>5375</v>
      </c>
      <c r="K138" s="5195" t="s">
        <v>5376</v>
      </c>
      <c r="L138" s="4951" t="s">
        <v>5377</v>
      </c>
      <c r="M138" s="4951" t="s">
        <v>5378</v>
      </c>
      <c r="N138" s="3940"/>
      <c r="O138" s="3940"/>
      <c r="P138" s="3940"/>
      <c r="Q138" s="3940"/>
      <c r="R138" s="3940"/>
      <c r="S138" s="3940"/>
      <c r="T138" s="3940"/>
      <c r="U138" s="3940"/>
      <c r="V138" s="3940"/>
      <c r="W138" s="3940"/>
      <c r="X138" s="3940"/>
      <c r="Y138" s="3940"/>
      <c r="Z138" s="3940"/>
      <c r="AA138" s="3940"/>
      <c r="AB138" s="3940"/>
      <c r="AC138" s="3940"/>
      <c r="AD138" s="3940"/>
      <c r="AE138" s="3940"/>
      <c r="AF138" s="3940"/>
      <c r="AG138" s="3940"/>
      <c r="AH138" s="3940"/>
      <c r="AI138" s="3940"/>
      <c r="AJ138" s="3940"/>
      <c r="AK138" s="3940"/>
      <c r="AL138" s="3940"/>
      <c r="AM138" s="3940"/>
      <c r="AN138" s="3940"/>
      <c r="AO138" s="3940"/>
      <c r="AP138" s="3940"/>
      <c r="AQ138" s="3940"/>
      <c r="AR138" s="3940"/>
      <c r="AS138" s="4992"/>
      <c r="AT138" s="4992"/>
      <c r="AU138" s="4992"/>
      <c r="AV138" s="4992"/>
      <c r="AW138" s="4992"/>
      <c r="AX138" s="4992"/>
      <c r="AY138" s="4992"/>
      <c r="AZ138" s="4992"/>
      <c r="BA138" s="4992"/>
      <c r="BB138" s="4992"/>
      <c r="BC138" s="4992"/>
      <c r="BD138" s="4264"/>
      <c r="BE138" s="4264"/>
      <c r="BU138" s="4264"/>
      <c r="BW138" s="4260"/>
      <c r="BX138" s="4260"/>
      <c r="BY138" s="4260"/>
      <c r="CA138" s="4295"/>
      <c r="CG138" s="4978"/>
      <c r="CH138" s="4978"/>
      <c r="CI138" s="4978"/>
      <c r="CJ138" s="4978"/>
      <c r="CK138" s="4978"/>
      <c r="CL138" s="4978"/>
      <c r="CM138" s="4978"/>
      <c r="CN138" s="4978"/>
      <c r="CO138" s="4978"/>
      <c r="CP138" s="4978"/>
      <c r="CQ138" s="4978"/>
      <c r="CR138" s="4978"/>
      <c r="CS138" s="4978"/>
      <c r="CT138" s="4978"/>
      <c r="CU138" s="4264"/>
      <c r="CV138" s="4264"/>
      <c r="CW138" s="4264"/>
      <c r="CX138" s="4264"/>
      <c r="CY138" s="4264"/>
      <c r="CZ138" s="4264"/>
      <c r="DA138" s="4264"/>
      <c r="EA138" s="4258"/>
    </row>
    <row r="139" spans="1:131" ht="14.1" customHeight="1" x14ac:dyDescent="0.25">
      <c r="A139" s="7520">
        <v>28020880</v>
      </c>
      <c r="B139" s="10350"/>
      <c r="C139" s="4437" t="s">
        <v>181</v>
      </c>
      <c r="D139" s="4949" t="s">
        <v>5369</v>
      </c>
      <c r="E139" s="4951" t="s">
        <v>5370</v>
      </c>
      <c r="F139" s="4949" t="s">
        <v>5371</v>
      </c>
      <c r="G139" s="4951" t="s">
        <v>5372</v>
      </c>
      <c r="H139" s="4949" t="s">
        <v>5373</v>
      </c>
      <c r="I139" s="4951" t="s">
        <v>5374</v>
      </c>
      <c r="J139" s="4949" t="s">
        <v>5375</v>
      </c>
      <c r="K139" s="5195" t="s">
        <v>5376</v>
      </c>
      <c r="L139" s="4951" t="s">
        <v>5377</v>
      </c>
      <c r="M139" s="4951" t="s">
        <v>5378</v>
      </c>
      <c r="N139" s="3940"/>
      <c r="O139" s="3940"/>
      <c r="P139" s="3940"/>
      <c r="Q139" s="3940"/>
      <c r="R139" s="3940"/>
      <c r="S139" s="3940"/>
      <c r="T139" s="3940"/>
      <c r="U139" s="3940"/>
      <c r="V139" s="3940"/>
      <c r="W139" s="3940"/>
      <c r="X139" s="3940"/>
      <c r="Y139" s="3940"/>
      <c r="Z139" s="3940"/>
      <c r="AA139" s="3940"/>
      <c r="AB139" s="3940"/>
      <c r="AC139" s="3940"/>
      <c r="AD139" s="3940"/>
      <c r="AE139" s="3940"/>
      <c r="AF139" s="3940"/>
      <c r="AG139" s="3940"/>
      <c r="AH139" s="3940"/>
      <c r="AI139" s="3940"/>
      <c r="AJ139" s="3940"/>
      <c r="AK139" s="3940"/>
      <c r="AL139" s="3940"/>
      <c r="AM139" s="3940"/>
      <c r="AN139" s="3940"/>
      <c r="AO139" s="3940"/>
      <c r="AP139" s="3940"/>
      <c r="AQ139" s="3940"/>
      <c r="AR139" s="3940"/>
      <c r="AS139" s="4992"/>
      <c r="AT139" s="4992"/>
      <c r="AU139" s="4992"/>
      <c r="AV139" s="4992"/>
      <c r="AW139" s="4992"/>
      <c r="AX139" s="4992"/>
      <c r="AY139" s="4992"/>
      <c r="AZ139" s="4992"/>
      <c r="BA139" s="4992"/>
      <c r="BB139" s="4992"/>
      <c r="BC139" s="4992"/>
      <c r="BD139" s="4264"/>
      <c r="BE139" s="4264"/>
      <c r="BU139" s="4264"/>
      <c r="BW139" s="4260"/>
      <c r="BX139" s="4260"/>
      <c r="BY139" s="4260"/>
      <c r="CA139" s="4993"/>
      <c r="CB139" s="4993"/>
      <c r="CC139" s="4993"/>
      <c r="CD139" s="4993"/>
      <c r="CE139" s="4993"/>
      <c r="CF139" s="4993"/>
      <c r="CG139" s="4994"/>
      <c r="CH139" s="4978"/>
      <c r="CI139" s="4978"/>
      <c r="CJ139" s="4978"/>
      <c r="CK139" s="4978"/>
      <c r="CL139" s="4978"/>
      <c r="CM139" s="4978"/>
      <c r="CN139" s="4978"/>
      <c r="CO139" s="4978"/>
      <c r="CP139" s="4978"/>
      <c r="CQ139" s="4978"/>
      <c r="CR139" s="4978"/>
      <c r="CS139" s="4978"/>
      <c r="CT139" s="4978"/>
      <c r="CU139" s="4264"/>
      <c r="CV139" s="4264"/>
      <c r="CW139" s="4264"/>
      <c r="CX139" s="4264"/>
      <c r="CY139" s="4264"/>
      <c r="CZ139" s="4264"/>
      <c r="DA139" s="4264"/>
      <c r="EA139" s="4258"/>
    </row>
    <row r="140" spans="1:131" ht="14.1" customHeight="1" x14ac:dyDescent="0.25">
      <c r="A140" s="7520">
        <v>28020890</v>
      </c>
      <c r="B140" s="10350"/>
      <c r="C140" s="4437" t="s">
        <v>178</v>
      </c>
      <c r="D140" s="4949" t="s">
        <v>5369</v>
      </c>
      <c r="E140" s="4951" t="s">
        <v>5370</v>
      </c>
      <c r="F140" s="4949" t="s">
        <v>5371</v>
      </c>
      <c r="G140" s="4951" t="s">
        <v>5372</v>
      </c>
      <c r="H140" s="4949" t="s">
        <v>5373</v>
      </c>
      <c r="I140" s="4951" t="s">
        <v>5374</v>
      </c>
      <c r="J140" s="4949" t="s">
        <v>5375</v>
      </c>
      <c r="K140" s="5195" t="s">
        <v>5376</v>
      </c>
      <c r="L140" s="4951" t="s">
        <v>5377</v>
      </c>
      <c r="M140" s="4951" t="s">
        <v>5378</v>
      </c>
      <c r="N140" s="3940"/>
      <c r="O140" s="3940"/>
      <c r="P140" s="3940"/>
      <c r="Q140" s="3940"/>
      <c r="R140" s="3940"/>
      <c r="S140" s="3940"/>
      <c r="T140" s="3940"/>
      <c r="U140" s="3940"/>
      <c r="V140" s="3940"/>
      <c r="W140" s="3940"/>
      <c r="X140" s="3940"/>
      <c r="Y140" s="3940"/>
      <c r="Z140" s="3940"/>
      <c r="AA140" s="3940"/>
      <c r="AB140" s="3940"/>
      <c r="AC140" s="3940"/>
      <c r="AD140" s="3940"/>
      <c r="AE140" s="3940"/>
      <c r="AF140" s="3940"/>
      <c r="AG140" s="3940"/>
      <c r="AH140" s="3940"/>
      <c r="AI140" s="3940"/>
      <c r="AJ140" s="3940"/>
      <c r="AK140" s="3940"/>
      <c r="AL140" s="3940"/>
      <c r="AM140" s="3940"/>
      <c r="AN140" s="3940"/>
      <c r="AO140" s="3940"/>
      <c r="AP140" s="3940"/>
      <c r="AQ140" s="3940"/>
      <c r="AR140" s="3940"/>
      <c r="AS140" s="4992"/>
      <c r="AT140" s="4992"/>
      <c r="AU140" s="4992"/>
      <c r="AV140" s="4992"/>
      <c r="AW140" s="4992"/>
      <c r="AX140" s="4992"/>
      <c r="AY140" s="4992"/>
      <c r="AZ140" s="4992"/>
      <c r="BA140" s="4992"/>
      <c r="BB140" s="4992"/>
      <c r="BC140" s="4992"/>
      <c r="BD140" s="4264"/>
      <c r="BE140" s="4264"/>
      <c r="BU140" s="4264"/>
      <c r="BW140" s="4260"/>
      <c r="BX140" s="4260"/>
      <c r="BY140" s="4260"/>
      <c r="CA140" s="4993"/>
      <c r="CB140" s="4993"/>
      <c r="CC140" s="4993"/>
      <c r="CD140" s="4993"/>
      <c r="CE140" s="4993"/>
      <c r="CF140" s="4993"/>
      <c r="CG140" s="4994"/>
      <c r="CH140" s="4978"/>
      <c r="CI140" s="4978"/>
      <c r="CJ140" s="4978"/>
      <c r="CK140" s="4978"/>
      <c r="CL140" s="4978"/>
      <c r="CM140" s="4978"/>
      <c r="CN140" s="4978"/>
      <c r="CO140" s="4978"/>
      <c r="CP140" s="4978"/>
      <c r="CQ140" s="4978"/>
      <c r="CR140" s="4978"/>
      <c r="CS140" s="4978"/>
      <c r="CT140" s="4978"/>
      <c r="CU140" s="4264"/>
      <c r="CV140" s="4264"/>
      <c r="CW140" s="4264"/>
      <c r="CX140" s="4264"/>
      <c r="CY140" s="4264"/>
      <c r="CZ140" s="4264"/>
      <c r="DA140" s="4264"/>
      <c r="EA140" s="4258"/>
    </row>
    <row r="141" spans="1:131" ht="14.1" customHeight="1" x14ac:dyDescent="0.25">
      <c r="A141" s="7520">
        <v>28020900</v>
      </c>
      <c r="B141" s="10351"/>
      <c r="C141" s="5186" t="s">
        <v>161</v>
      </c>
      <c r="D141" s="5014" t="s">
        <v>5369</v>
      </c>
      <c r="E141" s="5044" t="s">
        <v>5370</v>
      </c>
      <c r="F141" s="5014" t="s">
        <v>5371</v>
      </c>
      <c r="G141" s="5044" t="s">
        <v>5372</v>
      </c>
      <c r="H141" s="5014" t="s">
        <v>5373</v>
      </c>
      <c r="I141" s="5044" t="s">
        <v>5374</v>
      </c>
      <c r="J141" s="5014" t="s">
        <v>5375</v>
      </c>
      <c r="K141" s="5200" t="s">
        <v>5376</v>
      </c>
      <c r="L141" s="5044" t="s">
        <v>5377</v>
      </c>
      <c r="M141" s="5044" t="s">
        <v>5378</v>
      </c>
      <c r="N141" s="3940"/>
      <c r="O141" s="3940"/>
      <c r="P141" s="3940"/>
      <c r="Q141" s="3940"/>
      <c r="R141" s="3940"/>
      <c r="S141" s="3940"/>
      <c r="T141" s="3940"/>
      <c r="U141" s="3940"/>
      <c r="V141" s="3940"/>
      <c r="W141" s="3940"/>
      <c r="X141" s="3940"/>
      <c r="Y141" s="3940"/>
      <c r="Z141" s="3940"/>
      <c r="AA141" s="3940"/>
      <c r="AB141" s="3940"/>
      <c r="AC141" s="3940"/>
      <c r="AD141" s="3940"/>
      <c r="AE141" s="3940"/>
      <c r="AF141" s="3940"/>
      <c r="AG141" s="3940"/>
      <c r="AH141" s="3940"/>
      <c r="AI141" s="3940"/>
      <c r="AJ141" s="3940"/>
      <c r="AK141" s="3940"/>
      <c r="AL141" s="3940"/>
      <c r="AM141" s="3940"/>
      <c r="AN141" s="3940"/>
      <c r="AO141" s="3940"/>
      <c r="AP141" s="3940"/>
      <c r="AQ141" s="3940"/>
      <c r="AR141" s="3940"/>
      <c r="AS141" s="4992"/>
      <c r="AT141" s="4992"/>
      <c r="AU141" s="4992"/>
      <c r="AV141" s="4992"/>
      <c r="AW141" s="4992"/>
      <c r="AX141" s="4992"/>
      <c r="AY141" s="4992"/>
      <c r="AZ141" s="4992"/>
      <c r="BA141" s="4992"/>
      <c r="BB141" s="4992"/>
      <c r="BC141" s="4992"/>
      <c r="BD141" s="4264"/>
      <c r="BE141" s="4264"/>
      <c r="BU141" s="4264"/>
      <c r="BW141" s="4260"/>
      <c r="BX141" s="4260"/>
      <c r="BY141" s="4260"/>
      <c r="CA141" s="4993"/>
      <c r="CB141" s="4993"/>
      <c r="CC141" s="4993"/>
      <c r="CD141" s="4993"/>
      <c r="CE141" s="4993"/>
      <c r="CF141" s="4993"/>
      <c r="CG141" s="4994"/>
      <c r="CH141" s="4978"/>
      <c r="CI141" s="4978"/>
      <c r="CJ141" s="4978"/>
      <c r="CK141" s="4978"/>
      <c r="CL141" s="4978"/>
      <c r="CM141" s="4978"/>
      <c r="CN141" s="4978"/>
      <c r="CO141" s="4978"/>
      <c r="CP141" s="4978"/>
      <c r="CQ141" s="4978"/>
      <c r="CR141" s="4978"/>
      <c r="CS141" s="4978"/>
      <c r="CT141" s="4978"/>
      <c r="CU141" s="4264"/>
      <c r="CV141" s="4264"/>
      <c r="CW141" s="4264"/>
      <c r="CX141" s="4264"/>
      <c r="CY141" s="4264"/>
      <c r="CZ141" s="4264"/>
      <c r="DA141" s="4264"/>
      <c r="EA141" s="4258"/>
    </row>
    <row r="142" spans="1:131" ht="14.1" customHeight="1" x14ac:dyDescent="0.25">
      <c r="A142" s="7520">
        <v>28101040</v>
      </c>
      <c r="B142" s="5177" t="s">
        <v>182</v>
      </c>
      <c r="C142" s="5201" t="s">
        <v>174</v>
      </c>
      <c r="D142" s="5202" t="s">
        <v>5369</v>
      </c>
      <c r="E142" s="3873" t="s">
        <v>5370</v>
      </c>
      <c r="F142" s="5202" t="s">
        <v>5371</v>
      </c>
      <c r="G142" s="3873" t="s">
        <v>5372</v>
      </c>
      <c r="H142" s="5202" t="s">
        <v>5373</v>
      </c>
      <c r="I142" s="3873" t="s">
        <v>5374</v>
      </c>
      <c r="J142" s="5202" t="s">
        <v>5375</v>
      </c>
      <c r="K142" s="5203" t="s">
        <v>5376</v>
      </c>
      <c r="L142" s="3873" t="s">
        <v>5377</v>
      </c>
      <c r="M142" s="3873" t="s">
        <v>5378</v>
      </c>
      <c r="N142" s="3940"/>
      <c r="O142" s="3940"/>
      <c r="P142" s="3940"/>
      <c r="Q142" s="3940"/>
      <c r="R142" s="3940"/>
      <c r="S142" s="3940"/>
      <c r="T142" s="3940"/>
      <c r="U142" s="3940"/>
      <c r="V142" s="3940"/>
      <c r="W142" s="3940"/>
      <c r="X142" s="3940"/>
      <c r="Y142" s="3940"/>
      <c r="Z142" s="3940"/>
      <c r="AA142" s="3940"/>
      <c r="AB142" s="3940"/>
      <c r="AC142" s="3940"/>
      <c r="AD142" s="3940"/>
      <c r="AE142" s="3940"/>
      <c r="AF142" s="3940"/>
      <c r="AG142" s="3940"/>
      <c r="AH142" s="3940"/>
      <c r="AI142" s="3940"/>
      <c r="AJ142" s="3940"/>
      <c r="AK142" s="3940"/>
      <c r="AL142" s="3940"/>
      <c r="AM142" s="3940"/>
      <c r="AN142" s="3940"/>
      <c r="AO142" s="3940"/>
      <c r="AP142" s="3940"/>
      <c r="AQ142" s="3940"/>
      <c r="AR142" s="3940"/>
      <c r="AS142" s="4992"/>
      <c r="AT142" s="4992"/>
      <c r="AU142" s="4992"/>
      <c r="AV142" s="4992"/>
      <c r="AW142" s="4992"/>
      <c r="AX142" s="4992"/>
      <c r="AY142" s="4992"/>
      <c r="AZ142" s="4992"/>
      <c r="BA142" s="4992"/>
      <c r="BB142" s="4992"/>
      <c r="BC142" s="4992"/>
      <c r="BD142" s="4264"/>
      <c r="BE142" s="4264"/>
      <c r="BU142" s="4264"/>
      <c r="BW142" s="4260"/>
      <c r="BX142" s="4260"/>
      <c r="BY142" s="4260"/>
      <c r="CA142" s="4295"/>
      <c r="CG142" s="4978"/>
      <c r="CH142" s="4978"/>
      <c r="CI142" s="4978"/>
      <c r="CJ142" s="4978"/>
      <c r="CK142" s="4978"/>
      <c r="CL142" s="4978"/>
      <c r="CM142" s="4978"/>
      <c r="CN142" s="4978"/>
      <c r="CO142" s="4978"/>
      <c r="CP142" s="4978"/>
      <c r="CQ142" s="4978"/>
      <c r="CR142" s="4978"/>
      <c r="CS142" s="4978"/>
      <c r="CT142" s="4978"/>
      <c r="CU142" s="4264"/>
      <c r="CV142" s="4264"/>
      <c r="CW142" s="4264"/>
      <c r="CX142" s="4264"/>
      <c r="CY142" s="4264"/>
      <c r="CZ142" s="4264"/>
      <c r="DA142" s="4264"/>
      <c r="EA142" s="4258"/>
    </row>
    <row r="143" spans="1:131" ht="19.95" customHeight="1" x14ac:dyDescent="0.25">
      <c r="B143" s="4268" t="s">
        <v>326</v>
      </c>
      <c r="E143" s="4979"/>
      <c r="F143" s="4979"/>
      <c r="G143" s="4979"/>
      <c r="H143" s="4979"/>
      <c r="I143" s="4979"/>
      <c r="J143" s="4979"/>
      <c r="K143" s="4979"/>
      <c r="L143" s="4979"/>
      <c r="M143" s="4979"/>
      <c r="N143" s="4979"/>
      <c r="O143" s="4979"/>
      <c r="P143" s="3940"/>
      <c r="Q143" s="3940"/>
      <c r="R143" s="3940"/>
      <c r="S143" s="3940"/>
      <c r="T143" s="3940"/>
      <c r="U143" s="3940"/>
      <c r="V143" s="3940"/>
      <c r="W143" s="3940"/>
      <c r="X143" s="3940"/>
      <c r="Y143" s="3940"/>
      <c r="Z143" s="3940"/>
      <c r="AA143" s="3940"/>
      <c r="AB143" s="3940"/>
      <c r="AC143" s="3940"/>
      <c r="AD143" s="3940"/>
      <c r="AE143" s="3940"/>
      <c r="AF143" s="3940"/>
      <c r="AG143" s="3940"/>
      <c r="AH143" s="3940"/>
      <c r="AI143" s="3940"/>
      <c r="AJ143" s="3940"/>
      <c r="AK143" s="3940"/>
      <c r="AL143" s="3940"/>
      <c r="AM143" s="3940"/>
      <c r="AN143" s="3940"/>
      <c r="AO143" s="3940"/>
      <c r="AP143" s="3940"/>
      <c r="AQ143" s="3940"/>
      <c r="AR143" s="3940"/>
      <c r="AS143" s="3940"/>
      <c r="AT143" s="3940"/>
      <c r="AV143" s="4264"/>
      <c r="AW143" s="4264"/>
      <c r="AX143" s="4264"/>
      <c r="AY143" s="4264"/>
      <c r="AZ143" s="4264"/>
      <c r="BA143" s="4264"/>
      <c r="BB143" s="4264"/>
      <c r="BC143" s="4264"/>
      <c r="BD143" s="4264"/>
      <c r="BE143" s="4264"/>
      <c r="BF143" s="4264"/>
      <c r="BG143" s="4264"/>
      <c r="BH143" s="4264"/>
      <c r="CH143" s="4978"/>
      <c r="CI143" s="4978"/>
      <c r="CJ143" s="4978"/>
      <c r="CK143" s="4978"/>
      <c r="CL143" s="4978"/>
      <c r="CM143" s="4978"/>
      <c r="CN143" s="4978"/>
      <c r="CO143" s="4978"/>
      <c r="CP143" s="4978"/>
      <c r="CQ143" s="4978"/>
      <c r="CR143" s="4978"/>
      <c r="CS143" s="4978"/>
      <c r="CT143" s="4978"/>
      <c r="CU143" s="4978"/>
      <c r="CV143" s="4264"/>
      <c r="CW143" s="4264"/>
      <c r="CX143" s="4264"/>
      <c r="CY143" s="4264"/>
      <c r="CZ143" s="4264"/>
      <c r="DA143" s="4264"/>
    </row>
    <row r="144" spans="1:131" ht="19.95" customHeight="1" x14ac:dyDescent="0.25">
      <c r="B144" s="7145" t="s">
        <v>3555</v>
      </c>
      <c r="C144" s="4408"/>
      <c r="D144" s="4979"/>
      <c r="E144" s="5204"/>
      <c r="F144" s="5205"/>
      <c r="G144" s="5204"/>
      <c r="H144" s="5205"/>
      <c r="I144" s="5205"/>
      <c r="J144" s="5204"/>
      <c r="K144" s="5206"/>
      <c r="L144" s="5206"/>
      <c r="M144" s="5206"/>
      <c r="N144" s="5206"/>
      <c r="O144" s="5206"/>
      <c r="P144" s="5207"/>
      <c r="Q144" s="5207"/>
      <c r="R144" s="5207"/>
      <c r="S144" s="5208"/>
      <c r="T144" s="3914"/>
      <c r="U144" s="5207"/>
      <c r="V144" s="5207"/>
      <c r="W144" s="5208"/>
      <c r="X144" s="5209"/>
      <c r="Y144" s="3914"/>
      <c r="Z144" s="3940"/>
      <c r="AA144" s="3940"/>
      <c r="AB144" s="3940"/>
      <c r="AC144" s="3940"/>
      <c r="AD144" s="3940"/>
      <c r="AE144" s="3940"/>
      <c r="AF144" s="3940"/>
      <c r="AG144" s="3940"/>
      <c r="AH144" s="3940"/>
      <c r="AI144" s="3940"/>
      <c r="AJ144" s="3940"/>
      <c r="AK144" s="3940"/>
      <c r="AL144" s="3940"/>
      <c r="AM144" s="3940"/>
      <c r="AN144" s="3940"/>
      <c r="AO144" s="3940"/>
      <c r="AP144" s="3940"/>
      <c r="AQ144" s="3940"/>
      <c r="AR144" s="3940"/>
      <c r="AS144" s="3940"/>
      <c r="AT144" s="3940"/>
      <c r="AU144" s="4264"/>
      <c r="AV144" s="4264"/>
      <c r="AW144" s="4264"/>
      <c r="AX144" s="4264"/>
      <c r="AY144" s="4264"/>
      <c r="AZ144" s="4264"/>
      <c r="BA144" s="4264"/>
      <c r="BB144" s="4264"/>
      <c r="BC144" s="4264"/>
      <c r="BD144" s="4264"/>
      <c r="BE144" s="4264"/>
      <c r="BF144" s="4264"/>
      <c r="BG144" s="4264"/>
      <c r="BH144" s="4264"/>
      <c r="CB144" s="4993"/>
      <c r="CC144" s="4993"/>
      <c r="CD144" s="4993"/>
      <c r="CE144" s="4993"/>
      <c r="CF144" s="4993"/>
      <c r="CG144" s="4993"/>
      <c r="CH144" s="4994"/>
      <c r="CI144" s="4978"/>
      <c r="CJ144" s="4978"/>
      <c r="CK144" s="4978"/>
      <c r="CL144" s="4978"/>
      <c r="CM144" s="4978"/>
      <c r="CN144" s="4978"/>
      <c r="CO144" s="4978"/>
      <c r="CP144" s="4978"/>
      <c r="CQ144" s="4978"/>
      <c r="CR144" s="4978"/>
      <c r="CS144" s="4978"/>
      <c r="CT144" s="4978"/>
      <c r="CU144" s="4978"/>
      <c r="CV144" s="4264"/>
      <c r="CW144" s="4264"/>
      <c r="CX144" s="4264"/>
      <c r="CY144" s="4264"/>
      <c r="CZ144" s="4264"/>
      <c r="DA144" s="4264"/>
    </row>
    <row r="145" spans="1:150" ht="15" customHeight="1" x14ac:dyDescent="0.25">
      <c r="B145" s="10315" t="s">
        <v>29</v>
      </c>
      <c r="C145" s="9479" t="s">
        <v>24</v>
      </c>
      <c r="D145" s="9480"/>
      <c r="E145" s="9481"/>
      <c r="F145" s="10991" t="s">
        <v>3991</v>
      </c>
      <c r="G145" s="10992"/>
      <c r="H145" s="10992"/>
      <c r="I145" s="10992"/>
      <c r="J145" s="10992"/>
      <c r="K145" s="10992"/>
      <c r="L145" s="10992"/>
      <c r="M145" s="10992"/>
      <c r="N145" s="10992"/>
      <c r="O145" s="10992"/>
      <c r="P145" s="10992"/>
      <c r="Q145" s="10992"/>
      <c r="R145" s="10992"/>
      <c r="S145" s="10992"/>
      <c r="T145" s="10992"/>
      <c r="U145" s="10992"/>
      <c r="V145" s="10992"/>
      <c r="W145" s="10992"/>
      <c r="X145" s="10992"/>
      <c r="Y145" s="10992"/>
      <c r="Z145" s="10992"/>
      <c r="AA145" s="10992"/>
      <c r="AB145" s="10992"/>
      <c r="AC145" s="10992"/>
      <c r="AD145" s="10992"/>
      <c r="AE145" s="10992"/>
      <c r="AF145" s="10992"/>
      <c r="AG145" s="10992"/>
      <c r="AH145" s="10992"/>
      <c r="AI145" s="10992"/>
      <c r="AJ145" s="10992"/>
      <c r="AK145" s="10992"/>
      <c r="AL145" s="10992"/>
      <c r="AM145" s="10993"/>
      <c r="AN145" s="10986" t="s">
        <v>646</v>
      </c>
      <c r="AO145" s="10986"/>
      <c r="AP145" s="10326"/>
      <c r="AQ145" s="4264"/>
      <c r="AR145" s="4264"/>
      <c r="AS145" s="4264"/>
      <c r="AT145" s="4264"/>
      <c r="AU145" s="4264"/>
      <c r="AV145" s="4264"/>
      <c r="AW145" s="4264"/>
      <c r="AX145" s="4264"/>
      <c r="AY145" s="4264"/>
      <c r="AZ145" s="4264"/>
      <c r="BA145" s="4264"/>
      <c r="BB145" s="4264"/>
      <c r="BC145" s="4264"/>
      <c r="BD145" s="4264"/>
      <c r="BV145" s="4259"/>
      <c r="BW145" s="4259"/>
      <c r="BX145" s="4260"/>
      <c r="BY145" s="4260"/>
      <c r="CB145" s="4260"/>
      <c r="CC145" s="4260"/>
      <c r="CD145" s="4260"/>
      <c r="CE145" s="4260"/>
      <c r="CF145" s="4260"/>
      <c r="CG145" s="4260"/>
      <c r="CH145" s="4260"/>
      <c r="CI145" s="4260"/>
      <c r="CJ145" s="4260"/>
      <c r="CK145" s="4260"/>
      <c r="CL145" s="4260"/>
      <c r="CM145" s="4260"/>
      <c r="CN145" s="4260"/>
      <c r="CO145" s="4260"/>
      <c r="CP145" s="4260"/>
      <c r="CQ145" s="4260"/>
      <c r="CR145" s="4264"/>
      <c r="CS145" s="4264"/>
      <c r="CT145" s="4264"/>
      <c r="CU145" s="4993"/>
      <c r="CV145" s="4993"/>
      <c r="CW145" s="4993"/>
      <c r="CX145" s="4993"/>
      <c r="CY145" s="4993"/>
      <c r="CZ145" s="4993"/>
      <c r="DA145" s="4994"/>
      <c r="DB145" s="4978"/>
      <c r="DC145" s="4978"/>
      <c r="DD145" s="4978"/>
      <c r="DE145" s="4978"/>
      <c r="DF145" s="4978"/>
      <c r="DG145" s="4978"/>
      <c r="DH145" s="4978"/>
      <c r="DI145" s="4978"/>
      <c r="DJ145" s="4978"/>
      <c r="DK145" s="4978"/>
      <c r="DL145" s="4978"/>
      <c r="DM145" s="4978"/>
      <c r="DN145" s="4978"/>
      <c r="EB145" s="4264"/>
      <c r="EC145" s="4264"/>
      <c r="ED145" s="4264"/>
      <c r="EE145" s="4264"/>
      <c r="EF145" s="4264"/>
      <c r="EG145" s="4264"/>
      <c r="EH145" s="4264"/>
      <c r="EI145" s="4264"/>
      <c r="EJ145" s="4264"/>
      <c r="EK145" s="4264"/>
      <c r="EL145" s="4264"/>
      <c r="EM145" s="4264"/>
      <c r="EN145" s="4264"/>
      <c r="EO145" s="4264"/>
      <c r="EP145" s="4264"/>
      <c r="EQ145" s="4264"/>
      <c r="ER145" s="4264"/>
      <c r="ES145" s="4264"/>
      <c r="ET145" s="4264"/>
    </row>
    <row r="146" spans="1:150" ht="15" customHeight="1" x14ac:dyDescent="0.25">
      <c r="B146" s="10316"/>
      <c r="C146" s="9482"/>
      <c r="D146" s="9483"/>
      <c r="E146" s="9484"/>
      <c r="F146" s="10978" t="s">
        <v>75</v>
      </c>
      <c r="G146" s="10978"/>
      <c r="H146" s="10979" t="s">
        <v>76</v>
      </c>
      <c r="I146" s="10979"/>
      <c r="J146" s="10979" t="s">
        <v>77</v>
      </c>
      <c r="K146" s="10979"/>
      <c r="L146" s="10979" t="s">
        <v>2683</v>
      </c>
      <c r="M146" s="10979"/>
      <c r="N146" s="10978" t="s">
        <v>142</v>
      </c>
      <c r="O146" s="10978"/>
      <c r="P146" s="10978" t="s">
        <v>143</v>
      </c>
      <c r="Q146" s="10978"/>
      <c r="R146" s="10978" t="s">
        <v>144</v>
      </c>
      <c r="S146" s="10978"/>
      <c r="T146" s="10978" t="s">
        <v>7</v>
      </c>
      <c r="U146" s="10978"/>
      <c r="V146" s="10978" t="s">
        <v>8</v>
      </c>
      <c r="W146" s="10978"/>
      <c r="X146" s="10978" t="s">
        <v>145</v>
      </c>
      <c r="Y146" s="10978"/>
      <c r="Z146" s="10978" t="s">
        <v>10</v>
      </c>
      <c r="AA146" s="10978"/>
      <c r="AB146" s="10978" t="s">
        <v>11</v>
      </c>
      <c r="AC146" s="10978"/>
      <c r="AD146" s="10978" t="s">
        <v>12</v>
      </c>
      <c r="AE146" s="10978"/>
      <c r="AF146" s="10978" t="s">
        <v>13</v>
      </c>
      <c r="AG146" s="10978"/>
      <c r="AH146" s="10978" t="s">
        <v>14</v>
      </c>
      <c r="AI146" s="10978"/>
      <c r="AJ146" s="10978" t="s">
        <v>15</v>
      </c>
      <c r="AK146" s="10978"/>
      <c r="AL146" s="9140" t="s">
        <v>16</v>
      </c>
      <c r="AM146" s="10990"/>
      <c r="AN146" s="10247" t="s">
        <v>366</v>
      </c>
      <c r="AO146" s="10987" t="s">
        <v>321</v>
      </c>
      <c r="AP146" s="10265"/>
      <c r="AQ146" s="5210"/>
      <c r="AR146" s="4264"/>
      <c r="AS146" s="4264"/>
      <c r="AT146" s="4264"/>
      <c r="AU146" s="4264"/>
      <c r="AV146" s="4264"/>
      <c r="AW146" s="4264"/>
      <c r="AX146" s="4264"/>
      <c r="AY146" s="4264"/>
      <c r="AZ146" s="4264"/>
      <c r="BA146" s="4264"/>
      <c r="BB146" s="4264"/>
      <c r="BC146" s="4264"/>
      <c r="BD146" s="4264"/>
      <c r="BV146" s="4259"/>
      <c r="BW146" s="4259"/>
      <c r="BX146" s="4260"/>
      <c r="BY146" s="4260"/>
      <c r="CB146" s="4260"/>
      <c r="CC146" s="4260"/>
      <c r="CD146" s="4260"/>
      <c r="CE146" s="4260"/>
      <c r="CF146" s="4260"/>
      <c r="CG146" s="4260"/>
      <c r="CH146" s="4260"/>
      <c r="CI146" s="4260"/>
      <c r="CJ146" s="4260"/>
      <c r="CK146" s="4260"/>
      <c r="CL146" s="4260"/>
      <c r="CM146" s="4260"/>
      <c r="CN146" s="4260"/>
      <c r="CO146" s="4260"/>
      <c r="CP146" s="4260"/>
      <c r="CQ146" s="4260"/>
      <c r="CR146" s="4264"/>
      <c r="CS146" s="4264"/>
      <c r="CT146" s="4264"/>
      <c r="CU146" s="4993"/>
      <c r="CV146" s="4993"/>
      <c r="CW146" s="4993"/>
      <c r="CX146" s="4993"/>
      <c r="CY146" s="4993"/>
      <c r="CZ146" s="4993"/>
      <c r="DA146" s="4994"/>
      <c r="DB146" s="4978"/>
      <c r="DC146" s="4978"/>
      <c r="DD146" s="4978"/>
      <c r="DE146" s="4978"/>
      <c r="DF146" s="4978"/>
      <c r="DG146" s="4978"/>
      <c r="DH146" s="4978"/>
      <c r="DI146" s="4978"/>
      <c r="DJ146" s="4978"/>
      <c r="DK146" s="4978"/>
      <c r="DL146" s="4978"/>
      <c r="DM146" s="4978"/>
      <c r="DN146" s="4978"/>
      <c r="EB146" s="4264"/>
      <c r="EC146" s="4264"/>
      <c r="ED146" s="4264"/>
      <c r="EE146" s="4264"/>
      <c r="EF146" s="4264"/>
      <c r="EG146" s="4264"/>
      <c r="EH146" s="4264"/>
      <c r="EI146" s="4264"/>
      <c r="EJ146" s="4264"/>
      <c r="EK146" s="4264"/>
      <c r="EL146" s="4264"/>
      <c r="EM146" s="4264"/>
      <c r="EN146" s="4264"/>
      <c r="EO146" s="4264"/>
      <c r="EP146" s="4264"/>
      <c r="EQ146" s="4264"/>
      <c r="ER146" s="4264"/>
      <c r="ES146" s="4264"/>
      <c r="ET146" s="4264"/>
    </row>
    <row r="147" spans="1:150" ht="24" customHeight="1" x14ac:dyDescent="0.25">
      <c r="B147" s="10317"/>
      <c r="C147" s="7132" t="s">
        <v>42</v>
      </c>
      <c r="D147" s="7130" t="s">
        <v>17</v>
      </c>
      <c r="E147" s="7133" t="s">
        <v>18</v>
      </c>
      <c r="F147" s="7130" t="s">
        <v>17</v>
      </c>
      <c r="G147" s="7133" t="s">
        <v>18</v>
      </c>
      <c r="H147" s="7130" t="s">
        <v>17</v>
      </c>
      <c r="I147" s="7133" t="s">
        <v>18</v>
      </c>
      <c r="J147" s="7130" t="s">
        <v>17</v>
      </c>
      <c r="K147" s="7133" t="s">
        <v>18</v>
      </c>
      <c r="L147" s="7130" t="s">
        <v>17</v>
      </c>
      <c r="M147" s="7133" t="s">
        <v>18</v>
      </c>
      <c r="N147" s="7130" t="s">
        <v>17</v>
      </c>
      <c r="O147" s="7133" t="s">
        <v>18</v>
      </c>
      <c r="P147" s="7130" t="s">
        <v>17</v>
      </c>
      <c r="Q147" s="7133" t="s">
        <v>18</v>
      </c>
      <c r="R147" s="7130" t="s">
        <v>17</v>
      </c>
      <c r="S147" s="7133" t="s">
        <v>18</v>
      </c>
      <c r="T147" s="7130" t="s">
        <v>17</v>
      </c>
      <c r="U147" s="7133" t="s">
        <v>18</v>
      </c>
      <c r="V147" s="7130" t="s">
        <v>17</v>
      </c>
      <c r="W147" s="7133" t="s">
        <v>18</v>
      </c>
      <c r="X147" s="7130" t="s">
        <v>17</v>
      </c>
      <c r="Y147" s="7133" t="s">
        <v>18</v>
      </c>
      <c r="Z147" s="7130" t="s">
        <v>17</v>
      </c>
      <c r="AA147" s="7133" t="s">
        <v>18</v>
      </c>
      <c r="AB147" s="7130" t="s">
        <v>17</v>
      </c>
      <c r="AC147" s="7133" t="s">
        <v>18</v>
      </c>
      <c r="AD147" s="7130" t="s">
        <v>17</v>
      </c>
      <c r="AE147" s="7133" t="s">
        <v>18</v>
      </c>
      <c r="AF147" s="7130" t="s">
        <v>17</v>
      </c>
      <c r="AG147" s="7133" t="s">
        <v>18</v>
      </c>
      <c r="AH147" s="7130" t="s">
        <v>17</v>
      </c>
      <c r="AI147" s="7133" t="s">
        <v>18</v>
      </c>
      <c r="AJ147" s="7130" t="s">
        <v>17</v>
      </c>
      <c r="AK147" s="7133" t="s">
        <v>18</v>
      </c>
      <c r="AL147" s="7130" t="s">
        <v>17</v>
      </c>
      <c r="AM147" s="7146" t="s">
        <v>18</v>
      </c>
      <c r="AN147" s="10276"/>
      <c r="AO147" s="5211" t="s">
        <v>183</v>
      </c>
      <c r="AP147" s="5212" t="s">
        <v>184</v>
      </c>
      <c r="AQ147" s="4264"/>
      <c r="AR147" s="4264"/>
      <c r="AS147" s="4264"/>
      <c r="AT147" s="4264"/>
      <c r="AU147" s="4264"/>
      <c r="AV147" s="4264"/>
      <c r="AW147" s="4264"/>
      <c r="AX147" s="4264"/>
      <c r="AY147" s="4264"/>
      <c r="AZ147" s="4264"/>
      <c r="BA147" s="4264"/>
      <c r="BB147" s="4264"/>
      <c r="BC147" s="4264"/>
      <c r="BD147" s="4264"/>
      <c r="BV147" s="4259"/>
      <c r="BW147" s="4259"/>
      <c r="BX147" s="4260"/>
      <c r="BY147" s="4260"/>
      <c r="CB147" s="4260"/>
      <c r="CC147" s="4260"/>
      <c r="CD147" s="4260"/>
      <c r="CE147" s="4260"/>
      <c r="CF147" s="4260"/>
      <c r="CG147" s="4260"/>
      <c r="CH147" s="4260"/>
      <c r="CI147" s="4260"/>
      <c r="CJ147" s="4260"/>
      <c r="CK147" s="4260"/>
      <c r="CL147" s="4260"/>
      <c r="CM147" s="4260"/>
      <c r="CN147" s="4260"/>
      <c r="CO147" s="4260"/>
      <c r="CP147" s="4260"/>
      <c r="CQ147" s="4260"/>
      <c r="CR147" s="4264"/>
      <c r="CS147" s="4264"/>
      <c r="CT147" s="4264"/>
      <c r="CU147" s="4993"/>
      <c r="CV147" s="4993"/>
      <c r="CW147" s="4993"/>
      <c r="CX147" s="4993"/>
      <c r="CY147" s="4993"/>
      <c r="CZ147" s="4993"/>
      <c r="DA147" s="4994"/>
      <c r="DB147" s="4978"/>
      <c r="DC147" s="4978"/>
      <c r="DD147" s="4978"/>
      <c r="DE147" s="4978"/>
      <c r="DF147" s="4978"/>
      <c r="DG147" s="4978"/>
      <c r="DH147" s="4978"/>
      <c r="DI147" s="4978"/>
      <c r="DJ147" s="4978"/>
      <c r="DK147" s="4978"/>
      <c r="DL147" s="4978"/>
      <c r="DM147" s="4978"/>
      <c r="DN147" s="4978"/>
      <c r="EB147" s="4264"/>
      <c r="EC147" s="4264"/>
      <c r="ED147" s="4264"/>
      <c r="EE147" s="4264"/>
      <c r="EF147" s="4264"/>
      <c r="EG147" s="4264"/>
      <c r="EH147" s="4264"/>
      <c r="EI147" s="4264"/>
      <c r="EJ147" s="4264"/>
      <c r="EK147" s="4264"/>
      <c r="EL147" s="4264"/>
      <c r="EM147" s="4264"/>
      <c r="EN147" s="4264"/>
      <c r="EO147" s="4264"/>
      <c r="EP147" s="4264"/>
      <c r="EQ147" s="4264"/>
      <c r="ER147" s="4264"/>
      <c r="ES147" s="4264"/>
      <c r="ET147" s="4264"/>
    </row>
    <row r="148" spans="1:150" ht="14.1" customHeight="1" x14ac:dyDescent="0.25">
      <c r="A148" s="7520">
        <v>28021620</v>
      </c>
      <c r="B148" s="5213" t="s">
        <v>157</v>
      </c>
      <c r="C148" s="7131" t="s">
        <v>5369</v>
      </c>
      <c r="D148" s="7127" t="s">
        <v>5370</v>
      </c>
      <c r="E148" s="7127" t="s">
        <v>5371</v>
      </c>
      <c r="F148" s="7144" t="s">
        <v>5372</v>
      </c>
      <c r="G148" s="7147" t="s">
        <v>5373</v>
      </c>
      <c r="H148" s="7144" t="s">
        <v>5374</v>
      </c>
      <c r="I148" s="7147" t="s">
        <v>5375</v>
      </c>
      <c r="J148" s="7144" t="s">
        <v>5376</v>
      </c>
      <c r="K148" s="7147" t="s">
        <v>5377</v>
      </c>
      <c r="L148" s="7144" t="s">
        <v>5378</v>
      </c>
      <c r="M148" s="7147" t="s">
        <v>5379</v>
      </c>
      <c r="N148" s="7144" t="s">
        <v>5380</v>
      </c>
      <c r="O148" s="7147" t="s">
        <v>5381</v>
      </c>
      <c r="P148" s="7144" t="s">
        <v>5382</v>
      </c>
      <c r="Q148" s="7147" t="s">
        <v>5383</v>
      </c>
      <c r="R148" s="7144" t="s">
        <v>5384</v>
      </c>
      <c r="S148" s="7147" t="s">
        <v>5385</v>
      </c>
      <c r="T148" s="7144" t="s">
        <v>5386</v>
      </c>
      <c r="U148" s="7147" t="s">
        <v>5387</v>
      </c>
      <c r="V148" s="7144" t="s">
        <v>5388</v>
      </c>
      <c r="W148" s="7147" t="s">
        <v>5389</v>
      </c>
      <c r="X148" s="7144" t="s">
        <v>5390</v>
      </c>
      <c r="Y148" s="7147" t="s">
        <v>5391</v>
      </c>
      <c r="Z148" s="7144" t="s">
        <v>5392</v>
      </c>
      <c r="AA148" s="7147" t="s">
        <v>5393</v>
      </c>
      <c r="AB148" s="7144" t="s">
        <v>5394</v>
      </c>
      <c r="AC148" s="7147" t="s">
        <v>5395</v>
      </c>
      <c r="AD148" s="7144" t="s">
        <v>5396</v>
      </c>
      <c r="AE148" s="7147" t="s">
        <v>5397</v>
      </c>
      <c r="AF148" s="7144" t="s">
        <v>5398</v>
      </c>
      <c r="AG148" s="7147" t="s">
        <v>5399</v>
      </c>
      <c r="AH148" s="7144" t="s">
        <v>5400</v>
      </c>
      <c r="AI148" s="7147" t="s">
        <v>5401</v>
      </c>
      <c r="AJ148" s="7144" t="s">
        <v>5402</v>
      </c>
      <c r="AK148" s="7147" t="s">
        <v>5403</v>
      </c>
      <c r="AL148" s="7140" t="s">
        <v>5404</v>
      </c>
      <c r="AM148" s="4950" t="s">
        <v>5405</v>
      </c>
      <c r="AN148" s="5214" t="s">
        <v>5406</v>
      </c>
      <c r="AO148" s="4942" t="s">
        <v>5407</v>
      </c>
      <c r="AP148" s="4951" t="s">
        <v>5408</v>
      </c>
      <c r="AQ148" s="5057" t="str">
        <f>CU148</f>
        <v xml:space="preserve">* El número de Consultas Según tipo de atención NO DEBE ser diferente al Total. </v>
      </c>
      <c r="AR148" s="4234"/>
      <c r="AS148" s="4264"/>
      <c r="AT148" s="4264"/>
      <c r="AU148" s="4264"/>
      <c r="AV148" s="4264"/>
      <c r="AW148" s="4264"/>
      <c r="AX148" s="4264"/>
      <c r="AY148" s="4264"/>
      <c r="AZ148" s="4264"/>
      <c r="BA148" s="4264"/>
      <c r="BB148" s="4264"/>
      <c r="BC148" s="4264"/>
      <c r="BD148" s="4264"/>
      <c r="BV148" s="4259"/>
      <c r="BW148" s="4259"/>
      <c r="BZ148" s="4264"/>
      <c r="CA148" s="4264"/>
      <c r="CB148" s="4264"/>
      <c r="CC148" s="4264"/>
      <c r="CD148" s="4264"/>
      <c r="CE148" s="4260"/>
      <c r="CF148" s="4260"/>
      <c r="CG148" s="4260"/>
      <c r="CH148" s="4260"/>
      <c r="CI148" s="4260"/>
      <c r="CJ148" s="4260"/>
      <c r="CK148" s="4260"/>
      <c r="CL148" s="4260"/>
      <c r="CM148" s="4260"/>
      <c r="CN148" s="4260"/>
      <c r="CO148" s="4260"/>
      <c r="CP148" s="4260"/>
      <c r="CQ148" s="4260"/>
      <c r="CR148" s="4264"/>
      <c r="CS148" s="4264"/>
      <c r="CT148" s="4264"/>
      <c r="CU148" s="4993" t="str">
        <f t="shared" ref="CU148:CU176" si="20">IF(DA148=1,"* El número de Consultas Según tipo de atención NO DEBE ser diferente al Total. ","")</f>
        <v xml:space="preserve">* El número de Consultas Según tipo de atención NO DEBE ser diferente al Total. </v>
      </c>
      <c r="CV148" s="4993"/>
      <c r="CW148" s="4993"/>
      <c r="CX148" s="4993"/>
      <c r="CY148" s="4993"/>
      <c r="CZ148" s="4993"/>
      <c r="DA148" s="4994">
        <f t="shared" ref="DA148:DA176" si="21">IF(C148&lt;&gt;SUM(AN148:AP148),1,0)</f>
        <v>1</v>
      </c>
      <c r="DB148" s="4978"/>
      <c r="DC148" s="4978"/>
      <c r="DD148" s="4978"/>
      <c r="DE148" s="4978"/>
      <c r="DF148" s="4978"/>
      <c r="DG148" s="4978"/>
      <c r="DH148" s="4978"/>
      <c r="DI148" s="4978"/>
      <c r="DJ148" s="4978"/>
      <c r="DK148" s="4978"/>
      <c r="DL148" s="4978"/>
      <c r="DM148" s="4978"/>
      <c r="DN148" s="4978"/>
      <c r="EB148" s="4264"/>
      <c r="EC148" s="4264"/>
      <c r="ED148" s="4264"/>
      <c r="EE148" s="4264"/>
      <c r="EF148" s="4264"/>
      <c r="EG148" s="4264"/>
      <c r="EH148" s="4264"/>
      <c r="EI148" s="4264"/>
      <c r="EJ148" s="4264"/>
      <c r="EK148" s="4264"/>
      <c r="EL148" s="4264"/>
      <c r="EM148" s="4264"/>
      <c r="EN148" s="4264"/>
      <c r="EO148" s="4264"/>
      <c r="EP148" s="4264"/>
      <c r="EQ148" s="4264"/>
      <c r="ER148" s="4264"/>
      <c r="ES148" s="4264"/>
      <c r="ET148" s="4264"/>
    </row>
    <row r="149" spans="1:150" ht="14.1" customHeight="1" x14ac:dyDescent="0.25">
      <c r="A149" s="7520">
        <v>28021625</v>
      </c>
      <c r="B149" s="5215" t="s">
        <v>149</v>
      </c>
      <c r="C149" s="5216" t="s">
        <v>5369</v>
      </c>
      <c r="D149" s="7127" t="s">
        <v>5370</v>
      </c>
      <c r="E149" s="7127" t="s">
        <v>5371</v>
      </c>
      <c r="F149" s="4949" t="s">
        <v>5372</v>
      </c>
      <c r="G149" s="3841" t="s">
        <v>5373</v>
      </c>
      <c r="H149" s="4949" t="s">
        <v>5374</v>
      </c>
      <c r="I149" s="3841" t="s">
        <v>5375</v>
      </c>
      <c r="J149" s="4949" t="s">
        <v>5376</v>
      </c>
      <c r="K149" s="3841" t="s">
        <v>5377</v>
      </c>
      <c r="L149" s="4949" t="s">
        <v>5378</v>
      </c>
      <c r="M149" s="3841" t="s">
        <v>5379</v>
      </c>
      <c r="N149" s="4949" t="s">
        <v>5380</v>
      </c>
      <c r="O149" s="3841" t="s">
        <v>5381</v>
      </c>
      <c r="P149" s="4949" t="s">
        <v>5382</v>
      </c>
      <c r="Q149" s="3841" t="s">
        <v>5383</v>
      </c>
      <c r="R149" s="4949" t="s">
        <v>5384</v>
      </c>
      <c r="S149" s="3841" t="s">
        <v>5385</v>
      </c>
      <c r="T149" s="4949" t="s">
        <v>5386</v>
      </c>
      <c r="U149" s="3841" t="s">
        <v>5387</v>
      </c>
      <c r="V149" s="4949" t="s">
        <v>5388</v>
      </c>
      <c r="W149" s="3841" t="s">
        <v>5389</v>
      </c>
      <c r="X149" s="4949" t="s">
        <v>5390</v>
      </c>
      <c r="Y149" s="3841" t="s">
        <v>5391</v>
      </c>
      <c r="Z149" s="4949" t="s">
        <v>5392</v>
      </c>
      <c r="AA149" s="3841" t="s">
        <v>5393</v>
      </c>
      <c r="AB149" s="4949" t="s">
        <v>5394</v>
      </c>
      <c r="AC149" s="3841" t="s">
        <v>5395</v>
      </c>
      <c r="AD149" s="4949" t="s">
        <v>5396</v>
      </c>
      <c r="AE149" s="3841" t="s">
        <v>5397</v>
      </c>
      <c r="AF149" s="4949" t="s">
        <v>5398</v>
      </c>
      <c r="AG149" s="3841" t="s">
        <v>5399</v>
      </c>
      <c r="AH149" s="4949" t="s">
        <v>5400</v>
      </c>
      <c r="AI149" s="3841" t="s">
        <v>5401</v>
      </c>
      <c r="AJ149" s="4949" t="s">
        <v>5402</v>
      </c>
      <c r="AK149" s="3841" t="s">
        <v>5403</v>
      </c>
      <c r="AL149" s="7140" t="s">
        <v>5404</v>
      </c>
      <c r="AM149" s="4950" t="s">
        <v>5405</v>
      </c>
      <c r="AN149" s="5214" t="s">
        <v>5406</v>
      </c>
      <c r="AO149" s="4942" t="s">
        <v>5407</v>
      </c>
      <c r="AP149" s="4951" t="s">
        <v>5408</v>
      </c>
      <c r="AQ149" s="5057" t="str">
        <f t="shared" ref="AQ149:AQ182" si="22">CU149</f>
        <v xml:space="preserve">* El número de Consultas Según tipo de atención NO DEBE ser diferente al Total. </v>
      </c>
      <c r="AR149" s="4234"/>
      <c r="AS149" s="4264"/>
      <c r="AT149" s="4264"/>
      <c r="AU149" s="4264"/>
      <c r="AV149" s="4264"/>
      <c r="AW149" s="4264"/>
      <c r="AX149" s="4264"/>
      <c r="AY149" s="4264"/>
      <c r="AZ149" s="4264"/>
      <c r="BA149" s="4264"/>
      <c r="BB149" s="4264"/>
      <c r="BC149" s="4264"/>
      <c r="BD149" s="4264"/>
      <c r="BV149" s="4259"/>
      <c r="BW149" s="4259"/>
      <c r="BZ149" s="4264"/>
      <c r="CA149" s="4264"/>
      <c r="CB149" s="4264"/>
      <c r="CC149" s="4264"/>
      <c r="CD149" s="4264"/>
      <c r="CE149" s="4260"/>
      <c r="CF149" s="4260"/>
      <c r="CG149" s="4260"/>
      <c r="CH149" s="4260"/>
      <c r="CI149" s="4260"/>
      <c r="CJ149" s="4260"/>
      <c r="CK149" s="4260"/>
      <c r="CL149" s="4260"/>
      <c r="CM149" s="4260"/>
      <c r="CN149" s="4260"/>
      <c r="CO149" s="4260"/>
      <c r="CP149" s="4260"/>
      <c r="CQ149" s="4260"/>
      <c r="CR149" s="4264"/>
      <c r="CS149" s="4264"/>
      <c r="CT149" s="4264"/>
      <c r="CU149" s="4993" t="str">
        <f t="shared" si="20"/>
        <v xml:space="preserve">* El número de Consultas Según tipo de atención NO DEBE ser diferente al Total. </v>
      </c>
      <c r="CV149" s="4993"/>
      <c r="CW149" s="4993"/>
      <c r="CX149" s="4993"/>
      <c r="CY149" s="4993"/>
      <c r="CZ149" s="4993"/>
      <c r="DA149" s="4994">
        <f t="shared" si="21"/>
        <v>1</v>
      </c>
      <c r="DB149" s="4978"/>
      <c r="DC149" s="4978"/>
      <c r="DD149" s="4978"/>
      <c r="DE149" s="4978"/>
      <c r="DF149" s="4978"/>
      <c r="DG149" s="4978"/>
      <c r="DH149" s="4978"/>
      <c r="DI149" s="4978"/>
      <c r="DJ149" s="4978"/>
      <c r="DK149" s="4978"/>
      <c r="DL149" s="4978"/>
      <c r="DM149" s="4978"/>
      <c r="DN149" s="4978"/>
      <c r="EB149" s="4264"/>
      <c r="EC149" s="4264"/>
      <c r="ED149" s="4264"/>
      <c r="EE149" s="4264"/>
      <c r="EF149" s="4264"/>
      <c r="EG149" s="4264"/>
      <c r="EH149" s="4264"/>
      <c r="EI149" s="4264"/>
      <c r="EJ149" s="4264"/>
      <c r="EK149" s="4264"/>
      <c r="EL149" s="4264"/>
      <c r="EM149" s="4264"/>
      <c r="EN149" s="4264"/>
      <c r="EO149" s="4264"/>
      <c r="EP149" s="4264"/>
      <c r="EQ149" s="4264"/>
      <c r="ER149" s="4264"/>
      <c r="ES149" s="4264"/>
      <c r="ET149" s="4264"/>
    </row>
    <row r="150" spans="1:150" ht="14.1" customHeight="1" x14ac:dyDescent="0.25">
      <c r="A150" s="7520">
        <v>28020960</v>
      </c>
      <c r="B150" s="5078" t="s">
        <v>3554</v>
      </c>
      <c r="C150" s="5217" t="s">
        <v>5369</v>
      </c>
      <c r="D150" s="7127" t="s">
        <v>5370</v>
      </c>
      <c r="E150" s="7127" t="s">
        <v>5371</v>
      </c>
      <c r="F150" s="6610" t="s">
        <v>5372</v>
      </c>
      <c r="G150" s="7148" t="s">
        <v>5373</v>
      </c>
      <c r="H150" s="6610" t="s">
        <v>5374</v>
      </c>
      <c r="I150" s="7148" t="s">
        <v>5375</v>
      </c>
      <c r="J150" s="6610" t="s">
        <v>5376</v>
      </c>
      <c r="K150" s="7148" t="s">
        <v>5377</v>
      </c>
      <c r="L150" s="6610" t="s">
        <v>5378</v>
      </c>
      <c r="M150" s="7148" t="s">
        <v>5379</v>
      </c>
      <c r="N150" s="6610" t="s">
        <v>5380</v>
      </c>
      <c r="O150" s="7148" t="s">
        <v>5381</v>
      </c>
      <c r="P150" s="6610" t="s">
        <v>5382</v>
      </c>
      <c r="Q150" s="7148" t="s">
        <v>5383</v>
      </c>
      <c r="R150" s="6610" t="s">
        <v>5384</v>
      </c>
      <c r="S150" s="7148" t="s">
        <v>5385</v>
      </c>
      <c r="T150" s="6610" t="s">
        <v>5386</v>
      </c>
      <c r="U150" s="7148" t="s">
        <v>5387</v>
      </c>
      <c r="V150" s="6610" t="s">
        <v>5388</v>
      </c>
      <c r="W150" s="7148" t="s">
        <v>5389</v>
      </c>
      <c r="X150" s="6610" t="s">
        <v>5390</v>
      </c>
      <c r="Y150" s="7148" t="s">
        <v>5391</v>
      </c>
      <c r="Z150" s="6610" t="s">
        <v>5392</v>
      </c>
      <c r="AA150" s="7148" t="s">
        <v>5393</v>
      </c>
      <c r="AB150" s="6610" t="s">
        <v>5394</v>
      </c>
      <c r="AC150" s="7148" t="s">
        <v>5395</v>
      </c>
      <c r="AD150" s="6610" t="s">
        <v>5396</v>
      </c>
      <c r="AE150" s="7148" t="s">
        <v>5397</v>
      </c>
      <c r="AF150" s="6610" t="s">
        <v>5398</v>
      </c>
      <c r="AG150" s="7148" t="s">
        <v>5399</v>
      </c>
      <c r="AH150" s="6610" t="s">
        <v>5400</v>
      </c>
      <c r="AI150" s="7148" t="s">
        <v>5401</v>
      </c>
      <c r="AJ150" s="6610" t="s">
        <v>5402</v>
      </c>
      <c r="AK150" s="7148" t="s">
        <v>5403</v>
      </c>
      <c r="AL150" s="7141" t="s">
        <v>5404</v>
      </c>
      <c r="AM150" s="3907" t="s">
        <v>5405</v>
      </c>
      <c r="AN150" s="4955" t="s">
        <v>5406</v>
      </c>
      <c r="AO150" s="4948" t="s">
        <v>5407</v>
      </c>
      <c r="AP150" s="4038" t="s">
        <v>5408</v>
      </c>
      <c r="AQ150" s="5057" t="str">
        <f t="shared" si="22"/>
        <v xml:space="preserve">* El número de Consultas Según tipo de atención NO DEBE ser diferente al Total. </v>
      </c>
      <c r="AR150" s="4234"/>
      <c r="AS150" s="4264"/>
      <c r="AT150" s="4264"/>
      <c r="AU150" s="4264"/>
      <c r="AV150" s="4264"/>
      <c r="AW150" s="4264"/>
      <c r="AX150" s="4264"/>
      <c r="AY150" s="4264"/>
      <c r="AZ150" s="4264"/>
      <c r="BA150" s="4264"/>
      <c r="BB150" s="4264"/>
      <c r="BV150" s="4259"/>
      <c r="BW150" s="4259"/>
      <c r="BZ150" s="4264"/>
      <c r="CA150" s="4264"/>
      <c r="CB150" s="4264"/>
      <c r="CC150" s="4264"/>
      <c r="CD150" s="4264"/>
      <c r="CE150" s="4260"/>
      <c r="CF150" s="4260"/>
      <c r="CG150" s="4260"/>
      <c r="CH150" s="4260"/>
      <c r="CI150" s="4260"/>
      <c r="CJ150" s="4260"/>
      <c r="CK150" s="4260"/>
      <c r="CL150" s="4260"/>
      <c r="CM150" s="4260"/>
      <c r="CN150" s="4260"/>
      <c r="CO150" s="4260"/>
      <c r="CP150" s="4260"/>
      <c r="CQ150" s="4260"/>
      <c r="CR150" s="4264"/>
      <c r="CS150" s="4264"/>
      <c r="CT150" s="4264"/>
      <c r="CU150" s="4993" t="str">
        <f t="shared" si="20"/>
        <v xml:space="preserve">* El número de Consultas Según tipo de atención NO DEBE ser diferente al Total. </v>
      </c>
      <c r="CV150" s="4993"/>
      <c r="CW150" s="4993"/>
      <c r="CX150" s="4993"/>
      <c r="CY150" s="4993"/>
      <c r="CZ150" s="4993"/>
      <c r="DA150" s="4994">
        <f t="shared" si="21"/>
        <v>1</v>
      </c>
      <c r="DB150" s="4978"/>
      <c r="DC150" s="4978"/>
      <c r="DD150" s="4978"/>
      <c r="DE150" s="4978"/>
      <c r="DF150" s="4978"/>
      <c r="DG150" s="4978"/>
      <c r="DH150" s="4978"/>
      <c r="DI150" s="4978"/>
      <c r="DJ150" s="4978"/>
      <c r="DK150" s="4978"/>
      <c r="DL150" s="4978"/>
      <c r="DM150" s="4978"/>
      <c r="DN150" s="4978"/>
      <c r="EB150" s="4264"/>
      <c r="EC150" s="4264"/>
      <c r="ED150" s="4264"/>
      <c r="EE150" s="4264"/>
      <c r="EF150" s="4264"/>
      <c r="EG150" s="4264"/>
      <c r="EH150" s="4264"/>
      <c r="EI150" s="4264"/>
      <c r="EJ150" s="4264"/>
      <c r="EK150" s="4264"/>
      <c r="EL150" s="4264"/>
      <c r="EM150" s="4264"/>
      <c r="EN150" s="4264"/>
      <c r="EO150" s="4264"/>
      <c r="EP150" s="4264"/>
      <c r="EQ150" s="4264"/>
      <c r="ER150" s="4264"/>
      <c r="ES150" s="4264"/>
      <c r="ET150" s="4264"/>
    </row>
    <row r="151" spans="1:150" ht="14.1" customHeight="1" x14ac:dyDescent="0.25">
      <c r="A151" s="7520">
        <v>28020940</v>
      </c>
      <c r="B151" s="5078" t="s">
        <v>2822</v>
      </c>
      <c r="C151" s="5218" t="s">
        <v>5369</v>
      </c>
      <c r="D151" s="7127" t="s">
        <v>5370</v>
      </c>
      <c r="E151" s="7127" t="s">
        <v>5371</v>
      </c>
      <c r="F151" s="4949" t="s">
        <v>5372</v>
      </c>
      <c r="G151" s="3841" t="s">
        <v>5373</v>
      </c>
      <c r="H151" s="4949" t="s">
        <v>5374</v>
      </c>
      <c r="I151" s="3841" t="s">
        <v>5375</v>
      </c>
      <c r="J151" s="4949" t="s">
        <v>5376</v>
      </c>
      <c r="K151" s="3841" t="s">
        <v>5377</v>
      </c>
      <c r="L151" s="4949" t="s">
        <v>5378</v>
      </c>
      <c r="M151" s="3841" t="s">
        <v>5379</v>
      </c>
      <c r="N151" s="4949" t="s">
        <v>5380</v>
      </c>
      <c r="O151" s="3841" t="s">
        <v>5381</v>
      </c>
      <c r="P151" s="4949" t="s">
        <v>5382</v>
      </c>
      <c r="Q151" s="3841" t="s">
        <v>5383</v>
      </c>
      <c r="R151" s="4949" t="s">
        <v>5384</v>
      </c>
      <c r="S151" s="3841" t="s">
        <v>5385</v>
      </c>
      <c r="T151" s="4949" t="s">
        <v>5386</v>
      </c>
      <c r="U151" s="3841" t="s">
        <v>5387</v>
      </c>
      <c r="V151" s="4949" t="s">
        <v>5388</v>
      </c>
      <c r="W151" s="3841" t="s">
        <v>5389</v>
      </c>
      <c r="X151" s="4949" t="s">
        <v>5390</v>
      </c>
      <c r="Y151" s="3841" t="s">
        <v>5391</v>
      </c>
      <c r="Z151" s="4949" t="s">
        <v>5392</v>
      </c>
      <c r="AA151" s="3841" t="s">
        <v>5393</v>
      </c>
      <c r="AB151" s="4949" t="s">
        <v>5394</v>
      </c>
      <c r="AC151" s="3841" t="s">
        <v>5395</v>
      </c>
      <c r="AD151" s="4949" t="s">
        <v>5396</v>
      </c>
      <c r="AE151" s="3841" t="s">
        <v>5397</v>
      </c>
      <c r="AF151" s="4949" t="s">
        <v>5398</v>
      </c>
      <c r="AG151" s="3841" t="s">
        <v>5399</v>
      </c>
      <c r="AH151" s="4949" t="s">
        <v>5400</v>
      </c>
      <c r="AI151" s="3841" t="s">
        <v>5401</v>
      </c>
      <c r="AJ151" s="4949" t="s">
        <v>5402</v>
      </c>
      <c r="AK151" s="3841" t="s">
        <v>5403</v>
      </c>
      <c r="AL151" s="7140" t="s">
        <v>5404</v>
      </c>
      <c r="AM151" s="4950" t="s">
        <v>5405</v>
      </c>
      <c r="AN151" s="5214" t="s">
        <v>5406</v>
      </c>
      <c r="AO151" s="4942" t="s">
        <v>5407</v>
      </c>
      <c r="AP151" s="4951" t="s">
        <v>5408</v>
      </c>
      <c r="AQ151" s="5057" t="str">
        <f t="shared" si="22"/>
        <v xml:space="preserve">* El número de Consultas Según tipo de atención NO DEBE ser diferente al Total. </v>
      </c>
      <c r="AR151" s="4264"/>
      <c r="AS151" s="4264"/>
      <c r="AT151" s="4264"/>
      <c r="AU151" s="4264"/>
      <c r="AV151" s="4264"/>
      <c r="AW151" s="4264"/>
      <c r="AX151" s="4264"/>
      <c r="AY151" s="4264"/>
      <c r="AZ151" s="4264"/>
      <c r="BA151" s="4264"/>
      <c r="BB151" s="4264"/>
      <c r="BV151" s="4259"/>
      <c r="BW151" s="4259"/>
      <c r="BZ151" s="4264"/>
      <c r="CA151" s="4264"/>
      <c r="CB151" s="4264"/>
      <c r="CC151" s="4264"/>
      <c r="CD151" s="4264"/>
      <c r="CE151" s="4260"/>
      <c r="CF151" s="4260"/>
      <c r="CG151" s="4260"/>
      <c r="CH151" s="4260"/>
      <c r="CI151" s="4260"/>
      <c r="CJ151" s="4260"/>
      <c r="CK151" s="4260"/>
      <c r="CL151" s="4260"/>
      <c r="CM151" s="4260"/>
      <c r="CN151" s="4260"/>
      <c r="CO151" s="4260"/>
      <c r="CP151" s="4260"/>
      <c r="CQ151" s="4260"/>
      <c r="CR151" s="4264"/>
      <c r="CS151" s="4264"/>
      <c r="CT151" s="4264"/>
      <c r="CU151" s="4993" t="str">
        <f t="shared" si="20"/>
        <v xml:space="preserve">* El número de Consultas Según tipo de atención NO DEBE ser diferente al Total. </v>
      </c>
      <c r="CV151" s="4993"/>
      <c r="CW151" s="4993"/>
      <c r="CX151" s="4993"/>
      <c r="CY151" s="4993"/>
      <c r="CZ151" s="4993"/>
      <c r="DA151" s="4994">
        <f t="shared" si="21"/>
        <v>1</v>
      </c>
      <c r="DB151" s="4978"/>
      <c r="DC151" s="4978"/>
      <c r="DD151" s="4978"/>
      <c r="DE151" s="4978"/>
      <c r="DF151" s="4978"/>
      <c r="DG151" s="4978"/>
      <c r="DH151" s="4978"/>
      <c r="DI151" s="4978"/>
      <c r="DJ151" s="4978"/>
      <c r="DK151" s="4978"/>
      <c r="DL151" s="4978"/>
      <c r="DM151" s="4978"/>
      <c r="DN151" s="4978"/>
      <c r="EB151" s="4264"/>
      <c r="EC151" s="4264"/>
      <c r="ED151" s="4264"/>
      <c r="EE151" s="4264"/>
      <c r="EF151" s="4264"/>
      <c r="EG151" s="4264"/>
      <c r="EH151" s="4264"/>
      <c r="EI151" s="4264"/>
      <c r="EJ151" s="4264"/>
      <c r="EK151" s="4264"/>
      <c r="EL151" s="4264"/>
      <c r="EM151" s="4264"/>
      <c r="EN151" s="4264"/>
      <c r="EO151" s="4264"/>
      <c r="EP151" s="4264"/>
      <c r="EQ151" s="4264"/>
      <c r="ER151" s="4264"/>
      <c r="ES151" s="4264"/>
      <c r="ET151" s="4264"/>
    </row>
    <row r="152" spans="1:150" ht="14.1" customHeight="1" x14ac:dyDescent="0.25">
      <c r="A152" s="7520">
        <v>28020950</v>
      </c>
      <c r="B152" s="5078" t="s">
        <v>2823</v>
      </c>
      <c r="C152" s="5218" t="s">
        <v>5369</v>
      </c>
      <c r="D152" s="7127" t="s">
        <v>5370</v>
      </c>
      <c r="E152" s="7127" t="s">
        <v>5371</v>
      </c>
      <c r="F152" s="4949" t="s">
        <v>5372</v>
      </c>
      <c r="G152" s="3841" t="s">
        <v>5373</v>
      </c>
      <c r="H152" s="4949" t="s">
        <v>5374</v>
      </c>
      <c r="I152" s="3841" t="s">
        <v>5375</v>
      </c>
      <c r="J152" s="4949" t="s">
        <v>5376</v>
      </c>
      <c r="K152" s="3841" t="s">
        <v>5377</v>
      </c>
      <c r="L152" s="4949" t="s">
        <v>5378</v>
      </c>
      <c r="M152" s="3841" t="s">
        <v>5379</v>
      </c>
      <c r="N152" s="4949" t="s">
        <v>5380</v>
      </c>
      <c r="O152" s="3841" t="s">
        <v>5381</v>
      </c>
      <c r="P152" s="4949" t="s">
        <v>5382</v>
      </c>
      <c r="Q152" s="3841" t="s">
        <v>5383</v>
      </c>
      <c r="R152" s="4949" t="s">
        <v>5384</v>
      </c>
      <c r="S152" s="3841" t="s">
        <v>5385</v>
      </c>
      <c r="T152" s="4949" t="s">
        <v>5386</v>
      </c>
      <c r="U152" s="3841" t="s">
        <v>5387</v>
      </c>
      <c r="V152" s="4949" t="s">
        <v>5388</v>
      </c>
      <c r="W152" s="3841" t="s">
        <v>5389</v>
      </c>
      <c r="X152" s="4949" t="s">
        <v>5390</v>
      </c>
      <c r="Y152" s="3841" t="s">
        <v>5391</v>
      </c>
      <c r="Z152" s="4949" t="s">
        <v>5392</v>
      </c>
      <c r="AA152" s="3841" t="s">
        <v>5393</v>
      </c>
      <c r="AB152" s="4949" t="s">
        <v>5394</v>
      </c>
      <c r="AC152" s="3841" t="s">
        <v>5395</v>
      </c>
      <c r="AD152" s="4949" t="s">
        <v>5396</v>
      </c>
      <c r="AE152" s="3841" t="s">
        <v>5397</v>
      </c>
      <c r="AF152" s="4949" t="s">
        <v>5398</v>
      </c>
      <c r="AG152" s="3841" t="s">
        <v>5399</v>
      </c>
      <c r="AH152" s="4949" t="s">
        <v>5400</v>
      </c>
      <c r="AI152" s="3841" t="s">
        <v>5401</v>
      </c>
      <c r="AJ152" s="4949" t="s">
        <v>5402</v>
      </c>
      <c r="AK152" s="3841" t="s">
        <v>5403</v>
      </c>
      <c r="AL152" s="7140" t="s">
        <v>5404</v>
      </c>
      <c r="AM152" s="4950" t="s">
        <v>5405</v>
      </c>
      <c r="AN152" s="5214" t="s">
        <v>5406</v>
      </c>
      <c r="AO152" s="4942" t="s">
        <v>5407</v>
      </c>
      <c r="AP152" s="4951" t="s">
        <v>5408</v>
      </c>
      <c r="AQ152" s="5057" t="str">
        <f t="shared" si="22"/>
        <v xml:space="preserve">* El número de Consultas Según tipo de atención NO DEBE ser diferente al Total. </v>
      </c>
      <c r="AR152" s="4992"/>
      <c r="AS152" s="4992"/>
      <c r="AT152" s="4992"/>
      <c r="AU152" s="4992"/>
      <c r="AV152" s="4992"/>
      <c r="AW152" s="4992"/>
      <c r="AX152" s="4992"/>
      <c r="AY152" s="4992"/>
      <c r="AZ152" s="4992"/>
      <c r="BA152" s="4992"/>
      <c r="BB152" s="4264"/>
      <c r="BV152" s="4259"/>
      <c r="BW152" s="4259"/>
      <c r="BZ152" s="4264"/>
      <c r="CA152" s="4264"/>
      <c r="CB152" s="4264"/>
      <c r="CC152" s="4264"/>
      <c r="CD152" s="4264"/>
      <c r="CE152" s="4260"/>
      <c r="CF152" s="4260"/>
      <c r="CG152" s="4260"/>
      <c r="CH152" s="4260"/>
      <c r="CI152" s="4260"/>
      <c r="CJ152" s="4260"/>
      <c r="CK152" s="4260"/>
      <c r="CL152" s="4260"/>
      <c r="CM152" s="4260"/>
      <c r="CN152" s="4260"/>
      <c r="CO152" s="4260"/>
      <c r="CP152" s="4260"/>
      <c r="CQ152" s="4260"/>
      <c r="CR152" s="4264"/>
      <c r="CS152" s="4264"/>
      <c r="CT152" s="4264"/>
      <c r="CU152" s="4993" t="str">
        <f t="shared" si="20"/>
        <v xml:space="preserve">* El número de Consultas Según tipo de atención NO DEBE ser diferente al Total. </v>
      </c>
      <c r="CV152" s="4993"/>
      <c r="CW152" s="4993"/>
      <c r="CX152" s="4993"/>
      <c r="CY152" s="4993"/>
      <c r="CZ152" s="4993"/>
      <c r="DA152" s="4994">
        <f t="shared" si="21"/>
        <v>1</v>
      </c>
      <c r="DB152" s="4978"/>
      <c r="DC152" s="4978"/>
      <c r="DD152" s="4978"/>
      <c r="DE152" s="4978"/>
      <c r="DF152" s="4978"/>
      <c r="DG152" s="4978"/>
      <c r="DH152" s="4978"/>
      <c r="DI152" s="4978"/>
      <c r="DJ152" s="4978"/>
      <c r="DK152" s="4978"/>
      <c r="DL152" s="4978"/>
      <c r="DM152" s="4978"/>
      <c r="DN152" s="4978"/>
      <c r="EB152" s="4264"/>
      <c r="EC152" s="4264"/>
      <c r="ED152" s="4264"/>
      <c r="EE152" s="4264"/>
      <c r="EF152" s="4264"/>
      <c r="EG152" s="4264"/>
      <c r="EH152" s="4264"/>
      <c r="EI152" s="4264"/>
      <c r="EJ152" s="4264"/>
      <c r="EK152" s="4264"/>
      <c r="EL152" s="4264"/>
      <c r="EM152" s="4264"/>
      <c r="EN152" s="4264"/>
      <c r="EO152" s="4264"/>
      <c r="EP152" s="4264"/>
      <c r="EQ152" s="4264"/>
      <c r="ER152" s="4264"/>
      <c r="ES152" s="4264"/>
      <c r="ET152" s="4264"/>
    </row>
    <row r="153" spans="1:150" ht="14.1" customHeight="1" x14ac:dyDescent="0.25">
      <c r="A153" s="7520">
        <v>28021160</v>
      </c>
      <c r="B153" s="5078" t="s">
        <v>319</v>
      </c>
      <c r="C153" s="5218" t="s">
        <v>5369</v>
      </c>
      <c r="D153" s="7127" t="s">
        <v>5370</v>
      </c>
      <c r="E153" s="7127" t="s">
        <v>5371</v>
      </c>
      <c r="F153" s="4949" t="s">
        <v>5372</v>
      </c>
      <c r="G153" s="3841" t="s">
        <v>5373</v>
      </c>
      <c r="H153" s="4949" t="s">
        <v>5374</v>
      </c>
      <c r="I153" s="3841" t="s">
        <v>5375</v>
      </c>
      <c r="J153" s="4949" t="s">
        <v>5376</v>
      </c>
      <c r="K153" s="3841" t="s">
        <v>5377</v>
      </c>
      <c r="L153" s="4949" t="s">
        <v>5378</v>
      </c>
      <c r="M153" s="3841" t="s">
        <v>5379</v>
      </c>
      <c r="N153" s="4949" t="s">
        <v>5380</v>
      </c>
      <c r="O153" s="3841" t="s">
        <v>5381</v>
      </c>
      <c r="P153" s="4949" t="s">
        <v>5382</v>
      </c>
      <c r="Q153" s="3841" t="s">
        <v>5383</v>
      </c>
      <c r="R153" s="4949" t="s">
        <v>5384</v>
      </c>
      <c r="S153" s="3841" t="s">
        <v>5385</v>
      </c>
      <c r="T153" s="4949" t="s">
        <v>5386</v>
      </c>
      <c r="U153" s="3841" t="s">
        <v>5387</v>
      </c>
      <c r="V153" s="4949" t="s">
        <v>5388</v>
      </c>
      <c r="W153" s="3841" t="s">
        <v>5389</v>
      </c>
      <c r="X153" s="4949" t="s">
        <v>5390</v>
      </c>
      <c r="Y153" s="3841" t="s">
        <v>5391</v>
      </c>
      <c r="Z153" s="4949" t="s">
        <v>5392</v>
      </c>
      <c r="AA153" s="3841" t="s">
        <v>5393</v>
      </c>
      <c r="AB153" s="4949" t="s">
        <v>5394</v>
      </c>
      <c r="AC153" s="3841" t="s">
        <v>5395</v>
      </c>
      <c r="AD153" s="4949" t="s">
        <v>5396</v>
      </c>
      <c r="AE153" s="3841" t="s">
        <v>5397</v>
      </c>
      <c r="AF153" s="4949" t="s">
        <v>5398</v>
      </c>
      <c r="AG153" s="3841" t="s">
        <v>5399</v>
      </c>
      <c r="AH153" s="4949" t="s">
        <v>5400</v>
      </c>
      <c r="AI153" s="3841" t="s">
        <v>5401</v>
      </c>
      <c r="AJ153" s="4949" t="s">
        <v>5402</v>
      </c>
      <c r="AK153" s="3841" t="s">
        <v>5403</v>
      </c>
      <c r="AL153" s="7140" t="s">
        <v>5404</v>
      </c>
      <c r="AM153" s="4950" t="s">
        <v>5405</v>
      </c>
      <c r="AN153" s="5214" t="s">
        <v>5406</v>
      </c>
      <c r="AO153" s="4942" t="s">
        <v>5407</v>
      </c>
      <c r="AP153" s="4951" t="s">
        <v>5408</v>
      </c>
      <c r="AQ153" s="5057" t="str">
        <f t="shared" si="22"/>
        <v xml:space="preserve">* El número de Consultas Según tipo de atención NO DEBE ser diferente al Total. </v>
      </c>
      <c r="AR153" s="4992"/>
      <c r="AS153" s="4992"/>
      <c r="AT153" s="4992"/>
      <c r="AU153" s="4992"/>
      <c r="AV153" s="4992"/>
      <c r="AW153" s="4992"/>
      <c r="AX153" s="4992"/>
      <c r="AY153" s="4992"/>
      <c r="AZ153" s="4992"/>
      <c r="BA153" s="4992"/>
      <c r="BB153" s="4264"/>
      <c r="BV153" s="4259"/>
      <c r="BW153" s="4259"/>
      <c r="BZ153" s="4264"/>
      <c r="CA153" s="4264"/>
      <c r="CB153" s="4264"/>
      <c r="CC153" s="4264"/>
      <c r="CD153" s="4264"/>
      <c r="CE153" s="4260"/>
      <c r="CF153" s="4260"/>
      <c r="CG153" s="4260"/>
      <c r="CH153" s="4260"/>
      <c r="CI153" s="4260"/>
      <c r="CJ153" s="4260"/>
      <c r="CK153" s="4260"/>
      <c r="CL153" s="4260"/>
      <c r="CM153" s="4260"/>
      <c r="CN153" s="4260"/>
      <c r="CO153" s="4260"/>
      <c r="CP153" s="4260"/>
      <c r="CQ153" s="4260"/>
      <c r="CR153" s="4264"/>
      <c r="CS153" s="4264"/>
      <c r="CT153" s="4264"/>
      <c r="CU153" s="4993" t="str">
        <f t="shared" si="20"/>
        <v xml:space="preserve">* El número de Consultas Según tipo de atención NO DEBE ser diferente al Total. </v>
      </c>
      <c r="CV153" s="4993"/>
      <c r="CW153" s="4993"/>
      <c r="CX153" s="4993"/>
      <c r="CY153" s="4993"/>
      <c r="CZ153" s="4993"/>
      <c r="DA153" s="4994">
        <f t="shared" si="21"/>
        <v>1</v>
      </c>
      <c r="DB153" s="4978"/>
      <c r="DC153" s="4978"/>
      <c r="DD153" s="4978"/>
      <c r="DE153" s="4978"/>
      <c r="DF153" s="4978"/>
      <c r="DG153" s="4978"/>
      <c r="DH153" s="4978"/>
      <c r="DI153" s="4978"/>
      <c r="DJ153" s="4978"/>
      <c r="DK153" s="4978"/>
      <c r="DL153" s="4978"/>
      <c r="DM153" s="4978"/>
      <c r="DN153" s="4978"/>
      <c r="EB153" s="4264"/>
      <c r="EC153" s="4264"/>
      <c r="ED153" s="4264"/>
      <c r="EE153" s="4264"/>
      <c r="EF153" s="4264"/>
      <c r="EG153" s="4264"/>
      <c r="EH153" s="4264"/>
      <c r="EI153" s="4264"/>
      <c r="EJ153" s="4264"/>
      <c r="EK153" s="4264"/>
      <c r="EL153" s="4264"/>
      <c r="EM153" s="4264"/>
      <c r="EN153" s="4264"/>
      <c r="EO153" s="4264"/>
      <c r="EP153" s="4264"/>
      <c r="EQ153" s="4264"/>
      <c r="ER153" s="4264"/>
      <c r="ES153" s="4264"/>
      <c r="ET153" s="4264"/>
    </row>
    <row r="154" spans="1:150" ht="14.1" customHeight="1" x14ac:dyDescent="0.25">
      <c r="A154" s="7520">
        <v>28021170</v>
      </c>
      <c r="B154" s="5078" t="s">
        <v>320</v>
      </c>
      <c r="C154" s="5218" t="s">
        <v>5369</v>
      </c>
      <c r="D154" s="7127" t="s">
        <v>5370</v>
      </c>
      <c r="E154" s="7127" t="s">
        <v>5371</v>
      </c>
      <c r="F154" s="4949" t="s">
        <v>5372</v>
      </c>
      <c r="G154" s="3841" t="s">
        <v>5373</v>
      </c>
      <c r="H154" s="4949" t="s">
        <v>5374</v>
      </c>
      <c r="I154" s="3841" t="s">
        <v>5375</v>
      </c>
      <c r="J154" s="4949" t="s">
        <v>5376</v>
      </c>
      <c r="K154" s="3841" t="s">
        <v>5377</v>
      </c>
      <c r="L154" s="4949" t="s">
        <v>5378</v>
      </c>
      <c r="M154" s="3841" t="s">
        <v>5379</v>
      </c>
      <c r="N154" s="4949" t="s">
        <v>5380</v>
      </c>
      <c r="O154" s="3841" t="s">
        <v>5381</v>
      </c>
      <c r="P154" s="4949" t="s">
        <v>5382</v>
      </c>
      <c r="Q154" s="3841" t="s">
        <v>5383</v>
      </c>
      <c r="R154" s="4949" t="s">
        <v>5384</v>
      </c>
      <c r="S154" s="3841" t="s">
        <v>5385</v>
      </c>
      <c r="T154" s="4949" t="s">
        <v>5386</v>
      </c>
      <c r="U154" s="3841" t="s">
        <v>5387</v>
      </c>
      <c r="V154" s="4949" t="s">
        <v>5388</v>
      </c>
      <c r="W154" s="3841" t="s">
        <v>5389</v>
      </c>
      <c r="X154" s="4949" t="s">
        <v>5390</v>
      </c>
      <c r="Y154" s="3841" t="s">
        <v>5391</v>
      </c>
      <c r="Z154" s="4949" t="s">
        <v>5392</v>
      </c>
      <c r="AA154" s="3841" t="s">
        <v>5393</v>
      </c>
      <c r="AB154" s="4949" t="s">
        <v>5394</v>
      </c>
      <c r="AC154" s="3841" t="s">
        <v>5395</v>
      </c>
      <c r="AD154" s="4949" t="s">
        <v>5396</v>
      </c>
      <c r="AE154" s="3841" t="s">
        <v>5397</v>
      </c>
      <c r="AF154" s="4949" t="s">
        <v>5398</v>
      </c>
      <c r="AG154" s="3841" t="s">
        <v>5399</v>
      </c>
      <c r="AH154" s="4949" t="s">
        <v>5400</v>
      </c>
      <c r="AI154" s="3841" t="s">
        <v>5401</v>
      </c>
      <c r="AJ154" s="4949" t="s">
        <v>5402</v>
      </c>
      <c r="AK154" s="3841" t="s">
        <v>5403</v>
      </c>
      <c r="AL154" s="7140" t="s">
        <v>5404</v>
      </c>
      <c r="AM154" s="4950" t="s">
        <v>5405</v>
      </c>
      <c r="AN154" s="5214" t="s">
        <v>5406</v>
      </c>
      <c r="AO154" s="4942" t="s">
        <v>5407</v>
      </c>
      <c r="AP154" s="4951" t="s">
        <v>5408</v>
      </c>
      <c r="AQ154" s="5057" t="str">
        <f t="shared" si="22"/>
        <v xml:space="preserve">* El número de Consultas Según tipo de atención NO DEBE ser diferente al Total. </v>
      </c>
      <c r="AR154" s="4992"/>
      <c r="AS154" s="4992"/>
      <c r="AT154" s="4992"/>
      <c r="AU154" s="4992"/>
      <c r="AV154" s="4992"/>
      <c r="AW154" s="4992"/>
      <c r="AX154" s="4992"/>
      <c r="AY154" s="4992"/>
      <c r="AZ154" s="4992"/>
      <c r="BA154" s="4992"/>
      <c r="BB154" s="4264"/>
      <c r="BV154" s="4259"/>
      <c r="BW154" s="4259"/>
      <c r="BZ154" s="4264"/>
      <c r="CA154" s="4264"/>
      <c r="CB154" s="4264"/>
      <c r="CC154" s="4264"/>
      <c r="CD154" s="4264"/>
      <c r="CE154" s="4260"/>
      <c r="CF154" s="4260"/>
      <c r="CG154" s="4260"/>
      <c r="CH154" s="4260"/>
      <c r="CI154" s="4260"/>
      <c r="CJ154" s="4260"/>
      <c r="CK154" s="4260"/>
      <c r="CL154" s="4260"/>
      <c r="CM154" s="4260"/>
      <c r="CN154" s="4260"/>
      <c r="CO154" s="4260"/>
      <c r="CP154" s="4260"/>
      <c r="CQ154" s="4260"/>
      <c r="CR154" s="4264"/>
      <c r="CS154" s="4264"/>
      <c r="CT154" s="4264"/>
      <c r="CU154" s="4993" t="str">
        <f t="shared" si="20"/>
        <v xml:space="preserve">* El número de Consultas Según tipo de atención NO DEBE ser diferente al Total. </v>
      </c>
      <c r="CV154" s="4993"/>
      <c r="CW154" s="4993"/>
      <c r="CX154" s="4993"/>
      <c r="CY154" s="4993"/>
      <c r="CZ154" s="4993"/>
      <c r="DA154" s="4994">
        <f t="shared" si="21"/>
        <v>1</v>
      </c>
      <c r="DB154" s="4978"/>
      <c r="DC154" s="4978"/>
      <c r="DD154" s="4978"/>
      <c r="DE154" s="4978"/>
      <c r="DF154" s="4978"/>
      <c r="DG154" s="4978"/>
      <c r="DH154" s="4978"/>
      <c r="DI154" s="4978"/>
      <c r="DJ154" s="4978"/>
      <c r="DK154" s="4978"/>
      <c r="DL154" s="4978"/>
      <c r="DM154" s="4978"/>
      <c r="DN154" s="4978"/>
      <c r="EB154" s="4264"/>
      <c r="EC154" s="4264"/>
      <c r="ED154" s="4264"/>
      <c r="EE154" s="4264"/>
      <c r="EF154" s="4264"/>
      <c r="EG154" s="4264"/>
      <c r="EH154" s="4264"/>
      <c r="EI154" s="4264"/>
      <c r="EJ154" s="4264"/>
      <c r="EK154" s="4264"/>
      <c r="EL154" s="4264"/>
      <c r="EM154" s="4264"/>
      <c r="EN154" s="4264"/>
      <c r="EO154" s="4264"/>
      <c r="EP154" s="4264"/>
      <c r="EQ154" s="4264"/>
      <c r="ER154" s="4264"/>
      <c r="ES154" s="4264"/>
      <c r="ET154" s="4264"/>
    </row>
    <row r="155" spans="1:150" ht="14.1" customHeight="1" x14ac:dyDescent="0.25">
      <c r="A155" s="7520">
        <v>28022380</v>
      </c>
      <c r="B155" s="5078" t="s">
        <v>2826</v>
      </c>
      <c r="C155" s="5218" t="s">
        <v>5369</v>
      </c>
      <c r="D155" s="7127" t="s">
        <v>5370</v>
      </c>
      <c r="E155" s="7127" t="s">
        <v>5371</v>
      </c>
      <c r="F155" s="4949" t="s">
        <v>5372</v>
      </c>
      <c r="G155" s="3841" t="s">
        <v>5373</v>
      </c>
      <c r="H155" s="4949" t="s">
        <v>5374</v>
      </c>
      <c r="I155" s="3841" t="s">
        <v>5375</v>
      </c>
      <c r="J155" s="4949" t="s">
        <v>5376</v>
      </c>
      <c r="K155" s="3841" t="s">
        <v>5377</v>
      </c>
      <c r="L155" s="4949" t="s">
        <v>5378</v>
      </c>
      <c r="M155" s="3841" t="s">
        <v>5379</v>
      </c>
      <c r="N155" s="4949" t="s">
        <v>5380</v>
      </c>
      <c r="O155" s="3841" t="s">
        <v>5381</v>
      </c>
      <c r="P155" s="4949" t="s">
        <v>5382</v>
      </c>
      <c r="Q155" s="3841" t="s">
        <v>5383</v>
      </c>
      <c r="R155" s="4949" t="s">
        <v>5384</v>
      </c>
      <c r="S155" s="3841" t="s">
        <v>5385</v>
      </c>
      <c r="T155" s="4949" t="s">
        <v>5386</v>
      </c>
      <c r="U155" s="3841" t="s">
        <v>5387</v>
      </c>
      <c r="V155" s="4949" t="s">
        <v>5388</v>
      </c>
      <c r="W155" s="3841" t="s">
        <v>5389</v>
      </c>
      <c r="X155" s="4949" t="s">
        <v>5390</v>
      </c>
      <c r="Y155" s="3841" t="s">
        <v>5391</v>
      </c>
      <c r="Z155" s="4949" t="s">
        <v>5392</v>
      </c>
      <c r="AA155" s="3841" t="s">
        <v>5393</v>
      </c>
      <c r="AB155" s="4949" t="s">
        <v>5394</v>
      </c>
      <c r="AC155" s="3841" t="s">
        <v>5395</v>
      </c>
      <c r="AD155" s="4949" t="s">
        <v>5396</v>
      </c>
      <c r="AE155" s="3841" t="s">
        <v>5397</v>
      </c>
      <c r="AF155" s="4949" t="s">
        <v>5398</v>
      </c>
      <c r="AG155" s="3841" t="s">
        <v>5399</v>
      </c>
      <c r="AH155" s="4949" t="s">
        <v>5400</v>
      </c>
      <c r="AI155" s="3841" t="s">
        <v>5401</v>
      </c>
      <c r="AJ155" s="4949" t="s">
        <v>5402</v>
      </c>
      <c r="AK155" s="3841" t="s">
        <v>5403</v>
      </c>
      <c r="AL155" s="7140" t="s">
        <v>5404</v>
      </c>
      <c r="AM155" s="4950" t="s">
        <v>5405</v>
      </c>
      <c r="AN155" s="5214" t="s">
        <v>5406</v>
      </c>
      <c r="AO155" s="4942" t="s">
        <v>5407</v>
      </c>
      <c r="AP155" s="4951" t="s">
        <v>5408</v>
      </c>
      <c r="AQ155" s="5057" t="str">
        <f t="shared" si="22"/>
        <v xml:space="preserve">* El número de Consultas Según tipo de atención NO DEBE ser diferente al Total. </v>
      </c>
      <c r="AR155" s="4992"/>
      <c r="AS155" s="4992"/>
      <c r="AT155" s="4992"/>
      <c r="AU155" s="4992"/>
      <c r="AV155" s="4992"/>
      <c r="AW155" s="4992"/>
      <c r="AX155" s="4992"/>
      <c r="AY155" s="4992"/>
      <c r="AZ155" s="4992"/>
      <c r="BA155" s="4992"/>
      <c r="BB155" s="4264"/>
      <c r="BV155" s="4259"/>
      <c r="BW155" s="4259"/>
      <c r="BZ155" s="4264"/>
      <c r="CA155" s="4264"/>
      <c r="CB155" s="4264"/>
      <c r="CC155" s="4264"/>
      <c r="CD155" s="4264"/>
      <c r="CE155" s="4260"/>
      <c r="CF155" s="4260"/>
      <c r="CG155" s="4260"/>
      <c r="CH155" s="4260"/>
      <c r="CI155" s="4260"/>
      <c r="CJ155" s="4260"/>
      <c r="CK155" s="4260"/>
      <c r="CL155" s="4260"/>
      <c r="CM155" s="4260"/>
      <c r="CN155" s="4260"/>
      <c r="CO155" s="4260"/>
      <c r="CP155" s="4260"/>
      <c r="CQ155" s="4260"/>
      <c r="CR155" s="4264"/>
      <c r="CS155" s="4264"/>
      <c r="CT155" s="4264"/>
      <c r="CU155" s="4993" t="str">
        <f t="shared" si="20"/>
        <v xml:space="preserve">* El número de Consultas Según tipo de atención NO DEBE ser diferente al Total. </v>
      </c>
      <c r="CV155" s="4993"/>
      <c r="CW155" s="4993"/>
      <c r="CX155" s="4993"/>
      <c r="CY155" s="4993"/>
      <c r="CZ155" s="4993"/>
      <c r="DA155" s="4994">
        <f t="shared" si="21"/>
        <v>1</v>
      </c>
      <c r="DB155" s="4978"/>
      <c r="DC155" s="4978"/>
      <c r="DD155" s="4978"/>
      <c r="DE155" s="4978"/>
      <c r="DF155" s="4978"/>
      <c r="DG155" s="4978"/>
      <c r="DH155" s="4978"/>
      <c r="DI155" s="4978"/>
      <c r="DJ155" s="4978"/>
      <c r="DK155" s="4978"/>
      <c r="DL155" s="4978"/>
      <c r="DM155" s="4978"/>
      <c r="DN155" s="4978"/>
      <c r="EB155" s="4264"/>
      <c r="EC155" s="4264"/>
      <c r="ED155" s="4264"/>
      <c r="EE155" s="4264"/>
      <c r="EF155" s="4264"/>
      <c r="EG155" s="4264"/>
      <c r="EH155" s="4264"/>
      <c r="EI155" s="4264"/>
      <c r="EJ155" s="4264"/>
      <c r="EK155" s="4264"/>
      <c r="EL155" s="4264"/>
      <c r="EM155" s="4264"/>
      <c r="EN155" s="4264"/>
      <c r="EO155" s="4264"/>
      <c r="EP155" s="4264"/>
      <c r="EQ155" s="4264"/>
      <c r="ER155" s="4264"/>
      <c r="ES155" s="4264"/>
      <c r="ET155" s="4264"/>
    </row>
    <row r="156" spans="1:150" ht="14.1" customHeight="1" x14ac:dyDescent="0.25">
      <c r="A156" s="7320">
        <v>29101639</v>
      </c>
      <c r="B156" s="5078" t="s">
        <v>2843</v>
      </c>
      <c r="C156" s="5218" t="s">
        <v>5369</v>
      </c>
      <c r="D156" s="7127" t="s">
        <v>5370</v>
      </c>
      <c r="E156" s="7127" t="s">
        <v>5371</v>
      </c>
      <c r="F156" s="4949" t="s">
        <v>5372</v>
      </c>
      <c r="G156" s="3841" t="s">
        <v>5373</v>
      </c>
      <c r="H156" s="4949" t="s">
        <v>5374</v>
      </c>
      <c r="I156" s="3841" t="s">
        <v>5375</v>
      </c>
      <c r="J156" s="4949" t="s">
        <v>5376</v>
      </c>
      <c r="K156" s="3841" t="s">
        <v>5377</v>
      </c>
      <c r="L156" s="4949" t="s">
        <v>5378</v>
      </c>
      <c r="M156" s="3841" t="s">
        <v>5379</v>
      </c>
      <c r="N156" s="4949" t="s">
        <v>5380</v>
      </c>
      <c r="O156" s="3841" t="s">
        <v>5381</v>
      </c>
      <c r="P156" s="4949" t="s">
        <v>5382</v>
      </c>
      <c r="Q156" s="3841" t="s">
        <v>5383</v>
      </c>
      <c r="R156" s="4949" t="s">
        <v>5384</v>
      </c>
      <c r="S156" s="3841" t="s">
        <v>5385</v>
      </c>
      <c r="T156" s="4949" t="s">
        <v>5386</v>
      </c>
      <c r="U156" s="3841" t="s">
        <v>5387</v>
      </c>
      <c r="V156" s="4949" t="s">
        <v>5388</v>
      </c>
      <c r="W156" s="3841" t="s">
        <v>5389</v>
      </c>
      <c r="X156" s="4949" t="s">
        <v>5390</v>
      </c>
      <c r="Y156" s="3841" t="s">
        <v>5391</v>
      </c>
      <c r="Z156" s="4949" t="s">
        <v>5392</v>
      </c>
      <c r="AA156" s="3841" t="s">
        <v>5393</v>
      </c>
      <c r="AB156" s="4949" t="s">
        <v>5394</v>
      </c>
      <c r="AC156" s="3841" t="s">
        <v>5395</v>
      </c>
      <c r="AD156" s="4949" t="s">
        <v>5396</v>
      </c>
      <c r="AE156" s="3841" t="s">
        <v>5397</v>
      </c>
      <c r="AF156" s="4949" t="s">
        <v>5398</v>
      </c>
      <c r="AG156" s="3841" t="s">
        <v>5399</v>
      </c>
      <c r="AH156" s="4949" t="s">
        <v>5400</v>
      </c>
      <c r="AI156" s="3841" t="s">
        <v>5401</v>
      </c>
      <c r="AJ156" s="4949" t="s">
        <v>5402</v>
      </c>
      <c r="AK156" s="3841" t="s">
        <v>5403</v>
      </c>
      <c r="AL156" s="7140" t="s">
        <v>5404</v>
      </c>
      <c r="AM156" s="4950" t="s">
        <v>5405</v>
      </c>
      <c r="AN156" s="5214" t="s">
        <v>5406</v>
      </c>
      <c r="AO156" s="4942" t="s">
        <v>5407</v>
      </c>
      <c r="AP156" s="4951" t="s">
        <v>5408</v>
      </c>
      <c r="AQ156" s="5057" t="str">
        <f t="shared" si="22"/>
        <v xml:space="preserve">* El número de Consultas Según tipo de atención NO DEBE ser diferente al Total. </v>
      </c>
      <c r="AR156" s="4992"/>
      <c r="AS156" s="4992"/>
      <c r="AT156" s="4992"/>
      <c r="AU156" s="4992"/>
      <c r="AV156" s="4992"/>
      <c r="AW156" s="4992"/>
      <c r="AX156" s="4992"/>
      <c r="AY156" s="4992"/>
      <c r="AZ156" s="4992"/>
      <c r="BA156" s="4992"/>
      <c r="BB156" s="4264"/>
      <c r="BV156" s="4259"/>
      <c r="BW156" s="4259"/>
      <c r="BZ156" s="4264"/>
      <c r="CA156" s="4264"/>
      <c r="CB156" s="4264"/>
      <c r="CC156" s="4264"/>
      <c r="CD156" s="4264"/>
      <c r="CE156" s="4260"/>
      <c r="CF156" s="4260"/>
      <c r="CG156" s="4260"/>
      <c r="CH156" s="4260"/>
      <c r="CI156" s="4260"/>
      <c r="CJ156" s="4260"/>
      <c r="CK156" s="4260"/>
      <c r="CL156" s="4260"/>
      <c r="CM156" s="4260"/>
      <c r="CN156" s="4260"/>
      <c r="CO156" s="4260"/>
      <c r="CP156" s="4260"/>
      <c r="CQ156" s="4260"/>
      <c r="CR156" s="4264"/>
      <c r="CS156" s="4264"/>
      <c r="CT156" s="4264"/>
      <c r="CU156" s="4993" t="str">
        <f t="shared" si="20"/>
        <v xml:space="preserve">* El número de Consultas Según tipo de atención NO DEBE ser diferente al Total. </v>
      </c>
      <c r="CV156" s="4993"/>
      <c r="CW156" s="4993"/>
      <c r="CX156" s="4993"/>
      <c r="CY156" s="4993"/>
      <c r="CZ156" s="4993"/>
      <c r="DA156" s="4994">
        <f t="shared" si="21"/>
        <v>1</v>
      </c>
      <c r="DB156" s="4978"/>
      <c r="DC156" s="4978"/>
      <c r="DD156" s="4978"/>
      <c r="DE156" s="4978"/>
      <c r="DF156" s="4978"/>
      <c r="DG156" s="4978"/>
      <c r="DH156" s="4978"/>
      <c r="DI156" s="4978"/>
      <c r="DJ156" s="4978"/>
      <c r="DK156" s="4978"/>
      <c r="DL156" s="4978"/>
      <c r="DM156" s="4978"/>
      <c r="DN156" s="4978"/>
      <c r="EB156" s="4264"/>
      <c r="EC156" s="4264"/>
      <c r="ED156" s="4264"/>
      <c r="EE156" s="4264"/>
      <c r="EF156" s="4264"/>
      <c r="EG156" s="4264"/>
      <c r="EH156" s="4264"/>
      <c r="EI156" s="4264"/>
      <c r="EJ156" s="4264"/>
      <c r="EK156" s="4264"/>
      <c r="EL156" s="4264"/>
      <c r="EM156" s="4264"/>
      <c r="EN156" s="4264"/>
      <c r="EO156" s="4264"/>
      <c r="EP156" s="4264"/>
      <c r="EQ156" s="4264"/>
      <c r="ER156" s="4264"/>
      <c r="ES156" s="4264"/>
      <c r="ET156" s="4264"/>
    </row>
    <row r="157" spans="1:150" ht="14.1" customHeight="1" x14ac:dyDescent="0.25">
      <c r="A157" s="7320">
        <v>29101640</v>
      </c>
      <c r="B157" s="5078" t="s">
        <v>3556</v>
      </c>
      <c r="C157" s="5218" t="s">
        <v>5369</v>
      </c>
      <c r="D157" s="7127" t="s">
        <v>5370</v>
      </c>
      <c r="E157" s="7127" t="s">
        <v>5371</v>
      </c>
      <c r="F157" s="4949" t="s">
        <v>5372</v>
      </c>
      <c r="G157" s="3841" t="s">
        <v>5373</v>
      </c>
      <c r="H157" s="4949" t="s">
        <v>5374</v>
      </c>
      <c r="I157" s="3841" t="s">
        <v>5375</v>
      </c>
      <c r="J157" s="4949" t="s">
        <v>5376</v>
      </c>
      <c r="K157" s="3841" t="s">
        <v>5377</v>
      </c>
      <c r="L157" s="4949" t="s">
        <v>5378</v>
      </c>
      <c r="M157" s="3841" t="s">
        <v>5379</v>
      </c>
      <c r="N157" s="4949" t="s">
        <v>5380</v>
      </c>
      <c r="O157" s="3841" t="s">
        <v>5381</v>
      </c>
      <c r="P157" s="4949" t="s">
        <v>5382</v>
      </c>
      <c r="Q157" s="3841" t="s">
        <v>5383</v>
      </c>
      <c r="R157" s="4949" t="s">
        <v>5384</v>
      </c>
      <c r="S157" s="3841" t="s">
        <v>5385</v>
      </c>
      <c r="T157" s="4949" t="s">
        <v>5386</v>
      </c>
      <c r="U157" s="3841" t="s">
        <v>5387</v>
      </c>
      <c r="V157" s="4949" t="s">
        <v>5388</v>
      </c>
      <c r="W157" s="3841" t="s">
        <v>5389</v>
      </c>
      <c r="X157" s="4949" t="s">
        <v>5390</v>
      </c>
      <c r="Y157" s="3841" t="s">
        <v>5391</v>
      </c>
      <c r="Z157" s="4949" t="s">
        <v>5392</v>
      </c>
      <c r="AA157" s="3841" t="s">
        <v>5393</v>
      </c>
      <c r="AB157" s="4949" t="s">
        <v>5394</v>
      </c>
      <c r="AC157" s="3841" t="s">
        <v>5395</v>
      </c>
      <c r="AD157" s="4949" t="s">
        <v>5396</v>
      </c>
      <c r="AE157" s="3841" t="s">
        <v>5397</v>
      </c>
      <c r="AF157" s="4949" t="s">
        <v>5398</v>
      </c>
      <c r="AG157" s="3841" t="s">
        <v>5399</v>
      </c>
      <c r="AH157" s="4949" t="s">
        <v>5400</v>
      </c>
      <c r="AI157" s="3841" t="s">
        <v>5401</v>
      </c>
      <c r="AJ157" s="4949" t="s">
        <v>5402</v>
      </c>
      <c r="AK157" s="3841" t="s">
        <v>5403</v>
      </c>
      <c r="AL157" s="7140" t="s">
        <v>5404</v>
      </c>
      <c r="AM157" s="4950" t="s">
        <v>5405</v>
      </c>
      <c r="AN157" s="5214" t="s">
        <v>5406</v>
      </c>
      <c r="AO157" s="4942" t="s">
        <v>5407</v>
      </c>
      <c r="AP157" s="4951" t="s">
        <v>5408</v>
      </c>
      <c r="AQ157" s="5057" t="str">
        <f t="shared" si="22"/>
        <v xml:space="preserve">* El número de Consultas Según tipo de atención NO DEBE ser diferente al Total. </v>
      </c>
      <c r="AR157" s="4264"/>
      <c r="AS157" s="4264"/>
      <c r="AT157" s="4264"/>
      <c r="AU157" s="4264"/>
      <c r="AV157" s="4264"/>
      <c r="AW157" s="4264"/>
      <c r="AX157" s="4264"/>
      <c r="AY157" s="4264"/>
      <c r="AZ157" s="4264"/>
      <c r="BA157" s="4264"/>
      <c r="BB157" s="4264"/>
      <c r="BV157" s="4259"/>
      <c r="BW157" s="4259"/>
      <c r="BZ157" s="4264"/>
      <c r="CA157" s="4264"/>
      <c r="CB157" s="4264"/>
      <c r="CC157" s="4264"/>
      <c r="CD157" s="4264"/>
      <c r="CE157" s="4260"/>
      <c r="CF157" s="4260"/>
      <c r="CG157" s="4260"/>
      <c r="CH157" s="4260"/>
      <c r="CI157" s="4260"/>
      <c r="CJ157" s="4260"/>
      <c r="CK157" s="4260"/>
      <c r="CL157" s="4260"/>
      <c r="CM157" s="4260"/>
      <c r="CN157" s="4260"/>
      <c r="CO157" s="4260"/>
      <c r="CP157" s="4260"/>
      <c r="CQ157" s="4260"/>
      <c r="CR157" s="4264"/>
      <c r="CS157" s="4264"/>
      <c r="CT157" s="4264"/>
      <c r="CU157" s="4993" t="str">
        <f t="shared" si="20"/>
        <v xml:space="preserve">* El número de Consultas Según tipo de atención NO DEBE ser diferente al Total. </v>
      </c>
      <c r="CV157" s="4993"/>
      <c r="CW157" s="4993"/>
      <c r="CX157" s="4993"/>
      <c r="CY157" s="4993"/>
      <c r="CZ157" s="4993"/>
      <c r="DA157" s="4994">
        <f t="shared" si="21"/>
        <v>1</v>
      </c>
      <c r="DB157" s="4978"/>
      <c r="DC157" s="4978"/>
      <c r="DD157" s="4978"/>
      <c r="DE157" s="4978"/>
      <c r="DF157" s="4978"/>
      <c r="DG157" s="4978"/>
      <c r="DH157" s="4978"/>
      <c r="DI157" s="4978"/>
      <c r="DJ157" s="4978"/>
      <c r="DK157" s="4978"/>
      <c r="DL157" s="4978"/>
      <c r="DM157" s="4978"/>
      <c r="DN157" s="4978"/>
      <c r="EB157" s="4264"/>
      <c r="EC157" s="4264"/>
      <c r="ED157" s="4264"/>
      <c r="EE157" s="4264"/>
      <c r="EF157" s="4264"/>
      <c r="EG157" s="4264"/>
      <c r="EH157" s="4264"/>
      <c r="EI157" s="4264"/>
      <c r="EJ157" s="4264"/>
      <c r="EK157" s="4264"/>
      <c r="EL157" s="4264"/>
      <c r="EM157" s="4264"/>
      <c r="EN157" s="4264"/>
      <c r="EO157" s="4264"/>
      <c r="EP157" s="4264"/>
      <c r="EQ157" s="4264"/>
      <c r="ER157" s="4264"/>
      <c r="ES157" s="4264"/>
      <c r="ET157" s="4264"/>
    </row>
    <row r="158" spans="1:150" ht="14.1" customHeight="1" x14ac:dyDescent="0.25">
      <c r="A158" s="7520">
        <v>28020980</v>
      </c>
      <c r="B158" s="5078" t="s">
        <v>314</v>
      </c>
      <c r="C158" s="5218" t="s">
        <v>5369</v>
      </c>
      <c r="D158" s="7127" t="s">
        <v>5370</v>
      </c>
      <c r="E158" s="7127" t="s">
        <v>5371</v>
      </c>
      <c r="F158" s="4949" t="s">
        <v>5372</v>
      </c>
      <c r="G158" s="3841" t="s">
        <v>5373</v>
      </c>
      <c r="H158" s="4949" t="s">
        <v>5374</v>
      </c>
      <c r="I158" s="3841" t="s">
        <v>5375</v>
      </c>
      <c r="J158" s="4949" t="s">
        <v>5376</v>
      </c>
      <c r="K158" s="3841" t="s">
        <v>5377</v>
      </c>
      <c r="L158" s="4949" t="s">
        <v>5378</v>
      </c>
      <c r="M158" s="3841" t="s">
        <v>5379</v>
      </c>
      <c r="N158" s="4949" t="s">
        <v>5380</v>
      </c>
      <c r="O158" s="3841" t="s">
        <v>5381</v>
      </c>
      <c r="P158" s="4949" t="s">
        <v>5382</v>
      </c>
      <c r="Q158" s="3841" t="s">
        <v>5383</v>
      </c>
      <c r="R158" s="4949" t="s">
        <v>5384</v>
      </c>
      <c r="S158" s="3841" t="s">
        <v>5385</v>
      </c>
      <c r="T158" s="4949" t="s">
        <v>5386</v>
      </c>
      <c r="U158" s="3841" t="s">
        <v>5387</v>
      </c>
      <c r="V158" s="4949" t="s">
        <v>5388</v>
      </c>
      <c r="W158" s="3841" t="s">
        <v>5389</v>
      </c>
      <c r="X158" s="4949" t="s">
        <v>5390</v>
      </c>
      <c r="Y158" s="3841" t="s">
        <v>5391</v>
      </c>
      <c r="Z158" s="4949" t="s">
        <v>5392</v>
      </c>
      <c r="AA158" s="3841" t="s">
        <v>5393</v>
      </c>
      <c r="AB158" s="4949" t="s">
        <v>5394</v>
      </c>
      <c r="AC158" s="3841" t="s">
        <v>5395</v>
      </c>
      <c r="AD158" s="4949" t="s">
        <v>5396</v>
      </c>
      <c r="AE158" s="3841" t="s">
        <v>5397</v>
      </c>
      <c r="AF158" s="4949" t="s">
        <v>5398</v>
      </c>
      <c r="AG158" s="3841" t="s">
        <v>5399</v>
      </c>
      <c r="AH158" s="4949" t="s">
        <v>5400</v>
      </c>
      <c r="AI158" s="3841" t="s">
        <v>5401</v>
      </c>
      <c r="AJ158" s="4949" t="s">
        <v>5402</v>
      </c>
      <c r="AK158" s="3841" t="s">
        <v>5403</v>
      </c>
      <c r="AL158" s="7140" t="s">
        <v>5404</v>
      </c>
      <c r="AM158" s="4950" t="s">
        <v>5405</v>
      </c>
      <c r="AN158" s="5214" t="s">
        <v>5406</v>
      </c>
      <c r="AO158" s="4942" t="s">
        <v>5407</v>
      </c>
      <c r="AP158" s="4951" t="s">
        <v>5408</v>
      </c>
      <c r="AQ158" s="5057" t="str">
        <f t="shared" si="22"/>
        <v xml:space="preserve">* El número de Consultas Según tipo de atención NO DEBE ser diferente al Total. </v>
      </c>
      <c r="AR158" s="4264"/>
      <c r="AS158" s="4264"/>
      <c r="AT158" s="4264"/>
      <c r="AU158" s="4264"/>
      <c r="AV158" s="4264"/>
      <c r="AW158" s="4264"/>
      <c r="AX158" s="4264"/>
      <c r="AY158" s="4264"/>
      <c r="AZ158" s="4264"/>
      <c r="BA158" s="4264"/>
      <c r="BB158" s="4264"/>
      <c r="BV158" s="4259"/>
      <c r="BW158" s="4259"/>
      <c r="BZ158" s="4264"/>
      <c r="CA158" s="4264"/>
      <c r="CB158" s="4264"/>
      <c r="CC158" s="4264"/>
      <c r="CD158" s="4264"/>
      <c r="CE158" s="4260"/>
      <c r="CF158" s="4260"/>
      <c r="CG158" s="4260"/>
      <c r="CH158" s="4260"/>
      <c r="CI158" s="4260"/>
      <c r="CJ158" s="4260"/>
      <c r="CK158" s="4260"/>
      <c r="CL158" s="4260"/>
      <c r="CM158" s="4260"/>
      <c r="CN158" s="4260"/>
      <c r="CO158" s="4260"/>
      <c r="CP158" s="4260"/>
      <c r="CQ158" s="4260"/>
      <c r="CR158" s="4264"/>
      <c r="CS158" s="4264"/>
      <c r="CT158" s="4264"/>
      <c r="CU158" s="4993" t="str">
        <f t="shared" si="20"/>
        <v xml:space="preserve">* El número de Consultas Según tipo de atención NO DEBE ser diferente al Total. </v>
      </c>
      <c r="CV158" s="4993"/>
      <c r="CW158" s="4993"/>
      <c r="CX158" s="4993"/>
      <c r="CY158" s="4993"/>
      <c r="CZ158" s="4993"/>
      <c r="DA158" s="4994">
        <f t="shared" si="21"/>
        <v>1</v>
      </c>
      <c r="DB158" s="4978"/>
      <c r="DC158" s="4978"/>
      <c r="DD158" s="4978"/>
      <c r="DE158" s="4978"/>
      <c r="DF158" s="4978"/>
      <c r="DG158" s="4978"/>
      <c r="DH158" s="4978"/>
      <c r="DI158" s="4978"/>
      <c r="DJ158" s="4978"/>
      <c r="DK158" s="4978"/>
      <c r="DL158" s="4978"/>
      <c r="DM158" s="4978"/>
      <c r="DN158" s="4978"/>
      <c r="EB158" s="4264"/>
      <c r="EC158" s="4264"/>
      <c r="ED158" s="4264"/>
      <c r="EE158" s="4264"/>
      <c r="EF158" s="4264"/>
      <c r="EG158" s="4264"/>
      <c r="EH158" s="4264"/>
      <c r="EI158" s="4264"/>
      <c r="EJ158" s="4264"/>
      <c r="EK158" s="4264"/>
      <c r="EL158" s="4264"/>
      <c r="EM158" s="4264"/>
      <c r="EN158" s="4264"/>
      <c r="EO158" s="4264"/>
      <c r="EP158" s="4264"/>
      <c r="EQ158" s="4264"/>
      <c r="ER158" s="4264"/>
      <c r="ES158" s="4264"/>
      <c r="ET158" s="4264"/>
    </row>
    <row r="159" spans="1:150" ht="14.1" customHeight="1" x14ac:dyDescent="0.25">
      <c r="A159" s="7320">
        <v>29101641</v>
      </c>
      <c r="B159" s="5078" t="s">
        <v>2844</v>
      </c>
      <c r="C159" s="5218" t="s">
        <v>5369</v>
      </c>
      <c r="D159" s="7127" t="s">
        <v>5370</v>
      </c>
      <c r="E159" s="7127" t="s">
        <v>5371</v>
      </c>
      <c r="F159" s="4949" t="s">
        <v>5372</v>
      </c>
      <c r="G159" s="3841" t="s">
        <v>5373</v>
      </c>
      <c r="H159" s="4949" t="s">
        <v>5374</v>
      </c>
      <c r="I159" s="3841" t="s">
        <v>5375</v>
      </c>
      <c r="J159" s="4949" t="s">
        <v>5376</v>
      </c>
      <c r="K159" s="3841" t="s">
        <v>5377</v>
      </c>
      <c r="L159" s="4949" t="s">
        <v>5378</v>
      </c>
      <c r="M159" s="3841" t="s">
        <v>5379</v>
      </c>
      <c r="N159" s="4949" t="s">
        <v>5380</v>
      </c>
      <c r="O159" s="3841" t="s">
        <v>5381</v>
      </c>
      <c r="P159" s="4949" t="s">
        <v>5382</v>
      </c>
      <c r="Q159" s="3841" t="s">
        <v>5383</v>
      </c>
      <c r="R159" s="4949" t="s">
        <v>5384</v>
      </c>
      <c r="S159" s="3841" t="s">
        <v>5385</v>
      </c>
      <c r="T159" s="4949" t="s">
        <v>5386</v>
      </c>
      <c r="U159" s="3841" t="s">
        <v>5387</v>
      </c>
      <c r="V159" s="4949" t="s">
        <v>5388</v>
      </c>
      <c r="W159" s="3841" t="s">
        <v>5389</v>
      </c>
      <c r="X159" s="4949" t="s">
        <v>5390</v>
      </c>
      <c r="Y159" s="3841" t="s">
        <v>5391</v>
      </c>
      <c r="Z159" s="4949" t="s">
        <v>5392</v>
      </c>
      <c r="AA159" s="3841" t="s">
        <v>5393</v>
      </c>
      <c r="AB159" s="4949" t="s">
        <v>5394</v>
      </c>
      <c r="AC159" s="3841" t="s">
        <v>5395</v>
      </c>
      <c r="AD159" s="4949" t="s">
        <v>5396</v>
      </c>
      <c r="AE159" s="3841" t="s">
        <v>5397</v>
      </c>
      <c r="AF159" s="4949" t="s">
        <v>5398</v>
      </c>
      <c r="AG159" s="3841" t="s">
        <v>5399</v>
      </c>
      <c r="AH159" s="4949" t="s">
        <v>5400</v>
      </c>
      <c r="AI159" s="3841" t="s">
        <v>5401</v>
      </c>
      <c r="AJ159" s="4949" t="s">
        <v>5402</v>
      </c>
      <c r="AK159" s="3841" t="s">
        <v>5403</v>
      </c>
      <c r="AL159" s="7140" t="s">
        <v>5404</v>
      </c>
      <c r="AM159" s="4950" t="s">
        <v>5405</v>
      </c>
      <c r="AN159" s="5214" t="s">
        <v>5406</v>
      </c>
      <c r="AO159" s="4942" t="s">
        <v>5407</v>
      </c>
      <c r="AP159" s="4951" t="s">
        <v>5408</v>
      </c>
      <c r="AQ159" s="5057" t="str">
        <f t="shared" si="22"/>
        <v xml:space="preserve">* El número de Consultas Según tipo de atención NO DEBE ser diferente al Total. </v>
      </c>
      <c r="AR159" s="4264"/>
      <c r="AS159" s="4264"/>
      <c r="AT159" s="4264"/>
      <c r="AU159" s="4264"/>
      <c r="AV159" s="4264"/>
      <c r="AW159" s="4264"/>
      <c r="AX159" s="4264"/>
      <c r="AY159" s="4264"/>
      <c r="AZ159" s="4264"/>
      <c r="BA159" s="4264"/>
      <c r="BB159" s="4264"/>
      <c r="BV159" s="4259"/>
      <c r="BW159" s="4259"/>
      <c r="BZ159" s="4264"/>
      <c r="CA159" s="4264"/>
      <c r="CB159" s="4264"/>
      <c r="CC159" s="4264"/>
      <c r="CD159" s="4264"/>
      <c r="CE159" s="4260"/>
      <c r="CF159" s="4260"/>
      <c r="CG159" s="4260"/>
      <c r="CH159" s="4260"/>
      <c r="CI159" s="4260"/>
      <c r="CJ159" s="4260"/>
      <c r="CK159" s="4260"/>
      <c r="CL159" s="4260"/>
      <c r="CM159" s="4260"/>
      <c r="CN159" s="4260"/>
      <c r="CO159" s="4260"/>
      <c r="CP159" s="4260"/>
      <c r="CQ159" s="4260"/>
      <c r="CR159" s="4264"/>
      <c r="CS159" s="4264"/>
      <c r="CT159" s="4264"/>
      <c r="CU159" s="4993" t="str">
        <f t="shared" si="20"/>
        <v xml:space="preserve">* El número de Consultas Según tipo de atención NO DEBE ser diferente al Total. </v>
      </c>
      <c r="CV159" s="4993"/>
      <c r="CW159" s="4993"/>
      <c r="CX159" s="4993"/>
      <c r="CY159" s="4993"/>
      <c r="CZ159" s="4993"/>
      <c r="DA159" s="4994">
        <f t="shared" si="21"/>
        <v>1</v>
      </c>
      <c r="DB159" s="4978"/>
      <c r="DC159" s="4978"/>
      <c r="DD159" s="4978"/>
      <c r="DE159" s="4978"/>
      <c r="DF159" s="4978"/>
      <c r="DG159" s="4978"/>
      <c r="DH159" s="4978"/>
      <c r="DI159" s="4978"/>
      <c r="DJ159" s="4978"/>
      <c r="DK159" s="4978"/>
      <c r="DL159" s="4978"/>
      <c r="DM159" s="4978"/>
      <c r="DN159" s="4978"/>
      <c r="EB159" s="4264"/>
      <c r="EC159" s="4264"/>
      <c r="ED159" s="4264"/>
      <c r="EE159" s="4264"/>
      <c r="EF159" s="4264"/>
      <c r="EG159" s="4264"/>
      <c r="EH159" s="4264"/>
      <c r="EI159" s="4264"/>
      <c r="EJ159" s="4264"/>
      <c r="EK159" s="4264"/>
      <c r="EL159" s="4264"/>
      <c r="EM159" s="4264"/>
      <c r="EN159" s="4264"/>
      <c r="EO159" s="4264"/>
      <c r="EP159" s="4264"/>
      <c r="EQ159" s="4264"/>
      <c r="ER159" s="4264"/>
      <c r="ES159" s="4264"/>
      <c r="ET159" s="4264"/>
    </row>
    <row r="160" spans="1:150" ht="14.1" customHeight="1" x14ac:dyDescent="0.25">
      <c r="A160" s="7320">
        <v>29101642</v>
      </c>
      <c r="B160" s="5078" t="s">
        <v>2845</v>
      </c>
      <c r="C160" s="5218" t="s">
        <v>5369</v>
      </c>
      <c r="D160" s="7127" t="s">
        <v>5370</v>
      </c>
      <c r="E160" s="7127" t="s">
        <v>5371</v>
      </c>
      <c r="F160" s="4949" t="s">
        <v>5372</v>
      </c>
      <c r="G160" s="3841" t="s">
        <v>5373</v>
      </c>
      <c r="H160" s="4949" t="s">
        <v>5374</v>
      </c>
      <c r="I160" s="3841" t="s">
        <v>5375</v>
      </c>
      <c r="J160" s="4949" t="s">
        <v>5376</v>
      </c>
      <c r="K160" s="3841" t="s">
        <v>5377</v>
      </c>
      <c r="L160" s="4949" t="s">
        <v>5378</v>
      </c>
      <c r="M160" s="3841" t="s">
        <v>5379</v>
      </c>
      <c r="N160" s="4949" t="s">
        <v>5380</v>
      </c>
      <c r="O160" s="3841" t="s">
        <v>5381</v>
      </c>
      <c r="P160" s="4949" t="s">
        <v>5382</v>
      </c>
      <c r="Q160" s="3841" t="s">
        <v>5383</v>
      </c>
      <c r="R160" s="4949" t="s">
        <v>5384</v>
      </c>
      <c r="S160" s="3841" t="s">
        <v>5385</v>
      </c>
      <c r="T160" s="4949" t="s">
        <v>5386</v>
      </c>
      <c r="U160" s="3841" t="s">
        <v>5387</v>
      </c>
      <c r="V160" s="4949" t="s">
        <v>5388</v>
      </c>
      <c r="W160" s="3841" t="s">
        <v>5389</v>
      </c>
      <c r="X160" s="4949" t="s">
        <v>5390</v>
      </c>
      <c r="Y160" s="3841" t="s">
        <v>5391</v>
      </c>
      <c r="Z160" s="4949" t="s">
        <v>5392</v>
      </c>
      <c r="AA160" s="3841" t="s">
        <v>5393</v>
      </c>
      <c r="AB160" s="4949" t="s">
        <v>5394</v>
      </c>
      <c r="AC160" s="3841" t="s">
        <v>5395</v>
      </c>
      <c r="AD160" s="4949" t="s">
        <v>5396</v>
      </c>
      <c r="AE160" s="3841" t="s">
        <v>5397</v>
      </c>
      <c r="AF160" s="4949" t="s">
        <v>5398</v>
      </c>
      <c r="AG160" s="3841" t="s">
        <v>5399</v>
      </c>
      <c r="AH160" s="4949" t="s">
        <v>5400</v>
      </c>
      <c r="AI160" s="3841" t="s">
        <v>5401</v>
      </c>
      <c r="AJ160" s="4949" t="s">
        <v>5402</v>
      </c>
      <c r="AK160" s="3841" t="s">
        <v>5403</v>
      </c>
      <c r="AL160" s="7140" t="s">
        <v>5404</v>
      </c>
      <c r="AM160" s="4950" t="s">
        <v>5405</v>
      </c>
      <c r="AN160" s="5214" t="s">
        <v>5406</v>
      </c>
      <c r="AO160" s="4942" t="s">
        <v>5407</v>
      </c>
      <c r="AP160" s="4951" t="s">
        <v>5408</v>
      </c>
      <c r="AQ160" s="5057" t="str">
        <f t="shared" si="22"/>
        <v xml:space="preserve">* El número de Consultas Según tipo de atención NO DEBE ser diferente al Total. </v>
      </c>
      <c r="AR160" s="4264"/>
      <c r="AS160" s="4264"/>
      <c r="AT160" s="4264"/>
      <c r="AU160" s="4264"/>
      <c r="AV160" s="4264"/>
      <c r="AW160" s="4264"/>
      <c r="AX160" s="4264"/>
      <c r="AY160" s="4264"/>
      <c r="AZ160" s="4264"/>
      <c r="BA160" s="4264"/>
      <c r="BB160" s="4264"/>
      <c r="BV160" s="4259"/>
      <c r="BW160" s="4259"/>
      <c r="BZ160" s="4264"/>
      <c r="CA160" s="4264"/>
      <c r="CB160" s="4264"/>
      <c r="CC160" s="4264"/>
      <c r="CD160" s="4264"/>
      <c r="CE160" s="4260"/>
      <c r="CF160" s="4260"/>
      <c r="CG160" s="4260"/>
      <c r="CH160" s="4260"/>
      <c r="CI160" s="4260"/>
      <c r="CJ160" s="4260"/>
      <c r="CK160" s="4260"/>
      <c r="CL160" s="4260"/>
      <c r="CM160" s="4260"/>
      <c r="CN160" s="4260"/>
      <c r="CO160" s="4260"/>
      <c r="CP160" s="4260"/>
      <c r="CQ160" s="4260"/>
      <c r="CR160" s="4264"/>
      <c r="CS160" s="4264"/>
      <c r="CT160" s="4264"/>
      <c r="CU160" s="4993" t="str">
        <f t="shared" si="20"/>
        <v xml:space="preserve">* El número de Consultas Según tipo de atención NO DEBE ser diferente al Total. </v>
      </c>
      <c r="CV160" s="4993"/>
      <c r="CW160" s="4993"/>
      <c r="CX160" s="4993"/>
      <c r="CY160" s="4993"/>
      <c r="CZ160" s="4993"/>
      <c r="DA160" s="4994">
        <f t="shared" si="21"/>
        <v>1</v>
      </c>
      <c r="DB160" s="4978"/>
      <c r="DC160" s="4978"/>
      <c r="DD160" s="4978"/>
      <c r="DE160" s="4978"/>
      <c r="DF160" s="4978"/>
      <c r="DG160" s="4978"/>
      <c r="DH160" s="4978"/>
      <c r="DI160" s="4978"/>
      <c r="DJ160" s="4978"/>
      <c r="DK160" s="4978"/>
      <c r="DL160" s="4978"/>
      <c r="DM160" s="4978"/>
      <c r="DN160" s="4978"/>
      <c r="EB160" s="4264"/>
      <c r="EC160" s="4264"/>
      <c r="ED160" s="4264"/>
      <c r="EE160" s="4264"/>
      <c r="EF160" s="4264"/>
      <c r="EG160" s="4264"/>
      <c r="EH160" s="4264"/>
      <c r="EI160" s="4264"/>
      <c r="EJ160" s="4264"/>
      <c r="EK160" s="4264"/>
      <c r="EL160" s="4264"/>
      <c r="EM160" s="4264"/>
      <c r="EN160" s="4264"/>
      <c r="EO160" s="4264"/>
      <c r="EP160" s="4264"/>
      <c r="EQ160" s="4264"/>
      <c r="ER160" s="4264"/>
      <c r="ES160" s="4264"/>
      <c r="ET160" s="4264"/>
    </row>
    <row r="161" spans="1:150" ht="14.1" customHeight="1" x14ac:dyDescent="0.25">
      <c r="A161" s="7320">
        <v>29101643</v>
      </c>
      <c r="B161" s="5078" t="s">
        <v>2829</v>
      </c>
      <c r="C161" s="5218" t="s">
        <v>5369</v>
      </c>
      <c r="D161" s="7127" t="s">
        <v>5370</v>
      </c>
      <c r="E161" s="7127" t="s">
        <v>5371</v>
      </c>
      <c r="F161" s="4949" t="s">
        <v>5372</v>
      </c>
      <c r="G161" s="3841" t="s">
        <v>5373</v>
      </c>
      <c r="H161" s="4949" t="s">
        <v>5374</v>
      </c>
      <c r="I161" s="3841" t="s">
        <v>5375</v>
      </c>
      <c r="J161" s="4949" t="s">
        <v>5376</v>
      </c>
      <c r="K161" s="3841" t="s">
        <v>5377</v>
      </c>
      <c r="L161" s="4949" t="s">
        <v>5378</v>
      </c>
      <c r="M161" s="3841" t="s">
        <v>5379</v>
      </c>
      <c r="N161" s="4949" t="s">
        <v>5380</v>
      </c>
      <c r="O161" s="3841" t="s">
        <v>5381</v>
      </c>
      <c r="P161" s="4949" t="s">
        <v>5382</v>
      </c>
      <c r="Q161" s="3841" t="s">
        <v>5383</v>
      </c>
      <c r="R161" s="4949" t="s">
        <v>5384</v>
      </c>
      <c r="S161" s="3841" t="s">
        <v>5385</v>
      </c>
      <c r="T161" s="4949" t="s">
        <v>5386</v>
      </c>
      <c r="U161" s="3841" t="s">
        <v>5387</v>
      </c>
      <c r="V161" s="4949" t="s">
        <v>5388</v>
      </c>
      <c r="W161" s="3841" t="s">
        <v>5389</v>
      </c>
      <c r="X161" s="4949" t="s">
        <v>5390</v>
      </c>
      <c r="Y161" s="3841" t="s">
        <v>5391</v>
      </c>
      <c r="Z161" s="4949" t="s">
        <v>5392</v>
      </c>
      <c r="AA161" s="3841" t="s">
        <v>5393</v>
      </c>
      <c r="AB161" s="4949" t="s">
        <v>5394</v>
      </c>
      <c r="AC161" s="3841" t="s">
        <v>5395</v>
      </c>
      <c r="AD161" s="4949" t="s">
        <v>5396</v>
      </c>
      <c r="AE161" s="3841" t="s">
        <v>5397</v>
      </c>
      <c r="AF161" s="4949" t="s">
        <v>5398</v>
      </c>
      <c r="AG161" s="3841" t="s">
        <v>5399</v>
      </c>
      <c r="AH161" s="4949" t="s">
        <v>5400</v>
      </c>
      <c r="AI161" s="3841" t="s">
        <v>5401</v>
      </c>
      <c r="AJ161" s="4949" t="s">
        <v>5402</v>
      </c>
      <c r="AK161" s="3841" t="s">
        <v>5403</v>
      </c>
      <c r="AL161" s="7140" t="s">
        <v>5404</v>
      </c>
      <c r="AM161" s="4950" t="s">
        <v>5405</v>
      </c>
      <c r="AN161" s="5214" t="s">
        <v>5406</v>
      </c>
      <c r="AO161" s="4942" t="s">
        <v>5407</v>
      </c>
      <c r="AP161" s="4951" t="s">
        <v>5408</v>
      </c>
      <c r="AQ161" s="5057" t="str">
        <f t="shared" si="22"/>
        <v xml:space="preserve">* El número de Consultas Según tipo de atención NO DEBE ser diferente al Total. </v>
      </c>
      <c r="BV161" s="4259"/>
      <c r="BW161" s="4259"/>
      <c r="BZ161" s="4264"/>
      <c r="CA161" s="4264"/>
      <c r="CB161" s="4264"/>
      <c r="CC161" s="4264"/>
      <c r="CD161" s="4264"/>
      <c r="CE161" s="4260"/>
      <c r="CF161" s="4260"/>
      <c r="CG161" s="4260"/>
      <c r="CH161" s="4260"/>
      <c r="CI161" s="4260"/>
      <c r="CJ161" s="4260"/>
      <c r="CK161" s="4260"/>
      <c r="CL161" s="4260"/>
      <c r="CM161" s="4260"/>
      <c r="CN161" s="4260"/>
      <c r="CO161" s="4260"/>
      <c r="CP161" s="4260"/>
      <c r="CQ161" s="4260"/>
      <c r="CR161" s="4264"/>
      <c r="CS161" s="4264"/>
      <c r="CT161" s="4264"/>
      <c r="CU161" s="4993" t="str">
        <f t="shared" si="20"/>
        <v xml:space="preserve">* El número de Consultas Según tipo de atención NO DEBE ser diferente al Total. </v>
      </c>
      <c r="CV161" s="4993"/>
      <c r="CW161" s="4993"/>
      <c r="CX161" s="4993"/>
      <c r="CY161" s="4993"/>
      <c r="CZ161" s="4993"/>
      <c r="DA161" s="4994">
        <f t="shared" si="21"/>
        <v>1</v>
      </c>
      <c r="DB161" s="4978"/>
      <c r="DC161" s="4978"/>
      <c r="DD161" s="4978"/>
      <c r="DE161" s="4978"/>
      <c r="DF161" s="4978"/>
      <c r="DG161" s="4978"/>
      <c r="DH161" s="4978"/>
      <c r="DI161" s="4978"/>
      <c r="DJ161" s="4978"/>
      <c r="DK161" s="4978"/>
      <c r="DL161" s="4978"/>
      <c r="DM161" s="4978"/>
      <c r="DN161" s="4978"/>
      <c r="EB161" s="4264"/>
      <c r="EC161" s="4264"/>
      <c r="ED161" s="4264"/>
      <c r="EE161" s="4264"/>
      <c r="EF161" s="4264"/>
      <c r="EG161" s="4264"/>
      <c r="EH161" s="4264"/>
      <c r="EI161" s="4264"/>
      <c r="EJ161" s="4264"/>
      <c r="EK161" s="4264"/>
      <c r="EL161" s="4264"/>
      <c r="EM161" s="4264"/>
      <c r="EN161" s="4264"/>
      <c r="EO161" s="4264"/>
      <c r="EP161" s="4264"/>
      <c r="EQ161" s="4264"/>
      <c r="ER161" s="4264"/>
      <c r="ES161" s="4264"/>
      <c r="ET161" s="4264"/>
    </row>
    <row r="162" spans="1:150" ht="14.1" customHeight="1" x14ac:dyDescent="0.25">
      <c r="A162" s="7520">
        <v>28021150</v>
      </c>
      <c r="B162" s="5078" t="s">
        <v>2846</v>
      </c>
      <c r="C162" s="5218" t="s">
        <v>5369</v>
      </c>
      <c r="D162" s="7127" t="s">
        <v>5370</v>
      </c>
      <c r="E162" s="7127" t="s">
        <v>5371</v>
      </c>
      <c r="F162" s="4949" t="s">
        <v>5372</v>
      </c>
      <c r="G162" s="3841" t="s">
        <v>5373</v>
      </c>
      <c r="H162" s="4949" t="s">
        <v>5374</v>
      </c>
      <c r="I162" s="3841" t="s">
        <v>5375</v>
      </c>
      <c r="J162" s="4949" t="s">
        <v>5376</v>
      </c>
      <c r="K162" s="3841" t="s">
        <v>5377</v>
      </c>
      <c r="L162" s="4949" t="s">
        <v>5378</v>
      </c>
      <c r="M162" s="3841" t="s">
        <v>5379</v>
      </c>
      <c r="N162" s="4949" t="s">
        <v>5380</v>
      </c>
      <c r="O162" s="3841" t="s">
        <v>5381</v>
      </c>
      <c r="P162" s="4949" t="s">
        <v>5382</v>
      </c>
      <c r="Q162" s="3841" t="s">
        <v>5383</v>
      </c>
      <c r="R162" s="4949" t="s">
        <v>5384</v>
      </c>
      <c r="S162" s="3841" t="s">
        <v>5385</v>
      </c>
      <c r="T162" s="4949" t="s">
        <v>5386</v>
      </c>
      <c r="U162" s="3841" t="s">
        <v>5387</v>
      </c>
      <c r="V162" s="4949" t="s">
        <v>5388</v>
      </c>
      <c r="W162" s="3841" t="s">
        <v>5389</v>
      </c>
      <c r="X162" s="4949" t="s">
        <v>5390</v>
      </c>
      <c r="Y162" s="3841" t="s">
        <v>5391</v>
      </c>
      <c r="Z162" s="4949" t="s">
        <v>5392</v>
      </c>
      <c r="AA162" s="3841" t="s">
        <v>5393</v>
      </c>
      <c r="AB162" s="4949" t="s">
        <v>5394</v>
      </c>
      <c r="AC162" s="3841" t="s">
        <v>5395</v>
      </c>
      <c r="AD162" s="4949" t="s">
        <v>5396</v>
      </c>
      <c r="AE162" s="3841" t="s">
        <v>5397</v>
      </c>
      <c r="AF162" s="4949" t="s">
        <v>5398</v>
      </c>
      <c r="AG162" s="3841" t="s">
        <v>5399</v>
      </c>
      <c r="AH162" s="4949" t="s">
        <v>5400</v>
      </c>
      <c r="AI162" s="3841" t="s">
        <v>5401</v>
      </c>
      <c r="AJ162" s="4949" t="s">
        <v>5402</v>
      </c>
      <c r="AK162" s="3841" t="s">
        <v>5403</v>
      </c>
      <c r="AL162" s="7140" t="s">
        <v>5404</v>
      </c>
      <c r="AM162" s="4950" t="s">
        <v>5405</v>
      </c>
      <c r="AN162" s="5214" t="s">
        <v>5406</v>
      </c>
      <c r="AO162" s="4942" t="s">
        <v>5407</v>
      </c>
      <c r="AP162" s="4951" t="s">
        <v>5408</v>
      </c>
      <c r="AQ162" s="5057" t="str">
        <f t="shared" si="22"/>
        <v xml:space="preserve">* El número de Consultas Según tipo de atención NO DEBE ser diferente al Total. </v>
      </c>
      <c r="BV162" s="4259"/>
      <c r="BW162" s="4259"/>
      <c r="BZ162" s="4264"/>
      <c r="CA162" s="4264"/>
      <c r="CB162" s="4264"/>
      <c r="CC162" s="4264"/>
      <c r="CD162" s="4264"/>
      <c r="CE162" s="4260"/>
      <c r="CF162" s="4260"/>
      <c r="CG162" s="4260"/>
      <c r="CH162" s="4260"/>
      <c r="CI162" s="4260"/>
      <c r="CJ162" s="4260"/>
      <c r="CK162" s="4260"/>
      <c r="CL162" s="4260"/>
      <c r="CM162" s="4260"/>
      <c r="CN162" s="4260"/>
      <c r="CO162" s="4260"/>
      <c r="CP162" s="4260"/>
      <c r="CQ162" s="4260"/>
      <c r="CR162" s="4264"/>
      <c r="CS162" s="4264"/>
      <c r="CT162" s="4264"/>
      <c r="CU162" s="4993" t="str">
        <f t="shared" si="20"/>
        <v xml:space="preserve">* El número de Consultas Según tipo de atención NO DEBE ser diferente al Total. </v>
      </c>
      <c r="CV162" s="4993"/>
      <c r="CW162" s="4993"/>
      <c r="CX162" s="4993"/>
      <c r="CY162" s="4993"/>
      <c r="CZ162" s="4993"/>
      <c r="DA162" s="4994">
        <f t="shared" si="21"/>
        <v>1</v>
      </c>
      <c r="DB162" s="4978"/>
      <c r="DC162" s="4978"/>
      <c r="DD162" s="4978"/>
      <c r="DE162" s="4978"/>
      <c r="DF162" s="4978"/>
      <c r="DG162" s="4978"/>
      <c r="DH162" s="4978"/>
      <c r="DI162" s="4978"/>
      <c r="DJ162" s="4978"/>
      <c r="DK162" s="4978"/>
      <c r="DL162" s="4978"/>
      <c r="DM162" s="4978"/>
      <c r="DN162" s="4978"/>
      <c r="EB162" s="4264"/>
      <c r="EC162" s="4264"/>
      <c r="ED162" s="4264"/>
      <c r="EE162" s="4264"/>
      <c r="EF162" s="4264"/>
      <c r="EG162" s="4264"/>
      <c r="EH162" s="4264"/>
      <c r="EI162" s="4264"/>
      <c r="EJ162" s="4264"/>
      <c r="EK162" s="4264"/>
      <c r="EL162" s="4264"/>
      <c r="EM162" s="4264"/>
      <c r="EN162" s="4264"/>
      <c r="EO162" s="4264"/>
      <c r="EP162" s="4264"/>
      <c r="EQ162" s="4264"/>
      <c r="ER162" s="4264"/>
      <c r="ES162" s="4264"/>
      <c r="ET162" s="4264"/>
    </row>
    <row r="163" spans="1:150" ht="14.1" customHeight="1" x14ac:dyDescent="0.25">
      <c r="A163" s="7520">
        <v>28101060</v>
      </c>
      <c r="B163" s="5078" t="s">
        <v>2847</v>
      </c>
      <c r="C163" s="5218" t="s">
        <v>5369</v>
      </c>
      <c r="D163" s="7127" t="s">
        <v>5370</v>
      </c>
      <c r="E163" s="7127" t="s">
        <v>5371</v>
      </c>
      <c r="F163" s="4949" t="s">
        <v>5372</v>
      </c>
      <c r="G163" s="3841" t="s">
        <v>5373</v>
      </c>
      <c r="H163" s="4949" t="s">
        <v>5374</v>
      </c>
      <c r="I163" s="3841" t="s">
        <v>5375</v>
      </c>
      <c r="J163" s="4949" t="s">
        <v>5376</v>
      </c>
      <c r="K163" s="3841" t="s">
        <v>5377</v>
      </c>
      <c r="L163" s="4949" t="s">
        <v>5378</v>
      </c>
      <c r="M163" s="3841" t="s">
        <v>5379</v>
      </c>
      <c r="N163" s="4949" t="s">
        <v>5380</v>
      </c>
      <c r="O163" s="3841" t="s">
        <v>5381</v>
      </c>
      <c r="P163" s="4949" t="s">
        <v>5382</v>
      </c>
      <c r="Q163" s="3841" t="s">
        <v>5383</v>
      </c>
      <c r="R163" s="4949" t="s">
        <v>5384</v>
      </c>
      <c r="S163" s="3841" t="s">
        <v>5385</v>
      </c>
      <c r="T163" s="4949" t="s">
        <v>5386</v>
      </c>
      <c r="U163" s="3841" t="s">
        <v>5387</v>
      </c>
      <c r="V163" s="4949" t="s">
        <v>5388</v>
      </c>
      <c r="W163" s="3841" t="s">
        <v>5389</v>
      </c>
      <c r="X163" s="4949" t="s">
        <v>5390</v>
      </c>
      <c r="Y163" s="3841" t="s">
        <v>5391</v>
      </c>
      <c r="Z163" s="4949" t="s">
        <v>5392</v>
      </c>
      <c r="AA163" s="3841" t="s">
        <v>5393</v>
      </c>
      <c r="AB163" s="4949" t="s">
        <v>5394</v>
      </c>
      <c r="AC163" s="3841" t="s">
        <v>5395</v>
      </c>
      <c r="AD163" s="4949" t="s">
        <v>5396</v>
      </c>
      <c r="AE163" s="3841" t="s">
        <v>5397</v>
      </c>
      <c r="AF163" s="4949" t="s">
        <v>5398</v>
      </c>
      <c r="AG163" s="3841" t="s">
        <v>5399</v>
      </c>
      <c r="AH163" s="4949" t="s">
        <v>5400</v>
      </c>
      <c r="AI163" s="3841" t="s">
        <v>5401</v>
      </c>
      <c r="AJ163" s="4949" t="s">
        <v>5402</v>
      </c>
      <c r="AK163" s="3841" t="s">
        <v>5403</v>
      </c>
      <c r="AL163" s="7140" t="s">
        <v>5404</v>
      </c>
      <c r="AM163" s="4950" t="s">
        <v>5405</v>
      </c>
      <c r="AN163" s="5214" t="s">
        <v>5406</v>
      </c>
      <c r="AO163" s="4942" t="s">
        <v>5407</v>
      </c>
      <c r="AP163" s="4951" t="s">
        <v>5408</v>
      </c>
      <c r="AQ163" s="5057" t="str">
        <f t="shared" si="22"/>
        <v xml:space="preserve">* El número de Consultas Según tipo de atención NO DEBE ser diferente al Total. </v>
      </c>
      <c r="BV163" s="4259"/>
      <c r="BW163" s="4259"/>
      <c r="BZ163" s="4264"/>
      <c r="CA163" s="4264"/>
      <c r="CB163" s="4264"/>
      <c r="CC163" s="4264"/>
      <c r="CD163" s="4264"/>
      <c r="CE163" s="4260"/>
      <c r="CF163" s="4260"/>
      <c r="CG163" s="4260"/>
      <c r="CH163" s="4260"/>
      <c r="CI163" s="4260"/>
      <c r="CJ163" s="4260"/>
      <c r="CK163" s="4260"/>
      <c r="CL163" s="4260"/>
      <c r="CM163" s="4260"/>
      <c r="CN163" s="4260"/>
      <c r="CO163" s="4260"/>
      <c r="CP163" s="4260"/>
      <c r="CQ163" s="4260"/>
      <c r="CR163" s="4264"/>
      <c r="CS163" s="4264"/>
      <c r="CT163" s="4264"/>
      <c r="CU163" s="4993" t="str">
        <f t="shared" si="20"/>
        <v xml:space="preserve">* El número de Consultas Según tipo de atención NO DEBE ser diferente al Total. </v>
      </c>
      <c r="CV163" s="4993"/>
      <c r="CW163" s="4993"/>
      <c r="CX163" s="4993"/>
      <c r="CY163" s="4993"/>
      <c r="CZ163" s="4993"/>
      <c r="DA163" s="4994">
        <f t="shared" si="21"/>
        <v>1</v>
      </c>
      <c r="DB163" s="4978"/>
      <c r="DC163" s="4978"/>
      <c r="DD163" s="4978"/>
      <c r="DE163" s="4978"/>
      <c r="DF163" s="4978"/>
      <c r="DG163" s="4978"/>
      <c r="DH163" s="4978"/>
      <c r="DI163" s="4978"/>
      <c r="DJ163" s="4978"/>
      <c r="DK163" s="4978"/>
      <c r="DL163" s="4978"/>
      <c r="DM163" s="4978"/>
      <c r="DN163" s="4978"/>
      <c r="EB163" s="4264"/>
      <c r="EC163" s="4264"/>
      <c r="ED163" s="4264"/>
      <c r="EE163" s="4264"/>
      <c r="EF163" s="4264"/>
      <c r="EG163" s="4264"/>
      <c r="EH163" s="4264"/>
      <c r="EI163" s="4264"/>
      <c r="EJ163" s="4264"/>
      <c r="EK163" s="4264"/>
      <c r="EL163" s="4264"/>
      <c r="EM163" s="4264"/>
      <c r="EN163" s="4264"/>
      <c r="EO163" s="4264"/>
      <c r="EP163" s="4264"/>
      <c r="EQ163" s="4264"/>
      <c r="ER163" s="4264"/>
      <c r="ES163" s="4264"/>
      <c r="ET163" s="4264"/>
    </row>
    <row r="164" spans="1:150" ht="14.1" customHeight="1" x14ac:dyDescent="0.25">
      <c r="A164" s="7320">
        <v>29101644</v>
      </c>
      <c r="B164" s="5078" t="s">
        <v>2848</v>
      </c>
      <c r="C164" s="5218" t="s">
        <v>5369</v>
      </c>
      <c r="D164" s="7127" t="s">
        <v>5370</v>
      </c>
      <c r="E164" s="7127" t="s">
        <v>5371</v>
      </c>
      <c r="F164" s="4949" t="s">
        <v>5372</v>
      </c>
      <c r="G164" s="3841" t="s">
        <v>5373</v>
      </c>
      <c r="H164" s="4949" t="s">
        <v>5374</v>
      </c>
      <c r="I164" s="3841" t="s">
        <v>5375</v>
      </c>
      <c r="J164" s="4949" t="s">
        <v>5376</v>
      </c>
      <c r="K164" s="3841" t="s">
        <v>5377</v>
      </c>
      <c r="L164" s="4949" t="s">
        <v>5378</v>
      </c>
      <c r="M164" s="3841" t="s">
        <v>5379</v>
      </c>
      <c r="N164" s="4949" t="s">
        <v>5380</v>
      </c>
      <c r="O164" s="3841" t="s">
        <v>5381</v>
      </c>
      <c r="P164" s="4949" t="s">
        <v>5382</v>
      </c>
      <c r="Q164" s="3841" t="s">
        <v>5383</v>
      </c>
      <c r="R164" s="4949" t="s">
        <v>5384</v>
      </c>
      <c r="S164" s="3841" t="s">
        <v>5385</v>
      </c>
      <c r="T164" s="4949" t="s">
        <v>5386</v>
      </c>
      <c r="U164" s="3841" t="s">
        <v>5387</v>
      </c>
      <c r="V164" s="4949" t="s">
        <v>5388</v>
      </c>
      <c r="W164" s="3841" t="s">
        <v>5389</v>
      </c>
      <c r="X164" s="4949" t="s">
        <v>5390</v>
      </c>
      <c r="Y164" s="3841" t="s">
        <v>5391</v>
      </c>
      <c r="Z164" s="4949" t="s">
        <v>5392</v>
      </c>
      <c r="AA164" s="3841" t="s">
        <v>5393</v>
      </c>
      <c r="AB164" s="4949" t="s">
        <v>5394</v>
      </c>
      <c r="AC164" s="3841" t="s">
        <v>5395</v>
      </c>
      <c r="AD164" s="4949" t="s">
        <v>5396</v>
      </c>
      <c r="AE164" s="3841" t="s">
        <v>5397</v>
      </c>
      <c r="AF164" s="4949" t="s">
        <v>5398</v>
      </c>
      <c r="AG164" s="3841" t="s">
        <v>5399</v>
      </c>
      <c r="AH164" s="4949" t="s">
        <v>5400</v>
      </c>
      <c r="AI164" s="3841" t="s">
        <v>5401</v>
      </c>
      <c r="AJ164" s="4949" t="s">
        <v>5402</v>
      </c>
      <c r="AK164" s="3841" t="s">
        <v>5403</v>
      </c>
      <c r="AL164" s="7140" t="s">
        <v>5404</v>
      </c>
      <c r="AM164" s="4950" t="s">
        <v>5405</v>
      </c>
      <c r="AN164" s="5214" t="s">
        <v>5406</v>
      </c>
      <c r="AO164" s="4942" t="s">
        <v>5407</v>
      </c>
      <c r="AP164" s="4951" t="s">
        <v>5408</v>
      </c>
      <c r="AQ164" s="5057" t="str">
        <f t="shared" si="22"/>
        <v xml:space="preserve">* El número de Consultas Según tipo de atención NO DEBE ser diferente al Total. </v>
      </c>
      <c r="BV164" s="4259"/>
      <c r="BW164" s="4259"/>
      <c r="BZ164" s="4264"/>
      <c r="CA164" s="4264"/>
      <c r="CB164" s="4264"/>
      <c r="CC164" s="4264"/>
      <c r="CD164" s="4264"/>
      <c r="CE164" s="4260"/>
      <c r="CF164" s="4260"/>
      <c r="CG164" s="4260"/>
      <c r="CH164" s="4260"/>
      <c r="CI164" s="4260"/>
      <c r="CJ164" s="4260"/>
      <c r="CK164" s="4260"/>
      <c r="CL164" s="4260"/>
      <c r="CM164" s="4260"/>
      <c r="CN164" s="4260"/>
      <c r="CO164" s="4260"/>
      <c r="CP164" s="4260"/>
      <c r="CQ164" s="4260"/>
      <c r="CR164" s="4264"/>
      <c r="CS164" s="4264"/>
      <c r="CT164" s="4264"/>
      <c r="CU164" s="4993" t="str">
        <f t="shared" si="20"/>
        <v xml:space="preserve">* El número de Consultas Según tipo de atención NO DEBE ser diferente al Total. </v>
      </c>
      <c r="CV164" s="4993"/>
      <c r="CW164" s="4993"/>
      <c r="CX164" s="4993"/>
      <c r="CY164" s="4993"/>
      <c r="CZ164" s="4993"/>
      <c r="DA164" s="4994">
        <f t="shared" si="21"/>
        <v>1</v>
      </c>
      <c r="DB164" s="4978"/>
      <c r="DC164" s="4978"/>
      <c r="DD164" s="4978"/>
      <c r="DE164" s="4978"/>
      <c r="DF164" s="4978"/>
      <c r="DG164" s="4978"/>
      <c r="DH164" s="4978"/>
      <c r="DI164" s="4978"/>
      <c r="DJ164" s="4978"/>
      <c r="DK164" s="4978"/>
      <c r="DL164" s="4978"/>
      <c r="DM164" s="4978"/>
      <c r="DN164" s="4978"/>
      <c r="EB164" s="4264"/>
      <c r="EC164" s="4264"/>
      <c r="ED164" s="4264"/>
      <c r="EE164" s="4264"/>
      <c r="EF164" s="4264"/>
      <c r="EG164" s="4264"/>
      <c r="EH164" s="4264"/>
      <c r="EI164" s="4264"/>
      <c r="EJ164" s="4264"/>
      <c r="EK164" s="4264"/>
      <c r="EL164" s="4264"/>
      <c r="EM164" s="4264"/>
      <c r="EN164" s="4264"/>
      <c r="EO164" s="4264"/>
      <c r="EP164" s="4264"/>
      <c r="EQ164" s="4264"/>
      <c r="ER164" s="4264"/>
      <c r="ES164" s="4264"/>
      <c r="ET164" s="4264"/>
    </row>
    <row r="165" spans="1:150" ht="14.1" customHeight="1" x14ac:dyDescent="0.25">
      <c r="A165" s="7320">
        <v>29101645</v>
      </c>
      <c r="B165" s="5078" t="s">
        <v>2820</v>
      </c>
      <c r="C165" s="5218" t="s">
        <v>5369</v>
      </c>
      <c r="D165" s="7127" t="s">
        <v>5370</v>
      </c>
      <c r="E165" s="7127" t="s">
        <v>5371</v>
      </c>
      <c r="F165" s="4949" t="s">
        <v>5372</v>
      </c>
      <c r="G165" s="3841" t="s">
        <v>5373</v>
      </c>
      <c r="H165" s="4949" t="s">
        <v>5374</v>
      </c>
      <c r="I165" s="3841" t="s">
        <v>5375</v>
      </c>
      <c r="J165" s="4949" t="s">
        <v>5376</v>
      </c>
      <c r="K165" s="3841" t="s">
        <v>5377</v>
      </c>
      <c r="L165" s="4949" t="s">
        <v>5378</v>
      </c>
      <c r="M165" s="3841" t="s">
        <v>5379</v>
      </c>
      <c r="N165" s="4949" t="s">
        <v>5380</v>
      </c>
      <c r="O165" s="3841" t="s">
        <v>5381</v>
      </c>
      <c r="P165" s="4949" t="s">
        <v>5382</v>
      </c>
      <c r="Q165" s="3841" t="s">
        <v>5383</v>
      </c>
      <c r="R165" s="4949" t="s">
        <v>5384</v>
      </c>
      <c r="S165" s="3841" t="s">
        <v>5385</v>
      </c>
      <c r="T165" s="4949" t="s">
        <v>5386</v>
      </c>
      <c r="U165" s="3841" t="s">
        <v>5387</v>
      </c>
      <c r="V165" s="4949" t="s">
        <v>5388</v>
      </c>
      <c r="W165" s="3841" t="s">
        <v>5389</v>
      </c>
      <c r="X165" s="4949" t="s">
        <v>5390</v>
      </c>
      <c r="Y165" s="3841" t="s">
        <v>5391</v>
      </c>
      <c r="Z165" s="4949" t="s">
        <v>5392</v>
      </c>
      <c r="AA165" s="3841" t="s">
        <v>5393</v>
      </c>
      <c r="AB165" s="4949" t="s">
        <v>5394</v>
      </c>
      <c r="AC165" s="3841" t="s">
        <v>5395</v>
      </c>
      <c r="AD165" s="4949" t="s">
        <v>5396</v>
      </c>
      <c r="AE165" s="3841" t="s">
        <v>5397</v>
      </c>
      <c r="AF165" s="4949" t="s">
        <v>5398</v>
      </c>
      <c r="AG165" s="3841" t="s">
        <v>5399</v>
      </c>
      <c r="AH165" s="4949" t="s">
        <v>5400</v>
      </c>
      <c r="AI165" s="3841" t="s">
        <v>5401</v>
      </c>
      <c r="AJ165" s="4949" t="s">
        <v>5402</v>
      </c>
      <c r="AK165" s="3841" t="s">
        <v>5403</v>
      </c>
      <c r="AL165" s="7140" t="s">
        <v>5404</v>
      </c>
      <c r="AM165" s="4950" t="s">
        <v>5405</v>
      </c>
      <c r="AN165" s="5214" t="s">
        <v>5406</v>
      </c>
      <c r="AO165" s="4942" t="s">
        <v>5407</v>
      </c>
      <c r="AP165" s="4951" t="s">
        <v>5408</v>
      </c>
      <c r="AQ165" s="5057" t="str">
        <f t="shared" si="22"/>
        <v xml:space="preserve">* El número de Consultas Según tipo de atención NO DEBE ser diferente al Total. </v>
      </c>
      <c r="BV165" s="4259"/>
      <c r="BW165" s="4259"/>
      <c r="BZ165" s="4264"/>
      <c r="CA165" s="4264"/>
      <c r="CB165" s="4264"/>
      <c r="CC165" s="4264"/>
      <c r="CD165" s="4264"/>
      <c r="CE165" s="4260"/>
      <c r="CF165" s="4260"/>
      <c r="CG165" s="4260"/>
      <c r="CH165" s="4260"/>
      <c r="CI165" s="4260"/>
      <c r="CJ165" s="4260"/>
      <c r="CK165" s="4260"/>
      <c r="CL165" s="4260"/>
      <c r="CM165" s="4260"/>
      <c r="CN165" s="4260"/>
      <c r="CO165" s="4260"/>
      <c r="CP165" s="4260"/>
      <c r="CQ165" s="4260"/>
      <c r="CR165" s="4264"/>
      <c r="CS165" s="4264"/>
      <c r="CT165" s="4264"/>
      <c r="CU165" s="4993" t="str">
        <f t="shared" si="20"/>
        <v xml:space="preserve">* El número de Consultas Según tipo de atención NO DEBE ser diferente al Total. </v>
      </c>
      <c r="CV165" s="4993"/>
      <c r="CW165" s="4993"/>
      <c r="CX165" s="4993"/>
      <c r="CY165" s="4993"/>
      <c r="CZ165" s="4993"/>
      <c r="DA165" s="4994">
        <f t="shared" si="21"/>
        <v>1</v>
      </c>
      <c r="DB165" s="4978"/>
      <c r="DC165" s="4978"/>
      <c r="DD165" s="4978"/>
      <c r="DE165" s="4978"/>
      <c r="DF165" s="4978"/>
      <c r="DG165" s="4978"/>
      <c r="DH165" s="4978"/>
      <c r="DI165" s="4978"/>
      <c r="DJ165" s="4978"/>
      <c r="DK165" s="4978"/>
      <c r="DL165" s="4978"/>
      <c r="DM165" s="4978"/>
      <c r="DN165" s="4978"/>
      <c r="EB165" s="4264"/>
      <c r="EC165" s="4264"/>
      <c r="ED165" s="4264"/>
      <c r="EE165" s="4264"/>
      <c r="EF165" s="4264"/>
      <c r="EG165" s="4264"/>
      <c r="EH165" s="4264"/>
      <c r="EI165" s="4264"/>
      <c r="EJ165" s="4264"/>
      <c r="EK165" s="4264"/>
      <c r="EL165" s="4264"/>
      <c r="EM165" s="4264"/>
      <c r="EN165" s="4264"/>
      <c r="EO165" s="4264"/>
      <c r="EP165" s="4264"/>
      <c r="EQ165" s="4264"/>
      <c r="ER165" s="4264"/>
      <c r="ES165" s="4264"/>
      <c r="ET165" s="4264"/>
    </row>
    <row r="166" spans="1:150" ht="14.1" customHeight="1" x14ac:dyDescent="0.25">
      <c r="A166" s="7320">
        <v>29101646</v>
      </c>
      <c r="B166" s="5078" t="s">
        <v>2849</v>
      </c>
      <c r="C166" s="5218" t="s">
        <v>5369</v>
      </c>
      <c r="D166" s="7127" t="s">
        <v>5370</v>
      </c>
      <c r="E166" s="7127" t="s">
        <v>5371</v>
      </c>
      <c r="F166" s="4949" t="s">
        <v>5372</v>
      </c>
      <c r="G166" s="3841" t="s">
        <v>5373</v>
      </c>
      <c r="H166" s="4949" t="s">
        <v>5374</v>
      </c>
      <c r="I166" s="3841" t="s">
        <v>5375</v>
      </c>
      <c r="J166" s="4949" t="s">
        <v>5376</v>
      </c>
      <c r="K166" s="3841" t="s">
        <v>5377</v>
      </c>
      <c r="L166" s="4949" t="s">
        <v>5378</v>
      </c>
      <c r="M166" s="3841" t="s">
        <v>5379</v>
      </c>
      <c r="N166" s="4949" t="s">
        <v>5380</v>
      </c>
      <c r="O166" s="3841" t="s">
        <v>5381</v>
      </c>
      <c r="P166" s="4949" t="s">
        <v>5382</v>
      </c>
      <c r="Q166" s="3841" t="s">
        <v>5383</v>
      </c>
      <c r="R166" s="4949" t="s">
        <v>5384</v>
      </c>
      <c r="S166" s="3841" t="s">
        <v>5385</v>
      </c>
      <c r="T166" s="4949" t="s">
        <v>5386</v>
      </c>
      <c r="U166" s="3841" t="s">
        <v>5387</v>
      </c>
      <c r="V166" s="4949" t="s">
        <v>5388</v>
      </c>
      <c r="W166" s="3841" t="s">
        <v>5389</v>
      </c>
      <c r="X166" s="4949" t="s">
        <v>5390</v>
      </c>
      <c r="Y166" s="3841" t="s">
        <v>5391</v>
      </c>
      <c r="Z166" s="4949" t="s">
        <v>5392</v>
      </c>
      <c r="AA166" s="3841" t="s">
        <v>5393</v>
      </c>
      <c r="AB166" s="4949" t="s">
        <v>5394</v>
      </c>
      <c r="AC166" s="3841" t="s">
        <v>5395</v>
      </c>
      <c r="AD166" s="4949" t="s">
        <v>5396</v>
      </c>
      <c r="AE166" s="3841" t="s">
        <v>5397</v>
      </c>
      <c r="AF166" s="4949" t="s">
        <v>5398</v>
      </c>
      <c r="AG166" s="3841" t="s">
        <v>5399</v>
      </c>
      <c r="AH166" s="4949" t="s">
        <v>5400</v>
      </c>
      <c r="AI166" s="3841" t="s">
        <v>5401</v>
      </c>
      <c r="AJ166" s="4949" t="s">
        <v>5402</v>
      </c>
      <c r="AK166" s="3841" t="s">
        <v>5403</v>
      </c>
      <c r="AL166" s="7140" t="s">
        <v>5404</v>
      </c>
      <c r="AM166" s="4950" t="s">
        <v>5405</v>
      </c>
      <c r="AN166" s="5214" t="s">
        <v>5406</v>
      </c>
      <c r="AO166" s="4942" t="s">
        <v>5407</v>
      </c>
      <c r="AP166" s="4951" t="s">
        <v>5408</v>
      </c>
      <c r="AQ166" s="5057" t="str">
        <f t="shared" si="22"/>
        <v xml:space="preserve">* El número de Consultas Según tipo de atención NO DEBE ser diferente al Total. </v>
      </c>
      <c r="BV166" s="4259"/>
      <c r="BW166" s="4259"/>
      <c r="BZ166" s="4264"/>
      <c r="CA166" s="4264"/>
      <c r="CB166" s="4264"/>
      <c r="CC166" s="4264"/>
      <c r="CD166" s="4264"/>
      <c r="CE166" s="4260"/>
      <c r="CF166" s="4260"/>
      <c r="CG166" s="4260"/>
      <c r="CH166" s="4260"/>
      <c r="CI166" s="4260"/>
      <c r="CJ166" s="4260"/>
      <c r="CK166" s="4260"/>
      <c r="CL166" s="4260"/>
      <c r="CM166" s="4260"/>
      <c r="CN166" s="4260"/>
      <c r="CO166" s="4260"/>
      <c r="CP166" s="4260"/>
      <c r="CQ166" s="4260"/>
      <c r="CR166" s="4264"/>
      <c r="CS166" s="4264"/>
      <c r="CT166" s="4264"/>
      <c r="CU166" s="4993" t="str">
        <f t="shared" si="20"/>
        <v xml:space="preserve">* El número de Consultas Según tipo de atención NO DEBE ser diferente al Total. </v>
      </c>
      <c r="CV166" s="4993"/>
      <c r="CW166" s="4993"/>
      <c r="CX166" s="4993"/>
      <c r="CY166" s="4993"/>
      <c r="CZ166" s="4993"/>
      <c r="DA166" s="4994">
        <f t="shared" si="21"/>
        <v>1</v>
      </c>
      <c r="DB166" s="4978"/>
      <c r="DC166" s="4978"/>
      <c r="DD166" s="4978"/>
      <c r="DE166" s="4978"/>
      <c r="DF166" s="4978"/>
      <c r="DG166" s="4978"/>
      <c r="DH166" s="4978"/>
      <c r="DI166" s="4978"/>
      <c r="DJ166" s="4978"/>
      <c r="DK166" s="4978"/>
      <c r="DL166" s="4978"/>
      <c r="DM166" s="4978"/>
      <c r="DN166" s="4978"/>
      <c r="EB166" s="4264"/>
      <c r="EC166" s="4264"/>
      <c r="ED166" s="4264"/>
      <c r="EE166" s="4264"/>
      <c r="EF166" s="4264"/>
      <c r="EG166" s="4264"/>
      <c r="EH166" s="4264"/>
      <c r="EI166" s="4264"/>
      <c r="EJ166" s="4264"/>
      <c r="EK166" s="4264"/>
      <c r="EL166" s="4264"/>
      <c r="EM166" s="4264"/>
      <c r="EN166" s="4264"/>
      <c r="EO166" s="4264"/>
      <c r="EP166" s="4264"/>
      <c r="EQ166" s="4264"/>
      <c r="ER166" s="4264"/>
      <c r="ES166" s="4264"/>
      <c r="ET166" s="4264"/>
    </row>
    <row r="167" spans="1:150" ht="14.1" customHeight="1" x14ac:dyDescent="0.25">
      <c r="A167" s="7520">
        <v>28021120</v>
      </c>
      <c r="B167" s="5078" t="s">
        <v>317</v>
      </c>
      <c r="C167" s="5219" t="s">
        <v>5369</v>
      </c>
      <c r="D167" s="7127" t="s">
        <v>5370</v>
      </c>
      <c r="E167" s="7127" t="s">
        <v>5371</v>
      </c>
      <c r="F167" s="4949" t="s">
        <v>5372</v>
      </c>
      <c r="G167" s="3841" t="s">
        <v>5373</v>
      </c>
      <c r="H167" s="4949" t="s">
        <v>5374</v>
      </c>
      <c r="I167" s="3841" t="s">
        <v>5375</v>
      </c>
      <c r="J167" s="4949" t="s">
        <v>5376</v>
      </c>
      <c r="K167" s="3841" t="s">
        <v>5377</v>
      </c>
      <c r="L167" s="4949" t="s">
        <v>5378</v>
      </c>
      <c r="M167" s="3841" t="s">
        <v>5379</v>
      </c>
      <c r="N167" s="4949" t="s">
        <v>5380</v>
      </c>
      <c r="O167" s="3841" t="s">
        <v>5381</v>
      </c>
      <c r="P167" s="4949" t="s">
        <v>5382</v>
      </c>
      <c r="Q167" s="3841" t="s">
        <v>5383</v>
      </c>
      <c r="R167" s="4949" t="s">
        <v>5384</v>
      </c>
      <c r="S167" s="3841" t="s">
        <v>5385</v>
      </c>
      <c r="T167" s="4949" t="s">
        <v>5386</v>
      </c>
      <c r="U167" s="3841" t="s">
        <v>5387</v>
      </c>
      <c r="V167" s="4949" t="s">
        <v>5388</v>
      </c>
      <c r="W167" s="3841" t="s">
        <v>5389</v>
      </c>
      <c r="X167" s="4949" t="s">
        <v>5390</v>
      </c>
      <c r="Y167" s="3841" t="s">
        <v>5391</v>
      </c>
      <c r="Z167" s="4949" t="s">
        <v>5392</v>
      </c>
      <c r="AA167" s="3841" t="s">
        <v>5393</v>
      </c>
      <c r="AB167" s="4949" t="s">
        <v>5394</v>
      </c>
      <c r="AC167" s="3841" t="s">
        <v>5395</v>
      </c>
      <c r="AD167" s="4949" t="s">
        <v>5396</v>
      </c>
      <c r="AE167" s="3841" t="s">
        <v>5397</v>
      </c>
      <c r="AF167" s="4949" t="s">
        <v>5398</v>
      </c>
      <c r="AG167" s="3841" t="s">
        <v>5399</v>
      </c>
      <c r="AH167" s="4949" t="s">
        <v>5400</v>
      </c>
      <c r="AI167" s="3841" t="s">
        <v>5401</v>
      </c>
      <c r="AJ167" s="4949" t="s">
        <v>5402</v>
      </c>
      <c r="AK167" s="3841" t="s">
        <v>5403</v>
      </c>
      <c r="AL167" s="7140" t="s">
        <v>5404</v>
      </c>
      <c r="AM167" s="4950" t="s">
        <v>5405</v>
      </c>
      <c r="AN167" s="5214" t="s">
        <v>5406</v>
      </c>
      <c r="AO167" s="4942" t="s">
        <v>5407</v>
      </c>
      <c r="AP167" s="4951" t="s">
        <v>5408</v>
      </c>
      <c r="AQ167" s="5057" t="str">
        <f t="shared" si="22"/>
        <v xml:space="preserve">* El número de Consultas Según tipo de atención NO DEBE ser diferente al Total. </v>
      </c>
      <c r="BV167" s="4259"/>
      <c r="BW167" s="4259"/>
      <c r="BZ167" s="4264"/>
      <c r="CA167" s="4264"/>
      <c r="CB167" s="4264"/>
      <c r="CC167" s="4264"/>
      <c r="CD167" s="4264"/>
      <c r="CE167" s="4260"/>
      <c r="CF167" s="4260"/>
      <c r="CG167" s="4260"/>
      <c r="CH167" s="4260"/>
      <c r="CI167" s="4260"/>
      <c r="CJ167" s="4260"/>
      <c r="CK167" s="4260"/>
      <c r="CL167" s="4260"/>
      <c r="CM167" s="4260"/>
      <c r="CN167" s="4260"/>
      <c r="CO167" s="4260"/>
      <c r="CP167" s="4260"/>
      <c r="CQ167" s="4260"/>
      <c r="CR167" s="4264"/>
      <c r="CS167" s="4264"/>
      <c r="CT167" s="4264"/>
      <c r="CU167" s="4993" t="str">
        <f t="shared" si="20"/>
        <v xml:space="preserve">* El número de Consultas Según tipo de atención NO DEBE ser diferente al Total. </v>
      </c>
      <c r="CV167" s="4993"/>
      <c r="CW167" s="4993"/>
      <c r="CX167" s="4993"/>
      <c r="CY167" s="4993"/>
      <c r="CZ167" s="4993"/>
      <c r="DA167" s="4994">
        <f t="shared" si="21"/>
        <v>1</v>
      </c>
      <c r="DB167" s="4978"/>
      <c r="DC167" s="4978"/>
      <c r="DD167" s="4978"/>
      <c r="DE167" s="4978"/>
      <c r="DF167" s="4978"/>
      <c r="DG167" s="4978"/>
      <c r="DH167" s="4978"/>
      <c r="DI167" s="4978"/>
      <c r="DJ167" s="4978"/>
      <c r="DK167" s="4978"/>
      <c r="DL167" s="4978"/>
      <c r="DM167" s="4978"/>
      <c r="DN167" s="4978"/>
      <c r="EB167" s="4264"/>
      <c r="EC167" s="4264"/>
      <c r="ED167" s="4264"/>
      <c r="EE167" s="4264"/>
      <c r="EF167" s="4264"/>
      <c r="EG167" s="4264"/>
      <c r="EH167" s="4264"/>
      <c r="EI167" s="4264"/>
      <c r="EJ167" s="4264"/>
      <c r="EK167" s="4264"/>
      <c r="EL167" s="4264"/>
      <c r="EM167" s="4264"/>
      <c r="EN167" s="4264"/>
      <c r="EO167" s="4264"/>
      <c r="EP167" s="4264"/>
      <c r="EQ167" s="4264"/>
      <c r="ER167" s="4264"/>
      <c r="ES167" s="4264"/>
      <c r="ET167" s="4264"/>
    </row>
    <row r="168" spans="1:150" ht="14.1" customHeight="1" x14ac:dyDescent="0.25">
      <c r="A168" s="7320">
        <v>29101647</v>
      </c>
      <c r="B168" s="5078" t="s">
        <v>2850</v>
      </c>
      <c r="C168" s="5219" t="s">
        <v>5369</v>
      </c>
      <c r="D168" s="7127" t="s">
        <v>5370</v>
      </c>
      <c r="E168" s="7127" t="s">
        <v>5371</v>
      </c>
      <c r="F168" s="4949" t="s">
        <v>5372</v>
      </c>
      <c r="G168" s="3841" t="s">
        <v>5373</v>
      </c>
      <c r="H168" s="4949" t="s">
        <v>5374</v>
      </c>
      <c r="I168" s="3841" t="s">
        <v>5375</v>
      </c>
      <c r="J168" s="4949" t="s">
        <v>5376</v>
      </c>
      <c r="K168" s="3841" t="s">
        <v>5377</v>
      </c>
      <c r="L168" s="4949" t="s">
        <v>5378</v>
      </c>
      <c r="M168" s="3841" t="s">
        <v>5379</v>
      </c>
      <c r="N168" s="4949" t="s">
        <v>5380</v>
      </c>
      <c r="O168" s="3841" t="s">
        <v>5381</v>
      </c>
      <c r="P168" s="4949" t="s">
        <v>5382</v>
      </c>
      <c r="Q168" s="3841" t="s">
        <v>5383</v>
      </c>
      <c r="R168" s="4949" t="s">
        <v>5384</v>
      </c>
      <c r="S168" s="3841" t="s">
        <v>5385</v>
      </c>
      <c r="T168" s="4949" t="s">
        <v>5386</v>
      </c>
      <c r="U168" s="3841" t="s">
        <v>5387</v>
      </c>
      <c r="V168" s="4949" t="s">
        <v>5388</v>
      </c>
      <c r="W168" s="3841" t="s">
        <v>5389</v>
      </c>
      <c r="X168" s="4949" t="s">
        <v>5390</v>
      </c>
      <c r="Y168" s="3841" t="s">
        <v>5391</v>
      </c>
      <c r="Z168" s="4949" t="s">
        <v>5392</v>
      </c>
      <c r="AA168" s="3841" t="s">
        <v>5393</v>
      </c>
      <c r="AB168" s="4949" t="s">
        <v>5394</v>
      </c>
      <c r="AC168" s="3841" t="s">
        <v>5395</v>
      </c>
      <c r="AD168" s="4949" t="s">
        <v>5396</v>
      </c>
      <c r="AE168" s="3841" t="s">
        <v>5397</v>
      </c>
      <c r="AF168" s="4949" t="s">
        <v>5398</v>
      </c>
      <c r="AG168" s="3841" t="s">
        <v>5399</v>
      </c>
      <c r="AH168" s="4949" t="s">
        <v>5400</v>
      </c>
      <c r="AI168" s="3841" t="s">
        <v>5401</v>
      </c>
      <c r="AJ168" s="4949" t="s">
        <v>5402</v>
      </c>
      <c r="AK168" s="3841" t="s">
        <v>5403</v>
      </c>
      <c r="AL168" s="7140" t="s">
        <v>5404</v>
      </c>
      <c r="AM168" s="4950" t="s">
        <v>5405</v>
      </c>
      <c r="AN168" s="5214" t="s">
        <v>5406</v>
      </c>
      <c r="AO168" s="4942" t="s">
        <v>5407</v>
      </c>
      <c r="AP168" s="4951" t="s">
        <v>5408</v>
      </c>
      <c r="AQ168" s="5057" t="str">
        <f t="shared" si="22"/>
        <v xml:space="preserve">* El número de Consultas Según tipo de atención NO DEBE ser diferente al Total. </v>
      </c>
      <c r="BV168" s="4259"/>
      <c r="BW168" s="4259"/>
      <c r="BZ168" s="4264"/>
      <c r="CA168" s="4264"/>
      <c r="CB168" s="4264"/>
      <c r="CC168" s="4264"/>
      <c r="CD168" s="4264"/>
      <c r="CE168" s="4260"/>
      <c r="CF168" s="4260"/>
      <c r="CG168" s="4260"/>
      <c r="CH168" s="4260"/>
      <c r="CI168" s="4260"/>
      <c r="CJ168" s="4260"/>
      <c r="CK168" s="4260"/>
      <c r="CL168" s="4260"/>
      <c r="CM168" s="4260"/>
      <c r="CN168" s="4260"/>
      <c r="CO168" s="4260"/>
      <c r="CP168" s="4260"/>
      <c r="CQ168" s="4260"/>
      <c r="CR168" s="4264"/>
      <c r="CS168" s="4264"/>
      <c r="CT168" s="4264"/>
      <c r="CU168" s="4993" t="str">
        <f t="shared" si="20"/>
        <v xml:space="preserve">* El número de Consultas Según tipo de atención NO DEBE ser diferente al Total. </v>
      </c>
      <c r="CV168" s="4993"/>
      <c r="CW168" s="4993"/>
      <c r="CX168" s="4993"/>
      <c r="CY168" s="4993"/>
      <c r="CZ168" s="4993"/>
      <c r="DA168" s="4994">
        <f t="shared" si="21"/>
        <v>1</v>
      </c>
      <c r="DB168" s="4978"/>
      <c r="DC168" s="4978"/>
      <c r="DD168" s="4978"/>
      <c r="DE168" s="4978"/>
      <c r="DF168" s="4978"/>
      <c r="DG168" s="4978"/>
      <c r="DH168" s="4978"/>
      <c r="DI168" s="4978"/>
      <c r="DJ168" s="4978"/>
      <c r="DK168" s="4978"/>
      <c r="DL168" s="4978"/>
      <c r="DM168" s="4978"/>
      <c r="DN168" s="4978"/>
      <c r="EB168" s="4264"/>
      <c r="EC168" s="4264"/>
      <c r="ED168" s="4264"/>
      <c r="EE168" s="4264"/>
      <c r="EF168" s="4264"/>
      <c r="EG168" s="4264"/>
      <c r="EH168" s="4264"/>
      <c r="EI168" s="4264"/>
      <c r="EJ168" s="4264"/>
      <c r="EK168" s="4264"/>
      <c r="EL168" s="4264"/>
      <c r="EM168" s="4264"/>
      <c r="EN168" s="4264"/>
      <c r="EO168" s="4264"/>
      <c r="EP168" s="4264"/>
      <c r="EQ168" s="4264"/>
      <c r="ER168" s="4264"/>
      <c r="ES168" s="4264"/>
      <c r="ET168" s="4264"/>
    </row>
    <row r="169" spans="1:150" ht="14.1" customHeight="1" x14ac:dyDescent="0.25">
      <c r="A169" s="7520">
        <v>28022420</v>
      </c>
      <c r="B169" s="5078" t="s">
        <v>404</v>
      </c>
      <c r="C169" s="5219" t="s">
        <v>5369</v>
      </c>
      <c r="D169" s="7127" t="s">
        <v>5370</v>
      </c>
      <c r="E169" s="7127" t="s">
        <v>5371</v>
      </c>
      <c r="F169" s="4949" t="s">
        <v>5372</v>
      </c>
      <c r="G169" s="3841" t="s">
        <v>5373</v>
      </c>
      <c r="H169" s="4949" t="s">
        <v>5374</v>
      </c>
      <c r="I169" s="3841" t="s">
        <v>5375</v>
      </c>
      <c r="J169" s="4949" t="s">
        <v>5376</v>
      </c>
      <c r="K169" s="3841" t="s">
        <v>5377</v>
      </c>
      <c r="L169" s="4949" t="s">
        <v>5378</v>
      </c>
      <c r="M169" s="3841" t="s">
        <v>5379</v>
      </c>
      <c r="N169" s="4949" t="s">
        <v>5380</v>
      </c>
      <c r="O169" s="3841" t="s">
        <v>5381</v>
      </c>
      <c r="P169" s="4949" t="s">
        <v>5382</v>
      </c>
      <c r="Q169" s="3841" t="s">
        <v>5383</v>
      </c>
      <c r="R169" s="4949" t="s">
        <v>5384</v>
      </c>
      <c r="S169" s="3841" t="s">
        <v>5385</v>
      </c>
      <c r="T169" s="4949" t="s">
        <v>5386</v>
      </c>
      <c r="U169" s="3841" t="s">
        <v>5387</v>
      </c>
      <c r="V169" s="4949" t="s">
        <v>5388</v>
      </c>
      <c r="W169" s="3841" t="s">
        <v>5389</v>
      </c>
      <c r="X169" s="4949" t="s">
        <v>5390</v>
      </c>
      <c r="Y169" s="3841" t="s">
        <v>5391</v>
      </c>
      <c r="Z169" s="4949" t="s">
        <v>5392</v>
      </c>
      <c r="AA169" s="3841" t="s">
        <v>5393</v>
      </c>
      <c r="AB169" s="4949" t="s">
        <v>5394</v>
      </c>
      <c r="AC169" s="3841" t="s">
        <v>5395</v>
      </c>
      <c r="AD169" s="4949" t="s">
        <v>5396</v>
      </c>
      <c r="AE169" s="3841" t="s">
        <v>5397</v>
      </c>
      <c r="AF169" s="4949" t="s">
        <v>5398</v>
      </c>
      <c r="AG169" s="3841" t="s">
        <v>5399</v>
      </c>
      <c r="AH169" s="4949" t="s">
        <v>5400</v>
      </c>
      <c r="AI169" s="3841" t="s">
        <v>5401</v>
      </c>
      <c r="AJ169" s="4949" t="s">
        <v>5402</v>
      </c>
      <c r="AK169" s="3841" t="s">
        <v>5403</v>
      </c>
      <c r="AL169" s="7140" t="s">
        <v>5404</v>
      </c>
      <c r="AM169" s="4950" t="s">
        <v>5405</v>
      </c>
      <c r="AN169" s="5214" t="s">
        <v>5406</v>
      </c>
      <c r="AO169" s="4942" t="s">
        <v>5407</v>
      </c>
      <c r="AP169" s="4951" t="s">
        <v>5408</v>
      </c>
      <c r="AQ169" s="5057" t="str">
        <f t="shared" si="22"/>
        <v xml:space="preserve">* El número de Consultas Según tipo de atención NO DEBE ser diferente al Total. </v>
      </c>
      <c r="BV169" s="4259"/>
      <c r="BW169" s="4259"/>
      <c r="BZ169" s="4264"/>
      <c r="CA169" s="4264"/>
      <c r="CB169" s="4264"/>
      <c r="CC169" s="4264"/>
      <c r="CD169" s="4264"/>
      <c r="CE169" s="4260"/>
      <c r="CF169" s="4260"/>
      <c r="CG169" s="4260"/>
      <c r="CH169" s="4260"/>
      <c r="CI169" s="4260"/>
      <c r="CJ169" s="4260"/>
      <c r="CK169" s="4260"/>
      <c r="CL169" s="4260"/>
      <c r="CM169" s="4260"/>
      <c r="CN169" s="4260"/>
      <c r="CO169" s="4260"/>
      <c r="CP169" s="4260"/>
      <c r="CQ169" s="4260"/>
      <c r="CR169" s="4264"/>
      <c r="CS169" s="4264"/>
      <c r="CT169" s="4264"/>
      <c r="CU169" s="4993" t="str">
        <f t="shared" si="20"/>
        <v xml:space="preserve">* El número de Consultas Según tipo de atención NO DEBE ser diferente al Total. </v>
      </c>
      <c r="CV169" s="4993"/>
      <c r="CW169" s="4993"/>
      <c r="CX169" s="4993"/>
      <c r="CY169" s="4993"/>
      <c r="CZ169" s="4993"/>
      <c r="DA169" s="4994">
        <f t="shared" si="21"/>
        <v>1</v>
      </c>
      <c r="DB169" s="4978"/>
      <c r="DC169" s="4978"/>
      <c r="DD169" s="4978"/>
      <c r="DE169" s="4978"/>
      <c r="DF169" s="4978"/>
      <c r="DG169" s="4978"/>
      <c r="DH169" s="4978"/>
      <c r="DI169" s="4978"/>
      <c r="DJ169" s="4978"/>
      <c r="DK169" s="4978"/>
      <c r="DL169" s="4978"/>
      <c r="DM169" s="4978"/>
      <c r="DN169" s="4978"/>
      <c r="EB169" s="4264"/>
      <c r="EC169" s="4264"/>
      <c r="ED169" s="4264"/>
      <c r="EE169" s="4264"/>
      <c r="EF169" s="4264"/>
      <c r="EG169" s="4264"/>
      <c r="EH169" s="4264"/>
      <c r="EI169" s="4264"/>
      <c r="EJ169" s="4264"/>
      <c r="EK169" s="4264"/>
      <c r="EL169" s="4264"/>
      <c r="EM169" s="4264"/>
      <c r="EN169" s="4264"/>
      <c r="EO169" s="4264"/>
      <c r="EP169" s="4264"/>
      <c r="EQ169" s="4264"/>
      <c r="ER169" s="4264"/>
      <c r="ES169" s="4264"/>
      <c r="ET169" s="4264"/>
    </row>
    <row r="170" spans="1:150" ht="14.1" customHeight="1" x14ac:dyDescent="0.25">
      <c r="A170" s="7320">
        <v>29101648</v>
      </c>
      <c r="B170" s="5078" t="s">
        <v>2851</v>
      </c>
      <c r="C170" s="5219" t="s">
        <v>5369</v>
      </c>
      <c r="D170" s="7127" t="s">
        <v>5370</v>
      </c>
      <c r="E170" s="7127" t="s">
        <v>5371</v>
      </c>
      <c r="F170" s="4949" t="s">
        <v>5372</v>
      </c>
      <c r="G170" s="3841" t="s">
        <v>5373</v>
      </c>
      <c r="H170" s="4949" t="s">
        <v>5374</v>
      </c>
      <c r="I170" s="3841" t="s">
        <v>5375</v>
      </c>
      <c r="J170" s="4949" t="s">
        <v>5376</v>
      </c>
      <c r="K170" s="3841" t="s">
        <v>5377</v>
      </c>
      <c r="L170" s="4949" t="s">
        <v>5378</v>
      </c>
      <c r="M170" s="3841" t="s">
        <v>5379</v>
      </c>
      <c r="N170" s="4949" t="s">
        <v>5380</v>
      </c>
      <c r="O170" s="3841" t="s">
        <v>5381</v>
      </c>
      <c r="P170" s="4949" t="s">
        <v>5382</v>
      </c>
      <c r="Q170" s="3841" t="s">
        <v>5383</v>
      </c>
      <c r="R170" s="4949" t="s">
        <v>5384</v>
      </c>
      <c r="S170" s="3841" t="s">
        <v>5385</v>
      </c>
      <c r="T170" s="4949" t="s">
        <v>5386</v>
      </c>
      <c r="U170" s="3841" t="s">
        <v>5387</v>
      </c>
      <c r="V170" s="4949" t="s">
        <v>5388</v>
      </c>
      <c r="W170" s="3841" t="s">
        <v>5389</v>
      </c>
      <c r="X170" s="4949" t="s">
        <v>5390</v>
      </c>
      <c r="Y170" s="3841" t="s">
        <v>5391</v>
      </c>
      <c r="Z170" s="4949" t="s">
        <v>5392</v>
      </c>
      <c r="AA170" s="3841" t="s">
        <v>5393</v>
      </c>
      <c r="AB170" s="4949" t="s">
        <v>5394</v>
      </c>
      <c r="AC170" s="3841" t="s">
        <v>5395</v>
      </c>
      <c r="AD170" s="4949" t="s">
        <v>5396</v>
      </c>
      <c r="AE170" s="3841" t="s">
        <v>5397</v>
      </c>
      <c r="AF170" s="4949" t="s">
        <v>5398</v>
      </c>
      <c r="AG170" s="3841" t="s">
        <v>5399</v>
      </c>
      <c r="AH170" s="4949" t="s">
        <v>5400</v>
      </c>
      <c r="AI170" s="3841" t="s">
        <v>5401</v>
      </c>
      <c r="AJ170" s="4949" t="s">
        <v>5402</v>
      </c>
      <c r="AK170" s="3841" t="s">
        <v>5403</v>
      </c>
      <c r="AL170" s="7140" t="s">
        <v>5404</v>
      </c>
      <c r="AM170" s="4950" t="s">
        <v>5405</v>
      </c>
      <c r="AN170" s="5214" t="s">
        <v>5406</v>
      </c>
      <c r="AO170" s="4942" t="s">
        <v>5407</v>
      </c>
      <c r="AP170" s="4951" t="s">
        <v>5408</v>
      </c>
      <c r="AQ170" s="5057" t="str">
        <f t="shared" si="22"/>
        <v xml:space="preserve">* El número de Consultas Según tipo de atención NO DEBE ser diferente al Total. </v>
      </c>
      <c r="BV170" s="4259"/>
      <c r="BW170" s="4259"/>
      <c r="BZ170" s="4264"/>
      <c r="CA170" s="4264"/>
      <c r="CB170" s="4264"/>
      <c r="CC170" s="4264"/>
      <c r="CD170" s="4264"/>
      <c r="CE170" s="4260"/>
      <c r="CF170" s="4260"/>
      <c r="CG170" s="4260"/>
      <c r="CH170" s="4260"/>
      <c r="CI170" s="4260"/>
      <c r="CJ170" s="4260"/>
      <c r="CK170" s="4260"/>
      <c r="CL170" s="4260"/>
      <c r="CM170" s="4260"/>
      <c r="CN170" s="4260"/>
      <c r="CO170" s="4260"/>
      <c r="CP170" s="4260"/>
      <c r="CQ170" s="4260"/>
      <c r="CR170" s="4264"/>
      <c r="CS170" s="4264"/>
      <c r="CT170" s="4264"/>
      <c r="CU170" s="4993" t="str">
        <f t="shared" si="20"/>
        <v xml:space="preserve">* El número de Consultas Según tipo de atención NO DEBE ser diferente al Total. </v>
      </c>
      <c r="CV170" s="4993"/>
      <c r="CW170" s="4993"/>
      <c r="CX170" s="4993"/>
      <c r="CY170" s="4993"/>
      <c r="CZ170" s="4993"/>
      <c r="DA170" s="4994">
        <f t="shared" si="21"/>
        <v>1</v>
      </c>
      <c r="DB170" s="4978"/>
      <c r="DC170" s="4978"/>
      <c r="DD170" s="4978"/>
      <c r="DE170" s="4978"/>
      <c r="DF170" s="4978"/>
      <c r="DG170" s="4978"/>
      <c r="DH170" s="4978"/>
      <c r="DI170" s="4978"/>
      <c r="DJ170" s="4978"/>
      <c r="DK170" s="4978"/>
      <c r="DL170" s="4978"/>
      <c r="DM170" s="4978"/>
      <c r="DN170" s="4978"/>
      <c r="EB170" s="4264"/>
      <c r="EC170" s="4264"/>
      <c r="ED170" s="4264"/>
      <c r="EE170" s="4264"/>
      <c r="EF170" s="4264"/>
      <c r="EG170" s="4264"/>
      <c r="EH170" s="4264"/>
      <c r="EI170" s="4264"/>
      <c r="EJ170" s="4264"/>
      <c r="EK170" s="4264"/>
      <c r="EL170" s="4264"/>
      <c r="EM170" s="4264"/>
      <c r="EN170" s="4264"/>
      <c r="EO170" s="4264"/>
      <c r="EP170" s="4264"/>
      <c r="EQ170" s="4264"/>
      <c r="ER170" s="4264"/>
      <c r="ES170" s="4264"/>
      <c r="ET170" s="4264"/>
    </row>
    <row r="171" spans="1:150" ht="14.1" customHeight="1" x14ac:dyDescent="0.25">
      <c r="A171" s="7320">
        <v>29101649</v>
      </c>
      <c r="B171" s="5078" t="s">
        <v>2828</v>
      </c>
      <c r="C171" s="5219" t="s">
        <v>5369</v>
      </c>
      <c r="D171" s="7127" t="s">
        <v>5370</v>
      </c>
      <c r="E171" s="7127" t="s">
        <v>5371</v>
      </c>
      <c r="F171" s="4949" t="s">
        <v>5372</v>
      </c>
      <c r="G171" s="3841" t="s">
        <v>5373</v>
      </c>
      <c r="H171" s="4949" t="s">
        <v>5374</v>
      </c>
      <c r="I171" s="3841" t="s">
        <v>5375</v>
      </c>
      <c r="J171" s="4949" t="s">
        <v>5376</v>
      </c>
      <c r="K171" s="3841" t="s">
        <v>5377</v>
      </c>
      <c r="L171" s="4949" t="s">
        <v>5378</v>
      </c>
      <c r="M171" s="3841" t="s">
        <v>5379</v>
      </c>
      <c r="N171" s="4949" t="s">
        <v>5380</v>
      </c>
      <c r="O171" s="3841" t="s">
        <v>5381</v>
      </c>
      <c r="P171" s="4949" t="s">
        <v>5382</v>
      </c>
      <c r="Q171" s="3841" t="s">
        <v>5383</v>
      </c>
      <c r="R171" s="4949" t="s">
        <v>5384</v>
      </c>
      <c r="S171" s="3841" t="s">
        <v>5385</v>
      </c>
      <c r="T171" s="4949" t="s">
        <v>5386</v>
      </c>
      <c r="U171" s="3841" t="s">
        <v>5387</v>
      </c>
      <c r="V171" s="4949" t="s">
        <v>5388</v>
      </c>
      <c r="W171" s="3841" t="s">
        <v>5389</v>
      </c>
      <c r="X171" s="4949" t="s">
        <v>5390</v>
      </c>
      <c r="Y171" s="3841" t="s">
        <v>5391</v>
      </c>
      <c r="Z171" s="4949" t="s">
        <v>5392</v>
      </c>
      <c r="AA171" s="3841" t="s">
        <v>5393</v>
      </c>
      <c r="AB171" s="4949" t="s">
        <v>5394</v>
      </c>
      <c r="AC171" s="3841" t="s">
        <v>5395</v>
      </c>
      <c r="AD171" s="4949" t="s">
        <v>5396</v>
      </c>
      <c r="AE171" s="3841" t="s">
        <v>5397</v>
      </c>
      <c r="AF171" s="4949" t="s">
        <v>5398</v>
      </c>
      <c r="AG171" s="3841" t="s">
        <v>5399</v>
      </c>
      <c r="AH171" s="4949" t="s">
        <v>5400</v>
      </c>
      <c r="AI171" s="3841" t="s">
        <v>5401</v>
      </c>
      <c r="AJ171" s="4949" t="s">
        <v>5402</v>
      </c>
      <c r="AK171" s="3841" t="s">
        <v>5403</v>
      </c>
      <c r="AL171" s="7140" t="s">
        <v>5404</v>
      </c>
      <c r="AM171" s="4950" t="s">
        <v>5405</v>
      </c>
      <c r="AN171" s="5214" t="s">
        <v>5406</v>
      </c>
      <c r="AO171" s="4942" t="s">
        <v>5407</v>
      </c>
      <c r="AP171" s="4951" t="s">
        <v>5408</v>
      </c>
      <c r="AQ171" s="5057" t="str">
        <f t="shared" si="22"/>
        <v xml:space="preserve">* El número de Consultas Según tipo de atención NO DEBE ser diferente al Total. </v>
      </c>
      <c r="BV171" s="4259"/>
      <c r="BW171" s="4259"/>
      <c r="BZ171" s="4264"/>
      <c r="CA171" s="4264"/>
      <c r="CB171" s="4264"/>
      <c r="CC171" s="4264"/>
      <c r="CD171" s="4264"/>
      <c r="CE171" s="4260"/>
      <c r="CF171" s="4260"/>
      <c r="CG171" s="4260"/>
      <c r="CH171" s="4260"/>
      <c r="CI171" s="4260"/>
      <c r="CJ171" s="4260"/>
      <c r="CK171" s="4260"/>
      <c r="CL171" s="4260"/>
      <c r="CM171" s="4260"/>
      <c r="CN171" s="4260"/>
      <c r="CO171" s="4260"/>
      <c r="CP171" s="4260"/>
      <c r="CQ171" s="4260"/>
      <c r="CR171" s="4264"/>
      <c r="CS171" s="4264"/>
      <c r="CT171" s="4264"/>
      <c r="CU171" s="4993" t="str">
        <f t="shared" si="20"/>
        <v xml:space="preserve">* El número de Consultas Según tipo de atención NO DEBE ser diferente al Total. </v>
      </c>
      <c r="CV171" s="4295"/>
      <c r="CW171" s="4295"/>
      <c r="CX171" s="4295"/>
      <c r="CY171" s="4295"/>
      <c r="CZ171" s="4295"/>
      <c r="DA171" s="4994">
        <f t="shared" si="21"/>
        <v>1</v>
      </c>
      <c r="DB171" s="4978"/>
      <c r="DC171" s="4978"/>
      <c r="DD171" s="4978"/>
      <c r="DE171" s="4978"/>
      <c r="DF171" s="4978"/>
      <c r="DG171" s="4978"/>
      <c r="DH171" s="4978"/>
      <c r="DI171" s="4978"/>
      <c r="DJ171" s="4978"/>
      <c r="DK171" s="4978"/>
      <c r="DL171" s="4978"/>
      <c r="DM171" s="4978"/>
      <c r="DN171" s="4978"/>
      <c r="EB171" s="4264"/>
      <c r="EC171" s="4264"/>
      <c r="ED171" s="4264"/>
      <c r="EE171" s="4264"/>
      <c r="EF171" s="4264"/>
      <c r="EG171" s="4264"/>
      <c r="EH171" s="4264"/>
      <c r="EI171" s="4264"/>
      <c r="EJ171" s="4264"/>
      <c r="EK171" s="4264"/>
      <c r="EL171" s="4264"/>
      <c r="EM171" s="4264"/>
      <c r="EN171" s="4264"/>
      <c r="EO171" s="4264"/>
      <c r="EP171" s="4264"/>
      <c r="EQ171" s="4264"/>
      <c r="ER171" s="4264"/>
      <c r="ES171" s="4264"/>
      <c r="ET171" s="4264"/>
    </row>
    <row r="172" spans="1:150" ht="14.1" customHeight="1" x14ac:dyDescent="0.25">
      <c r="A172" s="7320">
        <v>29101650</v>
      </c>
      <c r="B172" s="5078" t="s">
        <v>1762</v>
      </c>
      <c r="C172" s="5219" t="s">
        <v>5369</v>
      </c>
      <c r="D172" s="7127" t="s">
        <v>5370</v>
      </c>
      <c r="E172" s="7127" t="s">
        <v>5371</v>
      </c>
      <c r="F172" s="4949" t="s">
        <v>5372</v>
      </c>
      <c r="G172" s="3841" t="s">
        <v>5373</v>
      </c>
      <c r="H172" s="4949" t="s">
        <v>5374</v>
      </c>
      <c r="I172" s="3841" t="s">
        <v>5375</v>
      </c>
      <c r="J172" s="4949" t="s">
        <v>5376</v>
      </c>
      <c r="K172" s="3841" t="s">
        <v>5377</v>
      </c>
      <c r="L172" s="4949" t="s">
        <v>5378</v>
      </c>
      <c r="M172" s="3841" t="s">
        <v>5379</v>
      </c>
      <c r="N172" s="4949" t="s">
        <v>5380</v>
      </c>
      <c r="O172" s="3841" t="s">
        <v>5381</v>
      </c>
      <c r="P172" s="4949" t="s">
        <v>5382</v>
      </c>
      <c r="Q172" s="3841" t="s">
        <v>5383</v>
      </c>
      <c r="R172" s="4949" t="s">
        <v>5384</v>
      </c>
      <c r="S172" s="3841" t="s">
        <v>5385</v>
      </c>
      <c r="T172" s="4949" t="s">
        <v>5386</v>
      </c>
      <c r="U172" s="3841" t="s">
        <v>5387</v>
      </c>
      <c r="V172" s="4949" t="s">
        <v>5388</v>
      </c>
      <c r="W172" s="3841" t="s">
        <v>5389</v>
      </c>
      <c r="X172" s="4949" t="s">
        <v>5390</v>
      </c>
      <c r="Y172" s="3841" t="s">
        <v>5391</v>
      </c>
      <c r="Z172" s="4949" t="s">
        <v>5392</v>
      </c>
      <c r="AA172" s="3841" t="s">
        <v>5393</v>
      </c>
      <c r="AB172" s="4949" t="s">
        <v>5394</v>
      </c>
      <c r="AC172" s="3841" t="s">
        <v>5395</v>
      </c>
      <c r="AD172" s="4949" t="s">
        <v>5396</v>
      </c>
      <c r="AE172" s="3841" t="s">
        <v>5397</v>
      </c>
      <c r="AF172" s="4949" t="s">
        <v>5398</v>
      </c>
      <c r="AG172" s="3841" t="s">
        <v>5399</v>
      </c>
      <c r="AH172" s="4949" t="s">
        <v>5400</v>
      </c>
      <c r="AI172" s="3841" t="s">
        <v>5401</v>
      </c>
      <c r="AJ172" s="4949" t="s">
        <v>5402</v>
      </c>
      <c r="AK172" s="3841" t="s">
        <v>5403</v>
      </c>
      <c r="AL172" s="7140" t="s">
        <v>5404</v>
      </c>
      <c r="AM172" s="4950" t="s">
        <v>5405</v>
      </c>
      <c r="AN172" s="5214" t="s">
        <v>5406</v>
      </c>
      <c r="AO172" s="4942" t="s">
        <v>5407</v>
      </c>
      <c r="AP172" s="4951" t="s">
        <v>5408</v>
      </c>
      <c r="AQ172" s="5057" t="str">
        <f t="shared" si="22"/>
        <v xml:space="preserve">* El número de Consultas Según tipo de atención NO DEBE ser diferente al Total. </v>
      </c>
      <c r="BV172" s="4259"/>
      <c r="BW172" s="4259"/>
      <c r="BZ172" s="4264"/>
      <c r="CA172" s="4264"/>
      <c r="CB172" s="4264"/>
      <c r="CC172" s="4264"/>
      <c r="CD172" s="4264"/>
      <c r="CE172" s="4260"/>
      <c r="CF172" s="4260"/>
      <c r="CG172" s="4260"/>
      <c r="CH172" s="4260"/>
      <c r="CI172" s="4260"/>
      <c r="CJ172" s="4260"/>
      <c r="CK172" s="4260"/>
      <c r="CL172" s="4260"/>
      <c r="CM172" s="4260"/>
      <c r="CN172" s="4260"/>
      <c r="CO172" s="4260"/>
      <c r="CP172" s="4260"/>
      <c r="CQ172" s="4260"/>
      <c r="CR172" s="4264"/>
      <c r="CS172" s="4264"/>
      <c r="CT172" s="4264"/>
      <c r="CU172" s="4993" t="str">
        <f t="shared" si="20"/>
        <v xml:space="preserve">* El número de Consultas Según tipo de atención NO DEBE ser diferente al Total. </v>
      </c>
      <c r="CV172" s="4295"/>
      <c r="CW172" s="4295"/>
      <c r="CX172" s="4295"/>
      <c r="CY172" s="4295"/>
      <c r="CZ172" s="4295"/>
      <c r="DA172" s="4994">
        <f t="shared" si="21"/>
        <v>1</v>
      </c>
      <c r="DB172" s="4978"/>
      <c r="DC172" s="4978"/>
      <c r="DD172" s="4978"/>
      <c r="DE172" s="4978"/>
      <c r="DF172" s="4978"/>
      <c r="DG172" s="4978"/>
      <c r="DH172" s="4978"/>
      <c r="DI172" s="4978"/>
      <c r="DJ172" s="4978"/>
      <c r="DK172" s="4978"/>
      <c r="DL172" s="4978"/>
      <c r="DM172" s="4978"/>
      <c r="DN172" s="4978"/>
      <c r="EB172" s="4264"/>
      <c r="EC172" s="4264"/>
      <c r="ED172" s="4264"/>
      <c r="EE172" s="4264"/>
      <c r="EF172" s="4264"/>
      <c r="EG172" s="4264"/>
      <c r="EH172" s="4264"/>
      <c r="EI172" s="4264"/>
      <c r="EJ172" s="4264"/>
      <c r="EK172" s="4264"/>
      <c r="EL172" s="4264"/>
      <c r="EM172" s="4264"/>
      <c r="EN172" s="4264"/>
      <c r="EO172" s="4264"/>
      <c r="EP172" s="4264"/>
      <c r="EQ172" s="4264"/>
      <c r="ER172" s="4264"/>
      <c r="ES172" s="4264"/>
      <c r="ET172" s="4264"/>
    </row>
    <row r="173" spans="1:150" ht="14.1" customHeight="1" x14ac:dyDescent="0.25">
      <c r="A173" s="7520">
        <v>28021000</v>
      </c>
      <c r="B173" s="5078" t="s">
        <v>315</v>
      </c>
      <c r="C173" s="5219" t="s">
        <v>5369</v>
      </c>
      <c r="D173" s="7127" t="s">
        <v>5370</v>
      </c>
      <c r="E173" s="7127" t="s">
        <v>5371</v>
      </c>
      <c r="F173" s="4949" t="s">
        <v>5372</v>
      </c>
      <c r="G173" s="3841" t="s">
        <v>5373</v>
      </c>
      <c r="H173" s="4949" t="s">
        <v>5374</v>
      </c>
      <c r="I173" s="3841" t="s">
        <v>5375</v>
      </c>
      <c r="J173" s="4949" t="s">
        <v>5376</v>
      </c>
      <c r="K173" s="3841" t="s">
        <v>5377</v>
      </c>
      <c r="L173" s="4949" t="s">
        <v>5378</v>
      </c>
      <c r="M173" s="3841" t="s">
        <v>5379</v>
      </c>
      <c r="N173" s="4949" t="s">
        <v>5380</v>
      </c>
      <c r="O173" s="3841" t="s">
        <v>5381</v>
      </c>
      <c r="P173" s="4949" t="s">
        <v>5382</v>
      </c>
      <c r="Q173" s="3841" t="s">
        <v>5383</v>
      </c>
      <c r="R173" s="4949" t="s">
        <v>5384</v>
      </c>
      <c r="S173" s="3841" t="s">
        <v>5385</v>
      </c>
      <c r="T173" s="4949" t="s">
        <v>5386</v>
      </c>
      <c r="U173" s="3841" t="s">
        <v>5387</v>
      </c>
      <c r="V173" s="4949" t="s">
        <v>5388</v>
      </c>
      <c r="W173" s="3841" t="s">
        <v>5389</v>
      </c>
      <c r="X173" s="4949" t="s">
        <v>5390</v>
      </c>
      <c r="Y173" s="3841" t="s">
        <v>5391</v>
      </c>
      <c r="Z173" s="4949" t="s">
        <v>5392</v>
      </c>
      <c r="AA173" s="3841" t="s">
        <v>5393</v>
      </c>
      <c r="AB173" s="4949" t="s">
        <v>5394</v>
      </c>
      <c r="AC173" s="3841" t="s">
        <v>5395</v>
      </c>
      <c r="AD173" s="4949" t="s">
        <v>5396</v>
      </c>
      <c r="AE173" s="3841" t="s">
        <v>5397</v>
      </c>
      <c r="AF173" s="4949" t="s">
        <v>5398</v>
      </c>
      <c r="AG173" s="3841" t="s">
        <v>5399</v>
      </c>
      <c r="AH173" s="4949" t="s">
        <v>5400</v>
      </c>
      <c r="AI173" s="3841" t="s">
        <v>5401</v>
      </c>
      <c r="AJ173" s="4949" t="s">
        <v>5402</v>
      </c>
      <c r="AK173" s="3841" t="s">
        <v>5403</v>
      </c>
      <c r="AL173" s="7140" t="s">
        <v>5404</v>
      </c>
      <c r="AM173" s="4950" t="s">
        <v>5405</v>
      </c>
      <c r="AN173" s="5214" t="s">
        <v>5406</v>
      </c>
      <c r="AO173" s="4942" t="s">
        <v>5407</v>
      </c>
      <c r="AP173" s="4951" t="s">
        <v>5408</v>
      </c>
      <c r="AQ173" s="5057" t="str">
        <f t="shared" si="22"/>
        <v xml:space="preserve">* El número de Consultas Según tipo de atención NO DEBE ser diferente al Total. </v>
      </c>
      <c r="BV173" s="4259"/>
      <c r="BW173" s="4259"/>
      <c r="BZ173" s="4264"/>
      <c r="CA173" s="4264"/>
      <c r="CB173" s="4264"/>
      <c r="CC173" s="4264"/>
      <c r="CD173" s="4264"/>
      <c r="CE173" s="4260"/>
      <c r="CF173" s="4260"/>
      <c r="CG173" s="4260"/>
      <c r="CH173" s="4260"/>
      <c r="CI173" s="4260"/>
      <c r="CJ173" s="4260"/>
      <c r="CK173" s="4260"/>
      <c r="CL173" s="4260"/>
      <c r="CM173" s="4260"/>
      <c r="CN173" s="4260"/>
      <c r="CO173" s="4260"/>
      <c r="CP173" s="4260"/>
      <c r="CQ173" s="4260"/>
      <c r="CR173" s="4264"/>
      <c r="CS173" s="4264"/>
      <c r="CT173" s="4264"/>
      <c r="CU173" s="4993" t="str">
        <f t="shared" si="20"/>
        <v xml:space="preserve">* El número de Consultas Según tipo de atención NO DEBE ser diferente al Total. </v>
      </c>
      <c r="CV173" s="4295"/>
      <c r="CW173" s="4295"/>
      <c r="CX173" s="4295"/>
      <c r="CY173" s="4295"/>
      <c r="CZ173" s="4295"/>
      <c r="DA173" s="4994">
        <f t="shared" si="21"/>
        <v>1</v>
      </c>
      <c r="DB173" s="4978"/>
      <c r="DC173" s="4978"/>
      <c r="DD173" s="4978"/>
      <c r="DE173" s="4978"/>
      <c r="DF173" s="4978"/>
      <c r="DG173" s="4978"/>
      <c r="DH173" s="4978"/>
      <c r="DI173" s="4978"/>
      <c r="DJ173" s="4978"/>
      <c r="DK173" s="4978"/>
      <c r="DL173" s="4978"/>
      <c r="DM173" s="4978"/>
      <c r="DN173" s="4978"/>
      <c r="EB173" s="4264"/>
      <c r="EC173" s="4264"/>
      <c r="ED173" s="4264"/>
      <c r="EE173" s="4264"/>
      <c r="EF173" s="4264"/>
      <c r="EG173" s="4264"/>
      <c r="EH173" s="4264"/>
      <c r="EI173" s="4264"/>
      <c r="EJ173" s="4264"/>
      <c r="EK173" s="4264"/>
      <c r="EL173" s="4264"/>
      <c r="EM173" s="4264"/>
      <c r="EN173" s="4264"/>
      <c r="EO173" s="4264"/>
      <c r="EP173" s="4264"/>
      <c r="EQ173" s="4264"/>
      <c r="ER173" s="4264"/>
      <c r="ES173" s="4264"/>
      <c r="ET173" s="4264"/>
    </row>
    <row r="174" spans="1:150" ht="14.1" customHeight="1" x14ac:dyDescent="0.25">
      <c r="A174" s="7520">
        <v>28021110</v>
      </c>
      <c r="B174" s="5078" t="s">
        <v>316</v>
      </c>
      <c r="C174" s="5219" t="s">
        <v>5369</v>
      </c>
      <c r="D174" s="7127" t="s">
        <v>5370</v>
      </c>
      <c r="E174" s="7127" t="s">
        <v>5371</v>
      </c>
      <c r="F174" s="4949" t="s">
        <v>5372</v>
      </c>
      <c r="G174" s="3841" t="s">
        <v>5373</v>
      </c>
      <c r="H174" s="4949" t="s">
        <v>5374</v>
      </c>
      <c r="I174" s="3841" t="s">
        <v>5375</v>
      </c>
      <c r="J174" s="4949" t="s">
        <v>5376</v>
      </c>
      <c r="K174" s="3841" t="s">
        <v>5377</v>
      </c>
      <c r="L174" s="4949" t="s">
        <v>5378</v>
      </c>
      <c r="M174" s="3841" t="s">
        <v>5379</v>
      </c>
      <c r="N174" s="4949" t="s">
        <v>5380</v>
      </c>
      <c r="O174" s="3841" t="s">
        <v>5381</v>
      </c>
      <c r="P174" s="4949" t="s">
        <v>5382</v>
      </c>
      <c r="Q174" s="3841" t="s">
        <v>5383</v>
      </c>
      <c r="R174" s="4949" t="s">
        <v>5384</v>
      </c>
      <c r="S174" s="3841" t="s">
        <v>5385</v>
      </c>
      <c r="T174" s="4949" t="s">
        <v>5386</v>
      </c>
      <c r="U174" s="3841" t="s">
        <v>5387</v>
      </c>
      <c r="V174" s="4949" t="s">
        <v>5388</v>
      </c>
      <c r="W174" s="3841" t="s">
        <v>5389</v>
      </c>
      <c r="X174" s="4949" t="s">
        <v>5390</v>
      </c>
      <c r="Y174" s="3841" t="s">
        <v>5391</v>
      </c>
      <c r="Z174" s="4949" t="s">
        <v>5392</v>
      </c>
      <c r="AA174" s="3841" t="s">
        <v>5393</v>
      </c>
      <c r="AB174" s="4949" t="s">
        <v>5394</v>
      </c>
      <c r="AC174" s="3841" t="s">
        <v>5395</v>
      </c>
      <c r="AD174" s="4949" t="s">
        <v>5396</v>
      </c>
      <c r="AE174" s="3841" t="s">
        <v>5397</v>
      </c>
      <c r="AF174" s="4949" t="s">
        <v>5398</v>
      </c>
      <c r="AG174" s="3841" t="s">
        <v>5399</v>
      </c>
      <c r="AH174" s="4949" t="s">
        <v>5400</v>
      </c>
      <c r="AI174" s="3841" t="s">
        <v>5401</v>
      </c>
      <c r="AJ174" s="4949" t="s">
        <v>5402</v>
      </c>
      <c r="AK174" s="3841" t="s">
        <v>5403</v>
      </c>
      <c r="AL174" s="7140" t="s">
        <v>5404</v>
      </c>
      <c r="AM174" s="4950" t="s">
        <v>5405</v>
      </c>
      <c r="AN174" s="5214" t="s">
        <v>5406</v>
      </c>
      <c r="AO174" s="4942" t="s">
        <v>5407</v>
      </c>
      <c r="AP174" s="4951" t="s">
        <v>5408</v>
      </c>
      <c r="AQ174" s="5057" t="str">
        <f t="shared" si="22"/>
        <v xml:space="preserve">* El número de Consultas Según tipo de atención NO DEBE ser diferente al Total. </v>
      </c>
      <c r="BV174" s="4259"/>
      <c r="BW174" s="4259"/>
      <c r="BZ174" s="4264"/>
      <c r="CA174" s="4264"/>
      <c r="CB174" s="4264"/>
      <c r="CC174" s="4264"/>
      <c r="CD174" s="4264"/>
      <c r="CE174" s="4260"/>
      <c r="CF174" s="4260"/>
      <c r="CG174" s="4260"/>
      <c r="CH174" s="4260"/>
      <c r="CI174" s="4260"/>
      <c r="CJ174" s="4260"/>
      <c r="CK174" s="4260"/>
      <c r="CL174" s="4260"/>
      <c r="CM174" s="4260"/>
      <c r="CN174" s="4260"/>
      <c r="CO174" s="4260"/>
      <c r="CP174" s="4260"/>
      <c r="CQ174" s="4260"/>
      <c r="CR174" s="4264"/>
      <c r="CS174" s="4264"/>
      <c r="CT174" s="4264"/>
      <c r="CU174" s="4993" t="str">
        <f t="shared" si="20"/>
        <v xml:space="preserve">* El número de Consultas Según tipo de atención NO DEBE ser diferente al Total. </v>
      </c>
      <c r="CV174" s="4295"/>
      <c r="CW174" s="4295"/>
      <c r="CX174" s="4295"/>
      <c r="CY174" s="4295"/>
      <c r="CZ174" s="4295"/>
      <c r="DA174" s="4994">
        <f t="shared" si="21"/>
        <v>1</v>
      </c>
      <c r="DB174" s="4978"/>
      <c r="DC174" s="4978"/>
      <c r="DD174" s="4978"/>
      <c r="DE174" s="4978"/>
      <c r="DF174" s="4978"/>
      <c r="DG174" s="4978"/>
      <c r="DH174" s="4978"/>
      <c r="DI174" s="4978"/>
      <c r="DJ174" s="4978"/>
      <c r="DK174" s="4978"/>
      <c r="DL174" s="4978"/>
      <c r="DM174" s="4978"/>
      <c r="DN174" s="4978"/>
      <c r="EB174" s="4264"/>
      <c r="EC174" s="4264"/>
      <c r="ED174" s="4264"/>
      <c r="EE174" s="4264"/>
      <c r="EF174" s="4264"/>
      <c r="EG174" s="4264"/>
      <c r="EH174" s="4264"/>
      <c r="EI174" s="4264"/>
      <c r="EJ174" s="4264"/>
      <c r="EK174" s="4264"/>
      <c r="EL174" s="4264"/>
      <c r="EM174" s="4264"/>
      <c r="EN174" s="4264"/>
      <c r="EO174" s="4264"/>
      <c r="EP174" s="4264"/>
      <c r="EQ174" s="4264"/>
      <c r="ER174" s="4264"/>
      <c r="ES174" s="4264"/>
      <c r="ET174" s="4264"/>
    </row>
    <row r="175" spans="1:150" ht="14.1" customHeight="1" x14ac:dyDescent="0.25">
      <c r="A175" s="7320">
        <v>29101651</v>
      </c>
      <c r="B175" s="5078" t="s">
        <v>2827</v>
      </c>
      <c r="C175" s="5219" t="s">
        <v>5369</v>
      </c>
      <c r="D175" s="7127" t="s">
        <v>5370</v>
      </c>
      <c r="E175" s="7127" t="s">
        <v>5371</v>
      </c>
      <c r="F175" s="4949" t="s">
        <v>5372</v>
      </c>
      <c r="G175" s="3841" t="s">
        <v>5373</v>
      </c>
      <c r="H175" s="4949" t="s">
        <v>5374</v>
      </c>
      <c r="I175" s="3841" t="s">
        <v>5375</v>
      </c>
      <c r="J175" s="4949" t="s">
        <v>5376</v>
      </c>
      <c r="K175" s="3841" t="s">
        <v>5377</v>
      </c>
      <c r="L175" s="4949" t="s">
        <v>5378</v>
      </c>
      <c r="M175" s="3841" t="s">
        <v>5379</v>
      </c>
      <c r="N175" s="4949" t="s">
        <v>5380</v>
      </c>
      <c r="O175" s="3841" t="s">
        <v>5381</v>
      </c>
      <c r="P175" s="4949" t="s">
        <v>5382</v>
      </c>
      <c r="Q175" s="3841" t="s">
        <v>5383</v>
      </c>
      <c r="R175" s="4949" t="s">
        <v>5384</v>
      </c>
      <c r="S175" s="3841" t="s">
        <v>5385</v>
      </c>
      <c r="T175" s="4949" t="s">
        <v>5386</v>
      </c>
      <c r="U175" s="3841" t="s">
        <v>5387</v>
      </c>
      <c r="V175" s="4949" t="s">
        <v>5388</v>
      </c>
      <c r="W175" s="3841" t="s">
        <v>5389</v>
      </c>
      <c r="X175" s="4949" t="s">
        <v>5390</v>
      </c>
      <c r="Y175" s="3841" t="s">
        <v>5391</v>
      </c>
      <c r="Z175" s="4949" t="s">
        <v>5392</v>
      </c>
      <c r="AA175" s="3841" t="s">
        <v>5393</v>
      </c>
      <c r="AB175" s="4949" t="s">
        <v>5394</v>
      </c>
      <c r="AC175" s="3841" t="s">
        <v>5395</v>
      </c>
      <c r="AD175" s="4949" t="s">
        <v>5396</v>
      </c>
      <c r="AE175" s="3841" t="s">
        <v>5397</v>
      </c>
      <c r="AF175" s="4949" t="s">
        <v>5398</v>
      </c>
      <c r="AG175" s="3841" t="s">
        <v>5399</v>
      </c>
      <c r="AH175" s="4949" t="s">
        <v>5400</v>
      </c>
      <c r="AI175" s="3841" t="s">
        <v>5401</v>
      </c>
      <c r="AJ175" s="4949" t="s">
        <v>5402</v>
      </c>
      <c r="AK175" s="3841" t="s">
        <v>5403</v>
      </c>
      <c r="AL175" s="7140" t="s">
        <v>5404</v>
      </c>
      <c r="AM175" s="4950" t="s">
        <v>5405</v>
      </c>
      <c r="AN175" s="5214" t="s">
        <v>5406</v>
      </c>
      <c r="AO175" s="4942" t="s">
        <v>5407</v>
      </c>
      <c r="AP175" s="4951" t="s">
        <v>5408</v>
      </c>
      <c r="AQ175" s="5057" t="str">
        <f t="shared" si="22"/>
        <v xml:space="preserve">* El número de Consultas Según tipo de atención NO DEBE ser diferente al Total. </v>
      </c>
      <c r="BV175" s="4259"/>
      <c r="BW175" s="4259"/>
      <c r="BZ175" s="4264"/>
      <c r="CA175" s="4264"/>
      <c r="CB175" s="4264"/>
      <c r="CC175" s="4264"/>
      <c r="CD175" s="4264"/>
      <c r="CE175" s="4260"/>
      <c r="CF175" s="4260"/>
      <c r="CG175" s="4260"/>
      <c r="CH175" s="4260"/>
      <c r="CI175" s="4260"/>
      <c r="CJ175" s="4260"/>
      <c r="CK175" s="4260"/>
      <c r="CL175" s="4260"/>
      <c r="CM175" s="4260"/>
      <c r="CN175" s="4260"/>
      <c r="CO175" s="4260"/>
      <c r="CP175" s="4260"/>
      <c r="CQ175" s="4260"/>
      <c r="CR175" s="4264"/>
      <c r="CS175" s="4264"/>
      <c r="CT175" s="4264"/>
      <c r="CU175" s="4993" t="str">
        <f t="shared" si="20"/>
        <v xml:space="preserve">* El número de Consultas Según tipo de atención NO DEBE ser diferente al Total. </v>
      </c>
      <c r="CV175" s="4295"/>
      <c r="CW175" s="4295"/>
      <c r="CX175" s="4295"/>
      <c r="CY175" s="4295"/>
      <c r="CZ175" s="4295"/>
      <c r="DA175" s="4994">
        <f t="shared" si="21"/>
        <v>1</v>
      </c>
      <c r="DB175" s="4978"/>
      <c r="DC175" s="4978"/>
      <c r="DD175" s="4978"/>
      <c r="DE175" s="4978"/>
      <c r="DF175" s="4978"/>
      <c r="DG175" s="4978"/>
      <c r="DH175" s="4978"/>
      <c r="DI175" s="4978"/>
      <c r="DJ175" s="4978"/>
      <c r="DK175" s="4978"/>
      <c r="DL175" s="4978"/>
      <c r="DM175" s="4978"/>
      <c r="DN175" s="4978"/>
      <c r="EB175" s="4264"/>
      <c r="EC175" s="4264"/>
      <c r="ED175" s="4264"/>
      <c r="EE175" s="4264"/>
      <c r="EF175" s="4264"/>
      <c r="EG175" s="4264"/>
      <c r="EH175" s="4264"/>
      <c r="EI175" s="4264"/>
      <c r="EJ175" s="4264"/>
      <c r="EK175" s="4264"/>
      <c r="EL175" s="4264"/>
      <c r="EM175" s="4264"/>
      <c r="EN175" s="4264"/>
      <c r="EO175" s="4264"/>
      <c r="EP175" s="4264"/>
      <c r="EQ175" s="4264"/>
      <c r="ER175" s="4264"/>
      <c r="ES175" s="4264"/>
      <c r="ET175" s="4264"/>
    </row>
    <row r="176" spans="1:150" ht="14.1" customHeight="1" x14ac:dyDescent="0.25">
      <c r="A176" s="7520">
        <v>28021190</v>
      </c>
      <c r="B176" s="5220" t="s">
        <v>70</v>
      </c>
      <c r="C176" s="5219" t="s">
        <v>5369</v>
      </c>
      <c r="D176" s="7127" t="s">
        <v>5370</v>
      </c>
      <c r="E176" s="7127" t="s">
        <v>5371</v>
      </c>
      <c r="F176" s="4420" t="s">
        <v>5372</v>
      </c>
      <c r="G176" s="5157" t="s">
        <v>5373</v>
      </c>
      <c r="H176" s="4420" t="s">
        <v>5374</v>
      </c>
      <c r="I176" s="5157" t="s">
        <v>5375</v>
      </c>
      <c r="J176" s="4420" t="s">
        <v>5376</v>
      </c>
      <c r="K176" s="5157" t="s">
        <v>5377</v>
      </c>
      <c r="L176" s="4420" t="s">
        <v>5378</v>
      </c>
      <c r="M176" s="5157" t="s">
        <v>5379</v>
      </c>
      <c r="N176" s="4420" t="s">
        <v>5380</v>
      </c>
      <c r="O176" s="5157" t="s">
        <v>5381</v>
      </c>
      <c r="P176" s="4420" t="s">
        <v>5382</v>
      </c>
      <c r="Q176" s="5157" t="s">
        <v>5383</v>
      </c>
      <c r="R176" s="4420" t="s">
        <v>5384</v>
      </c>
      <c r="S176" s="5157" t="s">
        <v>5385</v>
      </c>
      <c r="T176" s="4420" t="s">
        <v>5386</v>
      </c>
      <c r="U176" s="5157" t="s">
        <v>5387</v>
      </c>
      <c r="V176" s="4420" t="s">
        <v>5388</v>
      </c>
      <c r="W176" s="5157" t="s">
        <v>5389</v>
      </c>
      <c r="X176" s="4420" t="s">
        <v>5390</v>
      </c>
      <c r="Y176" s="5157" t="s">
        <v>5391</v>
      </c>
      <c r="Z176" s="4420" t="s">
        <v>5392</v>
      </c>
      <c r="AA176" s="5157" t="s">
        <v>5393</v>
      </c>
      <c r="AB176" s="4420" t="s">
        <v>5394</v>
      </c>
      <c r="AC176" s="5157" t="s">
        <v>5395</v>
      </c>
      <c r="AD176" s="4420" t="s">
        <v>5396</v>
      </c>
      <c r="AE176" s="5157" t="s">
        <v>5397</v>
      </c>
      <c r="AF176" s="4420" t="s">
        <v>5398</v>
      </c>
      <c r="AG176" s="5157" t="s">
        <v>5399</v>
      </c>
      <c r="AH176" s="4420" t="s">
        <v>5400</v>
      </c>
      <c r="AI176" s="5157" t="s">
        <v>5401</v>
      </c>
      <c r="AJ176" s="4420" t="s">
        <v>5402</v>
      </c>
      <c r="AK176" s="5157" t="s">
        <v>5403</v>
      </c>
      <c r="AL176" s="7140" t="s">
        <v>5404</v>
      </c>
      <c r="AM176" s="4950" t="s">
        <v>5405</v>
      </c>
      <c r="AN176" s="5214" t="s">
        <v>5406</v>
      </c>
      <c r="AO176" s="4942" t="s">
        <v>5407</v>
      </c>
      <c r="AP176" s="4951" t="s">
        <v>5408</v>
      </c>
      <c r="AQ176" s="5057" t="str">
        <f t="shared" si="22"/>
        <v xml:space="preserve">* El número de Consultas Según tipo de atención NO DEBE ser diferente al Total. </v>
      </c>
      <c r="BV176" s="4259"/>
      <c r="BW176" s="4259"/>
      <c r="BZ176" s="4264"/>
      <c r="CA176" s="4264"/>
      <c r="CB176" s="4264"/>
      <c r="CC176" s="4264"/>
      <c r="CD176" s="4264"/>
      <c r="CE176" s="4260"/>
      <c r="CF176" s="4260"/>
      <c r="CG176" s="4260"/>
      <c r="CH176" s="4260"/>
      <c r="CI176" s="4260"/>
      <c r="CJ176" s="4260"/>
      <c r="CK176" s="4260"/>
      <c r="CL176" s="4260"/>
      <c r="CM176" s="4260"/>
      <c r="CN176" s="4260"/>
      <c r="CO176" s="4260"/>
      <c r="CP176" s="4260"/>
      <c r="CQ176" s="4260"/>
      <c r="CR176" s="4264"/>
      <c r="CS176" s="4264"/>
      <c r="CT176" s="4264"/>
      <c r="CU176" s="4993" t="str">
        <f t="shared" si="20"/>
        <v xml:space="preserve">* El número de Consultas Según tipo de atención NO DEBE ser diferente al Total. </v>
      </c>
      <c r="CV176" s="4295"/>
      <c r="CW176" s="4295"/>
      <c r="CX176" s="4295"/>
      <c r="CY176" s="4295"/>
      <c r="CZ176" s="4295"/>
      <c r="DA176" s="4994">
        <f t="shared" si="21"/>
        <v>1</v>
      </c>
      <c r="DB176" s="4978"/>
      <c r="DC176" s="4978"/>
      <c r="DD176" s="4978"/>
      <c r="DE176" s="4978"/>
      <c r="DF176" s="4978"/>
      <c r="DG176" s="4978"/>
      <c r="DH176" s="4978"/>
      <c r="DI176" s="4978"/>
      <c r="DJ176" s="4978"/>
      <c r="DK176" s="4978"/>
      <c r="DL176" s="4978"/>
      <c r="DM176" s="4978"/>
      <c r="DN176" s="4978"/>
      <c r="EB176" s="4264"/>
      <c r="EC176" s="4264"/>
      <c r="ED176" s="4264"/>
      <c r="EE176" s="4264"/>
      <c r="EF176" s="4264"/>
      <c r="EG176" s="4264"/>
      <c r="EH176" s="4264"/>
      <c r="EI176" s="4264"/>
      <c r="EJ176" s="4264"/>
      <c r="EK176" s="4264"/>
      <c r="EL176" s="4264"/>
      <c r="EM176" s="4264"/>
      <c r="EN176" s="4264"/>
      <c r="EO176" s="4264"/>
      <c r="EP176" s="4264"/>
      <c r="EQ176" s="4264"/>
      <c r="ER176" s="4264"/>
      <c r="ES176" s="4264"/>
      <c r="ET176" s="4264"/>
    </row>
    <row r="177" spans="1:150" ht="14.1" customHeight="1" x14ac:dyDescent="0.25">
      <c r="A177" s="7298"/>
      <c r="B177" s="5221" t="s">
        <v>73</v>
      </c>
      <c r="C177" s="5222">
        <f>SUM(C178:C182)</f>
        <v>0</v>
      </c>
      <c r="D177" s="7128">
        <f>SUM(D178:D182)</f>
        <v>0</v>
      </c>
      <c r="E177" s="7136">
        <f>SUM(E178:E182)</f>
        <v>0</v>
      </c>
      <c r="F177" s="5223">
        <f t="shared" ref="F177:AM177" si="23">SUM(F178:F182)</f>
        <v>0</v>
      </c>
      <c r="G177" s="5223">
        <f>SUM(G178:G182)</f>
        <v>0</v>
      </c>
      <c r="H177" s="5223">
        <f t="shared" si="23"/>
        <v>0</v>
      </c>
      <c r="I177" s="5223">
        <f>SUM(I178:I182)</f>
        <v>0</v>
      </c>
      <c r="J177" s="5223">
        <f t="shared" si="23"/>
        <v>0</v>
      </c>
      <c r="K177" s="5223">
        <f t="shared" si="23"/>
        <v>0</v>
      </c>
      <c r="L177" s="5223">
        <f t="shared" si="23"/>
        <v>0</v>
      </c>
      <c r="M177" s="5223">
        <f t="shared" si="23"/>
        <v>0</v>
      </c>
      <c r="N177" s="5223">
        <f t="shared" si="23"/>
        <v>0</v>
      </c>
      <c r="O177" s="5223">
        <f t="shared" si="23"/>
        <v>0</v>
      </c>
      <c r="P177" s="5223">
        <f t="shared" si="23"/>
        <v>0</v>
      </c>
      <c r="Q177" s="5223">
        <f t="shared" si="23"/>
        <v>0</v>
      </c>
      <c r="R177" s="5223">
        <f t="shared" si="23"/>
        <v>0</v>
      </c>
      <c r="S177" s="5223">
        <f t="shared" si="23"/>
        <v>0</v>
      </c>
      <c r="T177" s="5223">
        <f t="shared" si="23"/>
        <v>0</v>
      </c>
      <c r="U177" s="5223">
        <f t="shared" si="23"/>
        <v>0</v>
      </c>
      <c r="V177" s="5223">
        <f t="shared" si="23"/>
        <v>0</v>
      </c>
      <c r="W177" s="5223">
        <f t="shared" si="23"/>
        <v>0</v>
      </c>
      <c r="X177" s="5223">
        <f t="shared" si="23"/>
        <v>0</v>
      </c>
      <c r="Y177" s="5223">
        <f t="shared" si="23"/>
        <v>0</v>
      </c>
      <c r="Z177" s="5223">
        <f t="shared" si="23"/>
        <v>0</v>
      </c>
      <c r="AA177" s="5223">
        <f t="shared" si="23"/>
        <v>0</v>
      </c>
      <c r="AB177" s="5223">
        <f t="shared" si="23"/>
        <v>0</v>
      </c>
      <c r="AC177" s="5223">
        <f t="shared" si="23"/>
        <v>0</v>
      </c>
      <c r="AD177" s="5223">
        <f t="shared" si="23"/>
        <v>0</v>
      </c>
      <c r="AE177" s="5223">
        <f t="shared" si="23"/>
        <v>0</v>
      </c>
      <c r="AF177" s="5223">
        <f t="shared" si="23"/>
        <v>0</v>
      </c>
      <c r="AG177" s="5223">
        <f t="shared" si="23"/>
        <v>0</v>
      </c>
      <c r="AH177" s="5223">
        <f t="shared" si="23"/>
        <v>0</v>
      </c>
      <c r="AI177" s="5223">
        <f t="shared" si="23"/>
        <v>0</v>
      </c>
      <c r="AJ177" s="5223">
        <f t="shared" si="23"/>
        <v>0</v>
      </c>
      <c r="AK177" s="5223">
        <f t="shared" si="23"/>
        <v>0</v>
      </c>
      <c r="AL177" s="7142">
        <f t="shared" si="23"/>
        <v>0</v>
      </c>
      <c r="AM177" s="5224">
        <f t="shared" si="23"/>
        <v>0</v>
      </c>
      <c r="AN177" s="5225">
        <f t="shared" ref="AN177:AP177" si="24">SUM(AN178:AN182)</f>
        <v>0</v>
      </c>
      <c r="AO177" s="5226">
        <f t="shared" si="24"/>
        <v>0</v>
      </c>
      <c r="AP177" s="5227">
        <f t="shared" si="24"/>
        <v>0</v>
      </c>
      <c r="AQ177" s="5057"/>
      <c r="BV177" s="4259"/>
      <c r="BW177" s="4259"/>
      <c r="BY177" s="4260"/>
      <c r="CB177" s="4260"/>
      <c r="CC177" s="4260"/>
      <c r="CD177" s="4264"/>
      <c r="CE177" s="4260"/>
      <c r="CF177" s="4260"/>
      <c r="CG177" s="4260"/>
      <c r="CH177" s="4260"/>
      <c r="CI177" s="4260"/>
      <c r="CJ177" s="4260"/>
      <c r="CK177" s="4260"/>
      <c r="CL177" s="4260"/>
      <c r="CM177" s="4260"/>
      <c r="CN177" s="4260"/>
      <c r="CO177" s="4260"/>
      <c r="CP177" s="4260"/>
      <c r="CQ177" s="4260"/>
      <c r="CR177" s="4264"/>
      <c r="CS177" s="4264"/>
      <c r="CT177" s="4264"/>
      <c r="CU177" s="4993"/>
      <c r="CV177" s="4993"/>
      <c r="CW177" s="4993"/>
      <c r="CX177" s="4993"/>
      <c r="CY177" s="4993"/>
      <c r="CZ177" s="4993"/>
      <c r="DA177" s="4994"/>
      <c r="DB177" s="4978"/>
      <c r="DC177" s="4978"/>
      <c r="DD177" s="4978"/>
      <c r="DE177" s="4978"/>
      <c r="DF177" s="4978"/>
      <c r="DG177" s="4978"/>
      <c r="DH177" s="4978"/>
      <c r="DI177" s="4978"/>
      <c r="DJ177" s="4978"/>
      <c r="DK177" s="4978"/>
      <c r="DL177" s="4978"/>
      <c r="DM177" s="4978"/>
      <c r="DN177" s="4978"/>
      <c r="EB177" s="4264"/>
      <c r="EC177" s="4264"/>
      <c r="ED177" s="4264"/>
      <c r="EE177" s="4264"/>
      <c r="EF177" s="4264"/>
      <c r="EG177" s="4264"/>
      <c r="EH177" s="4264"/>
      <c r="EI177" s="4264"/>
      <c r="EJ177" s="4264"/>
      <c r="EK177" s="4264"/>
      <c r="EL177" s="4264"/>
      <c r="EM177" s="4264"/>
      <c r="EN177" s="4264"/>
      <c r="EO177" s="4264"/>
      <c r="EP177" s="4264"/>
      <c r="EQ177" s="4264"/>
      <c r="ER177" s="4264"/>
      <c r="ES177" s="4264"/>
      <c r="ET177" s="4264"/>
    </row>
    <row r="178" spans="1:150" ht="14.1" customHeight="1" x14ac:dyDescent="0.25">
      <c r="A178" s="7520">
        <v>28021200</v>
      </c>
      <c r="B178" s="5107" t="s">
        <v>152</v>
      </c>
      <c r="C178" s="5228" t="s">
        <v>5369</v>
      </c>
      <c r="D178" s="7129" t="s">
        <v>5370</v>
      </c>
      <c r="E178" s="7137" t="s">
        <v>5371</v>
      </c>
      <c r="F178" s="7149" t="s">
        <v>5372</v>
      </c>
      <c r="G178" s="7147" t="s">
        <v>5373</v>
      </c>
      <c r="H178" s="7149" t="s">
        <v>5374</v>
      </c>
      <c r="I178" s="7147" t="s">
        <v>5375</v>
      </c>
      <c r="J178" s="7149" t="s">
        <v>5376</v>
      </c>
      <c r="K178" s="7147" t="s">
        <v>5377</v>
      </c>
      <c r="L178" s="7149" t="s">
        <v>5378</v>
      </c>
      <c r="M178" s="7147" t="s">
        <v>5379</v>
      </c>
      <c r="N178" s="7149" t="s">
        <v>5380</v>
      </c>
      <c r="O178" s="7147" t="s">
        <v>5381</v>
      </c>
      <c r="P178" s="7149" t="s">
        <v>5382</v>
      </c>
      <c r="Q178" s="7147" t="s">
        <v>5383</v>
      </c>
      <c r="R178" s="7149" t="s">
        <v>5384</v>
      </c>
      <c r="S178" s="7147" t="s">
        <v>5385</v>
      </c>
      <c r="T178" s="7149" t="s">
        <v>5386</v>
      </c>
      <c r="U178" s="7147" t="s">
        <v>5387</v>
      </c>
      <c r="V178" s="7149" t="s">
        <v>5388</v>
      </c>
      <c r="W178" s="7147" t="s">
        <v>5389</v>
      </c>
      <c r="X178" s="7149" t="s">
        <v>5390</v>
      </c>
      <c r="Y178" s="7147" t="s">
        <v>5391</v>
      </c>
      <c r="Z178" s="7149" t="s">
        <v>5392</v>
      </c>
      <c r="AA178" s="7147" t="s">
        <v>5393</v>
      </c>
      <c r="AB178" s="7149" t="s">
        <v>5394</v>
      </c>
      <c r="AC178" s="7147" t="s">
        <v>5395</v>
      </c>
      <c r="AD178" s="7149" t="s">
        <v>5396</v>
      </c>
      <c r="AE178" s="7147" t="s">
        <v>5397</v>
      </c>
      <c r="AF178" s="7149" t="s">
        <v>5398</v>
      </c>
      <c r="AG178" s="7147" t="s">
        <v>5399</v>
      </c>
      <c r="AH178" s="7149" t="s">
        <v>5400</v>
      </c>
      <c r="AI178" s="7147" t="s">
        <v>5401</v>
      </c>
      <c r="AJ178" s="7149" t="s">
        <v>5402</v>
      </c>
      <c r="AK178" s="7147" t="s">
        <v>5403</v>
      </c>
      <c r="AL178" s="6779" t="s">
        <v>5404</v>
      </c>
      <c r="AM178" s="5046" t="s">
        <v>5405</v>
      </c>
      <c r="AN178" s="5044" t="s">
        <v>5406</v>
      </c>
      <c r="AO178" s="5045" t="s">
        <v>5407</v>
      </c>
      <c r="AP178" s="5045" t="s">
        <v>5408</v>
      </c>
      <c r="AQ178" s="5057" t="str">
        <f t="shared" si="22"/>
        <v xml:space="preserve">* El número de Egresos Según tipo de atención NO DEBE ser diferente al Total. </v>
      </c>
      <c r="BV178" s="4259"/>
      <c r="BW178" s="4259"/>
      <c r="BY178" s="4260"/>
      <c r="CB178" s="4260"/>
      <c r="CC178" s="4260"/>
      <c r="CD178" s="4264"/>
      <c r="CE178" s="4260"/>
      <c r="CF178" s="4260"/>
      <c r="CG178" s="4260"/>
      <c r="CH178" s="4260"/>
      <c r="CI178" s="4260"/>
      <c r="CJ178" s="4260"/>
      <c r="CK178" s="4260"/>
      <c r="CL178" s="4260"/>
      <c r="CM178" s="4260"/>
      <c r="CN178" s="4260"/>
      <c r="CO178" s="4260"/>
      <c r="CP178" s="4260"/>
      <c r="CQ178" s="4260"/>
      <c r="CR178" s="4264"/>
      <c r="CS178" s="4264"/>
      <c r="CT178" s="4264"/>
      <c r="CU178" s="4993" t="str">
        <f>IF(DA178=1,"* El número de Egresos Según tipo de atención NO DEBE ser diferente al Total. ","")</f>
        <v xml:space="preserve">* El número de Egresos Según tipo de atención NO DEBE ser diferente al Total. </v>
      </c>
      <c r="CV178" s="4993"/>
      <c r="CW178" s="4993"/>
      <c r="CX178" s="4993"/>
      <c r="CY178" s="4993"/>
      <c r="CZ178" s="4993"/>
      <c r="DA178" s="4994">
        <f>IF(C178&lt;&gt;SUM(AN178:AP178),1,0)</f>
        <v>1</v>
      </c>
      <c r="DB178" s="4978"/>
      <c r="DC178" s="4978"/>
      <c r="DD178" s="4978"/>
      <c r="DE178" s="4978"/>
      <c r="DF178" s="4978"/>
      <c r="DG178" s="4978"/>
      <c r="DH178" s="4978"/>
      <c r="DI178" s="4978"/>
      <c r="DJ178" s="4978"/>
      <c r="DK178" s="4978"/>
      <c r="DL178" s="4978"/>
      <c r="DM178" s="4978"/>
      <c r="DN178" s="4978"/>
      <c r="EB178" s="4264"/>
      <c r="EC178" s="4264"/>
      <c r="ED178" s="4264"/>
      <c r="EE178" s="4264"/>
      <c r="EF178" s="4264"/>
      <c r="EG178" s="4264"/>
      <c r="EH178" s="4264"/>
      <c r="EI178" s="4264"/>
      <c r="EJ178" s="4264"/>
      <c r="EK178" s="4264"/>
      <c r="EL178" s="4264"/>
      <c r="EM178" s="4264"/>
      <c r="EN178" s="4264"/>
      <c r="EO178" s="4264"/>
      <c r="EP178" s="4264"/>
      <c r="EQ178" s="4264"/>
      <c r="ER178" s="4264"/>
      <c r="ES178" s="4264"/>
      <c r="ET178" s="4264"/>
    </row>
    <row r="179" spans="1:150" ht="14.1" customHeight="1" x14ac:dyDescent="0.25">
      <c r="A179" s="7520">
        <v>28021210</v>
      </c>
      <c r="B179" s="5107" t="s">
        <v>153</v>
      </c>
      <c r="C179" s="5218" t="s">
        <v>5369</v>
      </c>
      <c r="D179" s="5219" t="s">
        <v>5370</v>
      </c>
      <c r="E179" s="7135" t="s">
        <v>5371</v>
      </c>
      <c r="F179" s="5033" t="s">
        <v>5372</v>
      </c>
      <c r="G179" s="3841" t="s">
        <v>5373</v>
      </c>
      <c r="H179" s="5033" t="s">
        <v>5374</v>
      </c>
      <c r="I179" s="3841" t="s">
        <v>5375</v>
      </c>
      <c r="J179" s="5033" t="s">
        <v>5376</v>
      </c>
      <c r="K179" s="3841" t="s">
        <v>5377</v>
      </c>
      <c r="L179" s="5033" t="s">
        <v>5378</v>
      </c>
      <c r="M179" s="3841" t="s">
        <v>5379</v>
      </c>
      <c r="N179" s="5033" t="s">
        <v>5380</v>
      </c>
      <c r="O179" s="3841" t="s">
        <v>5381</v>
      </c>
      <c r="P179" s="5033" t="s">
        <v>5382</v>
      </c>
      <c r="Q179" s="3841" t="s">
        <v>5383</v>
      </c>
      <c r="R179" s="5033" t="s">
        <v>5384</v>
      </c>
      <c r="S179" s="3841" t="s">
        <v>5385</v>
      </c>
      <c r="T179" s="5033" t="s">
        <v>5386</v>
      </c>
      <c r="U179" s="3841" t="s">
        <v>5387</v>
      </c>
      <c r="V179" s="5033" t="s">
        <v>5388</v>
      </c>
      <c r="W179" s="3841" t="s">
        <v>5389</v>
      </c>
      <c r="X179" s="5033" t="s">
        <v>5390</v>
      </c>
      <c r="Y179" s="3841" t="s">
        <v>5391</v>
      </c>
      <c r="Z179" s="5033" t="s">
        <v>5392</v>
      </c>
      <c r="AA179" s="3841" t="s">
        <v>5393</v>
      </c>
      <c r="AB179" s="5033" t="s">
        <v>5394</v>
      </c>
      <c r="AC179" s="3841" t="s">
        <v>5395</v>
      </c>
      <c r="AD179" s="5033" t="s">
        <v>5396</v>
      </c>
      <c r="AE179" s="3841" t="s">
        <v>5397</v>
      </c>
      <c r="AF179" s="5033" t="s">
        <v>5398</v>
      </c>
      <c r="AG179" s="3841" t="s">
        <v>5399</v>
      </c>
      <c r="AH179" s="5033" t="s">
        <v>5400</v>
      </c>
      <c r="AI179" s="3841" t="s">
        <v>5401</v>
      </c>
      <c r="AJ179" s="5033" t="s">
        <v>5402</v>
      </c>
      <c r="AK179" s="3841" t="s">
        <v>5403</v>
      </c>
      <c r="AL179" s="7140" t="s">
        <v>5404</v>
      </c>
      <c r="AM179" s="4950" t="s">
        <v>5405</v>
      </c>
      <c r="AN179" s="4951" t="s">
        <v>5406</v>
      </c>
      <c r="AO179" s="4137" t="s">
        <v>5407</v>
      </c>
      <c r="AP179" s="5229" t="s">
        <v>5408</v>
      </c>
      <c r="AQ179" s="5057" t="str">
        <f t="shared" si="22"/>
        <v xml:space="preserve">* El número de Egresos Según tipo de atención NO DEBE ser diferente al Total. </v>
      </c>
      <c r="BV179" s="4259"/>
      <c r="BW179" s="4259"/>
      <c r="BY179" s="4260"/>
      <c r="CB179" s="4260"/>
      <c r="CC179" s="4260"/>
      <c r="CD179" s="4264"/>
      <c r="CE179" s="4260"/>
      <c r="CF179" s="4260"/>
      <c r="CG179" s="4260"/>
      <c r="CH179" s="4260"/>
      <c r="CI179" s="4260"/>
      <c r="CJ179" s="4260"/>
      <c r="CK179" s="4260"/>
      <c r="CL179" s="4260"/>
      <c r="CM179" s="4260"/>
      <c r="CN179" s="4260"/>
      <c r="CO179" s="4260"/>
      <c r="CP179" s="4260"/>
      <c r="CQ179" s="4260"/>
      <c r="CR179" s="4264"/>
      <c r="CS179" s="4264"/>
      <c r="CT179" s="4264"/>
      <c r="CU179" s="4993" t="str">
        <f>IF(DA179=1,"* El número de Egresos Según tipo de atención NO DEBE ser diferente al Total. ","")</f>
        <v xml:space="preserve">* El número de Egresos Según tipo de atención NO DEBE ser diferente al Total. </v>
      </c>
      <c r="CV179" s="4993"/>
      <c r="CW179" s="4993"/>
      <c r="CX179" s="4993"/>
      <c r="CY179" s="4993"/>
      <c r="CZ179" s="4993"/>
      <c r="DA179" s="4994">
        <f>IF(C179&lt;&gt;SUM(AN179:AP179),1,0)</f>
        <v>1</v>
      </c>
      <c r="DB179" s="4978"/>
      <c r="DC179" s="4978"/>
      <c r="DD179" s="4978"/>
      <c r="DE179" s="4978"/>
      <c r="DF179" s="4978"/>
      <c r="DG179" s="4978"/>
      <c r="DH179" s="4978"/>
      <c r="DI179" s="4978"/>
      <c r="DJ179" s="4978"/>
      <c r="DK179" s="4978"/>
      <c r="DL179" s="4978"/>
      <c r="DM179" s="4978"/>
      <c r="DN179" s="4978"/>
      <c r="EB179" s="4264"/>
      <c r="EC179" s="4264"/>
      <c r="ED179" s="4264"/>
      <c r="EE179" s="4264"/>
      <c r="EF179" s="4264"/>
      <c r="EG179" s="4264"/>
      <c r="EH179" s="4264"/>
      <c r="EI179" s="4264"/>
      <c r="EJ179" s="4264"/>
      <c r="EK179" s="4264"/>
      <c r="EL179" s="4264"/>
      <c r="EM179" s="4264"/>
      <c r="EN179" s="4264"/>
      <c r="EO179" s="4264"/>
      <c r="EP179" s="4264"/>
      <c r="EQ179" s="4264"/>
      <c r="ER179" s="4264"/>
      <c r="ES179" s="4264"/>
      <c r="ET179" s="4264"/>
    </row>
    <row r="180" spans="1:150" ht="14.1" customHeight="1" x14ac:dyDescent="0.25">
      <c r="A180" s="7520">
        <v>28021220</v>
      </c>
      <c r="B180" s="5107" t="s">
        <v>154</v>
      </c>
      <c r="C180" s="5218" t="s">
        <v>5369</v>
      </c>
      <c r="D180" s="5218" t="s">
        <v>5370</v>
      </c>
      <c r="E180" s="7134" t="s">
        <v>5371</v>
      </c>
      <c r="F180" s="4949" t="s">
        <v>5372</v>
      </c>
      <c r="G180" s="3841" t="s">
        <v>5373</v>
      </c>
      <c r="H180" s="4949" t="s">
        <v>5374</v>
      </c>
      <c r="I180" s="3841" t="s">
        <v>5375</v>
      </c>
      <c r="J180" s="4949" t="s">
        <v>5376</v>
      </c>
      <c r="K180" s="3841" t="s">
        <v>5377</v>
      </c>
      <c r="L180" s="4949" t="s">
        <v>5378</v>
      </c>
      <c r="M180" s="3841" t="s">
        <v>5379</v>
      </c>
      <c r="N180" s="4949" t="s">
        <v>5380</v>
      </c>
      <c r="O180" s="3841" t="s">
        <v>5381</v>
      </c>
      <c r="P180" s="4949" t="s">
        <v>5382</v>
      </c>
      <c r="Q180" s="3841" t="s">
        <v>5383</v>
      </c>
      <c r="R180" s="4949" t="s">
        <v>5384</v>
      </c>
      <c r="S180" s="3841" t="s">
        <v>5385</v>
      </c>
      <c r="T180" s="4949" t="s">
        <v>5386</v>
      </c>
      <c r="U180" s="3841" t="s">
        <v>5387</v>
      </c>
      <c r="V180" s="4949" t="s">
        <v>5388</v>
      </c>
      <c r="W180" s="3841" t="s">
        <v>5389</v>
      </c>
      <c r="X180" s="4949" t="s">
        <v>5390</v>
      </c>
      <c r="Y180" s="3841" t="s">
        <v>5391</v>
      </c>
      <c r="Z180" s="4949" t="s">
        <v>5392</v>
      </c>
      <c r="AA180" s="3841" t="s">
        <v>5393</v>
      </c>
      <c r="AB180" s="4949" t="s">
        <v>5394</v>
      </c>
      <c r="AC180" s="3841" t="s">
        <v>5395</v>
      </c>
      <c r="AD180" s="4949" t="s">
        <v>5396</v>
      </c>
      <c r="AE180" s="3841" t="s">
        <v>5397</v>
      </c>
      <c r="AF180" s="4949" t="s">
        <v>5398</v>
      </c>
      <c r="AG180" s="3841" t="s">
        <v>5399</v>
      </c>
      <c r="AH180" s="4949" t="s">
        <v>5400</v>
      </c>
      <c r="AI180" s="3841" t="s">
        <v>5401</v>
      </c>
      <c r="AJ180" s="4949" t="s">
        <v>5402</v>
      </c>
      <c r="AK180" s="3841" t="s">
        <v>5403</v>
      </c>
      <c r="AL180" s="6779" t="s">
        <v>5404</v>
      </c>
      <c r="AM180" s="5046" t="s">
        <v>5405</v>
      </c>
      <c r="AN180" s="5044" t="s">
        <v>5406</v>
      </c>
      <c r="AO180" s="5045" t="s">
        <v>5407</v>
      </c>
      <c r="AP180" s="5045" t="s">
        <v>5408</v>
      </c>
      <c r="AQ180" s="5057" t="str">
        <f t="shared" si="22"/>
        <v xml:space="preserve">* El número de Egresos Según tipo de atención NO DEBE ser diferente al Total. </v>
      </c>
      <c r="BV180" s="4259"/>
      <c r="BW180" s="4259"/>
      <c r="BY180" s="4260"/>
      <c r="CB180" s="4260"/>
      <c r="CC180" s="4260"/>
      <c r="CD180" s="4264"/>
      <c r="CE180" s="4260"/>
      <c r="CF180" s="4260"/>
      <c r="CG180" s="4260"/>
      <c r="CH180" s="4260"/>
      <c r="CI180" s="4260"/>
      <c r="CJ180" s="4260"/>
      <c r="CK180" s="4260"/>
      <c r="CL180" s="4260"/>
      <c r="CM180" s="4260"/>
      <c r="CN180" s="4260"/>
      <c r="CO180" s="4260"/>
      <c r="CP180" s="4260"/>
      <c r="CQ180" s="4260"/>
      <c r="CR180" s="4264"/>
      <c r="CS180" s="4264"/>
      <c r="CT180" s="4264"/>
      <c r="CU180" s="4993" t="str">
        <f>IF(DA180=1,"* El número de Egresos Según tipo de atención NO DEBE ser diferente al Total. ","")</f>
        <v xml:space="preserve">* El número de Egresos Según tipo de atención NO DEBE ser diferente al Total. </v>
      </c>
      <c r="CV180" s="4993"/>
      <c r="CW180" s="4993"/>
      <c r="CX180" s="4993"/>
      <c r="CY180" s="4993"/>
      <c r="CZ180" s="4993"/>
      <c r="DA180" s="4994">
        <f>IF(C180&lt;&gt;SUM(AN180:AP180),1,0)</f>
        <v>1</v>
      </c>
      <c r="DB180" s="4978"/>
      <c r="DC180" s="4978"/>
      <c r="DD180" s="4978"/>
      <c r="DE180" s="4978"/>
      <c r="DF180" s="4978"/>
      <c r="DG180" s="4978"/>
      <c r="DH180" s="4978"/>
      <c r="DI180" s="4978"/>
      <c r="DJ180" s="4978"/>
      <c r="DK180" s="4978"/>
      <c r="DL180" s="4978"/>
      <c r="DM180" s="4978"/>
      <c r="DN180" s="4978"/>
      <c r="EB180" s="4264"/>
      <c r="EC180" s="4264"/>
      <c r="ED180" s="4264"/>
      <c r="EE180" s="4264"/>
      <c r="EF180" s="4264"/>
      <c r="EG180" s="4264"/>
      <c r="EH180" s="4264"/>
      <c r="EI180" s="4264"/>
      <c r="EJ180" s="4264"/>
      <c r="EK180" s="4264"/>
      <c r="EL180" s="4264"/>
      <c r="EM180" s="4264"/>
      <c r="EN180" s="4264"/>
      <c r="EO180" s="4264"/>
      <c r="EP180" s="4264"/>
      <c r="EQ180" s="4264"/>
      <c r="ER180" s="4264"/>
      <c r="ES180" s="4264"/>
      <c r="ET180" s="4264"/>
    </row>
    <row r="181" spans="1:150" ht="14.1" customHeight="1" x14ac:dyDescent="0.25">
      <c r="A181" s="7520">
        <v>28021626</v>
      </c>
      <c r="B181" s="5107" t="s">
        <v>185</v>
      </c>
      <c r="C181" s="5218" t="s">
        <v>5369</v>
      </c>
      <c r="D181" s="5218" t="s">
        <v>5370</v>
      </c>
      <c r="E181" s="7134" t="s">
        <v>5371</v>
      </c>
      <c r="F181" s="6236" t="s">
        <v>5372</v>
      </c>
      <c r="G181" s="3841" t="s">
        <v>5373</v>
      </c>
      <c r="H181" s="6236" t="s">
        <v>5374</v>
      </c>
      <c r="I181" s="3841" t="s">
        <v>5375</v>
      </c>
      <c r="J181" s="6236" t="s">
        <v>5376</v>
      </c>
      <c r="K181" s="3841" t="s">
        <v>5377</v>
      </c>
      <c r="L181" s="6236" t="s">
        <v>5378</v>
      </c>
      <c r="M181" s="3841" t="s">
        <v>5379</v>
      </c>
      <c r="N181" s="6236" t="s">
        <v>5380</v>
      </c>
      <c r="O181" s="3841" t="s">
        <v>5381</v>
      </c>
      <c r="P181" s="6236" t="s">
        <v>5382</v>
      </c>
      <c r="Q181" s="3841" t="s">
        <v>5383</v>
      </c>
      <c r="R181" s="6236" t="s">
        <v>5384</v>
      </c>
      <c r="S181" s="3841" t="s">
        <v>5385</v>
      </c>
      <c r="T181" s="6236" t="s">
        <v>5386</v>
      </c>
      <c r="U181" s="3841" t="s">
        <v>5387</v>
      </c>
      <c r="V181" s="6236" t="s">
        <v>5388</v>
      </c>
      <c r="W181" s="3841" t="s">
        <v>5389</v>
      </c>
      <c r="X181" s="6236" t="s">
        <v>5390</v>
      </c>
      <c r="Y181" s="3841" t="s">
        <v>5391</v>
      </c>
      <c r="Z181" s="6236" t="s">
        <v>5392</v>
      </c>
      <c r="AA181" s="3841" t="s">
        <v>5393</v>
      </c>
      <c r="AB181" s="6236" t="s">
        <v>5394</v>
      </c>
      <c r="AC181" s="3841" t="s">
        <v>5395</v>
      </c>
      <c r="AD181" s="6236" t="s">
        <v>5396</v>
      </c>
      <c r="AE181" s="3841" t="s">
        <v>5397</v>
      </c>
      <c r="AF181" s="6236" t="s">
        <v>5398</v>
      </c>
      <c r="AG181" s="3841" t="s">
        <v>5399</v>
      </c>
      <c r="AH181" s="6236" t="s">
        <v>5400</v>
      </c>
      <c r="AI181" s="3841" t="s">
        <v>5401</v>
      </c>
      <c r="AJ181" s="6236" t="s">
        <v>5402</v>
      </c>
      <c r="AK181" s="3841" t="s">
        <v>5403</v>
      </c>
      <c r="AL181" s="7140" t="s">
        <v>5404</v>
      </c>
      <c r="AM181" s="4950" t="s">
        <v>5405</v>
      </c>
      <c r="AN181" s="4951" t="s">
        <v>5406</v>
      </c>
      <c r="AO181" s="4137" t="s">
        <v>5407</v>
      </c>
      <c r="AP181" s="5229" t="s">
        <v>5408</v>
      </c>
      <c r="AQ181" s="5057" t="str">
        <f t="shared" si="22"/>
        <v xml:space="preserve">* El número de Egresos Según tipo de atención NO DEBE ser diferente al Total. </v>
      </c>
      <c r="BV181" s="4259"/>
      <c r="BW181" s="4259"/>
      <c r="BY181" s="4260"/>
      <c r="CB181" s="4260"/>
      <c r="CC181" s="4260"/>
      <c r="CD181" s="4264"/>
      <c r="CE181" s="4260"/>
      <c r="CF181" s="4260"/>
      <c r="CG181" s="4260"/>
      <c r="CH181" s="4260"/>
      <c r="CI181" s="4260"/>
      <c r="CJ181" s="4260"/>
      <c r="CK181" s="4260"/>
      <c r="CL181" s="4260"/>
      <c r="CM181" s="4260"/>
      <c r="CN181" s="4260"/>
      <c r="CO181" s="4260"/>
      <c r="CP181" s="4260"/>
      <c r="CQ181" s="4260"/>
      <c r="CR181" s="4264"/>
      <c r="CS181" s="4264"/>
      <c r="CT181" s="4264"/>
      <c r="CU181" s="4993" t="str">
        <f>IF(DA181=1,"* El número de Egresos Según tipo de atención NO DEBE ser diferente al Total. ","")</f>
        <v xml:space="preserve">* El número de Egresos Según tipo de atención NO DEBE ser diferente al Total. </v>
      </c>
      <c r="CV181" s="4993"/>
      <c r="CW181" s="4993"/>
      <c r="CX181" s="4993"/>
      <c r="CY181" s="4993"/>
      <c r="CZ181" s="4993"/>
      <c r="DA181" s="4994">
        <f>IF(C181&lt;&gt;SUM(AN181:AP181),1,0)</f>
        <v>1</v>
      </c>
      <c r="DB181" s="4978"/>
      <c r="DC181" s="4978"/>
      <c r="DD181" s="4978"/>
      <c r="DE181" s="4978"/>
      <c r="DF181" s="4978"/>
      <c r="DG181" s="4978"/>
      <c r="DH181" s="4978"/>
      <c r="DI181" s="4978"/>
      <c r="DJ181" s="4978"/>
      <c r="DK181" s="4978"/>
      <c r="DL181" s="4978"/>
      <c r="DM181" s="4978"/>
      <c r="DN181" s="4978"/>
      <c r="EB181" s="4264"/>
      <c r="EC181" s="4264"/>
      <c r="ED181" s="4264"/>
      <c r="EE181" s="4264"/>
      <c r="EF181" s="4264"/>
      <c r="EG181" s="4264"/>
      <c r="EH181" s="4264"/>
      <c r="EI181" s="4264"/>
      <c r="EJ181" s="4264"/>
      <c r="EK181" s="4264"/>
      <c r="EL181" s="4264"/>
      <c r="EM181" s="4264"/>
      <c r="EN181" s="4264"/>
      <c r="EO181" s="4264"/>
      <c r="EP181" s="4264"/>
      <c r="EQ181" s="4264"/>
      <c r="ER181" s="4264"/>
      <c r="ES181" s="4264"/>
      <c r="ET181" s="4264"/>
    </row>
    <row r="182" spans="1:150" ht="14.1" customHeight="1" x14ac:dyDescent="0.25">
      <c r="A182" s="7520">
        <v>28021627</v>
      </c>
      <c r="B182" s="5230" t="s">
        <v>70</v>
      </c>
      <c r="C182" s="5231" t="s">
        <v>5369</v>
      </c>
      <c r="D182" s="7138" t="s">
        <v>5370</v>
      </c>
      <c r="E182" s="7139" t="s">
        <v>5371</v>
      </c>
      <c r="F182" s="4420" t="s">
        <v>5372</v>
      </c>
      <c r="G182" s="5157" t="s">
        <v>5373</v>
      </c>
      <c r="H182" s="4420" t="s">
        <v>5374</v>
      </c>
      <c r="I182" s="5157" t="s">
        <v>5375</v>
      </c>
      <c r="J182" s="4420" t="s">
        <v>5376</v>
      </c>
      <c r="K182" s="5157" t="s">
        <v>5377</v>
      </c>
      <c r="L182" s="4420" t="s">
        <v>5378</v>
      </c>
      <c r="M182" s="5157" t="s">
        <v>5379</v>
      </c>
      <c r="N182" s="4420" t="s">
        <v>5380</v>
      </c>
      <c r="O182" s="5157" t="s">
        <v>5381</v>
      </c>
      <c r="P182" s="4420" t="s">
        <v>5382</v>
      </c>
      <c r="Q182" s="5157" t="s">
        <v>5383</v>
      </c>
      <c r="R182" s="4420" t="s">
        <v>5384</v>
      </c>
      <c r="S182" s="5157" t="s">
        <v>5385</v>
      </c>
      <c r="T182" s="4420" t="s">
        <v>5386</v>
      </c>
      <c r="U182" s="5157" t="s">
        <v>5387</v>
      </c>
      <c r="V182" s="4420" t="s">
        <v>5388</v>
      </c>
      <c r="W182" s="5157" t="s">
        <v>5389</v>
      </c>
      <c r="X182" s="4420" t="s">
        <v>5390</v>
      </c>
      <c r="Y182" s="5157" t="s">
        <v>5391</v>
      </c>
      <c r="Z182" s="4420" t="s">
        <v>5392</v>
      </c>
      <c r="AA182" s="5157" t="s">
        <v>5393</v>
      </c>
      <c r="AB182" s="4420" t="s">
        <v>5394</v>
      </c>
      <c r="AC182" s="5157" t="s">
        <v>5395</v>
      </c>
      <c r="AD182" s="4420" t="s">
        <v>5396</v>
      </c>
      <c r="AE182" s="5157" t="s">
        <v>5397</v>
      </c>
      <c r="AF182" s="4420" t="s">
        <v>5398</v>
      </c>
      <c r="AG182" s="5157" t="s">
        <v>5399</v>
      </c>
      <c r="AH182" s="4420" t="s">
        <v>5400</v>
      </c>
      <c r="AI182" s="5157" t="s">
        <v>5401</v>
      </c>
      <c r="AJ182" s="4420" t="s">
        <v>5402</v>
      </c>
      <c r="AK182" s="5157" t="s">
        <v>5403</v>
      </c>
      <c r="AL182" s="7143" t="s">
        <v>5404</v>
      </c>
      <c r="AM182" s="4442" t="s">
        <v>5405</v>
      </c>
      <c r="AN182" s="5052" t="s">
        <v>5406</v>
      </c>
      <c r="AO182" s="5024" t="s">
        <v>5407</v>
      </c>
      <c r="AP182" s="5024" t="s">
        <v>5408</v>
      </c>
      <c r="AQ182" s="5057" t="str">
        <f t="shared" si="22"/>
        <v xml:space="preserve">* El número de Egresos Según tipo de atención NO DEBE ser diferente al Total. </v>
      </c>
      <c r="BV182" s="4259"/>
      <c r="BW182" s="4259"/>
      <c r="BY182" s="4260"/>
      <c r="CB182" s="4260"/>
      <c r="CC182" s="4260"/>
      <c r="CD182" s="4264"/>
      <c r="CE182" s="4260"/>
      <c r="CF182" s="4260"/>
      <c r="CG182" s="4260"/>
      <c r="CH182" s="4260"/>
      <c r="CI182" s="4260"/>
      <c r="CJ182" s="4260"/>
      <c r="CK182" s="4260"/>
      <c r="CL182" s="4260"/>
      <c r="CM182" s="4260"/>
      <c r="CN182" s="4260"/>
      <c r="CO182" s="4260"/>
      <c r="CP182" s="4260"/>
      <c r="CQ182" s="4260"/>
      <c r="CR182" s="4264"/>
      <c r="CS182" s="4264"/>
      <c r="CT182" s="4264"/>
      <c r="CU182" s="4993" t="str">
        <f>IF(DA182=1,"* El número de Egresos Según tipo de atención NO DEBE ser diferente al Total. ","")</f>
        <v xml:space="preserve">* El número de Egresos Según tipo de atención NO DEBE ser diferente al Total. </v>
      </c>
      <c r="CV182" s="4993"/>
      <c r="CW182" s="4993"/>
      <c r="CX182" s="4993"/>
      <c r="CY182" s="4993"/>
      <c r="CZ182" s="4993"/>
      <c r="DA182" s="4994">
        <f>IF(C182&lt;&gt;SUM(AN182:AP182),1,0)</f>
        <v>1</v>
      </c>
      <c r="DB182" s="4978"/>
      <c r="DC182" s="4978"/>
      <c r="DD182" s="4978"/>
      <c r="DE182" s="4978"/>
      <c r="DF182" s="4978"/>
      <c r="DG182" s="4978"/>
      <c r="DH182" s="4978"/>
      <c r="DI182" s="4978"/>
      <c r="DJ182" s="4978"/>
      <c r="DK182" s="4978"/>
      <c r="DL182" s="4978"/>
      <c r="DM182" s="4978"/>
      <c r="DN182" s="4978"/>
      <c r="EB182" s="4264"/>
      <c r="EC182" s="4264"/>
      <c r="ED182" s="4264"/>
      <c r="EE182" s="4264"/>
      <c r="EF182" s="4264"/>
      <c r="EG182" s="4264"/>
      <c r="EH182" s="4264"/>
      <c r="EI182" s="4264"/>
      <c r="EJ182" s="4264"/>
      <c r="EK182" s="4264"/>
      <c r="EL182" s="4264"/>
      <c r="EM182" s="4264"/>
      <c r="EN182" s="4264"/>
      <c r="EO182" s="4264"/>
      <c r="EP182" s="4264"/>
      <c r="EQ182" s="4264"/>
      <c r="ER182" s="4264"/>
      <c r="ES182" s="4264"/>
      <c r="ET182" s="4264"/>
    </row>
    <row r="183" spans="1:150" ht="21" customHeight="1" x14ac:dyDescent="0.25">
      <c r="B183" s="4268" t="s">
        <v>202</v>
      </c>
      <c r="E183" s="4268"/>
      <c r="F183" s="4979"/>
      <c r="G183" s="4979"/>
      <c r="H183" s="4979"/>
      <c r="I183" s="4979"/>
      <c r="J183" s="4979"/>
      <c r="K183" s="4979"/>
      <c r="L183" s="4979"/>
      <c r="M183" s="4979"/>
      <c r="N183" s="4979"/>
      <c r="O183" s="4979"/>
      <c r="P183" s="4979"/>
      <c r="Q183" s="4979"/>
      <c r="R183" s="4979"/>
      <c r="S183" s="4979"/>
      <c r="T183" s="4979"/>
      <c r="U183" s="4979"/>
      <c r="V183" s="4979"/>
      <c r="W183" s="4979"/>
      <c r="X183" s="4979"/>
      <c r="Y183" s="4979"/>
      <c r="Z183" s="4979"/>
      <c r="AA183" s="4979"/>
      <c r="AB183" s="4979"/>
      <c r="AC183" s="4979"/>
      <c r="AD183" s="4979"/>
      <c r="AE183" s="4979"/>
      <c r="AF183" s="4979"/>
      <c r="AG183" s="4979"/>
      <c r="AH183" s="4979"/>
      <c r="AI183" s="4979"/>
      <c r="AJ183" s="4979"/>
      <c r="AK183" s="4979"/>
      <c r="AL183" s="4979"/>
      <c r="AM183" s="4979"/>
      <c r="AN183" s="4979"/>
      <c r="AO183" s="4979"/>
      <c r="AP183" s="4979"/>
      <c r="AQ183" s="4979"/>
      <c r="AR183" s="3940"/>
      <c r="AS183" s="3940"/>
      <c r="AT183" s="3940"/>
      <c r="AU183" s="4234"/>
      <c r="CB183" s="4993"/>
      <c r="CC183" s="4993"/>
      <c r="CD183" s="4993"/>
      <c r="CE183" s="4993"/>
      <c r="CF183" s="4993"/>
      <c r="CG183" s="4993"/>
      <c r="CH183" s="4994"/>
      <c r="CI183" s="4978"/>
      <c r="CJ183" s="4978"/>
      <c r="CK183" s="4978"/>
      <c r="CL183" s="4978"/>
      <c r="CM183" s="4978"/>
      <c r="CN183" s="4978"/>
      <c r="CO183" s="4978"/>
      <c r="CP183" s="4978"/>
      <c r="CQ183" s="4978"/>
      <c r="CR183" s="4978"/>
      <c r="CS183" s="4978"/>
      <c r="CT183" s="4978"/>
      <c r="CU183" s="4978"/>
      <c r="CV183" s="4264"/>
      <c r="CW183" s="4264"/>
      <c r="CX183" s="4264"/>
      <c r="CY183" s="4264"/>
      <c r="CZ183" s="4264"/>
      <c r="DA183" s="4264"/>
    </row>
    <row r="184" spans="1:150" ht="15" customHeight="1" x14ac:dyDescent="0.25">
      <c r="B184" s="10956" t="s">
        <v>0</v>
      </c>
      <c r="C184" s="10943" t="s">
        <v>44</v>
      </c>
      <c r="D184" s="10946" t="s">
        <v>98</v>
      </c>
      <c r="E184" s="10947"/>
      <c r="F184" s="10947"/>
      <c r="G184" s="10947"/>
      <c r="H184" s="10947"/>
      <c r="I184" s="10947"/>
      <c r="J184" s="10947"/>
      <c r="K184" s="10947"/>
      <c r="L184" s="10947"/>
      <c r="M184" s="10947"/>
      <c r="N184" s="10947"/>
      <c r="O184" s="10947"/>
      <c r="P184" s="10947"/>
      <c r="Q184" s="10947"/>
      <c r="R184" s="10947"/>
      <c r="S184" s="10947"/>
      <c r="T184" s="10948"/>
      <c r="U184" s="10926" t="s">
        <v>646</v>
      </c>
      <c r="V184" s="10985"/>
      <c r="W184" s="10985"/>
      <c r="X184" s="10985"/>
      <c r="Y184" s="10985"/>
      <c r="BA184" s="4259"/>
      <c r="BB184" s="4259"/>
      <c r="BZ184" s="4264"/>
      <c r="CA184" s="4264"/>
      <c r="CB184" s="4993"/>
      <c r="CC184" s="4993"/>
      <c r="CD184" s="4993"/>
      <c r="CE184" s="4993"/>
      <c r="CF184" s="4993"/>
      <c r="CG184" s="4993"/>
      <c r="CH184" s="4994"/>
      <c r="CI184" s="4978"/>
      <c r="CJ184" s="4978"/>
      <c r="CK184" s="4978"/>
      <c r="CL184" s="4978"/>
      <c r="CM184" s="4978"/>
      <c r="CN184" s="4978"/>
      <c r="CO184" s="4978"/>
      <c r="CP184" s="4978"/>
      <c r="CQ184" s="4978"/>
      <c r="CR184" s="4978"/>
      <c r="CS184" s="4978"/>
      <c r="CT184" s="4978"/>
      <c r="CU184" s="4978"/>
      <c r="DB184" s="4260"/>
      <c r="DC184" s="4260"/>
      <c r="DD184" s="4260"/>
      <c r="DE184" s="4260"/>
      <c r="DF184" s="4260"/>
      <c r="DG184" s="4260"/>
      <c r="DH184" s="4260"/>
      <c r="DI184" s="4260"/>
      <c r="DJ184" s="4260"/>
    </row>
    <row r="185" spans="1:150" ht="15" customHeight="1" x14ac:dyDescent="0.25">
      <c r="B185" s="9468"/>
      <c r="C185" s="10944"/>
      <c r="D185" s="10949"/>
      <c r="E185" s="10950"/>
      <c r="F185" s="10950"/>
      <c r="G185" s="10950"/>
      <c r="H185" s="10950"/>
      <c r="I185" s="10950"/>
      <c r="J185" s="10950"/>
      <c r="K185" s="10950"/>
      <c r="L185" s="10950"/>
      <c r="M185" s="10950"/>
      <c r="N185" s="10950"/>
      <c r="O185" s="10950"/>
      <c r="P185" s="10950"/>
      <c r="Q185" s="10950"/>
      <c r="R185" s="10950"/>
      <c r="S185" s="10950"/>
      <c r="T185" s="10951"/>
      <c r="U185" s="10927" t="s">
        <v>366</v>
      </c>
      <c r="V185" s="10927"/>
      <c r="W185" s="10928"/>
      <c r="X185" s="10929" t="s">
        <v>2954</v>
      </c>
      <c r="Y185" s="10930"/>
      <c r="BA185" s="4259"/>
      <c r="BB185" s="4259"/>
      <c r="BZ185" s="4264"/>
      <c r="CA185" s="4264"/>
      <c r="CB185" s="4993"/>
      <c r="CC185" s="4993"/>
      <c r="CD185" s="4993"/>
      <c r="CE185" s="4993"/>
      <c r="CF185" s="4993"/>
      <c r="CG185" s="4993"/>
      <c r="CH185" s="4994"/>
      <c r="CI185" s="4978"/>
      <c r="CJ185" s="4978"/>
      <c r="CK185" s="4978"/>
      <c r="CL185" s="4978"/>
      <c r="CM185" s="4978"/>
      <c r="CN185" s="4978"/>
      <c r="CO185" s="4978"/>
      <c r="CP185" s="4978"/>
      <c r="CQ185" s="4978"/>
      <c r="CR185" s="4978"/>
      <c r="CS185" s="4978"/>
      <c r="CT185" s="4978"/>
      <c r="CU185" s="4978"/>
      <c r="DB185" s="4260"/>
      <c r="DC185" s="4260"/>
      <c r="DD185" s="4260"/>
      <c r="DE185" s="4260"/>
      <c r="DF185" s="4260"/>
      <c r="DG185" s="4260"/>
      <c r="DH185" s="4260"/>
      <c r="DI185" s="4260"/>
      <c r="DJ185" s="4260"/>
    </row>
    <row r="186" spans="1:150" ht="31.5" customHeight="1" x14ac:dyDescent="0.25">
      <c r="B186" s="10957"/>
      <c r="C186" s="10945"/>
      <c r="D186" s="5232" t="s">
        <v>1416</v>
      </c>
      <c r="E186" s="5232" t="s">
        <v>1415</v>
      </c>
      <c r="F186" s="5232" t="s">
        <v>77</v>
      </c>
      <c r="G186" s="5232" t="s">
        <v>68</v>
      </c>
      <c r="H186" s="5232" t="s">
        <v>142</v>
      </c>
      <c r="I186" s="5232" t="s">
        <v>143</v>
      </c>
      <c r="J186" s="5232" t="s">
        <v>144</v>
      </c>
      <c r="K186" s="5232" t="s">
        <v>7</v>
      </c>
      <c r="L186" s="5232" t="s">
        <v>8</v>
      </c>
      <c r="M186" s="5232" t="s">
        <v>145</v>
      </c>
      <c r="N186" s="5232" t="s">
        <v>10</v>
      </c>
      <c r="O186" s="5232" t="s">
        <v>11</v>
      </c>
      <c r="P186" s="5232" t="s">
        <v>12</v>
      </c>
      <c r="Q186" s="5232" t="s">
        <v>13</v>
      </c>
      <c r="R186" s="5232" t="s">
        <v>14</v>
      </c>
      <c r="S186" s="5232" t="s">
        <v>15</v>
      </c>
      <c r="T186" s="5233" t="s">
        <v>16</v>
      </c>
      <c r="U186" s="5234" t="s">
        <v>2951</v>
      </c>
      <c r="V186" s="5234" t="s">
        <v>2952</v>
      </c>
      <c r="W186" s="5234" t="s">
        <v>2953</v>
      </c>
      <c r="X186" s="5235" t="s">
        <v>183</v>
      </c>
      <c r="Y186" s="5234" t="s">
        <v>184</v>
      </c>
      <c r="BA186" s="4259"/>
      <c r="BB186" s="4259"/>
      <c r="BZ186" s="4264"/>
      <c r="CA186" s="4264"/>
      <c r="CB186" s="4993"/>
      <c r="CC186" s="4993"/>
      <c r="CD186" s="4993"/>
      <c r="CE186" s="4993"/>
      <c r="CF186" s="4993"/>
      <c r="CG186" s="4993"/>
      <c r="CH186" s="4994"/>
      <c r="CI186" s="4978"/>
      <c r="CJ186" s="4978"/>
      <c r="CK186" s="4978"/>
      <c r="CL186" s="4978"/>
      <c r="CM186" s="4978"/>
      <c r="CN186" s="4978"/>
      <c r="CO186" s="4978"/>
      <c r="CP186" s="4978"/>
      <c r="CQ186" s="4978"/>
      <c r="CR186" s="4978"/>
      <c r="CS186" s="4978"/>
      <c r="CT186" s="4978"/>
      <c r="CU186" s="4978"/>
      <c r="DB186" s="4260"/>
      <c r="DC186" s="4260"/>
      <c r="DD186" s="4260"/>
      <c r="DE186" s="4260"/>
      <c r="DF186" s="4260"/>
      <c r="DG186" s="4260"/>
      <c r="DH186" s="4260"/>
      <c r="DI186" s="4260"/>
      <c r="DJ186" s="4260"/>
    </row>
    <row r="187" spans="1:150" ht="14.1" customHeight="1" x14ac:dyDescent="0.25">
      <c r="A187" s="7520">
        <v>28021230</v>
      </c>
      <c r="B187" s="5101" t="s">
        <v>1016</v>
      </c>
      <c r="C187" s="5123" t="s">
        <v>5369</v>
      </c>
      <c r="D187" s="4942" t="s">
        <v>5370</v>
      </c>
      <c r="E187" s="4942" t="s">
        <v>5371</v>
      </c>
      <c r="F187" s="4942" t="s">
        <v>5372</v>
      </c>
      <c r="G187" s="4942" t="s">
        <v>5373</v>
      </c>
      <c r="H187" s="4942" t="s">
        <v>5374</v>
      </c>
      <c r="I187" s="4942" t="s">
        <v>5375</v>
      </c>
      <c r="J187" s="4942" t="s">
        <v>5376</v>
      </c>
      <c r="K187" s="4942" t="s">
        <v>5377</v>
      </c>
      <c r="L187" s="4942" t="s">
        <v>5378</v>
      </c>
      <c r="M187" s="4942" t="s">
        <v>5379</v>
      </c>
      <c r="N187" s="4942" t="s">
        <v>5380</v>
      </c>
      <c r="O187" s="4942" t="s">
        <v>5381</v>
      </c>
      <c r="P187" s="4942" t="s">
        <v>5382</v>
      </c>
      <c r="Q187" s="4942" t="s">
        <v>5383</v>
      </c>
      <c r="R187" s="4942" t="s">
        <v>5384</v>
      </c>
      <c r="S187" s="4942" t="s">
        <v>5385</v>
      </c>
      <c r="T187" s="5185" t="s">
        <v>5386</v>
      </c>
      <c r="U187" s="4951" t="s">
        <v>5387</v>
      </c>
      <c r="V187" s="4951" t="s">
        <v>5388</v>
      </c>
      <c r="W187" s="4951" t="s">
        <v>5389</v>
      </c>
      <c r="X187" s="4951" t="s">
        <v>5390</v>
      </c>
      <c r="Y187" s="4951" t="s">
        <v>5391</v>
      </c>
      <c r="Z187" s="4258" t="str">
        <f>CB187</f>
        <v xml:space="preserve"> * El total de Evaluaciones según tipo de atencion NO DEBE ser diferente al total.  </v>
      </c>
      <c r="BA187" s="4259"/>
      <c r="BB187" s="4259"/>
      <c r="BZ187" s="4264"/>
      <c r="CA187" s="4264"/>
      <c r="CB187" s="4993" t="str">
        <f>IF(CH187=1," * El total de Evaluaciones según tipo de atencion NO DEBE ser diferente al total.  ","")</f>
        <v xml:space="preserve"> * El total de Evaluaciones según tipo de atencion NO DEBE ser diferente al total.  </v>
      </c>
      <c r="CC187" s="4993"/>
      <c r="CD187" s="4993"/>
      <c r="CE187" s="4993"/>
      <c r="CF187" s="4993"/>
      <c r="CG187" s="4993"/>
      <c r="CH187" s="4994">
        <f>IF(C187&lt;&gt;SUM(U187:Y187),1,0)</f>
        <v>1</v>
      </c>
      <c r="CI187" s="4978"/>
      <c r="CJ187" s="4978"/>
      <c r="CK187" s="4978"/>
      <c r="CL187" s="4978"/>
      <c r="CM187" s="4978"/>
      <c r="CN187" s="4978"/>
      <c r="CO187" s="4978"/>
      <c r="CP187" s="4978"/>
      <c r="CQ187" s="4978"/>
      <c r="CR187" s="4978"/>
      <c r="CS187" s="4978"/>
      <c r="CT187" s="4978"/>
      <c r="CU187" s="4978"/>
      <c r="CV187" s="4264"/>
      <c r="CW187" s="4264"/>
      <c r="CX187" s="4264"/>
      <c r="DB187" s="4260"/>
      <c r="DC187" s="4260"/>
      <c r="DD187" s="4260"/>
      <c r="DE187" s="4260"/>
      <c r="DF187" s="4260"/>
      <c r="DG187" s="4260"/>
      <c r="DH187" s="4260"/>
      <c r="DI187" s="4260"/>
      <c r="DJ187" s="4260"/>
    </row>
    <row r="188" spans="1:150" ht="14.1" customHeight="1" x14ac:dyDescent="0.25">
      <c r="A188" s="7520">
        <v>28021240</v>
      </c>
      <c r="B188" s="5107" t="s">
        <v>62</v>
      </c>
      <c r="C188" s="5126" t="s">
        <v>5369</v>
      </c>
      <c r="D188" s="4942" t="s">
        <v>5370</v>
      </c>
      <c r="E188" s="4942" t="s">
        <v>5371</v>
      </c>
      <c r="F188" s="4942" t="s">
        <v>5372</v>
      </c>
      <c r="G188" s="4942" t="s">
        <v>5373</v>
      </c>
      <c r="H188" s="4942" t="s">
        <v>5374</v>
      </c>
      <c r="I188" s="4942" t="s">
        <v>5375</v>
      </c>
      <c r="J188" s="4942" t="s">
        <v>5376</v>
      </c>
      <c r="K188" s="4942" t="s">
        <v>5377</v>
      </c>
      <c r="L188" s="4942" t="s">
        <v>5378</v>
      </c>
      <c r="M188" s="4942" t="s">
        <v>5379</v>
      </c>
      <c r="N188" s="4942" t="s">
        <v>5380</v>
      </c>
      <c r="O188" s="4942" t="s">
        <v>5381</v>
      </c>
      <c r="P188" s="4942" t="s">
        <v>5382</v>
      </c>
      <c r="Q188" s="4942" t="s">
        <v>5383</v>
      </c>
      <c r="R188" s="4942" t="s">
        <v>5384</v>
      </c>
      <c r="S188" s="4942" t="s">
        <v>5385</v>
      </c>
      <c r="T188" s="5185" t="s">
        <v>5386</v>
      </c>
      <c r="U188" s="4951" t="s">
        <v>5387</v>
      </c>
      <c r="V188" s="4951" t="s">
        <v>5388</v>
      </c>
      <c r="W188" s="4951" t="s">
        <v>5389</v>
      </c>
      <c r="X188" s="4951" t="s">
        <v>5390</v>
      </c>
      <c r="Y188" s="4951" t="s">
        <v>5391</v>
      </c>
      <c r="Z188" s="4258" t="str">
        <f t="shared" ref="Z188:Z193" si="25">CB188</f>
        <v xml:space="preserve"> * El total de Evaluaciones según tipo de atencion NO DEBE ser diferente al total.  </v>
      </c>
      <c r="BA188" s="4259"/>
      <c r="BB188" s="4259"/>
      <c r="BZ188" s="4264"/>
      <c r="CA188" s="4264"/>
      <c r="CB188" s="4993" t="str">
        <f t="shared" ref="CB188:CB193" si="26">IF(CH188=1," * El total de Evaluaciones según tipo de atencion NO DEBE ser diferente al total.  ","")</f>
        <v xml:space="preserve"> * El total de Evaluaciones según tipo de atencion NO DEBE ser diferente al total.  </v>
      </c>
      <c r="CC188" s="4993"/>
      <c r="CD188" s="4993"/>
      <c r="CE188" s="4993"/>
      <c r="CF188" s="4993"/>
      <c r="CG188" s="4993"/>
      <c r="CH188" s="4994">
        <f t="shared" ref="CH188:CH193" si="27">IF(C188&lt;&gt;SUM(U188:Y188),1,0)</f>
        <v>1</v>
      </c>
      <c r="CI188" s="4978"/>
      <c r="CJ188" s="4978"/>
      <c r="CK188" s="4978"/>
      <c r="CL188" s="4978"/>
      <c r="CM188" s="4978"/>
      <c r="CN188" s="4978"/>
      <c r="CO188" s="4978"/>
      <c r="CP188" s="4978"/>
      <c r="CQ188" s="4978"/>
      <c r="CR188" s="4978"/>
      <c r="CS188" s="4978"/>
      <c r="CT188" s="4978"/>
      <c r="CU188" s="4978"/>
      <c r="CV188" s="4264"/>
      <c r="CW188" s="4264"/>
      <c r="CX188" s="4264"/>
      <c r="DB188" s="4260"/>
      <c r="DC188" s="4260"/>
      <c r="DD188" s="4260"/>
      <c r="DE188" s="4260"/>
      <c r="DF188" s="4260"/>
      <c r="DG188" s="4260"/>
      <c r="DH188" s="4260"/>
      <c r="DI188" s="4260"/>
      <c r="DJ188" s="4260"/>
    </row>
    <row r="189" spans="1:150" ht="14.1" customHeight="1" x14ac:dyDescent="0.25">
      <c r="A189" s="7520">
        <v>28021250</v>
      </c>
      <c r="B189" s="5107" t="s">
        <v>2593</v>
      </c>
      <c r="C189" s="5126" t="s">
        <v>5369</v>
      </c>
      <c r="D189" s="4942" t="s">
        <v>5370</v>
      </c>
      <c r="E189" s="4942" t="s">
        <v>5371</v>
      </c>
      <c r="F189" s="4942" t="s">
        <v>5372</v>
      </c>
      <c r="G189" s="4942" t="s">
        <v>5373</v>
      </c>
      <c r="H189" s="4942" t="s">
        <v>5374</v>
      </c>
      <c r="I189" s="4942" t="s">
        <v>5375</v>
      </c>
      <c r="J189" s="4942" t="s">
        <v>5376</v>
      </c>
      <c r="K189" s="4942" t="s">
        <v>5377</v>
      </c>
      <c r="L189" s="4942" t="s">
        <v>5378</v>
      </c>
      <c r="M189" s="4942" t="s">
        <v>5379</v>
      </c>
      <c r="N189" s="4942" t="s">
        <v>5380</v>
      </c>
      <c r="O189" s="4942" t="s">
        <v>5381</v>
      </c>
      <c r="P189" s="4942" t="s">
        <v>5382</v>
      </c>
      <c r="Q189" s="4942" t="s">
        <v>5383</v>
      </c>
      <c r="R189" s="4942" t="s">
        <v>5384</v>
      </c>
      <c r="S189" s="4942" t="s">
        <v>5385</v>
      </c>
      <c r="T189" s="5185" t="s">
        <v>5386</v>
      </c>
      <c r="U189" s="4951" t="s">
        <v>5387</v>
      </c>
      <c r="V189" s="4951" t="s">
        <v>5388</v>
      </c>
      <c r="W189" s="4951" t="s">
        <v>5389</v>
      </c>
      <c r="X189" s="4951" t="s">
        <v>5390</v>
      </c>
      <c r="Y189" s="4951" t="s">
        <v>5391</v>
      </c>
      <c r="Z189" s="4258" t="str">
        <f t="shared" si="25"/>
        <v xml:space="preserve"> * El total de Evaluaciones según tipo de atencion NO DEBE ser diferente al total.  </v>
      </c>
      <c r="BA189" s="4259"/>
      <c r="BB189" s="4259"/>
      <c r="BZ189" s="4264"/>
      <c r="CA189" s="4264"/>
      <c r="CB189" s="4993" t="str">
        <f t="shared" si="26"/>
        <v xml:space="preserve"> * El total de Evaluaciones según tipo de atencion NO DEBE ser diferente al total.  </v>
      </c>
      <c r="CC189" s="4993"/>
      <c r="CD189" s="4993"/>
      <c r="CE189" s="4993"/>
      <c r="CF189" s="4993"/>
      <c r="CG189" s="4993"/>
      <c r="CH189" s="4994">
        <f t="shared" si="27"/>
        <v>1</v>
      </c>
      <c r="CI189" s="4978"/>
      <c r="CJ189" s="4978"/>
      <c r="CK189" s="4978"/>
      <c r="CL189" s="4978"/>
      <c r="CM189" s="4978"/>
      <c r="CN189" s="4978"/>
      <c r="CO189" s="4978"/>
      <c r="CP189" s="4978"/>
      <c r="CQ189" s="4978"/>
      <c r="CR189" s="4978"/>
      <c r="CS189" s="4978"/>
      <c r="CT189" s="4978"/>
      <c r="CU189" s="4978"/>
      <c r="CV189" s="4264"/>
      <c r="CW189" s="4264"/>
      <c r="CX189" s="4264"/>
      <c r="DB189" s="4260"/>
      <c r="DC189" s="4260"/>
      <c r="DD189" s="4260"/>
      <c r="DE189" s="4260"/>
      <c r="DF189" s="4260"/>
      <c r="DG189" s="4260"/>
      <c r="DH189" s="4260"/>
      <c r="DI189" s="4260"/>
      <c r="DJ189" s="4260"/>
    </row>
    <row r="190" spans="1:150" ht="14.1" customHeight="1" x14ac:dyDescent="0.25">
      <c r="A190" s="7520">
        <v>28021260</v>
      </c>
      <c r="B190" s="5236" t="s">
        <v>60</v>
      </c>
      <c r="C190" s="5126" t="s">
        <v>5369</v>
      </c>
      <c r="D190" s="4942" t="s">
        <v>5370</v>
      </c>
      <c r="E190" s="4942" t="s">
        <v>5371</v>
      </c>
      <c r="F190" s="4942" t="s">
        <v>5372</v>
      </c>
      <c r="G190" s="4942" t="s">
        <v>5373</v>
      </c>
      <c r="H190" s="4942" t="s">
        <v>5374</v>
      </c>
      <c r="I190" s="4942" t="s">
        <v>5375</v>
      </c>
      <c r="J190" s="4942" t="s">
        <v>5376</v>
      </c>
      <c r="K190" s="4942" t="s">
        <v>5377</v>
      </c>
      <c r="L190" s="4942" t="s">
        <v>5378</v>
      </c>
      <c r="M190" s="4942" t="s">
        <v>5379</v>
      </c>
      <c r="N190" s="4942" t="s">
        <v>5380</v>
      </c>
      <c r="O190" s="4942" t="s">
        <v>5381</v>
      </c>
      <c r="P190" s="4942" t="s">
        <v>5382</v>
      </c>
      <c r="Q190" s="4942" t="s">
        <v>5383</v>
      </c>
      <c r="R190" s="4942" t="s">
        <v>5384</v>
      </c>
      <c r="S190" s="4942" t="s">
        <v>5385</v>
      </c>
      <c r="T190" s="5185" t="s">
        <v>5386</v>
      </c>
      <c r="U190" s="4951" t="s">
        <v>5387</v>
      </c>
      <c r="V190" s="4951" t="s">
        <v>5388</v>
      </c>
      <c r="W190" s="4951" t="s">
        <v>5389</v>
      </c>
      <c r="X190" s="4951" t="s">
        <v>5390</v>
      </c>
      <c r="Y190" s="4951" t="s">
        <v>5391</v>
      </c>
      <c r="Z190" s="4258" t="str">
        <f t="shared" si="25"/>
        <v xml:space="preserve"> * El total de Evaluaciones según tipo de atencion NO DEBE ser diferente al total.  </v>
      </c>
      <c r="BA190" s="4259"/>
      <c r="BB190" s="4259"/>
      <c r="BZ190" s="4264"/>
      <c r="CA190" s="4264"/>
      <c r="CB190" s="4993" t="str">
        <f t="shared" si="26"/>
        <v xml:space="preserve"> * El total de Evaluaciones según tipo de atencion NO DEBE ser diferente al total.  </v>
      </c>
      <c r="CC190" s="4993"/>
      <c r="CD190" s="4993"/>
      <c r="CE190" s="4993"/>
      <c r="CF190" s="4993"/>
      <c r="CG190" s="4993"/>
      <c r="CH190" s="4994">
        <f t="shared" si="27"/>
        <v>1</v>
      </c>
      <c r="CI190" s="4978"/>
      <c r="CJ190" s="4978"/>
      <c r="CK190" s="4978"/>
      <c r="CL190" s="4978"/>
      <c r="CM190" s="4978"/>
      <c r="CN190" s="4978"/>
      <c r="CO190" s="4978"/>
      <c r="CP190" s="4978"/>
      <c r="CQ190" s="4978"/>
      <c r="CR190" s="4978"/>
      <c r="CS190" s="4978"/>
      <c r="CT190" s="4978"/>
      <c r="CU190" s="4978"/>
      <c r="CV190" s="4264"/>
      <c r="CW190" s="4264"/>
      <c r="CX190" s="4264"/>
      <c r="DB190" s="4260"/>
      <c r="DC190" s="4260"/>
      <c r="DD190" s="4260"/>
      <c r="DE190" s="4260"/>
      <c r="DF190" s="4260"/>
      <c r="DG190" s="4260"/>
      <c r="DH190" s="4260"/>
      <c r="DI190" s="4260"/>
      <c r="DJ190" s="4260"/>
    </row>
    <row r="191" spans="1:150" ht="14.1" customHeight="1" x14ac:dyDescent="0.25">
      <c r="A191" s="7520">
        <v>28021270</v>
      </c>
      <c r="B191" s="5236" t="s">
        <v>2597</v>
      </c>
      <c r="C191" s="5126" t="s">
        <v>5369</v>
      </c>
      <c r="D191" s="4942" t="s">
        <v>5370</v>
      </c>
      <c r="E191" s="4942" t="s">
        <v>5371</v>
      </c>
      <c r="F191" s="4942" t="s">
        <v>5372</v>
      </c>
      <c r="G191" s="4942" t="s">
        <v>5373</v>
      </c>
      <c r="H191" s="4942" t="s">
        <v>5374</v>
      </c>
      <c r="I191" s="4942" t="s">
        <v>5375</v>
      </c>
      <c r="J191" s="4942" t="s">
        <v>5376</v>
      </c>
      <c r="K191" s="4942" t="s">
        <v>5377</v>
      </c>
      <c r="L191" s="4942" t="s">
        <v>5378</v>
      </c>
      <c r="M191" s="4942" t="s">
        <v>5379</v>
      </c>
      <c r="N191" s="4942" t="s">
        <v>5380</v>
      </c>
      <c r="O191" s="4942" t="s">
        <v>5381</v>
      </c>
      <c r="P191" s="4942" t="s">
        <v>5382</v>
      </c>
      <c r="Q191" s="4942" t="s">
        <v>5383</v>
      </c>
      <c r="R191" s="4942" t="s">
        <v>5384</v>
      </c>
      <c r="S191" s="4942" t="s">
        <v>5385</v>
      </c>
      <c r="T191" s="5185" t="s">
        <v>5386</v>
      </c>
      <c r="U191" s="4951" t="s">
        <v>5387</v>
      </c>
      <c r="V191" s="4951" t="s">
        <v>5388</v>
      </c>
      <c r="W191" s="4951" t="s">
        <v>5389</v>
      </c>
      <c r="X191" s="4951" t="s">
        <v>5390</v>
      </c>
      <c r="Y191" s="4951" t="s">
        <v>5391</v>
      </c>
      <c r="Z191" s="4258" t="str">
        <f t="shared" si="25"/>
        <v xml:space="preserve"> * El total de Evaluaciones según tipo de atencion NO DEBE ser diferente al total.  </v>
      </c>
      <c r="BA191" s="4259"/>
      <c r="BB191" s="4259"/>
      <c r="BZ191" s="4264"/>
      <c r="CA191" s="4264"/>
      <c r="CB191" s="4993" t="str">
        <f t="shared" si="26"/>
        <v xml:space="preserve"> * El total de Evaluaciones según tipo de atencion NO DEBE ser diferente al total.  </v>
      </c>
      <c r="CC191" s="4993"/>
      <c r="CD191" s="4993"/>
      <c r="CE191" s="4993"/>
      <c r="CF191" s="4993"/>
      <c r="CG191" s="4993"/>
      <c r="CH191" s="4994">
        <f t="shared" si="27"/>
        <v>1</v>
      </c>
      <c r="CI191" s="4978"/>
      <c r="CJ191" s="4978"/>
      <c r="CK191" s="4978"/>
      <c r="CL191" s="4978"/>
      <c r="CM191" s="4978"/>
      <c r="CN191" s="4978"/>
      <c r="CO191" s="4978"/>
      <c r="CP191" s="4978"/>
      <c r="CQ191" s="4978"/>
      <c r="CR191" s="4978"/>
      <c r="CS191" s="4978"/>
      <c r="CT191" s="4978"/>
      <c r="CU191" s="4978"/>
      <c r="CV191" s="4264"/>
      <c r="CW191" s="4264"/>
      <c r="CX191" s="4264"/>
      <c r="DB191" s="4260"/>
      <c r="DC191" s="4260"/>
      <c r="DD191" s="4260"/>
      <c r="DE191" s="4260"/>
      <c r="DF191" s="4260"/>
      <c r="DG191" s="4260"/>
      <c r="DH191" s="4260"/>
      <c r="DI191" s="4260"/>
      <c r="DJ191" s="4260"/>
    </row>
    <row r="192" spans="1:150" ht="14.1" customHeight="1" x14ac:dyDescent="0.25">
      <c r="A192" s="7520">
        <v>28022450</v>
      </c>
      <c r="B192" s="5237" t="s">
        <v>405</v>
      </c>
      <c r="C192" s="5126" t="s">
        <v>5369</v>
      </c>
      <c r="D192" s="4942" t="s">
        <v>5370</v>
      </c>
      <c r="E192" s="4942" t="s">
        <v>5371</v>
      </c>
      <c r="F192" s="4942" t="s">
        <v>5372</v>
      </c>
      <c r="G192" s="4942" t="s">
        <v>5373</v>
      </c>
      <c r="H192" s="4942" t="s">
        <v>5374</v>
      </c>
      <c r="I192" s="4942" t="s">
        <v>5375</v>
      </c>
      <c r="J192" s="4942" t="s">
        <v>5376</v>
      </c>
      <c r="K192" s="4942" t="s">
        <v>5377</v>
      </c>
      <c r="L192" s="4942" t="s">
        <v>5378</v>
      </c>
      <c r="M192" s="4942" t="s">
        <v>5379</v>
      </c>
      <c r="N192" s="4942" t="s">
        <v>5380</v>
      </c>
      <c r="O192" s="4942" t="s">
        <v>5381</v>
      </c>
      <c r="P192" s="4942" t="s">
        <v>5382</v>
      </c>
      <c r="Q192" s="4942" t="s">
        <v>5383</v>
      </c>
      <c r="R192" s="4942" t="s">
        <v>5384</v>
      </c>
      <c r="S192" s="4942" t="s">
        <v>5385</v>
      </c>
      <c r="T192" s="5185" t="s">
        <v>5386</v>
      </c>
      <c r="U192" s="4951" t="s">
        <v>5387</v>
      </c>
      <c r="V192" s="4951" t="s">
        <v>5388</v>
      </c>
      <c r="W192" s="4951" t="s">
        <v>5389</v>
      </c>
      <c r="X192" s="4951" t="s">
        <v>5390</v>
      </c>
      <c r="Y192" s="4951" t="s">
        <v>5391</v>
      </c>
      <c r="Z192" s="4258" t="str">
        <f t="shared" si="25"/>
        <v xml:space="preserve"> * El total de Evaluaciones según tipo de atencion NO DEBE ser diferente al total.  </v>
      </c>
      <c r="BA192" s="4259"/>
      <c r="BB192" s="4259"/>
      <c r="BZ192" s="4264"/>
      <c r="CA192" s="4264"/>
      <c r="CB192" s="4993" t="str">
        <f t="shared" si="26"/>
        <v xml:space="preserve"> * El total de Evaluaciones según tipo de atencion NO DEBE ser diferente al total.  </v>
      </c>
      <c r="CC192" s="4993"/>
      <c r="CD192" s="4993"/>
      <c r="CE192" s="4993"/>
      <c r="CF192" s="4993"/>
      <c r="CG192" s="4993"/>
      <c r="CH192" s="4994">
        <f t="shared" si="27"/>
        <v>1</v>
      </c>
      <c r="CI192" s="4978"/>
      <c r="CJ192" s="4978"/>
      <c r="CK192" s="4978"/>
      <c r="CL192" s="4978"/>
      <c r="CM192" s="4978"/>
      <c r="CN192" s="4978"/>
      <c r="CO192" s="4978"/>
      <c r="CP192" s="4978"/>
      <c r="CQ192" s="4978"/>
      <c r="CR192" s="4978"/>
      <c r="CS192" s="4978"/>
      <c r="CT192" s="4978"/>
      <c r="CU192" s="4978"/>
      <c r="CV192" s="4264"/>
      <c r="CW192" s="4264"/>
      <c r="CX192" s="4264"/>
      <c r="DB192" s="4260"/>
      <c r="DC192" s="4260"/>
      <c r="DD192" s="4260"/>
      <c r="DE192" s="4260"/>
      <c r="DF192" s="4260"/>
      <c r="DG192" s="4260"/>
      <c r="DH192" s="4260"/>
      <c r="DI192" s="4260"/>
      <c r="DJ192" s="4260"/>
    </row>
    <row r="193" spans="1:117" ht="14.1" customHeight="1" x14ac:dyDescent="0.25">
      <c r="A193" s="7320">
        <v>29101652</v>
      </c>
      <c r="B193" s="5238" t="s">
        <v>2592</v>
      </c>
      <c r="C193" s="5239" t="s">
        <v>5369</v>
      </c>
      <c r="D193" s="4948" t="s">
        <v>5370</v>
      </c>
      <c r="E193" s="4948" t="s">
        <v>5371</v>
      </c>
      <c r="F193" s="4948" t="s">
        <v>5372</v>
      </c>
      <c r="G193" s="4948" t="s">
        <v>5373</v>
      </c>
      <c r="H193" s="4948" t="s">
        <v>5374</v>
      </c>
      <c r="I193" s="4948" t="s">
        <v>5375</v>
      </c>
      <c r="J193" s="4948" t="s">
        <v>5376</v>
      </c>
      <c r="K193" s="4948" t="s">
        <v>5377</v>
      </c>
      <c r="L193" s="4948" t="s">
        <v>5378</v>
      </c>
      <c r="M193" s="4948" t="s">
        <v>5379</v>
      </c>
      <c r="N193" s="4948" t="s">
        <v>5380</v>
      </c>
      <c r="O193" s="4948" t="s">
        <v>5381</v>
      </c>
      <c r="P193" s="4948" t="s">
        <v>5382</v>
      </c>
      <c r="Q193" s="4948" t="s">
        <v>5383</v>
      </c>
      <c r="R193" s="4948" t="s">
        <v>5384</v>
      </c>
      <c r="S193" s="4948" t="s">
        <v>5385</v>
      </c>
      <c r="T193" s="5240" t="s">
        <v>5386</v>
      </c>
      <c r="U193" s="5052" t="s">
        <v>5387</v>
      </c>
      <c r="V193" s="5052" t="s">
        <v>5388</v>
      </c>
      <c r="W193" s="5052" t="s">
        <v>5389</v>
      </c>
      <c r="X193" s="5052" t="s">
        <v>5390</v>
      </c>
      <c r="Y193" s="5052" t="s">
        <v>5391</v>
      </c>
      <c r="Z193" s="4258" t="str">
        <f t="shared" si="25"/>
        <v xml:space="preserve"> * El total de Evaluaciones según tipo de atencion NO DEBE ser diferente al total.  </v>
      </c>
      <c r="BA193" s="4259"/>
      <c r="BB193" s="4259"/>
      <c r="BZ193" s="4264"/>
      <c r="CA193" s="4264"/>
      <c r="CB193" s="4993" t="str">
        <f t="shared" si="26"/>
        <v xml:space="preserve"> * El total de Evaluaciones según tipo de atencion NO DEBE ser diferente al total.  </v>
      </c>
      <c r="CH193" s="4994">
        <f t="shared" si="27"/>
        <v>1</v>
      </c>
      <c r="CI193" s="4978"/>
      <c r="CJ193" s="4978"/>
      <c r="CK193" s="4978"/>
      <c r="CL193" s="4978"/>
      <c r="CM193" s="4978"/>
      <c r="CN193" s="4978"/>
      <c r="CO193" s="4978"/>
      <c r="CP193" s="4978"/>
      <c r="CQ193" s="4978"/>
      <c r="CR193" s="4978"/>
      <c r="CS193" s="4978"/>
      <c r="CT193" s="4978"/>
      <c r="CU193" s="4978"/>
      <c r="CV193" s="4264"/>
      <c r="CW193" s="4264"/>
      <c r="CX193" s="4264"/>
      <c r="DB193" s="4260"/>
      <c r="DC193" s="4260"/>
      <c r="DD193" s="4260"/>
      <c r="DE193" s="4260"/>
      <c r="DF193" s="4260"/>
      <c r="DG193" s="4260"/>
      <c r="DH193" s="4260"/>
      <c r="DI193" s="4260"/>
      <c r="DJ193" s="4260"/>
    </row>
    <row r="194" spans="1:117" ht="14.1" customHeight="1" x14ac:dyDescent="0.25">
      <c r="A194" s="7308"/>
      <c r="B194" s="5241" t="s">
        <v>24</v>
      </c>
      <c r="C194" s="5134">
        <f>SUM(C187:C193)</f>
        <v>0</v>
      </c>
      <c r="D194" s="5134">
        <f>SUM(D187:D193)</f>
        <v>0</v>
      </c>
      <c r="E194" s="5134">
        <f t="shared" ref="E194:T194" si="28">SUM(E187:E193)</f>
        <v>0</v>
      </c>
      <c r="F194" s="5134">
        <f t="shared" si="28"/>
        <v>0</v>
      </c>
      <c r="G194" s="5134">
        <f t="shared" si="28"/>
        <v>0</v>
      </c>
      <c r="H194" s="5134">
        <f t="shared" si="28"/>
        <v>0</v>
      </c>
      <c r="I194" s="5134">
        <f t="shared" si="28"/>
        <v>0</v>
      </c>
      <c r="J194" s="5134">
        <f t="shared" si="28"/>
        <v>0</v>
      </c>
      <c r="K194" s="5134">
        <f t="shared" si="28"/>
        <v>0</v>
      </c>
      <c r="L194" s="5134">
        <f t="shared" si="28"/>
        <v>0</v>
      </c>
      <c r="M194" s="5134">
        <f t="shared" si="28"/>
        <v>0</v>
      </c>
      <c r="N194" s="5134">
        <f t="shared" si="28"/>
        <v>0</v>
      </c>
      <c r="O194" s="5134">
        <f t="shared" si="28"/>
        <v>0</v>
      </c>
      <c r="P194" s="5134">
        <f t="shared" si="28"/>
        <v>0</v>
      </c>
      <c r="Q194" s="5134">
        <f t="shared" si="28"/>
        <v>0</v>
      </c>
      <c r="R194" s="5134">
        <f t="shared" si="28"/>
        <v>0</v>
      </c>
      <c r="S194" s="5134">
        <f t="shared" si="28"/>
        <v>0</v>
      </c>
      <c r="T194" s="5135">
        <f t="shared" si="28"/>
        <v>0</v>
      </c>
      <c r="U194" s="4002">
        <f>SUM(U187:U193)</f>
        <v>0</v>
      </c>
      <c r="V194" s="5242">
        <f>SUM(V187:V193)</f>
        <v>0</v>
      </c>
      <c r="W194" s="5242">
        <f>SUM(W187:W193)</f>
        <v>0</v>
      </c>
      <c r="X194" s="5242">
        <f>SUM(X187:X193)</f>
        <v>0</v>
      </c>
      <c r="Y194" s="5242">
        <f>SUM(Y187:Y193)</f>
        <v>0</v>
      </c>
      <c r="BA194" s="4259"/>
      <c r="BB194" s="4259"/>
      <c r="BZ194" s="4264"/>
      <c r="CA194" s="4264"/>
      <c r="CB194" s="4993"/>
      <c r="CH194" s="4994"/>
      <c r="CI194" s="4978"/>
      <c r="CJ194" s="4978"/>
      <c r="CK194" s="4978"/>
      <c r="CL194" s="4978"/>
      <c r="CM194" s="4978"/>
      <c r="CN194" s="4978"/>
      <c r="CO194" s="4978"/>
      <c r="CP194" s="4978"/>
      <c r="CQ194" s="4978"/>
      <c r="CR194" s="4978"/>
      <c r="CS194" s="4978"/>
      <c r="CT194" s="4978"/>
      <c r="CU194" s="4978"/>
      <c r="DB194" s="4260"/>
      <c r="DC194" s="4260"/>
      <c r="DD194" s="4260"/>
      <c r="DE194" s="4260"/>
      <c r="DF194" s="4260"/>
      <c r="DG194" s="4260"/>
      <c r="DH194" s="4260"/>
      <c r="DI194" s="4260"/>
      <c r="DJ194" s="4260"/>
    </row>
    <row r="195" spans="1:117" ht="25.95" customHeight="1" x14ac:dyDescent="0.25">
      <c r="B195" s="4469" t="s">
        <v>628</v>
      </c>
      <c r="AT195" s="4264"/>
      <c r="AU195" s="4264"/>
      <c r="CB195" s="4993"/>
      <c r="CH195" s="4994"/>
      <c r="CI195" s="4978"/>
      <c r="CJ195" s="4978"/>
      <c r="CK195" s="4978"/>
      <c r="CL195" s="4978"/>
      <c r="CM195" s="4978"/>
      <c r="CN195" s="4978"/>
      <c r="CO195" s="4978"/>
      <c r="CP195" s="4978"/>
      <c r="CQ195" s="4978"/>
      <c r="CR195" s="4978"/>
      <c r="CS195" s="4978"/>
      <c r="CT195" s="4978"/>
      <c r="CU195" s="4978"/>
      <c r="CV195" s="4264"/>
      <c r="CW195" s="4264"/>
      <c r="CX195" s="4264"/>
      <c r="CY195" s="4264"/>
      <c r="CZ195" s="4264"/>
      <c r="DA195" s="4264"/>
    </row>
    <row r="196" spans="1:117" ht="15" customHeight="1" x14ac:dyDescent="0.25">
      <c r="A196" s="7344"/>
      <c r="B196" s="9465" t="s">
        <v>0</v>
      </c>
      <c r="C196" s="10943" t="s">
        <v>44</v>
      </c>
      <c r="D196" s="10946" t="s">
        <v>98</v>
      </c>
      <c r="E196" s="10947"/>
      <c r="F196" s="10947"/>
      <c r="G196" s="10947"/>
      <c r="H196" s="10947"/>
      <c r="I196" s="10947"/>
      <c r="J196" s="10947"/>
      <c r="K196" s="10947"/>
      <c r="L196" s="10947"/>
      <c r="M196" s="10947"/>
      <c r="N196" s="10947"/>
      <c r="O196" s="10947"/>
      <c r="P196" s="10947"/>
      <c r="Q196" s="10947"/>
      <c r="R196" s="10947"/>
      <c r="S196" s="10947"/>
      <c r="T196" s="10948"/>
      <c r="U196" s="10925" t="s">
        <v>646</v>
      </c>
      <c r="V196" s="10925"/>
      <c r="W196" s="10925"/>
      <c r="X196" s="10925"/>
      <c r="Y196" s="10926"/>
      <c r="BK196" s="4264"/>
      <c r="BL196" s="4264"/>
      <c r="BZ196" s="4264"/>
      <c r="CA196" s="4264"/>
      <c r="CB196" s="4993"/>
      <c r="CH196" s="4994"/>
      <c r="CI196" s="4978"/>
      <c r="CJ196" s="4978"/>
      <c r="CK196" s="4978"/>
      <c r="CL196" s="4978"/>
      <c r="CM196" s="4978"/>
      <c r="CN196" s="4978"/>
      <c r="CO196" s="4978"/>
      <c r="CP196" s="4978"/>
      <c r="CQ196" s="4978"/>
      <c r="CR196" s="4978"/>
      <c r="CS196" s="4978"/>
      <c r="CT196" s="4978"/>
      <c r="CU196" s="4978"/>
      <c r="DB196" s="4260"/>
      <c r="DC196" s="4260"/>
      <c r="DD196" s="4260"/>
      <c r="DE196" s="4260"/>
      <c r="DF196" s="4260"/>
      <c r="DG196" s="4260"/>
      <c r="DH196" s="4260"/>
      <c r="DI196" s="4260"/>
      <c r="DJ196" s="4260"/>
      <c r="DK196" s="4260"/>
      <c r="DL196" s="4260"/>
    </row>
    <row r="197" spans="1:117" ht="15" customHeight="1" x14ac:dyDescent="0.25">
      <c r="A197" s="7344"/>
      <c r="B197" s="9055"/>
      <c r="C197" s="10944"/>
      <c r="D197" s="10949"/>
      <c r="E197" s="10950"/>
      <c r="F197" s="10950"/>
      <c r="G197" s="10950"/>
      <c r="H197" s="10950"/>
      <c r="I197" s="10950"/>
      <c r="J197" s="10950"/>
      <c r="K197" s="10950"/>
      <c r="L197" s="10950"/>
      <c r="M197" s="10950"/>
      <c r="N197" s="10950"/>
      <c r="O197" s="10950"/>
      <c r="P197" s="10950"/>
      <c r="Q197" s="10950"/>
      <c r="R197" s="10950"/>
      <c r="S197" s="10950"/>
      <c r="T197" s="10951"/>
      <c r="U197" s="10927" t="s">
        <v>366</v>
      </c>
      <c r="V197" s="10927"/>
      <c r="W197" s="10928"/>
      <c r="X197" s="10929" t="s">
        <v>2954</v>
      </c>
      <c r="Y197" s="10930"/>
      <c r="BK197" s="4264"/>
      <c r="BL197" s="4264"/>
      <c r="BZ197" s="4264"/>
      <c r="CA197" s="4264"/>
      <c r="CB197" s="4993"/>
      <c r="CH197" s="4994"/>
      <c r="CI197" s="4978"/>
      <c r="CJ197" s="4978"/>
      <c r="CK197" s="4978"/>
      <c r="CL197" s="4978"/>
      <c r="CM197" s="4978"/>
      <c r="CN197" s="4978"/>
      <c r="CO197" s="4978"/>
      <c r="CP197" s="4978"/>
      <c r="CQ197" s="4978"/>
      <c r="CR197" s="4978"/>
      <c r="CS197" s="4978"/>
      <c r="CT197" s="4978"/>
      <c r="CU197" s="4978"/>
      <c r="DB197" s="4260"/>
      <c r="DC197" s="4260"/>
      <c r="DD197" s="4260"/>
      <c r="DE197" s="4260"/>
      <c r="DF197" s="4260"/>
      <c r="DG197" s="4260"/>
      <c r="DH197" s="4260"/>
      <c r="DI197" s="4260"/>
      <c r="DJ197" s="4260"/>
      <c r="DK197" s="4260"/>
      <c r="DL197" s="4260"/>
    </row>
    <row r="198" spans="1:117" ht="32.4" customHeight="1" x14ac:dyDescent="0.25">
      <c r="A198" s="7344"/>
      <c r="B198" s="9056"/>
      <c r="C198" s="10945"/>
      <c r="D198" s="5232" t="s">
        <v>1416</v>
      </c>
      <c r="E198" s="5232" t="s">
        <v>1415</v>
      </c>
      <c r="F198" s="5232" t="s">
        <v>77</v>
      </c>
      <c r="G198" s="5232" t="s">
        <v>68</v>
      </c>
      <c r="H198" s="5232" t="s">
        <v>142</v>
      </c>
      <c r="I198" s="5232" t="s">
        <v>143</v>
      </c>
      <c r="J198" s="5232" t="s">
        <v>144</v>
      </c>
      <c r="K198" s="5232" t="s">
        <v>7</v>
      </c>
      <c r="L198" s="5232" t="s">
        <v>8</v>
      </c>
      <c r="M198" s="5232" t="s">
        <v>145</v>
      </c>
      <c r="N198" s="5232" t="s">
        <v>10</v>
      </c>
      <c r="O198" s="5232" t="s">
        <v>11</v>
      </c>
      <c r="P198" s="5232" t="s">
        <v>12</v>
      </c>
      <c r="Q198" s="5232" t="s">
        <v>13</v>
      </c>
      <c r="R198" s="5232" t="s">
        <v>14</v>
      </c>
      <c r="S198" s="5232" t="s">
        <v>15</v>
      </c>
      <c r="T198" s="5233" t="s">
        <v>16</v>
      </c>
      <c r="U198" s="5234" t="s">
        <v>2951</v>
      </c>
      <c r="V198" s="5234" t="s">
        <v>2952</v>
      </c>
      <c r="W198" s="5234" t="s">
        <v>2953</v>
      </c>
      <c r="X198" s="5235" t="s">
        <v>183</v>
      </c>
      <c r="Y198" s="5234" t="s">
        <v>184</v>
      </c>
      <c r="BK198" s="4264"/>
      <c r="BL198" s="4264"/>
      <c r="BZ198" s="4264"/>
      <c r="CA198" s="4264"/>
      <c r="CB198" s="4993"/>
      <c r="CH198" s="4994"/>
      <c r="CI198" s="4978"/>
      <c r="CJ198" s="4978"/>
      <c r="CK198" s="4978"/>
      <c r="CL198" s="4978"/>
      <c r="CM198" s="4978"/>
      <c r="CN198" s="4978"/>
      <c r="CO198" s="4978"/>
      <c r="CP198" s="4978"/>
      <c r="CQ198" s="4978"/>
      <c r="CR198" s="4978"/>
      <c r="CS198" s="4978"/>
      <c r="CT198" s="4978"/>
      <c r="CU198" s="4978"/>
      <c r="DB198" s="4260"/>
      <c r="DC198" s="4260"/>
      <c r="DD198" s="4260"/>
      <c r="DE198" s="4260"/>
      <c r="DF198" s="4260"/>
      <c r="DG198" s="4260"/>
      <c r="DH198" s="4260"/>
      <c r="DI198" s="4260"/>
      <c r="DJ198" s="4260"/>
      <c r="DK198" s="4260"/>
      <c r="DL198" s="4260"/>
    </row>
    <row r="199" spans="1:117" ht="14.1" customHeight="1" x14ac:dyDescent="0.25">
      <c r="A199" s="7520">
        <v>28021280</v>
      </c>
      <c r="B199" s="5101" t="s">
        <v>1016</v>
      </c>
      <c r="C199" s="5123" t="s">
        <v>5369</v>
      </c>
      <c r="D199" s="4942" t="s">
        <v>5370</v>
      </c>
      <c r="E199" s="4942" t="s">
        <v>5371</v>
      </c>
      <c r="F199" s="4942" t="s">
        <v>5372</v>
      </c>
      <c r="G199" s="4942" t="s">
        <v>5373</v>
      </c>
      <c r="H199" s="4942" t="s">
        <v>5374</v>
      </c>
      <c r="I199" s="4942" t="s">
        <v>5375</v>
      </c>
      <c r="J199" s="4942" t="s">
        <v>5376</v>
      </c>
      <c r="K199" s="4942" t="s">
        <v>5377</v>
      </c>
      <c r="L199" s="4942" t="s">
        <v>5378</v>
      </c>
      <c r="M199" s="4942" t="s">
        <v>5379</v>
      </c>
      <c r="N199" s="4942" t="s">
        <v>5380</v>
      </c>
      <c r="O199" s="4942" t="s">
        <v>5381</v>
      </c>
      <c r="P199" s="4942" t="s">
        <v>5382</v>
      </c>
      <c r="Q199" s="4942" t="s">
        <v>5383</v>
      </c>
      <c r="R199" s="4942" t="s">
        <v>5384</v>
      </c>
      <c r="S199" s="4942" t="s">
        <v>5385</v>
      </c>
      <c r="T199" s="5185" t="s">
        <v>5386</v>
      </c>
      <c r="U199" s="5243" t="s">
        <v>5387</v>
      </c>
      <c r="V199" s="5244" t="s">
        <v>5388</v>
      </c>
      <c r="W199" s="5244" t="s">
        <v>5389</v>
      </c>
      <c r="X199" s="5244" t="s">
        <v>5390</v>
      </c>
      <c r="Y199" s="5244" t="s">
        <v>5391</v>
      </c>
      <c r="Z199" s="4258" t="str">
        <f t="shared" ref="Z199:Z204" si="29">CB199</f>
        <v xml:space="preserve"> * El total de Evaluaciones según tipo de atencion NO DEBE ser diferente al total.  </v>
      </c>
      <c r="BZ199" s="4264"/>
      <c r="CA199" s="4264"/>
      <c r="CB199" s="4993" t="str">
        <f t="shared" ref="CB199:CB204" si="30">IF(CH199=1," * El total de Evaluaciones según tipo de atencion NO DEBE ser diferente al total.  ","")</f>
        <v xml:space="preserve"> * El total de Evaluaciones según tipo de atencion NO DEBE ser diferente al total.  </v>
      </c>
      <c r="CH199" s="4994">
        <f t="shared" ref="CH199:CH204" si="31">IF(C199&lt;&gt;SUM(U199:Y199),1,0)</f>
        <v>1</v>
      </c>
      <c r="CI199" s="4978"/>
      <c r="CJ199" s="4978"/>
      <c r="CK199" s="4978"/>
      <c r="CL199" s="4978"/>
      <c r="CM199" s="4978"/>
      <c r="CN199" s="4978"/>
      <c r="CO199" s="4978"/>
      <c r="CP199" s="4978"/>
      <c r="CQ199" s="4978"/>
      <c r="CR199" s="4978"/>
      <c r="CS199" s="4978"/>
      <c r="CT199" s="4978"/>
      <c r="CU199" s="4978"/>
      <c r="DB199" s="4260"/>
      <c r="DC199" s="4260"/>
      <c r="DD199" s="4260"/>
      <c r="DE199" s="4260"/>
      <c r="DF199" s="4260"/>
      <c r="DG199" s="4260"/>
      <c r="DH199" s="4260"/>
      <c r="DI199" s="4260"/>
      <c r="DJ199" s="4260"/>
      <c r="DK199" s="4260"/>
      <c r="DL199" s="4260"/>
    </row>
    <row r="200" spans="1:117" ht="14.1" customHeight="1" x14ac:dyDescent="0.25">
      <c r="A200" s="7520">
        <v>28021290</v>
      </c>
      <c r="B200" s="5107" t="s">
        <v>62</v>
      </c>
      <c r="C200" s="5126" t="s">
        <v>5369</v>
      </c>
      <c r="D200" s="4942" t="s">
        <v>5370</v>
      </c>
      <c r="E200" s="4942" t="s">
        <v>5371</v>
      </c>
      <c r="F200" s="4942" t="s">
        <v>5372</v>
      </c>
      <c r="G200" s="4942" t="s">
        <v>5373</v>
      </c>
      <c r="H200" s="4942" t="s">
        <v>5374</v>
      </c>
      <c r="I200" s="4942" t="s">
        <v>5375</v>
      </c>
      <c r="J200" s="4942" t="s">
        <v>5376</v>
      </c>
      <c r="K200" s="4942" t="s">
        <v>5377</v>
      </c>
      <c r="L200" s="4942" t="s">
        <v>5378</v>
      </c>
      <c r="M200" s="4942" t="s">
        <v>5379</v>
      </c>
      <c r="N200" s="4942" t="s">
        <v>5380</v>
      </c>
      <c r="O200" s="4942" t="s">
        <v>5381</v>
      </c>
      <c r="P200" s="4942" t="s">
        <v>5382</v>
      </c>
      <c r="Q200" s="4942" t="s">
        <v>5383</v>
      </c>
      <c r="R200" s="4942" t="s">
        <v>5384</v>
      </c>
      <c r="S200" s="4942" t="s">
        <v>5385</v>
      </c>
      <c r="T200" s="5185" t="s">
        <v>5386</v>
      </c>
      <c r="U200" s="4951" t="s">
        <v>5387</v>
      </c>
      <c r="V200" s="4942" t="s">
        <v>5388</v>
      </c>
      <c r="W200" s="4942" t="s">
        <v>5389</v>
      </c>
      <c r="X200" s="4942" t="s">
        <v>5390</v>
      </c>
      <c r="Y200" s="4942" t="s">
        <v>5391</v>
      </c>
      <c r="Z200" s="4258" t="str">
        <f t="shared" si="29"/>
        <v xml:space="preserve"> * El total de Evaluaciones según tipo de atencion NO DEBE ser diferente al total.  </v>
      </c>
      <c r="BZ200" s="4264"/>
      <c r="CA200" s="4264"/>
      <c r="CB200" s="4993" t="str">
        <f t="shared" si="30"/>
        <v xml:space="preserve"> * El total de Evaluaciones según tipo de atencion NO DEBE ser diferente al total.  </v>
      </c>
      <c r="CH200" s="4994">
        <f t="shared" si="31"/>
        <v>1</v>
      </c>
      <c r="CI200" s="4978"/>
      <c r="CJ200" s="4978"/>
      <c r="CK200" s="4978"/>
      <c r="CL200" s="4978"/>
      <c r="CM200" s="4978"/>
      <c r="CN200" s="4978"/>
      <c r="CO200" s="4978"/>
      <c r="CP200" s="4978"/>
      <c r="CQ200" s="4978"/>
      <c r="CR200" s="4978"/>
      <c r="CS200" s="4978"/>
      <c r="CT200" s="4978"/>
      <c r="CU200" s="4978"/>
      <c r="DB200" s="4260"/>
      <c r="DC200" s="4260"/>
      <c r="DD200" s="4260"/>
      <c r="DE200" s="4260"/>
      <c r="DF200" s="4260"/>
      <c r="DG200" s="4260"/>
      <c r="DH200" s="4260"/>
      <c r="DI200" s="4260"/>
      <c r="DJ200" s="4260"/>
      <c r="DK200" s="4260"/>
      <c r="DL200" s="4260"/>
    </row>
    <row r="201" spans="1:117" ht="14.1" customHeight="1" x14ac:dyDescent="0.25">
      <c r="A201" s="7520">
        <v>28021300</v>
      </c>
      <c r="B201" s="5107" t="s">
        <v>2593</v>
      </c>
      <c r="C201" s="5126" t="s">
        <v>5369</v>
      </c>
      <c r="D201" s="4942" t="s">
        <v>5370</v>
      </c>
      <c r="E201" s="4942" t="s">
        <v>5371</v>
      </c>
      <c r="F201" s="4942" t="s">
        <v>5372</v>
      </c>
      <c r="G201" s="4942" t="s">
        <v>5373</v>
      </c>
      <c r="H201" s="4942" t="s">
        <v>5374</v>
      </c>
      <c r="I201" s="4942" t="s">
        <v>5375</v>
      </c>
      <c r="J201" s="4942" t="s">
        <v>5376</v>
      </c>
      <c r="K201" s="4942" t="s">
        <v>5377</v>
      </c>
      <c r="L201" s="4942" t="s">
        <v>5378</v>
      </c>
      <c r="M201" s="4942" t="s">
        <v>5379</v>
      </c>
      <c r="N201" s="4942" t="s">
        <v>5380</v>
      </c>
      <c r="O201" s="4942" t="s">
        <v>5381</v>
      </c>
      <c r="P201" s="4942" t="s">
        <v>5382</v>
      </c>
      <c r="Q201" s="4942" t="s">
        <v>5383</v>
      </c>
      <c r="R201" s="4942" t="s">
        <v>5384</v>
      </c>
      <c r="S201" s="4942" t="s">
        <v>5385</v>
      </c>
      <c r="T201" s="5185" t="s">
        <v>5386</v>
      </c>
      <c r="U201" s="4951" t="s">
        <v>5387</v>
      </c>
      <c r="V201" s="4942" t="s">
        <v>5388</v>
      </c>
      <c r="W201" s="4942" t="s">
        <v>5389</v>
      </c>
      <c r="X201" s="4942" t="s">
        <v>5390</v>
      </c>
      <c r="Y201" s="4942" t="s">
        <v>5391</v>
      </c>
      <c r="Z201" s="4258" t="str">
        <f t="shared" si="29"/>
        <v xml:space="preserve"> * El total de Evaluaciones según tipo de atencion NO DEBE ser diferente al total.  </v>
      </c>
      <c r="BZ201" s="4264"/>
      <c r="CA201" s="4264"/>
      <c r="CB201" s="4993" t="str">
        <f t="shared" si="30"/>
        <v xml:space="preserve"> * El total de Evaluaciones según tipo de atencion NO DEBE ser diferente al total.  </v>
      </c>
      <c r="CH201" s="4994">
        <f t="shared" si="31"/>
        <v>1</v>
      </c>
      <c r="CI201" s="4978"/>
      <c r="CJ201" s="4978"/>
      <c r="CK201" s="4978"/>
      <c r="CL201" s="4978"/>
      <c r="CM201" s="4978"/>
      <c r="CN201" s="4978"/>
      <c r="CO201" s="4978"/>
      <c r="CP201" s="4978"/>
      <c r="CQ201" s="4978"/>
      <c r="CR201" s="4978"/>
      <c r="CS201" s="4978"/>
      <c r="CT201" s="4978"/>
      <c r="CU201" s="4978"/>
      <c r="DB201" s="4260"/>
      <c r="DC201" s="4260"/>
      <c r="DD201" s="4260"/>
      <c r="DE201" s="4260"/>
      <c r="DF201" s="4260"/>
      <c r="DG201" s="4260"/>
      <c r="DH201" s="4260"/>
      <c r="DI201" s="4260"/>
      <c r="DJ201" s="4260"/>
      <c r="DK201" s="4260"/>
      <c r="DL201" s="4260"/>
    </row>
    <row r="202" spans="1:117" ht="14.1" customHeight="1" x14ac:dyDescent="0.25">
      <c r="A202" s="7520">
        <v>28021310</v>
      </c>
      <c r="B202" s="5236" t="s">
        <v>60</v>
      </c>
      <c r="C202" s="5126" t="s">
        <v>5369</v>
      </c>
      <c r="D202" s="4942" t="s">
        <v>5370</v>
      </c>
      <c r="E202" s="4942" t="s">
        <v>5371</v>
      </c>
      <c r="F202" s="4942" t="s">
        <v>5372</v>
      </c>
      <c r="G202" s="4942" t="s">
        <v>5373</v>
      </c>
      <c r="H202" s="4942" t="s">
        <v>5374</v>
      </c>
      <c r="I202" s="4942" t="s">
        <v>5375</v>
      </c>
      <c r="J202" s="4942" t="s">
        <v>5376</v>
      </c>
      <c r="K202" s="4942" t="s">
        <v>5377</v>
      </c>
      <c r="L202" s="4942" t="s">
        <v>5378</v>
      </c>
      <c r="M202" s="4942" t="s">
        <v>5379</v>
      </c>
      <c r="N202" s="4942" t="s">
        <v>5380</v>
      </c>
      <c r="O202" s="4942" t="s">
        <v>5381</v>
      </c>
      <c r="P202" s="4942" t="s">
        <v>5382</v>
      </c>
      <c r="Q202" s="4942" t="s">
        <v>5383</v>
      </c>
      <c r="R202" s="4942" t="s">
        <v>5384</v>
      </c>
      <c r="S202" s="4942" t="s">
        <v>5385</v>
      </c>
      <c r="T202" s="5185" t="s">
        <v>5386</v>
      </c>
      <c r="U202" s="4951" t="s">
        <v>5387</v>
      </c>
      <c r="V202" s="4942" t="s">
        <v>5388</v>
      </c>
      <c r="W202" s="4942" t="s">
        <v>5389</v>
      </c>
      <c r="X202" s="4942" t="s">
        <v>5390</v>
      </c>
      <c r="Y202" s="4942" t="s">
        <v>5391</v>
      </c>
      <c r="Z202" s="4258" t="str">
        <f t="shared" si="29"/>
        <v xml:space="preserve"> * El total de Evaluaciones según tipo de atencion NO DEBE ser diferente al total.  </v>
      </c>
      <c r="BZ202" s="4264"/>
      <c r="CA202" s="4264"/>
      <c r="CB202" s="4993" t="str">
        <f t="shared" si="30"/>
        <v xml:space="preserve"> * El total de Evaluaciones según tipo de atencion NO DEBE ser diferente al total.  </v>
      </c>
      <c r="CH202" s="4994">
        <f t="shared" si="31"/>
        <v>1</v>
      </c>
      <c r="CI202" s="4978"/>
      <c r="CJ202" s="4978"/>
      <c r="CK202" s="4978"/>
      <c r="CL202" s="4978"/>
      <c r="CM202" s="4978"/>
      <c r="CN202" s="4978"/>
      <c r="CO202" s="4978"/>
      <c r="CP202" s="4978"/>
      <c r="CQ202" s="4978"/>
      <c r="CR202" s="4978"/>
      <c r="CS202" s="4978"/>
      <c r="CT202" s="4978"/>
      <c r="CU202" s="4978"/>
      <c r="DB202" s="4260"/>
      <c r="DC202" s="4260"/>
      <c r="DD202" s="4260"/>
      <c r="DE202" s="4260"/>
      <c r="DF202" s="4260"/>
      <c r="DG202" s="4260"/>
      <c r="DH202" s="4260"/>
      <c r="DI202" s="4260"/>
      <c r="DJ202" s="4260"/>
      <c r="DK202" s="4260"/>
      <c r="DL202" s="4260"/>
    </row>
    <row r="203" spans="1:117" ht="14.1" customHeight="1" x14ac:dyDescent="0.25">
      <c r="A203" s="7520">
        <v>28022460</v>
      </c>
      <c r="B203" s="5245" t="s">
        <v>405</v>
      </c>
      <c r="C203" s="5126" t="s">
        <v>5369</v>
      </c>
      <c r="D203" s="4942" t="s">
        <v>5370</v>
      </c>
      <c r="E203" s="4942" t="s">
        <v>5371</v>
      </c>
      <c r="F203" s="4942" t="s">
        <v>5372</v>
      </c>
      <c r="G203" s="4942" t="s">
        <v>5373</v>
      </c>
      <c r="H203" s="4942" t="s">
        <v>5374</v>
      </c>
      <c r="I203" s="4942" t="s">
        <v>5375</v>
      </c>
      <c r="J203" s="4942" t="s">
        <v>5376</v>
      </c>
      <c r="K203" s="4942" t="s">
        <v>5377</v>
      </c>
      <c r="L203" s="4942" t="s">
        <v>5378</v>
      </c>
      <c r="M203" s="4942" t="s">
        <v>5379</v>
      </c>
      <c r="N203" s="4942" t="s">
        <v>5380</v>
      </c>
      <c r="O203" s="4942" t="s">
        <v>5381</v>
      </c>
      <c r="P203" s="4942" t="s">
        <v>5382</v>
      </c>
      <c r="Q203" s="4942" t="s">
        <v>5383</v>
      </c>
      <c r="R203" s="4942" t="s">
        <v>5384</v>
      </c>
      <c r="S203" s="4942" t="s">
        <v>5385</v>
      </c>
      <c r="T203" s="5185" t="s">
        <v>5386</v>
      </c>
      <c r="U203" s="4951" t="s">
        <v>5387</v>
      </c>
      <c r="V203" s="4942" t="s">
        <v>5388</v>
      </c>
      <c r="W203" s="4942" t="s">
        <v>5389</v>
      </c>
      <c r="X203" s="4942" t="s">
        <v>5390</v>
      </c>
      <c r="Y203" s="4942" t="s">
        <v>5391</v>
      </c>
      <c r="Z203" s="4258" t="str">
        <f t="shared" si="29"/>
        <v xml:space="preserve"> * El total de Evaluaciones según tipo de atencion NO DEBE ser diferente al total.  </v>
      </c>
      <c r="BZ203" s="4264"/>
      <c r="CA203" s="4264"/>
      <c r="CB203" s="4993" t="str">
        <f t="shared" si="30"/>
        <v xml:space="preserve"> * El total de Evaluaciones según tipo de atencion NO DEBE ser diferente al total.  </v>
      </c>
      <c r="CC203" s="4993"/>
      <c r="CD203" s="4993"/>
      <c r="CE203" s="4993"/>
      <c r="CF203" s="4993"/>
      <c r="CG203" s="4993"/>
      <c r="CH203" s="4994">
        <f t="shared" si="31"/>
        <v>1</v>
      </c>
      <c r="CI203" s="4994"/>
      <c r="CJ203" s="4978"/>
      <c r="CK203" s="4978"/>
      <c r="CL203" s="4978"/>
      <c r="CM203" s="4978"/>
      <c r="CN203" s="4978"/>
      <c r="CO203" s="4978"/>
      <c r="CP203" s="4978"/>
      <c r="CQ203" s="4978"/>
      <c r="CR203" s="4978"/>
      <c r="CS203" s="4978"/>
      <c r="CT203" s="4978"/>
      <c r="CU203" s="4978"/>
      <c r="DB203" s="4260"/>
      <c r="DC203" s="4260"/>
      <c r="DD203" s="4260"/>
      <c r="DE203" s="4260"/>
      <c r="DF203" s="4260"/>
      <c r="DG203" s="4260"/>
      <c r="DH203" s="4260"/>
      <c r="DI203" s="4260"/>
      <c r="DJ203" s="4260"/>
      <c r="DK203" s="4260"/>
      <c r="DL203" s="4260"/>
    </row>
    <row r="204" spans="1:117" ht="14.1" customHeight="1" x14ac:dyDescent="0.25">
      <c r="A204" s="7320">
        <v>29101653</v>
      </c>
      <c r="B204" s="5245" t="s">
        <v>2597</v>
      </c>
      <c r="C204" s="5246" t="s">
        <v>5369</v>
      </c>
      <c r="D204" s="4942" t="s">
        <v>5370</v>
      </c>
      <c r="E204" s="4942" t="s">
        <v>5371</v>
      </c>
      <c r="F204" s="4942" t="s">
        <v>5372</v>
      </c>
      <c r="G204" s="4942" t="s">
        <v>5373</v>
      </c>
      <c r="H204" s="4942" t="s">
        <v>5374</v>
      </c>
      <c r="I204" s="4942" t="s">
        <v>5375</v>
      </c>
      <c r="J204" s="4942" t="s">
        <v>5376</v>
      </c>
      <c r="K204" s="4942" t="s">
        <v>5377</v>
      </c>
      <c r="L204" s="4942" t="s">
        <v>5378</v>
      </c>
      <c r="M204" s="4942" t="s">
        <v>5379</v>
      </c>
      <c r="N204" s="4942" t="s">
        <v>5380</v>
      </c>
      <c r="O204" s="4942" t="s">
        <v>5381</v>
      </c>
      <c r="P204" s="4942" t="s">
        <v>5382</v>
      </c>
      <c r="Q204" s="4942" t="s">
        <v>5383</v>
      </c>
      <c r="R204" s="4942" t="s">
        <v>5384</v>
      </c>
      <c r="S204" s="4942" t="s">
        <v>5385</v>
      </c>
      <c r="T204" s="5185" t="s">
        <v>5386</v>
      </c>
      <c r="U204" s="5052" t="s">
        <v>5387</v>
      </c>
      <c r="V204" s="5247" t="s">
        <v>5388</v>
      </c>
      <c r="W204" s="5247" t="s">
        <v>5389</v>
      </c>
      <c r="X204" s="5247" t="s">
        <v>5390</v>
      </c>
      <c r="Y204" s="5247" t="s">
        <v>5391</v>
      </c>
      <c r="Z204" s="4258" t="str">
        <f t="shared" si="29"/>
        <v xml:space="preserve"> * El total de Evaluaciones según tipo de atencion NO DEBE ser diferente al total.  </v>
      </c>
      <c r="BZ204" s="4264"/>
      <c r="CA204" s="4264"/>
      <c r="CB204" s="4993" t="str">
        <f t="shared" si="30"/>
        <v xml:space="preserve"> * El total de Evaluaciones según tipo de atencion NO DEBE ser diferente al total.  </v>
      </c>
      <c r="CC204" s="4993"/>
      <c r="CD204" s="4993"/>
      <c r="CE204" s="4993"/>
      <c r="CF204" s="4993"/>
      <c r="CG204" s="4993"/>
      <c r="CH204" s="4994">
        <f t="shared" si="31"/>
        <v>1</v>
      </c>
      <c r="CI204" s="4994"/>
      <c r="CJ204" s="4978"/>
      <c r="CK204" s="4978"/>
      <c r="CL204" s="4978"/>
      <c r="CM204" s="4978"/>
      <c r="CN204" s="4978"/>
      <c r="CO204" s="4978"/>
      <c r="CP204" s="4978"/>
      <c r="CQ204" s="4978"/>
      <c r="CR204" s="4978"/>
      <c r="CS204" s="4978"/>
      <c r="CT204" s="4978"/>
      <c r="CU204" s="4978"/>
      <c r="DB204" s="4260"/>
      <c r="DC204" s="4260"/>
      <c r="DD204" s="4260"/>
      <c r="DE204" s="4260"/>
      <c r="DF204" s="4260"/>
      <c r="DG204" s="4260"/>
      <c r="DH204" s="4260"/>
      <c r="DI204" s="4260"/>
      <c r="DJ204" s="4260"/>
      <c r="DK204" s="4260"/>
      <c r="DL204" s="4260"/>
    </row>
    <row r="205" spans="1:117" ht="14.1" customHeight="1" x14ac:dyDescent="0.25">
      <c r="A205" s="7308"/>
      <c r="B205" s="5248" t="s">
        <v>24</v>
      </c>
      <c r="C205" s="5134">
        <f>SUM(C199:C204)</f>
        <v>0</v>
      </c>
      <c r="D205" s="5134">
        <f>SUM(D199:D204)</f>
        <v>0</v>
      </c>
      <c r="E205" s="5134">
        <f>SUM(E199:E204)</f>
        <v>0</v>
      </c>
      <c r="F205" s="5134">
        <f t="shared" ref="F205:Y205" si="32">SUM(F199:F204)</f>
        <v>0</v>
      </c>
      <c r="G205" s="5134">
        <f t="shared" si="32"/>
        <v>0</v>
      </c>
      <c r="H205" s="5134">
        <f t="shared" si="32"/>
        <v>0</v>
      </c>
      <c r="I205" s="5134">
        <f t="shared" si="32"/>
        <v>0</v>
      </c>
      <c r="J205" s="5134">
        <f t="shared" si="32"/>
        <v>0</v>
      </c>
      <c r="K205" s="5134">
        <f t="shared" si="32"/>
        <v>0</v>
      </c>
      <c r="L205" s="5134">
        <f t="shared" si="32"/>
        <v>0</v>
      </c>
      <c r="M205" s="5134">
        <f t="shared" si="32"/>
        <v>0</v>
      </c>
      <c r="N205" s="5134">
        <f t="shared" si="32"/>
        <v>0</v>
      </c>
      <c r="O205" s="5134">
        <f t="shared" si="32"/>
        <v>0</v>
      </c>
      <c r="P205" s="5134">
        <f t="shared" si="32"/>
        <v>0</v>
      </c>
      <c r="Q205" s="5134">
        <f t="shared" si="32"/>
        <v>0</v>
      </c>
      <c r="R205" s="5134">
        <f t="shared" si="32"/>
        <v>0</v>
      </c>
      <c r="S205" s="5134">
        <f t="shared" si="32"/>
        <v>0</v>
      </c>
      <c r="T205" s="5135">
        <f t="shared" si="32"/>
        <v>0</v>
      </c>
      <c r="U205" s="5018">
        <f t="shared" si="32"/>
        <v>0</v>
      </c>
      <c r="V205" s="5187">
        <f t="shared" si="32"/>
        <v>0</v>
      </c>
      <c r="W205" s="5187">
        <f t="shared" si="32"/>
        <v>0</v>
      </c>
      <c r="X205" s="5187">
        <f t="shared" si="32"/>
        <v>0</v>
      </c>
      <c r="Y205" s="5187">
        <f t="shared" si="32"/>
        <v>0</v>
      </c>
      <c r="BZ205" s="4264"/>
      <c r="CA205" s="4264"/>
      <c r="CB205" s="4993"/>
      <c r="CC205" s="4993"/>
      <c r="CD205" s="4993"/>
      <c r="CE205" s="4993"/>
      <c r="CF205" s="4993"/>
      <c r="CG205" s="4993"/>
      <c r="CH205" s="4994"/>
      <c r="CI205" s="4994"/>
      <c r="CJ205" s="4978"/>
      <c r="CK205" s="4978"/>
      <c r="CL205" s="4978"/>
      <c r="CM205" s="4978"/>
      <c r="CN205" s="4978"/>
      <c r="CO205" s="4978"/>
      <c r="CP205" s="4978"/>
      <c r="CQ205" s="4978"/>
      <c r="CR205" s="4978"/>
      <c r="CS205" s="4978"/>
      <c r="CT205" s="4978"/>
      <c r="CU205" s="4978"/>
      <c r="DB205" s="4260"/>
      <c r="DC205" s="4260"/>
      <c r="DD205" s="4260"/>
      <c r="DE205" s="4260"/>
      <c r="DF205" s="4260"/>
      <c r="DG205" s="4260"/>
      <c r="DH205" s="4260"/>
      <c r="DI205" s="4260"/>
      <c r="DJ205" s="4260"/>
      <c r="DK205" s="4260"/>
      <c r="DL205" s="4260"/>
    </row>
    <row r="206" spans="1:117" ht="27.75" customHeight="1" x14ac:dyDescent="0.25">
      <c r="B206" s="4469" t="s">
        <v>203</v>
      </c>
      <c r="CB206" s="4993"/>
      <c r="CC206" s="4993"/>
      <c r="CD206" s="4993"/>
      <c r="CE206" s="4993"/>
      <c r="CF206" s="4993"/>
      <c r="CG206" s="4993"/>
      <c r="CH206" s="4994"/>
      <c r="CI206" s="4994"/>
      <c r="CJ206" s="4978"/>
      <c r="CK206" s="4978"/>
      <c r="CL206" s="4978"/>
      <c r="CM206" s="4978"/>
      <c r="CN206" s="4978"/>
      <c r="CO206" s="4978"/>
      <c r="CP206" s="4978"/>
      <c r="CQ206" s="4978"/>
      <c r="CR206" s="4978"/>
      <c r="CS206" s="4978"/>
      <c r="CT206" s="4978"/>
      <c r="CU206" s="4978"/>
      <c r="CV206" s="4264"/>
      <c r="CW206" s="4264"/>
      <c r="CX206" s="4264"/>
      <c r="CY206" s="4264"/>
      <c r="CZ206" s="4264"/>
      <c r="DA206" s="4264"/>
    </row>
    <row r="207" spans="1:117" ht="15" customHeight="1" x14ac:dyDescent="0.25">
      <c r="A207" s="7344"/>
      <c r="B207" s="9465" t="s">
        <v>0</v>
      </c>
      <c r="C207" s="10943" t="s">
        <v>44</v>
      </c>
      <c r="D207" s="10946" t="s">
        <v>98</v>
      </c>
      <c r="E207" s="10947"/>
      <c r="F207" s="10947"/>
      <c r="G207" s="10947"/>
      <c r="H207" s="10947"/>
      <c r="I207" s="10947"/>
      <c r="J207" s="10947"/>
      <c r="K207" s="10947"/>
      <c r="L207" s="10947"/>
      <c r="M207" s="10947"/>
      <c r="N207" s="10947"/>
      <c r="O207" s="10947"/>
      <c r="P207" s="10947"/>
      <c r="Q207" s="10947"/>
      <c r="R207" s="10947"/>
      <c r="S207" s="10947"/>
      <c r="T207" s="10948"/>
      <c r="U207" s="10925" t="s">
        <v>646</v>
      </c>
      <c r="V207" s="10925"/>
      <c r="W207" s="10925"/>
      <c r="X207" s="10925"/>
      <c r="Y207" s="10926"/>
      <c r="BZ207" s="4264"/>
      <c r="CA207" s="4264"/>
      <c r="CB207" s="4993"/>
      <c r="CC207" s="4993"/>
      <c r="CD207" s="4993"/>
      <c r="CE207" s="4993"/>
      <c r="CF207" s="4993"/>
      <c r="CG207" s="4993"/>
      <c r="CH207" s="4994"/>
      <c r="CI207" s="4994"/>
      <c r="CJ207" s="4978"/>
      <c r="CK207" s="4978"/>
      <c r="CL207" s="4978"/>
      <c r="CM207" s="4978"/>
      <c r="CN207" s="4978"/>
      <c r="CO207" s="4978"/>
      <c r="CP207" s="4978"/>
      <c r="CQ207" s="4978"/>
      <c r="CR207" s="4978"/>
      <c r="CS207" s="4978"/>
      <c r="CT207" s="4978"/>
      <c r="CU207" s="4978"/>
      <c r="DB207" s="4260"/>
      <c r="DC207" s="4260"/>
      <c r="DD207" s="4260"/>
      <c r="DE207" s="4260"/>
      <c r="DF207" s="4260"/>
      <c r="DG207" s="4260"/>
      <c r="DH207" s="4260"/>
      <c r="DI207" s="4260"/>
      <c r="DJ207" s="4260"/>
      <c r="DK207" s="4260"/>
      <c r="DL207" s="4260"/>
      <c r="DM207" s="4260"/>
    </row>
    <row r="208" spans="1:117" ht="18" customHeight="1" x14ac:dyDescent="0.25">
      <c r="A208" s="7344"/>
      <c r="B208" s="9055"/>
      <c r="C208" s="10944"/>
      <c r="D208" s="10949"/>
      <c r="E208" s="10950"/>
      <c r="F208" s="10950"/>
      <c r="G208" s="10950"/>
      <c r="H208" s="10950"/>
      <c r="I208" s="10950"/>
      <c r="J208" s="10950"/>
      <c r="K208" s="10950"/>
      <c r="L208" s="10950"/>
      <c r="M208" s="10950"/>
      <c r="N208" s="10950"/>
      <c r="O208" s="10950"/>
      <c r="P208" s="10950"/>
      <c r="Q208" s="10950"/>
      <c r="R208" s="10950"/>
      <c r="S208" s="10950"/>
      <c r="T208" s="10951"/>
      <c r="U208" s="10927" t="s">
        <v>366</v>
      </c>
      <c r="V208" s="10927"/>
      <c r="W208" s="10928"/>
      <c r="X208" s="10929" t="s">
        <v>2954</v>
      </c>
      <c r="Y208" s="10930"/>
      <c r="BZ208" s="4264"/>
      <c r="CA208" s="4264"/>
      <c r="CB208" s="4993"/>
      <c r="CC208" s="4993"/>
      <c r="CD208" s="4993"/>
      <c r="CE208" s="4993"/>
      <c r="CF208" s="4993"/>
      <c r="CG208" s="4993"/>
      <c r="CH208" s="4994"/>
      <c r="CI208" s="4994"/>
      <c r="CJ208" s="4978"/>
      <c r="CK208" s="4978"/>
      <c r="CL208" s="4978"/>
      <c r="CM208" s="4978"/>
      <c r="CN208" s="4978"/>
      <c r="CO208" s="4978"/>
      <c r="CP208" s="4978"/>
      <c r="CQ208" s="4978"/>
      <c r="CR208" s="4978"/>
      <c r="CS208" s="4978"/>
      <c r="CT208" s="4978"/>
      <c r="CU208" s="4978"/>
      <c r="DB208" s="4260"/>
      <c r="DC208" s="4260"/>
      <c r="DD208" s="4260"/>
      <c r="DE208" s="4260"/>
      <c r="DF208" s="4260"/>
      <c r="DG208" s="4260"/>
      <c r="DH208" s="4260"/>
      <c r="DI208" s="4260"/>
      <c r="DJ208" s="4260"/>
      <c r="DK208" s="4260"/>
      <c r="DL208" s="4260"/>
      <c r="DM208" s="4260"/>
    </row>
    <row r="209" spans="1:117" ht="42" customHeight="1" x14ac:dyDescent="0.25">
      <c r="A209" s="7344"/>
      <c r="B209" s="9056"/>
      <c r="C209" s="10945"/>
      <c r="D209" s="5232" t="s">
        <v>1416</v>
      </c>
      <c r="E209" s="5232" t="s">
        <v>1415</v>
      </c>
      <c r="F209" s="5232" t="s">
        <v>77</v>
      </c>
      <c r="G209" s="5232" t="s">
        <v>68</v>
      </c>
      <c r="H209" s="5232" t="s">
        <v>142</v>
      </c>
      <c r="I209" s="5232" t="s">
        <v>143</v>
      </c>
      <c r="J209" s="5232" t="s">
        <v>144</v>
      </c>
      <c r="K209" s="5232" t="s">
        <v>7</v>
      </c>
      <c r="L209" s="5232" t="s">
        <v>8</v>
      </c>
      <c r="M209" s="5232" t="s">
        <v>145</v>
      </c>
      <c r="N209" s="5232" t="s">
        <v>10</v>
      </c>
      <c r="O209" s="5232" t="s">
        <v>11</v>
      </c>
      <c r="P209" s="5232" t="s">
        <v>12</v>
      </c>
      <c r="Q209" s="5232" t="s">
        <v>13</v>
      </c>
      <c r="R209" s="5232" t="s">
        <v>14</v>
      </c>
      <c r="S209" s="5232" t="s">
        <v>15</v>
      </c>
      <c r="T209" s="5233" t="s">
        <v>16</v>
      </c>
      <c r="U209" s="5234" t="s">
        <v>2951</v>
      </c>
      <c r="V209" s="5234" t="s">
        <v>2952</v>
      </c>
      <c r="W209" s="5234" t="s">
        <v>2953</v>
      </c>
      <c r="X209" s="5235" t="s">
        <v>183</v>
      </c>
      <c r="Y209" s="5234" t="s">
        <v>184</v>
      </c>
      <c r="BZ209" s="4264"/>
      <c r="CA209" s="4264"/>
      <c r="CH209" s="4978"/>
      <c r="CI209" s="4978"/>
      <c r="CJ209" s="4978"/>
      <c r="CK209" s="4978"/>
      <c r="CL209" s="4978"/>
      <c r="CM209" s="4978"/>
      <c r="CN209" s="4978"/>
      <c r="CO209" s="4978"/>
      <c r="CP209" s="4978"/>
      <c r="CQ209" s="4978"/>
      <c r="CR209" s="4978"/>
      <c r="CS209" s="4978"/>
      <c r="CT209" s="4978"/>
      <c r="CU209" s="4978"/>
      <c r="DB209" s="4260"/>
      <c r="DC209" s="4260"/>
      <c r="DD209" s="4260"/>
      <c r="DE209" s="4260"/>
      <c r="DF209" s="4260"/>
      <c r="DG209" s="4260"/>
      <c r="DH209" s="4260"/>
      <c r="DI209" s="4260"/>
      <c r="DJ209" s="4260"/>
      <c r="DK209" s="4260"/>
      <c r="DL209" s="4260"/>
      <c r="DM209" s="4260"/>
    </row>
    <row r="210" spans="1:117" ht="14.1" customHeight="1" x14ac:dyDescent="0.25">
      <c r="A210" s="7520">
        <v>28021320</v>
      </c>
      <c r="B210" s="5101" t="s">
        <v>1016</v>
      </c>
      <c r="C210" s="5123" t="s">
        <v>5369</v>
      </c>
      <c r="D210" s="4942" t="s">
        <v>5370</v>
      </c>
      <c r="E210" s="4942" t="s">
        <v>5371</v>
      </c>
      <c r="F210" s="4942" t="s">
        <v>5372</v>
      </c>
      <c r="G210" s="4942" t="s">
        <v>5373</v>
      </c>
      <c r="H210" s="4942" t="s">
        <v>5374</v>
      </c>
      <c r="I210" s="4942" t="s">
        <v>5375</v>
      </c>
      <c r="J210" s="4942" t="s">
        <v>5376</v>
      </c>
      <c r="K210" s="4942" t="s">
        <v>5377</v>
      </c>
      <c r="L210" s="4942" t="s">
        <v>5378</v>
      </c>
      <c r="M210" s="4942" t="s">
        <v>5379</v>
      </c>
      <c r="N210" s="4942" t="s">
        <v>5380</v>
      </c>
      <c r="O210" s="4942" t="s">
        <v>5381</v>
      </c>
      <c r="P210" s="4942" t="s">
        <v>5382</v>
      </c>
      <c r="Q210" s="4942" t="s">
        <v>5383</v>
      </c>
      <c r="R210" s="4942" t="s">
        <v>5384</v>
      </c>
      <c r="S210" s="4942" t="s">
        <v>5385</v>
      </c>
      <c r="T210" s="5185" t="s">
        <v>5386</v>
      </c>
      <c r="U210" s="4038" t="s">
        <v>5387</v>
      </c>
      <c r="V210" s="4948" t="s">
        <v>5388</v>
      </c>
      <c r="W210" s="4948" t="s">
        <v>5389</v>
      </c>
      <c r="X210" s="4948" t="s">
        <v>5390</v>
      </c>
      <c r="Y210" s="4948" t="s">
        <v>5391</v>
      </c>
      <c r="Z210" s="4258" t="str">
        <f>CB210</f>
        <v xml:space="preserve"> * El total de Evaluaciones según tipo de atencion NO DEBE ser diferente al total.  </v>
      </c>
      <c r="BZ210" s="4264"/>
      <c r="CA210" s="4264"/>
      <c r="CB210" s="4993" t="str">
        <f>IF(CH210=1," * El total de Evaluaciones según tipo de atencion NO DEBE ser diferente al total.  ","")</f>
        <v xml:space="preserve"> * El total de Evaluaciones según tipo de atencion NO DEBE ser diferente al total.  </v>
      </c>
      <c r="CH210" s="4994">
        <f>IF(C210&lt;&gt;SUM(U210:Y210),1,0)</f>
        <v>1</v>
      </c>
      <c r="CI210" s="4978"/>
      <c r="CJ210" s="4978"/>
      <c r="CK210" s="4978"/>
      <c r="CL210" s="4978"/>
      <c r="CM210" s="4978"/>
      <c r="CN210" s="4978"/>
      <c r="CO210" s="4978"/>
      <c r="CP210" s="4978"/>
      <c r="CQ210" s="4978"/>
      <c r="CR210" s="4978"/>
      <c r="CS210" s="4978"/>
      <c r="CT210" s="4978"/>
      <c r="CU210" s="4978"/>
      <c r="DB210" s="4260"/>
      <c r="DC210" s="4260"/>
      <c r="DD210" s="4260"/>
      <c r="DE210" s="4260"/>
      <c r="DF210" s="4260"/>
      <c r="DG210" s="4260"/>
      <c r="DH210" s="4260"/>
      <c r="DI210" s="4260"/>
      <c r="DJ210" s="4260"/>
      <c r="DK210" s="4260"/>
      <c r="DL210" s="4260"/>
      <c r="DM210" s="4260"/>
    </row>
    <row r="211" spans="1:117" ht="14.1" customHeight="1" x14ac:dyDescent="0.25">
      <c r="A211" s="7520">
        <v>28021330</v>
      </c>
      <c r="B211" s="5107" t="s">
        <v>62</v>
      </c>
      <c r="C211" s="5126" t="s">
        <v>5369</v>
      </c>
      <c r="D211" s="4942" t="s">
        <v>5370</v>
      </c>
      <c r="E211" s="4942" t="s">
        <v>5371</v>
      </c>
      <c r="F211" s="4942" t="s">
        <v>5372</v>
      </c>
      <c r="G211" s="4942" t="s">
        <v>5373</v>
      </c>
      <c r="H211" s="4942" t="s">
        <v>5374</v>
      </c>
      <c r="I211" s="4942" t="s">
        <v>5375</v>
      </c>
      <c r="J211" s="4942" t="s">
        <v>5376</v>
      </c>
      <c r="K211" s="4942" t="s">
        <v>5377</v>
      </c>
      <c r="L211" s="4942" t="s">
        <v>5378</v>
      </c>
      <c r="M211" s="4942" t="s">
        <v>5379</v>
      </c>
      <c r="N211" s="4942" t="s">
        <v>5380</v>
      </c>
      <c r="O211" s="4942" t="s">
        <v>5381</v>
      </c>
      <c r="P211" s="4942" t="s">
        <v>5382</v>
      </c>
      <c r="Q211" s="4942" t="s">
        <v>5383</v>
      </c>
      <c r="R211" s="4942" t="s">
        <v>5384</v>
      </c>
      <c r="S211" s="4942" t="s">
        <v>5385</v>
      </c>
      <c r="T211" s="5185" t="s">
        <v>5386</v>
      </c>
      <c r="U211" s="4951" t="s">
        <v>5387</v>
      </c>
      <c r="V211" s="4942" t="s">
        <v>5388</v>
      </c>
      <c r="W211" s="4942" t="s">
        <v>5389</v>
      </c>
      <c r="X211" s="4942" t="s">
        <v>5390</v>
      </c>
      <c r="Y211" s="4942" t="s">
        <v>5391</v>
      </c>
      <c r="Z211" s="4258" t="str">
        <f>CB211</f>
        <v xml:space="preserve"> * El total de Evaluaciones según tipo de atencion NO DEBE ser diferente al total.  </v>
      </c>
      <c r="BZ211" s="4264"/>
      <c r="CA211" s="4264"/>
      <c r="CB211" s="4993" t="str">
        <f>IF(CH211=1," * El total de Evaluaciones según tipo de atencion NO DEBE ser diferente al total.  ","")</f>
        <v xml:space="preserve"> * El total de Evaluaciones según tipo de atencion NO DEBE ser diferente al total.  </v>
      </c>
      <c r="CH211" s="4994">
        <f>IF(C211&lt;&gt;SUM(U211:Y211),1,0)</f>
        <v>1</v>
      </c>
      <c r="CI211" s="4978"/>
      <c r="CJ211" s="4978"/>
      <c r="CK211" s="4978"/>
      <c r="CL211" s="4978"/>
      <c r="CM211" s="4978"/>
      <c r="CN211" s="4978"/>
      <c r="CO211" s="4978"/>
      <c r="CP211" s="4978"/>
      <c r="CQ211" s="4978"/>
      <c r="CR211" s="4978"/>
      <c r="CS211" s="4978"/>
      <c r="CT211" s="4978"/>
      <c r="CU211" s="4978"/>
      <c r="DB211" s="4260"/>
      <c r="DC211" s="4260"/>
      <c r="DD211" s="4260"/>
      <c r="DE211" s="4260"/>
      <c r="DF211" s="4260"/>
      <c r="DG211" s="4260"/>
      <c r="DH211" s="4260"/>
      <c r="DI211" s="4260"/>
      <c r="DJ211" s="4260"/>
      <c r="DK211" s="4260"/>
      <c r="DL211" s="4260"/>
      <c r="DM211" s="4260"/>
    </row>
    <row r="212" spans="1:117" ht="14.1" customHeight="1" x14ac:dyDescent="0.25">
      <c r="A212" s="7520">
        <v>28021340</v>
      </c>
      <c r="B212" s="5107" t="s">
        <v>2593</v>
      </c>
      <c r="C212" s="5126" t="s">
        <v>5369</v>
      </c>
      <c r="D212" s="4942" t="s">
        <v>5370</v>
      </c>
      <c r="E212" s="4942" t="s">
        <v>5371</v>
      </c>
      <c r="F212" s="4942" t="s">
        <v>5372</v>
      </c>
      <c r="G212" s="4942" t="s">
        <v>5373</v>
      </c>
      <c r="H212" s="4942" t="s">
        <v>5374</v>
      </c>
      <c r="I212" s="4942" t="s">
        <v>5375</v>
      </c>
      <c r="J212" s="4942" t="s">
        <v>5376</v>
      </c>
      <c r="K212" s="4942" t="s">
        <v>5377</v>
      </c>
      <c r="L212" s="4942" t="s">
        <v>5378</v>
      </c>
      <c r="M212" s="4942" t="s">
        <v>5379</v>
      </c>
      <c r="N212" s="4942" t="s">
        <v>5380</v>
      </c>
      <c r="O212" s="4942" t="s">
        <v>5381</v>
      </c>
      <c r="P212" s="4942" t="s">
        <v>5382</v>
      </c>
      <c r="Q212" s="4942" t="s">
        <v>5383</v>
      </c>
      <c r="R212" s="4942" t="s">
        <v>5384</v>
      </c>
      <c r="S212" s="4942" t="s">
        <v>5385</v>
      </c>
      <c r="T212" s="5185" t="s">
        <v>5386</v>
      </c>
      <c r="U212" s="4951" t="s">
        <v>5387</v>
      </c>
      <c r="V212" s="4942" t="s">
        <v>5388</v>
      </c>
      <c r="W212" s="4942" t="s">
        <v>5389</v>
      </c>
      <c r="X212" s="4942" t="s">
        <v>5390</v>
      </c>
      <c r="Y212" s="4942" t="s">
        <v>5391</v>
      </c>
      <c r="Z212" s="4258" t="str">
        <f>CB212</f>
        <v xml:space="preserve"> * El total de Evaluaciones según tipo de atencion NO DEBE ser diferente al total.  </v>
      </c>
      <c r="BZ212" s="4264"/>
      <c r="CA212" s="4264"/>
      <c r="CB212" s="4993" t="str">
        <f>IF(CH212=1," * El total de Evaluaciones según tipo de atencion NO DEBE ser diferente al total.  ","")</f>
        <v xml:space="preserve"> * El total de Evaluaciones según tipo de atencion NO DEBE ser diferente al total.  </v>
      </c>
      <c r="CH212" s="4994">
        <f>IF(C212&lt;&gt;SUM(U212:Y212),1,0)</f>
        <v>1</v>
      </c>
      <c r="CI212" s="4978"/>
      <c r="CJ212" s="4978"/>
      <c r="CK212" s="4978"/>
      <c r="CL212" s="4978"/>
      <c r="CM212" s="4978"/>
      <c r="CN212" s="4978"/>
      <c r="CO212" s="4978"/>
      <c r="CP212" s="4978"/>
      <c r="CQ212" s="4978"/>
      <c r="CR212" s="4978"/>
      <c r="CS212" s="4978"/>
      <c r="CT212" s="4978"/>
      <c r="CU212" s="4978"/>
      <c r="DB212" s="4260"/>
      <c r="DC212" s="4260"/>
      <c r="DD212" s="4260"/>
      <c r="DE212" s="4260"/>
      <c r="DF212" s="4260"/>
      <c r="DG212" s="4260"/>
      <c r="DH212" s="4260"/>
      <c r="DI212" s="4260"/>
      <c r="DJ212" s="4260"/>
      <c r="DK212" s="4260"/>
      <c r="DL212" s="4260"/>
      <c r="DM212" s="4260"/>
    </row>
    <row r="213" spans="1:117" ht="14.1" customHeight="1" x14ac:dyDescent="0.25">
      <c r="A213" s="7520">
        <v>28021350</v>
      </c>
      <c r="B213" s="5238" t="s">
        <v>60</v>
      </c>
      <c r="C213" s="5127" t="s">
        <v>5369</v>
      </c>
      <c r="D213" s="5025" t="s">
        <v>5370</v>
      </c>
      <c r="E213" s="5025" t="s">
        <v>5371</v>
      </c>
      <c r="F213" s="5025" t="s">
        <v>5372</v>
      </c>
      <c r="G213" s="5025" t="s">
        <v>5373</v>
      </c>
      <c r="H213" s="5025" t="s">
        <v>5374</v>
      </c>
      <c r="I213" s="5025" t="s">
        <v>5375</v>
      </c>
      <c r="J213" s="5025" t="s">
        <v>5376</v>
      </c>
      <c r="K213" s="5025" t="s">
        <v>5377</v>
      </c>
      <c r="L213" s="5025" t="s">
        <v>5378</v>
      </c>
      <c r="M213" s="5025" t="s">
        <v>5379</v>
      </c>
      <c r="N213" s="5025" t="s">
        <v>5380</v>
      </c>
      <c r="O213" s="5025" t="s">
        <v>5381</v>
      </c>
      <c r="P213" s="5025" t="s">
        <v>5382</v>
      </c>
      <c r="Q213" s="5025" t="s">
        <v>5383</v>
      </c>
      <c r="R213" s="5025" t="s">
        <v>5384</v>
      </c>
      <c r="S213" s="5025" t="s">
        <v>5385</v>
      </c>
      <c r="T213" s="5188" t="s">
        <v>5386</v>
      </c>
      <c r="U213" s="5027" t="s">
        <v>5387</v>
      </c>
      <c r="V213" s="5025" t="s">
        <v>5388</v>
      </c>
      <c r="W213" s="5025" t="s">
        <v>5389</v>
      </c>
      <c r="X213" s="5025" t="s">
        <v>5390</v>
      </c>
      <c r="Y213" s="5025" t="s">
        <v>5391</v>
      </c>
      <c r="Z213" s="4258" t="str">
        <f>CB213</f>
        <v xml:space="preserve"> * El total de Evaluaciones según tipo de atencion NO DEBE ser diferente al total.  </v>
      </c>
      <c r="BZ213" s="4264"/>
      <c r="CA213" s="4264"/>
      <c r="CB213" s="4993" t="str">
        <f>IF(CH213=1," * El total de Evaluaciones según tipo de atencion NO DEBE ser diferente al total.  ","")</f>
        <v xml:space="preserve"> * El total de Evaluaciones según tipo de atencion NO DEBE ser diferente al total.  </v>
      </c>
      <c r="CH213" s="4994">
        <f>IF(C213&lt;&gt;SUM(U213:Y213),1,0)</f>
        <v>1</v>
      </c>
      <c r="CI213" s="4978"/>
      <c r="CJ213" s="4978"/>
      <c r="CK213" s="4978"/>
      <c r="CL213" s="4978"/>
      <c r="CM213" s="4978"/>
      <c r="CN213" s="4978"/>
      <c r="CO213" s="4978"/>
      <c r="CP213" s="4978"/>
      <c r="CQ213" s="4978"/>
      <c r="CR213" s="4978"/>
      <c r="CS213" s="4978"/>
      <c r="CT213" s="4978"/>
      <c r="CU213" s="4978"/>
      <c r="DB213" s="4260"/>
      <c r="DC213" s="4260"/>
      <c r="DD213" s="4260"/>
      <c r="DE213" s="4260"/>
      <c r="DF213" s="4260"/>
      <c r="DG213" s="4260"/>
      <c r="DH213" s="4260"/>
      <c r="DI213" s="4260"/>
      <c r="DJ213" s="4260"/>
      <c r="DK213" s="4260"/>
      <c r="DL213" s="4260"/>
      <c r="DM213" s="4260"/>
    </row>
    <row r="214" spans="1:117" ht="14.1" customHeight="1" x14ac:dyDescent="0.25">
      <c r="A214" s="7298"/>
      <c r="B214" s="5248" t="s">
        <v>24</v>
      </c>
      <c r="C214" s="5239">
        <f>SUM(C210:C213)</f>
        <v>0</v>
      </c>
      <c r="D214" s="5239">
        <f>SUM(D210:D213)</f>
        <v>0</v>
      </c>
      <c r="E214" s="5239">
        <f t="shared" ref="E214:Y214" si="33">SUM(E210:E213)</f>
        <v>0</v>
      </c>
      <c r="F214" s="5239">
        <f t="shared" si="33"/>
        <v>0</v>
      </c>
      <c r="G214" s="5239">
        <f t="shared" si="33"/>
        <v>0</v>
      </c>
      <c r="H214" s="5239">
        <f t="shared" si="33"/>
        <v>0</v>
      </c>
      <c r="I214" s="5239">
        <f t="shared" si="33"/>
        <v>0</v>
      </c>
      <c r="J214" s="5239">
        <f t="shared" si="33"/>
        <v>0</v>
      </c>
      <c r="K214" s="5239">
        <f t="shared" si="33"/>
        <v>0</v>
      </c>
      <c r="L214" s="5239">
        <f t="shared" si="33"/>
        <v>0</v>
      </c>
      <c r="M214" s="5239">
        <f t="shared" si="33"/>
        <v>0</v>
      </c>
      <c r="N214" s="5239">
        <f t="shared" si="33"/>
        <v>0</v>
      </c>
      <c r="O214" s="5239">
        <f t="shared" si="33"/>
        <v>0</v>
      </c>
      <c r="P214" s="5239">
        <f t="shared" si="33"/>
        <v>0</v>
      </c>
      <c r="Q214" s="5239">
        <f t="shared" si="33"/>
        <v>0</v>
      </c>
      <c r="R214" s="5239">
        <f t="shared" si="33"/>
        <v>0</v>
      </c>
      <c r="S214" s="5239">
        <f t="shared" si="33"/>
        <v>0</v>
      </c>
      <c r="T214" s="5249">
        <f t="shared" si="33"/>
        <v>0</v>
      </c>
      <c r="U214" s="5018">
        <f t="shared" si="33"/>
        <v>0</v>
      </c>
      <c r="V214" s="5187">
        <f t="shared" si="33"/>
        <v>0</v>
      </c>
      <c r="W214" s="5187">
        <f t="shared" si="33"/>
        <v>0</v>
      </c>
      <c r="X214" s="5187">
        <f t="shared" si="33"/>
        <v>0</v>
      </c>
      <c r="Y214" s="5187">
        <f t="shared" si="33"/>
        <v>0</v>
      </c>
      <c r="BZ214" s="4264"/>
      <c r="CA214" s="4264"/>
      <c r="CH214" s="4978"/>
      <c r="CI214" s="4978"/>
      <c r="CJ214" s="4978"/>
      <c r="CK214" s="4978"/>
      <c r="CL214" s="4978"/>
      <c r="CM214" s="4978"/>
      <c r="CN214" s="4978"/>
      <c r="CO214" s="4978"/>
      <c r="CP214" s="4978"/>
      <c r="CQ214" s="4978"/>
      <c r="CR214" s="4978"/>
      <c r="CS214" s="4978"/>
      <c r="CT214" s="4978"/>
      <c r="CU214" s="4978"/>
      <c r="DB214" s="4260"/>
      <c r="DC214" s="4260"/>
      <c r="DD214" s="4260"/>
      <c r="DE214" s="4260"/>
      <c r="DF214" s="4260"/>
      <c r="DG214" s="4260"/>
      <c r="DH214" s="4260"/>
      <c r="DI214" s="4260"/>
      <c r="DJ214" s="4260"/>
      <c r="DK214" s="4260"/>
      <c r="DL214" s="4260"/>
      <c r="DM214" s="4260"/>
    </row>
    <row r="215" spans="1:117" ht="26.4" customHeight="1" x14ac:dyDescent="0.25">
      <c r="B215" s="4268" t="s">
        <v>629</v>
      </c>
      <c r="CH215" s="4978"/>
      <c r="CI215" s="4978"/>
      <c r="CJ215" s="4978"/>
      <c r="CK215" s="4978"/>
      <c r="CL215" s="4978"/>
      <c r="CM215" s="4978"/>
      <c r="CN215" s="4978"/>
      <c r="CO215" s="4978"/>
      <c r="CP215" s="4978"/>
      <c r="CQ215" s="4978"/>
      <c r="CR215" s="4978"/>
      <c r="CS215" s="4978"/>
      <c r="CT215" s="4978"/>
      <c r="CU215" s="4978"/>
      <c r="CV215" s="4264"/>
      <c r="CW215" s="4264"/>
      <c r="CX215" s="4264"/>
      <c r="CY215" s="4264"/>
      <c r="CZ215" s="4264"/>
      <c r="DA215" s="4264"/>
    </row>
    <row r="216" spans="1:117" ht="18" customHeight="1" x14ac:dyDescent="0.25">
      <c r="B216" s="5250" t="s">
        <v>186</v>
      </c>
      <c r="C216" s="5211" t="s">
        <v>1</v>
      </c>
      <c r="CH216" s="4978"/>
      <c r="CI216" s="4978"/>
      <c r="CJ216" s="4978"/>
      <c r="CK216" s="4978"/>
      <c r="CL216" s="4978"/>
      <c r="CM216" s="4978"/>
      <c r="CN216" s="4978"/>
      <c r="CO216" s="4978"/>
      <c r="CP216" s="4978"/>
      <c r="CQ216" s="4978"/>
      <c r="CR216" s="4978"/>
      <c r="CS216" s="4978"/>
      <c r="CT216" s="4978"/>
      <c r="CU216" s="4978"/>
      <c r="CV216" s="4264"/>
      <c r="CW216" s="4264"/>
      <c r="CX216" s="4264"/>
      <c r="CY216" s="4264"/>
      <c r="CZ216" s="4264"/>
      <c r="DA216" s="4264"/>
    </row>
    <row r="217" spans="1:117" ht="14.1" customHeight="1" x14ac:dyDescent="0.25">
      <c r="A217" s="7520">
        <v>28021360</v>
      </c>
      <c r="B217" s="5251" t="s">
        <v>187</v>
      </c>
      <c r="C217" s="4948" t="s">
        <v>5369</v>
      </c>
      <c r="CH217" s="4978"/>
      <c r="CI217" s="4978"/>
      <c r="CJ217" s="4978"/>
      <c r="CK217" s="4978"/>
      <c r="CL217" s="4978"/>
      <c r="CM217" s="4978"/>
      <c r="CN217" s="4978"/>
      <c r="CO217" s="4978"/>
      <c r="CP217" s="4978"/>
      <c r="CQ217" s="4978"/>
      <c r="CR217" s="4978"/>
      <c r="CS217" s="4978"/>
      <c r="CT217" s="4978"/>
      <c r="CU217" s="4978"/>
      <c r="CV217" s="4264"/>
      <c r="CW217" s="4264"/>
      <c r="CX217" s="4264"/>
      <c r="CY217" s="4264"/>
      <c r="CZ217" s="4264"/>
      <c r="DA217" s="4264"/>
    </row>
    <row r="218" spans="1:117" ht="14.1" customHeight="1" x14ac:dyDescent="0.25">
      <c r="A218" s="7520">
        <v>28021370</v>
      </c>
      <c r="B218" s="4432" t="s">
        <v>188</v>
      </c>
      <c r="C218" s="4942" t="s">
        <v>5369</v>
      </c>
      <c r="CH218" s="4978"/>
      <c r="CI218" s="4978"/>
      <c r="CJ218" s="4978"/>
      <c r="CK218" s="4978"/>
      <c r="CL218" s="4978"/>
      <c r="CM218" s="4978"/>
      <c r="CN218" s="4978"/>
      <c r="CO218" s="4978"/>
      <c r="CP218" s="4978"/>
      <c r="CQ218" s="4978"/>
      <c r="CR218" s="4978"/>
      <c r="CS218" s="4978"/>
      <c r="CT218" s="4978"/>
      <c r="CU218" s="4978"/>
      <c r="CV218" s="4264"/>
      <c r="CW218" s="4264"/>
      <c r="CX218" s="4264"/>
      <c r="CY218" s="4264"/>
      <c r="CZ218" s="4264"/>
      <c r="DA218" s="4264"/>
    </row>
    <row r="219" spans="1:117" ht="14.1" customHeight="1" x14ac:dyDescent="0.25">
      <c r="A219" s="7520">
        <v>28021380</v>
      </c>
      <c r="B219" s="4432" t="s">
        <v>189</v>
      </c>
      <c r="C219" s="4942" t="s">
        <v>5369</v>
      </c>
      <c r="CH219" s="4978"/>
      <c r="CI219" s="4978"/>
      <c r="CJ219" s="4978"/>
      <c r="CK219" s="4978"/>
      <c r="CL219" s="4978"/>
      <c r="CM219" s="4978"/>
      <c r="CN219" s="4978"/>
      <c r="CO219" s="4978"/>
      <c r="CP219" s="4978"/>
      <c r="CQ219" s="4978"/>
      <c r="CR219" s="4978"/>
      <c r="CS219" s="4978"/>
      <c r="CT219" s="4978"/>
      <c r="CU219" s="4978"/>
      <c r="CV219" s="4264"/>
      <c r="CW219" s="4264"/>
      <c r="CX219" s="4264"/>
      <c r="CY219" s="4264"/>
      <c r="CZ219" s="4264"/>
      <c r="DA219" s="4264"/>
    </row>
    <row r="220" spans="1:117" ht="14.1" customHeight="1" x14ac:dyDescent="0.25">
      <c r="A220" s="7320">
        <v>29101654</v>
      </c>
      <c r="B220" s="5252" t="s">
        <v>2852</v>
      </c>
      <c r="C220" s="5025" t="s">
        <v>5369</v>
      </c>
      <c r="CH220" s="4978"/>
      <c r="CI220" s="4978"/>
      <c r="CJ220" s="4978"/>
      <c r="CK220" s="4978"/>
      <c r="CL220" s="4978"/>
      <c r="CM220" s="4978"/>
      <c r="CN220" s="4978"/>
      <c r="CO220" s="4978"/>
      <c r="CP220" s="4978"/>
      <c r="CQ220" s="4978"/>
      <c r="CR220" s="4978"/>
      <c r="CS220" s="4978"/>
      <c r="CT220" s="4978"/>
      <c r="CU220" s="4978"/>
      <c r="CV220" s="4264"/>
      <c r="CW220" s="4264"/>
      <c r="CX220" s="4264"/>
      <c r="CY220" s="4264"/>
      <c r="CZ220" s="4264"/>
      <c r="DA220" s="4264"/>
    </row>
    <row r="221" spans="1:117" ht="26.25" customHeight="1" x14ac:dyDescent="0.25">
      <c r="B221" s="4469" t="s">
        <v>630</v>
      </c>
      <c r="CH221" s="4978"/>
      <c r="CI221" s="4978"/>
      <c r="CJ221" s="4978"/>
      <c r="CK221" s="4978"/>
      <c r="CL221" s="4978"/>
      <c r="CM221" s="4978"/>
      <c r="CN221" s="4978"/>
      <c r="CO221" s="4978"/>
      <c r="CP221" s="4978"/>
      <c r="CQ221" s="4978"/>
      <c r="CR221" s="4978"/>
      <c r="CS221" s="4978"/>
      <c r="CT221" s="4978"/>
      <c r="CU221" s="4978"/>
      <c r="CV221" s="4264"/>
      <c r="CW221" s="4264"/>
      <c r="CX221" s="4264"/>
      <c r="CY221" s="4264"/>
      <c r="CZ221" s="4264"/>
      <c r="DA221" s="4264"/>
    </row>
    <row r="222" spans="1:117" ht="24" customHeight="1" x14ac:dyDescent="0.25">
      <c r="B222" s="5253" t="s">
        <v>47</v>
      </c>
      <c r="C222" s="5211" t="s">
        <v>24</v>
      </c>
      <c r="CH222" s="4978"/>
      <c r="CI222" s="4978"/>
      <c r="CJ222" s="4978"/>
      <c r="CK222" s="4978"/>
      <c r="CL222" s="4978"/>
      <c r="CM222" s="4978"/>
      <c r="CN222" s="4978"/>
      <c r="CO222" s="4978"/>
      <c r="CP222" s="4978"/>
      <c r="CQ222" s="4978"/>
      <c r="CR222" s="4978"/>
      <c r="CS222" s="4978"/>
      <c r="CT222" s="4978"/>
      <c r="CU222" s="4978"/>
      <c r="CV222" s="4264"/>
      <c r="CW222" s="4264"/>
      <c r="CX222" s="4264"/>
      <c r="CY222" s="4264"/>
      <c r="CZ222" s="4264"/>
      <c r="DA222" s="4264"/>
    </row>
    <row r="223" spans="1:117" ht="14.1" customHeight="1" x14ac:dyDescent="0.25">
      <c r="A223" s="7520">
        <v>28021390</v>
      </c>
      <c r="B223" s="4432" t="s">
        <v>304</v>
      </c>
      <c r="C223" s="4942" t="s">
        <v>5369</v>
      </c>
      <c r="CH223" s="4978"/>
      <c r="CI223" s="4978"/>
      <c r="CJ223" s="4978"/>
      <c r="CK223" s="4978"/>
      <c r="CL223" s="4978"/>
      <c r="CM223" s="4978"/>
      <c r="CN223" s="4978"/>
      <c r="CO223" s="4978"/>
      <c r="CP223" s="4978"/>
      <c r="CQ223" s="4978"/>
      <c r="CR223" s="4978"/>
      <c r="CS223" s="4978"/>
      <c r="CT223" s="4978"/>
      <c r="CU223" s="4978"/>
      <c r="CV223" s="4264"/>
      <c r="CW223" s="4264"/>
      <c r="CX223" s="4264"/>
      <c r="CY223" s="4264"/>
      <c r="CZ223" s="4264"/>
      <c r="DA223" s="4264"/>
    </row>
    <row r="224" spans="1:117" ht="14.1" customHeight="1" x14ac:dyDescent="0.25">
      <c r="A224" s="7320">
        <v>29101655</v>
      </c>
      <c r="B224" s="4432" t="s">
        <v>2834</v>
      </c>
      <c r="C224" s="4942" t="s">
        <v>5369</v>
      </c>
      <c r="CH224" s="4978"/>
      <c r="CI224" s="4978"/>
      <c r="CJ224" s="4978"/>
      <c r="CK224" s="4978"/>
      <c r="CL224" s="4978"/>
      <c r="CM224" s="4978"/>
      <c r="CN224" s="4978"/>
      <c r="CO224" s="4978"/>
      <c r="CP224" s="4978"/>
      <c r="CQ224" s="4978"/>
      <c r="CR224" s="4978"/>
      <c r="CS224" s="4978"/>
      <c r="CT224" s="4978"/>
      <c r="CU224" s="4978"/>
      <c r="CV224" s="4264"/>
      <c r="CW224" s="4264"/>
      <c r="CX224" s="4264"/>
      <c r="CY224" s="4264"/>
      <c r="CZ224" s="4264"/>
      <c r="DA224" s="4264"/>
    </row>
    <row r="225" spans="1:105" ht="14.1" customHeight="1" x14ac:dyDescent="0.25">
      <c r="A225" s="7520">
        <v>28021460</v>
      </c>
      <c r="B225" s="4432" t="s">
        <v>305</v>
      </c>
      <c r="C225" s="4942" t="s">
        <v>5369</v>
      </c>
      <c r="CH225" s="4978"/>
      <c r="CI225" s="4978"/>
      <c r="CJ225" s="4978"/>
      <c r="CK225" s="4978"/>
      <c r="CL225" s="4978"/>
      <c r="CM225" s="4978"/>
      <c r="CN225" s="4978"/>
      <c r="CO225" s="4978"/>
      <c r="CP225" s="4978"/>
      <c r="CQ225" s="4978"/>
      <c r="CR225" s="4978"/>
      <c r="CS225" s="4978"/>
      <c r="CT225" s="4978"/>
      <c r="CU225" s="4978"/>
      <c r="CV225" s="4264"/>
      <c r="CW225" s="4264"/>
      <c r="CX225" s="4264"/>
      <c r="CY225" s="4264"/>
      <c r="CZ225" s="4264"/>
      <c r="DA225" s="4264"/>
    </row>
    <row r="226" spans="1:105" ht="25.5" customHeight="1" x14ac:dyDescent="0.25">
      <c r="A226" s="7520">
        <v>28021550</v>
      </c>
      <c r="B226" s="5254" t="s">
        <v>2835</v>
      </c>
      <c r="C226" s="4942" t="s">
        <v>5369</v>
      </c>
      <c r="CH226" s="4978"/>
      <c r="CI226" s="4978"/>
      <c r="CJ226" s="4978"/>
      <c r="CK226" s="4978"/>
      <c r="CL226" s="4978"/>
      <c r="CM226" s="4978"/>
      <c r="CN226" s="4978"/>
      <c r="CO226" s="4978"/>
      <c r="CP226" s="4978"/>
      <c r="CQ226" s="4978"/>
      <c r="CR226" s="4978"/>
      <c r="CS226" s="4978"/>
      <c r="CT226" s="4978"/>
      <c r="CU226" s="4978"/>
      <c r="CV226" s="4264"/>
      <c r="CW226" s="4264"/>
      <c r="CX226" s="4264"/>
      <c r="CY226" s="4264"/>
      <c r="CZ226" s="4264"/>
      <c r="DA226" s="4264"/>
    </row>
    <row r="227" spans="1:105" ht="14.1" customHeight="1" x14ac:dyDescent="0.25">
      <c r="A227" s="7520">
        <v>28021570</v>
      </c>
      <c r="B227" s="4432" t="s">
        <v>324</v>
      </c>
      <c r="C227" s="4942" t="s">
        <v>5369</v>
      </c>
      <c r="CH227" s="4978"/>
      <c r="CI227" s="4978"/>
      <c r="CJ227" s="4978"/>
      <c r="CK227" s="4978"/>
      <c r="CL227" s="4978"/>
      <c r="CM227" s="4978"/>
      <c r="CN227" s="4978"/>
      <c r="CO227" s="4978"/>
      <c r="CP227" s="4978"/>
      <c r="CQ227" s="4978"/>
      <c r="CR227" s="4978"/>
      <c r="CS227" s="4978"/>
      <c r="CT227" s="4978"/>
      <c r="CU227" s="4978"/>
      <c r="CV227" s="4264"/>
      <c r="CW227" s="4264"/>
      <c r="CX227" s="4264"/>
      <c r="CY227" s="4264"/>
      <c r="CZ227" s="4264"/>
      <c r="DA227" s="4264"/>
    </row>
    <row r="228" spans="1:105" ht="14.1" customHeight="1" x14ac:dyDescent="0.25">
      <c r="A228" s="7520">
        <v>28021590</v>
      </c>
      <c r="B228" s="4432" t="s">
        <v>308</v>
      </c>
      <c r="C228" s="4942" t="s">
        <v>5369</v>
      </c>
      <c r="BZ228" s="4264"/>
      <c r="CA228" s="4264"/>
      <c r="CH228" s="4978"/>
      <c r="CI228" s="4978"/>
      <c r="CJ228" s="4978"/>
      <c r="CK228" s="4978"/>
      <c r="CL228" s="4978"/>
      <c r="CM228" s="4978"/>
      <c r="CN228" s="4978"/>
      <c r="CO228" s="4978"/>
      <c r="CP228" s="4978"/>
      <c r="CQ228" s="4978"/>
      <c r="CR228" s="4978"/>
      <c r="CS228" s="4978"/>
      <c r="CT228" s="4978"/>
      <c r="CU228" s="4978"/>
      <c r="CV228" s="4264"/>
      <c r="CW228" s="4264"/>
      <c r="CX228" s="4264"/>
      <c r="CY228" s="4264"/>
      <c r="CZ228" s="4264"/>
      <c r="DA228" s="4264"/>
    </row>
    <row r="229" spans="1:105" ht="14.1" customHeight="1" x14ac:dyDescent="0.25">
      <c r="A229" s="7520">
        <v>28021600</v>
      </c>
      <c r="B229" s="4432" t="s">
        <v>325</v>
      </c>
      <c r="C229" s="4942" t="s">
        <v>5369</v>
      </c>
      <c r="BZ229" s="4264"/>
      <c r="CA229" s="4264"/>
      <c r="CH229" s="4978"/>
      <c r="CI229" s="4978"/>
      <c r="CJ229" s="4978"/>
      <c r="CK229" s="4978"/>
      <c r="CL229" s="4978"/>
      <c r="CM229" s="4978"/>
      <c r="CN229" s="4978"/>
      <c r="CO229" s="4978"/>
      <c r="CP229" s="4978"/>
      <c r="CQ229" s="4978"/>
      <c r="CR229" s="4978"/>
      <c r="CS229" s="4978"/>
      <c r="CT229" s="4978"/>
      <c r="CU229" s="4978"/>
      <c r="CV229" s="4264"/>
      <c r="CW229" s="4264"/>
      <c r="CX229" s="4264"/>
      <c r="CY229" s="4264"/>
      <c r="CZ229" s="4264"/>
      <c r="DA229" s="4264"/>
    </row>
    <row r="230" spans="1:105" ht="14.1" customHeight="1" x14ac:dyDescent="0.25">
      <c r="A230" s="7520">
        <v>28021400</v>
      </c>
      <c r="B230" s="4432" t="s">
        <v>322</v>
      </c>
      <c r="C230" s="4942" t="s">
        <v>5369</v>
      </c>
      <c r="BZ230" s="4264"/>
      <c r="CA230" s="4264"/>
      <c r="CH230" s="4978"/>
      <c r="CI230" s="4978"/>
      <c r="CJ230" s="4978"/>
      <c r="CK230" s="4978"/>
      <c r="CL230" s="4978"/>
      <c r="CM230" s="4978"/>
      <c r="CN230" s="4978"/>
      <c r="CO230" s="4978"/>
      <c r="CP230" s="4978"/>
      <c r="CQ230" s="4978"/>
      <c r="CR230" s="4978"/>
      <c r="CS230" s="4978"/>
      <c r="CT230" s="4978"/>
      <c r="CU230" s="4978"/>
      <c r="CV230" s="4264"/>
      <c r="CW230" s="4264"/>
      <c r="CX230" s="4264"/>
      <c r="CY230" s="4264"/>
      <c r="CZ230" s="4264"/>
      <c r="DA230" s="4264"/>
    </row>
    <row r="231" spans="1:105" ht="14.1" customHeight="1" x14ac:dyDescent="0.25">
      <c r="A231" s="7320">
        <v>29101656</v>
      </c>
      <c r="B231" s="4432" t="s">
        <v>2837</v>
      </c>
      <c r="C231" s="4942" t="s">
        <v>5369</v>
      </c>
      <c r="BZ231" s="4264"/>
      <c r="CA231" s="4264"/>
      <c r="CH231" s="4978"/>
      <c r="CI231" s="4978"/>
      <c r="CJ231" s="4978"/>
      <c r="CK231" s="4978"/>
      <c r="CL231" s="4978"/>
      <c r="CM231" s="4978"/>
      <c r="CN231" s="4978"/>
      <c r="CO231" s="4978"/>
      <c r="CP231" s="4978"/>
      <c r="CQ231" s="4978"/>
      <c r="CR231" s="4978"/>
      <c r="CS231" s="4978"/>
      <c r="CT231" s="4978"/>
      <c r="CU231" s="4978"/>
      <c r="CV231" s="4264"/>
      <c r="CW231" s="4264"/>
      <c r="CX231" s="4264"/>
      <c r="CY231" s="4264"/>
      <c r="CZ231" s="4264"/>
      <c r="DA231" s="4264"/>
    </row>
    <row r="232" spans="1:105" ht="14.1" customHeight="1" x14ac:dyDescent="0.25">
      <c r="A232" s="7520">
        <v>28022520</v>
      </c>
      <c r="B232" s="4432" t="s">
        <v>307</v>
      </c>
      <c r="C232" s="4942" t="s">
        <v>5369</v>
      </c>
      <c r="BZ232" s="4264"/>
      <c r="CA232" s="4264"/>
      <c r="CH232" s="4978"/>
      <c r="CI232" s="4978"/>
      <c r="CJ232" s="4978"/>
      <c r="CK232" s="4978"/>
      <c r="CL232" s="4978"/>
      <c r="CM232" s="4978"/>
      <c r="CN232" s="4978"/>
      <c r="CO232" s="4978"/>
      <c r="CP232" s="4978"/>
      <c r="CQ232" s="4978"/>
      <c r="CR232" s="4978"/>
      <c r="CS232" s="4978"/>
      <c r="CT232" s="4978"/>
      <c r="CU232" s="4978"/>
      <c r="CV232" s="4264"/>
      <c r="CW232" s="4264"/>
      <c r="CX232" s="4264"/>
      <c r="CY232" s="4264"/>
      <c r="CZ232" s="4264"/>
      <c r="DA232" s="4264"/>
    </row>
    <row r="233" spans="1:105" ht="14.1" customHeight="1" x14ac:dyDescent="0.25">
      <c r="A233" s="7520">
        <v>28021540</v>
      </c>
      <c r="B233" s="4432" t="s">
        <v>306</v>
      </c>
      <c r="C233" s="4942" t="s">
        <v>5369</v>
      </c>
      <c r="BZ233" s="4264"/>
      <c r="CA233" s="4264"/>
      <c r="CH233" s="4978"/>
      <c r="CI233" s="4978"/>
      <c r="CJ233" s="4978"/>
      <c r="CK233" s="4978"/>
      <c r="CL233" s="4978"/>
      <c r="CM233" s="4978"/>
      <c r="CN233" s="4978"/>
      <c r="CO233" s="4978"/>
      <c r="CP233" s="4978"/>
      <c r="CQ233" s="4978"/>
      <c r="CR233" s="4978"/>
      <c r="CS233" s="4978"/>
      <c r="CT233" s="4978"/>
      <c r="CU233" s="4978"/>
      <c r="CV233" s="4264"/>
      <c r="CW233" s="4264"/>
      <c r="CX233" s="4264"/>
      <c r="CY233" s="4264"/>
      <c r="CZ233" s="4264"/>
      <c r="DA233" s="4264"/>
    </row>
    <row r="234" spans="1:105" ht="14.1" customHeight="1" x14ac:dyDescent="0.25">
      <c r="A234" s="7320">
        <v>29101657</v>
      </c>
      <c r="B234" s="4432" t="s">
        <v>2836</v>
      </c>
      <c r="C234" s="4942" t="s">
        <v>5369</v>
      </c>
      <c r="BZ234" s="4264"/>
      <c r="CA234" s="4264"/>
      <c r="CH234" s="4978"/>
      <c r="CI234" s="4978"/>
      <c r="CJ234" s="4978"/>
      <c r="CK234" s="4978"/>
      <c r="CL234" s="4978"/>
      <c r="CM234" s="4978"/>
      <c r="CN234" s="4978"/>
      <c r="CO234" s="4978"/>
      <c r="CP234" s="4978"/>
      <c r="CQ234" s="4978"/>
      <c r="CR234" s="4978"/>
      <c r="CS234" s="4978"/>
      <c r="CT234" s="4978"/>
      <c r="CU234" s="4978"/>
      <c r="CV234" s="4264"/>
      <c r="CW234" s="4264"/>
      <c r="CX234" s="4264"/>
      <c r="CY234" s="4264"/>
      <c r="CZ234" s="4264"/>
      <c r="DA234" s="4264"/>
    </row>
    <row r="235" spans="1:105" ht="14.1" customHeight="1" x14ac:dyDescent="0.25">
      <c r="A235" s="7320">
        <v>29101658</v>
      </c>
      <c r="B235" s="4432" t="s">
        <v>2853</v>
      </c>
      <c r="C235" s="4942" t="s">
        <v>5369</v>
      </c>
      <c r="BZ235" s="4264"/>
      <c r="CA235" s="4264"/>
      <c r="CH235" s="4978"/>
      <c r="CI235" s="4978"/>
      <c r="CJ235" s="4978"/>
      <c r="CK235" s="4978"/>
      <c r="CL235" s="4978"/>
      <c r="CM235" s="4978"/>
      <c r="CN235" s="4978"/>
      <c r="CO235" s="4978"/>
      <c r="CP235" s="4978"/>
      <c r="CQ235" s="4978"/>
      <c r="CR235" s="4978"/>
      <c r="CS235" s="4978"/>
      <c r="CT235" s="4978"/>
      <c r="CU235" s="4978"/>
      <c r="CV235" s="4264"/>
      <c r="CW235" s="4264"/>
      <c r="CX235" s="4264"/>
      <c r="CY235" s="4264"/>
      <c r="CZ235" s="4264"/>
      <c r="DA235" s="4264"/>
    </row>
    <row r="236" spans="1:105" ht="14.1" customHeight="1" x14ac:dyDescent="0.25">
      <c r="A236" s="7320">
        <v>29101659</v>
      </c>
      <c r="B236" s="4432" t="s">
        <v>1116</v>
      </c>
      <c r="C236" s="4942" t="s">
        <v>5369</v>
      </c>
      <c r="BZ236" s="4264"/>
      <c r="CA236" s="4264"/>
      <c r="CH236" s="4978"/>
      <c r="CI236" s="4978"/>
      <c r="CJ236" s="4978"/>
      <c r="CK236" s="4978"/>
      <c r="CL236" s="4978"/>
      <c r="CM236" s="4978"/>
      <c r="CN236" s="4978"/>
      <c r="CO236" s="4978"/>
      <c r="CP236" s="4978"/>
      <c r="CQ236" s="4978"/>
      <c r="CR236" s="4978"/>
      <c r="CS236" s="4978"/>
      <c r="CT236" s="4978"/>
      <c r="CU236" s="4978"/>
      <c r="CV236" s="4264"/>
      <c r="CW236" s="4264"/>
      <c r="CX236" s="4264"/>
      <c r="CY236" s="4264"/>
      <c r="CZ236" s="4264"/>
      <c r="DA236" s="4264"/>
    </row>
    <row r="237" spans="1:105" ht="14.1" customHeight="1" x14ac:dyDescent="0.25">
      <c r="A237" s="7520">
        <v>28021500</v>
      </c>
      <c r="B237" s="4432" t="s">
        <v>323</v>
      </c>
      <c r="C237" s="4942" t="s">
        <v>5369</v>
      </c>
      <c r="BZ237" s="4264"/>
      <c r="CA237" s="4264"/>
      <c r="CH237" s="4978"/>
      <c r="CI237" s="4978"/>
      <c r="CJ237" s="4978"/>
      <c r="CK237" s="4978"/>
      <c r="CL237" s="4978"/>
      <c r="CM237" s="4978"/>
      <c r="CN237" s="4978"/>
      <c r="CO237" s="4978"/>
      <c r="CP237" s="4978"/>
      <c r="CQ237" s="4978"/>
      <c r="CR237" s="4978"/>
      <c r="CS237" s="4978"/>
      <c r="CT237" s="4978"/>
      <c r="CU237" s="4978"/>
      <c r="CV237" s="4264"/>
      <c r="CW237" s="4264"/>
      <c r="CX237" s="4264"/>
      <c r="CY237" s="4264"/>
      <c r="CZ237" s="4264"/>
      <c r="DA237" s="4264"/>
    </row>
    <row r="238" spans="1:105" ht="14.1" customHeight="1" x14ac:dyDescent="0.25">
      <c r="A238" s="7520">
        <v>28021480</v>
      </c>
      <c r="B238" s="4432" t="s">
        <v>2838</v>
      </c>
      <c r="C238" s="4942" t="s">
        <v>5369</v>
      </c>
      <c r="BZ238" s="4264"/>
      <c r="CA238" s="4264"/>
      <c r="CV238" s="4264"/>
      <c r="CW238" s="4264"/>
      <c r="CX238" s="4264"/>
      <c r="CY238" s="4264"/>
      <c r="CZ238" s="4264"/>
      <c r="DA238" s="4264"/>
    </row>
    <row r="239" spans="1:105" ht="14.1" customHeight="1" x14ac:dyDescent="0.25">
      <c r="A239" s="7520">
        <v>28101080</v>
      </c>
      <c r="B239" s="4432" t="s">
        <v>2839</v>
      </c>
      <c r="C239" s="4942" t="s">
        <v>5369</v>
      </c>
      <c r="BZ239" s="4264"/>
      <c r="CA239" s="4264"/>
      <c r="CB239" s="4258"/>
      <c r="CC239" s="4258"/>
      <c r="CD239" s="4258"/>
      <c r="CE239" s="4258"/>
      <c r="CF239" s="4258"/>
      <c r="CG239" s="4258"/>
      <c r="CH239" s="4258"/>
      <c r="CI239" s="4258"/>
      <c r="CJ239" s="4258"/>
      <c r="CK239" s="4258"/>
      <c r="CL239" s="4258"/>
      <c r="CM239" s="4258"/>
      <c r="CN239" s="4258"/>
      <c r="CO239" s="4258"/>
      <c r="CP239" s="4258"/>
      <c r="CQ239" s="4258"/>
      <c r="CR239" s="4258"/>
      <c r="CS239" s="4258"/>
      <c r="CT239" s="4258"/>
      <c r="CU239" s="4258"/>
      <c r="CV239" s="4264"/>
      <c r="CW239" s="4264"/>
      <c r="CX239" s="4264"/>
      <c r="CY239" s="4264"/>
      <c r="CZ239" s="4264"/>
      <c r="DA239" s="4264"/>
    </row>
    <row r="240" spans="1:105" ht="14.1" customHeight="1" x14ac:dyDescent="0.25">
      <c r="A240" s="7320">
        <v>29101660</v>
      </c>
      <c r="B240" s="4432" t="s">
        <v>2840</v>
      </c>
      <c r="C240" s="4942" t="s">
        <v>5369</v>
      </c>
      <c r="BZ240" s="4264"/>
      <c r="CA240" s="4264"/>
      <c r="CB240" s="4258"/>
      <c r="CC240" s="4258"/>
      <c r="CD240" s="4258"/>
      <c r="CE240" s="4258"/>
      <c r="CF240" s="4258"/>
      <c r="CG240" s="4258"/>
      <c r="CH240" s="4258"/>
      <c r="CI240" s="4258"/>
      <c r="CJ240" s="4258"/>
      <c r="CK240" s="4258"/>
      <c r="CL240" s="4258"/>
      <c r="CM240" s="4258"/>
      <c r="CN240" s="4258"/>
      <c r="CO240" s="4258"/>
      <c r="CP240" s="4258"/>
      <c r="CQ240" s="4258"/>
      <c r="CR240" s="4258"/>
      <c r="CS240" s="4258"/>
      <c r="CT240" s="4258"/>
      <c r="CU240" s="4258"/>
      <c r="CV240" s="4264"/>
      <c r="CW240" s="4264"/>
      <c r="CX240" s="4264"/>
      <c r="CY240" s="4264"/>
      <c r="CZ240" s="4264"/>
      <c r="DA240" s="4264"/>
    </row>
    <row r="241" spans="1:105" ht="14.1" customHeight="1" x14ac:dyDescent="0.25">
      <c r="A241" s="7320">
        <v>29101661</v>
      </c>
      <c r="B241" s="4432" t="s">
        <v>2841</v>
      </c>
      <c r="C241" s="4942" t="s">
        <v>5369</v>
      </c>
      <c r="CB241" s="4258"/>
      <c r="CC241" s="4258"/>
      <c r="CD241" s="4258"/>
      <c r="CE241" s="4258"/>
      <c r="CF241" s="4258"/>
      <c r="CG241" s="4258"/>
      <c r="CH241" s="4258"/>
      <c r="CI241" s="4258"/>
      <c r="CJ241" s="4258"/>
      <c r="CK241" s="4258"/>
      <c r="CL241" s="4258"/>
      <c r="CM241" s="4258"/>
      <c r="CN241" s="4258"/>
      <c r="CO241" s="4258"/>
      <c r="CP241" s="4258"/>
      <c r="CQ241" s="4258"/>
      <c r="CR241" s="4258"/>
      <c r="CS241" s="4258"/>
      <c r="CT241" s="4258"/>
      <c r="CU241" s="4258"/>
      <c r="CV241" s="4264"/>
      <c r="CW241" s="4264"/>
      <c r="CX241" s="4264"/>
      <c r="CY241" s="4264"/>
      <c r="CZ241" s="4264"/>
      <c r="DA241" s="4264"/>
    </row>
    <row r="242" spans="1:105" ht="14.1" customHeight="1" x14ac:dyDescent="0.25">
      <c r="A242" s="7520">
        <v>28022500</v>
      </c>
      <c r="B242" s="4432" t="s">
        <v>2842</v>
      </c>
      <c r="C242" s="4942" t="s">
        <v>5369</v>
      </c>
      <c r="CB242" s="4258"/>
      <c r="CC242" s="4258"/>
      <c r="CD242" s="4258"/>
      <c r="CE242" s="4258"/>
      <c r="CF242" s="4258"/>
      <c r="CG242" s="4258"/>
      <c r="CH242" s="4258"/>
      <c r="CI242" s="4258"/>
      <c r="CJ242" s="4258"/>
      <c r="CK242" s="4258"/>
      <c r="CL242" s="4258"/>
      <c r="CM242" s="4258"/>
      <c r="CN242" s="4258"/>
      <c r="CO242" s="4258"/>
      <c r="CP242" s="4258"/>
      <c r="CQ242" s="4258"/>
      <c r="CR242" s="4258"/>
      <c r="CS242" s="4258"/>
      <c r="CT242" s="4258"/>
      <c r="CU242" s="4258"/>
      <c r="CV242" s="4264"/>
      <c r="CW242" s="4264"/>
      <c r="CX242" s="4264"/>
      <c r="CY242" s="4264"/>
      <c r="CZ242" s="4264"/>
      <c r="DA242" s="4264"/>
    </row>
    <row r="243" spans="1:105" ht="14.1" customHeight="1" x14ac:dyDescent="0.25">
      <c r="A243" s="7520">
        <v>28022530</v>
      </c>
      <c r="B243" s="4432" t="s">
        <v>309</v>
      </c>
      <c r="C243" s="4942" t="s">
        <v>5369</v>
      </c>
      <c r="CB243" s="4258"/>
      <c r="CC243" s="4258"/>
      <c r="CD243" s="4258"/>
      <c r="CE243" s="4258"/>
      <c r="CF243" s="4258"/>
      <c r="CG243" s="4258"/>
      <c r="CH243" s="4258"/>
      <c r="CI243" s="4258"/>
      <c r="CJ243" s="4258"/>
      <c r="CK243" s="4258"/>
      <c r="CL243" s="4258"/>
      <c r="CM243" s="4258"/>
      <c r="CN243" s="4258"/>
      <c r="CO243" s="4258"/>
      <c r="CP243" s="4258"/>
      <c r="CQ243" s="4258"/>
      <c r="CR243" s="4258"/>
      <c r="CS243" s="4258"/>
      <c r="CT243" s="4258"/>
      <c r="CU243" s="4258"/>
      <c r="CV243" s="4264"/>
      <c r="CW243" s="4264"/>
      <c r="CX243" s="4264"/>
      <c r="CY243" s="4264"/>
      <c r="CZ243" s="4264"/>
      <c r="DA243" s="4264"/>
    </row>
    <row r="244" spans="1:105" ht="14.1" customHeight="1" x14ac:dyDescent="0.25">
      <c r="A244" s="7320">
        <v>29101662</v>
      </c>
      <c r="B244" s="4432" t="s">
        <v>2854</v>
      </c>
      <c r="C244" s="4942" t="s">
        <v>5369</v>
      </c>
      <c r="CB244" s="4258"/>
      <c r="CC244" s="4258"/>
      <c r="CD244" s="4258"/>
      <c r="CE244" s="4258"/>
      <c r="CF244" s="4258"/>
      <c r="CG244" s="4258"/>
      <c r="CH244" s="4258"/>
      <c r="CI244" s="4258"/>
      <c r="CJ244" s="4258"/>
      <c r="CK244" s="4258"/>
      <c r="CL244" s="4258"/>
      <c r="CM244" s="4258"/>
      <c r="CN244" s="4258"/>
      <c r="CO244" s="4258"/>
      <c r="CP244" s="4258"/>
      <c r="CQ244" s="4258"/>
      <c r="CR244" s="4258"/>
      <c r="CS244" s="4258"/>
      <c r="CT244" s="4258"/>
      <c r="CU244" s="4258"/>
      <c r="CV244" s="4264"/>
      <c r="CW244" s="4264"/>
      <c r="CX244" s="4264"/>
      <c r="CY244" s="4264"/>
      <c r="CZ244" s="4264"/>
      <c r="DA244" s="4264"/>
    </row>
    <row r="245" spans="1:105" ht="14.1" customHeight="1" x14ac:dyDescent="0.25">
      <c r="A245" s="7520">
        <v>28101090</v>
      </c>
      <c r="B245" s="4432" t="s">
        <v>472</v>
      </c>
      <c r="C245" s="4942" t="s">
        <v>5369</v>
      </c>
      <c r="CB245" s="4258"/>
      <c r="CC245" s="4258"/>
      <c r="CD245" s="4258"/>
      <c r="CE245" s="4258"/>
      <c r="CF245" s="4258"/>
      <c r="CG245" s="4258"/>
      <c r="CH245" s="4258"/>
      <c r="CI245" s="4258"/>
      <c r="CJ245" s="4258"/>
      <c r="CK245" s="4258"/>
      <c r="CL245" s="4258"/>
      <c r="CM245" s="4258"/>
      <c r="CN245" s="4258"/>
      <c r="CO245" s="4258"/>
      <c r="CP245" s="4258"/>
      <c r="CQ245" s="4258"/>
      <c r="CR245" s="4258"/>
      <c r="CS245" s="4258"/>
      <c r="CT245" s="4258"/>
      <c r="CU245" s="4258"/>
      <c r="CV245" s="4264"/>
      <c r="CW245" s="4264"/>
      <c r="CX245" s="4264"/>
      <c r="CY245" s="4264"/>
      <c r="CZ245" s="4264"/>
      <c r="DA245" s="4264"/>
    </row>
    <row r="246" spans="1:105" ht="14.1" customHeight="1" x14ac:dyDescent="0.25">
      <c r="A246" s="7520">
        <v>28022610</v>
      </c>
      <c r="B246" s="4432" t="s">
        <v>420</v>
      </c>
      <c r="C246" s="4942" t="s">
        <v>5369</v>
      </c>
      <c r="CB246" s="4258"/>
      <c r="CC246" s="4258"/>
      <c r="CD246" s="4258"/>
      <c r="CE246" s="4258"/>
      <c r="CF246" s="4258"/>
      <c r="CG246" s="4258"/>
      <c r="CH246" s="4258"/>
      <c r="CI246" s="4258"/>
      <c r="CJ246" s="4258"/>
      <c r="CK246" s="4258"/>
      <c r="CL246" s="4258"/>
      <c r="CM246" s="4258"/>
      <c r="CN246" s="4258"/>
      <c r="CO246" s="4258"/>
      <c r="CP246" s="4258"/>
      <c r="CQ246" s="4258"/>
      <c r="CR246" s="4258"/>
      <c r="CS246" s="4258"/>
      <c r="CT246" s="4258"/>
      <c r="CU246" s="4258"/>
      <c r="CV246" s="4264"/>
      <c r="CW246" s="4264"/>
      <c r="CX246" s="4264"/>
      <c r="CY246" s="4264"/>
      <c r="CZ246" s="4264"/>
      <c r="DA246" s="4264"/>
    </row>
    <row r="247" spans="1:105" ht="14.1" customHeight="1" x14ac:dyDescent="0.25">
      <c r="A247" s="7520">
        <v>28022620</v>
      </c>
      <c r="B247" s="5252" t="s">
        <v>421</v>
      </c>
      <c r="C247" s="5025" t="s">
        <v>5369</v>
      </c>
      <c r="CB247" s="4258"/>
      <c r="CC247" s="4258"/>
      <c r="CD247" s="4258"/>
      <c r="CE247" s="4258"/>
      <c r="CF247" s="4258"/>
      <c r="CG247" s="4258"/>
      <c r="CH247" s="4258"/>
      <c r="CI247" s="4258"/>
      <c r="CJ247" s="4258"/>
      <c r="CK247" s="4258"/>
      <c r="CL247" s="4258"/>
      <c r="CM247" s="4258"/>
      <c r="CN247" s="4258"/>
      <c r="CO247" s="4258"/>
      <c r="CP247" s="4258"/>
      <c r="CQ247" s="4258"/>
      <c r="CR247" s="4258"/>
      <c r="CS247" s="4258"/>
      <c r="CT247" s="4258"/>
      <c r="CU247" s="4258"/>
      <c r="CV247" s="4264"/>
      <c r="CW247" s="4264"/>
      <c r="CX247" s="4264"/>
      <c r="CY247" s="4264"/>
      <c r="CZ247" s="4264"/>
      <c r="DA247" s="4264"/>
    </row>
    <row r="248" spans="1:105" ht="14.1" customHeight="1" x14ac:dyDescent="0.25">
      <c r="A248" s="7520"/>
      <c r="B248" s="5255" t="s">
        <v>24</v>
      </c>
      <c r="C248" s="5256">
        <f>SUM(C223:C247)</f>
        <v>0</v>
      </c>
      <c r="CB248" s="4258"/>
      <c r="CC248" s="4258"/>
      <c r="CD248" s="4258"/>
      <c r="CE248" s="4258"/>
      <c r="CF248" s="4258"/>
      <c r="CG248" s="4258"/>
      <c r="CH248" s="4258"/>
      <c r="CI248" s="4258"/>
      <c r="CJ248" s="4258"/>
      <c r="CK248" s="4258"/>
      <c r="CL248" s="4258"/>
      <c r="CM248" s="4258"/>
      <c r="CN248" s="4258"/>
      <c r="CO248" s="4258"/>
      <c r="CP248" s="4258"/>
      <c r="CQ248" s="4258"/>
      <c r="CR248" s="4258"/>
      <c r="CS248" s="4258"/>
      <c r="CT248" s="4258"/>
      <c r="CU248" s="4258"/>
      <c r="CV248" s="4264"/>
      <c r="CW248" s="4264"/>
      <c r="CX248" s="4264"/>
      <c r="CY248" s="4264"/>
      <c r="CZ248" s="4264"/>
      <c r="DA248" s="4264"/>
    </row>
    <row r="249" spans="1:105" ht="15" customHeight="1" x14ac:dyDescent="0.25">
      <c r="B249" s="4268" t="s">
        <v>631</v>
      </c>
      <c r="C249" s="4268"/>
      <c r="CB249" s="4258"/>
      <c r="CC249" s="4258"/>
      <c r="CD249" s="4258"/>
      <c r="CE249" s="4258"/>
      <c r="CF249" s="4258"/>
      <c r="CG249" s="4258"/>
      <c r="CH249" s="4258"/>
      <c r="CI249" s="4258"/>
      <c r="CJ249" s="4258"/>
      <c r="CK249" s="4258"/>
      <c r="CL249" s="4258"/>
      <c r="CM249" s="4258"/>
      <c r="CN249" s="4258"/>
      <c r="CO249" s="4258"/>
      <c r="CP249" s="4258"/>
      <c r="CQ249" s="4258"/>
      <c r="CR249" s="4258"/>
      <c r="CS249" s="4258"/>
      <c r="CT249" s="4258"/>
      <c r="CU249" s="4258"/>
      <c r="CV249" s="4264"/>
      <c r="CW249" s="4264"/>
      <c r="CX249" s="4264"/>
      <c r="CY249" s="4264"/>
      <c r="CZ249" s="4264"/>
      <c r="DA249" s="4264"/>
    </row>
    <row r="250" spans="1:105" ht="26.25" customHeight="1" x14ac:dyDescent="0.25">
      <c r="B250" s="4268" t="s">
        <v>632</v>
      </c>
      <c r="C250" s="5138"/>
      <c r="BY250" s="4260"/>
      <c r="CA250" s="4264"/>
      <c r="CB250" s="4258"/>
      <c r="CC250" s="4258"/>
      <c r="CD250" s="4258"/>
      <c r="CE250" s="4258"/>
      <c r="CF250" s="4258"/>
      <c r="CG250" s="4258"/>
      <c r="CH250" s="4258"/>
      <c r="CI250" s="4258"/>
      <c r="CJ250" s="4258"/>
      <c r="CK250" s="4258"/>
      <c r="CL250" s="4258"/>
      <c r="CM250" s="4258"/>
      <c r="CN250" s="4258"/>
      <c r="CO250" s="4258"/>
      <c r="CP250" s="4258"/>
      <c r="CQ250" s="4258"/>
      <c r="CR250" s="4258"/>
      <c r="CS250" s="4258"/>
      <c r="CT250" s="4258"/>
      <c r="CU250" s="4258"/>
      <c r="CV250" s="4264"/>
      <c r="CW250" s="4264"/>
      <c r="CX250" s="4264"/>
      <c r="CY250" s="4264"/>
      <c r="CZ250" s="4264"/>
      <c r="DA250" s="4264"/>
    </row>
    <row r="251" spans="1:105" ht="15" customHeight="1" x14ac:dyDescent="0.25">
      <c r="B251" s="9249" t="s">
        <v>406</v>
      </c>
      <c r="C251" s="10931" t="s">
        <v>24</v>
      </c>
      <c r="D251" s="10933" t="s">
        <v>55</v>
      </c>
      <c r="E251" s="10934"/>
      <c r="F251" s="10934"/>
      <c r="G251" s="10934"/>
      <c r="H251" s="10934"/>
      <c r="I251" s="10934"/>
      <c r="J251" s="10934"/>
      <c r="K251" s="10934"/>
      <c r="L251" s="10934"/>
      <c r="M251" s="10934"/>
      <c r="N251" s="10934"/>
      <c r="O251" s="10934"/>
      <c r="P251" s="10934"/>
      <c r="Q251" s="10934"/>
      <c r="R251" s="10934"/>
      <c r="S251" s="10934"/>
      <c r="T251" s="10935"/>
      <c r="BZ251" s="4264"/>
      <c r="CA251" s="4264"/>
      <c r="CB251" s="4258"/>
      <c r="CC251" s="4258"/>
      <c r="CD251" s="4258"/>
      <c r="CE251" s="4258"/>
      <c r="CF251" s="4258"/>
      <c r="CG251" s="4258"/>
      <c r="CH251" s="4258"/>
      <c r="CI251" s="4258"/>
      <c r="CJ251" s="4258"/>
      <c r="CK251" s="4258"/>
      <c r="CL251" s="4258"/>
      <c r="CM251" s="4258"/>
      <c r="CN251" s="4258"/>
      <c r="CO251" s="4258"/>
      <c r="CP251" s="4258"/>
      <c r="CQ251" s="4258"/>
      <c r="CR251" s="4258"/>
      <c r="CS251" s="4258"/>
      <c r="CT251" s="4258"/>
      <c r="CU251" s="4258"/>
      <c r="CV251" s="4264"/>
      <c r="CW251" s="4264"/>
      <c r="CX251" s="4264"/>
      <c r="CY251" s="4264"/>
      <c r="CZ251" s="4264"/>
      <c r="DA251" s="4264"/>
    </row>
    <row r="252" spans="1:105" ht="15" customHeight="1" x14ac:dyDescent="0.25">
      <c r="B252" s="10955"/>
      <c r="C252" s="10932"/>
      <c r="D252" s="5257" t="s">
        <v>75</v>
      </c>
      <c r="E252" s="5257" t="s">
        <v>76</v>
      </c>
      <c r="F252" s="5257" t="s">
        <v>77</v>
      </c>
      <c r="G252" s="5258" t="s">
        <v>68</v>
      </c>
      <c r="H252" s="5258" t="s">
        <v>142</v>
      </c>
      <c r="I252" s="5258" t="s">
        <v>143</v>
      </c>
      <c r="J252" s="5258" t="s">
        <v>144</v>
      </c>
      <c r="K252" s="5258" t="s">
        <v>7</v>
      </c>
      <c r="L252" s="5258" t="s">
        <v>8</v>
      </c>
      <c r="M252" s="5258" t="s">
        <v>145</v>
      </c>
      <c r="N252" s="5258" t="s">
        <v>10</v>
      </c>
      <c r="O252" s="5258" t="s">
        <v>11</v>
      </c>
      <c r="P252" s="5258" t="s">
        <v>12</v>
      </c>
      <c r="Q252" s="5258" t="s">
        <v>13</v>
      </c>
      <c r="R252" s="5258" t="s">
        <v>14</v>
      </c>
      <c r="S252" s="5258" t="s">
        <v>15</v>
      </c>
      <c r="T252" s="5259" t="s">
        <v>16</v>
      </c>
      <c r="BZ252" s="4264"/>
      <c r="CA252" s="4264"/>
      <c r="CB252" s="4258"/>
      <c r="CC252" s="4258"/>
      <c r="CD252" s="4258"/>
      <c r="CE252" s="4258"/>
      <c r="CF252" s="4258"/>
      <c r="CG252" s="4258"/>
      <c r="CH252" s="4258"/>
      <c r="CI252" s="4258"/>
      <c r="CJ252" s="4258"/>
      <c r="CK252" s="4258"/>
      <c r="CL252" s="4258"/>
      <c r="CM252" s="4258"/>
      <c r="CN252" s="4258"/>
      <c r="CO252" s="4258"/>
      <c r="CP252" s="4258"/>
      <c r="CQ252" s="4258"/>
      <c r="CR252" s="4258"/>
      <c r="CS252" s="4258"/>
      <c r="CT252" s="4258"/>
      <c r="CU252" s="4258"/>
      <c r="CV252" s="4264"/>
      <c r="CW252" s="4264"/>
      <c r="CX252" s="4264"/>
      <c r="CY252" s="4264"/>
      <c r="CZ252" s="4264"/>
      <c r="DA252" s="4264"/>
    </row>
    <row r="253" spans="1:105" ht="15" customHeight="1" x14ac:dyDescent="0.25">
      <c r="A253" s="7320">
        <v>29101663</v>
      </c>
      <c r="B253" s="5260" t="s">
        <v>2886</v>
      </c>
      <c r="C253" s="5261" t="s">
        <v>5369</v>
      </c>
      <c r="D253" s="5262" t="s">
        <v>5370</v>
      </c>
      <c r="E253" s="3894" t="s">
        <v>5371</v>
      </c>
      <c r="F253" s="3894" t="s">
        <v>5372</v>
      </c>
      <c r="G253" s="3894" t="s">
        <v>5373</v>
      </c>
      <c r="H253" s="3894" t="s">
        <v>5374</v>
      </c>
      <c r="I253" s="3894" t="s">
        <v>5375</v>
      </c>
      <c r="J253" s="3894" t="s">
        <v>5376</v>
      </c>
      <c r="K253" s="3894" t="s">
        <v>5377</v>
      </c>
      <c r="L253" s="3894" t="s">
        <v>5378</v>
      </c>
      <c r="M253" s="3894" t="s">
        <v>5379</v>
      </c>
      <c r="N253" s="3894" t="s">
        <v>5380</v>
      </c>
      <c r="O253" s="3894" t="s">
        <v>5381</v>
      </c>
      <c r="P253" s="3894" t="s">
        <v>5382</v>
      </c>
      <c r="Q253" s="3894" t="s">
        <v>5383</v>
      </c>
      <c r="R253" s="3894" t="s">
        <v>5384</v>
      </c>
      <c r="S253" s="3894" t="s">
        <v>5385</v>
      </c>
      <c r="T253" s="5263" t="s">
        <v>5386</v>
      </c>
      <c r="AA253" s="4264"/>
      <c r="AB253" s="4264"/>
      <c r="AC253" s="4264"/>
      <c r="AD253" s="4264"/>
      <c r="AE253" s="4264"/>
      <c r="AF253" s="4264"/>
      <c r="AG253" s="4264"/>
      <c r="AH253" s="4264"/>
      <c r="AI253" s="4264"/>
      <c r="AJ253" s="4264"/>
      <c r="AK253" s="4264"/>
      <c r="AL253" s="4264"/>
      <c r="AM253" s="4264"/>
      <c r="AN253" s="4264"/>
      <c r="AO253" s="4264"/>
      <c r="AP253" s="4264"/>
      <c r="AQ253" s="4264"/>
      <c r="AR253" s="4264"/>
      <c r="AS253" s="4264"/>
      <c r="AT253" s="4264"/>
      <c r="AU253" s="4264"/>
      <c r="AV253" s="4264"/>
      <c r="AW253" s="4264"/>
      <c r="AX253" s="4264"/>
      <c r="AY253" s="4264"/>
      <c r="AZ253" s="4264"/>
      <c r="BA253" s="4264"/>
      <c r="BB253" s="4264"/>
      <c r="BC253" s="4264"/>
      <c r="BD253" s="4260"/>
      <c r="BE253" s="4260"/>
      <c r="BF253" s="4260"/>
      <c r="BG253" s="4260"/>
      <c r="BH253" s="4260"/>
      <c r="BI253" s="4260"/>
      <c r="BJ253" s="4260"/>
      <c r="BK253" s="4260"/>
      <c r="BL253" s="4260"/>
      <c r="BM253" s="4260"/>
      <c r="BN253" s="4260"/>
      <c r="BO253" s="4260"/>
      <c r="BP253" s="4260"/>
      <c r="BQ253" s="4260"/>
      <c r="BR253" s="4260"/>
      <c r="BS253" s="4260"/>
      <c r="BT253" s="4260"/>
      <c r="BU253" s="4260"/>
      <c r="BV253" s="4260"/>
      <c r="BW253" s="4260"/>
      <c r="BX253" s="4260"/>
      <c r="BY253" s="4260"/>
      <c r="CB253" s="4258"/>
      <c r="CC253" s="4258"/>
      <c r="CD253" s="4258"/>
      <c r="CE253" s="4258"/>
      <c r="CF253" s="4258"/>
      <c r="CG253" s="4258"/>
      <c r="CH253" s="4258"/>
      <c r="CI253" s="4258"/>
      <c r="CJ253" s="4258"/>
      <c r="CK253" s="4258"/>
      <c r="CL253" s="4258"/>
      <c r="CM253" s="4258"/>
      <c r="CN253" s="4258"/>
      <c r="CO253" s="4258"/>
      <c r="CP253" s="4258"/>
      <c r="CQ253" s="4258"/>
      <c r="CR253" s="4258"/>
      <c r="CS253" s="4258"/>
      <c r="CT253" s="4258"/>
      <c r="CU253" s="4258"/>
      <c r="CV253" s="4264"/>
      <c r="CW253" s="4264"/>
      <c r="CX253" s="4264"/>
      <c r="CY253" s="4264"/>
      <c r="CZ253" s="4264"/>
      <c r="DA253" s="4264"/>
    </row>
    <row r="254" spans="1:105" ht="15" customHeight="1" x14ac:dyDescent="0.25">
      <c r="A254" s="7520">
        <v>28022630</v>
      </c>
      <c r="B254" s="5264" t="s">
        <v>412</v>
      </c>
      <c r="C254" s="5265" t="s">
        <v>5369</v>
      </c>
      <c r="D254" s="4949" t="s">
        <v>5370</v>
      </c>
      <c r="E254" s="3831" t="s">
        <v>5371</v>
      </c>
      <c r="F254" s="3831" t="s">
        <v>5372</v>
      </c>
      <c r="G254" s="3831" t="s">
        <v>5373</v>
      </c>
      <c r="H254" s="3831" t="s">
        <v>5374</v>
      </c>
      <c r="I254" s="3831" t="s">
        <v>5375</v>
      </c>
      <c r="J254" s="3831" t="s">
        <v>5376</v>
      </c>
      <c r="K254" s="3831" t="s">
        <v>5377</v>
      </c>
      <c r="L254" s="3831" t="s">
        <v>5378</v>
      </c>
      <c r="M254" s="3831" t="s">
        <v>5379</v>
      </c>
      <c r="N254" s="3831" t="s">
        <v>5380</v>
      </c>
      <c r="O254" s="3831" t="s">
        <v>5381</v>
      </c>
      <c r="P254" s="3831" t="s">
        <v>5382</v>
      </c>
      <c r="Q254" s="3831" t="s">
        <v>5383</v>
      </c>
      <c r="R254" s="3831" t="s">
        <v>5384</v>
      </c>
      <c r="S254" s="3831" t="s">
        <v>5385</v>
      </c>
      <c r="T254" s="4951" t="s">
        <v>5386</v>
      </c>
      <c r="AA254" s="4259"/>
      <c r="AB254" s="4259"/>
      <c r="AC254" s="4259"/>
      <c r="AD254" s="4259"/>
      <c r="AE254" s="4259"/>
      <c r="AF254" s="4259"/>
      <c r="AG254" s="4259"/>
      <c r="AH254" s="4259"/>
      <c r="AI254" s="4259"/>
      <c r="AJ254" s="4259"/>
      <c r="AK254" s="4259"/>
      <c r="AL254" s="4259"/>
      <c r="AM254" s="4259"/>
      <c r="AN254" s="4259"/>
      <c r="AO254" s="4259"/>
      <c r="AP254" s="4259"/>
      <c r="AQ254" s="4259"/>
      <c r="AR254" s="4259"/>
      <c r="AS254" s="4259"/>
      <c r="AT254" s="4259"/>
      <c r="AU254" s="4259"/>
      <c r="AV254" s="4259"/>
      <c r="AW254" s="4259"/>
      <c r="AX254" s="4259"/>
      <c r="AY254" s="4259"/>
      <c r="AZ254" s="4259"/>
      <c r="BA254" s="4259"/>
      <c r="BB254" s="4259"/>
      <c r="BC254" s="4259"/>
      <c r="CB254" s="4258"/>
      <c r="CC254" s="4258"/>
      <c r="CD254" s="4258"/>
      <c r="CE254" s="4258"/>
      <c r="CF254" s="4258"/>
      <c r="CG254" s="4258"/>
      <c r="CH254" s="4258"/>
      <c r="CI254" s="4258"/>
      <c r="CJ254" s="4258"/>
      <c r="CK254" s="4258"/>
      <c r="CL254" s="4258"/>
      <c r="CM254" s="4258"/>
      <c r="CN254" s="4258"/>
      <c r="CO254" s="4258"/>
      <c r="CP254" s="4258"/>
      <c r="CQ254" s="4258"/>
      <c r="CR254" s="4258"/>
      <c r="CS254" s="4258"/>
      <c r="CT254" s="4258"/>
      <c r="CU254" s="4258"/>
      <c r="CV254" s="4264"/>
      <c r="CW254" s="4264"/>
      <c r="CX254" s="4264"/>
      <c r="CY254" s="4264"/>
      <c r="CZ254" s="4264"/>
      <c r="DA254" s="4264"/>
    </row>
    <row r="255" spans="1:105" ht="15" customHeight="1" x14ac:dyDescent="0.25">
      <c r="A255" s="7320">
        <v>29101664</v>
      </c>
      <c r="B255" s="5266" t="s">
        <v>2887</v>
      </c>
      <c r="C255" s="5267" t="s">
        <v>5369</v>
      </c>
      <c r="D255" s="5023" t="s">
        <v>5370</v>
      </c>
      <c r="E255" s="4441" t="s">
        <v>5371</v>
      </c>
      <c r="F255" s="4441" t="s">
        <v>5372</v>
      </c>
      <c r="G255" s="4441" t="s">
        <v>5373</v>
      </c>
      <c r="H255" s="4441" t="s">
        <v>5374</v>
      </c>
      <c r="I255" s="4441" t="s">
        <v>5375</v>
      </c>
      <c r="J255" s="4441" t="s">
        <v>5376</v>
      </c>
      <c r="K255" s="4441" t="s">
        <v>5377</v>
      </c>
      <c r="L255" s="4441" t="s">
        <v>5378</v>
      </c>
      <c r="M255" s="4441" t="s">
        <v>5379</v>
      </c>
      <c r="N255" s="4441" t="s">
        <v>5380</v>
      </c>
      <c r="O255" s="4441" t="s">
        <v>5381</v>
      </c>
      <c r="P255" s="4441" t="s">
        <v>5382</v>
      </c>
      <c r="Q255" s="4441" t="s">
        <v>5383</v>
      </c>
      <c r="R255" s="4441" t="s">
        <v>5384</v>
      </c>
      <c r="S255" s="4441" t="s">
        <v>5385</v>
      </c>
      <c r="T255" s="5052" t="s">
        <v>5386</v>
      </c>
      <c r="AA255" s="4259"/>
      <c r="AB255" s="4259"/>
      <c r="AC255" s="4259"/>
      <c r="AD255" s="4259"/>
      <c r="AE255" s="4259"/>
      <c r="AF255" s="4259"/>
      <c r="AG255" s="4259"/>
      <c r="AH255" s="4259"/>
      <c r="AI255" s="4259"/>
      <c r="AJ255" s="4259"/>
      <c r="AK255" s="4259"/>
      <c r="AL255" s="4259"/>
      <c r="AM255" s="4259"/>
      <c r="AN255" s="4259"/>
      <c r="AO255" s="4259"/>
      <c r="AP255" s="4259"/>
      <c r="AQ255" s="4259"/>
      <c r="AR255" s="4259"/>
      <c r="AS255" s="4259"/>
      <c r="AT255" s="4259"/>
      <c r="AU255" s="4259"/>
      <c r="AV255" s="4259"/>
      <c r="AW255" s="4259"/>
      <c r="AX255" s="4259"/>
      <c r="AY255" s="4259"/>
      <c r="AZ255" s="4259"/>
      <c r="BA255" s="4259"/>
      <c r="BB255" s="4259"/>
      <c r="BC255" s="4259"/>
      <c r="CB255" s="4258"/>
      <c r="CC255" s="4258"/>
      <c r="CD255" s="4258"/>
      <c r="CE255" s="4258"/>
      <c r="CF255" s="4258"/>
      <c r="CG255" s="4258"/>
      <c r="CH255" s="4258"/>
      <c r="CI255" s="4258"/>
      <c r="CJ255" s="4258"/>
      <c r="CK255" s="4258"/>
      <c r="CL255" s="4258"/>
      <c r="CM255" s="4258"/>
      <c r="CN255" s="4258"/>
      <c r="CO255" s="4258"/>
      <c r="CP255" s="4258"/>
      <c r="CQ255" s="4258"/>
      <c r="CR255" s="4258"/>
      <c r="CS255" s="4258"/>
      <c r="CT255" s="4258"/>
      <c r="CU255" s="4258"/>
      <c r="CV255" s="4264"/>
      <c r="CW255" s="4264"/>
      <c r="CX255" s="4264"/>
      <c r="CY255" s="4264"/>
      <c r="CZ255" s="4264"/>
      <c r="DA255" s="4264"/>
    </row>
    <row r="256" spans="1:105" ht="27" customHeight="1" x14ac:dyDescent="0.25">
      <c r="B256" s="4268" t="s">
        <v>633</v>
      </c>
      <c r="C256" s="5268"/>
      <c r="E256" s="5268"/>
      <c r="AY256" s="4259"/>
      <c r="AZ256" s="4259"/>
      <c r="BA256" s="4259"/>
      <c r="BB256" s="4259"/>
      <c r="BC256" s="4259"/>
      <c r="BD256" s="4259"/>
      <c r="BE256" s="4259"/>
      <c r="BZ256" s="4264"/>
      <c r="CA256" s="4264"/>
      <c r="CB256" s="4258"/>
      <c r="CC256" s="4258"/>
      <c r="CD256" s="4258"/>
      <c r="CE256" s="4258"/>
      <c r="CF256" s="4258"/>
      <c r="CG256" s="4258"/>
      <c r="CH256" s="4258"/>
      <c r="CI256" s="4258"/>
      <c r="CJ256" s="4258"/>
      <c r="CK256" s="4258"/>
      <c r="CL256" s="4258"/>
      <c r="CM256" s="4258"/>
      <c r="CN256" s="4258"/>
      <c r="CO256" s="4258"/>
      <c r="CP256" s="4258"/>
      <c r="CQ256" s="4258"/>
      <c r="CR256" s="4258"/>
      <c r="CS256" s="4258"/>
      <c r="CT256" s="4258"/>
      <c r="CU256" s="4258"/>
    </row>
    <row r="257" spans="1:131" ht="15" customHeight="1" x14ac:dyDescent="0.25">
      <c r="A257" s="7344"/>
      <c r="B257" s="10257" t="s">
        <v>634</v>
      </c>
      <c r="C257" s="10931" t="s">
        <v>39</v>
      </c>
      <c r="D257" s="10933" t="s">
        <v>55</v>
      </c>
      <c r="E257" s="10934"/>
      <c r="F257" s="10934"/>
      <c r="G257" s="10934"/>
      <c r="H257" s="10934"/>
      <c r="I257" s="10934"/>
      <c r="J257" s="10934"/>
      <c r="K257" s="10934"/>
      <c r="L257" s="10934"/>
      <c r="M257" s="10934"/>
      <c r="N257" s="10934"/>
      <c r="O257" s="10934"/>
      <c r="P257" s="10934"/>
      <c r="Q257" s="10934"/>
      <c r="R257" s="10934"/>
      <c r="S257" s="10934"/>
      <c r="T257" s="10935"/>
      <c r="AB257" s="4259"/>
      <c r="AC257" s="4259"/>
      <c r="AD257" s="4259"/>
      <c r="AE257" s="4259"/>
      <c r="AF257" s="4259"/>
      <c r="AG257" s="4259"/>
      <c r="AH257" s="4259"/>
      <c r="AI257" s="4259"/>
      <c r="AJ257" s="4259"/>
      <c r="AK257" s="4259"/>
      <c r="AL257" s="4259"/>
      <c r="AM257" s="4259"/>
      <c r="AN257" s="4259"/>
      <c r="AO257" s="4259"/>
      <c r="AP257" s="4259"/>
      <c r="AQ257" s="4259"/>
      <c r="AR257" s="4259"/>
      <c r="AS257" s="4259"/>
      <c r="AT257" s="4259"/>
      <c r="AU257" s="4259"/>
      <c r="AV257" s="4259"/>
      <c r="AW257" s="4259"/>
      <c r="AX257" s="4259"/>
      <c r="AY257" s="4259"/>
      <c r="AZ257" s="4259"/>
      <c r="BA257" s="4259"/>
      <c r="BB257" s="4259"/>
      <c r="BC257" s="4259"/>
      <c r="CB257" s="4258"/>
      <c r="CC257" s="4258"/>
      <c r="CD257" s="4258"/>
      <c r="CE257" s="4258"/>
      <c r="CF257" s="4258"/>
      <c r="CG257" s="4258"/>
      <c r="CH257" s="4258"/>
      <c r="CI257" s="4258"/>
      <c r="CJ257" s="4258"/>
      <c r="CK257" s="4258"/>
      <c r="CL257" s="4258"/>
      <c r="CM257" s="4258"/>
      <c r="CN257" s="4258"/>
      <c r="CO257" s="4258"/>
      <c r="CP257" s="4258"/>
      <c r="CQ257" s="4258"/>
      <c r="CR257" s="4258"/>
      <c r="CS257" s="4258"/>
      <c r="CT257" s="4258"/>
      <c r="CU257" s="4258"/>
      <c r="CV257" s="4264"/>
      <c r="CW257" s="4264"/>
      <c r="CX257" s="4264"/>
      <c r="CY257" s="4264"/>
      <c r="CZ257" s="4264"/>
      <c r="DA257" s="4264"/>
    </row>
    <row r="258" spans="1:131" ht="15" customHeight="1" x14ac:dyDescent="0.3">
      <c r="A258" s="7344"/>
      <c r="B258" s="9156"/>
      <c r="C258" s="10932"/>
      <c r="D258" s="5257" t="s">
        <v>75</v>
      </c>
      <c r="E258" s="5257" t="s">
        <v>76</v>
      </c>
      <c r="F258" s="5257" t="s">
        <v>77</v>
      </c>
      <c r="G258" s="5258" t="s">
        <v>68</v>
      </c>
      <c r="H258" s="5258" t="s">
        <v>142</v>
      </c>
      <c r="I258" s="5258" t="s">
        <v>143</v>
      </c>
      <c r="J258" s="5258" t="s">
        <v>144</v>
      </c>
      <c r="K258" s="5258" t="s">
        <v>7</v>
      </c>
      <c r="L258" s="5258" t="s">
        <v>8</v>
      </c>
      <c r="M258" s="5258" t="s">
        <v>145</v>
      </c>
      <c r="N258" s="5258" t="s">
        <v>10</v>
      </c>
      <c r="O258" s="5258" t="s">
        <v>11</v>
      </c>
      <c r="P258" s="5258" t="s">
        <v>12</v>
      </c>
      <c r="Q258" s="5258" t="s">
        <v>13</v>
      </c>
      <c r="R258" s="5258" t="s">
        <v>14</v>
      </c>
      <c r="S258" s="5258" t="s">
        <v>15</v>
      </c>
      <c r="T258" s="5259" t="s">
        <v>16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 s="4976"/>
      <c r="BW258" s="4976"/>
      <c r="BX258" s="4976"/>
      <c r="BY258" s="4976"/>
      <c r="CB258" s="4258"/>
      <c r="CC258" s="4258"/>
      <c r="CD258" s="4258"/>
      <c r="CE258" s="4258"/>
      <c r="CF258" s="4258"/>
      <c r="CG258" s="4258"/>
      <c r="CH258" s="4258"/>
      <c r="CI258" s="4258"/>
      <c r="CJ258" s="4258"/>
      <c r="CK258" s="4258"/>
      <c r="CL258" s="4258"/>
      <c r="CM258" s="4258"/>
      <c r="CN258" s="4258"/>
      <c r="CO258" s="4258"/>
      <c r="CP258" s="4258"/>
      <c r="CQ258" s="4258"/>
      <c r="CR258" s="4258"/>
      <c r="CS258" s="4258"/>
      <c r="CT258" s="4258"/>
      <c r="CU258" s="4258"/>
      <c r="CV258" s="4264"/>
      <c r="CW258" s="4264"/>
      <c r="CX258" s="4264"/>
      <c r="CY258" s="4264"/>
      <c r="CZ258" s="4264"/>
      <c r="DA258" s="4264"/>
    </row>
    <row r="259" spans="1:131" ht="14.1" customHeight="1" x14ac:dyDescent="0.3">
      <c r="A259" s="7520">
        <v>28022640</v>
      </c>
      <c r="B259" s="5269" t="s">
        <v>635</v>
      </c>
      <c r="C259" s="5269" t="s">
        <v>5369</v>
      </c>
      <c r="D259" s="3894" t="s">
        <v>5370</v>
      </c>
      <c r="E259" s="3894" t="s">
        <v>5371</v>
      </c>
      <c r="F259" s="3894" t="s">
        <v>5372</v>
      </c>
      <c r="G259" s="3894" t="s">
        <v>5373</v>
      </c>
      <c r="H259" s="3894" t="s">
        <v>5374</v>
      </c>
      <c r="I259" s="3894" t="s">
        <v>5375</v>
      </c>
      <c r="J259" s="3894" t="s">
        <v>5376</v>
      </c>
      <c r="K259" s="3894" t="s">
        <v>5377</v>
      </c>
      <c r="L259" s="3894" t="s">
        <v>5378</v>
      </c>
      <c r="M259" s="3894" t="s">
        <v>5379</v>
      </c>
      <c r="N259" s="3894" t="s">
        <v>5380</v>
      </c>
      <c r="O259" s="3894" t="s">
        <v>5381</v>
      </c>
      <c r="P259" s="3894" t="s">
        <v>5382</v>
      </c>
      <c r="Q259" s="3894" t="s">
        <v>5383</v>
      </c>
      <c r="R259" s="3894" t="s">
        <v>5384</v>
      </c>
      <c r="S259" s="3894" t="s">
        <v>5385</v>
      </c>
      <c r="T259" s="5243" t="s">
        <v>5386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 s="4976"/>
      <c r="BW259" s="4976"/>
      <c r="BX259" s="4976"/>
      <c r="BY259" s="4976"/>
      <c r="CB259" s="4258"/>
      <c r="CC259" s="4258"/>
      <c r="CD259" s="4258"/>
      <c r="CE259" s="4258"/>
      <c r="CF259" s="4258"/>
      <c r="CG259" s="4258"/>
      <c r="CH259" s="4258"/>
      <c r="CI259" s="4258"/>
      <c r="CJ259" s="4258"/>
      <c r="CK259" s="4258"/>
      <c r="CL259" s="4258"/>
      <c r="CM259" s="4258"/>
      <c r="CN259" s="4258"/>
      <c r="CO259" s="4258"/>
      <c r="CP259" s="4258"/>
      <c r="CQ259" s="4258"/>
      <c r="CR259" s="4258"/>
      <c r="CS259" s="4258"/>
      <c r="CT259" s="4258"/>
      <c r="CU259" s="4258"/>
      <c r="CV259" s="4264"/>
      <c r="CW259" s="4264"/>
      <c r="CX259" s="4264"/>
      <c r="CY259" s="4264"/>
      <c r="CZ259" s="4264"/>
      <c r="DA259" s="4264"/>
    </row>
    <row r="260" spans="1:131" ht="14.1" customHeight="1" x14ac:dyDescent="0.3">
      <c r="A260" s="7520">
        <v>28022650</v>
      </c>
      <c r="B260" s="5184" t="s">
        <v>636</v>
      </c>
      <c r="C260" s="5184" t="s">
        <v>5369</v>
      </c>
      <c r="D260" s="3831" t="s">
        <v>5370</v>
      </c>
      <c r="E260" s="3831" t="s">
        <v>5371</v>
      </c>
      <c r="F260" s="3831" t="s">
        <v>5372</v>
      </c>
      <c r="G260" s="3831" t="s">
        <v>5373</v>
      </c>
      <c r="H260" s="3831" t="s">
        <v>5374</v>
      </c>
      <c r="I260" s="3831" t="s">
        <v>5375</v>
      </c>
      <c r="J260" s="3831" t="s">
        <v>5376</v>
      </c>
      <c r="K260" s="3831" t="s">
        <v>5377</v>
      </c>
      <c r="L260" s="3831" t="s">
        <v>5378</v>
      </c>
      <c r="M260" s="3831" t="s">
        <v>5379</v>
      </c>
      <c r="N260" s="3831" t="s">
        <v>5380</v>
      </c>
      <c r="O260" s="3831" t="s">
        <v>5381</v>
      </c>
      <c r="P260" s="3831" t="s">
        <v>5382</v>
      </c>
      <c r="Q260" s="3831" t="s">
        <v>5383</v>
      </c>
      <c r="R260" s="3831" t="s">
        <v>5384</v>
      </c>
      <c r="S260" s="3831" t="s">
        <v>5385</v>
      </c>
      <c r="T260" s="4951" t="s">
        <v>5386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 s="4976"/>
      <c r="BW260" s="4976"/>
      <c r="BX260" s="4976"/>
      <c r="BY260" s="4976"/>
      <c r="CB260" s="4258"/>
      <c r="CC260" s="4258"/>
      <c r="CD260" s="4258"/>
      <c r="CE260" s="4258"/>
      <c r="CF260" s="4258"/>
      <c r="CG260" s="4258"/>
      <c r="CH260" s="4258"/>
      <c r="CI260" s="4258"/>
      <c r="CJ260" s="4258"/>
      <c r="CK260" s="4258"/>
      <c r="CL260" s="4258"/>
      <c r="CM260" s="4258"/>
      <c r="CN260" s="4258"/>
      <c r="CO260" s="4258"/>
      <c r="CP260" s="4258"/>
      <c r="CQ260" s="4258"/>
      <c r="CR260" s="4258"/>
      <c r="CS260" s="4258"/>
      <c r="CT260" s="4258"/>
      <c r="CU260" s="4258"/>
      <c r="CV260" s="4264"/>
      <c r="CW260" s="4264"/>
      <c r="CX260" s="4264"/>
      <c r="CY260" s="4264"/>
      <c r="CZ260" s="4264"/>
      <c r="DA260" s="4264"/>
    </row>
    <row r="261" spans="1:131" ht="14.1" customHeight="1" x14ac:dyDescent="0.3">
      <c r="A261" s="7520">
        <v>28022660</v>
      </c>
      <c r="B261" s="5184" t="s">
        <v>637</v>
      </c>
      <c r="C261" s="5184" t="s">
        <v>5369</v>
      </c>
      <c r="D261" s="3831" t="s">
        <v>5370</v>
      </c>
      <c r="E261" s="3831" t="s">
        <v>5371</v>
      </c>
      <c r="F261" s="3831" t="s">
        <v>5372</v>
      </c>
      <c r="G261" s="3831" t="s">
        <v>5373</v>
      </c>
      <c r="H261" s="3831" t="s">
        <v>5374</v>
      </c>
      <c r="I261" s="3831" t="s">
        <v>5375</v>
      </c>
      <c r="J261" s="3831" t="s">
        <v>5376</v>
      </c>
      <c r="K261" s="3831" t="s">
        <v>5377</v>
      </c>
      <c r="L261" s="3831" t="s">
        <v>5378</v>
      </c>
      <c r="M261" s="3831" t="s">
        <v>5379</v>
      </c>
      <c r="N261" s="3831" t="s">
        <v>5380</v>
      </c>
      <c r="O261" s="3831" t="s">
        <v>5381</v>
      </c>
      <c r="P261" s="3831" t="s">
        <v>5382</v>
      </c>
      <c r="Q261" s="3831" t="s">
        <v>5383</v>
      </c>
      <c r="R261" s="3831" t="s">
        <v>5384</v>
      </c>
      <c r="S261" s="3831" t="s">
        <v>5385</v>
      </c>
      <c r="T261" s="4951" t="s">
        <v>5386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 s="4976"/>
      <c r="BW261" s="4976"/>
      <c r="BX261" s="4976"/>
      <c r="BY261" s="4976"/>
      <c r="CB261" s="4258"/>
      <c r="CC261" s="4258"/>
      <c r="CD261" s="4258"/>
      <c r="CE261" s="4258"/>
      <c r="CF261" s="4258"/>
      <c r="CG261" s="4258"/>
      <c r="CH261" s="4258"/>
      <c r="CI261" s="4258"/>
      <c r="CJ261" s="4258"/>
      <c r="CK261" s="4258"/>
      <c r="CL261" s="4258"/>
      <c r="CM261" s="4258"/>
      <c r="CN261" s="4258"/>
      <c r="CO261" s="4258"/>
      <c r="CP261" s="4258"/>
      <c r="CQ261" s="4258"/>
      <c r="CR261" s="4258"/>
      <c r="CS261" s="4258"/>
      <c r="CT261" s="4258"/>
      <c r="CU261" s="4258"/>
      <c r="CV261" s="4264"/>
      <c r="CW261" s="4264"/>
      <c r="CX261" s="4264"/>
      <c r="CY261" s="4264"/>
      <c r="CZ261" s="4264"/>
      <c r="DA261" s="4264"/>
    </row>
    <row r="262" spans="1:131" ht="14.1" customHeight="1" x14ac:dyDescent="0.3">
      <c r="A262" s="7520">
        <v>28022670</v>
      </c>
      <c r="B262" s="5184" t="s">
        <v>407</v>
      </c>
      <c r="C262" s="5184" t="s">
        <v>5369</v>
      </c>
      <c r="D262" s="3831" t="s">
        <v>5370</v>
      </c>
      <c r="E262" s="3831" t="s">
        <v>5371</v>
      </c>
      <c r="F262" s="3831" t="s">
        <v>5372</v>
      </c>
      <c r="G262" s="3831" t="s">
        <v>5373</v>
      </c>
      <c r="H262" s="3831" t="s">
        <v>5374</v>
      </c>
      <c r="I262" s="3831" t="s">
        <v>5375</v>
      </c>
      <c r="J262" s="3831" t="s">
        <v>5376</v>
      </c>
      <c r="K262" s="3831" t="s">
        <v>5377</v>
      </c>
      <c r="L262" s="3831" t="s">
        <v>5378</v>
      </c>
      <c r="M262" s="3831" t="s">
        <v>5379</v>
      </c>
      <c r="N262" s="3831" t="s">
        <v>5380</v>
      </c>
      <c r="O262" s="3831" t="s">
        <v>5381</v>
      </c>
      <c r="P262" s="3831" t="s">
        <v>5382</v>
      </c>
      <c r="Q262" s="3831" t="s">
        <v>5383</v>
      </c>
      <c r="R262" s="3831" t="s">
        <v>5384</v>
      </c>
      <c r="S262" s="3831" t="s">
        <v>5385</v>
      </c>
      <c r="T262" s="4951" t="s">
        <v>5386</v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 s="4976"/>
      <c r="BW262" s="4976"/>
      <c r="BX262" s="4976"/>
      <c r="BY262" s="4976"/>
      <c r="CB262" s="4258"/>
      <c r="CC262" s="4258"/>
      <c r="CD262" s="4258"/>
      <c r="CE262" s="4258"/>
      <c r="CF262" s="4258"/>
      <c r="CG262" s="4258"/>
      <c r="CH262" s="4258"/>
      <c r="CI262" s="4258"/>
      <c r="CJ262" s="4258"/>
      <c r="CK262" s="4258"/>
      <c r="CL262" s="4258"/>
      <c r="CM262" s="4258"/>
      <c r="CN262" s="4258"/>
      <c r="CO262" s="4258"/>
      <c r="CP262" s="4258"/>
      <c r="CQ262" s="4258"/>
      <c r="CR262" s="4258"/>
      <c r="CS262" s="4258"/>
      <c r="CT262" s="4258"/>
      <c r="CU262" s="4258"/>
      <c r="CV262" s="4264"/>
      <c r="CW262" s="4264"/>
      <c r="CX262" s="4264"/>
      <c r="CY262" s="4264"/>
      <c r="CZ262" s="4264"/>
      <c r="DA262" s="4264"/>
    </row>
    <row r="263" spans="1:131" ht="14.1" customHeight="1" x14ac:dyDescent="0.3">
      <c r="A263" s="7520">
        <v>28022680</v>
      </c>
      <c r="B263" s="5184" t="s">
        <v>408</v>
      </c>
      <c r="C263" s="5184" t="s">
        <v>5369</v>
      </c>
      <c r="D263" s="3831" t="s">
        <v>5370</v>
      </c>
      <c r="E263" s="3831" t="s">
        <v>5371</v>
      </c>
      <c r="F263" s="3831" t="s">
        <v>5372</v>
      </c>
      <c r="G263" s="3831" t="s">
        <v>5373</v>
      </c>
      <c r="H263" s="3831" t="s">
        <v>5374</v>
      </c>
      <c r="I263" s="3831" t="s">
        <v>5375</v>
      </c>
      <c r="J263" s="3831" t="s">
        <v>5376</v>
      </c>
      <c r="K263" s="3831" t="s">
        <v>5377</v>
      </c>
      <c r="L263" s="3831" t="s">
        <v>5378</v>
      </c>
      <c r="M263" s="3831" t="s">
        <v>5379</v>
      </c>
      <c r="N263" s="3831" t="s">
        <v>5380</v>
      </c>
      <c r="O263" s="3831" t="s">
        <v>5381</v>
      </c>
      <c r="P263" s="3831" t="s">
        <v>5382</v>
      </c>
      <c r="Q263" s="3831" t="s">
        <v>5383</v>
      </c>
      <c r="R263" s="3831" t="s">
        <v>5384</v>
      </c>
      <c r="S263" s="3831" t="s">
        <v>5385</v>
      </c>
      <c r="T263" s="4951" t="s">
        <v>5386</v>
      </c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 s="4976"/>
      <c r="BW263" s="4976"/>
      <c r="BX263" s="4976"/>
      <c r="BY263" s="4976"/>
      <c r="CB263" s="4258"/>
      <c r="CC263" s="4258"/>
      <c r="CD263" s="4258"/>
      <c r="CE263" s="4258"/>
      <c r="CF263" s="4258"/>
      <c r="CG263" s="4258"/>
      <c r="CH263" s="4258"/>
      <c r="CI263" s="4258"/>
      <c r="CJ263" s="4258"/>
      <c r="CK263" s="4258"/>
      <c r="CL263" s="4258"/>
      <c r="CM263" s="4258"/>
      <c r="CN263" s="4258"/>
      <c r="CO263" s="4258"/>
      <c r="CP263" s="4258"/>
      <c r="CQ263" s="4258"/>
      <c r="CR263" s="4258"/>
      <c r="CS263" s="4258"/>
      <c r="CT263" s="4258"/>
      <c r="CU263" s="4258"/>
      <c r="CV263" s="4264"/>
      <c r="CW263" s="4264"/>
      <c r="CX263" s="4264"/>
      <c r="CY263" s="4264"/>
      <c r="CZ263" s="4264"/>
      <c r="DA263" s="4264"/>
    </row>
    <row r="264" spans="1:131" s="4495" customFormat="1" ht="14.1" customHeight="1" x14ac:dyDescent="0.25">
      <c r="A264" s="7520">
        <v>28022690</v>
      </c>
      <c r="B264" s="5184" t="s">
        <v>409</v>
      </c>
      <c r="C264" s="5184" t="s">
        <v>5369</v>
      </c>
      <c r="D264" s="3831" t="s">
        <v>5370</v>
      </c>
      <c r="E264" s="3831" t="s">
        <v>5371</v>
      </c>
      <c r="F264" s="3831" t="s">
        <v>5372</v>
      </c>
      <c r="G264" s="3831" t="s">
        <v>5373</v>
      </c>
      <c r="H264" s="3831" t="s">
        <v>5374</v>
      </c>
      <c r="I264" s="3831" t="s">
        <v>5375</v>
      </c>
      <c r="J264" s="3831" t="s">
        <v>5376</v>
      </c>
      <c r="K264" s="3831" t="s">
        <v>5377</v>
      </c>
      <c r="L264" s="3831" t="s">
        <v>5378</v>
      </c>
      <c r="M264" s="3831" t="s">
        <v>5379</v>
      </c>
      <c r="N264" s="3831" t="s">
        <v>5380</v>
      </c>
      <c r="O264" s="3831" t="s">
        <v>5381</v>
      </c>
      <c r="P264" s="3831" t="s">
        <v>5382</v>
      </c>
      <c r="Q264" s="3831" t="s">
        <v>5383</v>
      </c>
      <c r="R264" s="3831" t="s">
        <v>5384</v>
      </c>
      <c r="S264" s="3831" t="s">
        <v>5385</v>
      </c>
      <c r="T264" s="4951" t="s">
        <v>5386</v>
      </c>
      <c r="U264" s="4258"/>
      <c r="V264" s="4258"/>
      <c r="W264" s="4258"/>
      <c r="X264" s="4258"/>
      <c r="Y264" s="4258"/>
      <c r="Z264" s="4258"/>
      <c r="AA264" s="4258"/>
      <c r="AB264" s="4258"/>
      <c r="AC264" s="4258"/>
      <c r="AD264" s="4258"/>
      <c r="AE264" s="4258"/>
      <c r="AF264" s="4258"/>
      <c r="AG264" s="4258"/>
      <c r="AH264" s="4258"/>
      <c r="AI264" s="4258"/>
      <c r="AJ264" s="4258"/>
      <c r="AK264" s="4258"/>
      <c r="AL264" s="4258"/>
      <c r="AM264" s="4258"/>
      <c r="AN264" s="4258"/>
      <c r="AO264" s="4258"/>
      <c r="AP264" s="4258"/>
      <c r="AQ264" s="4258"/>
      <c r="AR264" s="4258"/>
      <c r="AS264" s="4258"/>
      <c r="AT264" s="4258"/>
      <c r="AU264" s="4258"/>
      <c r="AV264" s="4258"/>
      <c r="AW264" s="4258"/>
      <c r="AX264" s="4258"/>
      <c r="AY264" s="4258"/>
      <c r="AZ264" s="4258"/>
      <c r="BA264" s="4258"/>
      <c r="BB264" s="4258"/>
      <c r="BC264" s="4258"/>
      <c r="BD264" s="4258"/>
      <c r="BE264" s="4258"/>
      <c r="BF264" s="4258"/>
      <c r="BG264" s="4258"/>
      <c r="BH264" s="4258"/>
      <c r="BI264" s="4258"/>
      <c r="BJ264" s="4258"/>
      <c r="BK264" s="4258"/>
      <c r="BL264" s="4258"/>
      <c r="BM264" s="4258"/>
      <c r="BN264" s="4258"/>
      <c r="BO264" s="4258"/>
      <c r="BP264" s="4258"/>
      <c r="BQ264" s="4258"/>
      <c r="BR264" s="4258"/>
      <c r="BS264" s="4258"/>
      <c r="BT264" s="4258"/>
      <c r="BU264" s="4258"/>
      <c r="BV264" s="4264"/>
      <c r="BW264" s="4264"/>
      <c r="BX264" s="4264"/>
      <c r="BY264" s="4264"/>
      <c r="BZ264" s="4260"/>
      <c r="CA264" s="4260"/>
      <c r="CB264" s="4258"/>
      <c r="CC264" s="4258"/>
      <c r="CD264" s="4258"/>
      <c r="CE264" s="4258"/>
      <c r="CF264" s="4258"/>
      <c r="CG264" s="4258"/>
      <c r="CH264" s="4258"/>
      <c r="CI264" s="4258"/>
      <c r="CJ264" s="4258"/>
      <c r="CK264" s="4258"/>
      <c r="CL264" s="4258"/>
      <c r="CM264" s="4258"/>
      <c r="CN264" s="4258"/>
      <c r="CO264" s="4258"/>
      <c r="CP264" s="4258"/>
      <c r="CQ264" s="4258"/>
      <c r="CR264" s="4258"/>
      <c r="CS264" s="4258"/>
      <c r="CT264" s="4258"/>
      <c r="CU264" s="4258"/>
      <c r="CV264" s="4264"/>
      <c r="CW264" s="4264"/>
      <c r="CX264" s="4264"/>
      <c r="CY264" s="4264"/>
      <c r="CZ264" s="4264"/>
      <c r="DA264" s="4264"/>
      <c r="DB264" s="4264"/>
      <c r="DC264" s="4264"/>
      <c r="DD264" s="4264"/>
      <c r="DE264" s="4264"/>
      <c r="DF264" s="4264"/>
      <c r="DG264" s="4264"/>
      <c r="DH264" s="4264"/>
      <c r="DI264" s="4264"/>
      <c r="DJ264" s="4264"/>
      <c r="DK264" s="4264"/>
      <c r="DL264" s="4264"/>
      <c r="DM264" s="4264"/>
      <c r="DN264" s="4264"/>
      <c r="DO264" s="4264"/>
      <c r="DP264" s="4264"/>
      <c r="DQ264" s="4264"/>
      <c r="DR264" s="4264"/>
      <c r="DS264" s="4264"/>
      <c r="DT264" s="4264"/>
      <c r="DU264" s="4264"/>
      <c r="DV264" s="4264"/>
      <c r="DW264" s="4264"/>
      <c r="DX264" s="4264"/>
      <c r="DY264" s="4264"/>
      <c r="DZ264" s="4264"/>
      <c r="EA264" s="4264"/>
    </row>
    <row r="265" spans="1:131" s="4495" customFormat="1" ht="14.1" customHeight="1" x14ac:dyDescent="0.25">
      <c r="A265" s="7320">
        <v>29101665</v>
      </c>
      <c r="B265" s="5184" t="s">
        <v>2888</v>
      </c>
      <c r="C265" s="5184" t="s">
        <v>5369</v>
      </c>
      <c r="D265" s="3831" t="s">
        <v>5370</v>
      </c>
      <c r="E265" s="3831" t="s">
        <v>5371</v>
      </c>
      <c r="F265" s="3831" t="s">
        <v>5372</v>
      </c>
      <c r="G265" s="3831" t="s">
        <v>5373</v>
      </c>
      <c r="H265" s="3831" t="s">
        <v>5374</v>
      </c>
      <c r="I265" s="3831" t="s">
        <v>5375</v>
      </c>
      <c r="J265" s="3831" t="s">
        <v>5376</v>
      </c>
      <c r="K265" s="3831" t="s">
        <v>5377</v>
      </c>
      <c r="L265" s="3831" t="s">
        <v>5378</v>
      </c>
      <c r="M265" s="3831" t="s">
        <v>5379</v>
      </c>
      <c r="N265" s="3831" t="s">
        <v>5380</v>
      </c>
      <c r="O265" s="3831" t="s">
        <v>5381</v>
      </c>
      <c r="P265" s="3831" t="s">
        <v>5382</v>
      </c>
      <c r="Q265" s="3831" t="s">
        <v>5383</v>
      </c>
      <c r="R265" s="3831" t="s">
        <v>5384</v>
      </c>
      <c r="S265" s="3831" t="s">
        <v>5385</v>
      </c>
      <c r="T265" s="4951" t="s">
        <v>5386</v>
      </c>
      <c r="U265" s="4258"/>
      <c r="V265" s="4258"/>
      <c r="W265" s="4258"/>
      <c r="X265" s="4258"/>
      <c r="Y265" s="4258"/>
      <c r="Z265" s="4258"/>
      <c r="AA265" s="4258"/>
      <c r="AB265" s="4258"/>
      <c r="AC265" s="4258"/>
      <c r="AD265" s="4258"/>
      <c r="AE265" s="4258"/>
      <c r="AF265" s="4258"/>
      <c r="AG265" s="4258"/>
      <c r="AH265" s="4258"/>
      <c r="AI265" s="4258"/>
      <c r="AJ265" s="4258"/>
      <c r="AK265" s="4258"/>
      <c r="AL265" s="4258"/>
      <c r="AM265" s="4258"/>
      <c r="AN265" s="4258"/>
      <c r="AO265" s="4258"/>
      <c r="AP265" s="4258"/>
      <c r="AQ265" s="4258"/>
      <c r="AR265" s="4258"/>
      <c r="AS265" s="4258"/>
      <c r="AT265" s="4258"/>
      <c r="AU265" s="4258"/>
      <c r="AV265" s="4258"/>
      <c r="AW265" s="4258"/>
      <c r="AX265" s="4258"/>
      <c r="AY265" s="4258"/>
      <c r="AZ265" s="4258"/>
      <c r="BA265" s="4258"/>
      <c r="BB265" s="4258"/>
      <c r="BC265" s="4258"/>
      <c r="BD265" s="4258"/>
      <c r="BE265" s="4258"/>
      <c r="BF265" s="4258"/>
      <c r="BG265" s="4258"/>
      <c r="BH265" s="4258"/>
      <c r="BI265" s="4258"/>
      <c r="BJ265" s="4258"/>
      <c r="BK265" s="4258"/>
      <c r="BL265" s="4258"/>
      <c r="BM265" s="4258"/>
      <c r="BN265" s="4258"/>
      <c r="BO265" s="4258"/>
      <c r="BP265" s="4258"/>
      <c r="BQ265" s="4258"/>
      <c r="BR265" s="4258"/>
      <c r="BS265" s="4258"/>
      <c r="BT265" s="4258"/>
      <c r="BU265" s="4258"/>
      <c r="BV265" s="4264"/>
      <c r="BW265" s="4264"/>
      <c r="BX265" s="4264"/>
      <c r="BY265" s="4264"/>
      <c r="BZ265" s="4260"/>
      <c r="CA265" s="4260"/>
      <c r="CB265" s="4258"/>
      <c r="CC265" s="4258"/>
      <c r="CD265" s="4258"/>
      <c r="CE265" s="4258"/>
      <c r="CF265" s="4258"/>
      <c r="CG265" s="4258"/>
      <c r="CH265" s="4258"/>
      <c r="CI265" s="4258"/>
      <c r="CJ265" s="4258"/>
      <c r="CK265" s="4258"/>
      <c r="CL265" s="4258"/>
      <c r="CM265" s="4258"/>
      <c r="CN265" s="4258"/>
      <c r="CO265" s="4258"/>
      <c r="CP265" s="4258"/>
      <c r="CQ265" s="4258"/>
      <c r="CR265" s="4258"/>
      <c r="CS265" s="4258"/>
      <c r="CT265" s="4258"/>
      <c r="CU265" s="4258"/>
      <c r="CV265" s="4264"/>
      <c r="CW265" s="4264"/>
      <c r="CX265" s="4264"/>
      <c r="CY265" s="4264"/>
      <c r="CZ265" s="4264"/>
      <c r="DA265" s="4264"/>
      <c r="DB265" s="4264"/>
      <c r="DC265" s="4264"/>
      <c r="DD265" s="4264"/>
      <c r="DE265" s="4264"/>
      <c r="DF265" s="4264"/>
      <c r="DG265" s="4264"/>
      <c r="DH265" s="4264"/>
      <c r="DI265" s="4264"/>
      <c r="DJ265" s="4264"/>
      <c r="DK265" s="4264"/>
      <c r="DL265" s="4264"/>
      <c r="DM265" s="4264"/>
      <c r="DN265" s="4264"/>
      <c r="DO265" s="4264"/>
      <c r="DP265" s="4264"/>
      <c r="DQ265" s="4264"/>
      <c r="DR265" s="4264"/>
      <c r="DS265" s="4264"/>
      <c r="DT265" s="4264"/>
      <c r="DU265" s="4264"/>
      <c r="DV265" s="4264"/>
      <c r="DW265" s="4264"/>
      <c r="DX265" s="4264"/>
      <c r="DY265" s="4264"/>
      <c r="DZ265" s="4264"/>
      <c r="EA265" s="4264"/>
    </row>
    <row r="266" spans="1:131" s="4495" customFormat="1" ht="14.1" customHeight="1" x14ac:dyDescent="0.25">
      <c r="A266" s="7320">
        <v>29101666</v>
      </c>
      <c r="B266" s="5184" t="s">
        <v>2889</v>
      </c>
      <c r="C266" s="5184" t="s">
        <v>5369</v>
      </c>
      <c r="D266" s="3831" t="s">
        <v>5370</v>
      </c>
      <c r="E266" s="3831" t="s">
        <v>5371</v>
      </c>
      <c r="F266" s="3831" t="s">
        <v>5372</v>
      </c>
      <c r="G266" s="3831" t="s">
        <v>5373</v>
      </c>
      <c r="H266" s="3831" t="s">
        <v>5374</v>
      </c>
      <c r="I266" s="3831" t="s">
        <v>5375</v>
      </c>
      <c r="J266" s="3831" t="s">
        <v>5376</v>
      </c>
      <c r="K266" s="3831" t="s">
        <v>5377</v>
      </c>
      <c r="L266" s="3831" t="s">
        <v>5378</v>
      </c>
      <c r="M266" s="3831" t="s">
        <v>5379</v>
      </c>
      <c r="N266" s="3831" t="s">
        <v>5380</v>
      </c>
      <c r="O266" s="3831" t="s">
        <v>5381</v>
      </c>
      <c r="P266" s="3831" t="s">
        <v>5382</v>
      </c>
      <c r="Q266" s="3831" t="s">
        <v>5383</v>
      </c>
      <c r="R266" s="3831" t="s">
        <v>5384</v>
      </c>
      <c r="S266" s="3831" t="s">
        <v>5385</v>
      </c>
      <c r="T266" s="4951" t="s">
        <v>5386</v>
      </c>
      <c r="U266" s="4258"/>
      <c r="V266" s="4258"/>
      <c r="W266" s="4258"/>
      <c r="X266" s="4258"/>
      <c r="Y266" s="4258"/>
      <c r="Z266" s="4258"/>
      <c r="AA266" s="4258"/>
      <c r="AB266" s="4258"/>
      <c r="AC266" s="4258"/>
      <c r="AD266" s="4258"/>
      <c r="AE266" s="4258"/>
      <c r="AF266" s="4258"/>
      <c r="AG266" s="4258"/>
      <c r="AH266" s="4258"/>
      <c r="AI266" s="4258"/>
      <c r="AJ266" s="4258"/>
      <c r="AK266" s="4258"/>
      <c r="AL266" s="4258"/>
      <c r="AM266" s="4258"/>
      <c r="AN266" s="4258"/>
      <c r="AO266" s="4258"/>
      <c r="AP266" s="4258"/>
      <c r="AQ266" s="4258"/>
      <c r="AR266" s="4258"/>
      <c r="AS266" s="4258"/>
      <c r="AT266" s="4258"/>
      <c r="AU266" s="4258"/>
      <c r="AV266" s="4258"/>
      <c r="AW266" s="4258"/>
      <c r="AX266" s="4258"/>
      <c r="AY266" s="4258"/>
      <c r="AZ266" s="4258"/>
      <c r="BA266" s="4258"/>
      <c r="BB266" s="4258"/>
      <c r="BC266" s="4258"/>
      <c r="BD266" s="4258"/>
      <c r="BE266" s="4258"/>
      <c r="BF266" s="4258"/>
      <c r="BG266" s="4258"/>
      <c r="BH266" s="4258"/>
      <c r="BI266" s="4258"/>
      <c r="BJ266" s="4258"/>
      <c r="BK266" s="4258"/>
      <c r="BL266" s="4258"/>
      <c r="BM266" s="4258"/>
      <c r="BN266" s="4258"/>
      <c r="BO266" s="4258"/>
      <c r="BP266" s="4258"/>
      <c r="BQ266" s="4258"/>
      <c r="BR266" s="4258"/>
      <c r="BS266" s="4258"/>
      <c r="BT266" s="4258"/>
      <c r="BU266" s="4258"/>
      <c r="BV266" s="4264"/>
      <c r="BW266" s="4264"/>
      <c r="BX266" s="4264"/>
      <c r="BY266" s="4264"/>
      <c r="BZ266" s="4260"/>
      <c r="CA266" s="4260"/>
      <c r="CB266" s="4258"/>
      <c r="CC266" s="4258"/>
      <c r="CD266" s="4258"/>
      <c r="CE266" s="4258"/>
      <c r="CF266" s="4258"/>
      <c r="CG266" s="4258"/>
      <c r="CH266" s="4258"/>
      <c r="CI266" s="4258"/>
      <c r="CJ266" s="4258"/>
      <c r="CK266" s="4258"/>
      <c r="CL266" s="4258"/>
      <c r="CM266" s="4258"/>
      <c r="CN266" s="4258"/>
      <c r="CO266" s="4258"/>
      <c r="CP266" s="4258"/>
      <c r="CQ266" s="4258"/>
      <c r="CR266" s="4258"/>
      <c r="CS266" s="4258"/>
      <c r="CT266" s="4258"/>
      <c r="CU266" s="4258"/>
      <c r="CV266" s="4264"/>
      <c r="CW266" s="4264"/>
      <c r="CX266" s="4264"/>
      <c r="CY266" s="4264"/>
      <c r="CZ266" s="4264"/>
      <c r="DA266" s="4264"/>
      <c r="DB266" s="4264"/>
      <c r="DC266" s="4264"/>
      <c r="DD266" s="4264"/>
      <c r="DE266" s="4264"/>
      <c r="DF266" s="4264"/>
      <c r="DG266" s="4264"/>
      <c r="DH266" s="4264"/>
      <c r="DI266" s="4264"/>
      <c r="DJ266" s="4264"/>
      <c r="DK266" s="4264"/>
      <c r="DL266" s="4264"/>
      <c r="DM266" s="4264"/>
      <c r="DN266" s="4264"/>
      <c r="DO266" s="4264"/>
      <c r="DP266" s="4264"/>
      <c r="DQ266" s="4264"/>
      <c r="DR266" s="4264"/>
      <c r="DS266" s="4264"/>
      <c r="DT266" s="4264"/>
      <c r="DU266" s="4264"/>
      <c r="DV266" s="4264"/>
      <c r="DW266" s="4264"/>
      <c r="DX266" s="4264"/>
      <c r="DY266" s="4264"/>
      <c r="DZ266" s="4264"/>
      <c r="EA266" s="4264"/>
    </row>
    <row r="267" spans="1:131" s="4495" customFormat="1" ht="14.1" customHeight="1" x14ac:dyDescent="0.25">
      <c r="A267" s="7320">
        <v>29101667</v>
      </c>
      <c r="B267" s="5184" t="s">
        <v>2890</v>
      </c>
      <c r="C267" s="5184" t="s">
        <v>5369</v>
      </c>
      <c r="D267" s="3831" t="s">
        <v>5370</v>
      </c>
      <c r="E267" s="3831" t="s">
        <v>5371</v>
      </c>
      <c r="F267" s="3831" t="s">
        <v>5372</v>
      </c>
      <c r="G267" s="3831" t="s">
        <v>5373</v>
      </c>
      <c r="H267" s="3831" t="s">
        <v>5374</v>
      </c>
      <c r="I267" s="3831" t="s">
        <v>5375</v>
      </c>
      <c r="J267" s="3831" t="s">
        <v>5376</v>
      </c>
      <c r="K267" s="3831" t="s">
        <v>5377</v>
      </c>
      <c r="L267" s="3831" t="s">
        <v>5378</v>
      </c>
      <c r="M267" s="3831" t="s">
        <v>5379</v>
      </c>
      <c r="N267" s="3831" t="s">
        <v>5380</v>
      </c>
      <c r="O267" s="3831" t="s">
        <v>5381</v>
      </c>
      <c r="P267" s="3831" t="s">
        <v>5382</v>
      </c>
      <c r="Q267" s="3831" t="s">
        <v>5383</v>
      </c>
      <c r="R267" s="3831" t="s">
        <v>5384</v>
      </c>
      <c r="S267" s="3831" t="s">
        <v>5385</v>
      </c>
      <c r="T267" s="4951" t="s">
        <v>5386</v>
      </c>
      <c r="U267" s="4258"/>
      <c r="V267" s="4258"/>
      <c r="W267" s="4258"/>
      <c r="X267" s="4258"/>
      <c r="Y267" s="4258"/>
      <c r="Z267" s="4258"/>
      <c r="AA267" s="4258"/>
      <c r="AB267" s="4258"/>
      <c r="AC267" s="4258"/>
      <c r="AD267" s="4258"/>
      <c r="AE267" s="4258"/>
      <c r="AF267" s="4258"/>
      <c r="AG267" s="4258"/>
      <c r="AH267" s="4258"/>
      <c r="AI267" s="4258"/>
      <c r="AJ267" s="4258"/>
      <c r="AK267" s="4258"/>
      <c r="AL267" s="4258"/>
      <c r="AM267" s="4258"/>
      <c r="AN267" s="4258"/>
      <c r="AO267" s="4258"/>
      <c r="AP267" s="4258"/>
      <c r="AQ267" s="4258"/>
      <c r="AR267" s="4258"/>
      <c r="AS267" s="4258"/>
      <c r="AT267" s="4258"/>
      <c r="AU267" s="4258"/>
      <c r="AV267" s="4258"/>
      <c r="AW267" s="4258"/>
      <c r="AX267" s="4258"/>
      <c r="AY267" s="4258"/>
      <c r="AZ267" s="4258"/>
      <c r="BA267" s="4258"/>
      <c r="BB267" s="4258"/>
      <c r="BC267" s="4258"/>
      <c r="BD267" s="4258"/>
      <c r="BE267" s="4258"/>
      <c r="BF267" s="4258"/>
      <c r="BG267" s="4258"/>
      <c r="BH267" s="4258"/>
      <c r="BI267" s="4258"/>
      <c r="BJ267" s="4258"/>
      <c r="BK267" s="4258"/>
      <c r="BL267" s="4258"/>
      <c r="BM267" s="4258"/>
      <c r="BN267" s="4258"/>
      <c r="BO267" s="4258"/>
      <c r="BP267" s="4258"/>
      <c r="BQ267" s="4258"/>
      <c r="BR267" s="4258"/>
      <c r="BS267" s="4258"/>
      <c r="BT267" s="4258"/>
      <c r="BU267" s="4258"/>
      <c r="BV267" s="4264"/>
      <c r="BW267" s="4264"/>
      <c r="BX267" s="4264"/>
      <c r="BY267" s="4264"/>
      <c r="BZ267" s="4260"/>
      <c r="CA267" s="4260"/>
      <c r="CB267" s="4258"/>
      <c r="CC267" s="4258"/>
      <c r="CD267" s="4258"/>
      <c r="CE267" s="4258"/>
      <c r="CF267" s="4258"/>
      <c r="CG267" s="4258"/>
      <c r="CH267" s="4258"/>
      <c r="CI267" s="4258"/>
      <c r="CJ267" s="4258"/>
      <c r="CK267" s="4258"/>
      <c r="CL267" s="4258"/>
      <c r="CM267" s="4258"/>
      <c r="CN267" s="4258"/>
      <c r="CO267" s="4258"/>
      <c r="CP267" s="4258"/>
      <c r="CQ267" s="4258"/>
      <c r="CR267" s="4258"/>
      <c r="CS267" s="4258"/>
      <c r="CT267" s="4258"/>
      <c r="CU267" s="4258"/>
      <c r="CV267" s="4264"/>
      <c r="CW267" s="4264"/>
      <c r="CX267" s="4264"/>
      <c r="CY267" s="4264"/>
      <c r="CZ267" s="4264"/>
      <c r="DA267" s="4264"/>
      <c r="DB267" s="4264"/>
      <c r="DC267" s="4264"/>
      <c r="DD267" s="4264"/>
      <c r="DE267" s="4264"/>
      <c r="DF267" s="4264"/>
      <c r="DG267" s="4264"/>
      <c r="DH267" s="4264"/>
      <c r="DI267" s="4264"/>
      <c r="DJ267" s="4264"/>
      <c r="DK267" s="4264"/>
      <c r="DL267" s="4264"/>
      <c r="DM267" s="4264"/>
      <c r="DN267" s="4264"/>
      <c r="DO267" s="4264"/>
      <c r="DP267" s="4264"/>
      <c r="DQ267" s="4264"/>
      <c r="DR267" s="4264"/>
      <c r="DS267" s="4264"/>
      <c r="DT267" s="4264"/>
      <c r="DU267" s="4264"/>
      <c r="DV267" s="4264"/>
      <c r="DW267" s="4264"/>
      <c r="DX267" s="4264"/>
      <c r="DY267" s="4264"/>
      <c r="DZ267" s="4264"/>
      <c r="EA267" s="4264"/>
    </row>
    <row r="268" spans="1:131" ht="13.95" customHeight="1" x14ac:dyDescent="0.25">
      <c r="A268" s="7320">
        <v>29101668</v>
      </c>
      <c r="B268" s="5184" t="s">
        <v>2894</v>
      </c>
      <c r="C268" s="5184" t="s">
        <v>5369</v>
      </c>
      <c r="D268" s="3831" t="s">
        <v>5370</v>
      </c>
      <c r="E268" s="3831" t="s">
        <v>5371</v>
      </c>
      <c r="F268" s="3831" t="s">
        <v>5372</v>
      </c>
      <c r="G268" s="3831" t="s">
        <v>5373</v>
      </c>
      <c r="H268" s="3831" t="s">
        <v>5374</v>
      </c>
      <c r="I268" s="3831" t="s">
        <v>5375</v>
      </c>
      <c r="J268" s="3831" t="s">
        <v>5376</v>
      </c>
      <c r="K268" s="3831" t="s">
        <v>5377</v>
      </c>
      <c r="L268" s="3831" t="s">
        <v>5378</v>
      </c>
      <c r="M268" s="3831" t="s">
        <v>5379</v>
      </c>
      <c r="N268" s="3831" t="s">
        <v>5380</v>
      </c>
      <c r="O268" s="3831" t="s">
        <v>5381</v>
      </c>
      <c r="P268" s="3831" t="s">
        <v>5382</v>
      </c>
      <c r="Q268" s="3831" t="s">
        <v>5383</v>
      </c>
      <c r="R268" s="3831" t="s">
        <v>5384</v>
      </c>
      <c r="S268" s="3831" t="s">
        <v>5385</v>
      </c>
      <c r="T268" s="4951" t="s">
        <v>5386</v>
      </c>
      <c r="CB268" s="4258"/>
      <c r="CC268" s="4258"/>
      <c r="CD268" s="4258"/>
      <c r="CE268" s="4258"/>
      <c r="CF268" s="4258"/>
      <c r="CG268" s="4258"/>
      <c r="CH268" s="4258"/>
      <c r="CI268" s="4258"/>
      <c r="CJ268" s="4258"/>
      <c r="CK268" s="4258"/>
      <c r="CL268" s="4258"/>
      <c r="CM268" s="4258"/>
      <c r="CN268" s="4258"/>
      <c r="CO268" s="4258"/>
      <c r="CP268" s="4258"/>
      <c r="CQ268" s="4258"/>
      <c r="CR268" s="4258"/>
      <c r="CS268" s="4258"/>
      <c r="CT268" s="4258"/>
      <c r="CU268" s="4258"/>
      <c r="CV268" s="4264"/>
      <c r="CW268" s="4264"/>
      <c r="CX268" s="4264"/>
      <c r="CY268" s="4264"/>
      <c r="CZ268" s="4264"/>
      <c r="DA268" s="4264"/>
    </row>
    <row r="269" spans="1:131" ht="23.4" customHeight="1" x14ac:dyDescent="0.25">
      <c r="A269" s="7320">
        <v>29101669</v>
      </c>
      <c r="B269" s="5270" t="s">
        <v>2895</v>
      </c>
      <c r="C269" s="5184" t="s">
        <v>5369</v>
      </c>
      <c r="D269" s="3831" t="s">
        <v>5370</v>
      </c>
      <c r="E269" s="3831" t="s">
        <v>5371</v>
      </c>
      <c r="F269" s="3831" t="s">
        <v>5372</v>
      </c>
      <c r="G269" s="3831" t="s">
        <v>5373</v>
      </c>
      <c r="H269" s="3831" t="s">
        <v>5374</v>
      </c>
      <c r="I269" s="3831" t="s">
        <v>5375</v>
      </c>
      <c r="J269" s="3831" t="s">
        <v>5376</v>
      </c>
      <c r="K269" s="3831" t="s">
        <v>5377</v>
      </c>
      <c r="L269" s="3831" t="s">
        <v>5378</v>
      </c>
      <c r="M269" s="3831" t="s">
        <v>5379</v>
      </c>
      <c r="N269" s="3831" t="s">
        <v>5380</v>
      </c>
      <c r="O269" s="3831" t="s">
        <v>5381</v>
      </c>
      <c r="P269" s="3831" t="s">
        <v>5382</v>
      </c>
      <c r="Q269" s="3831" t="s">
        <v>5383</v>
      </c>
      <c r="R269" s="3831" t="s">
        <v>5384</v>
      </c>
      <c r="S269" s="3831" t="s">
        <v>5385</v>
      </c>
      <c r="T269" s="4951" t="s">
        <v>5386</v>
      </c>
      <c r="CB269" s="4258"/>
      <c r="CC269" s="4258"/>
      <c r="CD269" s="4258"/>
      <c r="CE269" s="4258"/>
      <c r="CF269" s="4258"/>
      <c r="CG269" s="4258"/>
      <c r="CH269" s="4258"/>
      <c r="CI269" s="4258"/>
      <c r="CJ269" s="4258"/>
      <c r="CK269" s="4258"/>
      <c r="CL269" s="4258"/>
      <c r="CM269" s="4258"/>
      <c r="CN269" s="4258"/>
      <c r="CO269" s="4258"/>
      <c r="CP269" s="4258"/>
      <c r="CQ269" s="4258"/>
      <c r="CR269" s="4258"/>
      <c r="CS269" s="4258"/>
      <c r="CT269" s="4258"/>
      <c r="CU269" s="4258"/>
      <c r="CV269" s="4264"/>
      <c r="CW269" s="4264"/>
      <c r="CX269" s="4264"/>
      <c r="CY269" s="4264"/>
      <c r="CZ269" s="4264"/>
      <c r="DA269" s="4264"/>
    </row>
    <row r="270" spans="1:131" ht="25.2" customHeight="1" x14ac:dyDescent="0.3">
      <c r="A270" s="7320">
        <v>29101670</v>
      </c>
      <c r="B270" s="5270" t="s">
        <v>2896</v>
      </c>
      <c r="C270" s="5184" t="s">
        <v>5369</v>
      </c>
      <c r="D270" s="3831" t="s">
        <v>5370</v>
      </c>
      <c r="E270" s="3831" t="s">
        <v>5371</v>
      </c>
      <c r="F270" s="3831" t="s">
        <v>5372</v>
      </c>
      <c r="G270" s="3831" t="s">
        <v>5373</v>
      </c>
      <c r="H270" s="3831" t="s">
        <v>5374</v>
      </c>
      <c r="I270" s="3831" t="s">
        <v>5375</v>
      </c>
      <c r="J270" s="3831" t="s">
        <v>5376</v>
      </c>
      <c r="K270" s="3831" t="s">
        <v>5377</v>
      </c>
      <c r="L270" s="3831" t="s">
        <v>5378</v>
      </c>
      <c r="M270" s="3831" t="s">
        <v>5379</v>
      </c>
      <c r="N270" s="3831" t="s">
        <v>5380</v>
      </c>
      <c r="O270" s="3831" t="s">
        <v>5381</v>
      </c>
      <c r="P270" s="3831" t="s">
        <v>5382</v>
      </c>
      <c r="Q270" s="3831" t="s">
        <v>5383</v>
      </c>
      <c r="R270" s="3831" t="s">
        <v>5384</v>
      </c>
      <c r="S270" s="3831" t="s">
        <v>5385</v>
      </c>
      <c r="T270" s="4951" t="s">
        <v>5386</v>
      </c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 s="4976"/>
      <c r="BW270" s="4976"/>
      <c r="BX270" s="4976"/>
      <c r="BY270" s="4976"/>
      <c r="CB270" s="4258"/>
      <c r="CC270" s="4258"/>
      <c r="CD270" s="4258"/>
      <c r="CE270" s="4258"/>
      <c r="CF270" s="4258"/>
      <c r="CG270" s="4258"/>
      <c r="CH270" s="4258"/>
      <c r="CI270" s="4258"/>
      <c r="CJ270" s="4258"/>
      <c r="CK270" s="4258"/>
      <c r="CL270" s="4258"/>
      <c r="CM270" s="4258"/>
      <c r="CN270" s="4258"/>
      <c r="CO270" s="4258"/>
      <c r="CP270" s="4258"/>
      <c r="CQ270" s="4258"/>
      <c r="CR270" s="4258"/>
      <c r="CS270" s="4258"/>
      <c r="CT270" s="4258"/>
      <c r="CU270" s="4258"/>
      <c r="CV270" s="4264"/>
      <c r="CW270" s="4264"/>
      <c r="CX270" s="4264"/>
      <c r="CY270" s="4264"/>
      <c r="CZ270" s="4264"/>
      <c r="DA270" s="4264"/>
    </row>
    <row r="271" spans="1:131" ht="13.95" customHeight="1" x14ac:dyDescent="0.25">
      <c r="A271" s="7520">
        <v>28022730</v>
      </c>
      <c r="B271" s="5184" t="s">
        <v>411</v>
      </c>
      <c r="C271" s="5184" t="s">
        <v>5369</v>
      </c>
      <c r="D271" s="3831" t="s">
        <v>5370</v>
      </c>
      <c r="E271" s="3831" t="s">
        <v>5371</v>
      </c>
      <c r="F271" s="3831" t="s">
        <v>5372</v>
      </c>
      <c r="G271" s="3831" t="s">
        <v>5373</v>
      </c>
      <c r="H271" s="3831" t="s">
        <v>5374</v>
      </c>
      <c r="I271" s="3831" t="s">
        <v>5375</v>
      </c>
      <c r="J271" s="3831" t="s">
        <v>5376</v>
      </c>
      <c r="K271" s="3831" t="s">
        <v>5377</v>
      </c>
      <c r="L271" s="3831" t="s">
        <v>5378</v>
      </c>
      <c r="M271" s="3831" t="s">
        <v>5379</v>
      </c>
      <c r="N271" s="3831" t="s">
        <v>5380</v>
      </c>
      <c r="O271" s="3831" t="s">
        <v>5381</v>
      </c>
      <c r="P271" s="3831" t="s">
        <v>5382</v>
      </c>
      <c r="Q271" s="3831" t="s">
        <v>5383</v>
      </c>
      <c r="R271" s="3831" t="s">
        <v>5384</v>
      </c>
      <c r="S271" s="3831" t="s">
        <v>5385</v>
      </c>
      <c r="T271" s="4951" t="s">
        <v>5386</v>
      </c>
      <c r="CB271" s="4496"/>
      <c r="CC271" s="4496"/>
      <c r="CD271" s="4496"/>
      <c r="CE271" s="4496"/>
      <c r="CF271" s="4495"/>
      <c r="CG271" s="4495"/>
      <c r="CH271" s="4495"/>
      <c r="CI271" s="4495"/>
      <c r="CJ271" s="4495"/>
      <c r="CK271" s="4495"/>
      <c r="CL271" s="4495"/>
      <c r="CM271" s="4495"/>
      <c r="CN271" s="4495"/>
      <c r="CO271" s="4495"/>
      <c r="CP271" s="4495"/>
      <c r="CQ271" s="4495"/>
      <c r="CR271" s="4495"/>
      <c r="CS271" s="4495"/>
      <c r="CT271" s="4495"/>
      <c r="CU271" s="4495"/>
      <c r="CV271" s="4264"/>
      <c r="CW271" s="4264"/>
      <c r="CX271" s="4264"/>
      <c r="CY271" s="4264"/>
      <c r="CZ271" s="4264"/>
      <c r="DA271" s="4264"/>
    </row>
    <row r="272" spans="1:131" ht="13.95" customHeight="1" x14ac:dyDescent="0.25">
      <c r="A272" s="7320">
        <v>29101671</v>
      </c>
      <c r="B272" s="5184" t="s">
        <v>2893</v>
      </c>
      <c r="C272" s="5184" t="s">
        <v>5369</v>
      </c>
      <c r="D272" s="3831" t="s">
        <v>5370</v>
      </c>
      <c r="E272" s="3831" t="s">
        <v>5371</v>
      </c>
      <c r="F272" s="3831" t="s">
        <v>5372</v>
      </c>
      <c r="G272" s="3831" t="s">
        <v>5373</v>
      </c>
      <c r="H272" s="3831" t="s">
        <v>5374</v>
      </c>
      <c r="I272" s="3831" t="s">
        <v>5375</v>
      </c>
      <c r="J272" s="3831" t="s">
        <v>5376</v>
      </c>
      <c r="K272" s="3831" t="s">
        <v>5377</v>
      </c>
      <c r="L272" s="3831" t="s">
        <v>5378</v>
      </c>
      <c r="M272" s="3831" t="s">
        <v>5379</v>
      </c>
      <c r="N272" s="3831" t="s">
        <v>5380</v>
      </c>
      <c r="O272" s="3831" t="s">
        <v>5381</v>
      </c>
      <c r="P272" s="3831" t="s">
        <v>5382</v>
      </c>
      <c r="Q272" s="3831" t="s">
        <v>5383</v>
      </c>
      <c r="R272" s="3831" t="s">
        <v>5384</v>
      </c>
      <c r="S272" s="3831" t="s">
        <v>5385</v>
      </c>
      <c r="T272" s="4951" t="s">
        <v>5386</v>
      </c>
      <c r="CF272" s="4495"/>
      <c r="CG272" s="4495"/>
      <c r="CH272" s="4495"/>
      <c r="CI272" s="4495"/>
      <c r="CJ272" s="4495"/>
      <c r="CK272" s="4495"/>
      <c r="CL272" s="4495"/>
      <c r="CM272" s="4495"/>
      <c r="CN272" s="4495"/>
      <c r="CO272" s="4495"/>
      <c r="CP272" s="4495"/>
      <c r="CQ272" s="4495"/>
      <c r="CR272" s="4495"/>
      <c r="CS272" s="4495"/>
      <c r="CT272" s="4495"/>
      <c r="CU272" s="4495"/>
      <c r="CV272" s="4264"/>
      <c r="CW272" s="4264"/>
      <c r="CX272" s="4264"/>
      <c r="CY272" s="4264"/>
      <c r="CZ272" s="4264"/>
      <c r="DA272" s="4264"/>
    </row>
    <row r="273" spans="1:105" ht="13.95" customHeight="1" x14ac:dyDescent="0.25">
      <c r="A273" s="7320">
        <v>29101672</v>
      </c>
      <c r="B273" s="5184" t="s">
        <v>2892</v>
      </c>
      <c r="C273" s="5184" t="s">
        <v>5369</v>
      </c>
      <c r="D273" s="3831" t="s">
        <v>5370</v>
      </c>
      <c r="E273" s="3831" t="s">
        <v>5371</v>
      </c>
      <c r="F273" s="3831" t="s">
        <v>5372</v>
      </c>
      <c r="G273" s="3831" t="s">
        <v>5373</v>
      </c>
      <c r="H273" s="3831" t="s">
        <v>5374</v>
      </c>
      <c r="I273" s="3831" t="s">
        <v>5375</v>
      </c>
      <c r="J273" s="3831" t="s">
        <v>5376</v>
      </c>
      <c r="K273" s="3831" t="s">
        <v>5377</v>
      </c>
      <c r="L273" s="3831" t="s">
        <v>5378</v>
      </c>
      <c r="M273" s="3831" t="s">
        <v>5379</v>
      </c>
      <c r="N273" s="3831" t="s">
        <v>5380</v>
      </c>
      <c r="O273" s="3831" t="s">
        <v>5381</v>
      </c>
      <c r="P273" s="3831" t="s">
        <v>5382</v>
      </c>
      <c r="Q273" s="3831" t="s">
        <v>5383</v>
      </c>
      <c r="R273" s="3831" t="s">
        <v>5384</v>
      </c>
      <c r="S273" s="3831" t="s">
        <v>5385</v>
      </c>
      <c r="T273" s="4951" t="s">
        <v>5386</v>
      </c>
      <c r="CV273" s="4264"/>
      <c r="CW273" s="4264"/>
      <c r="CX273" s="4264"/>
      <c r="CY273" s="4264"/>
      <c r="CZ273" s="4264"/>
      <c r="DA273" s="4264"/>
    </row>
    <row r="274" spans="1:105" ht="13.95" customHeight="1" x14ac:dyDescent="0.25">
      <c r="A274" s="7320">
        <v>29101673</v>
      </c>
      <c r="B274" s="5184" t="s">
        <v>2891</v>
      </c>
      <c r="C274" s="5184" t="s">
        <v>5369</v>
      </c>
      <c r="D274" s="3831" t="s">
        <v>5370</v>
      </c>
      <c r="E274" s="3831" t="s">
        <v>5371</v>
      </c>
      <c r="F274" s="3831" t="s">
        <v>5372</v>
      </c>
      <c r="G274" s="3831" t="s">
        <v>5373</v>
      </c>
      <c r="H274" s="3831" t="s">
        <v>5374</v>
      </c>
      <c r="I274" s="3831" t="s">
        <v>5375</v>
      </c>
      <c r="J274" s="3831" t="s">
        <v>5376</v>
      </c>
      <c r="K274" s="3831" t="s">
        <v>5377</v>
      </c>
      <c r="L274" s="3831" t="s">
        <v>5378</v>
      </c>
      <c r="M274" s="3831" t="s">
        <v>5379</v>
      </c>
      <c r="N274" s="3831" t="s">
        <v>5380</v>
      </c>
      <c r="O274" s="3831" t="s">
        <v>5381</v>
      </c>
      <c r="P274" s="3831" t="s">
        <v>5382</v>
      </c>
      <c r="Q274" s="3831" t="s">
        <v>5383</v>
      </c>
      <c r="R274" s="3831" t="s">
        <v>5384</v>
      </c>
      <c r="S274" s="3831" t="s">
        <v>5385</v>
      </c>
      <c r="T274" s="4951" t="s">
        <v>5386</v>
      </c>
      <c r="CG274" s="4495"/>
      <c r="CH274" s="4495"/>
      <c r="CI274" s="4495"/>
      <c r="CJ274" s="4495"/>
      <c r="CK274" s="4495"/>
      <c r="CL274" s="4495"/>
      <c r="CM274" s="4495"/>
      <c r="CN274" s="4495"/>
      <c r="CO274" s="4495"/>
      <c r="CP274" s="4495"/>
      <c r="CQ274" s="4495"/>
      <c r="CR274" s="4495"/>
      <c r="CS274" s="4495"/>
      <c r="CT274" s="4495"/>
      <c r="CU274" s="4495"/>
      <c r="CV274" s="4264"/>
      <c r="CW274" s="4264"/>
      <c r="CX274" s="4264"/>
      <c r="CY274" s="4264"/>
      <c r="CZ274" s="4264"/>
      <c r="DA274" s="4264"/>
    </row>
    <row r="275" spans="1:105" ht="13.95" customHeight="1" x14ac:dyDescent="0.25">
      <c r="A275" s="7520">
        <v>28022750</v>
      </c>
      <c r="B275" s="5184" t="s">
        <v>638</v>
      </c>
      <c r="C275" s="5184" t="s">
        <v>5369</v>
      </c>
      <c r="D275" s="3831" t="s">
        <v>5370</v>
      </c>
      <c r="E275" s="3831" t="s">
        <v>5371</v>
      </c>
      <c r="F275" s="3831" t="s">
        <v>5372</v>
      </c>
      <c r="G275" s="3831" t="s">
        <v>5373</v>
      </c>
      <c r="H275" s="3831" t="s">
        <v>5374</v>
      </c>
      <c r="I275" s="3831" t="s">
        <v>5375</v>
      </c>
      <c r="J275" s="3831" t="s">
        <v>5376</v>
      </c>
      <c r="K275" s="3831" t="s">
        <v>5377</v>
      </c>
      <c r="L275" s="3831" t="s">
        <v>5378</v>
      </c>
      <c r="M275" s="3831" t="s">
        <v>5379</v>
      </c>
      <c r="N275" s="3831" t="s">
        <v>5380</v>
      </c>
      <c r="O275" s="3831" t="s">
        <v>5381</v>
      </c>
      <c r="P275" s="3831" t="s">
        <v>5382</v>
      </c>
      <c r="Q275" s="3831" t="s">
        <v>5383</v>
      </c>
      <c r="R275" s="3831" t="s">
        <v>5384</v>
      </c>
      <c r="S275" s="3831" t="s">
        <v>5385</v>
      </c>
      <c r="T275" s="4951" t="s">
        <v>5386</v>
      </c>
      <c r="CG275" s="4258"/>
      <c r="CH275" s="4258"/>
      <c r="CI275" s="4258"/>
      <c r="CJ275" s="4258"/>
      <c r="CK275" s="4258"/>
      <c r="CL275" s="4258"/>
      <c r="CM275" s="4258"/>
      <c r="CN275" s="4258"/>
      <c r="CO275" s="4258"/>
      <c r="CP275" s="4258"/>
      <c r="CQ275" s="4258"/>
      <c r="CR275" s="4258"/>
      <c r="CS275" s="4258"/>
      <c r="CT275" s="4258"/>
      <c r="CU275" s="4258"/>
      <c r="CV275" s="4264"/>
      <c r="CW275" s="4264"/>
      <c r="CX275" s="4264"/>
      <c r="CY275" s="4264"/>
      <c r="CZ275" s="4264"/>
      <c r="DA275" s="4264"/>
    </row>
    <row r="276" spans="1:105" ht="13.95" customHeight="1" x14ac:dyDescent="0.25">
      <c r="A276" s="7520">
        <v>28022760</v>
      </c>
      <c r="B276" s="5184" t="s">
        <v>639</v>
      </c>
      <c r="C276" s="5184" t="s">
        <v>5369</v>
      </c>
      <c r="D276" s="3831" t="s">
        <v>5370</v>
      </c>
      <c r="E276" s="3831" t="s">
        <v>5371</v>
      </c>
      <c r="F276" s="3831" t="s">
        <v>5372</v>
      </c>
      <c r="G276" s="3831" t="s">
        <v>5373</v>
      </c>
      <c r="H276" s="3831" t="s">
        <v>5374</v>
      </c>
      <c r="I276" s="3831" t="s">
        <v>5375</v>
      </c>
      <c r="J276" s="3831" t="s">
        <v>5376</v>
      </c>
      <c r="K276" s="3831" t="s">
        <v>5377</v>
      </c>
      <c r="L276" s="3831" t="s">
        <v>5378</v>
      </c>
      <c r="M276" s="3831" t="s">
        <v>5379</v>
      </c>
      <c r="N276" s="3831" t="s">
        <v>5380</v>
      </c>
      <c r="O276" s="3831" t="s">
        <v>5381</v>
      </c>
      <c r="P276" s="3831" t="s">
        <v>5382</v>
      </c>
      <c r="Q276" s="3831" t="s">
        <v>5383</v>
      </c>
      <c r="R276" s="3831" t="s">
        <v>5384</v>
      </c>
      <c r="S276" s="3831" t="s">
        <v>5385</v>
      </c>
      <c r="T276" s="4951" t="s">
        <v>5386</v>
      </c>
      <c r="CG276" s="4258"/>
      <c r="CH276" s="4258"/>
      <c r="CI276" s="4258"/>
      <c r="CJ276" s="4258"/>
      <c r="CK276" s="4258"/>
      <c r="CL276" s="4258"/>
      <c r="CM276" s="4258"/>
      <c r="CN276" s="4258"/>
      <c r="CO276" s="4258"/>
      <c r="CP276" s="4258"/>
      <c r="CQ276" s="4258"/>
      <c r="CR276" s="4258"/>
      <c r="CS276" s="4258"/>
      <c r="CT276" s="4258"/>
      <c r="CU276" s="4258"/>
      <c r="CV276" s="4264"/>
      <c r="CW276" s="4264"/>
      <c r="CX276" s="4264"/>
      <c r="CY276" s="4264"/>
      <c r="CZ276" s="4264"/>
      <c r="DA276" s="4264"/>
    </row>
    <row r="277" spans="1:105" ht="13.95" customHeight="1" x14ac:dyDescent="0.25">
      <c r="A277" s="7520">
        <v>28022770</v>
      </c>
      <c r="B277" s="5184" t="s">
        <v>410</v>
      </c>
      <c r="C277" s="5184" t="s">
        <v>5369</v>
      </c>
      <c r="D277" s="3831" t="s">
        <v>5370</v>
      </c>
      <c r="E277" s="3831" t="s">
        <v>5371</v>
      </c>
      <c r="F277" s="3831" t="s">
        <v>5372</v>
      </c>
      <c r="G277" s="3831" t="s">
        <v>5373</v>
      </c>
      <c r="H277" s="3831" t="s">
        <v>5374</v>
      </c>
      <c r="I277" s="3831" t="s">
        <v>5375</v>
      </c>
      <c r="J277" s="3831" t="s">
        <v>5376</v>
      </c>
      <c r="K277" s="3831" t="s">
        <v>5377</v>
      </c>
      <c r="L277" s="3831" t="s">
        <v>5378</v>
      </c>
      <c r="M277" s="3831" t="s">
        <v>5379</v>
      </c>
      <c r="N277" s="3831" t="s">
        <v>5380</v>
      </c>
      <c r="O277" s="3831" t="s">
        <v>5381</v>
      </c>
      <c r="P277" s="3831" t="s">
        <v>5382</v>
      </c>
      <c r="Q277" s="3831" t="s">
        <v>5383</v>
      </c>
      <c r="R277" s="3831" t="s">
        <v>5384</v>
      </c>
      <c r="S277" s="3831" t="s">
        <v>5385</v>
      </c>
      <c r="T277" s="4951" t="s">
        <v>5386</v>
      </c>
      <c r="BZ277" s="4264"/>
      <c r="CA277" s="4264"/>
      <c r="CG277" s="4258"/>
      <c r="CH277" s="4258"/>
      <c r="CI277" s="4258"/>
      <c r="CJ277" s="4258"/>
      <c r="CK277" s="4258"/>
      <c r="CL277" s="4258"/>
      <c r="CM277" s="4258"/>
      <c r="CN277" s="4258"/>
      <c r="CO277" s="4258"/>
      <c r="CP277" s="4258"/>
      <c r="CQ277" s="4258"/>
      <c r="CR277" s="4258"/>
      <c r="CS277" s="4258"/>
      <c r="CT277" s="4258"/>
      <c r="CU277" s="4258"/>
      <c r="CV277" s="4264"/>
      <c r="CW277" s="4264"/>
      <c r="CX277" s="4264"/>
      <c r="CY277" s="4264"/>
      <c r="CZ277" s="4264"/>
      <c r="DA277" s="4264"/>
    </row>
    <row r="278" spans="1:105" ht="13.95" customHeight="1" x14ac:dyDescent="0.25">
      <c r="A278" s="7520">
        <v>28023020</v>
      </c>
      <c r="B278" s="5184" t="s">
        <v>640</v>
      </c>
      <c r="C278" s="5184" t="s">
        <v>5369</v>
      </c>
      <c r="D278" s="3831" t="s">
        <v>5370</v>
      </c>
      <c r="E278" s="3831" t="s">
        <v>5371</v>
      </c>
      <c r="F278" s="3831" t="s">
        <v>5372</v>
      </c>
      <c r="G278" s="3831" t="s">
        <v>5373</v>
      </c>
      <c r="H278" s="3831" t="s">
        <v>5374</v>
      </c>
      <c r="I278" s="3831" t="s">
        <v>5375</v>
      </c>
      <c r="J278" s="3831" t="s">
        <v>5376</v>
      </c>
      <c r="K278" s="3831" t="s">
        <v>5377</v>
      </c>
      <c r="L278" s="3831" t="s">
        <v>5378</v>
      </c>
      <c r="M278" s="3831" t="s">
        <v>5379</v>
      </c>
      <c r="N278" s="3831" t="s">
        <v>5380</v>
      </c>
      <c r="O278" s="3831" t="s">
        <v>5381</v>
      </c>
      <c r="P278" s="3831" t="s">
        <v>5382</v>
      </c>
      <c r="Q278" s="3831" t="s">
        <v>5383</v>
      </c>
      <c r="R278" s="3831" t="s">
        <v>5384</v>
      </c>
      <c r="S278" s="3831" t="s">
        <v>5385</v>
      </c>
      <c r="T278" s="4951" t="s">
        <v>5386</v>
      </c>
      <c r="BZ278" s="4264"/>
      <c r="CA278" s="4264"/>
      <c r="CG278" s="4258"/>
      <c r="CH278" s="4258"/>
      <c r="CI278" s="4258"/>
      <c r="CJ278" s="4258"/>
      <c r="CK278" s="4258"/>
      <c r="CL278" s="4258"/>
      <c r="CM278" s="4258"/>
      <c r="CN278" s="4258"/>
      <c r="CO278" s="4258"/>
      <c r="CP278" s="4258"/>
      <c r="CQ278" s="4258"/>
      <c r="CR278" s="4258"/>
      <c r="CS278" s="4258"/>
      <c r="CT278" s="4258"/>
      <c r="CU278" s="4258"/>
      <c r="CV278" s="4264"/>
      <c r="CW278" s="4264"/>
      <c r="CX278" s="4264"/>
      <c r="CY278" s="4264"/>
      <c r="CZ278" s="4264"/>
      <c r="DA278" s="4264"/>
    </row>
    <row r="279" spans="1:105" ht="13.95" customHeight="1" x14ac:dyDescent="0.25">
      <c r="A279" s="7665">
        <v>28023030</v>
      </c>
      <c r="B279" s="7677" t="s">
        <v>641</v>
      </c>
      <c r="C279" s="5184" t="s">
        <v>5369</v>
      </c>
      <c r="D279" s="3831" t="s">
        <v>5370</v>
      </c>
      <c r="E279" s="3831" t="s">
        <v>5371</v>
      </c>
      <c r="F279" s="3831" t="s">
        <v>5372</v>
      </c>
      <c r="G279" s="3831" t="s">
        <v>5373</v>
      </c>
      <c r="H279" s="3831" t="s">
        <v>5374</v>
      </c>
      <c r="I279" s="3831" t="s">
        <v>5375</v>
      </c>
      <c r="J279" s="3831" t="s">
        <v>5376</v>
      </c>
      <c r="K279" s="3831" t="s">
        <v>5377</v>
      </c>
      <c r="L279" s="3831" t="s">
        <v>5378</v>
      </c>
      <c r="M279" s="3831" t="s">
        <v>5379</v>
      </c>
      <c r="N279" s="3831" t="s">
        <v>5380</v>
      </c>
      <c r="O279" s="3831" t="s">
        <v>5381</v>
      </c>
      <c r="P279" s="3831" t="s">
        <v>5382</v>
      </c>
      <c r="Q279" s="3831" t="s">
        <v>5383</v>
      </c>
      <c r="R279" s="3831" t="s">
        <v>5384</v>
      </c>
      <c r="S279" s="3831" t="s">
        <v>5385</v>
      </c>
      <c r="T279" s="4951" t="s">
        <v>5386</v>
      </c>
      <c r="BZ279" s="4264"/>
      <c r="CA279" s="4264"/>
      <c r="CG279" s="4258"/>
      <c r="CH279" s="4258"/>
      <c r="CI279" s="4258"/>
      <c r="CJ279" s="4258"/>
      <c r="CK279" s="4258"/>
      <c r="CL279" s="4258"/>
      <c r="CM279" s="4258"/>
      <c r="CN279" s="4258"/>
      <c r="CO279" s="4258"/>
      <c r="CP279" s="4258"/>
      <c r="CQ279" s="4258"/>
      <c r="CR279" s="4258"/>
      <c r="CS279" s="4258"/>
      <c r="CT279" s="4258"/>
      <c r="CU279" s="4258"/>
      <c r="CV279" s="4264"/>
      <c r="CW279" s="4264"/>
      <c r="CX279" s="4264"/>
      <c r="CY279" s="4264"/>
      <c r="CZ279" s="4264"/>
      <c r="DA279" s="4264"/>
    </row>
    <row r="280" spans="1:105" ht="13.95" customHeight="1" x14ac:dyDescent="0.25">
      <c r="A280" s="7665">
        <v>28101200</v>
      </c>
      <c r="B280" s="5271" t="s">
        <v>468</v>
      </c>
      <c r="C280" s="5184" t="s">
        <v>5369</v>
      </c>
      <c r="D280" s="4427" t="s">
        <v>5370</v>
      </c>
      <c r="E280" s="4427" t="s">
        <v>5371</v>
      </c>
      <c r="F280" s="4427" t="s">
        <v>5372</v>
      </c>
      <c r="G280" s="4427" t="s">
        <v>5373</v>
      </c>
      <c r="H280" s="4427" t="s">
        <v>5374</v>
      </c>
      <c r="I280" s="4427" t="s">
        <v>5375</v>
      </c>
      <c r="J280" s="4427" t="s">
        <v>5376</v>
      </c>
      <c r="K280" s="4427" t="s">
        <v>5377</v>
      </c>
      <c r="L280" s="4427" t="s">
        <v>5378</v>
      </c>
      <c r="M280" s="4427" t="s">
        <v>5379</v>
      </c>
      <c r="N280" s="4427" t="s">
        <v>5380</v>
      </c>
      <c r="O280" s="4427" t="s">
        <v>5381</v>
      </c>
      <c r="P280" s="4427" t="s">
        <v>5382</v>
      </c>
      <c r="Q280" s="4427" t="s">
        <v>5383</v>
      </c>
      <c r="R280" s="4427" t="s">
        <v>5384</v>
      </c>
      <c r="S280" s="4427" t="s">
        <v>5385</v>
      </c>
      <c r="T280" s="4038" t="s">
        <v>5386</v>
      </c>
      <c r="BZ280" s="4264"/>
      <c r="CA280" s="4264"/>
      <c r="CG280" s="4258"/>
      <c r="CH280" s="4258"/>
      <c r="CI280" s="4258"/>
      <c r="CJ280" s="4258"/>
      <c r="CK280" s="4258"/>
      <c r="CL280" s="4258"/>
      <c r="CM280" s="4258"/>
      <c r="CN280" s="4258"/>
      <c r="CO280" s="4258"/>
      <c r="CP280" s="4258"/>
      <c r="CQ280" s="4258"/>
      <c r="CR280" s="4258"/>
      <c r="CS280" s="4258"/>
      <c r="CT280" s="4258"/>
      <c r="CU280" s="4258"/>
      <c r="CV280" s="4264"/>
      <c r="CW280" s="4264"/>
      <c r="CX280" s="4264"/>
      <c r="CY280" s="4264"/>
      <c r="CZ280" s="4264"/>
      <c r="DA280" s="4264"/>
    </row>
    <row r="281" spans="1:105" ht="13.95" customHeight="1" x14ac:dyDescent="0.25">
      <c r="A281" s="7665">
        <v>28101300</v>
      </c>
      <c r="B281" s="5271" t="s">
        <v>469</v>
      </c>
      <c r="C281" s="5184" t="s">
        <v>5369</v>
      </c>
      <c r="D281" s="3831" t="s">
        <v>5370</v>
      </c>
      <c r="E281" s="3831" t="s">
        <v>5371</v>
      </c>
      <c r="F281" s="3831" t="s">
        <v>5372</v>
      </c>
      <c r="G281" s="3831" t="s">
        <v>5373</v>
      </c>
      <c r="H281" s="3831" t="s">
        <v>5374</v>
      </c>
      <c r="I281" s="3831" t="s">
        <v>5375</v>
      </c>
      <c r="J281" s="3831" t="s">
        <v>5376</v>
      </c>
      <c r="K281" s="3831" t="s">
        <v>5377</v>
      </c>
      <c r="L281" s="3831" t="s">
        <v>5378</v>
      </c>
      <c r="M281" s="3831" t="s">
        <v>5379</v>
      </c>
      <c r="N281" s="3831" t="s">
        <v>5380</v>
      </c>
      <c r="O281" s="3831" t="s">
        <v>5381</v>
      </c>
      <c r="P281" s="3831" t="s">
        <v>5382</v>
      </c>
      <c r="Q281" s="3831" t="s">
        <v>5383</v>
      </c>
      <c r="R281" s="3831" t="s">
        <v>5384</v>
      </c>
      <c r="S281" s="3831" t="s">
        <v>5385</v>
      </c>
      <c r="T281" s="4951" t="s">
        <v>5386</v>
      </c>
      <c r="BZ281" s="4264"/>
      <c r="CA281" s="4264"/>
      <c r="CG281" s="4258"/>
      <c r="CH281" s="4258"/>
      <c r="CI281" s="4258"/>
      <c r="CJ281" s="4258"/>
      <c r="CK281" s="4258"/>
      <c r="CL281" s="4258"/>
      <c r="CM281" s="4258"/>
      <c r="CN281" s="4258"/>
      <c r="CO281" s="4258"/>
      <c r="CP281" s="4258"/>
      <c r="CQ281" s="4258"/>
      <c r="CR281" s="4258"/>
      <c r="CS281" s="4258"/>
      <c r="CT281" s="4258"/>
      <c r="CU281" s="4258"/>
      <c r="CV281" s="4264"/>
      <c r="CW281" s="4264"/>
      <c r="CX281" s="4264"/>
      <c r="CY281" s="4264"/>
      <c r="CZ281" s="4264"/>
      <c r="DA281" s="4264"/>
    </row>
    <row r="282" spans="1:105" ht="13.95" customHeight="1" x14ac:dyDescent="0.25">
      <c r="A282" s="7678">
        <v>28101400</v>
      </c>
      <c r="B282" s="5272" t="s">
        <v>642</v>
      </c>
      <c r="C282" s="5184" t="s">
        <v>5369</v>
      </c>
      <c r="D282" s="3831" t="s">
        <v>5370</v>
      </c>
      <c r="E282" s="3831" t="s">
        <v>5371</v>
      </c>
      <c r="F282" s="3831" t="s">
        <v>5372</v>
      </c>
      <c r="G282" s="3831" t="s">
        <v>5373</v>
      </c>
      <c r="H282" s="3831" t="s">
        <v>5374</v>
      </c>
      <c r="I282" s="3831" t="s">
        <v>5375</v>
      </c>
      <c r="J282" s="3831" t="s">
        <v>5376</v>
      </c>
      <c r="K282" s="3831" t="s">
        <v>5377</v>
      </c>
      <c r="L282" s="3831" t="s">
        <v>5378</v>
      </c>
      <c r="M282" s="3831" t="s">
        <v>5379</v>
      </c>
      <c r="N282" s="3831" t="s">
        <v>5380</v>
      </c>
      <c r="O282" s="3831" t="s">
        <v>5381</v>
      </c>
      <c r="P282" s="3831" t="s">
        <v>5382</v>
      </c>
      <c r="Q282" s="3831" t="s">
        <v>5383</v>
      </c>
      <c r="R282" s="3831" t="s">
        <v>5384</v>
      </c>
      <c r="S282" s="3831" t="s">
        <v>5385</v>
      </c>
      <c r="T282" s="4951" t="s">
        <v>5386</v>
      </c>
      <c r="BZ282" s="4264"/>
      <c r="CA282" s="4264"/>
      <c r="CG282" s="4258"/>
      <c r="CH282" s="4258"/>
      <c r="CI282" s="4258"/>
      <c r="CJ282" s="4258"/>
      <c r="CK282" s="4258"/>
      <c r="CL282" s="4258"/>
      <c r="CM282" s="4258"/>
      <c r="CN282" s="4258"/>
      <c r="CO282" s="4258"/>
      <c r="CP282" s="4258"/>
      <c r="CQ282" s="4258"/>
      <c r="CR282" s="4258"/>
      <c r="CS282" s="4258"/>
      <c r="CT282" s="4258"/>
      <c r="CU282" s="4258"/>
      <c r="CV282" s="4264"/>
      <c r="CW282" s="4264"/>
      <c r="CX282" s="4264"/>
      <c r="CY282" s="4264"/>
      <c r="CZ282" s="4264"/>
      <c r="DA282" s="4264"/>
    </row>
    <row r="283" spans="1:105" ht="13.95" customHeight="1" x14ac:dyDescent="0.25">
      <c r="A283" s="7665">
        <v>28101500</v>
      </c>
      <c r="B283" s="5271" t="s">
        <v>470</v>
      </c>
      <c r="C283" s="5184" t="s">
        <v>5369</v>
      </c>
      <c r="D283" s="3831" t="s">
        <v>5370</v>
      </c>
      <c r="E283" s="3831" t="s">
        <v>5371</v>
      </c>
      <c r="F283" s="3831" t="s">
        <v>5372</v>
      </c>
      <c r="G283" s="3831" t="s">
        <v>5373</v>
      </c>
      <c r="H283" s="3831" t="s">
        <v>5374</v>
      </c>
      <c r="I283" s="3831" t="s">
        <v>5375</v>
      </c>
      <c r="J283" s="3831" t="s">
        <v>5376</v>
      </c>
      <c r="K283" s="3831" t="s">
        <v>5377</v>
      </c>
      <c r="L283" s="3831" t="s">
        <v>5378</v>
      </c>
      <c r="M283" s="3831" t="s">
        <v>5379</v>
      </c>
      <c r="N283" s="3831" t="s">
        <v>5380</v>
      </c>
      <c r="O283" s="3831" t="s">
        <v>5381</v>
      </c>
      <c r="P283" s="3831" t="s">
        <v>5382</v>
      </c>
      <c r="Q283" s="3831" t="s">
        <v>5383</v>
      </c>
      <c r="R283" s="3831" t="s">
        <v>5384</v>
      </c>
      <c r="S283" s="3831" t="s">
        <v>5385</v>
      </c>
      <c r="T283" s="4951" t="s">
        <v>5386</v>
      </c>
      <c r="BZ283" s="4264"/>
      <c r="CA283" s="4264"/>
      <c r="CG283" s="4258"/>
      <c r="CH283" s="4258"/>
      <c r="CI283" s="4258"/>
      <c r="CJ283" s="4258"/>
      <c r="CK283" s="4258"/>
      <c r="CL283" s="4258"/>
      <c r="CM283" s="4258"/>
      <c r="CN283" s="4258"/>
      <c r="CO283" s="4258"/>
      <c r="CP283" s="4258"/>
      <c r="CQ283" s="4258"/>
      <c r="CR283" s="4258"/>
      <c r="CS283" s="4258"/>
      <c r="CT283" s="4258"/>
      <c r="CU283" s="4258"/>
      <c r="CV283" s="4264"/>
      <c r="CW283" s="4264"/>
      <c r="CX283" s="4264"/>
      <c r="CY283" s="4264"/>
      <c r="CZ283" s="4264"/>
      <c r="DA283" s="4264"/>
    </row>
    <row r="284" spans="1:105" ht="13.95" customHeight="1" x14ac:dyDescent="0.25">
      <c r="A284" s="7665">
        <v>28101600</v>
      </c>
      <c r="B284" s="5271" t="s">
        <v>471</v>
      </c>
      <c r="C284" s="5184" t="s">
        <v>5369</v>
      </c>
      <c r="D284" s="3831" t="s">
        <v>5370</v>
      </c>
      <c r="E284" s="3831" t="s">
        <v>5371</v>
      </c>
      <c r="F284" s="3831" t="s">
        <v>5372</v>
      </c>
      <c r="G284" s="3831" t="s">
        <v>5373</v>
      </c>
      <c r="H284" s="3831" t="s">
        <v>5374</v>
      </c>
      <c r="I284" s="3831" t="s">
        <v>5375</v>
      </c>
      <c r="J284" s="3831" t="s">
        <v>5376</v>
      </c>
      <c r="K284" s="3831" t="s">
        <v>5377</v>
      </c>
      <c r="L284" s="3831" t="s">
        <v>5378</v>
      </c>
      <c r="M284" s="3831" t="s">
        <v>5379</v>
      </c>
      <c r="N284" s="3831" t="s">
        <v>5380</v>
      </c>
      <c r="O284" s="3831" t="s">
        <v>5381</v>
      </c>
      <c r="P284" s="3831" t="s">
        <v>5382</v>
      </c>
      <c r="Q284" s="3831" t="s">
        <v>5383</v>
      </c>
      <c r="R284" s="3831" t="s">
        <v>5384</v>
      </c>
      <c r="S284" s="3831" t="s">
        <v>5385</v>
      </c>
      <c r="T284" s="4951" t="s">
        <v>5386</v>
      </c>
      <c r="BZ284" s="4264"/>
      <c r="CA284" s="4264"/>
      <c r="CG284" s="4258"/>
      <c r="CH284" s="4258"/>
      <c r="CI284" s="4258"/>
      <c r="CJ284" s="4258"/>
      <c r="CK284" s="4258"/>
      <c r="CL284" s="4258"/>
      <c r="CM284" s="4258"/>
      <c r="CN284" s="4258"/>
      <c r="CO284" s="4258"/>
      <c r="CP284" s="4258"/>
      <c r="CQ284" s="4258"/>
      <c r="CR284" s="4258"/>
      <c r="CS284" s="4258"/>
      <c r="CT284" s="4258"/>
      <c r="CU284" s="4258"/>
      <c r="CV284" s="4264"/>
      <c r="CW284" s="4264"/>
      <c r="CX284" s="4264"/>
      <c r="CY284" s="4264"/>
      <c r="CZ284" s="4264"/>
      <c r="DA284" s="4264"/>
    </row>
    <row r="285" spans="1:105" ht="13.95" customHeight="1" x14ac:dyDescent="0.25">
      <c r="A285" s="7665">
        <v>28101700</v>
      </c>
      <c r="B285" s="3801" t="s">
        <v>28</v>
      </c>
      <c r="C285" s="5187" t="s">
        <v>5369</v>
      </c>
      <c r="D285" s="4421" t="s">
        <v>5370</v>
      </c>
      <c r="E285" s="4421" t="s">
        <v>5371</v>
      </c>
      <c r="F285" s="4421" t="s">
        <v>5372</v>
      </c>
      <c r="G285" s="4421" t="s">
        <v>5373</v>
      </c>
      <c r="H285" s="4421" t="s">
        <v>5374</v>
      </c>
      <c r="I285" s="4421" t="s">
        <v>5375</v>
      </c>
      <c r="J285" s="4421" t="s">
        <v>5376</v>
      </c>
      <c r="K285" s="4421" t="s">
        <v>5377</v>
      </c>
      <c r="L285" s="4421" t="s">
        <v>5378</v>
      </c>
      <c r="M285" s="4421" t="s">
        <v>5379</v>
      </c>
      <c r="N285" s="4421" t="s">
        <v>5380</v>
      </c>
      <c r="O285" s="4421" t="s">
        <v>5381</v>
      </c>
      <c r="P285" s="4421" t="s">
        <v>5382</v>
      </c>
      <c r="Q285" s="4421" t="s">
        <v>5383</v>
      </c>
      <c r="R285" s="4421" t="s">
        <v>5384</v>
      </c>
      <c r="S285" s="4421" t="s">
        <v>5385</v>
      </c>
      <c r="T285" s="5027" t="s">
        <v>5386</v>
      </c>
      <c r="BZ285" s="4264"/>
      <c r="CA285" s="4264"/>
      <c r="CG285" s="4258"/>
      <c r="CH285" s="4258"/>
      <c r="CI285" s="4258"/>
      <c r="CJ285" s="4258"/>
      <c r="CK285" s="4258"/>
      <c r="CL285" s="4258"/>
      <c r="CM285" s="4258"/>
      <c r="CN285" s="4258"/>
      <c r="CO285" s="4258"/>
      <c r="CP285" s="4258"/>
      <c r="CQ285" s="4258"/>
      <c r="CR285" s="4258"/>
      <c r="CS285" s="4258"/>
      <c r="CT285" s="4258"/>
      <c r="CU285" s="4258"/>
      <c r="CV285" s="4264"/>
      <c r="CW285" s="4264"/>
      <c r="CX285" s="4264"/>
      <c r="CY285" s="4264"/>
      <c r="CZ285" s="4264"/>
      <c r="DA285" s="4264"/>
    </row>
    <row r="286" spans="1:105" ht="26.25" customHeight="1" x14ac:dyDescent="0.25">
      <c r="B286" s="5138" t="s">
        <v>643</v>
      </c>
      <c r="C286" s="5138"/>
      <c r="CG286" s="4258"/>
      <c r="CH286" s="4258"/>
      <c r="CI286" s="4258"/>
      <c r="CJ286" s="4258"/>
      <c r="CK286" s="4258"/>
      <c r="CL286" s="4258"/>
      <c r="CM286" s="4258"/>
      <c r="CN286" s="4258"/>
      <c r="CO286" s="4258"/>
      <c r="CP286" s="4258"/>
      <c r="CQ286" s="4258"/>
      <c r="CR286" s="4258"/>
      <c r="CS286" s="4258"/>
      <c r="CT286" s="4258"/>
      <c r="CU286" s="4258"/>
      <c r="CV286" s="4264"/>
      <c r="CW286" s="4264"/>
      <c r="CX286" s="4264"/>
      <c r="CY286" s="4264"/>
      <c r="CZ286" s="4264"/>
      <c r="DA286" s="4264"/>
    </row>
    <row r="287" spans="1:105" ht="18.75" customHeight="1" x14ac:dyDescent="0.25">
      <c r="B287" s="9249" t="s">
        <v>2855</v>
      </c>
      <c r="C287" s="10931" t="s">
        <v>24</v>
      </c>
      <c r="D287" s="10933" t="s">
        <v>55</v>
      </c>
      <c r="E287" s="10934"/>
      <c r="F287" s="10934"/>
      <c r="G287" s="10934"/>
      <c r="H287" s="10934"/>
      <c r="I287" s="10934"/>
      <c r="J287" s="10934"/>
      <c r="K287" s="10934"/>
      <c r="L287" s="10934"/>
      <c r="M287" s="10934"/>
      <c r="N287" s="10934"/>
      <c r="O287" s="10934"/>
      <c r="P287" s="10934"/>
      <c r="Q287" s="10934"/>
      <c r="R287" s="10934"/>
      <c r="S287" s="10934"/>
      <c r="T287" s="10935"/>
      <c r="BX287" s="4260"/>
      <c r="BY287" s="4260"/>
      <c r="BZ287" s="4264"/>
      <c r="CA287" s="4264"/>
      <c r="CG287" s="4258"/>
      <c r="CH287" s="4258"/>
      <c r="CI287" s="4258"/>
      <c r="CJ287" s="4258"/>
      <c r="CK287" s="4258"/>
      <c r="CL287" s="4258"/>
      <c r="CM287" s="4258"/>
      <c r="CN287" s="4258"/>
      <c r="CO287" s="4258"/>
      <c r="CP287" s="4258"/>
      <c r="CQ287" s="4258"/>
      <c r="CR287" s="4258"/>
      <c r="CS287" s="4258"/>
      <c r="CT287" s="4258"/>
      <c r="CU287" s="4258"/>
      <c r="CV287" s="4264"/>
      <c r="CW287" s="4264"/>
      <c r="CX287" s="4264"/>
      <c r="CY287" s="4264"/>
      <c r="CZ287" s="4264"/>
      <c r="DA287" s="4264"/>
    </row>
    <row r="288" spans="1:105" ht="18.75" customHeight="1" x14ac:dyDescent="0.25">
      <c r="B288" s="10955"/>
      <c r="C288" s="10932"/>
      <c r="D288" s="5257" t="s">
        <v>75</v>
      </c>
      <c r="E288" s="5257" t="s">
        <v>76</v>
      </c>
      <c r="F288" s="5257" t="s">
        <v>77</v>
      </c>
      <c r="G288" s="5258" t="s">
        <v>68</v>
      </c>
      <c r="H288" s="5258" t="s">
        <v>142</v>
      </c>
      <c r="I288" s="5258" t="s">
        <v>143</v>
      </c>
      <c r="J288" s="5258" t="s">
        <v>144</v>
      </c>
      <c r="K288" s="5258" t="s">
        <v>7</v>
      </c>
      <c r="L288" s="5258" t="s">
        <v>8</v>
      </c>
      <c r="M288" s="5258" t="s">
        <v>145</v>
      </c>
      <c r="N288" s="5258" t="s">
        <v>10</v>
      </c>
      <c r="O288" s="5258" t="s">
        <v>11</v>
      </c>
      <c r="P288" s="5258" t="s">
        <v>12</v>
      </c>
      <c r="Q288" s="5258" t="s">
        <v>13</v>
      </c>
      <c r="R288" s="5258" t="s">
        <v>14</v>
      </c>
      <c r="S288" s="5258" t="s">
        <v>15</v>
      </c>
      <c r="T288" s="5259" t="s">
        <v>16</v>
      </c>
      <c r="BC288" s="4259"/>
      <c r="BD288" s="4259"/>
      <c r="BZ288" s="4264"/>
      <c r="CA288" s="4264"/>
      <c r="CG288" s="4258"/>
      <c r="CH288" s="4258"/>
      <c r="CI288" s="4258"/>
      <c r="CJ288" s="4258"/>
      <c r="CK288" s="4258"/>
      <c r="CL288" s="4258"/>
      <c r="CM288" s="4258"/>
      <c r="CN288" s="4258"/>
      <c r="CO288" s="4258"/>
      <c r="CP288" s="4258"/>
      <c r="CQ288" s="4258"/>
      <c r="CR288" s="4258"/>
      <c r="CS288" s="4258"/>
      <c r="CT288" s="4258"/>
      <c r="CU288" s="4258"/>
      <c r="CV288" s="4264"/>
      <c r="CW288" s="4264"/>
      <c r="CX288" s="4264"/>
      <c r="CY288" s="4264"/>
      <c r="CZ288" s="4264"/>
      <c r="DA288" s="4264"/>
    </row>
    <row r="289" spans="1:105" ht="14.1" customHeight="1" x14ac:dyDescent="0.25">
      <c r="A289" s="7520">
        <v>28022790</v>
      </c>
      <c r="B289" s="5273" t="s">
        <v>2822</v>
      </c>
      <c r="C289" s="5265" t="s">
        <v>5369</v>
      </c>
      <c r="D289" s="4427" t="s">
        <v>5370</v>
      </c>
      <c r="E289" s="4427" t="s">
        <v>5371</v>
      </c>
      <c r="F289" s="4427" t="s">
        <v>5372</v>
      </c>
      <c r="G289" s="4427" t="s">
        <v>5373</v>
      </c>
      <c r="H289" s="4427" t="s">
        <v>5374</v>
      </c>
      <c r="I289" s="4427" t="s">
        <v>5375</v>
      </c>
      <c r="J289" s="4427" t="s">
        <v>5376</v>
      </c>
      <c r="K289" s="4427" t="s">
        <v>5377</v>
      </c>
      <c r="L289" s="4427" t="s">
        <v>5378</v>
      </c>
      <c r="M289" s="4427" t="s">
        <v>5379</v>
      </c>
      <c r="N289" s="4427" t="s">
        <v>5380</v>
      </c>
      <c r="O289" s="4427" t="s">
        <v>5381</v>
      </c>
      <c r="P289" s="4427" t="s">
        <v>5382</v>
      </c>
      <c r="Q289" s="4427" t="s">
        <v>5383</v>
      </c>
      <c r="R289" s="4427" t="s">
        <v>5384</v>
      </c>
      <c r="S289" s="4427" t="s">
        <v>5385</v>
      </c>
      <c r="T289" s="4038" t="s">
        <v>5386</v>
      </c>
      <c r="BC289" s="4259"/>
      <c r="BD289" s="4259"/>
      <c r="BZ289" s="4264"/>
      <c r="CA289" s="4264"/>
      <c r="CB289" s="4258"/>
      <c r="CC289" s="4258"/>
      <c r="CD289" s="4258"/>
      <c r="CE289" s="4258"/>
      <c r="CF289" s="4258"/>
      <c r="CG289" s="4258"/>
      <c r="CH289" s="4258"/>
      <c r="CI289" s="4258"/>
      <c r="CJ289" s="4258"/>
      <c r="CK289" s="4258"/>
      <c r="CL289" s="4258"/>
      <c r="CM289" s="4258"/>
      <c r="CN289" s="4258"/>
      <c r="CO289" s="4258"/>
      <c r="CP289" s="4258"/>
      <c r="CQ289" s="4258"/>
      <c r="CR289" s="4258"/>
      <c r="CS289" s="4258"/>
      <c r="CT289" s="4258"/>
      <c r="CU289" s="4258"/>
      <c r="CV289" s="4264"/>
      <c r="CW289" s="4264"/>
      <c r="CX289" s="4264"/>
      <c r="CY289" s="4264"/>
      <c r="CZ289" s="4264"/>
      <c r="DA289" s="4264"/>
    </row>
    <row r="290" spans="1:105" ht="14.1" customHeight="1" x14ac:dyDescent="0.25">
      <c r="A290" s="7520">
        <v>28022800</v>
      </c>
      <c r="B290" s="5078" t="s">
        <v>2826</v>
      </c>
      <c r="C290" s="5265" t="s">
        <v>5369</v>
      </c>
      <c r="D290" s="3831" t="s">
        <v>5370</v>
      </c>
      <c r="E290" s="3831" t="s">
        <v>5371</v>
      </c>
      <c r="F290" s="3831" t="s">
        <v>5372</v>
      </c>
      <c r="G290" s="3831" t="s">
        <v>5373</v>
      </c>
      <c r="H290" s="3831" t="s">
        <v>5374</v>
      </c>
      <c r="I290" s="3831" t="s">
        <v>5375</v>
      </c>
      <c r="J290" s="3831" t="s">
        <v>5376</v>
      </c>
      <c r="K290" s="3831" t="s">
        <v>5377</v>
      </c>
      <c r="L290" s="3831" t="s">
        <v>5378</v>
      </c>
      <c r="M290" s="3831" t="s">
        <v>5379</v>
      </c>
      <c r="N290" s="3831" t="s">
        <v>5380</v>
      </c>
      <c r="O290" s="3831" t="s">
        <v>5381</v>
      </c>
      <c r="P290" s="3831" t="s">
        <v>5382</v>
      </c>
      <c r="Q290" s="3831" t="s">
        <v>5383</v>
      </c>
      <c r="R290" s="3831" t="s">
        <v>5384</v>
      </c>
      <c r="S290" s="3831" t="s">
        <v>5385</v>
      </c>
      <c r="T290" s="4951" t="s">
        <v>5386</v>
      </c>
      <c r="BC290" s="4259"/>
      <c r="BD290" s="4259"/>
      <c r="BZ290" s="4264"/>
      <c r="CA290" s="4264"/>
      <c r="CB290" s="4258"/>
      <c r="CC290" s="4258"/>
      <c r="CD290" s="4258"/>
      <c r="CE290" s="4258"/>
      <c r="CF290" s="4258"/>
      <c r="CG290" s="4258"/>
      <c r="CH290" s="4258"/>
      <c r="CI290" s="4258"/>
      <c r="CJ290" s="4258"/>
      <c r="CK290" s="4258"/>
      <c r="CL290" s="4258"/>
      <c r="CM290" s="4258"/>
      <c r="CN290" s="4258"/>
      <c r="CO290" s="4258"/>
      <c r="CP290" s="4258"/>
      <c r="CQ290" s="4258"/>
      <c r="CR290" s="4258"/>
      <c r="CS290" s="4258"/>
      <c r="CT290" s="4258"/>
      <c r="CU290" s="4258"/>
      <c r="CV290" s="4264"/>
      <c r="CW290" s="4264"/>
      <c r="CX290" s="4264"/>
      <c r="CY290" s="4264"/>
      <c r="CZ290" s="4264"/>
      <c r="DA290" s="4264"/>
    </row>
    <row r="291" spans="1:105" ht="14.1" customHeight="1" x14ac:dyDescent="0.25">
      <c r="A291" s="7520">
        <v>28022810</v>
      </c>
      <c r="B291" s="5236" t="s">
        <v>2823</v>
      </c>
      <c r="C291" s="5265" t="s">
        <v>5369</v>
      </c>
      <c r="D291" s="3831" t="s">
        <v>5370</v>
      </c>
      <c r="E291" s="3831" t="s">
        <v>5371</v>
      </c>
      <c r="F291" s="3831" t="s">
        <v>5372</v>
      </c>
      <c r="G291" s="3831" t="s">
        <v>5373</v>
      </c>
      <c r="H291" s="3831" t="s">
        <v>5374</v>
      </c>
      <c r="I291" s="3831" t="s">
        <v>5375</v>
      </c>
      <c r="J291" s="3831" t="s">
        <v>5376</v>
      </c>
      <c r="K291" s="3831" t="s">
        <v>5377</v>
      </c>
      <c r="L291" s="3831" t="s">
        <v>5378</v>
      </c>
      <c r="M291" s="3831" t="s">
        <v>5379</v>
      </c>
      <c r="N291" s="3831" t="s">
        <v>5380</v>
      </c>
      <c r="O291" s="3831" t="s">
        <v>5381</v>
      </c>
      <c r="P291" s="3831" t="s">
        <v>5382</v>
      </c>
      <c r="Q291" s="3831" t="s">
        <v>5383</v>
      </c>
      <c r="R291" s="3831" t="s">
        <v>5384</v>
      </c>
      <c r="S291" s="3831" t="s">
        <v>5385</v>
      </c>
      <c r="T291" s="4951" t="s">
        <v>5386</v>
      </c>
      <c r="BC291" s="4259"/>
      <c r="BD291" s="4259"/>
      <c r="BZ291" s="4264"/>
      <c r="CA291" s="4264"/>
      <c r="CB291" s="4258"/>
      <c r="CC291" s="4258"/>
      <c r="CD291" s="4258"/>
      <c r="CE291" s="4258"/>
      <c r="CF291" s="4258"/>
      <c r="CG291" s="4258"/>
      <c r="CH291" s="4258"/>
      <c r="CI291" s="4258"/>
      <c r="CJ291" s="4258"/>
      <c r="CK291" s="4258"/>
      <c r="CL291" s="4258"/>
      <c r="CM291" s="4258"/>
      <c r="CN291" s="4258"/>
      <c r="CO291" s="4258"/>
      <c r="CP291" s="4258"/>
      <c r="CQ291" s="4258"/>
      <c r="CR291" s="4258"/>
      <c r="CS291" s="4258"/>
      <c r="CT291" s="4258"/>
      <c r="CU291" s="4258"/>
      <c r="CV291" s="4264"/>
      <c r="CW291" s="4264"/>
      <c r="CX291" s="4264"/>
      <c r="CY291" s="4264"/>
      <c r="CZ291" s="4264"/>
      <c r="DA291" s="4264"/>
    </row>
    <row r="292" spans="1:105" ht="14.1" customHeight="1" x14ac:dyDescent="0.25">
      <c r="A292" s="7320">
        <v>29101674</v>
      </c>
      <c r="B292" s="5236" t="s">
        <v>3554</v>
      </c>
      <c r="C292" s="5265" t="s">
        <v>5369</v>
      </c>
      <c r="D292" s="3831" t="s">
        <v>5370</v>
      </c>
      <c r="E292" s="3831" t="s">
        <v>5371</v>
      </c>
      <c r="F292" s="3831" t="s">
        <v>5372</v>
      </c>
      <c r="G292" s="3831" t="s">
        <v>5373</v>
      </c>
      <c r="H292" s="3831" t="s">
        <v>5374</v>
      </c>
      <c r="I292" s="3831" t="s">
        <v>5375</v>
      </c>
      <c r="J292" s="3831" t="s">
        <v>5376</v>
      </c>
      <c r="K292" s="3831" t="s">
        <v>5377</v>
      </c>
      <c r="L292" s="3831" t="s">
        <v>5378</v>
      </c>
      <c r="M292" s="3831" t="s">
        <v>5379</v>
      </c>
      <c r="N292" s="3831" t="s">
        <v>5380</v>
      </c>
      <c r="O292" s="3831" t="s">
        <v>5381</v>
      </c>
      <c r="P292" s="3831" t="s">
        <v>5382</v>
      </c>
      <c r="Q292" s="3831" t="s">
        <v>5383</v>
      </c>
      <c r="R292" s="3831" t="s">
        <v>5384</v>
      </c>
      <c r="S292" s="3831" t="s">
        <v>5385</v>
      </c>
      <c r="T292" s="4951" t="s">
        <v>5386</v>
      </c>
      <c r="BC292" s="4259"/>
      <c r="BD292" s="4259"/>
      <c r="BZ292" s="4264"/>
      <c r="CA292" s="4264"/>
      <c r="CB292" s="4258"/>
      <c r="CC292" s="4258"/>
      <c r="CD292" s="4258"/>
      <c r="CE292" s="4258"/>
      <c r="CF292" s="4258"/>
      <c r="CG292" s="4258"/>
      <c r="CH292" s="4258"/>
      <c r="CI292" s="4258"/>
      <c r="CJ292" s="4258"/>
      <c r="CK292" s="4258"/>
      <c r="CL292" s="4258"/>
      <c r="CM292" s="4258"/>
      <c r="CN292" s="4258"/>
      <c r="CO292" s="4258"/>
      <c r="CP292" s="4258"/>
      <c r="CQ292" s="4258"/>
      <c r="CR292" s="4258"/>
      <c r="CS292" s="4258"/>
      <c r="CT292" s="4258"/>
      <c r="CU292" s="4258"/>
      <c r="CV292" s="4264"/>
      <c r="CW292" s="4264"/>
      <c r="CX292" s="4264"/>
      <c r="CY292" s="4264"/>
      <c r="CZ292" s="4264"/>
      <c r="DA292" s="4264"/>
    </row>
    <row r="293" spans="1:105" ht="14.1" customHeight="1" x14ac:dyDescent="0.25">
      <c r="A293" s="7520">
        <v>28022850</v>
      </c>
      <c r="B293" s="5078" t="s">
        <v>314</v>
      </c>
      <c r="C293" s="5265" t="s">
        <v>5369</v>
      </c>
      <c r="D293" s="3831" t="s">
        <v>5370</v>
      </c>
      <c r="E293" s="3831" t="s">
        <v>5371</v>
      </c>
      <c r="F293" s="3831" t="s">
        <v>5372</v>
      </c>
      <c r="G293" s="3831" t="s">
        <v>5373</v>
      </c>
      <c r="H293" s="3831" t="s">
        <v>5374</v>
      </c>
      <c r="I293" s="3831" t="s">
        <v>5375</v>
      </c>
      <c r="J293" s="3831" t="s">
        <v>5376</v>
      </c>
      <c r="K293" s="3831" t="s">
        <v>5377</v>
      </c>
      <c r="L293" s="3831" t="s">
        <v>5378</v>
      </c>
      <c r="M293" s="3831" t="s">
        <v>5379</v>
      </c>
      <c r="N293" s="3831" t="s">
        <v>5380</v>
      </c>
      <c r="O293" s="3831" t="s">
        <v>5381</v>
      </c>
      <c r="P293" s="3831" t="s">
        <v>5382</v>
      </c>
      <c r="Q293" s="3831" t="s">
        <v>5383</v>
      </c>
      <c r="R293" s="3831" t="s">
        <v>5384</v>
      </c>
      <c r="S293" s="3831" t="s">
        <v>5385</v>
      </c>
      <c r="T293" s="4951" t="s">
        <v>5386</v>
      </c>
      <c r="BC293" s="4259"/>
      <c r="BD293" s="4259"/>
      <c r="BZ293" s="4264"/>
      <c r="CA293" s="4264"/>
      <c r="CB293" s="4258"/>
      <c r="CC293" s="4258"/>
      <c r="CD293" s="4258"/>
      <c r="CE293" s="4258"/>
      <c r="CF293" s="4258"/>
      <c r="CG293" s="4258"/>
      <c r="CH293" s="4258"/>
      <c r="CI293" s="4258"/>
      <c r="CJ293" s="4258"/>
      <c r="CK293" s="4258"/>
      <c r="CL293" s="4258"/>
      <c r="CM293" s="4258"/>
      <c r="CN293" s="4258"/>
      <c r="CO293" s="4258"/>
      <c r="CP293" s="4258"/>
      <c r="CQ293" s="4258"/>
      <c r="CR293" s="4258"/>
      <c r="CS293" s="4258"/>
      <c r="CT293" s="4258"/>
      <c r="CU293" s="4258"/>
      <c r="CV293" s="4264"/>
      <c r="CW293" s="4264"/>
      <c r="CX293" s="4264"/>
      <c r="CY293" s="4264"/>
      <c r="CZ293" s="4264"/>
      <c r="DA293" s="4264"/>
    </row>
    <row r="294" spans="1:105" ht="14.1" customHeight="1" x14ac:dyDescent="0.25">
      <c r="A294" s="7520">
        <v>28022860</v>
      </c>
      <c r="B294" s="5107" t="s">
        <v>158</v>
      </c>
      <c r="C294" s="5265" t="s">
        <v>5369</v>
      </c>
      <c r="D294" s="3831" t="s">
        <v>5370</v>
      </c>
      <c r="E294" s="3831" t="s">
        <v>5371</v>
      </c>
      <c r="F294" s="3831" t="s">
        <v>5372</v>
      </c>
      <c r="G294" s="3831" t="s">
        <v>5373</v>
      </c>
      <c r="H294" s="3831" t="s">
        <v>5374</v>
      </c>
      <c r="I294" s="3831" t="s">
        <v>5375</v>
      </c>
      <c r="J294" s="3831" t="s">
        <v>5376</v>
      </c>
      <c r="K294" s="3831" t="s">
        <v>5377</v>
      </c>
      <c r="L294" s="3831" t="s">
        <v>5378</v>
      </c>
      <c r="M294" s="3831" t="s">
        <v>5379</v>
      </c>
      <c r="N294" s="3831" t="s">
        <v>5380</v>
      </c>
      <c r="O294" s="3831" t="s">
        <v>5381</v>
      </c>
      <c r="P294" s="3831" t="s">
        <v>5382</v>
      </c>
      <c r="Q294" s="3831" t="s">
        <v>5383</v>
      </c>
      <c r="R294" s="3831" t="s">
        <v>5384</v>
      </c>
      <c r="S294" s="3831" t="s">
        <v>5385</v>
      </c>
      <c r="T294" s="4951" t="s">
        <v>5386</v>
      </c>
      <c r="BC294" s="4259"/>
      <c r="BD294" s="4259"/>
      <c r="BZ294" s="4264"/>
      <c r="CA294" s="4264"/>
      <c r="CB294" s="4258"/>
      <c r="CC294" s="4258"/>
      <c r="CD294" s="4258"/>
      <c r="CE294" s="4258"/>
      <c r="CF294" s="4258"/>
      <c r="CG294" s="4258"/>
      <c r="CH294" s="4258"/>
      <c r="CI294" s="4258"/>
      <c r="CJ294" s="4258"/>
      <c r="CK294" s="4258"/>
      <c r="CL294" s="4258"/>
      <c r="CM294" s="4258"/>
      <c r="CN294" s="4258"/>
      <c r="CO294" s="4258"/>
      <c r="CP294" s="4258"/>
      <c r="CQ294" s="4258"/>
      <c r="CR294" s="4258"/>
      <c r="CS294" s="4258"/>
      <c r="CT294" s="4258"/>
      <c r="CU294" s="4258"/>
      <c r="CV294" s="4264"/>
      <c r="CW294" s="4264"/>
      <c r="CX294" s="4264"/>
      <c r="CY294" s="4264"/>
      <c r="CZ294" s="4264"/>
      <c r="DA294" s="4264"/>
    </row>
    <row r="295" spans="1:105" ht="14.1" customHeight="1" x14ac:dyDescent="0.25">
      <c r="A295" s="7520">
        <v>28022870</v>
      </c>
      <c r="B295" s="5107" t="s">
        <v>2856</v>
      </c>
      <c r="C295" s="5265" t="s">
        <v>5369</v>
      </c>
      <c r="D295" s="3831" t="s">
        <v>5370</v>
      </c>
      <c r="E295" s="3831" t="s">
        <v>5371</v>
      </c>
      <c r="F295" s="3831" t="s">
        <v>5372</v>
      </c>
      <c r="G295" s="3831" t="s">
        <v>5373</v>
      </c>
      <c r="H295" s="3831" t="s">
        <v>5374</v>
      </c>
      <c r="I295" s="3831" t="s">
        <v>5375</v>
      </c>
      <c r="J295" s="3831" t="s">
        <v>5376</v>
      </c>
      <c r="K295" s="3831" t="s">
        <v>5377</v>
      </c>
      <c r="L295" s="3831" t="s">
        <v>5378</v>
      </c>
      <c r="M295" s="3831" t="s">
        <v>5379</v>
      </c>
      <c r="N295" s="3831" t="s">
        <v>5380</v>
      </c>
      <c r="O295" s="3831" t="s">
        <v>5381</v>
      </c>
      <c r="P295" s="3831" t="s">
        <v>5382</v>
      </c>
      <c r="Q295" s="3831" t="s">
        <v>5383</v>
      </c>
      <c r="R295" s="3831" t="s">
        <v>5384</v>
      </c>
      <c r="S295" s="3831" t="s">
        <v>5385</v>
      </c>
      <c r="T295" s="4951" t="s">
        <v>5386</v>
      </c>
      <c r="BZ295" s="4264"/>
      <c r="CA295" s="4264"/>
      <c r="CB295" s="4258"/>
      <c r="CC295" s="4258"/>
      <c r="CD295" s="4258"/>
      <c r="CE295" s="4258"/>
      <c r="CF295" s="4258"/>
      <c r="CG295" s="4258"/>
      <c r="CH295" s="4258"/>
      <c r="CI295" s="4258"/>
      <c r="CJ295" s="4258"/>
      <c r="CK295" s="4258"/>
      <c r="CL295" s="4258"/>
      <c r="CM295" s="4258"/>
      <c r="CN295" s="4258"/>
      <c r="CO295" s="4258"/>
      <c r="CP295" s="4258"/>
      <c r="CQ295" s="4258"/>
      <c r="CR295" s="4258"/>
      <c r="CS295" s="4258"/>
      <c r="CT295" s="4258"/>
      <c r="CU295" s="4258"/>
      <c r="CV295" s="4264"/>
      <c r="CW295" s="4264"/>
      <c r="CX295" s="4264"/>
      <c r="CY295" s="4264"/>
      <c r="CZ295" s="4264"/>
      <c r="DA295" s="4264"/>
    </row>
    <row r="296" spans="1:105" ht="14.1" customHeight="1" x14ac:dyDescent="0.25">
      <c r="A296" s="7520">
        <v>28022880</v>
      </c>
      <c r="B296" s="5107" t="s">
        <v>2897</v>
      </c>
      <c r="C296" s="5265" t="s">
        <v>5369</v>
      </c>
      <c r="D296" s="3831" t="s">
        <v>5370</v>
      </c>
      <c r="E296" s="3831" t="s">
        <v>5371</v>
      </c>
      <c r="F296" s="3831" t="s">
        <v>5372</v>
      </c>
      <c r="G296" s="3831" t="s">
        <v>5373</v>
      </c>
      <c r="H296" s="3831" t="s">
        <v>5374</v>
      </c>
      <c r="I296" s="3831" t="s">
        <v>5375</v>
      </c>
      <c r="J296" s="3831" t="s">
        <v>5376</v>
      </c>
      <c r="K296" s="3831" t="s">
        <v>5377</v>
      </c>
      <c r="L296" s="3831" t="s">
        <v>5378</v>
      </c>
      <c r="M296" s="3831" t="s">
        <v>5379</v>
      </c>
      <c r="N296" s="3831" t="s">
        <v>5380</v>
      </c>
      <c r="O296" s="3831" t="s">
        <v>5381</v>
      </c>
      <c r="P296" s="3831" t="s">
        <v>5382</v>
      </c>
      <c r="Q296" s="3831" t="s">
        <v>5383</v>
      </c>
      <c r="R296" s="3831" t="s">
        <v>5384</v>
      </c>
      <c r="S296" s="3831" t="s">
        <v>5385</v>
      </c>
      <c r="T296" s="4951" t="s">
        <v>5386</v>
      </c>
      <c r="BZ296" s="4264"/>
      <c r="CA296" s="4264"/>
      <c r="CB296" s="4258"/>
      <c r="CC296" s="4258"/>
      <c r="CD296" s="4258"/>
      <c r="CE296" s="4258"/>
      <c r="CF296" s="4258"/>
      <c r="CG296" s="4258"/>
      <c r="CH296" s="4258"/>
      <c r="CI296" s="4258"/>
      <c r="CJ296" s="4258"/>
      <c r="CK296" s="4258"/>
      <c r="CL296" s="4258"/>
      <c r="CM296" s="4258"/>
      <c r="CN296" s="4258"/>
      <c r="CO296" s="4258"/>
      <c r="CP296" s="4258"/>
      <c r="CQ296" s="4258"/>
      <c r="CR296" s="4258"/>
      <c r="CS296" s="4258"/>
      <c r="CT296" s="4258"/>
      <c r="CU296" s="4258"/>
      <c r="CV296" s="4264"/>
      <c r="CW296" s="4264"/>
      <c r="CX296" s="4264"/>
      <c r="CY296" s="4264"/>
      <c r="CZ296" s="4264"/>
      <c r="DA296" s="4264"/>
    </row>
    <row r="297" spans="1:105" ht="14.1" customHeight="1" x14ac:dyDescent="0.25">
      <c r="A297" s="7320">
        <v>29101675</v>
      </c>
      <c r="B297" s="5078" t="s">
        <v>2848</v>
      </c>
      <c r="C297" s="5265" t="s">
        <v>5369</v>
      </c>
      <c r="D297" s="3831" t="s">
        <v>5370</v>
      </c>
      <c r="E297" s="3831" t="s">
        <v>5371</v>
      </c>
      <c r="F297" s="3831" t="s">
        <v>5372</v>
      </c>
      <c r="G297" s="3831" t="s">
        <v>5373</v>
      </c>
      <c r="H297" s="3831" t="s">
        <v>5374</v>
      </c>
      <c r="I297" s="3831" t="s">
        <v>5375</v>
      </c>
      <c r="J297" s="3831" t="s">
        <v>5376</v>
      </c>
      <c r="K297" s="3831" t="s">
        <v>5377</v>
      </c>
      <c r="L297" s="3831" t="s">
        <v>5378</v>
      </c>
      <c r="M297" s="3831" t="s">
        <v>5379</v>
      </c>
      <c r="N297" s="3831" t="s">
        <v>5380</v>
      </c>
      <c r="O297" s="3831" t="s">
        <v>5381</v>
      </c>
      <c r="P297" s="3831" t="s">
        <v>5382</v>
      </c>
      <c r="Q297" s="3831" t="s">
        <v>5383</v>
      </c>
      <c r="R297" s="3831" t="s">
        <v>5384</v>
      </c>
      <c r="S297" s="3831" t="s">
        <v>5385</v>
      </c>
      <c r="T297" s="4951" t="s">
        <v>5386</v>
      </c>
      <c r="BZ297" s="4264"/>
      <c r="CA297" s="4264"/>
      <c r="CB297" s="4258"/>
      <c r="CC297" s="4258"/>
      <c r="CD297" s="4258"/>
      <c r="CE297" s="4258"/>
      <c r="CF297" s="4258"/>
      <c r="CG297" s="4258"/>
      <c r="CH297" s="4258"/>
      <c r="CI297" s="4258"/>
      <c r="CJ297" s="4258"/>
      <c r="CK297" s="4258"/>
      <c r="CL297" s="4258"/>
      <c r="CM297" s="4258"/>
      <c r="CN297" s="4258"/>
      <c r="CO297" s="4258"/>
      <c r="CP297" s="4258"/>
      <c r="CQ297" s="4258"/>
      <c r="CR297" s="4258"/>
      <c r="CS297" s="4258"/>
      <c r="CT297" s="4258"/>
      <c r="CU297" s="4258"/>
      <c r="CV297" s="4264"/>
      <c r="CW297" s="4264"/>
      <c r="CX297" s="4264"/>
      <c r="CY297" s="4264"/>
      <c r="CZ297" s="4264"/>
      <c r="DA297" s="4264"/>
    </row>
    <row r="298" spans="1:105" ht="14.1" customHeight="1" x14ac:dyDescent="0.25">
      <c r="A298" s="7520">
        <v>28101800</v>
      </c>
      <c r="B298" s="5107" t="s">
        <v>72</v>
      </c>
      <c r="C298" s="5265" t="s">
        <v>5369</v>
      </c>
      <c r="D298" s="3831" t="s">
        <v>5370</v>
      </c>
      <c r="E298" s="3831" t="s">
        <v>5371</v>
      </c>
      <c r="F298" s="3831" t="s">
        <v>5372</v>
      </c>
      <c r="G298" s="3831" t="s">
        <v>5373</v>
      </c>
      <c r="H298" s="3831" t="s">
        <v>5374</v>
      </c>
      <c r="I298" s="3831" t="s">
        <v>5375</v>
      </c>
      <c r="J298" s="3831" t="s">
        <v>5376</v>
      </c>
      <c r="K298" s="3831" t="s">
        <v>5377</v>
      </c>
      <c r="L298" s="3831" t="s">
        <v>5378</v>
      </c>
      <c r="M298" s="3831" t="s">
        <v>5379</v>
      </c>
      <c r="N298" s="3831" t="s">
        <v>5380</v>
      </c>
      <c r="O298" s="3831" t="s">
        <v>5381</v>
      </c>
      <c r="P298" s="3831" t="s">
        <v>5382</v>
      </c>
      <c r="Q298" s="3831" t="s">
        <v>5383</v>
      </c>
      <c r="R298" s="3831" t="s">
        <v>5384</v>
      </c>
      <c r="S298" s="3831" t="s">
        <v>5385</v>
      </c>
      <c r="T298" s="4951" t="s">
        <v>5386</v>
      </c>
      <c r="BZ298" s="4264"/>
      <c r="CA298" s="4264"/>
      <c r="CB298" s="4258"/>
      <c r="CC298" s="4258"/>
      <c r="CD298" s="4258"/>
      <c r="CE298" s="4258"/>
      <c r="CF298" s="4258"/>
      <c r="CG298" s="4258"/>
      <c r="CH298" s="4258"/>
      <c r="CI298" s="4258"/>
      <c r="CJ298" s="4258"/>
      <c r="CK298" s="4258"/>
      <c r="CL298" s="4258"/>
      <c r="CM298" s="4258"/>
      <c r="CN298" s="4258"/>
      <c r="CO298" s="4258"/>
      <c r="CP298" s="4258"/>
      <c r="CQ298" s="4258"/>
      <c r="CR298" s="4258"/>
      <c r="CS298" s="4258"/>
      <c r="CT298" s="4258"/>
      <c r="CU298" s="4258"/>
      <c r="CV298" s="4264"/>
      <c r="CW298" s="4264"/>
      <c r="CX298" s="4264"/>
      <c r="CY298" s="4264"/>
      <c r="CZ298" s="4264"/>
      <c r="DA298" s="4264"/>
    </row>
    <row r="299" spans="1:105" ht="14.1" customHeight="1" x14ac:dyDescent="0.25">
      <c r="A299" s="7320">
        <v>29101676</v>
      </c>
      <c r="B299" s="5078" t="s">
        <v>2828</v>
      </c>
      <c r="C299" s="5265" t="s">
        <v>5369</v>
      </c>
      <c r="D299" s="3831" t="s">
        <v>5370</v>
      </c>
      <c r="E299" s="3831" t="s">
        <v>5371</v>
      </c>
      <c r="F299" s="3831" t="s">
        <v>5372</v>
      </c>
      <c r="G299" s="3831" t="s">
        <v>5373</v>
      </c>
      <c r="H299" s="3831" t="s">
        <v>5374</v>
      </c>
      <c r="I299" s="3831" t="s">
        <v>5375</v>
      </c>
      <c r="J299" s="3831" t="s">
        <v>5376</v>
      </c>
      <c r="K299" s="3831" t="s">
        <v>5377</v>
      </c>
      <c r="L299" s="3831" t="s">
        <v>5378</v>
      </c>
      <c r="M299" s="3831" t="s">
        <v>5379</v>
      </c>
      <c r="N299" s="3831" t="s">
        <v>5380</v>
      </c>
      <c r="O299" s="3831" t="s">
        <v>5381</v>
      </c>
      <c r="P299" s="3831" t="s">
        <v>5382</v>
      </c>
      <c r="Q299" s="3831" t="s">
        <v>5383</v>
      </c>
      <c r="R299" s="3831" t="s">
        <v>5384</v>
      </c>
      <c r="S299" s="3831" t="s">
        <v>5385</v>
      </c>
      <c r="T299" s="4951" t="s">
        <v>5386</v>
      </c>
      <c r="BZ299" s="4264"/>
      <c r="CA299" s="4264"/>
      <c r="CB299" s="4258"/>
      <c r="CC299" s="4258"/>
      <c r="CD299" s="4258"/>
      <c r="CE299" s="4258"/>
      <c r="CF299" s="4258"/>
      <c r="CG299" s="4258"/>
      <c r="CH299" s="4258"/>
      <c r="CI299" s="4258"/>
      <c r="CJ299" s="4258"/>
      <c r="CK299" s="4258"/>
      <c r="CL299" s="4258"/>
      <c r="CM299" s="4258"/>
      <c r="CN299" s="4258"/>
      <c r="CO299" s="4258"/>
      <c r="CP299" s="4258"/>
      <c r="CQ299" s="4258"/>
      <c r="CR299" s="4258"/>
      <c r="CS299" s="4258"/>
      <c r="CT299" s="4258"/>
      <c r="CU299" s="4258"/>
      <c r="CV299" s="4264"/>
      <c r="CW299" s="4264"/>
      <c r="CX299" s="4264"/>
      <c r="CY299" s="4264"/>
      <c r="CZ299" s="4264"/>
      <c r="DA299" s="4264"/>
    </row>
    <row r="300" spans="1:105" ht="14.1" customHeight="1" x14ac:dyDescent="0.25">
      <c r="A300" s="7520">
        <v>28022940</v>
      </c>
      <c r="B300" s="5107" t="s">
        <v>136</v>
      </c>
      <c r="C300" s="5265" t="s">
        <v>5369</v>
      </c>
      <c r="D300" s="3831" t="s">
        <v>5370</v>
      </c>
      <c r="E300" s="3831" t="s">
        <v>5371</v>
      </c>
      <c r="F300" s="3831" t="s">
        <v>5372</v>
      </c>
      <c r="G300" s="3831" t="s">
        <v>5373</v>
      </c>
      <c r="H300" s="3831" t="s">
        <v>5374</v>
      </c>
      <c r="I300" s="3831" t="s">
        <v>5375</v>
      </c>
      <c r="J300" s="3831" t="s">
        <v>5376</v>
      </c>
      <c r="K300" s="3831" t="s">
        <v>5377</v>
      </c>
      <c r="L300" s="3831" t="s">
        <v>5378</v>
      </c>
      <c r="M300" s="3831" t="s">
        <v>5379</v>
      </c>
      <c r="N300" s="3831" t="s">
        <v>5380</v>
      </c>
      <c r="O300" s="3831" t="s">
        <v>5381</v>
      </c>
      <c r="P300" s="3831" t="s">
        <v>5382</v>
      </c>
      <c r="Q300" s="3831" t="s">
        <v>5383</v>
      </c>
      <c r="R300" s="3831" t="s">
        <v>5384</v>
      </c>
      <c r="S300" s="3831" t="s">
        <v>5385</v>
      </c>
      <c r="T300" s="4951" t="s">
        <v>5386</v>
      </c>
      <c r="BZ300" s="4264"/>
      <c r="CA300" s="4264"/>
      <c r="CB300" s="4258"/>
      <c r="CC300" s="4258"/>
      <c r="CD300" s="4258"/>
      <c r="CE300" s="4258"/>
      <c r="CF300" s="4258"/>
      <c r="CG300" s="4258"/>
      <c r="CH300" s="4258"/>
      <c r="CI300" s="4258"/>
      <c r="CJ300" s="4258"/>
      <c r="CK300" s="4258"/>
      <c r="CL300" s="4258"/>
      <c r="CM300" s="4258"/>
      <c r="CN300" s="4258"/>
      <c r="CO300" s="4258"/>
      <c r="CP300" s="4258"/>
      <c r="CQ300" s="4258"/>
      <c r="CR300" s="4258"/>
      <c r="CS300" s="4258"/>
      <c r="CT300" s="4258"/>
      <c r="CU300" s="4258"/>
      <c r="CV300" s="4264"/>
      <c r="CW300" s="4264"/>
      <c r="CX300" s="4264"/>
      <c r="CY300" s="4264"/>
      <c r="CZ300" s="4264"/>
      <c r="DA300" s="4264"/>
    </row>
    <row r="301" spans="1:105" ht="14.1" customHeight="1" x14ac:dyDescent="0.25">
      <c r="A301" s="7320">
        <v>29101677</v>
      </c>
      <c r="B301" s="5078" t="s">
        <v>1762</v>
      </c>
      <c r="C301" s="5265" t="s">
        <v>5369</v>
      </c>
      <c r="D301" s="4427" t="s">
        <v>5370</v>
      </c>
      <c r="E301" s="4427" t="s">
        <v>5371</v>
      </c>
      <c r="F301" s="4427" t="s">
        <v>5372</v>
      </c>
      <c r="G301" s="4427" t="s">
        <v>5373</v>
      </c>
      <c r="H301" s="4427" t="s">
        <v>5374</v>
      </c>
      <c r="I301" s="4427" t="s">
        <v>5375</v>
      </c>
      <c r="J301" s="4427" t="s">
        <v>5376</v>
      </c>
      <c r="K301" s="4427" t="s">
        <v>5377</v>
      </c>
      <c r="L301" s="4427" t="s">
        <v>5378</v>
      </c>
      <c r="M301" s="4427" t="s">
        <v>5379</v>
      </c>
      <c r="N301" s="4427" t="s">
        <v>5380</v>
      </c>
      <c r="O301" s="4427" t="s">
        <v>5381</v>
      </c>
      <c r="P301" s="4427" t="s">
        <v>5382</v>
      </c>
      <c r="Q301" s="4427" t="s">
        <v>5383</v>
      </c>
      <c r="R301" s="4427" t="s">
        <v>5384</v>
      </c>
      <c r="S301" s="4427" t="s">
        <v>5385</v>
      </c>
      <c r="T301" s="4038" t="s">
        <v>5386</v>
      </c>
      <c r="BZ301" s="4264"/>
      <c r="CA301" s="4264"/>
      <c r="CB301" s="4258"/>
      <c r="CC301" s="4258"/>
      <c r="CD301" s="4258"/>
      <c r="CE301" s="4258"/>
      <c r="CF301" s="4258"/>
      <c r="CG301" s="4258"/>
      <c r="CH301" s="4258"/>
      <c r="CI301" s="4258"/>
      <c r="CJ301" s="4258"/>
      <c r="CK301" s="4258"/>
      <c r="CL301" s="4258"/>
      <c r="CM301" s="4258"/>
      <c r="CN301" s="4258"/>
      <c r="CO301" s="4258"/>
      <c r="CP301" s="4258"/>
      <c r="CQ301" s="4258"/>
      <c r="CR301" s="4258"/>
      <c r="CS301" s="4258"/>
      <c r="CT301" s="4258"/>
      <c r="CU301" s="4258"/>
      <c r="CV301" s="4264"/>
      <c r="CW301" s="4264"/>
      <c r="CX301" s="4264"/>
      <c r="CY301" s="4264"/>
      <c r="CZ301" s="4264"/>
      <c r="DA301" s="4264"/>
    </row>
    <row r="302" spans="1:105" ht="14.1" customHeight="1" x14ac:dyDescent="0.3">
      <c r="A302" s="7520">
        <v>28022970</v>
      </c>
      <c r="B302" s="5107" t="s">
        <v>413</v>
      </c>
      <c r="C302" s="5265" t="s">
        <v>5369</v>
      </c>
      <c r="D302" s="4427" t="s">
        <v>5370</v>
      </c>
      <c r="E302" s="4427" t="s">
        <v>5371</v>
      </c>
      <c r="F302" s="4427" t="s">
        <v>5372</v>
      </c>
      <c r="G302" s="4427" t="s">
        <v>5373</v>
      </c>
      <c r="H302" s="4427" t="s">
        <v>5374</v>
      </c>
      <c r="I302" s="4427" t="s">
        <v>5375</v>
      </c>
      <c r="J302" s="4427" t="s">
        <v>5376</v>
      </c>
      <c r="K302" s="4427" t="s">
        <v>5377</v>
      </c>
      <c r="L302" s="4427" t="s">
        <v>5378</v>
      </c>
      <c r="M302" s="4427" t="s">
        <v>5379</v>
      </c>
      <c r="N302" s="4427" t="s">
        <v>5380</v>
      </c>
      <c r="O302" s="4427" t="s">
        <v>5381</v>
      </c>
      <c r="P302" s="4427" t="s">
        <v>5382</v>
      </c>
      <c r="Q302" s="4427" t="s">
        <v>5383</v>
      </c>
      <c r="R302" s="4427" t="s">
        <v>5384</v>
      </c>
      <c r="S302" s="4427" t="s">
        <v>5385</v>
      </c>
      <c r="T302" s="4038" t="s">
        <v>5386</v>
      </c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 s="4976"/>
      <c r="BW302" s="4976"/>
      <c r="BX302" s="4976"/>
      <c r="BY302" s="4976"/>
      <c r="BZ302" s="4264"/>
      <c r="CA302" s="4264"/>
      <c r="CB302" s="4258"/>
      <c r="CC302" s="4258"/>
      <c r="CD302" s="4258"/>
      <c r="CE302" s="4258"/>
      <c r="CF302" s="4258"/>
      <c r="CG302" s="4258"/>
      <c r="CH302" s="4258"/>
      <c r="CI302" s="4258"/>
      <c r="CJ302" s="4258"/>
      <c r="CK302" s="4258"/>
      <c r="CL302" s="4258"/>
      <c r="CM302" s="4258"/>
      <c r="CN302" s="4258"/>
      <c r="CO302" s="4258"/>
      <c r="CP302" s="4258"/>
      <c r="CQ302" s="4258"/>
      <c r="CR302" s="4258"/>
      <c r="CS302" s="4258"/>
      <c r="CT302" s="4258"/>
      <c r="CU302" s="4258"/>
      <c r="CV302" s="4264"/>
      <c r="CW302" s="4264"/>
      <c r="CX302" s="4264"/>
      <c r="CY302" s="4264"/>
      <c r="CZ302" s="4264"/>
      <c r="DA302" s="4264"/>
    </row>
    <row r="303" spans="1:105" ht="14.1" customHeight="1" x14ac:dyDescent="0.3">
      <c r="A303" s="7520">
        <v>28022980</v>
      </c>
      <c r="B303" s="5107" t="s">
        <v>414</v>
      </c>
      <c r="C303" s="5265" t="s">
        <v>5369</v>
      </c>
      <c r="D303" s="4427" t="s">
        <v>5370</v>
      </c>
      <c r="E303" s="4427" t="s">
        <v>5371</v>
      </c>
      <c r="F303" s="4427" t="s">
        <v>5372</v>
      </c>
      <c r="G303" s="4427" t="s">
        <v>5373</v>
      </c>
      <c r="H303" s="4427" t="s">
        <v>5374</v>
      </c>
      <c r="I303" s="4427" t="s">
        <v>5375</v>
      </c>
      <c r="J303" s="4427" t="s">
        <v>5376</v>
      </c>
      <c r="K303" s="4427" t="s">
        <v>5377</v>
      </c>
      <c r="L303" s="4427" t="s">
        <v>5378</v>
      </c>
      <c r="M303" s="4427" t="s">
        <v>5379</v>
      </c>
      <c r="N303" s="4427" t="s">
        <v>5380</v>
      </c>
      <c r="O303" s="4427" t="s">
        <v>5381</v>
      </c>
      <c r="P303" s="4427" t="s">
        <v>5382</v>
      </c>
      <c r="Q303" s="4427" t="s">
        <v>5383</v>
      </c>
      <c r="R303" s="4427" t="s">
        <v>5384</v>
      </c>
      <c r="S303" s="4427" t="s">
        <v>5385</v>
      </c>
      <c r="T303" s="4038" t="s">
        <v>5386</v>
      </c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 s="4976"/>
      <c r="BW303" s="4976"/>
      <c r="BX303" s="4976"/>
      <c r="BY303" s="4976"/>
      <c r="BZ303" s="4264"/>
      <c r="CA303" s="4264"/>
      <c r="CB303" s="4258"/>
      <c r="CC303" s="4258"/>
      <c r="CD303" s="4258"/>
      <c r="CE303" s="4258"/>
      <c r="CF303" s="4258"/>
      <c r="CG303" s="4258"/>
      <c r="CH303" s="4258"/>
      <c r="CI303" s="4258"/>
      <c r="CJ303" s="4258"/>
      <c r="CK303" s="4258"/>
      <c r="CL303" s="4258"/>
      <c r="CM303" s="4258"/>
      <c r="CN303" s="4258"/>
      <c r="CO303" s="4258"/>
      <c r="CP303" s="4258"/>
      <c r="CQ303" s="4258"/>
      <c r="CR303" s="4258"/>
      <c r="CS303" s="4258"/>
      <c r="CT303" s="4258"/>
      <c r="CU303" s="4258"/>
      <c r="CV303" s="4264"/>
      <c r="CW303" s="4264"/>
      <c r="CX303" s="4264"/>
      <c r="CY303" s="4264"/>
      <c r="CZ303" s="4264"/>
      <c r="DA303" s="4264"/>
    </row>
    <row r="304" spans="1:105" ht="14.1" customHeight="1" x14ac:dyDescent="0.3">
      <c r="A304" s="7320">
        <v>29101678</v>
      </c>
      <c r="B304" s="5078" t="s">
        <v>2829</v>
      </c>
      <c r="C304" s="5265" t="s">
        <v>5369</v>
      </c>
      <c r="D304" s="3831" t="s">
        <v>5370</v>
      </c>
      <c r="E304" s="3831" t="s">
        <v>5371</v>
      </c>
      <c r="F304" s="3831" t="s">
        <v>5372</v>
      </c>
      <c r="G304" s="3831" t="s">
        <v>5373</v>
      </c>
      <c r="H304" s="3831" t="s">
        <v>5374</v>
      </c>
      <c r="I304" s="3831" t="s">
        <v>5375</v>
      </c>
      <c r="J304" s="3831" t="s">
        <v>5376</v>
      </c>
      <c r="K304" s="3831" t="s">
        <v>5377</v>
      </c>
      <c r="L304" s="3831" t="s">
        <v>5378</v>
      </c>
      <c r="M304" s="3831" t="s">
        <v>5379</v>
      </c>
      <c r="N304" s="3831" t="s">
        <v>5380</v>
      </c>
      <c r="O304" s="3831" t="s">
        <v>5381</v>
      </c>
      <c r="P304" s="3831" t="s">
        <v>5382</v>
      </c>
      <c r="Q304" s="3831" t="s">
        <v>5383</v>
      </c>
      <c r="R304" s="3831" t="s">
        <v>5384</v>
      </c>
      <c r="S304" s="3831" t="s">
        <v>5385</v>
      </c>
      <c r="T304" s="4951" t="s">
        <v>5386</v>
      </c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 s="4976"/>
      <c r="BW304" s="4976"/>
      <c r="BX304" s="4976"/>
      <c r="BY304" s="4976"/>
      <c r="BZ304" s="4264"/>
      <c r="CA304" s="4264"/>
      <c r="CB304" s="4258"/>
      <c r="CC304" s="4258"/>
      <c r="CD304" s="4258"/>
      <c r="CE304" s="4258"/>
      <c r="CF304" s="4258"/>
      <c r="CG304" s="4258"/>
      <c r="CH304" s="4258"/>
      <c r="CI304" s="4258"/>
      <c r="CJ304" s="4258"/>
      <c r="CK304" s="4258"/>
      <c r="CL304" s="4258"/>
      <c r="CM304" s="4258"/>
      <c r="CN304" s="4258"/>
      <c r="CO304" s="4258"/>
      <c r="CP304" s="4258"/>
      <c r="CQ304" s="4258"/>
      <c r="CR304" s="4258"/>
      <c r="CS304" s="4258"/>
      <c r="CT304" s="4258"/>
      <c r="CU304" s="4258"/>
      <c r="CV304" s="4264"/>
      <c r="CW304" s="4264"/>
      <c r="CX304" s="4264"/>
      <c r="CY304" s="4264"/>
      <c r="CZ304" s="4264"/>
      <c r="DA304" s="4264"/>
    </row>
    <row r="305" spans="1:105" ht="14.1" customHeight="1" x14ac:dyDescent="0.3">
      <c r="A305" s="7320">
        <v>29101679</v>
      </c>
      <c r="B305" s="5215" t="s">
        <v>2845</v>
      </c>
      <c r="C305" s="5265" t="s">
        <v>5369</v>
      </c>
      <c r="D305" s="3831" t="s">
        <v>5370</v>
      </c>
      <c r="E305" s="3831" t="s">
        <v>5371</v>
      </c>
      <c r="F305" s="3831" t="s">
        <v>5372</v>
      </c>
      <c r="G305" s="3831" t="s">
        <v>5373</v>
      </c>
      <c r="H305" s="3831" t="s">
        <v>5374</v>
      </c>
      <c r="I305" s="3831" t="s">
        <v>5375</v>
      </c>
      <c r="J305" s="3831" t="s">
        <v>5376</v>
      </c>
      <c r="K305" s="3831" t="s">
        <v>5377</v>
      </c>
      <c r="L305" s="3831" t="s">
        <v>5378</v>
      </c>
      <c r="M305" s="3831" t="s">
        <v>5379</v>
      </c>
      <c r="N305" s="3831" t="s">
        <v>5380</v>
      </c>
      <c r="O305" s="3831" t="s">
        <v>5381</v>
      </c>
      <c r="P305" s="3831" t="s">
        <v>5382</v>
      </c>
      <c r="Q305" s="3831" t="s">
        <v>5383</v>
      </c>
      <c r="R305" s="3831" t="s">
        <v>5384</v>
      </c>
      <c r="S305" s="3831" t="s">
        <v>5385</v>
      </c>
      <c r="T305" s="4951" t="s">
        <v>5386</v>
      </c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 s="4976"/>
      <c r="BW305" s="4976"/>
      <c r="BX305" s="4976"/>
      <c r="BY305" s="4976"/>
      <c r="BZ305" s="4264"/>
      <c r="CA305" s="4264"/>
      <c r="CB305" s="4258"/>
      <c r="CC305" s="4258"/>
      <c r="CD305" s="4258"/>
      <c r="CE305" s="4258"/>
      <c r="CF305" s="4258"/>
      <c r="CG305" s="4258"/>
      <c r="CH305" s="4258"/>
      <c r="CI305" s="4258"/>
      <c r="CJ305" s="4258"/>
      <c r="CK305" s="4258"/>
      <c r="CL305" s="4258"/>
      <c r="CM305" s="4258"/>
      <c r="CN305" s="4258"/>
      <c r="CO305" s="4258"/>
      <c r="CP305" s="4258"/>
      <c r="CQ305" s="4258"/>
      <c r="CR305" s="4258"/>
      <c r="CS305" s="4258"/>
      <c r="CT305" s="4258"/>
      <c r="CU305" s="4258"/>
      <c r="CV305" s="4264"/>
      <c r="CW305" s="4264"/>
      <c r="CX305" s="4264"/>
      <c r="CY305" s="4264"/>
      <c r="CZ305" s="4264"/>
      <c r="DA305" s="4264"/>
    </row>
    <row r="306" spans="1:105" ht="14.1" customHeight="1" x14ac:dyDescent="0.3">
      <c r="A306" s="7320">
        <v>29101680</v>
      </c>
      <c r="B306" s="4437" t="s">
        <v>2857</v>
      </c>
      <c r="C306" s="5265" t="s">
        <v>5369</v>
      </c>
      <c r="D306" s="3831" t="s">
        <v>5370</v>
      </c>
      <c r="E306" s="3831" t="s">
        <v>5371</v>
      </c>
      <c r="F306" s="3831" t="s">
        <v>5372</v>
      </c>
      <c r="G306" s="3831" t="s">
        <v>5373</v>
      </c>
      <c r="H306" s="3831" t="s">
        <v>5374</v>
      </c>
      <c r="I306" s="3831" t="s">
        <v>5375</v>
      </c>
      <c r="J306" s="3831" t="s">
        <v>5376</v>
      </c>
      <c r="K306" s="3831" t="s">
        <v>5377</v>
      </c>
      <c r="L306" s="3831" t="s">
        <v>5378</v>
      </c>
      <c r="M306" s="3831" t="s">
        <v>5379</v>
      </c>
      <c r="N306" s="3831" t="s">
        <v>5380</v>
      </c>
      <c r="O306" s="3831" t="s">
        <v>5381</v>
      </c>
      <c r="P306" s="3831" t="s">
        <v>5382</v>
      </c>
      <c r="Q306" s="3831" t="s">
        <v>5383</v>
      </c>
      <c r="R306" s="3831" t="s">
        <v>5384</v>
      </c>
      <c r="S306" s="3831" t="s">
        <v>5385</v>
      </c>
      <c r="T306" s="4951" t="s">
        <v>5386</v>
      </c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 s="4976"/>
      <c r="BW306" s="4976"/>
      <c r="BX306" s="4976"/>
      <c r="BY306" s="4976"/>
      <c r="BZ306" s="4264"/>
      <c r="CA306" s="4264"/>
      <c r="CB306" s="4258"/>
      <c r="CC306" s="4258"/>
      <c r="CD306" s="4258"/>
      <c r="CE306" s="4258"/>
      <c r="CF306" s="4258"/>
      <c r="CG306" s="4258"/>
      <c r="CH306" s="4258"/>
      <c r="CI306" s="4258"/>
      <c r="CJ306" s="4258"/>
      <c r="CK306" s="4258"/>
      <c r="CL306" s="4258"/>
      <c r="CM306" s="4258"/>
      <c r="CN306" s="4258"/>
      <c r="CO306" s="4258"/>
      <c r="CP306" s="4258"/>
      <c r="CQ306" s="4258"/>
      <c r="CR306" s="4258"/>
      <c r="CS306" s="4258"/>
      <c r="CT306" s="4258"/>
      <c r="CU306" s="4258"/>
      <c r="CV306" s="4264"/>
      <c r="CW306" s="4264"/>
      <c r="CX306" s="4264"/>
      <c r="CY306" s="4264"/>
      <c r="CZ306" s="4264"/>
      <c r="DA306" s="4264"/>
    </row>
    <row r="307" spans="1:105" ht="14.1" customHeight="1" x14ac:dyDescent="0.3">
      <c r="A307" s="7320">
        <v>29101681</v>
      </c>
      <c r="B307" s="4437" t="s">
        <v>2820</v>
      </c>
      <c r="C307" s="5265" t="s">
        <v>5369</v>
      </c>
      <c r="D307" s="3831" t="s">
        <v>5370</v>
      </c>
      <c r="E307" s="3831" t="s">
        <v>5371</v>
      </c>
      <c r="F307" s="3831" t="s">
        <v>5372</v>
      </c>
      <c r="G307" s="3831" t="s">
        <v>5373</v>
      </c>
      <c r="H307" s="3831" t="s">
        <v>5374</v>
      </c>
      <c r="I307" s="3831" t="s">
        <v>5375</v>
      </c>
      <c r="J307" s="3831" t="s">
        <v>5376</v>
      </c>
      <c r="K307" s="3831" t="s">
        <v>5377</v>
      </c>
      <c r="L307" s="3831" t="s">
        <v>5378</v>
      </c>
      <c r="M307" s="3831" t="s">
        <v>5379</v>
      </c>
      <c r="N307" s="3831" t="s">
        <v>5380</v>
      </c>
      <c r="O307" s="3831" t="s">
        <v>5381</v>
      </c>
      <c r="P307" s="3831" t="s">
        <v>5382</v>
      </c>
      <c r="Q307" s="3831" t="s">
        <v>5383</v>
      </c>
      <c r="R307" s="3831" t="s">
        <v>5384</v>
      </c>
      <c r="S307" s="3831" t="s">
        <v>5385</v>
      </c>
      <c r="T307" s="4951" t="s">
        <v>5386</v>
      </c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 s="4976"/>
      <c r="BW307" s="4976"/>
      <c r="BX307" s="4976"/>
      <c r="BY307" s="4976"/>
      <c r="BZ307" s="4264"/>
      <c r="CA307" s="4264"/>
      <c r="CB307" s="4258"/>
      <c r="CC307" s="4258"/>
      <c r="CD307" s="4258"/>
      <c r="CE307" s="4258"/>
      <c r="CF307" s="4258"/>
      <c r="CG307" s="4258"/>
      <c r="CH307" s="4258"/>
      <c r="CI307" s="4258"/>
      <c r="CJ307" s="4258"/>
      <c r="CK307" s="4258"/>
      <c r="CL307" s="4258"/>
      <c r="CM307" s="4258"/>
      <c r="CN307" s="4258"/>
      <c r="CO307" s="4258"/>
      <c r="CP307" s="4258"/>
      <c r="CQ307" s="4258"/>
      <c r="CR307" s="4258"/>
      <c r="CS307" s="4258"/>
      <c r="CT307" s="4258"/>
      <c r="CU307" s="4258"/>
      <c r="CV307" s="4264"/>
      <c r="CW307" s="4264"/>
      <c r="CX307" s="4264"/>
      <c r="CY307" s="4264"/>
      <c r="CZ307" s="4264"/>
      <c r="DA307" s="4264"/>
    </row>
    <row r="308" spans="1:105" ht="14.1" customHeight="1" x14ac:dyDescent="0.3">
      <c r="A308" s="7320">
        <v>29101682</v>
      </c>
      <c r="B308" s="4437" t="s">
        <v>2849</v>
      </c>
      <c r="C308" s="5274" t="s">
        <v>5369</v>
      </c>
      <c r="D308" s="5039" t="s">
        <v>5370</v>
      </c>
      <c r="E308" s="5039" t="s">
        <v>5371</v>
      </c>
      <c r="F308" s="5039" t="s">
        <v>5372</v>
      </c>
      <c r="G308" s="5039" t="s">
        <v>5373</v>
      </c>
      <c r="H308" s="5039" t="s">
        <v>5374</v>
      </c>
      <c r="I308" s="5039" t="s">
        <v>5375</v>
      </c>
      <c r="J308" s="5039" t="s">
        <v>5376</v>
      </c>
      <c r="K308" s="5039" t="s">
        <v>5377</v>
      </c>
      <c r="L308" s="5039" t="s">
        <v>5378</v>
      </c>
      <c r="M308" s="5039" t="s">
        <v>5379</v>
      </c>
      <c r="N308" s="5039" t="s">
        <v>5380</v>
      </c>
      <c r="O308" s="5039" t="s">
        <v>5381</v>
      </c>
      <c r="P308" s="5039" t="s">
        <v>5382</v>
      </c>
      <c r="Q308" s="5039" t="s">
        <v>5383</v>
      </c>
      <c r="R308" s="5039" t="s">
        <v>5384</v>
      </c>
      <c r="S308" s="5039" t="s">
        <v>5385</v>
      </c>
      <c r="T308" s="5034" t="s">
        <v>5386</v>
      </c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 s="4976"/>
      <c r="BW308" s="4976"/>
      <c r="BX308" s="4976"/>
      <c r="BY308" s="4976"/>
      <c r="BZ308" s="4264"/>
      <c r="CA308" s="4264"/>
      <c r="CB308" s="4258"/>
      <c r="CC308" s="4258"/>
      <c r="CD308" s="4258"/>
      <c r="CE308" s="4258"/>
      <c r="CF308" s="4258"/>
      <c r="CG308" s="4258"/>
      <c r="CH308" s="4258"/>
      <c r="CI308" s="4258"/>
      <c r="CJ308" s="4258"/>
      <c r="CK308" s="4258"/>
      <c r="CL308" s="4258"/>
      <c r="CM308" s="4258"/>
      <c r="CN308" s="4258"/>
      <c r="CO308" s="4258"/>
      <c r="CP308" s="4258"/>
      <c r="CQ308" s="4258"/>
      <c r="CR308" s="4258"/>
      <c r="CS308" s="4258"/>
      <c r="CT308" s="4258"/>
      <c r="CU308" s="4258"/>
      <c r="CV308" s="4264"/>
      <c r="CW308" s="4264"/>
      <c r="CX308" s="4264"/>
      <c r="CY308" s="4264"/>
      <c r="CZ308" s="4264"/>
      <c r="DA308" s="4264"/>
    </row>
    <row r="309" spans="1:105" ht="14.1" customHeight="1" x14ac:dyDescent="0.3">
      <c r="A309" s="7520">
        <v>28022990</v>
      </c>
      <c r="B309" s="5275" t="s">
        <v>415</v>
      </c>
      <c r="C309" s="5276" t="s">
        <v>5369</v>
      </c>
      <c r="D309" s="4421" t="s">
        <v>5370</v>
      </c>
      <c r="E309" s="4421" t="s">
        <v>5371</v>
      </c>
      <c r="F309" s="4421" t="s">
        <v>5372</v>
      </c>
      <c r="G309" s="4421" t="s">
        <v>5373</v>
      </c>
      <c r="H309" s="4421" t="s">
        <v>5374</v>
      </c>
      <c r="I309" s="4421" t="s">
        <v>5375</v>
      </c>
      <c r="J309" s="4421" t="s">
        <v>5376</v>
      </c>
      <c r="K309" s="4421" t="s">
        <v>5377</v>
      </c>
      <c r="L309" s="4421" t="s">
        <v>5378</v>
      </c>
      <c r="M309" s="4421" t="s">
        <v>5379</v>
      </c>
      <c r="N309" s="4421" t="s">
        <v>5380</v>
      </c>
      <c r="O309" s="4421" t="s">
        <v>5381</v>
      </c>
      <c r="P309" s="4421" t="s">
        <v>5382</v>
      </c>
      <c r="Q309" s="4421" t="s">
        <v>5383</v>
      </c>
      <c r="R309" s="4421" t="s">
        <v>5384</v>
      </c>
      <c r="S309" s="4421" t="s">
        <v>5385</v>
      </c>
      <c r="T309" s="5027" t="s">
        <v>5386</v>
      </c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 s="4976"/>
      <c r="BW309" s="4976"/>
      <c r="BX309" s="4976"/>
      <c r="BY309" s="4976"/>
      <c r="BZ309" s="4264"/>
      <c r="CA309" s="4264"/>
      <c r="CB309" s="4258"/>
      <c r="CC309" s="4258"/>
      <c r="CD309" s="4258"/>
      <c r="CE309" s="4258"/>
      <c r="CF309" s="4258"/>
      <c r="CG309" s="4258"/>
      <c r="CH309" s="4258"/>
      <c r="CI309" s="4258"/>
      <c r="CJ309" s="4258"/>
      <c r="CK309" s="4258"/>
      <c r="CL309" s="4258"/>
      <c r="CM309" s="4258"/>
      <c r="CN309" s="4258"/>
      <c r="CO309" s="4258"/>
      <c r="CP309" s="4258"/>
      <c r="CQ309" s="4258"/>
      <c r="CR309" s="4258"/>
      <c r="CS309" s="4258"/>
      <c r="CT309" s="4258"/>
      <c r="CU309" s="4258"/>
      <c r="CV309" s="4264"/>
      <c r="CW309" s="4264"/>
      <c r="CX309" s="4264"/>
      <c r="CY309" s="4264"/>
      <c r="CZ309" s="4264"/>
      <c r="DA309" s="4264"/>
    </row>
    <row r="310" spans="1:105" ht="18.75" customHeight="1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 s="4976"/>
      <c r="BW310" s="4976"/>
      <c r="BX310" s="4976"/>
      <c r="BY310" s="4976"/>
      <c r="BZ310" s="4976"/>
      <c r="CA310" s="4976"/>
      <c r="CB310" s="4258"/>
      <c r="CC310" s="4258"/>
      <c r="CD310" s="4258"/>
      <c r="CE310" s="4258"/>
      <c r="CF310" s="4258"/>
      <c r="CG310" s="4258"/>
      <c r="CH310" s="4258"/>
      <c r="CI310" s="4258"/>
      <c r="CJ310" s="4258"/>
      <c r="CK310" s="4258"/>
      <c r="CL310" s="4258"/>
      <c r="CM310" s="4258"/>
      <c r="CN310" s="4258"/>
      <c r="CO310" s="4258"/>
      <c r="CP310" s="4258"/>
      <c r="CQ310" s="4258"/>
      <c r="CR310" s="4258"/>
      <c r="CS310" s="4258"/>
      <c r="CT310" s="4258"/>
      <c r="CU310" s="4258"/>
      <c r="CV310" s="4976"/>
      <c r="CW310" s="4976"/>
      <c r="CX310" s="4976"/>
      <c r="CY310" s="4976"/>
      <c r="CZ310" s="4976"/>
      <c r="DA310" s="4976"/>
    </row>
    <row r="311" spans="1:105" x14ac:dyDescent="0.25">
      <c r="CB311" s="4258"/>
      <c r="CC311" s="4258"/>
      <c r="CD311" s="4258"/>
      <c r="CE311" s="4258"/>
      <c r="CF311" s="4258"/>
      <c r="CG311" s="4258"/>
      <c r="CH311" s="4258"/>
      <c r="CI311" s="4258"/>
      <c r="CJ311" s="4258"/>
      <c r="CK311" s="4258"/>
      <c r="CL311" s="4258"/>
      <c r="CM311" s="4258"/>
      <c r="CN311" s="4258"/>
      <c r="CO311" s="4258"/>
      <c r="CP311" s="4258"/>
      <c r="CQ311" s="4258"/>
      <c r="CR311" s="4258"/>
      <c r="CS311" s="4258"/>
      <c r="CT311" s="4258"/>
      <c r="CU311" s="4258"/>
    </row>
    <row r="312" spans="1:105" x14ac:dyDescent="0.25">
      <c r="A312" s="4258" t="s">
        <v>4068</v>
      </c>
      <c r="CB312" s="4258"/>
      <c r="CC312" s="4258"/>
      <c r="CD312" s="4258"/>
      <c r="CE312" s="4258"/>
      <c r="CF312" s="4258"/>
      <c r="CG312" s="4258"/>
      <c r="CH312" s="4258"/>
      <c r="CI312" s="4258"/>
      <c r="CJ312" s="4258"/>
      <c r="CK312" s="4258"/>
      <c r="CL312" s="4258"/>
      <c r="CM312" s="4258"/>
      <c r="CN312" s="4258"/>
      <c r="CO312" s="4258"/>
      <c r="CP312" s="4258"/>
      <c r="CQ312" s="4258"/>
      <c r="CR312" s="4258"/>
      <c r="CS312" s="4258"/>
      <c r="CT312" s="4258"/>
      <c r="CU312" s="4258"/>
    </row>
    <row r="313" spans="1:105" x14ac:dyDescent="0.25">
      <c r="A313" s="7320">
        <v>29101620</v>
      </c>
      <c r="CB313" s="4258"/>
      <c r="CC313" s="4258"/>
      <c r="CD313" s="4258"/>
      <c r="CE313" s="4258"/>
      <c r="CF313" s="4258"/>
      <c r="CG313" s="4258"/>
      <c r="CH313" s="4258"/>
      <c r="CI313" s="4258"/>
      <c r="CJ313" s="4258"/>
      <c r="CK313" s="4258"/>
      <c r="CL313" s="4258"/>
      <c r="CM313" s="4258"/>
      <c r="CN313" s="4258"/>
      <c r="CO313" s="4258"/>
      <c r="CP313" s="4258"/>
      <c r="CQ313" s="4258"/>
      <c r="CR313" s="4258"/>
      <c r="CS313" s="4258"/>
      <c r="CT313" s="4258"/>
      <c r="CU313" s="4258"/>
    </row>
    <row r="314" spans="1:105" x14ac:dyDescent="0.25">
      <c r="A314" s="7320">
        <v>29101621</v>
      </c>
      <c r="CB314" s="4258"/>
      <c r="CC314" s="4258"/>
      <c r="CD314" s="4258"/>
      <c r="CE314" s="4258"/>
      <c r="CF314" s="4258"/>
      <c r="CG314" s="4258"/>
      <c r="CH314" s="4258"/>
      <c r="CI314" s="4258"/>
      <c r="CJ314" s="4258"/>
      <c r="CK314" s="4258"/>
      <c r="CL314" s="4258"/>
      <c r="CM314" s="4258"/>
      <c r="CN314" s="4258"/>
      <c r="CO314" s="4258"/>
      <c r="CP314" s="4258"/>
      <c r="CQ314" s="4258"/>
      <c r="CR314" s="4258"/>
      <c r="CS314" s="4258"/>
      <c r="CT314" s="4258"/>
      <c r="CU314" s="4258"/>
    </row>
    <row r="315" spans="1:105" x14ac:dyDescent="0.25">
      <c r="A315" s="7320">
        <v>29101622</v>
      </c>
      <c r="CB315" s="4258"/>
      <c r="CC315" s="4258"/>
      <c r="CD315" s="4258"/>
      <c r="CE315" s="4258"/>
      <c r="CF315" s="4258"/>
      <c r="CG315" s="4258"/>
      <c r="CH315" s="4258"/>
      <c r="CI315" s="4258"/>
      <c r="CJ315" s="4258"/>
      <c r="CK315" s="4258"/>
      <c r="CL315" s="4258"/>
      <c r="CM315" s="4258"/>
      <c r="CN315" s="4258"/>
      <c r="CO315" s="4258"/>
      <c r="CP315" s="4258"/>
      <c r="CQ315" s="4258"/>
      <c r="CR315" s="4258"/>
      <c r="CS315" s="4258"/>
      <c r="CT315" s="4258"/>
      <c r="CU315" s="4258"/>
    </row>
    <row r="316" spans="1:105" x14ac:dyDescent="0.25">
      <c r="A316" s="7320">
        <v>29101623</v>
      </c>
      <c r="CB316" s="4258"/>
      <c r="CC316" s="4258"/>
      <c r="CD316" s="4258"/>
      <c r="CE316" s="4258"/>
      <c r="CF316" s="4258"/>
      <c r="CG316" s="4258"/>
      <c r="CH316" s="4258"/>
      <c r="CI316" s="4258"/>
      <c r="CJ316" s="4258"/>
      <c r="CK316" s="4258"/>
      <c r="CL316" s="4258"/>
      <c r="CM316" s="4258"/>
      <c r="CN316" s="4258"/>
      <c r="CO316" s="4258"/>
      <c r="CP316" s="4258"/>
      <c r="CQ316" s="4258"/>
      <c r="CR316" s="4258"/>
      <c r="CS316" s="4258"/>
      <c r="CT316" s="4258"/>
      <c r="CU316" s="4258"/>
    </row>
    <row r="317" spans="1:105" x14ac:dyDescent="0.25">
      <c r="A317" s="7320">
        <v>29101624</v>
      </c>
      <c r="CB317" s="4258"/>
      <c r="CC317" s="4258"/>
      <c r="CD317" s="4258"/>
      <c r="CE317" s="4258"/>
      <c r="CF317" s="4258"/>
      <c r="CG317" s="4258"/>
      <c r="CH317" s="4258"/>
      <c r="CI317" s="4258"/>
      <c r="CJ317" s="4258"/>
      <c r="CK317" s="4258"/>
      <c r="CL317" s="4258"/>
      <c r="CM317" s="4258"/>
      <c r="CN317" s="4258"/>
      <c r="CO317" s="4258"/>
      <c r="CP317" s="4258"/>
      <c r="CQ317" s="4258"/>
      <c r="CR317" s="4258"/>
      <c r="CS317" s="4258"/>
      <c r="CT317" s="4258"/>
      <c r="CU317" s="4258"/>
    </row>
    <row r="318" spans="1:105" x14ac:dyDescent="0.25">
      <c r="A318" s="7320">
        <v>29101625</v>
      </c>
      <c r="CB318" s="4258"/>
      <c r="CC318" s="4258"/>
      <c r="CD318" s="4258"/>
      <c r="CE318" s="4258"/>
      <c r="CF318" s="4258"/>
      <c r="CG318" s="4258"/>
      <c r="CH318" s="4258"/>
      <c r="CI318" s="4258"/>
      <c r="CJ318" s="4258"/>
      <c r="CK318" s="4258"/>
      <c r="CL318" s="4258"/>
      <c r="CM318" s="4258"/>
      <c r="CN318" s="4258"/>
      <c r="CO318" s="4258"/>
      <c r="CP318" s="4258"/>
      <c r="CQ318" s="4258"/>
      <c r="CR318" s="4258"/>
      <c r="CS318" s="4258"/>
      <c r="CT318" s="4258"/>
      <c r="CU318" s="4258"/>
    </row>
    <row r="319" spans="1:105" x14ac:dyDescent="0.25">
      <c r="A319" s="7320">
        <v>29101626</v>
      </c>
      <c r="CB319" s="4258"/>
      <c r="CC319" s="4258"/>
      <c r="CD319" s="4258"/>
      <c r="CE319" s="4258"/>
      <c r="CF319" s="4258"/>
      <c r="CG319" s="4258"/>
      <c r="CH319" s="4258"/>
      <c r="CI319" s="4258"/>
      <c r="CJ319" s="4258"/>
      <c r="CK319" s="4258"/>
      <c r="CL319" s="4258"/>
      <c r="CM319" s="4258"/>
      <c r="CN319" s="4258"/>
      <c r="CO319" s="4258"/>
      <c r="CP319" s="4258"/>
      <c r="CQ319" s="4258"/>
      <c r="CR319" s="4258"/>
      <c r="CS319" s="4258"/>
      <c r="CT319" s="4258"/>
      <c r="CU319" s="4258"/>
    </row>
    <row r="320" spans="1:105" x14ac:dyDescent="0.25">
      <c r="A320" s="7320">
        <v>29101627</v>
      </c>
      <c r="CB320" s="4258"/>
      <c r="CC320" s="4258"/>
      <c r="CD320" s="4258"/>
      <c r="CE320" s="4258"/>
      <c r="CF320" s="4258"/>
      <c r="CG320" s="4258"/>
      <c r="CH320" s="4258"/>
      <c r="CI320" s="4258"/>
      <c r="CJ320" s="4258"/>
      <c r="CK320" s="4258"/>
      <c r="CL320" s="4258"/>
      <c r="CM320" s="4258"/>
      <c r="CN320" s="4258"/>
      <c r="CO320" s="4258"/>
      <c r="CP320" s="4258"/>
      <c r="CQ320" s="4258"/>
      <c r="CR320" s="4258"/>
      <c r="CS320" s="4258"/>
      <c r="CT320" s="4258"/>
      <c r="CU320" s="4258"/>
    </row>
    <row r="321" spans="1:99" x14ac:dyDescent="0.25">
      <c r="A321" s="7320">
        <v>29101628</v>
      </c>
      <c r="CB321" s="4258"/>
      <c r="CC321" s="4258"/>
      <c r="CD321" s="4258"/>
      <c r="CE321" s="4258"/>
      <c r="CF321" s="4258"/>
      <c r="CG321" s="4258"/>
      <c r="CH321" s="4258"/>
      <c r="CI321" s="4258"/>
      <c r="CJ321" s="4258"/>
      <c r="CK321" s="4258"/>
      <c r="CL321" s="4258"/>
      <c r="CM321" s="4258"/>
      <c r="CN321" s="4258"/>
      <c r="CO321" s="4258"/>
      <c r="CP321" s="4258"/>
      <c r="CQ321" s="4258"/>
      <c r="CR321" s="4258"/>
      <c r="CS321" s="4258"/>
      <c r="CT321" s="4258"/>
      <c r="CU321" s="4258"/>
    </row>
    <row r="322" spans="1:99" x14ac:dyDescent="0.25">
      <c r="A322" s="7320">
        <v>29101629</v>
      </c>
      <c r="CB322" s="4258"/>
      <c r="CC322" s="4258"/>
      <c r="CD322" s="4258"/>
      <c r="CE322" s="4258"/>
      <c r="CF322" s="4258"/>
      <c r="CG322" s="4258"/>
      <c r="CH322" s="4258"/>
      <c r="CI322" s="4258"/>
      <c r="CJ322" s="4258"/>
      <c r="CK322" s="4258"/>
      <c r="CL322" s="4258"/>
      <c r="CM322" s="4258"/>
      <c r="CN322" s="4258"/>
      <c r="CO322" s="4258"/>
      <c r="CP322" s="4258"/>
      <c r="CQ322" s="4258"/>
      <c r="CR322" s="4258"/>
      <c r="CS322" s="4258"/>
      <c r="CT322" s="4258"/>
      <c r="CU322" s="4258"/>
    </row>
    <row r="323" spans="1:99" x14ac:dyDescent="0.25">
      <c r="A323" s="7320">
        <v>29101630</v>
      </c>
      <c r="CB323" s="4258"/>
      <c r="CC323" s="4258"/>
      <c r="CD323" s="4258"/>
      <c r="CE323" s="4258"/>
      <c r="CF323" s="4258"/>
      <c r="CG323" s="4258"/>
      <c r="CH323" s="4258"/>
      <c r="CI323" s="4258"/>
      <c r="CJ323" s="4258"/>
      <c r="CK323" s="4258"/>
      <c r="CL323" s="4258"/>
      <c r="CM323" s="4258"/>
      <c r="CN323" s="4258"/>
      <c r="CO323" s="4258"/>
      <c r="CP323" s="4258"/>
      <c r="CQ323" s="4258"/>
      <c r="CR323" s="4258"/>
      <c r="CS323" s="4258"/>
      <c r="CT323" s="4258"/>
      <c r="CU323" s="4258"/>
    </row>
    <row r="324" spans="1:99" x14ac:dyDescent="0.25">
      <c r="A324" s="7320">
        <v>29101631</v>
      </c>
      <c r="CH324" s="4978"/>
    </row>
    <row r="325" spans="1:99" x14ac:dyDescent="0.25">
      <c r="A325" s="7320">
        <v>29101632</v>
      </c>
    </row>
    <row r="326" spans="1:99" x14ac:dyDescent="0.25">
      <c r="A326" s="7320">
        <v>29101633</v>
      </c>
    </row>
    <row r="327" spans="1:99" x14ac:dyDescent="0.25">
      <c r="A327" s="7320">
        <v>29101634</v>
      </c>
    </row>
    <row r="328" spans="1:99" x14ac:dyDescent="0.25">
      <c r="A328" s="7320">
        <v>29101635</v>
      </c>
    </row>
    <row r="329" spans="1:99" x14ac:dyDescent="0.25">
      <c r="A329" s="7320">
        <v>29101636</v>
      </c>
      <c r="CB329" s="4993" t="str">
        <f t="shared" ref="CB329:CB340" si="34">IF(CH329=1,"*El Total de Beneficiarios no puede superar el Total por Sexo. ","")</f>
        <v/>
      </c>
      <c r="CH329" s="4994">
        <f>IF(AS329&gt;D329,1,0)</f>
        <v>0</v>
      </c>
      <c r="CI329" s="4978"/>
      <c r="CJ329" s="4978"/>
      <c r="CK329" s="4978"/>
      <c r="CL329" s="4978"/>
      <c r="CM329" s="4978"/>
    </row>
    <row r="330" spans="1:99" x14ac:dyDescent="0.25">
      <c r="A330" s="7320">
        <v>29101637</v>
      </c>
      <c r="CB330" s="4993" t="str">
        <f t="shared" si="34"/>
        <v/>
      </c>
      <c r="CH330" s="4994">
        <f t="shared" ref="CH330:CH340" si="35">IF(AS330&gt;D330,1,0)</f>
        <v>0</v>
      </c>
      <c r="CI330" s="4978"/>
      <c r="CJ330" s="4978"/>
      <c r="CK330" s="4978"/>
      <c r="CL330" s="4978"/>
      <c r="CM330" s="4978"/>
    </row>
    <row r="331" spans="1:99" x14ac:dyDescent="0.25">
      <c r="A331" s="7320">
        <v>29101638</v>
      </c>
      <c r="CB331" s="4993" t="str">
        <f t="shared" si="34"/>
        <v/>
      </c>
      <c r="CH331" s="4994">
        <f t="shared" si="35"/>
        <v>0</v>
      </c>
      <c r="CI331" s="4978"/>
      <c r="CJ331" s="4978"/>
      <c r="CK331" s="4978"/>
      <c r="CL331" s="4978"/>
      <c r="CM331" s="4978"/>
    </row>
    <row r="332" spans="1:99" x14ac:dyDescent="0.25">
      <c r="A332" s="7320">
        <v>29101639</v>
      </c>
      <c r="CB332" s="4993" t="str">
        <f t="shared" si="34"/>
        <v/>
      </c>
      <c r="CH332" s="4994">
        <f t="shared" si="35"/>
        <v>0</v>
      </c>
      <c r="CI332" s="4978"/>
      <c r="CJ332" s="4978"/>
      <c r="CK332" s="4978"/>
      <c r="CL332" s="4978"/>
      <c r="CM332" s="4978"/>
    </row>
    <row r="333" spans="1:99" x14ac:dyDescent="0.25">
      <c r="A333" s="7320">
        <v>29101640</v>
      </c>
      <c r="CB333" s="4993" t="str">
        <f t="shared" si="34"/>
        <v/>
      </c>
      <c r="CH333" s="4994">
        <f t="shared" si="35"/>
        <v>0</v>
      </c>
      <c r="CI333" s="4978"/>
      <c r="CJ333" s="4978"/>
      <c r="CK333" s="4978"/>
      <c r="CL333" s="4978"/>
      <c r="CM333" s="4978"/>
    </row>
    <row r="334" spans="1:99" x14ac:dyDescent="0.25">
      <c r="A334" s="7320">
        <v>29101641</v>
      </c>
      <c r="CB334" s="4993" t="str">
        <f t="shared" si="34"/>
        <v/>
      </c>
      <c r="CH334" s="4994">
        <f t="shared" si="35"/>
        <v>0</v>
      </c>
      <c r="CI334" s="4978"/>
      <c r="CJ334" s="4978"/>
      <c r="CK334" s="4978"/>
      <c r="CL334" s="4978"/>
      <c r="CM334" s="4978"/>
    </row>
    <row r="335" spans="1:99" x14ac:dyDescent="0.25">
      <c r="A335" s="7320">
        <v>29101642</v>
      </c>
      <c r="CB335" s="4993" t="str">
        <f t="shared" si="34"/>
        <v/>
      </c>
      <c r="CH335" s="4994">
        <f t="shared" si="35"/>
        <v>0</v>
      </c>
      <c r="CI335" s="4978"/>
      <c r="CJ335" s="4978"/>
      <c r="CK335" s="4978"/>
      <c r="CL335" s="4978"/>
      <c r="CM335" s="4978"/>
    </row>
    <row r="336" spans="1:99" x14ac:dyDescent="0.25">
      <c r="A336" s="7320">
        <v>29101643</v>
      </c>
      <c r="CB336" s="4993" t="str">
        <f t="shared" si="34"/>
        <v/>
      </c>
      <c r="CH336" s="4994">
        <f t="shared" si="35"/>
        <v>0</v>
      </c>
      <c r="CI336" s="4978"/>
      <c r="CJ336" s="4978"/>
      <c r="CK336" s="4978"/>
      <c r="CL336" s="4978"/>
      <c r="CM336" s="4978"/>
    </row>
    <row r="337" spans="1:131" x14ac:dyDescent="0.25">
      <c r="A337" s="7320">
        <v>29101644</v>
      </c>
      <c r="CB337" s="4993" t="str">
        <f t="shared" si="34"/>
        <v/>
      </c>
      <c r="CH337" s="4994">
        <f t="shared" si="35"/>
        <v>0</v>
      </c>
      <c r="CI337" s="4978"/>
      <c r="CJ337" s="4978"/>
      <c r="CK337" s="4978"/>
      <c r="CL337" s="4978"/>
      <c r="CM337" s="4978"/>
    </row>
    <row r="338" spans="1:131" x14ac:dyDescent="0.25">
      <c r="A338" s="7320">
        <v>29101645</v>
      </c>
      <c r="CB338" s="4993" t="str">
        <f t="shared" si="34"/>
        <v/>
      </c>
      <c r="CH338" s="4994">
        <f t="shared" si="35"/>
        <v>0</v>
      </c>
      <c r="CI338" s="4978"/>
      <c r="CJ338" s="4978"/>
      <c r="CK338" s="4978"/>
      <c r="CL338" s="4978"/>
      <c r="CM338" s="4978"/>
    </row>
    <row r="339" spans="1:131" x14ac:dyDescent="0.25">
      <c r="A339" s="7320">
        <v>29101646</v>
      </c>
      <c r="CB339" s="4993" t="str">
        <f t="shared" si="34"/>
        <v/>
      </c>
      <c r="CH339" s="4994">
        <f t="shared" si="35"/>
        <v>0</v>
      </c>
      <c r="CI339" s="4978"/>
      <c r="CJ339" s="4978"/>
      <c r="CK339" s="4978"/>
      <c r="CL339" s="4978"/>
      <c r="CM339" s="4978"/>
    </row>
    <row r="340" spans="1:131" x14ac:dyDescent="0.25">
      <c r="A340" s="7320">
        <v>29101647</v>
      </c>
      <c r="CB340" s="4993" t="str">
        <f t="shared" si="34"/>
        <v/>
      </c>
      <c r="CH340" s="4994">
        <f t="shared" si="35"/>
        <v>0</v>
      </c>
      <c r="CI340" s="4978"/>
      <c r="CJ340" s="4978"/>
      <c r="CK340" s="4978"/>
      <c r="CL340" s="4978"/>
      <c r="CM340" s="4978"/>
    </row>
    <row r="341" spans="1:131" x14ac:dyDescent="0.25">
      <c r="A341" s="7320">
        <v>29101648</v>
      </c>
      <c r="CH341" s="4978"/>
      <c r="CI341" s="4978"/>
      <c r="CJ341" s="4978"/>
      <c r="CK341" s="4978"/>
      <c r="CL341" s="4978"/>
      <c r="CM341" s="4978"/>
    </row>
    <row r="342" spans="1:131" x14ac:dyDescent="0.25">
      <c r="A342" s="7320">
        <v>29101649</v>
      </c>
      <c r="CH342" s="4978"/>
      <c r="CI342" s="4978"/>
      <c r="CJ342" s="4978"/>
      <c r="CK342" s="4978"/>
      <c r="CL342" s="4978"/>
      <c r="CM342" s="4978"/>
    </row>
    <row r="343" spans="1:131" x14ac:dyDescent="0.25">
      <c r="A343" s="7320">
        <v>29101650</v>
      </c>
      <c r="CH343" s="4978"/>
      <c r="CI343" s="4978"/>
      <c r="CJ343" s="4978"/>
      <c r="CK343" s="4978"/>
      <c r="CL343" s="4978"/>
      <c r="CM343" s="4978"/>
    </row>
    <row r="344" spans="1:131" x14ac:dyDescent="0.25">
      <c r="A344" s="7320">
        <v>29101651</v>
      </c>
      <c r="CH344" s="4978"/>
      <c r="CI344" s="4978"/>
      <c r="CJ344" s="4978"/>
      <c r="CK344" s="4978"/>
      <c r="CL344" s="4978"/>
      <c r="CM344" s="4978"/>
    </row>
    <row r="345" spans="1:131" x14ac:dyDescent="0.25">
      <c r="A345" s="7320">
        <v>29101652</v>
      </c>
      <c r="CB345" s="4993" t="str">
        <f t="shared" ref="CB345:CB356" si="36">IF(CH345=1,"*El Total de Beneficiarios no puede superar el Total por Sexo. ","")</f>
        <v/>
      </c>
      <c r="CH345" s="4994">
        <f t="shared" ref="CH345:CH356" si="37">IF(AS345&gt;D345,1,0)</f>
        <v>0</v>
      </c>
      <c r="CI345" s="4978"/>
      <c r="CJ345" s="4978"/>
      <c r="CK345" s="4978"/>
      <c r="CL345" s="4978"/>
      <c r="CM345" s="4978"/>
    </row>
    <row r="346" spans="1:131" s="5277" customFormat="1" ht="14.4" x14ac:dyDescent="0.3">
      <c r="A346" s="7320">
        <v>29101653</v>
      </c>
      <c r="B346" s="5277">
        <f>SUM(C13:C24,D29:D50,C60,C68,C76,C96:F96,C104:F104,C112:F112,C116:C117,C121:C123,D127:M142,C148:C176,C177,C194,C205,C214,C217:C220,C248,C253:C255,C259:C285,C289:C309)</f>
        <v>0</v>
      </c>
      <c r="C346" s="5277">
        <f>SUM(CH6:DA309)</f>
        <v>119</v>
      </c>
      <c r="BV346" s="5278"/>
      <c r="BW346" s="5278"/>
      <c r="BX346" s="5278"/>
      <c r="BY346" s="5278"/>
      <c r="BZ346" s="5279"/>
      <c r="CA346" s="5279"/>
      <c r="CB346" s="4993" t="str">
        <f t="shared" si="36"/>
        <v/>
      </c>
      <c r="CC346" s="4295"/>
      <c r="CD346" s="4295"/>
      <c r="CE346" s="4295"/>
      <c r="CF346" s="4295"/>
      <c r="CG346" s="4295"/>
      <c r="CH346" s="4994">
        <f t="shared" si="37"/>
        <v>0</v>
      </c>
      <c r="CI346" s="4978"/>
      <c r="CJ346" s="4978"/>
      <c r="CK346" s="4978"/>
      <c r="CL346" s="4978"/>
      <c r="CM346" s="4978"/>
      <c r="CN346" s="4295"/>
      <c r="CO346" s="4295"/>
      <c r="CP346" s="4295"/>
      <c r="CQ346" s="4295"/>
      <c r="CR346" s="4295"/>
      <c r="CS346" s="4295"/>
      <c r="CT346" s="4295"/>
      <c r="CU346" s="4295"/>
      <c r="CV346" s="5279"/>
      <c r="CW346" s="5279"/>
      <c r="CX346" s="5279"/>
      <c r="CY346" s="5279"/>
      <c r="CZ346" s="5279"/>
      <c r="DA346" s="5279"/>
      <c r="DB346" s="5278"/>
      <c r="DC346" s="5278"/>
      <c r="DD346" s="5278"/>
      <c r="DE346" s="5278"/>
      <c r="DF346" s="5278"/>
      <c r="DG346" s="5278"/>
      <c r="DH346" s="5278"/>
      <c r="DI346" s="5278"/>
      <c r="DJ346" s="5278"/>
      <c r="DK346" s="5278"/>
      <c r="DL346" s="5278"/>
      <c r="DM346" s="5278"/>
      <c r="DN346" s="5278"/>
      <c r="DO346" s="5278"/>
      <c r="DP346" s="5278"/>
      <c r="DQ346" s="5278"/>
      <c r="DR346" s="5278"/>
      <c r="DS346" s="5278"/>
      <c r="DT346" s="5278"/>
      <c r="DU346" s="5278"/>
      <c r="DV346" s="5278"/>
      <c r="DW346" s="5278"/>
      <c r="DX346" s="5278"/>
      <c r="DY346" s="5278"/>
      <c r="DZ346" s="5278"/>
      <c r="EA346" s="5278"/>
    </row>
    <row r="347" spans="1:131" x14ac:dyDescent="0.25">
      <c r="A347" s="7320">
        <v>29101654</v>
      </c>
      <c r="CB347" s="4993" t="str">
        <f t="shared" si="36"/>
        <v/>
      </c>
      <c r="CH347" s="4994">
        <f t="shared" si="37"/>
        <v>0</v>
      </c>
      <c r="CI347" s="4978"/>
      <c r="CJ347" s="4978"/>
      <c r="CK347" s="4978"/>
      <c r="CL347" s="4978"/>
      <c r="CM347" s="4978"/>
    </row>
    <row r="348" spans="1:131" x14ac:dyDescent="0.25">
      <c r="A348" s="7320">
        <v>29101655</v>
      </c>
      <c r="CB348" s="4993" t="str">
        <f t="shared" si="36"/>
        <v/>
      </c>
      <c r="CH348" s="4994">
        <f t="shared" si="37"/>
        <v>0</v>
      </c>
      <c r="CI348" s="4978"/>
      <c r="CJ348" s="4978"/>
      <c r="CK348" s="4978"/>
      <c r="CL348" s="4978"/>
      <c r="CM348" s="4978"/>
    </row>
    <row r="349" spans="1:131" x14ac:dyDescent="0.25">
      <c r="A349" s="7320">
        <v>29101656</v>
      </c>
      <c r="CB349" s="4993" t="str">
        <f t="shared" si="36"/>
        <v/>
      </c>
      <c r="CH349" s="4994">
        <f t="shared" si="37"/>
        <v>0</v>
      </c>
      <c r="CI349" s="4978"/>
      <c r="CJ349" s="4978"/>
      <c r="CK349" s="4978"/>
      <c r="CL349" s="4978"/>
      <c r="CM349" s="4978"/>
    </row>
    <row r="350" spans="1:131" x14ac:dyDescent="0.25">
      <c r="A350" s="7320">
        <v>29101657</v>
      </c>
      <c r="CB350" s="4993" t="str">
        <f t="shared" si="36"/>
        <v/>
      </c>
      <c r="CH350" s="4994">
        <f t="shared" si="37"/>
        <v>0</v>
      </c>
      <c r="CI350" s="4978"/>
      <c r="CJ350" s="4978"/>
      <c r="CK350" s="4978"/>
      <c r="CL350" s="4978"/>
      <c r="CM350" s="4978"/>
    </row>
    <row r="351" spans="1:131" x14ac:dyDescent="0.25">
      <c r="A351" s="7320">
        <v>29101658</v>
      </c>
      <c r="CB351" s="4993" t="str">
        <f t="shared" si="36"/>
        <v/>
      </c>
      <c r="CH351" s="4994">
        <f t="shared" si="37"/>
        <v>0</v>
      </c>
      <c r="CI351" s="4978"/>
      <c r="CJ351" s="4978"/>
      <c r="CK351" s="4978"/>
      <c r="CL351" s="4978"/>
      <c r="CM351" s="4978"/>
    </row>
    <row r="352" spans="1:131" x14ac:dyDescent="0.25">
      <c r="A352" s="7320">
        <v>29101659</v>
      </c>
      <c r="CB352" s="4993" t="str">
        <f t="shared" si="36"/>
        <v/>
      </c>
      <c r="CH352" s="4994">
        <f t="shared" si="37"/>
        <v>0</v>
      </c>
      <c r="CI352" s="4978"/>
      <c r="CJ352" s="4978"/>
      <c r="CK352" s="4978"/>
      <c r="CL352" s="4978"/>
      <c r="CM352" s="4978"/>
    </row>
    <row r="353" spans="1:91" x14ac:dyDescent="0.25">
      <c r="A353" s="7320">
        <v>29101660</v>
      </c>
      <c r="CB353" s="4993" t="str">
        <f t="shared" si="36"/>
        <v/>
      </c>
      <c r="CH353" s="4994">
        <f t="shared" si="37"/>
        <v>0</v>
      </c>
      <c r="CI353" s="4978"/>
      <c r="CJ353" s="4978"/>
      <c r="CK353" s="4978"/>
      <c r="CL353" s="4978"/>
      <c r="CM353" s="4978"/>
    </row>
    <row r="354" spans="1:91" x14ac:dyDescent="0.25">
      <c r="A354" s="7320">
        <v>29101661</v>
      </c>
      <c r="CB354" s="4993" t="str">
        <f t="shared" si="36"/>
        <v/>
      </c>
      <c r="CH354" s="4994">
        <f t="shared" si="37"/>
        <v>0</v>
      </c>
      <c r="CI354" s="4978"/>
      <c r="CJ354" s="4978"/>
      <c r="CK354" s="4978"/>
      <c r="CL354" s="4978"/>
      <c r="CM354" s="4978"/>
    </row>
    <row r="355" spans="1:91" x14ac:dyDescent="0.25">
      <c r="A355" s="7320">
        <v>29101662</v>
      </c>
      <c r="CB355" s="4993" t="str">
        <f t="shared" si="36"/>
        <v/>
      </c>
      <c r="CH355" s="4994">
        <f t="shared" si="37"/>
        <v>0</v>
      </c>
      <c r="CI355" s="4978"/>
      <c r="CJ355" s="4978"/>
      <c r="CK355" s="4978"/>
      <c r="CL355" s="4978"/>
      <c r="CM355" s="4978"/>
    </row>
    <row r="356" spans="1:91" x14ac:dyDescent="0.25">
      <c r="A356" s="7320">
        <v>29101663</v>
      </c>
      <c r="CB356" s="4993" t="str">
        <f t="shared" si="36"/>
        <v/>
      </c>
      <c r="CH356" s="4994">
        <f t="shared" si="37"/>
        <v>0</v>
      </c>
      <c r="CI356" s="4978"/>
      <c r="CJ356" s="4978"/>
      <c r="CK356" s="4978"/>
      <c r="CL356" s="4978"/>
      <c r="CM356" s="4978"/>
    </row>
    <row r="357" spans="1:91" x14ac:dyDescent="0.25">
      <c r="A357" s="7320">
        <v>29101664</v>
      </c>
      <c r="CH357" s="4978"/>
      <c r="CI357" s="4978"/>
      <c r="CJ357" s="4978"/>
      <c r="CK357" s="4978"/>
      <c r="CL357" s="4978"/>
      <c r="CM357" s="4978"/>
    </row>
    <row r="358" spans="1:91" x14ac:dyDescent="0.25">
      <c r="A358" s="7320">
        <v>29101665</v>
      </c>
      <c r="CH358" s="4978"/>
      <c r="CI358" s="4978"/>
      <c r="CJ358" s="4978"/>
      <c r="CK358" s="4978"/>
      <c r="CL358" s="4978"/>
      <c r="CM358" s="4978"/>
    </row>
    <row r="359" spans="1:91" x14ac:dyDescent="0.25">
      <c r="A359" s="7320">
        <v>29101666</v>
      </c>
      <c r="CH359" s="4978"/>
      <c r="CI359" s="4978"/>
      <c r="CJ359" s="4978"/>
      <c r="CK359" s="4978"/>
      <c r="CL359" s="4978"/>
      <c r="CM359" s="4978"/>
    </row>
    <row r="360" spans="1:91" x14ac:dyDescent="0.25">
      <c r="A360" s="7320">
        <v>29101667</v>
      </c>
      <c r="CH360" s="4978"/>
      <c r="CI360" s="4978"/>
      <c r="CJ360" s="4978"/>
      <c r="CK360" s="4978"/>
      <c r="CL360" s="4978"/>
      <c r="CM360" s="4978"/>
    </row>
    <row r="361" spans="1:91" x14ac:dyDescent="0.25">
      <c r="A361" s="7320">
        <v>29101668</v>
      </c>
      <c r="CB361" s="4993" t="str">
        <f>IF(CH361=1,"*El Total de Beneficiarios no puede superar el Total por Sexo. ","")</f>
        <v/>
      </c>
      <c r="CH361" s="4994">
        <f>IF(AS361&gt;D361,1,0)</f>
        <v>0</v>
      </c>
      <c r="CI361" s="4978"/>
      <c r="CJ361" s="4978"/>
      <c r="CK361" s="4978"/>
      <c r="CL361" s="4978"/>
      <c r="CM361" s="4978"/>
    </row>
    <row r="362" spans="1:91" x14ac:dyDescent="0.25">
      <c r="A362" s="7320">
        <v>29101669</v>
      </c>
      <c r="CB362" s="4993" t="str">
        <f>IF(CH362=1,"*El Total de Beneficiarios no puede superar el Total por Sexo. ","")</f>
        <v/>
      </c>
      <c r="CH362" s="4994">
        <f>IF(AS362&gt;D362,1,0)</f>
        <v>0</v>
      </c>
      <c r="CI362" s="4978"/>
      <c r="CJ362" s="4978"/>
      <c r="CK362" s="4978"/>
      <c r="CL362" s="4978"/>
      <c r="CM362" s="4978"/>
    </row>
    <row r="363" spans="1:91" x14ac:dyDescent="0.25">
      <c r="A363" s="7320">
        <v>29101670</v>
      </c>
      <c r="CB363" s="4993" t="str">
        <f>IF(CH363=1,"*El Total de Beneficiarios no puede superar el Total por Sexo. ","")</f>
        <v/>
      </c>
      <c r="CH363" s="4994">
        <f>IF(AS363&gt;D363,1,0)</f>
        <v>0</v>
      </c>
      <c r="CI363" s="4978"/>
      <c r="CJ363" s="4978"/>
      <c r="CK363" s="4978"/>
      <c r="CL363" s="4978"/>
      <c r="CM363" s="4978"/>
    </row>
    <row r="364" spans="1:91" x14ac:dyDescent="0.25">
      <c r="A364" s="7320">
        <v>29101671</v>
      </c>
      <c r="CB364" s="4993" t="str">
        <f>IF(CH364=1,"*El Total de Beneficiarios no puede superar el Total por Sexo. ","")</f>
        <v/>
      </c>
      <c r="CH364" s="4994">
        <f>IF(AS364&gt;D364,1,0)</f>
        <v>0</v>
      </c>
      <c r="CI364" s="4978"/>
      <c r="CJ364" s="4978"/>
      <c r="CK364" s="4978"/>
      <c r="CL364" s="4978"/>
      <c r="CM364" s="4978"/>
    </row>
    <row r="365" spans="1:91" x14ac:dyDescent="0.25">
      <c r="A365" s="7320">
        <v>29101672</v>
      </c>
      <c r="CH365" s="4978"/>
      <c r="CI365" s="4978"/>
      <c r="CJ365" s="4978"/>
      <c r="CK365" s="4978"/>
      <c r="CL365" s="4978"/>
      <c r="CM365" s="4978"/>
    </row>
    <row r="366" spans="1:91" x14ac:dyDescent="0.25">
      <c r="A366" s="7320">
        <v>29101673</v>
      </c>
      <c r="CH366" s="4978"/>
      <c r="CI366" s="4978"/>
      <c r="CJ366" s="4978"/>
      <c r="CK366" s="4978"/>
      <c r="CL366" s="4978"/>
      <c r="CM366" s="4978"/>
    </row>
    <row r="367" spans="1:91" x14ac:dyDescent="0.25">
      <c r="A367" s="7320">
        <v>29101674</v>
      </c>
      <c r="CH367" s="4978"/>
      <c r="CI367" s="4978"/>
      <c r="CJ367" s="4978"/>
      <c r="CK367" s="4978"/>
      <c r="CL367" s="4978"/>
      <c r="CM367" s="4978"/>
    </row>
    <row r="368" spans="1:91" x14ac:dyDescent="0.25">
      <c r="A368" s="7320">
        <v>29101675</v>
      </c>
      <c r="CH368" s="4978"/>
      <c r="CI368" s="4978"/>
      <c r="CJ368" s="4978"/>
      <c r="CK368" s="4978"/>
      <c r="CL368" s="4978"/>
      <c r="CM368" s="4978"/>
    </row>
    <row r="369" spans="1:91" x14ac:dyDescent="0.25">
      <c r="A369" s="7320">
        <v>29101676</v>
      </c>
      <c r="CH369" s="4978"/>
      <c r="CI369" s="4978"/>
      <c r="CJ369" s="4978"/>
      <c r="CK369" s="4978"/>
      <c r="CL369" s="4978"/>
      <c r="CM369" s="4978"/>
    </row>
    <row r="370" spans="1:91" x14ac:dyDescent="0.25">
      <c r="A370" s="7320">
        <v>29101677</v>
      </c>
      <c r="CH370" s="4978"/>
      <c r="CI370" s="4978"/>
      <c r="CJ370" s="4978"/>
      <c r="CK370" s="4978"/>
      <c r="CL370" s="4978"/>
      <c r="CM370" s="4978"/>
    </row>
    <row r="371" spans="1:91" x14ac:dyDescent="0.25">
      <c r="A371" s="7320">
        <v>29101678</v>
      </c>
      <c r="CH371" s="4978"/>
      <c r="CI371" s="4978"/>
      <c r="CJ371" s="4978"/>
      <c r="CK371" s="4978"/>
      <c r="CL371" s="4978"/>
      <c r="CM371" s="4978"/>
    </row>
    <row r="372" spans="1:91" x14ac:dyDescent="0.25">
      <c r="A372" s="7320">
        <v>29101679</v>
      </c>
      <c r="CH372" s="4978"/>
      <c r="CI372" s="4978"/>
      <c r="CJ372" s="4978"/>
      <c r="CK372" s="4978"/>
      <c r="CL372" s="4978"/>
      <c r="CM372" s="4978"/>
    </row>
    <row r="373" spans="1:91" x14ac:dyDescent="0.25">
      <c r="A373" s="7320">
        <v>29101680</v>
      </c>
      <c r="CH373" s="4978"/>
      <c r="CI373" s="4978"/>
      <c r="CJ373" s="4978"/>
      <c r="CK373" s="4978"/>
      <c r="CL373" s="4978"/>
      <c r="CM373" s="4978"/>
    </row>
    <row r="374" spans="1:91" x14ac:dyDescent="0.25">
      <c r="A374" s="7320">
        <v>29101681</v>
      </c>
      <c r="CH374" s="4978"/>
      <c r="CI374" s="4978"/>
      <c r="CJ374" s="4978"/>
      <c r="CK374" s="4978"/>
      <c r="CL374" s="4978"/>
      <c r="CM374" s="4978"/>
    </row>
    <row r="375" spans="1:91" x14ac:dyDescent="0.25">
      <c r="A375" s="7320">
        <v>29101682</v>
      </c>
      <c r="CH375" s="4978"/>
      <c r="CI375" s="4978"/>
      <c r="CJ375" s="4978"/>
      <c r="CK375" s="4978"/>
      <c r="CL375" s="4978"/>
      <c r="CM375" s="4978"/>
    </row>
    <row r="376" spans="1:91" x14ac:dyDescent="0.25">
      <c r="CH376" s="4978"/>
      <c r="CI376" s="4978"/>
      <c r="CJ376" s="4978"/>
      <c r="CK376" s="4978"/>
      <c r="CL376" s="4978"/>
      <c r="CM376" s="4978"/>
    </row>
    <row r="377" spans="1:91" x14ac:dyDescent="0.25">
      <c r="A377" s="4258" t="s">
        <v>4069</v>
      </c>
      <c r="CH377" s="4978"/>
      <c r="CI377" s="4978"/>
      <c r="CJ377" s="4978"/>
      <c r="CK377" s="4978"/>
      <c r="CL377" s="4978"/>
      <c r="CM377" s="4978"/>
    </row>
    <row r="378" spans="1:91" x14ac:dyDescent="0.25">
      <c r="A378" s="8350">
        <v>28021622</v>
      </c>
      <c r="CH378" s="4978"/>
      <c r="CI378" s="4978"/>
      <c r="CJ378" s="4978"/>
      <c r="CK378" s="4978"/>
      <c r="CL378" s="4978"/>
      <c r="CM378" s="4978"/>
    </row>
    <row r="379" spans="1:91" x14ac:dyDescent="0.25">
      <c r="A379" s="8350">
        <v>28022100</v>
      </c>
      <c r="CH379" s="4978"/>
      <c r="CI379" s="4978"/>
      <c r="CJ379" s="4978"/>
      <c r="CK379" s="4978"/>
      <c r="CL379" s="4978"/>
      <c r="CM379" s="4978"/>
    </row>
    <row r="380" spans="1:91" x14ac:dyDescent="0.25">
      <c r="A380" s="8350" t="s">
        <v>5483</v>
      </c>
      <c r="CH380" s="4978"/>
      <c r="CI380" s="4978"/>
      <c r="CJ380" s="4978"/>
      <c r="CK380" s="4978"/>
      <c r="CL380" s="4978"/>
      <c r="CM380" s="4978"/>
    </row>
    <row r="381" spans="1:91" x14ac:dyDescent="0.25">
      <c r="A381" s="8350" t="s">
        <v>5484</v>
      </c>
    </row>
    <row r="382" spans="1:91" x14ac:dyDescent="0.25">
      <c r="A382" s="8350">
        <v>28010700</v>
      </c>
    </row>
    <row r="383" spans="1:91" x14ac:dyDescent="0.25">
      <c r="A383" s="8350">
        <v>28101010</v>
      </c>
    </row>
    <row r="384" spans="1:91" x14ac:dyDescent="0.25">
      <c r="A384" s="8350" t="s">
        <v>5485</v>
      </c>
    </row>
    <row r="385" spans="1:99" x14ac:dyDescent="0.25">
      <c r="A385" s="8350">
        <v>28010800</v>
      </c>
    </row>
    <row r="386" spans="1:99" x14ac:dyDescent="0.25">
      <c r="A386" s="8350">
        <v>28010900</v>
      </c>
    </row>
    <row r="387" spans="1:99" x14ac:dyDescent="0.25">
      <c r="A387" s="8350">
        <v>28101020</v>
      </c>
    </row>
    <row r="388" spans="1:99" x14ac:dyDescent="0.25">
      <c r="A388" s="8350">
        <v>28022120</v>
      </c>
    </row>
    <row r="389" spans="1:99" x14ac:dyDescent="0.25">
      <c r="A389" s="8350">
        <v>28022130</v>
      </c>
    </row>
    <row r="390" spans="1:99" x14ac:dyDescent="0.25">
      <c r="A390" s="8350">
        <v>28022140</v>
      </c>
    </row>
    <row r="391" spans="1:99" x14ac:dyDescent="0.25">
      <c r="A391" s="8350">
        <v>28022150</v>
      </c>
    </row>
    <row r="392" spans="1:99" x14ac:dyDescent="0.25">
      <c r="A392" s="8350">
        <v>28022160</v>
      </c>
    </row>
    <row r="393" spans="1:99" x14ac:dyDescent="0.25">
      <c r="A393" s="8350">
        <v>28022170</v>
      </c>
    </row>
    <row r="394" spans="1:99" x14ac:dyDescent="0.25">
      <c r="A394" s="8350">
        <v>28022180</v>
      </c>
    </row>
    <row r="395" spans="1:99" x14ac:dyDescent="0.25">
      <c r="A395" s="8350">
        <v>28022190</v>
      </c>
    </row>
    <row r="396" spans="1:99" x14ac:dyDescent="0.25">
      <c r="A396" s="8351">
        <v>28022200</v>
      </c>
    </row>
    <row r="397" spans="1:99" x14ac:dyDescent="0.25">
      <c r="A397" s="8351">
        <v>28011400</v>
      </c>
    </row>
    <row r="398" spans="1:99" x14ac:dyDescent="0.25">
      <c r="A398" s="8351">
        <v>28020721</v>
      </c>
    </row>
    <row r="399" spans="1:99" x14ac:dyDescent="0.25">
      <c r="A399" s="8350">
        <v>28022240</v>
      </c>
    </row>
    <row r="400" spans="1:99" ht="14.4" x14ac:dyDescent="0.3">
      <c r="A400" s="8350">
        <v>28022250</v>
      </c>
      <c r="CB400" s="5280"/>
      <c r="CC400" s="5280"/>
      <c r="CD400" s="5280"/>
      <c r="CE400" s="5280"/>
      <c r="CF400" s="5280"/>
      <c r="CG400" s="5280"/>
      <c r="CH400" s="5280"/>
      <c r="CI400" s="5280"/>
      <c r="CJ400" s="5280"/>
      <c r="CK400" s="5280"/>
      <c r="CL400" s="5280"/>
      <c r="CM400" s="5280"/>
      <c r="CN400" s="5280"/>
      <c r="CO400" s="5280"/>
      <c r="CP400" s="5280"/>
      <c r="CQ400" s="5280"/>
      <c r="CR400" s="5280"/>
      <c r="CS400" s="5280"/>
      <c r="CT400" s="5280"/>
      <c r="CU400" s="5280"/>
    </row>
    <row r="401" spans="1:1" x14ac:dyDescent="0.25">
      <c r="A401" s="8350">
        <v>28022290</v>
      </c>
    </row>
    <row r="402" spans="1:1" x14ac:dyDescent="0.25">
      <c r="A402" s="8350">
        <v>28022310</v>
      </c>
    </row>
    <row r="403" spans="1:1" x14ac:dyDescent="0.25">
      <c r="A403" s="8350">
        <v>28012400</v>
      </c>
    </row>
    <row r="404" spans="1:1" x14ac:dyDescent="0.25">
      <c r="A404" s="8350">
        <v>28022350</v>
      </c>
    </row>
    <row r="405" spans="1:1" x14ac:dyDescent="0.25">
      <c r="A405" s="8350">
        <v>28011600</v>
      </c>
    </row>
    <row r="406" spans="1:1" x14ac:dyDescent="0.25">
      <c r="A406" s="8350">
        <v>28020720</v>
      </c>
    </row>
    <row r="407" spans="1:1" x14ac:dyDescent="0.25">
      <c r="A407" s="8351">
        <v>28020722</v>
      </c>
    </row>
    <row r="408" spans="1:1" x14ac:dyDescent="0.25">
      <c r="A408" s="8351">
        <v>28020723</v>
      </c>
    </row>
    <row r="409" spans="1:1" x14ac:dyDescent="0.25">
      <c r="A409" s="8351">
        <v>28020724</v>
      </c>
    </row>
    <row r="410" spans="1:1" x14ac:dyDescent="0.25">
      <c r="A410" s="8351">
        <v>28022360</v>
      </c>
    </row>
    <row r="411" spans="1:1" x14ac:dyDescent="0.25">
      <c r="A411" s="8351">
        <v>28022370</v>
      </c>
    </row>
    <row r="412" spans="1:1" x14ac:dyDescent="0.25">
      <c r="A412" s="8351">
        <v>26274800</v>
      </c>
    </row>
    <row r="413" spans="1:1" x14ac:dyDescent="0.25">
      <c r="A413" s="8351">
        <v>28021624</v>
      </c>
    </row>
    <row r="414" spans="1:1" x14ac:dyDescent="0.25">
      <c r="A414" s="8351">
        <v>28020970</v>
      </c>
    </row>
    <row r="415" spans="1:1" x14ac:dyDescent="0.25">
      <c r="A415" s="8351">
        <v>28020990</v>
      </c>
    </row>
    <row r="416" spans="1:1" x14ac:dyDescent="0.25">
      <c r="A416" s="8351">
        <v>28101050</v>
      </c>
    </row>
    <row r="417" spans="1:1" x14ac:dyDescent="0.25">
      <c r="A417" s="8351">
        <v>28021130</v>
      </c>
    </row>
    <row r="418" spans="1:1" x14ac:dyDescent="0.25">
      <c r="A418" s="8351">
        <v>28022390</v>
      </c>
    </row>
    <row r="419" spans="1:1" x14ac:dyDescent="0.25">
      <c r="A419" s="8351">
        <v>28021180</v>
      </c>
    </row>
    <row r="420" spans="1:1" x14ac:dyDescent="0.25">
      <c r="A420" s="8351">
        <v>28022400</v>
      </c>
    </row>
    <row r="421" spans="1:1" x14ac:dyDescent="0.25">
      <c r="A421" s="8351">
        <v>28022410</v>
      </c>
    </row>
    <row r="422" spans="1:1" x14ac:dyDescent="0.25">
      <c r="A422" s="8351">
        <v>28022430</v>
      </c>
    </row>
    <row r="423" spans="1:1" x14ac:dyDescent="0.25">
      <c r="A423" s="8351">
        <v>28022440</v>
      </c>
    </row>
    <row r="424" spans="1:1" x14ac:dyDescent="0.25">
      <c r="A424" s="8351">
        <v>28101070</v>
      </c>
    </row>
    <row r="425" spans="1:1" x14ac:dyDescent="0.25">
      <c r="A425" s="8351">
        <v>28012100</v>
      </c>
    </row>
    <row r="426" spans="1:1" x14ac:dyDescent="0.25">
      <c r="A426" s="8350">
        <v>28012110</v>
      </c>
    </row>
    <row r="427" spans="1:1" x14ac:dyDescent="0.25">
      <c r="A427" s="8350">
        <v>28021420</v>
      </c>
    </row>
    <row r="428" spans="1:1" x14ac:dyDescent="0.25">
      <c r="A428" s="8350">
        <v>28021430</v>
      </c>
    </row>
    <row r="429" spans="1:1" x14ac:dyDescent="0.25">
      <c r="A429" s="8350">
        <v>28021440</v>
      </c>
    </row>
    <row r="430" spans="1:1" x14ac:dyDescent="0.25">
      <c r="A430" s="8350">
        <v>28021490</v>
      </c>
    </row>
    <row r="431" spans="1:1" x14ac:dyDescent="0.25">
      <c r="A431" s="8350">
        <v>28021510</v>
      </c>
    </row>
    <row r="432" spans="1:1" x14ac:dyDescent="0.25">
      <c r="A432" s="8350">
        <v>28021580</v>
      </c>
    </row>
    <row r="433" spans="1:1" x14ac:dyDescent="0.25">
      <c r="A433" s="8350">
        <v>28022510</v>
      </c>
    </row>
    <row r="434" spans="1:1" x14ac:dyDescent="0.25">
      <c r="A434" s="8351">
        <v>28022540</v>
      </c>
    </row>
    <row r="435" spans="1:1" x14ac:dyDescent="0.25">
      <c r="A435" s="8351">
        <v>28022550</v>
      </c>
    </row>
    <row r="436" spans="1:1" x14ac:dyDescent="0.25">
      <c r="A436" s="8351">
        <v>28022560</v>
      </c>
    </row>
    <row r="437" spans="1:1" x14ac:dyDescent="0.25">
      <c r="A437" s="8351">
        <v>28022570</v>
      </c>
    </row>
    <row r="438" spans="1:1" x14ac:dyDescent="0.25">
      <c r="A438" s="8351">
        <v>28022580</v>
      </c>
    </row>
    <row r="439" spans="1:1" x14ac:dyDescent="0.25">
      <c r="A439" s="8351">
        <v>28022590</v>
      </c>
    </row>
    <row r="440" spans="1:1" x14ac:dyDescent="0.25">
      <c r="A440" s="8350">
        <v>28022600</v>
      </c>
    </row>
    <row r="441" spans="1:1" x14ac:dyDescent="0.25">
      <c r="A441" s="8351">
        <v>28101100</v>
      </c>
    </row>
    <row r="442" spans="1:1" x14ac:dyDescent="0.25">
      <c r="A442" s="8350">
        <v>28022700</v>
      </c>
    </row>
    <row r="443" spans="1:1" x14ac:dyDescent="0.25">
      <c r="A443" s="8350">
        <v>28022710</v>
      </c>
    </row>
    <row r="444" spans="1:1" x14ac:dyDescent="0.25">
      <c r="A444" s="8350">
        <v>28022720</v>
      </c>
    </row>
    <row r="445" spans="1:1" x14ac:dyDescent="0.25">
      <c r="A445" s="8350">
        <v>28022740</v>
      </c>
    </row>
    <row r="446" spans="1:1" x14ac:dyDescent="0.25">
      <c r="A446" s="8350">
        <v>28022820</v>
      </c>
    </row>
    <row r="447" spans="1:1" x14ac:dyDescent="0.25">
      <c r="A447" s="8350">
        <v>28022830</v>
      </c>
    </row>
    <row r="448" spans="1:1" x14ac:dyDescent="0.25">
      <c r="A448" s="8350">
        <v>28022840</v>
      </c>
    </row>
    <row r="449" spans="1:1" x14ac:dyDescent="0.25">
      <c r="A449" s="8350">
        <v>28022890</v>
      </c>
    </row>
    <row r="450" spans="1:1" x14ac:dyDescent="0.25">
      <c r="A450" s="8350">
        <v>28022900</v>
      </c>
    </row>
    <row r="451" spans="1:1" x14ac:dyDescent="0.25">
      <c r="A451" s="8350">
        <v>28022910</v>
      </c>
    </row>
    <row r="452" spans="1:1" x14ac:dyDescent="0.25">
      <c r="A452" s="8350">
        <v>28022920</v>
      </c>
    </row>
    <row r="453" spans="1:1" x14ac:dyDescent="0.25">
      <c r="A453" s="8350">
        <v>28022930</v>
      </c>
    </row>
    <row r="454" spans="1:1" x14ac:dyDescent="0.25">
      <c r="A454" s="8350">
        <v>28022950</v>
      </c>
    </row>
    <row r="455" spans="1:1" x14ac:dyDescent="0.25">
      <c r="A455" s="8350">
        <v>28022960</v>
      </c>
    </row>
    <row r="456" spans="1:1" x14ac:dyDescent="0.25">
      <c r="A456" s="8350">
        <v>28101900</v>
      </c>
    </row>
    <row r="457" spans="1:1" x14ac:dyDescent="0.25">
      <c r="A457" s="8351">
        <v>28102000</v>
      </c>
    </row>
    <row r="458" spans="1:1" x14ac:dyDescent="0.25">
      <c r="A458" s="8351">
        <v>28102100</v>
      </c>
    </row>
    <row r="459" spans="1:1" x14ac:dyDescent="0.25">
      <c r="A459" s="8351">
        <v>28102200</v>
      </c>
    </row>
    <row r="460" spans="1:1" x14ac:dyDescent="0.25">
      <c r="A460" s="8351">
        <v>28102300</v>
      </c>
    </row>
    <row r="461" spans="1:1" x14ac:dyDescent="0.25">
      <c r="A461" s="8351">
        <v>28102400</v>
      </c>
    </row>
    <row r="462" spans="1:1" x14ac:dyDescent="0.25">
      <c r="A462" s="8351">
        <v>28102500</v>
      </c>
    </row>
    <row r="463" spans="1:1" x14ac:dyDescent="0.25">
      <c r="A463" s="8351">
        <v>28102600</v>
      </c>
    </row>
    <row r="464" spans="1:1" x14ac:dyDescent="0.25">
      <c r="A464" s="8351">
        <v>28102700</v>
      </c>
    </row>
    <row r="465" spans="1:1" x14ac:dyDescent="0.25">
      <c r="A465" s="8351">
        <v>28102800</v>
      </c>
    </row>
    <row r="466" spans="1:1" x14ac:dyDescent="0.25">
      <c r="A466" s="8351">
        <v>28102900</v>
      </c>
    </row>
    <row r="467" spans="1:1" x14ac:dyDescent="0.25">
      <c r="A467" s="8351">
        <v>28103000</v>
      </c>
    </row>
    <row r="468" spans="1:1" x14ac:dyDescent="0.25">
      <c r="A468" s="8351">
        <v>28103100</v>
      </c>
    </row>
    <row r="469" spans="1:1" x14ac:dyDescent="0.25">
      <c r="A469" s="8351">
        <v>28103200</v>
      </c>
    </row>
    <row r="470" spans="1:1" x14ac:dyDescent="0.25">
      <c r="A470" s="8351">
        <v>28103300</v>
      </c>
    </row>
    <row r="471" spans="1:1" x14ac:dyDescent="0.25">
      <c r="A471" s="8351">
        <v>28103400</v>
      </c>
    </row>
    <row r="472" spans="1:1" x14ac:dyDescent="0.25">
      <c r="A472" s="8351">
        <v>28103500</v>
      </c>
    </row>
    <row r="473" spans="1:1" x14ac:dyDescent="0.25">
      <c r="A473" s="8351">
        <v>28103600</v>
      </c>
    </row>
    <row r="474" spans="1:1" x14ac:dyDescent="0.25">
      <c r="A474" s="8351">
        <v>28103700</v>
      </c>
    </row>
    <row r="475" spans="1:1" x14ac:dyDescent="0.25">
      <c r="A475" s="8351">
        <v>28103800</v>
      </c>
    </row>
    <row r="476" spans="1:1" x14ac:dyDescent="0.25">
      <c r="A476" s="8351">
        <v>28103900</v>
      </c>
    </row>
    <row r="477" spans="1:1" x14ac:dyDescent="0.25">
      <c r="A477" s="8351">
        <v>28104000</v>
      </c>
    </row>
    <row r="478" spans="1:1" x14ac:dyDescent="0.25">
      <c r="A478" s="8351">
        <v>28104100</v>
      </c>
    </row>
    <row r="479" spans="1:1" x14ac:dyDescent="0.25">
      <c r="A479" s="8351">
        <v>28104200</v>
      </c>
    </row>
    <row r="480" spans="1:1" x14ac:dyDescent="0.25">
      <c r="A480" s="8351">
        <v>28104300</v>
      </c>
    </row>
    <row r="481" spans="1:1" x14ac:dyDescent="0.25">
      <c r="A481" s="8351">
        <v>28104400</v>
      </c>
    </row>
    <row r="482" spans="1:1" x14ac:dyDescent="0.25">
      <c r="A482" s="8351">
        <v>28104500</v>
      </c>
    </row>
    <row r="483" spans="1:1" x14ac:dyDescent="0.25">
      <c r="A483" s="8351">
        <v>28104600</v>
      </c>
    </row>
    <row r="484" spans="1:1" x14ac:dyDescent="0.25">
      <c r="A484" s="8351">
        <v>28104700</v>
      </c>
    </row>
  </sheetData>
  <mergeCells count="147">
    <mergeCell ref="AF146:AG146"/>
    <mergeCell ref="AH146:AI146"/>
    <mergeCell ref="AJ146:AK146"/>
    <mergeCell ref="AL146:AM146"/>
    <mergeCell ref="F145:AM145"/>
    <mergeCell ref="J146:K146"/>
    <mergeCell ref="L146:M146"/>
    <mergeCell ref="N146:O146"/>
    <mergeCell ref="P146:Q146"/>
    <mergeCell ref="R146:S146"/>
    <mergeCell ref="T146:U146"/>
    <mergeCell ref="V146:W146"/>
    <mergeCell ref="X146:Y146"/>
    <mergeCell ref="Z146:AA146"/>
    <mergeCell ref="U184:Y184"/>
    <mergeCell ref="U185:W185"/>
    <mergeCell ref="X185:Y185"/>
    <mergeCell ref="D184:T185"/>
    <mergeCell ref="AN145:AP145"/>
    <mergeCell ref="AO146:AP146"/>
    <mergeCell ref="AN146:AN147"/>
    <mergeCell ref="O27:P27"/>
    <mergeCell ref="G27:H27"/>
    <mergeCell ref="I27:J27"/>
    <mergeCell ref="Y62:AA62"/>
    <mergeCell ref="U62:X62"/>
    <mergeCell ref="U70:X70"/>
    <mergeCell ref="D26:F27"/>
    <mergeCell ref="G26:AN26"/>
    <mergeCell ref="AM27:AN27"/>
    <mergeCell ref="AK27:AL27"/>
    <mergeCell ref="J125:K125"/>
    <mergeCell ref="D52:G52"/>
    <mergeCell ref="K27:L27"/>
    <mergeCell ref="M27:N27"/>
    <mergeCell ref="AC27:AD27"/>
    <mergeCell ref="AB146:AC146"/>
    <mergeCell ref="AD146:AE146"/>
    <mergeCell ref="H114:I114"/>
    <mergeCell ref="L125:M125"/>
    <mergeCell ref="C145:E146"/>
    <mergeCell ref="F146:G146"/>
    <mergeCell ref="H146:I146"/>
    <mergeCell ref="B131:B135"/>
    <mergeCell ref="B52:B54"/>
    <mergeCell ref="B127:B130"/>
    <mergeCell ref="D125:E125"/>
    <mergeCell ref="G119:G120"/>
    <mergeCell ref="D119:F119"/>
    <mergeCell ref="H119:H120"/>
    <mergeCell ref="H53:H54"/>
    <mergeCell ref="I53:I54"/>
    <mergeCell ref="B62:B63"/>
    <mergeCell ref="B70:B71"/>
    <mergeCell ref="AO27:AO28"/>
    <mergeCell ref="AO26:AR26"/>
    <mergeCell ref="AQ27:AQ28"/>
    <mergeCell ref="AR27:AR28"/>
    <mergeCell ref="C62:C63"/>
    <mergeCell ref="C70:C71"/>
    <mergeCell ref="H52:I52"/>
    <mergeCell ref="B6:O6"/>
    <mergeCell ref="B10:B12"/>
    <mergeCell ref="C10:E11"/>
    <mergeCell ref="AH11:AI11"/>
    <mergeCell ref="AJ11:AK11"/>
    <mergeCell ref="AL11:AM11"/>
    <mergeCell ref="AE27:AF27"/>
    <mergeCell ref="AF11:AG11"/>
    <mergeCell ref="Z11:AA11"/>
    <mergeCell ref="L11:M11"/>
    <mergeCell ref="P11:Q11"/>
    <mergeCell ref="R11:S11"/>
    <mergeCell ref="B26:B28"/>
    <mergeCell ref="AA27:AB27"/>
    <mergeCell ref="B287:B288"/>
    <mergeCell ref="C52:C54"/>
    <mergeCell ref="B184:B186"/>
    <mergeCell ref="B251:B252"/>
    <mergeCell ref="B145:B147"/>
    <mergeCell ref="C251:C252"/>
    <mergeCell ref="F53:F54"/>
    <mergeCell ref="G53:G54"/>
    <mergeCell ref="C119:C120"/>
    <mergeCell ref="B125:B126"/>
    <mergeCell ref="C125:C126"/>
    <mergeCell ref="F125:G125"/>
    <mergeCell ref="B119:B120"/>
    <mergeCell ref="B257:B258"/>
    <mergeCell ref="B114:B115"/>
    <mergeCell ref="E53:E54"/>
    <mergeCell ref="C114:C115"/>
    <mergeCell ref="C287:C288"/>
    <mergeCell ref="C207:C209"/>
    <mergeCell ref="D207:T208"/>
    <mergeCell ref="D257:T257"/>
    <mergeCell ref="D287:T287"/>
    <mergeCell ref="B136:B141"/>
    <mergeCell ref="H125:I125"/>
    <mergeCell ref="U207:Y207"/>
    <mergeCell ref="U208:W208"/>
    <mergeCell ref="X208:Y208"/>
    <mergeCell ref="B207:B209"/>
    <mergeCell ref="C257:C258"/>
    <mergeCell ref="D251:T251"/>
    <mergeCell ref="AS10:AS12"/>
    <mergeCell ref="AD11:AE11"/>
    <mergeCell ref="AN10:AQ10"/>
    <mergeCell ref="B196:B198"/>
    <mergeCell ref="Y70:AA70"/>
    <mergeCell ref="D53:D54"/>
    <mergeCell ref="X197:Y197"/>
    <mergeCell ref="U196:Y196"/>
    <mergeCell ref="U197:W197"/>
    <mergeCell ref="D62:T62"/>
    <mergeCell ref="D70:T70"/>
    <mergeCell ref="C184:C186"/>
    <mergeCell ref="C196:C198"/>
    <mergeCell ref="D196:T197"/>
    <mergeCell ref="AP27:AP28"/>
    <mergeCell ref="AN11:AN12"/>
    <mergeCell ref="D114:G114"/>
    <mergeCell ref="I119:L119"/>
    <mergeCell ref="AT10:AT12"/>
    <mergeCell ref="AR10:AR12"/>
    <mergeCell ref="B30:B48"/>
    <mergeCell ref="F10:AM10"/>
    <mergeCell ref="C26:C28"/>
    <mergeCell ref="B29:C29"/>
    <mergeCell ref="AB11:AC11"/>
    <mergeCell ref="N11:O11"/>
    <mergeCell ref="X11:Y11"/>
    <mergeCell ref="F11:G11"/>
    <mergeCell ref="H11:I11"/>
    <mergeCell ref="J11:K11"/>
    <mergeCell ref="Q27:R27"/>
    <mergeCell ref="S27:T27"/>
    <mergeCell ref="U27:V27"/>
    <mergeCell ref="W27:X27"/>
    <mergeCell ref="AQ11:AQ12"/>
    <mergeCell ref="AP11:AP12"/>
    <mergeCell ref="AG27:AH27"/>
    <mergeCell ref="AI27:AJ27"/>
    <mergeCell ref="AO11:AO12"/>
    <mergeCell ref="T11:U11"/>
    <mergeCell ref="V11:W11"/>
    <mergeCell ref="Y27:Z27"/>
  </mergeCells>
  <dataValidations count="4">
    <dataValidation type="whole" allowBlank="1" showInputMessage="1" showErrorMessage="1" error="Valor no Permitido" sqref="G109 D117 D58:D60 G77:G80 CH118:CU124 G61 G69 V76:AA76 CG53:CT60 CH1:CU52 X62 X64:X67 CG114:CT117 CH61:CU113 CG125:CT142 U72:U76 CH183:CU1048576 DA145:DN182 CH143:CU144 C130:C157 F147:AM147 F148:F157 D145:E176" xr:uid="{82DDECB1-F22E-450D-A7BA-E21253A59FF0}">
      <formula1>0</formula1>
      <formula2>1E+30</formula2>
    </dataValidation>
    <dataValidation allowBlank="1" sqref="CB1:CG52 CA53:CF60 CA114:CF117 CB61:CG113 CA125:CF142 CB118:CG124 CU145:CZ182 CB143:CG144 CB183:CG1048576" xr:uid="{2AB3A759-38FE-429C-BD3A-8C4414C8DDF8}"/>
    <dataValidation allowBlank="1" showInputMessage="1" showErrorMessage="1" error="Valor no Permitido" sqref="U63 U71" xr:uid="{15E6DFC6-1A1B-4BBC-AAF9-7F5A11C0DF7D}"/>
    <dataValidation operator="greaterThanOrEqual" allowBlank="1" showInputMessage="1" showErrorMessage="1" error="Valor no Permitido" sqref="A13:A18 A20:A24 A37:A40 A43 A48:A50 A55:A59 A64:A68 A72:A76 A79 A81:A87 A90:A91 A99:A104 A107:A112 A121:A123 A116:A117 A127:A142 A148:A152 A155 A158 A173:A174 A167 A162 A169 A176 A178:A182 A187:A192 A199:A203 A210:A213 A217:A219 A238 A242 A254 A289:A291 A293:A296 A302 A378:A382 A384:A386 A388:A415 A417:A423 A425:A440 A442:A455" xr:uid="{8E6A6BFE-CB13-47D9-9906-740CF3CF3CC6}"/>
  </dataValidations>
  <pageMargins left="0.7" right="0.7" top="0.75" bottom="0.75" header="0.3" footer="0.3"/>
  <pageSetup orientation="portrait" r:id="rId1"/>
  <ignoredErrors>
    <ignoredError sqref="C177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1"/>
  <dimension ref="A1:DA288"/>
  <sheetViews>
    <sheetView showGridLines="0" zoomScaleNormal="100" workbookViewId="0"/>
  </sheetViews>
  <sheetFormatPr baseColWidth="10" defaultColWidth="11.44140625" defaultRowHeight="13.8" x14ac:dyDescent="0.25"/>
  <cols>
    <col min="1" max="1" width="16.109375" style="4258" customWidth="1"/>
    <col min="2" max="2" width="61.6640625" style="4258" customWidth="1"/>
    <col min="3" max="3" width="48.6640625" style="4258" customWidth="1"/>
    <col min="4" max="4" width="37.33203125" style="4258" customWidth="1"/>
    <col min="5" max="5" width="19.109375" style="4258" customWidth="1"/>
    <col min="6" max="6" width="15.88671875" style="4258" customWidth="1"/>
    <col min="7" max="7" width="12.5546875" style="4258" customWidth="1"/>
    <col min="8" max="8" width="12.6640625" style="4258" customWidth="1"/>
    <col min="9" max="12" width="11.44140625" style="4258" customWidth="1"/>
    <col min="13" max="13" width="13.6640625" style="4258" customWidth="1"/>
    <col min="14" max="14" width="12.33203125" style="4258" customWidth="1"/>
    <col min="15" max="15" width="15" style="4258" customWidth="1"/>
    <col min="16" max="16" width="13.88671875" style="4258" customWidth="1"/>
    <col min="17" max="73" width="11.44140625" style="4258"/>
    <col min="74" max="78" width="13.33203125" style="4258" customWidth="1"/>
    <col min="79" max="79" width="12" style="4259" customWidth="1"/>
    <col min="80" max="105" width="12" style="4295" hidden="1" customWidth="1"/>
    <col min="106" max="106" width="12" style="4258" customWidth="1"/>
    <col min="107" max="107" width="11.44140625" style="4258" customWidth="1"/>
    <col min="108" max="16384" width="11.44140625" style="4258"/>
  </cols>
  <sheetData>
    <row r="1" spans="1:96" ht="16.350000000000001" customHeight="1" x14ac:dyDescent="0.25">
      <c r="B1" s="3807" t="s">
        <v>207</v>
      </c>
      <c r="CA1" s="4258"/>
    </row>
    <row r="2" spans="1:96" ht="16.350000000000001" customHeight="1" x14ac:dyDescent="0.25">
      <c r="B2" s="3807" t="str">
        <f>CONCATENATE("COMUNA: ",NOMBRE!B2," - ","( ",NOMBRE!C2,NOMBRE!D2,NOMBRE!E2,NOMBRE!F2,NOMBRE!G2," )")</f>
        <v>COMUNA:  - (  )</v>
      </c>
      <c r="CA2" s="4258"/>
    </row>
    <row r="3" spans="1:96" ht="16.350000000000001" customHeight="1" x14ac:dyDescent="0.25">
      <c r="B3" s="3807" t="str">
        <f>CONCATENATE("ESTABLECIMIENTO/ESTRATEGIA: ",NOMBRE!B3," - ","( ",NOMBRE!C3,NOMBRE!D3,NOMBRE!E3,NOMBRE!F3,NOMBRE!G3,NOMBRE!H3," )")</f>
        <v>ESTABLECIMIENTO/ESTRATEGIA:  - (  )</v>
      </c>
      <c r="CA3" s="4258"/>
    </row>
    <row r="4" spans="1:96" ht="16.350000000000001" customHeight="1" x14ac:dyDescent="0.25">
      <c r="B4" s="3807" t="str">
        <f>CONCATENATE("MES: ",NOMBRE!B6," - ","( ",NOMBRE!C6,NOMBRE!D6," )")</f>
        <v>MES:  - (  )</v>
      </c>
      <c r="CA4" s="4258"/>
    </row>
    <row r="5" spans="1:96" ht="16.350000000000001" customHeight="1" x14ac:dyDescent="0.25">
      <c r="B5" s="3807" t="str">
        <f>CONCATENATE("AÑO: ",NOMBRE!B7)</f>
        <v>AÑO: 2023</v>
      </c>
      <c r="CA5" s="4258"/>
    </row>
    <row r="6" spans="1:96" ht="16.2" x14ac:dyDescent="0.25">
      <c r="B6" s="9268" t="s">
        <v>1367</v>
      </c>
      <c r="C6" s="9268"/>
      <c r="D6" s="9268"/>
      <c r="E6" s="9268"/>
      <c r="F6" s="9268"/>
      <c r="G6" s="9268"/>
      <c r="H6" s="9268"/>
      <c r="I6" s="9268"/>
      <c r="J6" s="9268"/>
      <c r="K6" s="9268"/>
      <c r="L6" s="9268"/>
      <c r="M6" s="9268"/>
      <c r="N6" s="9268"/>
      <c r="O6" s="9268"/>
      <c r="P6" s="9268"/>
      <c r="Q6" s="9268"/>
      <c r="R6" s="9268"/>
      <c r="S6" s="9268"/>
      <c r="T6" s="9268"/>
      <c r="U6" s="9268"/>
      <c r="CA6" s="4258"/>
    </row>
    <row r="7" spans="1:96" x14ac:dyDescent="0.25">
      <c r="B7" s="4268"/>
      <c r="C7" s="4979"/>
      <c r="D7" s="4979"/>
      <c r="E7" s="4979"/>
      <c r="F7" s="4979"/>
      <c r="G7" s="4979"/>
      <c r="CA7" s="4258"/>
    </row>
    <row r="8" spans="1:96" ht="32.1" customHeight="1" x14ac:dyDescent="0.25">
      <c r="B8" s="4257" t="s">
        <v>1366</v>
      </c>
      <c r="D8" s="4470"/>
      <c r="CA8" s="4258"/>
    </row>
    <row r="9" spans="1:96" ht="80.25" customHeight="1" x14ac:dyDescent="0.25">
      <c r="B9" s="11003" t="s">
        <v>1040</v>
      </c>
      <c r="C9" s="9261" t="s">
        <v>24</v>
      </c>
      <c r="D9" s="9262"/>
      <c r="E9" s="9365"/>
      <c r="F9" s="9168" t="s">
        <v>3526</v>
      </c>
      <c r="G9" s="9168"/>
      <c r="H9" s="9168" t="s">
        <v>80</v>
      </c>
      <c r="I9" s="9168"/>
      <c r="J9" s="9168" t="s">
        <v>2906</v>
      </c>
      <c r="K9" s="9168"/>
      <c r="L9" s="10999" t="s">
        <v>2808</v>
      </c>
      <c r="M9" s="11000"/>
      <c r="N9" s="11001" t="s">
        <v>2085</v>
      </c>
      <c r="O9" s="11002"/>
      <c r="P9" s="11002" t="s">
        <v>2086</v>
      </c>
      <c r="Q9" s="11002"/>
      <c r="R9" s="11009" t="s">
        <v>1351</v>
      </c>
      <c r="S9" s="11010"/>
      <c r="T9" s="11005" t="s">
        <v>362</v>
      </c>
      <c r="U9" s="11007" t="s">
        <v>361</v>
      </c>
      <c r="BZ9" s="4259"/>
    </row>
    <row r="10" spans="1:96" ht="24" customHeight="1" x14ac:dyDescent="0.25">
      <c r="B10" s="11004"/>
      <c r="C10" s="5281" t="s">
        <v>42</v>
      </c>
      <c r="D10" s="5282" t="s">
        <v>17</v>
      </c>
      <c r="E10" s="5283" t="s">
        <v>18</v>
      </c>
      <c r="F10" s="5284" t="s">
        <v>17</v>
      </c>
      <c r="G10" s="5285" t="s">
        <v>18</v>
      </c>
      <c r="H10" s="5284" t="s">
        <v>17</v>
      </c>
      <c r="I10" s="5285" t="s">
        <v>18</v>
      </c>
      <c r="J10" s="5284" t="s">
        <v>17</v>
      </c>
      <c r="K10" s="5285" t="s">
        <v>18</v>
      </c>
      <c r="L10" s="5286" t="s">
        <v>17</v>
      </c>
      <c r="M10" s="5287" t="s">
        <v>18</v>
      </c>
      <c r="N10" s="5288" t="s">
        <v>91</v>
      </c>
      <c r="O10" s="5289" t="s">
        <v>97</v>
      </c>
      <c r="P10" s="5289" t="s">
        <v>91</v>
      </c>
      <c r="Q10" s="5289" t="s">
        <v>97</v>
      </c>
      <c r="R10" s="5290" t="s">
        <v>2700</v>
      </c>
      <c r="S10" s="5291" t="s">
        <v>2701</v>
      </c>
      <c r="T10" s="11006"/>
      <c r="U10" s="11008"/>
      <c r="BZ10" s="4259"/>
    </row>
    <row r="11" spans="1:96" ht="14.4" x14ac:dyDescent="0.3">
      <c r="A11" s="7679"/>
      <c r="B11" s="5292" t="s">
        <v>1365</v>
      </c>
      <c r="C11" s="11050"/>
      <c r="D11" s="9394"/>
      <c r="E11" s="9394"/>
      <c r="F11" s="9394"/>
      <c r="G11" s="9394"/>
      <c r="H11" s="9394"/>
      <c r="I11" s="9394"/>
      <c r="J11" s="9394"/>
      <c r="K11" s="9394"/>
      <c r="L11" s="9394"/>
      <c r="M11" s="9394"/>
      <c r="N11" s="9394"/>
      <c r="O11" s="9394"/>
      <c r="P11" s="9394"/>
      <c r="Q11" s="9394"/>
      <c r="R11" s="9394"/>
      <c r="S11" s="9394"/>
      <c r="T11" s="9394"/>
      <c r="U11" s="11051"/>
      <c r="BZ11" s="4259"/>
      <c r="CD11" s="5293"/>
      <c r="CE11" s="5293"/>
      <c r="CO11" s="4994"/>
      <c r="CP11" s="4994"/>
      <c r="CQ11" s="4994"/>
      <c r="CR11" s="4994"/>
    </row>
    <row r="12" spans="1:96" x14ac:dyDescent="0.25">
      <c r="A12" s="7680">
        <v>29000000</v>
      </c>
      <c r="B12" s="5294" t="s">
        <v>2087</v>
      </c>
      <c r="C12" s="5295" t="s">
        <v>5369</v>
      </c>
      <c r="D12" s="5295" t="s">
        <v>5370</v>
      </c>
      <c r="E12" s="5296" t="s">
        <v>5371</v>
      </c>
      <c r="F12" s="5297" t="s">
        <v>5372</v>
      </c>
      <c r="G12" s="5298" t="s">
        <v>5373</v>
      </c>
      <c r="H12" s="5297" t="s">
        <v>5374</v>
      </c>
      <c r="I12" s="5298" t="s">
        <v>5375</v>
      </c>
      <c r="J12" s="5297" t="s">
        <v>5376</v>
      </c>
      <c r="K12" s="5298" t="s">
        <v>5377</v>
      </c>
      <c r="L12" s="3893" t="s">
        <v>5378</v>
      </c>
      <c r="M12" s="5299" t="s">
        <v>5379</v>
      </c>
      <c r="N12" s="4038" t="s">
        <v>5380</v>
      </c>
      <c r="O12" s="5300" t="s">
        <v>5381</v>
      </c>
      <c r="P12" s="5300" t="s">
        <v>5382</v>
      </c>
      <c r="Q12" s="5300" t="s">
        <v>5383</v>
      </c>
      <c r="R12" s="5301" t="s">
        <v>5384</v>
      </c>
      <c r="S12" s="5302" t="s">
        <v>5385</v>
      </c>
      <c r="T12" s="4038" t="s">
        <v>5386</v>
      </c>
      <c r="U12" s="5300" t="s">
        <v>5387</v>
      </c>
      <c r="V12" s="4258" t="str">
        <f>CB12&amp;CC12&amp;CD12&amp;CE12</f>
        <v xml:space="preserve"> * El número de consultas de personas pertenecientes a pueblos originarios no debe superar el Total de consultas.  * El número de consultas de personas migrantes no debe superar el Total de consultas. </v>
      </c>
      <c r="BZ12" s="4259"/>
      <c r="CB12" s="4993" t="str">
        <f>IF(AND($C12&lt;&gt;0,T12=""),"* No olvide digitar el campo "&amp;T$9&amp;" (Digite 0 si no tiene). ","")</f>
        <v/>
      </c>
      <c r="CC12" s="4993" t="str">
        <f>IF(AND($C12&lt;&gt;0,U12=""),"* No olvide digitar el campo "&amp;U$9&amp;" (Digite 0 si no tiene). ","")</f>
        <v/>
      </c>
      <c r="CD12" s="5293" t="str">
        <f>IF(CQ12=1," * El número de consultas de personas pertenecientes a pueblos originarios no debe superar el Total de consultas. ","")</f>
        <v xml:space="preserve"> * El número de consultas de personas pertenecientes a pueblos originarios no debe superar el Total de consultas. </v>
      </c>
      <c r="CE12" s="5293" t="str">
        <f>IF(CR12=1," * El número de consultas de personas migrantes no debe superar el Total de consultas. ","")</f>
        <v xml:space="preserve"> * El número de consultas de personas migrantes no debe superar el Total de consultas. </v>
      </c>
      <c r="CO12" s="4994"/>
      <c r="CP12" s="4994"/>
      <c r="CQ12" s="4994">
        <f>IF(T12&gt;$C$12,1,0)</f>
        <v>1</v>
      </c>
      <c r="CR12" s="4994">
        <f>IF(U12&gt;$C$12,1,0)</f>
        <v>1</v>
      </c>
    </row>
    <row r="13" spans="1:96" x14ac:dyDescent="0.25">
      <c r="A13" s="7680">
        <v>29000001</v>
      </c>
      <c r="B13" s="5303" t="s">
        <v>1364</v>
      </c>
      <c r="C13" s="5304" t="s">
        <v>5369</v>
      </c>
      <c r="D13" s="5304" t="s">
        <v>5370</v>
      </c>
      <c r="E13" s="5305" t="s">
        <v>5371</v>
      </c>
      <c r="F13" s="5306" t="s">
        <v>5372</v>
      </c>
      <c r="G13" s="4926" t="s">
        <v>5373</v>
      </c>
      <c r="H13" s="5306" t="s">
        <v>5374</v>
      </c>
      <c r="I13" s="4926" t="s">
        <v>5375</v>
      </c>
      <c r="J13" s="5306" t="s">
        <v>5376</v>
      </c>
      <c r="K13" s="4926" t="s">
        <v>5377</v>
      </c>
      <c r="L13" s="5307" t="s">
        <v>5378</v>
      </c>
      <c r="M13" s="5199" t="s">
        <v>5379</v>
      </c>
      <c r="N13" s="5308" t="s">
        <v>5380</v>
      </c>
      <c r="O13" s="5309" t="s">
        <v>5381</v>
      </c>
      <c r="P13" s="5309" t="s">
        <v>5382</v>
      </c>
      <c r="Q13" s="5309" t="s">
        <v>5383</v>
      </c>
      <c r="R13" s="3842" t="s">
        <v>5384</v>
      </c>
      <c r="S13" s="5310" t="s">
        <v>5385</v>
      </c>
      <c r="T13" s="5308" t="s">
        <v>5386</v>
      </c>
      <c r="U13" s="5309" t="s">
        <v>5387</v>
      </c>
      <c r="V13" s="4258" t="str">
        <f t="shared" ref="V13:V28" si="0">CB13&amp;CC13&amp;CD13&amp;CE13</f>
        <v xml:space="preserve"> * El número de consultas de personas pertenecientes a pueblos originarios no debe superar el Total de consultas.  * El número de consultas de personas migrantes no debe superar el Total de consultas. </v>
      </c>
      <c r="BZ13" s="4259"/>
      <c r="CB13" s="4993" t="str">
        <f t="shared" ref="CB13:CB15" si="1">IF(AND($C13&lt;&gt;0,T13=""),"* No olvide digitar el campo "&amp;T$9&amp;" (Digite 0 si no tiene). ","")</f>
        <v/>
      </c>
      <c r="CC13" s="4993" t="str">
        <f t="shared" ref="CC13:CC15" si="2">IF(AND($C13&lt;&gt;0,U13=""),"* No olvide digitar el campo "&amp;U$9&amp;" (Digite 0 si no tiene). ","")</f>
        <v/>
      </c>
      <c r="CD13" s="5293" t="str">
        <f t="shared" ref="CD13:CD28" si="3">IF(CQ13=1," * El número de consultas de personas pertenecientes a pueblos originarios no debe superar el Total de consultas. ","")</f>
        <v xml:space="preserve"> * El número de consultas de personas pertenecientes a pueblos originarios no debe superar el Total de consultas. </v>
      </c>
      <c r="CE13" s="5293" t="str">
        <f t="shared" ref="CE13:CE28" si="4">IF(CR13=1," * El número de consultas de personas migrantes no debe superar el Total de consultas. ","")</f>
        <v xml:space="preserve"> * El número de consultas de personas migrantes no debe superar el Total de consultas. </v>
      </c>
      <c r="CO13" s="4994"/>
      <c r="CP13" s="4994"/>
      <c r="CQ13" s="4994">
        <f t="shared" ref="CQ13:CQ27" si="5">IF(T13&gt;$C$12,1,0)</f>
        <v>1</v>
      </c>
      <c r="CR13" s="4994">
        <f t="shared" ref="CR13:CR27" si="6">IF(U13&gt;$C$12,1,0)</f>
        <v>1</v>
      </c>
    </row>
    <row r="14" spans="1:96" x14ac:dyDescent="0.25">
      <c r="A14" s="7680">
        <v>29101140</v>
      </c>
      <c r="B14" s="5303" t="s">
        <v>2111</v>
      </c>
      <c r="C14" s="5311" t="s">
        <v>5369</v>
      </c>
      <c r="D14" s="5311" t="s">
        <v>5370</v>
      </c>
      <c r="E14" s="5312" t="s">
        <v>5371</v>
      </c>
      <c r="F14" s="5313" t="s">
        <v>5372</v>
      </c>
      <c r="G14" s="5314" t="s">
        <v>5373</v>
      </c>
      <c r="H14" s="5313" t="s">
        <v>5374</v>
      </c>
      <c r="I14" s="5314" t="s">
        <v>5375</v>
      </c>
      <c r="J14" s="5313" t="s">
        <v>5376</v>
      </c>
      <c r="K14" s="5314" t="s">
        <v>5377</v>
      </c>
      <c r="L14" s="4949" t="s">
        <v>5378</v>
      </c>
      <c r="M14" s="5195" t="s">
        <v>5379</v>
      </c>
      <c r="N14" s="4951" t="s">
        <v>5380</v>
      </c>
      <c r="O14" s="5315" t="s">
        <v>5381</v>
      </c>
      <c r="P14" s="5315" t="s">
        <v>5382</v>
      </c>
      <c r="Q14" s="5314" t="s">
        <v>5383</v>
      </c>
      <c r="R14" s="3842" t="s">
        <v>5384</v>
      </c>
      <c r="S14" s="5325" t="s">
        <v>5385</v>
      </c>
      <c r="T14" s="3844" t="s">
        <v>5386</v>
      </c>
      <c r="U14" s="5314" t="s">
        <v>5387</v>
      </c>
      <c r="V14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14" s="4259"/>
      <c r="CB14" s="4993" t="str">
        <f t="shared" si="1"/>
        <v/>
      </c>
      <c r="CC14" s="4993" t="str">
        <f t="shared" si="2"/>
        <v/>
      </c>
      <c r="CD14" s="5293" t="str">
        <f t="shared" si="3"/>
        <v xml:space="preserve"> * El número de consultas de personas pertenecientes a pueblos originarios no debe superar el Total de consultas. </v>
      </c>
      <c r="CE14" s="5293" t="str">
        <f t="shared" si="4"/>
        <v xml:space="preserve"> * El número de consultas de personas migrantes no debe superar el Total de consultas. </v>
      </c>
      <c r="CO14" s="4994"/>
      <c r="CP14" s="4994"/>
      <c r="CQ14" s="4994">
        <f t="shared" si="5"/>
        <v>1</v>
      </c>
      <c r="CR14" s="4994">
        <f t="shared" si="6"/>
        <v>1</v>
      </c>
    </row>
    <row r="15" spans="1:96" x14ac:dyDescent="0.25">
      <c r="A15" s="7680">
        <v>29101150</v>
      </c>
      <c r="B15" s="5303" t="s">
        <v>2150</v>
      </c>
      <c r="C15" s="5311" t="s">
        <v>5369</v>
      </c>
      <c r="D15" s="5311" t="s">
        <v>5370</v>
      </c>
      <c r="E15" s="5312" t="s">
        <v>5371</v>
      </c>
      <c r="F15" s="5313" t="s">
        <v>5372</v>
      </c>
      <c r="G15" s="5314" t="s">
        <v>5373</v>
      </c>
      <c r="H15" s="5313" t="s">
        <v>5374</v>
      </c>
      <c r="I15" s="5314" t="s">
        <v>5375</v>
      </c>
      <c r="J15" s="5313" t="s">
        <v>5376</v>
      </c>
      <c r="K15" s="5314" t="s">
        <v>5377</v>
      </c>
      <c r="L15" s="4949" t="s">
        <v>5378</v>
      </c>
      <c r="M15" s="5195" t="s">
        <v>5379</v>
      </c>
      <c r="N15" s="4951" t="s">
        <v>5380</v>
      </c>
      <c r="O15" s="5315" t="s">
        <v>5381</v>
      </c>
      <c r="P15" s="5315" t="s">
        <v>5382</v>
      </c>
      <c r="Q15" s="5314" t="s">
        <v>5383</v>
      </c>
      <c r="R15" s="3842" t="s">
        <v>5384</v>
      </c>
      <c r="S15" s="5325" t="s">
        <v>5385</v>
      </c>
      <c r="T15" s="3844" t="s">
        <v>5386</v>
      </c>
      <c r="U15" s="5314" t="s">
        <v>5387</v>
      </c>
      <c r="V15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15" s="4259"/>
      <c r="CB15" s="4993" t="str">
        <f t="shared" si="1"/>
        <v/>
      </c>
      <c r="CC15" s="4993" t="str">
        <f t="shared" si="2"/>
        <v/>
      </c>
      <c r="CD15" s="5293" t="str">
        <f t="shared" si="3"/>
        <v xml:space="preserve"> * El número de consultas de personas pertenecientes a pueblos originarios no debe superar el Total de consultas. </v>
      </c>
      <c r="CE15" s="5293" t="str">
        <f t="shared" si="4"/>
        <v xml:space="preserve"> * El número de consultas de personas migrantes no debe superar el Total de consultas. </v>
      </c>
      <c r="CO15" s="4994"/>
      <c r="CP15" s="4994"/>
      <c r="CQ15" s="4994">
        <f t="shared" si="5"/>
        <v>1</v>
      </c>
      <c r="CR15" s="4994">
        <f t="shared" si="6"/>
        <v>1</v>
      </c>
    </row>
    <row r="16" spans="1:96" ht="15" customHeight="1" x14ac:dyDescent="0.3">
      <c r="A16" s="7679"/>
      <c r="B16" s="5292" t="s">
        <v>1363</v>
      </c>
      <c r="C16" s="11050"/>
      <c r="D16" s="9394"/>
      <c r="E16" s="9394"/>
      <c r="F16" s="9394"/>
      <c r="G16" s="9394"/>
      <c r="H16" s="9394"/>
      <c r="I16" s="9394"/>
      <c r="J16" s="9394"/>
      <c r="K16" s="9394"/>
      <c r="L16" s="9394"/>
      <c r="M16" s="9395"/>
      <c r="N16" s="5316"/>
      <c r="O16" s="5317"/>
      <c r="P16" s="5317"/>
      <c r="Q16" s="5318"/>
      <c r="R16" s="4037"/>
      <c r="S16" s="5319"/>
      <c r="T16" s="11052"/>
      <c r="U16" s="11053"/>
      <c r="V16" s="4258" t="str">
        <f t="shared" si="0"/>
        <v/>
      </c>
      <c r="BZ16" s="4259"/>
      <c r="CD16" s="5293" t="str">
        <f t="shared" si="3"/>
        <v/>
      </c>
      <c r="CE16" s="5293" t="str">
        <f t="shared" si="4"/>
        <v/>
      </c>
      <c r="CO16" s="4994"/>
      <c r="CP16" s="4994"/>
      <c r="CQ16" s="4994">
        <f t="shared" si="5"/>
        <v>0</v>
      </c>
      <c r="CR16" s="4994">
        <f t="shared" si="6"/>
        <v>0</v>
      </c>
    </row>
    <row r="17" spans="1:96" x14ac:dyDescent="0.25">
      <c r="A17" s="7680" t="s">
        <v>5365</v>
      </c>
      <c r="B17" s="5320" t="s">
        <v>3709</v>
      </c>
      <c r="C17" s="5321" t="s">
        <v>5369</v>
      </c>
      <c r="D17" s="5321" t="s">
        <v>5370</v>
      </c>
      <c r="E17" s="5321" t="s">
        <v>5371</v>
      </c>
      <c r="F17" s="5297" t="s">
        <v>5372</v>
      </c>
      <c r="G17" s="5298" t="s">
        <v>5373</v>
      </c>
      <c r="H17" s="5297" t="s">
        <v>5374</v>
      </c>
      <c r="I17" s="5298" t="s">
        <v>5375</v>
      </c>
      <c r="J17" s="5297" t="s">
        <v>5376</v>
      </c>
      <c r="K17" s="5298" t="s">
        <v>5377</v>
      </c>
      <c r="L17" s="3893" t="s">
        <v>5378</v>
      </c>
      <c r="M17" s="5299" t="s">
        <v>5379</v>
      </c>
      <c r="N17" s="5322" t="s">
        <v>5380</v>
      </c>
      <c r="O17" s="5323" t="s">
        <v>5381</v>
      </c>
      <c r="P17" s="5323" t="s">
        <v>5382</v>
      </c>
      <c r="Q17" s="5324" t="s">
        <v>5383</v>
      </c>
      <c r="R17" s="3842" t="s">
        <v>5384</v>
      </c>
      <c r="S17" s="5325" t="s">
        <v>5385</v>
      </c>
      <c r="T17" s="5326" t="s">
        <v>5386</v>
      </c>
      <c r="U17" s="5327" t="s">
        <v>5387</v>
      </c>
      <c r="V17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17" s="4259"/>
      <c r="CB17" s="4993" t="str">
        <f t="shared" ref="CB17:CB22" si="7">IF(AND($C17&lt;&gt;0,T17=""),"* No olvide digitar el campo "&amp;T$9&amp;" (Digite 0 si no tiene). ","")</f>
        <v/>
      </c>
      <c r="CC17" s="4993" t="str">
        <f t="shared" ref="CC17:CC22" si="8">IF(AND($C17&lt;&gt;0,U17=""),"* No olvide digitar el campo "&amp;U$9&amp;" (Digite 0 si no tiene). ","")</f>
        <v/>
      </c>
      <c r="CD17" s="5293" t="str">
        <f t="shared" si="3"/>
        <v xml:space="preserve"> * El número de consultas de personas pertenecientes a pueblos originarios no debe superar el Total de consultas. </v>
      </c>
      <c r="CE17" s="5293" t="str">
        <f t="shared" si="4"/>
        <v xml:space="preserve"> * El número de consultas de personas migrantes no debe superar el Total de consultas. </v>
      </c>
      <c r="CO17" s="4994"/>
      <c r="CP17" s="4994"/>
      <c r="CQ17" s="4994">
        <f t="shared" si="5"/>
        <v>1</v>
      </c>
      <c r="CR17" s="4994">
        <f t="shared" si="6"/>
        <v>1</v>
      </c>
    </row>
    <row r="18" spans="1:96" x14ac:dyDescent="0.25">
      <c r="A18" s="7680" t="s">
        <v>5366</v>
      </c>
      <c r="B18" s="5328" t="s">
        <v>2084</v>
      </c>
      <c r="C18" s="5329" t="s">
        <v>5369</v>
      </c>
      <c r="D18" s="5329" t="s">
        <v>5370</v>
      </c>
      <c r="E18" s="5329" t="s">
        <v>5371</v>
      </c>
      <c r="F18" s="4369" t="s">
        <v>5372</v>
      </c>
      <c r="G18" s="5330" t="s">
        <v>5373</v>
      </c>
      <c r="H18" s="4369" t="s">
        <v>5374</v>
      </c>
      <c r="I18" s="5330" t="s">
        <v>5375</v>
      </c>
      <c r="J18" s="4369" t="s">
        <v>5376</v>
      </c>
      <c r="K18" s="5330" t="s">
        <v>5377</v>
      </c>
      <c r="L18" s="4949" t="s">
        <v>5378</v>
      </c>
      <c r="M18" s="5195" t="s">
        <v>5379</v>
      </c>
      <c r="N18" s="5331" t="s">
        <v>5380</v>
      </c>
      <c r="O18" s="5323" t="s">
        <v>5381</v>
      </c>
      <c r="P18" s="5323" t="s">
        <v>5382</v>
      </c>
      <c r="Q18" s="5324" t="s">
        <v>5383</v>
      </c>
      <c r="R18" s="3842" t="s">
        <v>5384</v>
      </c>
      <c r="S18" s="5325" t="s">
        <v>5385</v>
      </c>
      <c r="T18" s="4231" t="s">
        <v>5386</v>
      </c>
      <c r="U18" s="5332" t="s">
        <v>5387</v>
      </c>
      <c r="V18" s="4258" t="str">
        <f>CB18&amp;CC18&amp;CD18&amp;CE18</f>
        <v xml:space="preserve"> * El número de consultas de personas pertenecientes a pueblos originarios no debe superar el Total de consultas.  * El número de consultas de personas migrantes no debe superar el Total de consultas. </v>
      </c>
      <c r="BZ18" s="4259"/>
      <c r="CB18" s="4993" t="str">
        <f t="shared" si="7"/>
        <v/>
      </c>
      <c r="CC18" s="4993" t="str">
        <f t="shared" si="8"/>
        <v/>
      </c>
      <c r="CD18" s="5293" t="str">
        <f t="shared" si="3"/>
        <v xml:space="preserve"> * El número de consultas de personas pertenecientes a pueblos originarios no debe superar el Total de consultas. </v>
      </c>
      <c r="CE18" s="5293" t="str">
        <f t="shared" si="4"/>
        <v xml:space="preserve"> * El número de consultas de personas migrantes no debe superar el Total de consultas. </v>
      </c>
      <c r="CO18" s="4994"/>
      <c r="CP18" s="4994"/>
      <c r="CQ18" s="4994">
        <f t="shared" si="5"/>
        <v>1</v>
      </c>
      <c r="CR18" s="4994">
        <f t="shared" si="6"/>
        <v>1</v>
      </c>
    </row>
    <row r="19" spans="1:96" x14ac:dyDescent="0.25">
      <c r="A19" s="7680">
        <v>29000070</v>
      </c>
      <c r="B19" s="5328" t="s">
        <v>1362</v>
      </c>
      <c r="C19" s="5333" t="s">
        <v>5369</v>
      </c>
      <c r="D19" s="5333" t="s">
        <v>5370</v>
      </c>
      <c r="E19" s="5333" t="s">
        <v>5371</v>
      </c>
      <c r="F19" s="4369" t="s">
        <v>5372</v>
      </c>
      <c r="G19" s="5334" t="s">
        <v>5373</v>
      </c>
      <c r="H19" s="4369" t="s">
        <v>5374</v>
      </c>
      <c r="I19" s="5334" t="s">
        <v>5375</v>
      </c>
      <c r="J19" s="4369" t="s">
        <v>5376</v>
      </c>
      <c r="K19" s="5334" t="s">
        <v>5377</v>
      </c>
      <c r="L19" s="4949" t="s">
        <v>5378</v>
      </c>
      <c r="M19" s="5195" t="s">
        <v>5379</v>
      </c>
      <c r="N19" s="5322" t="s">
        <v>5380</v>
      </c>
      <c r="O19" s="5323" t="s">
        <v>5381</v>
      </c>
      <c r="P19" s="5323" t="s">
        <v>5382</v>
      </c>
      <c r="Q19" s="5324" t="s">
        <v>5383</v>
      </c>
      <c r="R19" s="3842" t="s">
        <v>5384</v>
      </c>
      <c r="S19" s="5325" t="s">
        <v>5385</v>
      </c>
      <c r="T19" s="4231" t="s">
        <v>5386</v>
      </c>
      <c r="U19" s="5332" t="s">
        <v>5387</v>
      </c>
      <c r="V19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19" s="4259"/>
      <c r="CB19" s="4993" t="str">
        <f t="shared" si="7"/>
        <v/>
      </c>
      <c r="CC19" s="4993" t="str">
        <f t="shared" si="8"/>
        <v/>
      </c>
      <c r="CD19" s="5293" t="str">
        <f t="shared" si="3"/>
        <v xml:space="preserve"> * El número de consultas de personas pertenecientes a pueblos originarios no debe superar el Total de consultas. </v>
      </c>
      <c r="CE19" s="5293" t="str">
        <f t="shared" si="4"/>
        <v xml:space="preserve"> * El número de consultas de personas migrantes no debe superar el Total de consultas. </v>
      </c>
      <c r="CO19" s="4994"/>
      <c r="CP19" s="4994"/>
      <c r="CQ19" s="4994">
        <f t="shared" si="5"/>
        <v>1</v>
      </c>
      <c r="CR19" s="4994">
        <f t="shared" si="6"/>
        <v>1</v>
      </c>
    </row>
    <row r="20" spans="1:96" x14ac:dyDescent="0.25">
      <c r="A20" s="7680">
        <v>29000071</v>
      </c>
      <c r="B20" s="5328" t="s">
        <v>1361</v>
      </c>
      <c r="C20" s="5329" t="s">
        <v>5369</v>
      </c>
      <c r="D20" s="5329" t="s">
        <v>5370</v>
      </c>
      <c r="E20" s="5329" t="s">
        <v>5371</v>
      </c>
      <c r="F20" s="4369" t="s">
        <v>5372</v>
      </c>
      <c r="G20" s="4457" t="s">
        <v>5373</v>
      </c>
      <c r="H20" s="4369" t="s">
        <v>5374</v>
      </c>
      <c r="I20" s="4457" t="s">
        <v>5375</v>
      </c>
      <c r="J20" s="4369" t="s">
        <v>5376</v>
      </c>
      <c r="K20" s="4457" t="s">
        <v>5377</v>
      </c>
      <c r="L20" s="4949" t="s">
        <v>5378</v>
      </c>
      <c r="M20" s="4950" t="s">
        <v>5379</v>
      </c>
      <c r="N20" s="5322" t="s">
        <v>5380</v>
      </c>
      <c r="O20" s="5323" t="s">
        <v>5381</v>
      </c>
      <c r="P20" s="5323" t="s">
        <v>5382</v>
      </c>
      <c r="Q20" s="5324" t="s">
        <v>5383</v>
      </c>
      <c r="R20" s="3842" t="s">
        <v>5384</v>
      </c>
      <c r="S20" s="5325" t="s">
        <v>5385</v>
      </c>
      <c r="T20" s="4231" t="s">
        <v>5386</v>
      </c>
      <c r="U20" s="5332" t="s">
        <v>5387</v>
      </c>
      <c r="V20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20" s="4259"/>
      <c r="CB20" s="4993" t="str">
        <f t="shared" si="7"/>
        <v/>
      </c>
      <c r="CC20" s="4993" t="str">
        <f t="shared" si="8"/>
        <v/>
      </c>
      <c r="CD20" s="5293" t="str">
        <f t="shared" si="3"/>
        <v xml:space="preserve"> * El número de consultas de personas pertenecientes a pueblos originarios no debe superar el Total de consultas. </v>
      </c>
      <c r="CE20" s="5293" t="str">
        <f t="shared" si="4"/>
        <v xml:space="preserve"> * El número de consultas de personas migrantes no debe superar el Total de consultas. </v>
      </c>
      <c r="CO20" s="4994"/>
      <c r="CP20" s="4994"/>
      <c r="CQ20" s="4994">
        <f t="shared" si="5"/>
        <v>1</v>
      </c>
      <c r="CR20" s="4994">
        <f t="shared" si="6"/>
        <v>1</v>
      </c>
    </row>
    <row r="21" spans="1:96" x14ac:dyDescent="0.25">
      <c r="A21" s="7680">
        <v>29101010</v>
      </c>
      <c r="B21" s="5335" t="s">
        <v>1360</v>
      </c>
      <c r="C21" s="5329" t="s">
        <v>5369</v>
      </c>
      <c r="D21" s="5329" t="s">
        <v>5370</v>
      </c>
      <c r="E21" s="5329" t="s">
        <v>5371</v>
      </c>
      <c r="F21" s="4369" t="s">
        <v>5372</v>
      </c>
      <c r="G21" s="4457" t="s">
        <v>5373</v>
      </c>
      <c r="H21" s="4369" t="s">
        <v>5374</v>
      </c>
      <c r="I21" s="4457" t="s">
        <v>5375</v>
      </c>
      <c r="J21" s="4369" t="s">
        <v>5376</v>
      </c>
      <c r="K21" s="4457" t="s">
        <v>5377</v>
      </c>
      <c r="L21" s="4949" t="s">
        <v>5378</v>
      </c>
      <c r="M21" s="4950" t="s">
        <v>5379</v>
      </c>
      <c r="N21" s="5322" t="s">
        <v>5380</v>
      </c>
      <c r="O21" s="5323" t="s">
        <v>5381</v>
      </c>
      <c r="P21" s="5323" t="s">
        <v>5382</v>
      </c>
      <c r="Q21" s="5324" t="s">
        <v>5383</v>
      </c>
      <c r="R21" s="3842" t="s">
        <v>5384</v>
      </c>
      <c r="S21" s="5325" t="s">
        <v>5385</v>
      </c>
      <c r="T21" s="4231" t="s">
        <v>5386</v>
      </c>
      <c r="U21" s="5332" t="s">
        <v>5387</v>
      </c>
      <c r="V21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21" s="4259"/>
      <c r="CB21" s="4993" t="str">
        <f t="shared" si="7"/>
        <v/>
      </c>
      <c r="CC21" s="4993" t="str">
        <f t="shared" si="8"/>
        <v/>
      </c>
      <c r="CD21" s="5293" t="str">
        <f t="shared" si="3"/>
        <v xml:space="preserve"> * El número de consultas de personas pertenecientes a pueblos originarios no debe superar el Total de consultas. </v>
      </c>
      <c r="CE21" s="5293" t="str">
        <f t="shared" si="4"/>
        <v xml:space="preserve"> * El número de consultas de personas migrantes no debe superar el Total de consultas. </v>
      </c>
      <c r="CO21" s="4994"/>
      <c r="CP21" s="4994"/>
      <c r="CQ21" s="4994">
        <f t="shared" si="5"/>
        <v>1</v>
      </c>
      <c r="CR21" s="4994">
        <f t="shared" si="6"/>
        <v>1</v>
      </c>
    </row>
    <row r="22" spans="1:96" x14ac:dyDescent="0.25">
      <c r="A22" s="7680">
        <v>29101020</v>
      </c>
      <c r="B22" s="5336" t="s">
        <v>1359</v>
      </c>
      <c r="C22" s="5329" t="s">
        <v>5369</v>
      </c>
      <c r="D22" s="5329" t="s">
        <v>5370</v>
      </c>
      <c r="E22" s="5329" t="s">
        <v>5371</v>
      </c>
      <c r="F22" s="4387" t="s">
        <v>5372</v>
      </c>
      <c r="G22" s="4465" t="s">
        <v>5373</v>
      </c>
      <c r="H22" s="4387" t="s">
        <v>5374</v>
      </c>
      <c r="I22" s="4465" t="s">
        <v>5375</v>
      </c>
      <c r="J22" s="4387" t="s">
        <v>5376</v>
      </c>
      <c r="K22" s="4465" t="s">
        <v>5377</v>
      </c>
      <c r="L22" s="4420" t="s">
        <v>5378</v>
      </c>
      <c r="M22" s="5337" t="s">
        <v>5379</v>
      </c>
      <c r="N22" s="5322" t="s">
        <v>5380</v>
      </c>
      <c r="O22" s="5323" t="s">
        <v>5381</v>
      </c>
      <c r="P22" s="5323" t="s">
        <v>5382</v>
      </c>
      <c r="Q22" s="5324" t="s">
        <v>5383</v>
      </c>
      <c r="R22" s="5338" t="s">
        <v>5384</v>
      </c>
      <c r="S22" s="5325" t="s">
        <v>5385</v>
      </c>
      <c r="T22" s="5339" t="s">
        <v>5386</v>
      </c>
      <c r="U22" s="4205" t="s">
        <v>5387</v>
      </c>
      <c r="V22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22" s="4259"/>
      <c r="CB22" s="4993" t="str">
        <f t="shared" si="7"/>
        <v/>
      </c>
      <c r="CC22" s="4993" t="str">
        <f t="shared" si="8"/>
        <v/>
      </c>
      <c r="CD22" s="5293" t="str">
        <f t="shared" si="3"/>
        <v xml:space="preserve"> * El número de consultas de personas pertenecientes a pueblos originarios no debe superar el Total de consultas. </v>
      </c>
      <c r="CE22" s="5293" t="str">
        <f t="shared" si="4"/>
        <v xml:space="preserve"> * El número de consultas de personas migrantes no debe superar el Total de consultas. </v>
      </c>
      <c r="CO22" s="4994"/>
      <c r="CP22" s="4994"/>
      <c r="CQ22" s="4994">
        <f t="shared" si="5"/>
        <v>1</v>
      </c>
      <c r="CR22" s="4994">
        <f t="shared" si="6"/>
        <v>1</v>
      </c>
    </row>
    <row r="23" spans="1:96" ht="15" customHeight="1" x14ac:dyDescent="0.3">
      <c r="A23" s="7679"/>
      <c r="B23" s="5340" t="s">
        <v>1358</v>
      </c>
      <c r="C23" s="11050"/>
      <c r="D23" s="9394"/>
      <c r="E23" s="9394"/>
      <c r="F23" s="9394"/>
      <c r="G23" s="9394"/>
      <c r="H23" s="9394"/>
      <c r="I23" s="9394"/>
      <c r="J23" s="9394"/>
      <c r="K23" s="9394"/>
      <c r="L23" s="9394"/>
      <c r="M23" s="9395"/>
      <c r="N23" s="5341"/>
      <c r="O23" s="5342"/>
      <c r="P23" s="5342"/>
      <c r="Q23" s="5343"/>
      <c r="R23" s="5344"/>
      <c r="S23" s="5345"/>
      <c r="T23" s="9393"/>
      <c r="U23" s="11051"/>
      <c r="V23" s="4258" t="str">
        <f t="shared" si="0"/>
        <v/>
      </c>
      <c r="BZ23" s="4259"/>
      <c r="CD23" s="5293" t="str">
        <f t="shared" si="3"/>
        <v/>
      </c>
      <c r="CE23" s="5293" t="str">
        <f t="shared" si="4"/>
        <v/>
      </c>
      <c r="CO23" s="4994"/>
      <c r="CP23" s="4994"/>
      <c r="CQ23" s="4994">
        <f t="shared" si="5"/>
        <v>0</v>
      </c>
      <c r="CR23" s="4994">
        <f t="shared" si="6"/>
        <v>0</v>
      </c>
    </row>
    <row r="24" spans="1:96" x14ac:dyDescent="0.25">
      <c r="A24" s="7680" t="s">
        <v>5367</v>
      </c>
      <c r="B24" s="5346" t="s">
        <v>1357</v>
      </c>
      <c r="C24" s="5347" t="s">
        <v>5369</v>
      </c>
      <c r="D24" s="5347" t="s">
        <v>5370</v>
      </c>
      <c r="E24" s="5347" t="s">
        <v>5371</v>
      </c>
      <c r="F24" s="5348" t="s">
        <v>5372</v>
      </c>
      <c r="G24" s="5349" t="s">
        <v>5373</v>
      </c>
      <c r="H24" s="5348" t="s">
        <v>5374</v>
      </c>
      <c r="I24" s="5349" t="s">
        <v>5375</v>
      </c>
      <c r="J24" s="5348" t="s">
        <v>5376</v>
      </c>
      <c r="K24" s="5349" t="s">
        <v>5377</v>
      </c>
      <c r="L24" s="5350" t="s">
        <v>5378</v>
      </c>
      <c r="M24" s="5351" t="s">
        <v>5379</v>
      </c>
      <c r="N24" s="5352" t="s">
        <v>5380</v>
      </c>
      <c r="O24" s="5353" t="s">
        <v>5381</v>
      </c>
      <c r="P24" s="5353" t="s">
        <v>5382</v>
      </c>
      <c r="Q24" s="5352" t="s">
        <v>5383</v>
      </c>
      <c r="R24" s="4037" t="s">
        <v>5384</v>
      </c>
      <c r="S24" s="5319" t="s">
        <v>5385</v>
      </c>
      <c r="T24" s="5354" t="s">
        <v>5386</v>
      </c>
      <c r="U24" s="4037" t="s">
        <v>5387</v>
      </c>
      <c r="V24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24" s="4259"/>
      <c r="CB24" s="4993" t="str">
        <f t="shared" ref="CB24:CB25" si="9">IF(AND($C24&lt;&gt;0,T24=""),"* No olvide digitar el campo "&amp;T$9&amp;" (Digite 0 si no tiene). ","")</f>
        <v/>
      </c>
      <c r="CC24" s="4993" t="str">
        <f t="shared" ref="CC24:CC25" si="10">IF(AND($C24&lt;&gt;0,U24=""),"* No olvide digitar el campo "&amp;U$9&amp;" (Digite 0 si no tiene). ","")</f>
        <v/>
      </c>
      <c r="CD24" s="5293" t="str">
        <f t="shared" si="3"/>
        <v xml:space="preserve"> * El número de consultas de personas pertenecientes a pueblos originarios no debe superar el Total de consultas. </v>
      </c>
      <c r="CE24" s="5293" t="str">
        <f t="shared" si="4"/>
        <v xml:space="preserve"> * El número de consultas de personas migrantes no debe superar el Total de consultas. </v>
      </c>
      <c r="CO24" s="4994"/>
      <c r="CP24" s="4994"/>
      <c r="CQ24" s="4994">
        <f t="shared" si="5"/>
        <v>1</v>
      </c>
      <c r="CR24" s="4994">
        <f t="shared" si="6"/>
        <v>1</v>
      </c>
    </row>
    <row r="25" spans="1:96" x14ac:dyDescent="0.25">
      <c r="A25" s="7680" t="s">
        <v>5368</v>
      </c>
      <c r="B25" s="3940" t="s">
        <v>1356</v>
      </c>
      <c r="C25" s="5355" t="s">
        <v>5369</v>
      </c>
      <c r="D25" s="5355" t="s">
        <v>5370</v>
      </c>
      <c r="E25" s="5355" t="s">
        <v>5371</v>
      </c>
      <c r="F25" s="4387" t="s">
        <v>5372</v>
      </c>
      <c r="G25" s="4479" t="s">
        <v>5373</v>
      </c>
      <c r="H25" s="4387" t="s">
        <v>5374</v>
      </c>
      <c r="I25" s="4479" t="s">
        <v>5375</v>
      </c>
      <c r="J25" s="4387" t="s">
        <v>5376</v>
      </c>
      <c r="K25" s="4479" t="s">
        <v>5377</v>
      </c>
      <c r="L25" s="4420" t="s">
        <v>5378</v>
      </c>
      <c r="M25" s="5196" t="s">
        <v>5379</v>
      </c>
      <c r="N25" s="5322" t="s">
        <v>5380</v>
      </c>
      <c r="O25" s="5323" t="s">
        <v>5381</v>
      </c>
      <c r="P25" s="5323" t="s">
        <v>5382</v>
      </c>
      <c r="Q25" s="5324" t="s">
        <v>5383</v>
      </c>
      <c r="R25" s="5338" t="s">
        <v>5384</v>
      </c>
      <c r="S25" s="5325" t="s">
        <v>5385</v>
      </c>
      <c r="T25" s="4231" t="s">
        <v>5386</v>
      </c>
      <c r="U25" s="5332" t="s">
        <v>5387</v>
      </c>
      <c r="V25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BZ25" s="4259"/>
      <c r="CB25" s="4993" t="str">
        <f t="shared" si="9"/>
        <v/>
      </c>
      <c r="CC25" s="4993" t="str">
        <f t="shared" si="10"/>
        <v/>
      </c>
      <c r="CD25" s="5293" t="str">
        <f t="shared" si="3"/>
        <v xml:space="preserve"> * El número de consultas de personas pertenecientes a pueblos originarios no debe superar el Total de consultas. </v>
      </c>
      <c r="CE25" s="5293" t="str">
        <f t="shared" si="4"/>
        <v xml:space="preserve"> * El número de consultas de personas migrantes no debe superar el Total de consultas. </v>
      </c>
      <c r="CO25" s="4994"/>
      <c r="CP25" s="4994"/>
      <c r="CQ25" s="4994">
        <f t="shared" si="5"/>
        <v>1</v>
      </c>
      <c r="CR25" s="4994">
        <f t="shared" si="6"/>
        <v>1</v>
      </c>
    </row>
    <row r="26" spans="1:96" ht="15" customHeight="1" x14ac:dyDescent="0.3">
      <c r="A26" s="7679"/>
      <c r="B26" s="5340" t="s">
        <v>3710</v>
      </c>
      <c r="C26" s="11050"/>
      <c r="D26" s="9394"/>
      <c r="E26" s="9394"/>
      <c r="F26" s="9394"/>
      <c r="G26" s="9394"/>
      <c r="H26" s="9394"/>
      <c r="I26" s="9394"/>
      <c r="J26" s="9394"/>
      <c r="K26" s="9394"/>
      <c r="L26" s="9394"/>
      <c r="M26" s="9395"/>
      <c r="N26" s="5322"/>
      <c r="O26" s="5323"/>
      <c r="P26" s="5323"/>
      <c r="Q26" s="5324"/>
      <c r="R26" s="3842"/>
      <c r="S26" s="5325"/>
      <c r="T26" s="11054"/>
      <c r="U26" s="11055"/>
      <c r="V26" s="4258" t="str">
        <f t="shared" si="0"/>
        <v/>
      </c>
      <c r="W26" s="4264"/>
      <c r="X26" s="4264"/>
      <c r="Y26" s="4264"/>
      <c r="Z26" s="4264"/>
      <c r="AA26" s="4264"/>
      <c r="BZ26" s="4259"/>
      <c r="CD26" s="5293" t="str">
        <f t="shared" si="3"/>
        <v/>
      </c>
      <c r="CE26" s="5293" t="str">
        <f t="shared" si="4"/>
        <v/>
      </c>
      <c r="CO26" s="4994"/>
      <c r="CP26" s="4994"/>
      <c r="CQ26" s="4994">
        <f t="shared" si="5"/>
        <v>0</v>
      </c>
      <c r="CR26" s="4994">
        <f t="shared" si="6"/>
        <v>0</v>
      </c>
    </row>
    <row r="27" spans="1:96" ht="15" customHeight="1" x14ac:dyDescent="0.25">
      <c r="A27" s="7680">
        <v>29101030</v>
      </c>
      <c r="B27" s="5356" t="s">
        <v>1355</v>
      </c>
      <c r="C27" s="5357" t="s">
        <v>5369</v>
      </c>
      <c r="D27" s="5347" t="s">
        <v>5370</v>
      </c>
      <c r="E27" s="5347" t="s">
        <v>5371</v>
      </c>
      <c r="F27" s="5297" t="s">
        <v>5372</v>
      </c>
      <c r="G27" s="5298" t="s">
        <v>5373</v>
      </c>
      <c r="H27" s="5358" t="s">
        <v>5374</v>
      </c>
      <c r="I27" s="5298" t="s">
        <v>5375</v>
      </c>
      <c r="J27" s="5297" t="s">
        <v>5376</v>
      </c>
      <c r="K27" s="5298" t="s">
        <v>5377</v>
      </c>
      <c r="L27" s="3893" t="s">
        <v>5378</v>
      </c>
      <c r="M27" s="5299" t="s">
        <v>5379</v>
      </c>
      <c r="N27" s="5322" t="s">
        <v>5380</v>
      </c>
      <c r="O27" s="5323" t="s">
        <v>5381</v>
      </c>
      <c r="P27" s="5323" t="s">
        <v>5382</v>
      </c>
      <c r="Q27" s="5324" t="s">
        <v>5383</v>
      </c>
      <c r="R27" s="3842" t="s">
        <v>5384</v>
      </c>
      <c r="S27" s="5310" t="s">
        <v>5385</v>
      </c>
      <c r="T27" s="4231" t="s">
        <v>5386</v>
      </c>
      <c r="U27" s="5332" t="s">
        <v>5387</v>
      </c>
      <c r="V27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W27" s="4264"/>
      <c r="X27" s="4264"/>
      <c r="Y27" s="4264"/>
      <c r="Z27" s="4264"/>
      <c r="AA27" s="4264"/>
      <c r="BZ27" s="4259"/>
      <c r="CB27" s="4993" t="str">
        <f t="shared" ref="CB27:CB28" si="11">IF(AND($C27&lt;&gt;0,T27=""),"* No olvide digitar el campo "&amp;T$9&amp;" (Digite 0 si no tiene). ","")</f>
        <v/>
      </c>
      <c r="CC27" s="4993" t="str">
        <f t="shared" ref="CC27:CC28" si="12">IF(AND($C27&lt;&gt;0,U27=""),"* No olvide digitar el campo "&amp;U$9&amp;" (Digite 0 si no tiene). ","")</f>
        <v/>
      </c>
      <c r="CD27" s="5293" t="str">
        <f t="shared" si="3"/>
        <v xml:space="preserve"> * El número de consultas de personas pertenecientes a pueblos originarios no debe superar el Total de consultas. </v>
      </c>
      <c r="CE27" s="5293" t="str">
        <f t="shared" si="4"/>
        <v xml:space="preserve"> * El número de consultas de personas migrantes no debe superar el Total de consultas. </v>
      </c>
      <c r="CO27" s="4994"/>
      <c r="CP27" s="4994"/>
      <c r="CQ27" s="4994">
        <f t="shared" si="5"/>
        <v>1</v>
      </c>
      <c r="CR27" s="4994">
        <f t="shared" si="6"/>
        <v>1</v>
      </c>
    </row>
    <row r="28" spans="1:96" ht="15" customHeight="1" x14ac:dyDescent="0.25">
      <c r="A28" s="7680">
        <v>29101040</v>
      </c>
      <c r="B28" s="5359" t="s">
        <v>2682</v>
      </c>
      <c r="C28" s="5360" t="s">
        <v>5369</v>
      </c>
      <c r="D28" s="5355" t="s">
        <v>5370</v>
      </c>
      <c r="E28" s="5355" t="s">
        <v>5371</v>
      </c>
      <c r="F28" s="4387" t="s">
        <v>5372</v>
      </c>
      <c r="G28" s="4479" t="s">
        <v>5373</v>
      </c>
      <c r="H28" s="4387" t="s">
        <v>5374</v>
      </c>
      <c r="I28" s="4465" t="s">
        <v>5375</v>
      </c>
      <c r="J28" s="4387" t="s">
        <v>5376</v>
      </c>
      <c r="K28" s="4465" t="s">
        <v>5377</v>
      </c>
      <c r="L28" s="4420" t="s">
        <v>5378</v>
      </c>
      <c r="M28" s="5337" t="s">
        <v>5379</v>
      </c>
      <c r="N28" s="5341" t="s">
        <v>5380</v>
      </c>
      <c r="O28" s="5361" t="s">
        <v>5381</v>
      </c>
      <c r="P28" s="5361" t="s">
        <v>5382</v>
      </c>
      <c r="Q28" s="5362" t="s">
        <v>5383</v>
      </c>
      <c r="R28" s="5363" t="s">
        <v>5384</v>
      </c>
      <c r="S28" s="5364" t="s">
        <v>5385</v>
      </c>
      <c r="T28" s="5339" t="s">
        <v>5386</v>
      </c>
      <c r="U28" s="4205" t="s">
        <v>5387</v>
      </c>
      <c r="V28" s="4258" t="str">
        <f t="shared" si="0"/>
        <v xml:space="preserve"> * El número de consultas de personas pertenecientes a pueblos originarios no debe superar el Total de consultas.  * El número de consultas de personas migrantes no debe superar el Total de consultas. </v>
      </c>
      <c r="W28" s="4264"/>
      <c r="X28" s="4264"/>
      <c r="Y28" s="4264"/>
      <c r="Z28" s="4264"/>
      <c r="AA28" s="4264"/>
      <c r="BZ28" s="4259"/>
      <c r="CB28" s="4993" t="str">
        <f t="shared" si="11"/>
        <v/>
      </c>
      <c r="CC28" s="4993" t="str">
        <f t="shared" si="12"/>
        <v/>
      </c>
      <c r="CD28" s="5293" t="str">
        <f t="shared" si="3"/>
        <v xml:space="preserve"> * El número de consultas de personas pertenecientes a pueblos originarios no debe superar el Total de consultas. </v>
      </c>
      <c r="CE28" s="5293" t="str">
        <f t="shared" si="4"/>
        <v xml:space="preserve"> * El número de consultas de personas migrantes no debe superar el Total de consultas. </v>
      </c>
      <c r="CO28" s="4994"/>
      <c r="CP28" s="4994"/>
      <c r="CQ28" s="4994">
        <f>IF(T28&gt;$C$12,1,0)</f>
        <v>1</v>
      </c>
      <c r="CR28" s="4994">
        <f>IF(U28&gt;$C$12,1,0)</f>
        <v>1</v>
      </c>
    </row>
    <row r="29" spans="1:96" ht="32.1" customHeight="1" x14ac:dyDescent="0.3">
      <c r="A29" s="7681"/>
      <c r="B29" s="4257" t="s">
        <v>1354</v>
      </c>
      <c r="C29" s="5365"/>
      <c r="D29" s="4470"/>
      <c r="E29" s="4264"/>
      <c r="F29" s="4264"/>
      <c r="G29" s="5366"/>
      <c r="H29" s="5366"/>
      <c r="I29" s="5366"/>
      <c r="J29" s="5366"/>
      <c r="K29" s="5366"/>
      <c r="L29" s="5366"/>
      <c r="M29" s="5366"/>
      <c r="N29" s="4264"/>
      <c r="Q29" s="4264"/>
      <c r="R29" s="4264"/>
      <c r="S29" s="4264"/>
      <c r="T29" s="4264"/>
      <c r="U29" s="4264"/>
      <c r="V29" s="4264"/>
      <c r="W29" s="4264"/>
      <c r="X29" s="4264"/>
      <c r="Y29" s="4264"/>
      <c r="Z29" s="4264"/>
      <c r="AA29" s="4264"/>
      <c r="AB29" s="4264"/>
      <c r="AC29" s="4264"/>
      <c r="AD29" s="4264"/>
      <c r="CA29" s="4258"/>
    </row>
    <row r="30" spans="1:96" ht="15" customHeight="1" x14ac:dyDescent="0.3">
      <c r="A30" s="7681"/>
      <c r="B30" s="9471" t="s">
        <v>1353</v>
      </c>
      <c r="C30" s="10747"/>
      <c r="D30" s="9471" t="s">
        <v>24</v>
      </c>
      <c r="E30" s="9261" t="s">
        <v>1352</v>
      </c>
      <c r="F30" s="9262"/>
      <c r="G30" s="9262"/>
      <c r="H30" s="9262"/>
      <c r="I30" s="9262"/>
      <c r="J30" s="9262"/>
      <c r="K30" s="9262"/>
      <c r="L30" s="9262"/>
      <c r="M30" s="9365"/>
      <c r="N30" s="11016" t="s">
        <v>1351</v>
      </c>
      <c r="O30" s="11017"/>
      <c r="P30" s="11018"/>
      <c r="Q30" s="11005" t="s">
        <v>362</v>
      </c>
      <c r="R30" s="11007" t="s">
        <v>361</v>
      </c>
      <c r="S30" s="4264"/>
      <c r="T30" s="4264"/>
      <c r="U30" s="4264"/>
      <c r="V30" s="4264"/>
      <c r="W30" s="4264"/>
      <c r="X30" s="4264"/>
      <c r="Y30" s="4264"/>
      <c r="Z30" s="4264"/>
      <c r="AA30" s="4264"/>
      <c r="AB30" s="4264"/>
      <c r="AC30" s="4264"/>
      <c r="AD30" s="4264"/>
      <c r="CA30" s="4258"/>
    </row>
    <row r="31" spans="1:96" ht="23.25" customHeight="1" x14ac:dyDescent="0.3">
      <c r="A31" s="7681"/>
      <c r="B31" s="10998"/>
      <c r="C31" s="10749"/>
      <c r="D31" s="11015"/>
      <c r="E31" s="5284" t="s">
        <v>3528</v>
      </c>
      <c r="F31" s="5367" t="s">
        <v>3529</v>
      </c>
      <c r="G31" s="5368" t="s">
        <v>120</v>
      </c>
      <c r="H31" s="5368" t="s">
        <v>1414</v>
      </c>
      <c r="I31" s="5368" t="s">
        <v>1406</v>
      </c>
      <c r="J31" s="5368" t="s">
        <v>1397</v>
      </c>
      <c r="K31" s="5368" t="s">
        <v>1396</v>
      </c>
      <c r="L31" s="5368" t="s">
        <v>1395</v>
      </c>
      <c r="M31" s="5369" t="s">
        <v>1405</v>
      </c>
      <c r="N31" s="5370" t="s">
        <v>1350</v>
      </c>
      <c r="O31" s="5370" t="s">
        <v>1349</v>
      </c>
      <c r="P31" s="5371" t="s">
        <v>1348</v>
      </c>
      <c r="Q31" s="11011"/>
      <c r="R31" s="11008"/>
      <c r="S31" s="4264"/>
      <c r="T31" s="4264"/>
      <c r="U31" s="4264"/>
      <c r="V31" s="4264"/>
      <c r="W31" s="4264"/>
      <c r="X31" s="4264"/>
      <c r="Y31" s="4264"/>
      <c r="Z31" s="4264"/>
      <c r="AA31" s="4264"/>
      <c r="AB31" s="4264"/>
      <c r="AC31" s="4264"/>
      <c r="AD31" s="4264"/>
      <c r="CA31" s="4258"/>
    </row>
    <row r="32" spans="1:96" ht="14.1" customHeight="1" x14ac:dyDescent="0.25">
      <c r="A32" s="7682">
        <v>29000007</v>
      </c>
      <c r="B32" s="9414" t="s">
        <v>1347</v>
      </c>
      <c r="C32" s="5372" t="s">
        <v>190</v>
      </c>
      <c r="D32" s="5373" t="s">
        <v>5369</v>
      </c>
      <c r="E32" s="5374" t="s">
        <v>5370</v>
      </c>
      <c r="F32" s="5375" t="s">
        <v>5371</v>
      </c>
      <c r="G32" s="5375" t="s">
        <v>5372</v>
      </c>
      <c r="H32" s="5375" t="s">
        <v>5373</v>
      </c>
      <c r="I32" s="5375" t="s">
        <v>5374</v>
      </c>
      <c r="J32" s="5375" t="s">
        <v>5375</v>
      </c>
      <c r="K32" s="5375" t="s">
        <v>5376</v>
      </c>
      <c r="L32" s="5375" t="s">
        <v>5377</v>
      </c>
      <c r="M32" s="5376" t="s">
        <v>5378</v>
      </c>
      <c r="N32" s="5377" t="s">
        <v>5379</v>
      </c>
      <c r="O32" s="5377" t="s">
        <v>5380</v>
      </c>
      <c r="P32" s="5378" t="s">
        <v>5381</v>
      </c>
      <c r="Q32" s="5379" t="s">
        <v>5382</v>
      </c>
      <c r="R32" s="5380" t="s">
        <v>5383</v>
      </c>
      <c r="S32" s="4258" t="str">
        <f>CB32&amp;CC32&amp;CD32&amp;CE32</f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2" s="4264"/>
      <c r="U32" s="4264"/>
      <c r="W32" s="4264"/>
      <c r="X32" s="4264"/>
      <c r="Y32" s="4264"/>
      <c r="Z32" s="4264"/>
      <c r="AA32" s="4264"/>
      <c r="AB32" s="4264"/>
      <c r="AC32" s="4264"/>
      <c r="AD32" s="4264"/>
      <c r="CA32" s="4258"/>
      <c r="CB32" s="4993" t="str">
        <f>IF(AND($D32&lt;&gt;0,Q32=""),"* No olvide digitar el campo "&amp;T$9&amp;" (Digite 0 si no tiene). ","")</f>
        <v/>
      </c>
      <c r="CC32" s="4993" t="str">
        <f>IF(AND($D32&lt;&gt;0,R32=""),"* No olvide digitar el campo "&amp;U$9&amp;" (Digite 0 si no tiene). ","")</f>
        <v/>
      </c>
      <c r="CD32" s="5293" t="str">
        <f>IF(CQ32=1," * El número de procedimientos de personas pertenecientes a pueblos originarios no debe superar el Total de procedimientos. ","")</f>
        <v xml:space="preserve"> * El número de procedimientos de personas pertenecientes a pueblos originarios no debe superar el Total de procedimientos. </v>
      </c>
      <c r="CE32" s="5293" t="str">
        <f>IF(CR32=1," * El número de procedimientos de personas migrantes no debe superar el Total de procedimientos. ","")</f>
        <v xml:space="preserve"> * El número de procedimientos de personas migrantes no debe superar el Total de procedimientos. </v>
      </c>
      <c r="CO32" s="4978"/>
      <c r="CP32" s="4978"/>
      <c r="CQ32" s="4994">
        <f>IF(Q32&gt;$C$12,1,0)</f>
        <v>1</v>
      </c>
      <c r="CR32" s="4994">
        <f>IF(R32&gt;$C$12,1,0)</f>
        <v>1</v>
      </c>
    </row>
    <row r="33" spans="1:96" ht="14.1" customHeight="1" x14ac:dyDescent="0.25">
      <c r="A33" s="7682">
        <v>29000008</v>
      </c>
      <c r="B33" s="10996"/>
      <c r="C33" s="5381" t="s">
        <v>1327</v>
      </c>
      <c r="D33" s="5381" t="s">
        <v>5369</v>
      </c>
      <c r="E33" s="5382" t="s">
        <v>5370</v>
      </c>
      <c r="F33" s="5383" t="s">
        <v>5371</v>
      </c>
      <c r="G33" s="5383" t="s">
        <v>5372</v>
      </c>
      <c r="H33" s="5383" t="s">
        <v>5373</v>
      </c>
      <c r="I33" s="5383" t="s">
        <v>5374</v>
      </c>
      <c r="J33" s="5383" t="s">
        <v>5375</v>
      </c>
      <c r="K33" s="5383" t="s">
        <v>5376</v>
      </c>
      <c r="L33" s="5383" t="s">
        <v>5377</v>
      </c>
      <c r="M33" s="5384" t="s">
        <v>5378</v>
      </c>
      <c r="N33" s="5385" t="s">
        <v>5379</v>
      </c>
      <c r="O33" s="5385" t="s">
        <v>5380</v>
      </c>
      <c r="P33" s="5386" t="s">
        <v>5381</v>
      </c>
      <c r="Q33" s="5379" t="s">
        <v>5382</v>
      </c>
      <c r="R33" s="5380" t="s">
        <v>5383</v>
      </c>
      <c r="S33" s="4258" t="str">
        <f t="shared" ref="S33:S64" si="13">CB33&amp;CC33&amp;CD33&amp;CE33</f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3" s="4992"/>
      <c r="U33" s="4992"/>
      <c r="V33" s="4992"/>
      <c r="W33" s="4992"/>
      <c r="X33" s="4992"/>
      <c r="Y33" s="4992"/>
      <c r="Z33" s="4992"/>
      <c r="AA33" s="4992"/>
      <c r="AB33" s="4992"/>
      <c r="AC33" s="4264"/>
      <c r="AD33" s="4264"/>
      <c r="CA33" s="4258"/>
      <c r="CB33" s="4993" t="str">
        <f t="shared" ref="CB33:CB64" si="14">IF(AND($D33&lt;&gt;0,Q33=""),"* No olvide digitar el campo "&amp;T$9&amp;" (Digite 0 si no tiene). ","")</f>
        <v/>
      </c>
      <c r="CC33" s="4993" t="str">
        <f t="shared" ref="CC33:CC64" si="15">IF(AND($D33&lt;&gt;0,R33=""),"* No olvide digitar el campo "&amp;U$9&amp;" (Digite 0 si no tiene). ","")</f>
        <v/>
      </c>
      <c r="CD33" s="5293" t="str">
        <f t="shared" ref="CD33:CD64" si="16">IF(CQ33=1," * El número de procedimientos de personas pertenecientes a pueblos originarios no debe superar el Total de procedimientos. ","")</f>
        <v xml:space="preserve"> * El número de procedimientos de personas pertenecientes a pueblos originarios no debe superar el Total de procedimientos. </v>
      </c>
      <c r="CE33" s="5293" t="str">
        <f t="shared" ref="CE33:CE64" si="17">IF(CR33=1," * El número de procedimientos de personas migrantes no debe superar el Total de procedimientos. ","")</f>
        <v xml:space="preserve"> * El número de procedimientos de personas migrantes no debe superar el Total de procedimientos. </v>
      </c>
      <c r="CO33" s="4994">
        <f>IF(D33&lt;SUM(N33:P33),1,0)</f>
        <v>0</v>
      </c>
      <c r="CP33" s="4994">
        <f>IF(AND(D33&lt;&gt;0,OR(N33="",O33="",P33="")),1,0)</f>
        <v>0</v>
      </c>
      <c r="CQ33" s="4994">
        <f t="shared" ref="CQ33:CQ64" si="18">IF(Q33&gt;$C$12,1,0)</f>
        <v>1</v>
      </c>
      <c r="CR33" s="4994">
        <f t="shared" ref="CR33:CR64" si="19">IF(R33&gt;$C$12,1,0)</f>
        <v>1</v>
      </c>
    </row>
    <row r="34" spans="1:96" ht="14.1" customHeight="1" x14ac:dyDescent="0.25">
      <c r="A34" s="7682">
        <v>29000009</v>
      </c>
      <c r="B34" s="10996"/>
      <c r="C34" s="5387" t="s">
        <v>1346</v>
      </c>
      <c r="D34" s="5388" t="s">
        <v>5369</v>
      </c>
      <c r="E34" s="5389" t="s">
        <v>5370</v>
      </c>
      <c r="F34" s="5390" t="s">
        <v>5371</v>
      </c>
      <c r="G34" s="5390" t="s">
        <v>5372</v>
      </c>
      <c r="H34" s="5390" t="s">
        <v>5373</v>
      </c>
      <c r="I34" s="5390" t="s">
        <v>5374</v>
      </c>
      <c r="J34" s="5390" t="s">
        <v>5375</v>
      </c>
      <c r="K34" s="5390" t="s">
        <v>5376</v>
      </c>
      <c r="L34" s="5390" t="s">
        <v>5377</v>
      </c>
      <c r="M34" s="5391" t="s">
        <v>5378</v>
      </c>
      <c r="N34" s="5392" t="s">
        <v>5379</v>
      </c>
      <c r="O34" s="5392" t="s">
        <v>5380</v>
      </c>
      <c r="P34" s="5393" t="s">
        <v>5381</v>
      </c>
      <c r="Q34" s="5379" t="s">
        <v>5382</v>
      </c>
      <c r="R34" s="5380" t="s">
        <v>5383</v>
      </c>
      <c r="S34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4" s="4264"/>
      <c r="U34" s="4264"/>
      <c r="V34" s="4264"/>
      <c r="W34" s="4264"/>
      <c r="X34" s="4264"/>
      <c r="Y34" s="4264"/>
      <c r="Z34" s="4264"/>
      <c r="AA34" s="4264"/>
      <c r="AB34" s="4264"/>
      <c r="AC34" s="4264"/>
      <c r="AD34" s="4264"/>
      <c r="CA34" s="4258"/>
      <c r="CB34" s="4993" t="str">
        <f t="shared" si="14"/>
        <v/>
      </c>
      <c r="CC34" s="4993" t="str">
        <f t="shared" si="15"/>
        <v/>
      </c>
      <c r="CD34" s="5293" t="str">
        <f t="shared" si="16"/>
        <v xml:space="preserve"> * El número de procedimientos de personas pertenecientes a pueblos originarios no debe superar el Total de procedimientos. </v>
      </c>
      <c r="CE34" s="5293" t="str">
        <f t="shared" si="17"/>
        <v xml:space="preserve"> * El número de procedimientos de personas migrantes no debe superar el Total de procedimientos. </v>
      </c>
      <c r="CO34" s="4978"/>
      <c r="CP34" s="4978"/>
      <c r="CQ34" s="4994">
        <f t="shared" si="18"/>
        <v>1</v>
      </c>
      <c r="CR34" s="4994">
        <f t="shared" si="19"/>
        <v>1</v>
      </c>
    </row>
    <row r="35" spans="1:96" ht="14.1" customHeight="1" x14ac:dyDescent="0.25">
      <c r="A35" s="7682">
        <v>29000010</v>
      </c>
      <c r="B35" s="10996"/>
      <c r="C35" s="5394" t="s">
        <v>1345</v>
      </c>
      <c r="D35" s="5329" t="s">
        <v>5369</v>
      </c>
      <c r="E35" s="5395" t="s">
        <v>5370</v>
      </c>
      <c r="F35" s="5396" t="s">
        <v>5371</v>
      </c>
      <c r="G35" s="5396" t="s">
        <v>5372</v>
      </c>
      <c r="H35" s="5396" t="s">
        <v>5373</v>
      </c>
      <c r="I35" s="5396" t="s">
        <v>5374</v>
      </c>
      <c r="J35" s="5396" t="s">
        <v>5375</v>
      </c>
      <c r="K35" s="5396" t="s">
        <v>5376</v>
      </c>
      <c r="L35" s="5396" t="s">
        <v>5377</v>
      </c>
      <c r="M35" s="5397" t="s">
        <v>5378</v>
      </c>
      <c r="N35" s="5398" t="s">
        <v>5379</v>
      </c>
      <c r="O35" s="5398" t="s">
        <v>5380</v>
      </c>
      <c r="P35" s="5399" t="s">
        <v>5381</v>
      </c>
      <c r="Q35" s="5379" t="s">
        <v>5382</v>
      </c>
      <c r="R35" s="5380" t="s">
        <v>5383</v>
      </c>
      <c r="S35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5" s="4264"/>
      <c r="U35" s="4264"/>
      <c r="V35" s="4264"/>
      <c r="W35" s="4264"/>
      <c r="X35" s="4264"/>
      <c r="Y35" s="4264"/>
      <c r="Z35" s="4264"/>
      <c r="AA35" s="4264"/>
      <c r="AB35" s="4264"/>
      <c r="AC35" s="4264"/>
      <c r="AD35" s="4264"/>
      <c r="CA35" s="4258"/>
      <c r="CB35" s="4993" t="str">
        <f t="shared" si="14"/>
        <v/>
      </c>
      <c r="CC35" s="4993" t="str">
        <f t="shared" si="15"/>
        <v/>
      </c>
      <c r="CD35" s="5293" t="str">
        <f t="shared" si="16"/>
        <v xml:space="preserve"> * El número de procedimientos de personas pertenecientes a pueblos originarios no debe superar el Total de procedimientos. </v>
      </c>
      <c r="CE35" s="5293" t="str">
        <f t="shared" si="17"/>
        <v xml:space="preserve"> * El número de procedimientos de personas migrantes no debe superar el Total de procedimientos. </v>
      </c>
      <c r="CO35" s="4978"/>
      <c r="CP35" s="4978"/>
      <c r="CQ35" s="4994">
        <f t="shared" si="18"/>
        <v>1</v>
      </c>
      <c r="CR35" s="4994">
        <f t="shared" si="19"/>
        <v>1</v>
      </c>
    </row>
    <row r="36" spans="1:96" ht="14.1" customHeight="1" x14ac:dyDescent="0.25">
      <c r="A36" s="7682">
        <v>29000011</v>
      </c>
      <c r="B36" s="10996"/>
      <c r="C36" s="5394" t="s">
        <v>1344</v>
      </c>
      <c r="D36" s="5329" t="s">
        <v>5369</v>
      </c>
      <c r="E36" s="5400" t="s">
        <v>5370</v>
      </c>
      <c r="F36" s="5401" t="s">
        <v>5371</v>
      </c>
      <c r="G36" s="5401" t="s">
        <v>5372</v>
      </c>
      <c r="H36" s="5401" t="s">
        <v>5373</v>
      </c>
      <c r="I36" s="5401" t="s">
        <v>5374</v>
      </c>
      <c r="J36" s="5401" t="s">
        <v>5375</v>
      </c>
      <c r="K36" s="5401" t="s">
        <v>5376</v>
      </c>
      <c r="L36" s="5401" t="s">
        <v>5377</v>
      </c>
      <c r="M36" s="5402" t="s">
        <v>5378</v>
      </c>
      <c r="N36" s="5403" t="s">
        <v>5379</v>
      </c>
      <c r="O36" s="5403" t="s">
        <v>5380</v>
      </c>
      <c r="P36" s="5404" t="s">
        <v>5381</v>
      </c>
      <c r="Q36" s="5379" t="s">
        <v>5382</v>
      </c>
      <c r="R36" s="5380" t="s">
        <v>5383</v>
      </c>
      <c r="S36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6" s="4264"/>
      <c r="U36" s="4264"/>
      <c r="V36" s="4264"/>
      <c r="W36" s="4264"/>
      <c r="X36" s="4264"/>
      <c r="Y36" s="4264"/>
      <c r="Z36" s="4264"/>
      <c r="AA36" s="4264"/>
      <c r="AB36" s="4264"/>
      <c r="AC36" s="4264"/>
      <c r="AD36" s="4264"/>
      <c r="CA36" s="4258"/>
      <c r="CB36" s="4993" t="str">
        <f t="shared" si="14"/>
        <v/>
      </c>
      <c r="CC36" s="4993" t="str">
        <f t="shared" si="15"/>
        <v/>
      </c>
      <c r="CD36" s="5293" t="str">
        <f t="shared" si="16"/>
        <v xml:space="preserve"> * El número de procedimientos de personas pertenecientes a pueblos originarios no debe superar el Total de procedimientos. </v>
      </c>
      <c r="CE36" s="5293" t="str">
        <f t="shared" si="17"/>
        <v xml:space="preserve"> * El número de procedimientos de personas migrantes no debe superar el Total de procedimientos. </v>
      </c>
      <c r="CO36" s="4978"/>
      <c r="CP36" s="4978"/>
      <c r="CQ36" s="4994">
        <f t="shared" si="18"/>
        <v>1</v>
      </c>
      <c r="CR36" s="4994">
        <f t="shared" si="19"/>
        <v>1</v>
      </c>
    </row>
    <row r="37" spans="1:96" ht="14.1" customHeight="1" x14ac:dyDescent="0.25">
      <c r="A37" s="7682">
        <v>29000012</v>
      </c>
      <c r="B37" s="10996"/>
      <c r="C37" s="5394" t="s">
        <v>1343</v>
      </c>
      <c r="D37" s="5329" t="s">
        <v>5369</v>
      </c>
      <c r="E37" s="5405" t="s">
        <v>5370</v>
      </c>
      <c r="F37" s="5406" t="s">
        <v>5371</v>
      </c>
      <c r="G37" s="5406" t="s">
        <v>5372</v>
      </c>
      <c r="H37" s="5406" t="s">
        <v>5373</v>
      </c>
      <c r="I37" s="5406" t="s">
        <v>5374</v>
      </c>
      <c r="J37" s="5406" t="s">
        <v>5375</v>
      </c>
      <c r="K37" s="5406" t="s">
        <v>5376</v>
      </c>
      <c r="L37" s="5406" t="s">
        <v>5377</v>
      </c>
      <c r="M37" s="5407" t="s">
        <v>5378</v>
      </c>
      <c r="N37" s="5408" t="s">
        <v>5379</v>
      </c>
      <c r="O37" s="5408" t="s">
        <v>5380</v>
      </c>
      <c r="P37" s="5409" t="s">
        <v>5381</v>
      </c>
      <c r="Q37" s="5379" t="s">
        <v>5382</v>
      </c>
      <c r="R37" s="5380" t="s">
        <v>5383</v>
      </c>
      <c r="S37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7" s="4264"/>
      <c r="U37" s="4264"/>
      <c r="V37" s="4264"/>
      <c r="W37" s="4264"/>
      <c r="X37" s="4264"/>
      <c r="Y37" s="4264"/>
      <c r="Z37" s="4264"/>
      <c r="AA37" s="4264"/>
      <c r="AB37" s="4264"/>
      <c r="AC37" s="4264"/>
      <c r="AD37" s="4264"/>
      <c r="CA37" s="4258"/>
      <c r="CB37" s="4993" t="str">
        <f t="shared" si="14"/>
        <v/>
      </c>
      <c r="CC37" s="4993" t="str">
        <f t="shared" si="15"/>
        <v/>
      </c>
      <c r="CD37" s="5293" t="str">
        <f t="shared" si="16"/>
        <v xml:space="preserve"> * El número de procedimientos de personas pertenecientes a pueblos originarios no debe superar el Total de procedimientos. </v>
      </c>
      <c r="CE37" s="5293" t="str">
        <f t="shared" si="17"/>
        <v xml:space="preserve"> * El número de procedimientos de personas migrantes no debe superar el Total de procedimientos. </v>
      </c>
      <c r="CO37" s="4978"/>
      <c r="CP37" s="4978"/>
      <c r="CQ37" s="4994">
        <f t="shared" si="18"/>
        <v>1</v>
      </c>
      <c r="CR37" s="4994">
        <f t="shared" si="19"/>
        <v>1</v>
      </c>
    </row>
    <row r="38" spans="1:96" ht="14.1" customHeight="1" x14ac:dyDescent="0.25">
      <c r="A38" s="7682">
        <v>29000013</v>
      </c>
      <c r="B38" s="10996"/>
      <c r="C38" s="5394" t="s">
        <v>1342</v>
      </c>
      <c r="D38" s="5329" t="s">
        <v>5369</v>
      </c>
      <c r="E38" s="5395" t="s">
        <v>5370</v>
      </c>
      <c r="F38" s="5396" t="s">
        <v>5371</v>
      </c>
      <c r="G38" s="5396" t="s">
        <v>5372</v>
      </c>
      <c r="H38" s="5396" t="s">
        <v>5373</v>
      </c>
      <c r="I38" s="5396" t="s">
        <v>5374</v>
      </c>
      <c r="J38" s="5396" t="s">
        <v>5375</v>
      </c>
      <c r="K38" s="5396" t="s">
        <v>5376</v>
      </c>
      <c r="L38" s="5396" t="s">
        <v>5377</v>
      </c>
      <c r="M38" s="5397" t="s">
        <v>5378</v>
      </c>
      <c r="N38" s="5398" t="s">
        <v>5379</v>
      </c>
      <c r="O38" s="5398" t="s">
        <v>5380</v>
      </c>
      <c r="P38" s="5399" t="s">
        <v>5381</v>
      </c>
      <c r="Q38" s="5379" t="s">
        <v>5382</v>
      </c>
      <c r="R38" s="5380" t="s">
        <v>5383</v>
      </c>
      <c r="S38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8" s="4264"/>
      <c r="U38" s="4264"/>
      <c r="V38" s="4264"/>
      <c r="W38" s="4264"/>
      <c r="X38" s="4264"/>
      <c r="Y38" s="4264"/>
      <c r="Z38" s="4264"/>
      <c r="AA38" s="4264"/>
      <c r="AB38" s="4264"/>
      <c r="AC38" s="4264"/>
      <c r="AD38" s="4264"/>
      <c r="CA38" s="4258"/>
      <c r="CB38" s="4993" t="str">
        <f t="shared" si="14"/>
        <v/>
      </c>
      <c r="CC38" s="4993" t="str">
        <f t="shared" si="15"/>
        <v/>
      </c>
      <c r="CD38" s="5293" t="str">
        <f t="shared" si="16"/>
        <v xml:space="preserve"> * El número de procedimientos de personas pertenecientes a pueblos originarios no debe superar el Total de procedimientos. </v>
      </c>
      <c r="CE38" s="5293" t="str">
        <f t="shared" si="17"/>
        <v xml:space="preserve"> * El número de procedimientos de personas migrantes no debe superar el Total de procedimientos. </v>
      </c>
      <c r="CO38" s="4978"/>
      <c r="CP38" s="4978"/>
      <c r="CQ38" s="4994">
        <f t="shared" si="18"/>
        <v>1</v>
      </c>
      <c r="CR38" s="4994">
        <f t="shared" si="19"/>
        <v>1</v>
      </c>
    </row>
    <row r="39" spans="1:96" ht="14.1" customHeight="1" x14ac:dyDescent="0.25">
      <c r="A39" s="7682">
        <v>29000048</v>
      </c>
      <c r="B39" s="10997"/>
      <c r="C39" s="5394" t="s">
        <v>2644</v>
      </c>
      <c r="D39" s="5329" t="s">
        <v>5369</v>
      </c>
      <c r="E39" s="5410" t="s">
        <v>5370</v>
      </c>
      <c r="F39" s="5411" t="s">
        <v>5371</v>
      </c>
      <c r="G39" s="5411" t="s">
        <v>5372</v>
      </c>
      <c r="H39" s="5411" t="s">
        <v>5373</v>
      </c>
      <c r="I39" s="5411" t="s">
        <v>5374</v>
      </c>
      <c r="J39" s="5411" t="s">
        <v>5375</v>
      </c>
      <c r="K39" s="5411" t="s">
        <v>5376</v>
      </c>
      <c r="L39" s="5411" t="s">
        <v>5377</v>
      </c>
      <c r="M39" s="5412" t="s">
        <v>5378</v>
      </c>
      <c r="N39" s="5413" t="s">
        <v>5379</v>
      </c>
      <c r="O39" s="5413" t="s">
        <v>5380</v>
      </c>
      <c r="P39" s="5414" t="s">
        <v>5381</v>
      </c>
      <c r="Q39" s="5415" t="s">
        <v>5382</v>
      </c>
      <c r="R39" s="5416" t="s">
        <v>5383</v>
      </c>
      <c r="S39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39" s="4264"/>
      <c r="U39" s="4264"/>
      <c r="V39" s="4264"/>
      <c r="W39" s="4264"/>
      <c r="X39" s="4264"/>
      <c r="Y39" s="4264"/>
      <c r="Z39" s="4264"/>
      <c r="AA39" s="4264"/>
      <c r="AB39" s="4264"/>
      <c r="AC39" s="4264"/>
      <c r="AD39" s="4264"/>
      <c r="CA39" s="4258"/>
      <c r="CB39" s="4993" t="str">
        <f t="shared" si="14"/>
        <v/>
      </c>
      <c r="CC39" s="4993" t="str">
        <f t="shared" si="15"/>
        <v/>
      </c>
      <c r="CD39" s="5293" t="str">
        <f t="shared" si="16"/>
        <v xml:space="preserve"> * El número de procedimientos de personas pertenecientes a pueblos originarios no debe superar el Total de procedimientos. </v>
      </c>
      <c r="CE39" s="5293" t="str">
        <f t="shared" si="17"/>
        <v xml:space="preserve"> * El número de procedimientos de personas migrantes no debe superar el Total de procedimientos. </v>
      </c>
      <c r="CO39" s="4978"/>
      <c r="CP39" s="4978"/>
      <c r="CQ39" s="4994">
        <f t="shared" si="18"/>
        <v>1</v>
      </c>
      <c r="CR39" s="4994">
        <f t="shared" si="19"/>
        <v>1</v>
      </c>
    </row>
    <row r="40" spans="1:96" ht="14.1" customHeight="1" x14ac:dyDescent="0.25">
      <c r="A40" s="7682">
        <v>29000014</v>
      </c>
      <c r="B40" s="9079" t="s">
        <v>1341</v>
      </c>
      <c r="C40" s="4906" t="s">
        <v>190</v>
      </c>
      <c r="D40" s="5417" t="s">
        <v>5369</v>
      </c>
      <c r="E40" s="5389" t="s">
        <v>5370</v>
      </c>
      <c r="F40" s="5418" t="s">
        <v>5371</v>
      </c>
      <c r="G40" s="5418" t="s">
        <v>5372</v>
      </c>
      <c r="H40" s="5418" t="s">
        <v>5373</v>
      </c>
      <c r="I40" s="5418" t="s">
        <v>5374</v>
      </c>
      <c r="J40" s="5418" t="s">
        <v>5375</v>
      </c>
      <c r="K40" s="5418" t="s">
        <v>5376</v>
      </c>
      <c r="L40" s="5418" t="s">
        <v>5377</v>
      </c>
      <c r="M40" s="5419" t="s">
        <v>5378</v>
      </c>
      <c r="N40" s="5420" t="s">
        <v>5379</v>
      </c>
      <c r="O40" s="5420" t="s">
        <v>5380</v>
      </c>
      <c r="P40" s="5421" t="s">
        <v>5381</v>
      </c>
      <c r="Q40" s="5422" t="s">
        <v>5382</v>
      </c>
      <c r="R40" s="5423" t="s">
        <v>5383</v>
      </c>
      <c r="S40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0" s="4264"/>
      <c r="U40" s="4264"/>
      <c r="V40" s="4264"/>
      <c r="W40" s="4264"/>
      <c r="X40" s="4264"/>
      <c r="Y40" s="4264"/>
      <c r="Z40" s="4264"/>
      <c r="AA40" s="4264"/>
      <c r="AB40" s="4264"/>
      <c r="AC40" s="4264"/>
      <c r="AD40" s="4264"/>
      <c r="CA40" s="4258"/>
      <c r="CB40" s="4993" t="str">
        <f t="shared" si="14"/>
        <v/>
      </c>
      <c r="CC40" s="4993" t="str">
        <f t="shared" si="15"/>
        <v/>
      </c>
      <c r="CD40" s="5293" t="str">
        <f t="shared" si="16"/>
        <v xml:space="preserve"> * El número de procedimientos de personas pertenecientes a pueblos originarios no debe superar el Total de procedimientos. </v>
      </c>
      <c r="CE40" s="5293" t="str">
        <f t="shared" si="17"/>
        <v xml:space="preserve"> * El número de procedimientos de personas migrantes no debe superar el Total de procedimientos. </v>
      </c>
      <c r="CO40" s="4978"/>
      <c r="CP40" s="4978"/>
      <c r="CQ40" s="4994">
        <f t="shared" si="18"/>
        <v>1</v>
      </c>
      <c r="CR40" s="4994">
        <f t="shared" si="19"/>
        <v>1</v>
      </c>
    </row>
    <row r="41" spans="1:96" ht="14.1" customHeight="1" x14ac:dyDescent="0.25">
      <c r="A41" s="7682">
        <v>29000015</v>
      </c>
      <c r="B41" s="9133"/>
      <c r="C41" s="5387" t="s">
        <v>1327</v>
      </c>
      <c r="D41" s="5388" t="s">
        <v>5369</v>
      </c>
      <c r="E41" s="5395" t="s">
        <v>5370</v>
      </c>
      <c r="F41" s="5396" t="s">
        <v>5371</v>
      </c>
      <c r="G41" s="5396" t="s">
        <v>5372</v>
      </c>
      <c r="H41" s="5396" t="s">
        <v>5373</v>
      </c>
      <c r="I41" s="5396" t="s">
        <v>5374</v>
      </c>
      <c r="J41" s="5396" t="s">
        <v>5375</v>
      </c>
      <c r="K41" s="5396" t="s">
        <v>5376</v>
      </c>
      <c r="L41" s="5396" t="s">
        <v>5377</v>
      </c>
      <c r="M41" s="5397" t="s">
        <v>5378</v>
      </c>
      <c r="N41" s="5385" t="s">
        <v>5379</v>
      </c>
      <c r="O41" s="5385" t="s">
        <v>5380</v>
      </c>
      <c r="P41" s="5386" t="s">
        <v>5381</v>
      </c>
      <c r="Q41" s="5379" t="s">
        <v>5382</v>
      </c>
      <c r="R41" s="5380" t="s">
        <v>5383</v>
      </c>
      <c r="S41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1" s="4992"/>
      <c r="U41" s="4992"/>
      <c r="V41" s="4992"/>
      <c r="W41" s="4992"/>
      <c r="X41" s="4992"/>
      <c r="Y41" s="4992"/>
      <c r="Z41" s="4992"/>
      <c r="AA41" s="4992"/>
      <c r="AB41" s="4992"/>
      <c r="AC41" s="4264"/>
      <c r="AD41" s="4264"/>
      <c r="CA41" s="4258"/>
      <c r="CB41" s="4993" t="str">
        <f t="shared" si="14"/>
        <v/>
      </c>
      <c r="CC41" s="4993" t="str">
        <f t="shared" si="15"/>
        <v/>
      </c>
      <c r="CD41" s="5293" t="str">
        <f t="shared" si="16"/>
        <v xml:space="preserve"> * El número de procedimientos de personas pertenecientes a pueblos originarios no debe superar el Total de procedimientos. </v>
      </c>
      <c r="CE41" s="5293" t="str">
        <f t="shared" si="17"/>
        <v xml:space="preserve"> * El número de procedimientos de personas migrantes no debe superar el Total de procedimientos. </v>
      </c>
      <c r="CO41" s="4994">
        <f>IF(D41&lt;SUM(N41:P41),1,0)</f>
        <v>0</v>
      </c>
      <c r="CP41" s="4994">
        <f>IF(AND(D41&lt;&gt;0,OR(N41="",O41="",P41="")),1,0)</f>
        <v>0</v>
      </c>
      <c r="CQ41" s="4994">
        <f t="shared" si="18"/>
        <v>1</v>
      </c>
      <c r="CR41" s="4994">
        <f t="shared" si="19"/>
        <v>1</v>
      </c>
    </row>
    <row r="42" spans="1:96" ht="14.1" customHeight="1" x14ac:dyDescent="0.25">
      <c r="A42" s="7682">
        <v>29000016</v>
      </c>
      <c r="B42" s="10137"/>
      <c r="C42" s="5424" t="s">
        <v>1337</v>
      </c>
      <c r="D42" s="5355" t="s">
        <v>5369</v>
      </c>
      <c r="E42" s="5425" t="s">
        <v>5370</v>
      </c>
      <c r="F42" s="5426" t="s">
        <v>5371</v>
      </c>
      <c r="G42" s="5426" t="s">
        <v>5372</v>
      </c>
      <c r="H42" s="5426" t="s">
        <v>5373</v>
      </c>
      <c r="I42" s="5426" t="s">
        <v>5374</v>
      </c>
      <c r="J42" s="5426" t="s">
        <v>5375</v>
      </c>
      <c r="K42" s="5426" t="s">
        <v>5376</v>
      </c>
      <c r="L42" s="5426" t="s">
        <v>5377</v>
      </c>
      <c r="M42" s="5427" t="s">
        <v>5378</v>
      </c>
      <c r="N42" s="5428" t="s">
        <v>5379</v>
      </c>
      <c r="O42" s="5428" t="s">
        <v>5380</v>
      </c>
      <c r="P42" s="5429" t="s">
        <v>5381</v>
      </c>
      <c r="Q42" s="5415" t="s">
        <v>5382</v>
      </c>
      <c r="R42" s="5416" t="s">
        <v>5383</v>
      </c>
      <c r="S42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2" s="4264"/>
      <c r="U42" s="4264"/>
      <c r="V42" s="4264"/>
      <c r="W42" s="4264"/>
      <c r="X42" s="4264"/>
      <c r="Y42" s="4264"/>
      <c r="Z42" s="4264"/>
      <c r="AA42" s="4264"/>
      <c r="AB42" s="4264"/>
      <c r="AC42" s="4264"/>
      <c r="AD42" s="4264"/>
      <c r="CA42" s="4258"/>
      <c r="CB42" s="4993" t="str">
        <f t="shared" si="14"/>
        <v/>
      </c>
      <c r="CC42" s="4993" t="str">
        <f t="shared" si="15"/>
        <v/>
      </c>
      <c r="CD42" s="5293" t="str">
        <f t="shared" si="16"/>
        <v xml:space="preserve"> * El número de procedimientos de personas pertenecientes a pueblos originarios no debe superar el Total de procedimientos. </v>
      </c>
      <c r="CE42" s="5293" t="str">
        <f t="shared" si="17"/>
        <v xml:space="preserve"> * El número de procedimientos de personas migrantes no debe superar el Total de procedimientos. </v>
      </c>
      <c r="CO42" s="4978"/>
      <c r="CP42" s="4978"/>
      <c r="CQ42" s="4994">
        <f t="shared" si="18"/>
        <v>1</v>
      </c>
      <c r="CR42" s="4994">
        <f t="shared" si="19"/>
        <v>1</v>
      </c>
    </row>
    <row r="43" spans="1:96" ht="14.1" customHeight="1" x14ac:dyDescent="0.25">
      <c r="A43" s="7682">
        <v>29000017</v>
      </c>
      <c r="B43" s="9079" t="s">
        <v>1340</v>
      </c>
      <c r="C43" s="5430" t="s">
        <v>190</v>
      </c>
      <c r="D43" s="5388" t="s">
        <v>5369</v>
      </c>
      <c r="E43" s="5431" t="s">
        <v>5370</v>
      </c>
      <c r="F43" s="5418" t="s">
        <v>5371</v>
      </c>
      <c r="G43" s="5418" t="s">
        <v>5372</v>
      </c>
      <c r="H43" s="5418" t="s">
        <v>5373</v>
      </c>
      <c r="I43" s="5418" t="s">
        <v>5374</v>
      </c>
      <c r="J43" s="5418" t="s">
        <v>5375</v>
      </c>
      <c r="K43" s="5418" t="s">
        <v>5376</v>
      </c>
      <c r="L43" s="5418" t="s">
        <v>5377</v>
      </c>
      <c r="M43" s="5419" t="s">
        <v>5378</v>
      </c>
      <c r="N43" s="5420" t="s">
        <v>5379</v>
      </c>
      <c r="O43" s="5420" t="s">
        <v>5380</v>
      </c>
      <c r="P43" s="5421" t="s">
        <v>5381</v>
      </c>
      <c r="Q43" s="5422" t="s">
        <v>5382</v>
      </c>
      <c r="R43" s="5423" t="s">
        <v>5383</v>
      </c>
      <c r="S43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3" s="4264"/>
      <c r="U43" s="4264"/>
      <c r="V43" s="4264"/>
      <c r="W43" s="4264"/>
      <c r="X43" s="4264"/>
      <c r="Y43" s="4264"/>
      <c r="Z43" s="4264"/>
      <c r="AA43" s="4264"/>
      <c r="AB43" s="4264"/>
      <c r="AC43" s="4264"/>
      <c r="AD43" s="4264"/>
      <c r="CA43" s="4258"/>
      <c r="CB43" s="4993" t="str">
        <f t="shared" si="14"/>
        <v/>
      </c>
      <c r="CC43" s="4993" t="str">
        <f t="shared" si="15"/>
        <v/>
      </c>
      <c r="CD43" s="5293" t="str">
        <f t="shared" si="16"/>
        <v xml:space="preserve"> * El número de procedimientos de personas pertenecientes a pueblos originarios no debe superar el Total de procedimientos. </v>
      </c>
      <c r="CE43" s="5293" t="str">
        <f t="shared" si="17"/>
        <v xml:space="preserve"> * El número de procedimientos de personas migrantes no debe superar el Total de procedimientos. </v>
      </c>
      <c r="CO43" s="4978"/>
      <c r="CP43" s="4978"/>
      <c r="CQ43" s="4994">
        <f t="shared" si="18"/>
        <v>1</v>
      </c>
      <c r="CR43" s="4994">
        <f t="shared" si="19"/>
        <v>1</v>
      </c>
    </row>
    <row r="44" spans="1:96" ht="14.1" customHeight="1" x14ac:dyDescent="0.25">
      <c r="A44" s="7682">
        <v>29000018</v>
      </c>
      <c r="B44" s="9133"/>
      <c r="C44" s="5432" t="s">
        <v>1327</v>
      </c>
      <c r="D44" s="5329" t="s">
        <v>5369</v>
      </c>
      <c r="E44" s="5395" t="s">
        <v>5370</v>
      </c>
      <c r="F44" s="5396" t="s">
        <v>5371</v>
      </c>
      <c r="G44" s="5396" t="s">
        <v>5372</v>
      </c>
      <c r="H44" s="5396" t="s">
        <v>5373</v>
      </c>
      <c r="I44" s="5396" t="s">
        <v>5374</v>
      </c>
      <c r="J44" s="5396" t="s">
        <v>5375</v>
      </c>
      <c r="K44" s="5396" t="s">
        <v>5376</v>
      </c>
      <c r="L44" s="5396" t="s">
        <v>5377</v>
      </c>
      <c r="M44" s="5397" t="s">
        <v>5378</v>
      </c>
      <c r="N44" s="5385" t="s">
        <v>5379</v>
      </c>
      <c r="O44" s="5385" t="s">
        <v>5380</v>
      </c>
      <c r="P44" s="5386" t="s">
        <v>5381</v>
      </c>
      <c r="Q44" s="5379" t="s">
        <v>5382</v>
      </c>
      <c r="R44" s="5380" t="s">
        <v>5383</v>
      </c>
      <c r="S44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4" s="4992"/>
      <c r="U44" s="4992"/>
      <c r="V44" s="4992"/>
      <c r="W44" s="4992"/>
      <c r="X44" s="4992"/>
      <c r="Y44" s="4992"/>
      <c r="Z44" s="4992"/>
      <c r="AA44" s="4992"/>
      <c r="AB44" s="4992"/>
      <c r="AC44" s="4264"/>
      <c r="AD44" s="4264"/>
      <c r="CA44" s="4258"/>
      <c r="CB44" s="4993" t="str">
        <f t="shared" si="14"/>
        <v/>
      </c>
      <c r="CC44" s="4993" t="str">
        <f t="shared" si="15"/>
        <v/>
      </c>
      <c r="CD44" s="5293" t="str">
        <f t="shared" si="16"/>
        <v xml:space="preserve"> * El número de procedimientos de personas pertenecientes a pueblos originarios no debe superar el Total de procedimientos. </v>
      </c>
      <c r="CE44" s="5293" t="str">
        <f t="shared" si="17"/>
        <v xml:space="preserve"> * El número de procedimientos de personas migrantes no debe superar el Total de procedimientos. </v>
      </c>
      <c r="CO44" s="4994">
        <f>IF(D44&lt;SUM(N44:P44),1,0)</f>
        <v>0</v>
      </c>
      <c r="CP44" s="4994">
        <f>IF(AND(D44&lt;&gt;0,OR(N44="",O44="",P44="")),1,0)</f>
        <v>0</v>
      </c>
      <c r="CQ44" s="4994">
        <f t="shared" si="18"/>
        <v>1</v>
      </c>
      <c r="CR44" s="4994">
        <f t="shared" si="19"/>
        <v>1</v>
      </c>
    </row>
    <row r="45" spans="1:96" ht="14.1" customHeight="1" x14ac:dyDescent="0.25">
      <c r="A45" s="7682">
        <v>29000019</v>
      </c>
      <c r="B45" s="10137"/>
      <c r="C45" s="5433" t="s">
        <v>1339</v>
      </c>
      <c r="D45" s="5434" t="s">
        <v>5369</v>
      </c>
      <c r="E45" s="5425" t="s">
        <v>5370</v>
      </c>
      <c r="F45" s="5426" t="s">
        <v>5371</v>
      </c>
      <c r="G45" s="5426" t="s">
        <v>5372</v>
      </c>
      <c r="H45" s="5426" t="s">
        <v>5373</v>
      </c>
      <c r="I45" s="5426" t="s">
        <v>5374</v>
      </c>
      <c r="J45" s="5426" t="s">
        <v>5375</v>
      </c>
      <c r="K45" s="5426" t="s">
        <v>5376</v>
      </c>
      <c r="L45" s="5426" t="s">
        <v>5377</v>
      </c>
      <c r="M45" s="5427" t="s">
        <v>5378</v>
      </c>
      <c r="N45" s="5428" t="s">
        <v>5379</v>
      </c>
      <c r="O45" s="5428" t="s">
        <v>5380</v>
      </c>
      <c r="P45" s="5429" t="s">
        <v>5381</v>
      </c>
      <c r="Q45" s="5415" t="s">
        <v>5382</v>
      </c>
      <c r="R45" s="5416" t="s">
        <v>5383</v>
      </c>
      <c r="S45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5" s="4264"/>
      <c r="U45" s="4264"/>
      <c r="V45" s="4264"/>
      <c r="W45" s="4264"/>
      <c r="X45" s="4264"/>
      <c r="Y45" s="4264"/>
      <c r="Z45" s="4264"/>
      <c r="AA45" s="4264"/>
      <c r="AB45" s="4264"/>
      <c r="AC45" s="4264"/>
      <c r="AD45" s="4264"/>
      <c r="CA45" s="4258"/>
      <c r="CB45" s="4993" t="str">
        <f t="shared" si="14"/>
        <v/>
      </c>
      <c r="CC45" s="4993" t="str">
        <f t="shared" si="15"/>
        <v/>
      </c>
      <c r="CD45" s="5293" t="str">
        <f t="shared" si="16"/>
        <v xml:space="preserve"> * El número de procedimientos de personas pertenecientes a pueblos originarios no debe superar el Total de procedimientos. </v>
      </c>
      <c r="CE45" s="5293" t="str">
        <f t="shared" si="17"/>
        <v xml:space="preserve"> * El número de procedimientos de personas migrantes no debe superar el Total de procedimientos. </v>
      </c>
      <c r="CO45" s="4978"/>
      <c r="CP45" s="4978"/>
      <c r="CQ45" s="4994">
        <f t="shared" si="18"/>
        <v>1</v>
      </c>
      <c r="CR45" s="4994">
        <f t="shared" si="19"/>
        <v>1</v>
      </c>
    </row>
    <row r="46" spans="1:96" ht="14.1" customHeight="1" x14ac:dyDescent="0.25">
      <c r="A46" s="7682">
        <v>29101170</v>
      </c>
      <c r="B46" s="10995" t="s">
        <v>3720</v>
      </c>
      <c r="C46" s="4906" t="s">
        <v>190</v>
      </c>
      <c r="D46" s="5435" t="s">
        <v>5369</v>
      </c>
      <c r="E46" s="5436" t="s">
        <v>5370</v>
      </c>
      <c r="F46" s="5437" t="s">
        <v>5371</v>
      </c>
      <c r="G46" s="5437" t="s">
        <v>5372</v>
      </c>
      <c r="H46" s="5437" t="s">
        <v>5373</v>
      </c>
      <c r="I46" s="5437" t="s">
        <v>5374</v>
      </c>
      <c r="J46" s="5437" t="s">
        <v>5375</v>
      </c>
      <c r="K46" s="5437" t="s">
        <v>5376</v>
      </c>
      <c r="L46" s="5437" t="s">
        <v>5377</v>
      </c>
      <c r="M46" s="5438" t="s">
        <v>5378</v>
      </c>
      <c r="N46" s="5420" t="s">
        <v>5379</v>
      </c>
      <c r="O46" s="5420" t="s">
        <v>5380</v>
      </c>
      <c r="P46" s="5421" t="s">
        <v>5381</v>
      </c>
      <c r="Q46" s="5422" t="s">
        <v>5382</v>
      </c>
      <c r="R46" s="5423" t="s">
        <v>5383</v>
      </c>
      <c r="S46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6" s="4264"/>
      <c r="U46" s="4264"/>
      <c r="V46" s="4264"/>
      <c r="W46" s="4264"/>
      <c r="X46" s="4264"/>
      <c r="Y46" s="4264"/>
      <c r="Z46" s="4264"/>
      <c r="AA46" s="4264"/>
      <c r="AB46" s="4264"/>
      <c r="AC46" s="4264"/>
      <c r="AD46" s="4264"/>
      <c r="CA46" s="4258"/>
      <c r="CB46" s="4993" t="str">
        <f t="shared" si="14"/>
        <v/>
      </c>
      <c r="CC46" s="4993" t="str">
        <f t="shared" si="15"/>
        <v/>
      </c>
      <c r="CD46" s="5293" t="str">
        <f t="shared" si="16"/>
        <v xml:space="preserve"> * El número de procedimientos de personas pertenecientes a pueblos originarios no debe superar el Total de procedimientos. </v>
      </c>
      <c r="CE46" s="5293" t="str">
        <f t="shared" si="17"/>
        <v xml:space="preserve"> * El número de procedimientos de personas migrantes no debe superar el Total de procedimientos. </v>
      </c>
      <c r="CO46" s="4978"/>
      <c r="CP46" s="4978"/>
      <c r="CQ46" s="4994">
        <f t="shared" si="18"/>
        <v>1</v>
      </c>
      <c r="CR46" s="4994">
        <f t="shared" si="19"/>
        <v>1</v>
      </c>
    </row>
    <row r="47" spans="1:96" ht="14.1" customHeight="1" x14ac:dyDescent="0.25">
      <c r="A47" s="7682">
        <v>29101180</v>
      </c>
      <c r="B47" s="9062"/>
      <c r="C47" s="5387" t="s">
        <v>1327</v>
      </c>
      <c r="D47" s="5311" t="s">
        <v>5369</v>
      </c>
      <c r="E47" s="5439" t="s">
        <v>5370</v>
      </c>
      <c r="F47" s="5440" t="s">
        <v>5371</v>
      </c>
      <c r="G47" s="5440" t="s">
        <v>5372</v>
      </c>
      <c r="H47" s="5440" t="s">
        <v>5373</v>
      </c>
      <c r="I47" s="5440" t="s">
        <v>5374</v>
      </c>
      <c r="J47" s="5440" t="s">
        <v>5375</v>
      </c>
      <c r="K47" s="5440" t="s">
        <v>5376</v>
      </c>
      <c r="L47" s="5440" t="s">
        <v>5377</v>
      </c>
      <c r="M47" s="5441" t="s">
        <v>5378</v>
      </c>
      <c r="N47" s="5385" t="s">
        <v>5379</v>
      </c>
      <c r="O47" s="5385" t="s">
        <v>5380</v>
      </c>
      <c r="P47" s="5386" t="s">
        <v>5381</v>
      </c>
      <c r="Q47" s="5379" t="s">
        <v>5382</v>
      </c>
      <c r="R47" s="5380" t="s">
        <v>5383</v>
      </c>
      <c r="S47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7" s="4264"/>
      <c r="U47" s="4264"/>
      <c r="V47" s="4264"/>
      <c r="W47" s="4264"/>
      <c r="X47" s="4264"/>
      <c r="Y47" s="4264"/>
      <c r="Z47" s="4264"/>
      <c r="AA47" s="4264"/>
      <c r="AB47" s="4264"/>
      <c r="AC47" s="4264"/>
      <c r="AD47" s="4264"/>
      <c r="CA47" s="4258"/>
      <c r="CB47" s="4993" t="str">
        <f t="shared" si="14"/>
        <v/>
      </c>
      <c r="CC47" s="4993" t="str">
        <f t="shared" si="15"/>
        <v/>
      </c>
      <c r="CD47" s="5293" t="str">
        <f t="shared" si="16"/>
        <v xml:space="preserve"> * El número de procedimientos de personas pertenecientes a pueblos originarios no debe superar el Total de procedimientos. </v>
      </c>
      <c r="CE47" s="5293" t="str">
        <f t="shared" si="17"/>
        <v xml:space="preserve"> * El número de procedimientos de personas migrantes no debe superar el Total de procedimientos. </v>
      </c>
      <c r="CO47" s="4978"/>
      <c r="CP47" s="4978"/>
      <c r="CQ47" s="4994">
        <f t="shared" si="18"/>
        <v>1</v>
      </c>
      <c r="CR47" s="4994">
        <f t="shared" si="19"/>
        <v>1</v>
      </c>
    </row>
    <row r="48" spans="1:96" ht="14.1" customHeight="1" x14ac:dyDescent="0.25">
      <c r="A48" s="7682">
        <v>29101190</v>
      </c>
      <c r="B48" s="9089"/>
      <c r="C48" s="5424" t="s">
        <v>2531</v>
      </c>
      <c r="D48" s="5442" t="s">
        <v>5369</v>
      </c>
      <c r="E48" s="5443" t="s">
        <v>5370</v>
      </c>
      <c r="F48" s="5411" t="s">
        <v>5371</v>
      </c>
      <c r="G48" s="5411" t="s">
        <v>5372</v>
      </c>
      <c r="H48" s="5411" t="s">
        <v>5373</v>
      </c>
      <c r="I48" s="5411" t="s">
        <v>5374</v>
      </c>
      <c r="J48" s="5411" t="s">
        <v>5375</v>
      </c>
      <c r="K48" s="5411" t="s">
        <v>5376</v>
      </c>
      <c r="L48" s="5411" t="s">
        <v>5377</v>
      </c>
      <c r="M48" s="5444" t="s">
        <v>5378</v>
      </c>
      <c r="N48" s="5413" t="s">
        <v>5379</v>
      </c>
      <c r="O48" s="5413" t="s">
        <v>5380</v>
      </c>
      <c r="P48" s="5414" t="s">
        <v>5381</v>
      </c>
      <c r="Q48" s="5415" t="s">
        <v>5382</v>
      </c>
      <c r="R48" s="5416" t="s">
        <v>5383</v>
      </c>
      <c r="S48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8" s="4264"/>
      <c r="U48" s="4264"/>
      <c r="V48" s="4264"/>
      <c r="W48" s="4264"/>
      <c r="X48" s="4264"/>
      <c r="Y48" s="4264"/>
      <c r="Z48" s="4264"/>
      <c r="AA48" s="4264"/>
      <c r="AB48" s="4264"/>
      <c r="AC48" s="4264"/>
      <c r="AD48" s="4264"/>
      <c r="CA48" s="4258"/>
      <c r="CB48" s="4993" t="str">
        <f t="shared" si="14"/>
        <v/>
      </c>
      <c r="CC48" s="4993" t="str">
        <f t="shared" si="15"/>
        <v/>
      </c>
      <c r="CD48" s="5293" t="str">
        <f t="shared" si="16"/>
        <v xml:space="preserve"> * El número de procedimientos de personas pertenecientes a pueblos originarios no debe superar el Total de procedimientos. </v>
      </c>
      <c r="CE48" s="5293" t="str">
        <f t="shared" si="17"/>
        <v xml:space="preserve"> * El número de procedimientos de personas migrantes no debe superar el Total de procedimientos. </v>
      </c>
      <c r="CO48" s="4978"/>
      <c r="CP48" s="4978"/>
      <c r="CQ48" s="4994">
        <f t="shared" si="18"/>
        <v>1</v>
      </c>
      <c r="CR48" s="4994">
        <f t="shared" si="19"/>
        <v>1</v>
      </c>
    </row>
    <row r="49" spans="1:96" ht="14.1" customHeight="1" x14ac:dyDescent="0.25">
      <c r="A49" s="7682">
        <v>29000020</v>
      </c>
      <c r="B49" s="9079" t="s">
        <v>1338</v>
      </c>
      <c r="C49" s="4906" t="s">
        <v>190</v>
      </c>
      <c r="D49" s="5321" t="s">
        <v>5369</v>
      </c>
      <c r="E49" s="5445" t="s">
        <v>5370</v>
      </c>
      <c r="F49" s="5446" t="s">
        <v>5371</v>
      </c>
      <c r="G49" s="5446" t="s">
        <v>5372</v>
      </c>
      <c r="H49" s="5446" t="s">
        <v>5373</v>
      </c>
      <c r="I49" s="5446" t="s">
        <v>5374</v>
      </c>
      <c r="J49" s="5446" t="s">
        <v>5375</v>
      </c>
      <c r="K49" s="5446" t="s">
        <v>5376</v>
      </c>
      <c r="L49" s="5446" t="s">
        <v>5377</v>
      </c>
      <c r="M49" s="5447" t="s">
        <v>5378</v>
      </c>
      <c r="N49" s="5448" t="s">
        <v>5379</v>
      </c>
      <c r="O49" s="5448" t="s">
        <v>5380</v>
      </c>
      <c r="P49" s="5449" t="s">
        <v>5381</v>
      </c>
      <c r="Q49" s="5422" t="s">
        <v>5382</v>
      </c>
      <c r="R49" s="5423" t="s">
        <v>5383</v>
      </c>
      <c r="S49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49" s="4264"/>
      <c r="U49" s="4264"/>
      <c r="V49" s="4264"/>
      <c r="W49" s="4264"/>
      <c r="X49" s="4264"/>
      <c r="Y49" s="4264"/>
      <c r="Z49" s="4264"/>
      <c r="AA49" s="4264"/>
      <c r="AB49" s="4264"/>
      <c r="AC49" s="4264"/>
      <c r="AD49" s="4264"/>
      <c r="CA49" s="4258"/>
      <c r="CB49" s="4993" t="str">
        <f t="shared" si="14"/>
        <v/>
      </c>
      <c r="CC49" s="4993" t="str">
        <f t="shared" si="15"/>
        <v/>
      </c>
      <c r="CD49" s="5293" t="str">
        <f t="shared" si="16"/>
        <v xml:space="preserve"> * El número de procedimientos de personas pertenecientes a pueblos originarios no debe superar el Total de procedimientos. </v>
      </c>
      <c r="CE49" s="5293" t="str">
        <f t="shared" si="17"/>
        <v xml:space="preserve"> * El número de procedimientos de personas migrantes no debe superar el Total de procedimientos. </v>
      </c>
      <c r="CO49" s="4978"/>
      <c r="CP49" s="4978"/>
      <c r="CQ49" s="4994">
        <f t="shared" si="18"/>
        <v>1</v>
      </c>
      <c r="CR49" s="4994">
        <f t="shared" si="19"/>
        <v>1</v>
      </c>
    </row>
    <row r="50" spans="1:96" ht="14.1" customHeight="1" x14ac:dyDescent="0.25">
      <c r="A50" s="7682">
        <v>29000021</v>
      </c>
      <c r="B50" s="9133"/>
      <c r="C50" s="5387" t="s">
        <v>1327</v>
      </c>
      <c r="D50" s="5388" t="s">
        <v>5369</v>
      </c>
      <c r="E50" s="5405" t="s">
        <v>5370</v>
      </c>
      <c r="F50" s="5406" t="s">
        <v>5371</v>
      </c>
      <c r="G50" s="5406" t="s">
        <v>5372</v>
      </c>
      <c r="H50" s="5406" t="s">
        <v>5373</v>
      </c>
      <c r="I50" s="5406" t="s">
        <v>5374</v>
      </c>
      <c r="J50" s="5406" t="s">
        <v>5375</v>
      </c>
      <c r="K50" s="5406" t="s">
        <v>5376</v>
      </c>
      <c r="L50" s="5406" t="s">
        <v>5377</v>
      </c>
      <c r="M50" s="5407" t="s">
        <v>5378</v>
      </c>
      <c r="N50" s="5450" t="s">
        <v>5379</v>
      </c>
      <c r="O50" s="5450" t="s">
        <v>5380</v>
      </c>
      <c r="P50" s="5451" t="s">
        <v>5381</v>
      </c>
      <c r="Q50" s="5379" t="s">
        <v>5382</v>
      </c>
      <c r="R50" s="5380" t="s">
        <v>5383</v>
      </c>
      <c r="S50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0" s="4992"/>
      <c r="U50" s="4992"/>
      <c r="V50" s="4992"/>
      <c r="W50" s="4992"/>
      <c r="X50" s="4992"/>
      <c r="Y50" s="4992"/>
      <c r="Z50" s="4992"/>
      <c r="AA50" s="4992"/>
      <c r="AB50" s="4992"/>
      <c r="AC50" s="4264"/>
      <c r="AD50" s="4264"/>
      <c r="CA50" s="4258"/>
      <c r="CB50" s="4993" t="str">
        <f t="shared" si="14"/>
        <v/>
      </c>
      <c r="CC50" s="4993" t="str">
        <f t="shared" si="15"/>
        <v/>
      </c>
      <c r="CD50" s="5293" t="str">
        <f t="shared" si="16"/>
        <v xml:space="preserve"> * El número de procedimientos de personas pertenecientes a pueblos originarios no debe superar el Total de procedimientos. </v>
      </c>
      <c r="CE50" s="5293" t="str">
        <f t="shared" si="17"/>
        <v xml:space="preserve"> * El número de procedimientos de personas migrantes no debe superar el Total de procedimientos. </v>
      </c>
      <c r="CO50" s="4994">
        <f>IF(D50&lt;SUM(N50:P50),1,0)</f>
        <v>0</v>
      </c>
      <c r="CP50" s="4994">
        <f>IF(AND(D50&lt;&gt;0,OR(N50="",O50="",P50="")),1,0)</f>
        <v>0</v>
      </c>
      <c r="CQ50" s="4994">
        <f t="shared" si="18"/>
        <v>1</v>
      </c>
      <c r="CR50" s="4994">
        <f t="shared" si="19"/>
        <v>1</v>
      </c>
    </row>
    <row r="51" spans="1:96" ht="14.1" customHeight="1" x14ac:dyDescent="0.25">
      <c r="A51" s="7682">
        <v>29000022</v>
      </c>
      <c r="B51" s="9133"/>
      <c r="C51" s="4914" t="s">
        <v>1134</v>
      </c>
      <c r="D51" s="5329" t="s">
        <v>5369</v>
      </c>
      <c r="E51" s="5395" t="s">
        <v>5370</v>
      </c>
      <c r="F51" s="5396" t="s">
        <v>5371</v>
      </c>
      <c r="G51" s="5396" t="s">
        <v>5372</v>
      </c>
      <c r="H51" s="5396" t="s">
        <v>5373</v>
      </c>
      <c r="I51" s="5396" t="s">
        <v>5374</v>
      </c>
      <c r="J51" s="5396" t="s">
        <v>5375</v>
      </c>
      <c r="K51" s="5396" t="s">
        <v>5376</v>
      </c>
      <c r="L51" s="5396" t="s">
        <v>5377</v>
      </c>
      <c r="M51" s="5397" t="s">
        <v>5378</v>
      </c>
      <c r="N51" s="5398" t="s">
        <v>5379</v>
      </c>
      <c r="O51" s="5398" t="s">
        <v>5380</v>
      </c>
      <c r="P51" s="5399" t="s">
        <v>5381</v>
      </c>
      <c r="Q51" s="5379" t="s">
        <v>5382</v>
      </c>
      <c r="R51" s="5380" t="s">
        <v>5383</v>
      </c>
      <c r="S51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1" s="4264"/>
      <c r="U51" s="4264"/>
      <c r="V51" s="4264"/>
      <c r="W51" s="4264"/>
      <c r="X51" s="4264"/>
      <c r="Y51" s="4264"/>
      <c r="Z51" s="4264"/>
      <c r="AA51" s="4264"/>
      <c r="AB51" s="4264"/>
      <c r="AC51" s="4264"/>
      <c r="AD51" s="4264"/>
      <c r="CA51" s="4258"/>
      <c r="CB51" s="4993" t="str">
        <f t="shared" si="14"/>
        <v/>
      </c>
      <c r="CC51" s="4993" t="str">
        <f t="shared" si="15"/>
        <v/>
      </c>
      <c r="CD51" s="5293" t="str">
        <f t="shared" si="16"/>
        <v xml:space="preserve"> * El número de procedimientos de personas pertenecientes a pueblos originarios no debe superar el Total de procedimientos. </v>
      </c>
      <c r="CE51" s="5293" t="str">
        <f t="shared" si="17"/>
        <v xml:space="preserve"> * El número de procedimientos de personas migrantes no debe superar el Total de procedimientos. </v>
      </c>
      <c r="CO51" s="4978"/>
      <c r="CP51" s="4978"/>
      <c r="CQ51" s="4994">
        <f t="shared" si="18"/>
        <v>1</v>
      </c>
      <c r="CR51" s="4994">
        <f t="shared" si="19"/>
        <v>1</v>
      </c>
    </row>
    <row r="52" spans="1:96" ht="14.1" customHeight="1" x14ac:dyDescent="0.25">
      <c r="A52" s="7682">
        <v>29000023</v>
      </c>
      <c r="B52" s="9133"/>
      <c r="C52" s="5388" t="s">
        <v>1337</v>
      </c>
      <c r="D52" s="5329" t="s">
        <v>5369</v>
      </c>
      <c r="E52" s="5395" t="s">
        <v>5370</v>
      </c>
      <c r="F52" s="5396" t="s">
        <v>5371</v>
      </c>
      <c r="G52" s="5396" t="s">
        <v>5372</v>
      </c>
      <c r="H52" s="5396" t="s">
        <v>5373</v>
      </c>
      <c r="I52" s="5396" t="s">
        <v>5374</v>
      </c>
      <c r="J52" s="5396" t="s">
        <v>5375</v>
      </c>
      <c r="K52" s="5396" t="s">
        <v>5376</v>
      </c>
      <c r="L52" s="5396" t="s">
        <v>5377</v>
      </c>
      <c r="M52" s="5397" t="s">
        <v>5378</v>
      </c>
      <c r="N52" s="5398" t="s">
        <v>5379</v>
      </c>
      <c r="O52" s="5398" t="s">
        <v>5380</v>
      </c>
      <c r="P52" s="5399" t="s">
        <v>5381</v>
      </c>
      <c r="Q52" s="5379" t="s">
        <v>5382</v>
      </c>
      <c r="R52" s="5380" t="s">
        <v>5383</v>
      </c>
      <c r="S52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2" s="4264"/>
      <c r="U52" s="4264"/>
      <c r="V52" s="4264"/>
      <c r="W52" s="4264"/>
      <c r="X52" s="4264"/>
      <c r="Y52" s="4264"/>
      <c r="Z52" s="4264"/>
      <c r="AA52" s="4264"/>
      <c r="AB52" s="4264"/>
      <c r="AC52" s="4264"/>
      <c r="AD52" s="4264"/>
      <c r="CA52" s="4258"/>
      <c r="CB52" s="4993" t="str">
        <f t="shared" si="14"/>
        <v/>
      </c>
      <c r="CC52" s="4993" t="str">
        <f t="shared" si="15"/>
        <v/>
      </c>
      <c r="CD52" s="5293" t="str">
        <f t="shared" si="16"/>
        <v xml:space="preserve"> * El número de procedimientos de personas pertenecientes a pueblos originarios no debe superar el Total de procedimientos. </v>
      </c>
      <c r="CE52" s="5293" t="str">
        <f t="shared" si="17"/>
        <v xml:space="preserve"> * El número de procedimientos de personas migrantes no debe superar el Total de procedimientos. </v>
      </c>
      <c r="CO52" s="4978"/>
      <c r="CP52" s="4978"/>
      <c r="CQ52" s="4994">
        <f t="shared" si="18"/>
        <v>1</v>
      </c>
      <c r="CR52" s="4994">
        <f t="shared" si="19"/>
        <v>1</v>
      </c>
    </row>
    <row r="53" spans="1:96" ht="14.1" customHeight="1" x14ac:dyDescent="0.25">
      <c r="A53" s="7682">
        <v>29000024</v>
      </c>
      <c r="B53" s="9133"/>
      <c r="C53" s="3914" t="s">
        <v>1336</v>
      </c>
      <c r="D53" s="5388" t="s">
        <v>5369</v>
      </c>
      <c r="E53" s="5389" t="s">
        <v>5370</v>
      </c>
      <c r="F53" s="5390" t="s">
        <v>5371</v>
      </c>
      <c r="G53" s="5390" t="s">
        <v>5372</v>
      </c>
      <c r="H53" s="5390" t="s">
        <v>5373</v>
      </c>
      <c r="I53" s="5390" t="s">
        <v>5374</v>
      </c>
      <c r="J53" s="5390" t="s">
        <v>5375</v>
      </c>
      <c r="K53" s="5390" t="s">
        <v>5376</v>
      </c>
      <c r="L53" s="5390" t="s">
        <v>5377</v>
      </c>
      <c r="M53" s="5391" t="s">
        <v>5378</v>
      </c>
      <c r="N53" s="5392" t="s">
        <v>5379</v>
      </c>
      <c r="O53" s="5392" t="s">
        <v>5380</v>
      </c>
      <c r="P53" s="5393" t="s">
        <v>5381</v>
      </c>
      <c r="Q53" s="5379" t="s">
        <v>5382</v>
      </c>
      <c r="R53" s="5380" t="s">
        <v>5383</v>
      </c>
      <c r="S53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3" s="4264"/>
      <c r="U53" s="4264"/>
      <c r="V53" s="4264"/>
      <c r="W53" s="4264"/>
      <c r="X53" s="4264"/>
      <c r="Y53" s="4264"/>
      <c r="Z53" s="4264"/>
      <c r="AA53" s="4264"/>
      <c r="AB53" s="4264"/>
      <c r="AC53" s="4264"/>
      <c r="AD53" s="4264"/>
      <c r="CA53" s="4258"/>
      <c r="CB53" s="4993" t="str">
        <f t="shared" si="14"/>
        <v/>
      </c>
      <c r="CC53" s="4993" t="str">
        <f t="shared" si="15"/>
        <v/>
      </c>
      <c r="CD53" s="5293" t="str">
        <f t="shared" si="16"/>
        <v xml:space="preserve"> * El número de procedimientos de personas pertenecientes a pueblos originarios no debe superar el Total de procedimientos. </v>
      </c>
      <c r="CE53" s="5293" t="str">
        <f t="shared" si="17"/>
        <v xml:space="preserve"> * El número de procedimientos de personas migrantes no debe superar el Total de procedimientos. </v>
      </c>
      <c r="CO53" s="4978"/>
      <c r="CP53" s="4978"/>
      <c r="CQ53" s="4994">
        <f t="shared" si="18"/>
        <v>1</v>
      </c>
      <c r="CR53" s="4994">
        <f t="shared" si="19"/>
        <v>1</v>
      </c>
    </row>
    <row r="54" spans="1:96" ht="14.1" customHeight="1" x14ac:dyDescent="0.25">
      <c r="A54" s="7682">
        <v>29000025</v>
      </c>
      <c r="B54" s="10137"/>
      <c r="C54" s="5355" t="s">
        <v>1335</v>
      </c>
      <c r="D54" s="5355" t="s">
        <v>5369</v>
      </c>
      <c r="E54" s="5425" t="s">
        <v>5370</v>
      </c>
      <c r="F54" s="5426" t="s">
        <v>5371</v>
      </c>
      <c r="G54" s="5426" t="s">
        <v>5372</v>
      </c>
      <c r="H54" s="5426" t="s">
        <v>5373</v>
      </c>
      <c r="I54" s="5426" t="s">
        <v>5374</v>
      </c>
      <c r="J54" s="5426" t="s">
        <v>5375</v>
      </c>
      <c r="K54" s="5426" t="s">
        <v>5376</v>
      </c>
      <c r="L54" s="5426" t="s">
        <v>5377</v>
      </c>
      <c r="M54" s="5427" t="s">
        <v>5378</v>
      </c>
      <c r="N54" s="5428" t="s">
        <v>5379</v>
      </c>
      <c r="O54" s="5428" t="s">
        <v>5380</v>
      </c>
      <c r="P54" s="5429" t="s">
        <v>5381</v>
      </c>
      <c r="Q54" s="5415" t="s">
        <v>5382</v>
      </c>
      <c r="R54" s="5416" t="s">
        <v>5383</v>
      </c>
      <c r="S54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4" s="4264"/>
      <c r="U54" s="4264"/>
      <c r="V54" s="4264"/>
      <c r="W54" s="4264"/>
      <c r="X54" s="4264"/>
      <c r="Y54" s="4264"/>
      <c r="Z54" s="4264"/>
      <c r="AA54" s="4264"/>
      <c r="AB54" s="4264"/>
      <c r="AC54" s="4264"/>
      <c r="AD54" s="4264"/>
      <c r="CA54" s="4258"/>
      <c r="CB54" s="4993" t="str">
        <f t="shared" si="14"/>
        <v/>
      </c>
      <c r="CC54" s="4993" t="str">
        <f t="shared" si="15"/>
        <v/>
      </c>
      <c r="CD54" s="5293" t="str">
        <f t="shared" si="16"/>
        <v xml:space="preserve"> * El número de procedimientos de personas pertenecientes a pueblos originarios no debe superar el Total de procedimientos. </v>
      </c>
      <c r="CE54" s="5293" t="str">
        <f t="shared" si="17"/>
        <v xml:space="preserve"> * El número de procedimientos de personas migrantes no debe superar el Total de procedimientos. </v>
      </c>
      <c r="CO54" s="4978"/>
      <c r="CP54" s="4978"/>
      <c r="CQ54" s="4994">
        <f t="shared" si="18"/>
        <v>1</v>
      </c>
      <c r="CR54" s="4994">
        <f t="shared" si="19"/>
        <v>1</v>
      </c>
    </row>
    <row r="55" spans="1:96" ht="14.1" customHeight="1" x14ac:dyDescent="0.25">
      <c r="A55" s="7682">
        <v>29000026</v>
      </c>
      <c r="B55" s="9079" t="s">
        <v>3813</v>
      </c>
      <c r="C55" s="5452" t="s">
        <v>190</v>
      </c>
      <c r="D55" s="5453" t="s">
        <v>5369</v>
      </c>
      <c r="E55" s="5454" t="s">
        <v>5370</v>
      </c>
      <c r="F55" s="5455" t="s">
        <v>5371</v>
      </c>
      <c r="G55" s="5455" t="s">
        <v>5372</v>
      </c>
      <c r="H55" s="5455" t="s">
        <v>5373</v>
      </c>
      <c r="I55" s="5455" t="s">
        <v>5374</v>
      </c>
      <c r="J55" s="5455" t="s">
        <v>5375</v>
      </c>
      <c r="K55" s="5455" t="s">
        <v>5376</v>
      </c>
      <c r="L55" s="5455" t="s">
        <v>5377</v>
      </c>
      <c r="M55" s="5419" t="s">
        <v>5378</v>
      </c>
      <c r="N55" s="5456" t="s">
        <v>5379</v>
      </c>
      <c r="O55" s="5456" t="s">
        <v>5380</v>
      </c>
      <c r="P55" s="5457" t="s">
        <v>5381</v>
      </c>
      <c r="Q55" s="5422" t="s">
        <v>5382</v>
      </c>
      <c r="R55" s="5423" t="s">
        <v>5383</v>
      </c>
      <c r="S55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5" s="4264"/>
      <c r="U55" s="4264"/>
      <c r="V55" s="4264"/>
      <c r="W55" s="4264"/>
      <c r="X55" s="4264"/>
      <c r="Y55" s="4264"/>
      <c r="Z55" s="4264"/>
      <c r="AA55" s="4264"/>
      <c r="AB55" s="4264"/>
      <c r="AC55" s="4264"/>
      <c r="AD55" s="4264"/>
      <c r="CA55" s="4258"/>
      <c r="CB55" s="4993" t="str">
        <f t="shared" si="14"/>
        <v/>
      </c>
      <c r="CC55" s="4993" t="str">
        <f t="shared" si="15"/>
        <v/>
      </c>
      <c r="CD55" s="5293" t="str">
        <f t="shared" si="16"/>
        <v xml:space="preserve"> * El número de procedimientos de personas pertenecientes a pueblos originarios no debe superar el Total de procedimientos. </v>
      </c>
      <c r="CE55" s="5293" t="str">
        <f t="shared" si="17"/>
        <v xml:space="preserve"> * El número de procedimientos de personas migrantes no debe superar el Total de procedimientos. </v>
      </c>
      <c r="CO55" s="4978"/>
      <c r="CP55" s="4978"/>
      <c r="CQ55" s="4994">
        <f t="shared" si="18"/>
        <v>1</v>
      </c>
      <c r="CR55" s="4994">
        <f t="shared" si="19"/>
        <v>1</v>
      </c>
    </row>
    <row r="56" spans="1:96" ht="14.1" customHeight="1" x14ac:dyDescent="0.25">
      <c r="A56" s="7682">
        <v>29000027</v>
      </c>
      <c r="B56" s="9133"/>
      <c r="C56" s="5432" t="s">
        <v>1331</v>
      </c>
      <c r="D56" s="5329" t="s">
        <v>5369</v>
      </c>
      <c r="E56" s="5395" t="s">
        <v>5370</v>
      </c>
      <c r="F56" s="5396" t="s">
        <v>5371</v>
      </c>
      <c r="G56" s="5396" t="s">
        <v>5372</v>
      </c>
      <c r="H56" s="5396" t="s">
        <v>5373</v>
      </c>
      <c r="I56" s="5396" t="s">
        <v>5374</v>
      </c>
      <c r="J56" s="5396" t="s">
        <v>5375</v>
      </c>
      <c r="K56" s="5396" t="s">
        <v>5376</v>
      </c>
      <c r="L56" s="5396" t="s">
        <v>5377</v>
      </c>
      <c r="M56" s="5397" t="s">
        <v>5378</v>
      </c>
      <c r="N56" s="5385" t="s">
        <v>5379</v>
      </c>
      <c r="O56" s="5385" t="s">
        <v>5380</v>
      </c>
      <c r="P56" s="5386" t="s">
        <v>5381</v>
      </c>
      <c r="Q56" s="5379" t="s">
        <v>5382</v>
      </c>
      <c r="R56" s="5380" t="s">
        <v>5383</v>
      </c>
      <c r="S56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6" s="4992"/>
      <c r="U56" s="4992"/>
      <c r="V56" s="4992"/>
      <c r="W56" s="4992"/>
      <c r="X56" s="4992"/>
      <c r="Y56" s="4992"/>
      <c r="Z56" s="4992"/>
      <c r="AA56" s="4992"/>
      <c r="AB56" s="4992"/>
      <c r="AC56" s="4264"/>
      <c r="AD56" s="4264"/>
      <c r="CA56" s="4258"/>
      <c r="CB56" s="4993" t="str">
        <f t="shared" si="14"/>
        <v/>
      </c>
      <c r="CC56" s="4993" t="str">
        <f t="shared" si="15"/>
        <v/>
      </c>
      <c r="CD56" s="5293" t="str">
        <f t="shared" si="16"/>
        <v xml:space="preserve"> * El número de procedimientos de personas pertenecientes a pueblos originarios no debe superar el Total de procedimientos. </v>
      </c>
      <c r="CE56" s="5293" t="str">
        <f t="shared" si="17"/>
        <v xml:space="preserve"> * El número de procedimientos de personas migrantes no debe superar el Total de procedimientos. </v>
      </c>
      <c r="CO56" s="4994">
        <f>IF(D56&lt;SUM(N56:P56),1,0)</f>
        <v>0</v>
      </c>
      <c r="CP56" s="4994">
        <f>IF(AND(D56&lt;&gt;0,OR(N56="",O56="",P56="")),1,0)</f>
        <v>0</v>
      </c>
      <c r="CQ56" s="4994">
        <f t="shared" si="18"/>
        <v>1</v>
      </c>
      <c r="CR56" s="4994">
        <f t="shared" si="19"/>
        <v>1</v>
      </c>
    </row>
    <row r="57" spans="1:96" ht="24.75" customHeight="1" x14ac:dyDescent="0.25">
      <c r="A57" s="7682">
        <v>29000028</v>
      </c>
      <c r="B57" s="9133"/>
      <c r="C57" s="4384" t="s">
        <v>1334</v>
      </c>
      <c r="D57" s="5329" t="s">
        <v>5369</v>
      </c>
      <c r="E57" s="5389" t="s">
        <v>5370</v>
      </c>
      <c r="F57" s="5390" t="s">
        <v>5371</v>
      </c>
      <c r="G57" s="5390" t="s">
        <v>5372</v>
      </c>
      <c r="H57" s="5390" t="s">
        <v>5373</v>
      </c>
      <c r="I57" s="5390" t="s">
        <v>5374</v>
      </c>
      <c r="J57" s="5390" t="s">
        <v>5375</v>
      </c>
      <c r="K57" s="5390" t="s">
        <v>5376</v>
      </c>
      <c r="L57" s="5390" t="s">
        <v>5377</v>
      </c>
      <c r="M57" s="5391" t="s">
        <v>5378</v>
      </c>
      <c r="N57" s="5392" t="s">
        <v>5379</v>
      </c>
      <c r="O57" s="5392" t="s">
        <v>5380</v>
      </c>
      <c r="P57" s="5393" t="s">
        <v>5381</v>
      </c>
      <c r="Q57" s="5379" t="s">
        <v>5382</v>
      </c>
      <c r="R57" s="5380" t="s">
        <v>5383</v>
      </c>
      <c r="S57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7" s="4264"/>
      <c r="U57" s="4264"/>
      <c r="V57" s="4264"/>
      <c r="W57" s="4264"/>
      <c r="X57" s="4264"/>
      <c r="Y57" s="4264"/>
      <c r="Z57" s="4264"/>
      <c r="AA57" s="4264"/>
      <c r="AB57" s="4264"/>
      <c r="AC57" s="4264"/>
      <c r="AD57" s="4264"/>
      <c r="CA57" s="4258"/>
      <c r="CB57" s="4993" t="str">
        <f t="shared" si="14"/>
        <v/>
      </c>
      <c r="CC57" s="4993" t="str">
        <f t="shared" si="15"/>
        <v/>
      </c>
      <c r="CD57" s="5293" t="str">
        <f t="shared" si="16"/>
        <v xml:space="preserve"> * El número de procedimientos de personas pertenecientes a pueblos originarios no debe superar el Total de procedimientos. </v>
      </c>
      <c r="CE57" s="5293" t="str">
        <f t="shared" si="17"/>
        <v xml:space="preserve"> * El número de procedimientos de personas migrantes no debe superar el Total de procedimientos. </v>
      </c>
      <c r="CO57" s="4978"/>
      <c r="CP57" s="4978"/>
      <c r="CQ57" s="4994">
        <f t="shared" si="18"/>
        <v>1</v>
      </c>
      <c r="CR57" s="4994">
        <f t="shared" si="19"/>
        <v>1</v>
      </c>
    </row>
    <row r="58" spans="1:96" ht="14.1" customHeight="1" x14ac:dyDescent="0.25">
      <c r="A58" s="7682">
        <v>29000029</v>
      </c>
      <c r="B58" s="10137"/>
      <c r="C58" s="5458" t="s">
        <v>1333</v>
      </c>
      <c r="D58" s="5434" t="s">
        <v>5369</v>
      </c>
      <c r="E58" s="5459" t="s">
        <v>5370</v>
      </c>
      <c r="F58" s="5411" t="s">
        <v>5371</v>
      </c>
      <c r="G58" s="5411" t="s">
        <v>5372</v>
      </c>
      <c r="H58" s="5411" t="s">
        <v>5373</v>
      </c>
      <c r="I58" s="5411" t="s">
        <v>5374</v>
      </c>
      <c r="J58" s="5411" t="s">
        <v>5375</v>
      </c>
      <c r="K58" s="5411" t="s">
        <v>5376</v>
      </c>
      <c r="L58" s="5411" t="s">
        <v>5377</v>
      </c>
      <c r="M58" s="5412" t="s">
        <v>5378</v>
      </c>
      <c r="N58" s="5413" t="s">
        <v>5379</v>
      </c>
      <c r="O58" s="5413" t="s">
        <v>5380</v>
      </c>
      <c r="P58" s="5414" t="s">
        <v>5381</v>
      </c>
      <c r="Q58" s="5415" t="s">
        <v>5382</v>
      </c>
      <c r="R58" s="5416" t="s">
        <v>5383</v>
      </c>
      <c r="S58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8" s="4264"/>
      <c r="U58" s="4264"/>
      <c r="V58" s="4264"/>
      <c r="W58" s="4264"/>
      <c r="X58" s="4264"/>
      <c r="Y58" s="4264"/>
      <c r="Z58" s="4264"/>
      <c r="AA58" s="4264"/>
      <c r="AB58" s="4264"/>
      <c r="AC58" s="4264"/>
      <c r="AD58" s="4264"/>
      <c r="CA58" s="4258"/>
      <c r="CB58" s="4993" t="str">
        <f t="shared" si="14"/>
        <v/>
      </c>
      <c r="CC58" s="4993" t="str">
        <f t="shared" si="15"/>
        <v/>
      </c>
      <c r="CD58" s="5293" t="str">
        <f t="shared" si="16"/>
        <v xml:space="preserve"> * El número de procedimientos de personas pertenecientes a pueblos originarios no debe superar el Total de procedimientos. </v>
      </c>
      <c r="CE58" s="5293" t="str">
        <f t="shared" si="17"/>
        <v xml:space="preserve"> * El número de procedimientos de personas migrantes no debe superar el Total de procedimientos. </v>
      </c>
      <c r="CO58" s="4978"/>
      <c r="CP58" s="4978"/>
      <c r="CQ58" s="4994">
        <f t="shared" si="18"/>
        <v>1</v>
      </c>
      <c r="CR58" s="4994">
        <f t="shared" si="19"/>
        <v>1</v>
      </c>
    </row>
    <row r="59" spans="1:96" ht="14.1" customHeight="1" x14ac:dyDescent="0.25">
      <c r="A59" s="7682">
        <v>29000049</v>
      </c>
      <c r="B59" s="9079" t="s">
        <v>1332</v>
      </c>
      <c r="C59" s="5460" t="s">
        <v>190</v>
      </c>
      <c r="D59" s="5461" t="s">
        <v>5369</v>
      </c>
      <c r="E59" s="5462" t="s">
        <v>5370</v>
      </c>
      <c r="F59" s="5463" t="s">
        <v>5371</v>
      </c>
      <c r="G59" s="5463" t="s">
        <v>5372</v>
      </c>
      <c r="H59" s="5463" t="s">
        <v>5373</v>
      </c>
      <c r="I59" s="5463" t="s">
        <v>5374</v>
      </c>
      <c r="J59" s="5463" t="s">
        <v>5375</v>
      </c>
      <c r="K59" s="5463" t="s">
        <v>5376</v>
      </c>
      <c r="L59" s="5463" t="s">
        <v>5377</v>
      </c>
      <c r="M59" s="5464" t="s">
        <v>5378</v>
      </c>
      <c r="N59" s="5465" t="s">
        <v>5379</v>
      </c>
      <c r="O59" s="5465" t="s">
        <v>5380</v>
      </c>
      <c r="P59" s="5466" t="s">
        <v>5381</v>
      </c>
      <c r="Q59" s="5422" t="s">
        <v>5382</v>
      </c>
      <c r="R59" s="5423" t="s">
        <v>5383</v>
      </c>
      <c r="S59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59" s="4264"/>
      <c r="U59" s="4264"/>
      <c r="V59" s="4264"/>
      <c r="W59" s="4264"/>
      <c r="X59" s="4264"/>
      <c r="Y59" s="4264"/>
      <c r="Z59" s="4264"/>
      <c r="AA59" s="4264"/>
      <c r="AB59" s="4264"/>
      <c r="AC59" s="4264"/>
      <c r="AD59" s="4264"/>
      <c r="CB59" s="4993" t="str">
        <f t="shared" si="14"/>
        <v/>
      </c>
      <c r="CC59" s="4993" t="str">
        <f t="shared" si="15"/>
        <v/>
      </c>
      <c r="CD59" s="5293" t="str">
        <f t="shared" si="16"/>
        <v xml:space="preserve"> * El número de procedimientos de personas pertenecientes a pueblos originarios no debe superar el Total de procedimientos. </v>
      </c>
      <c r="CE59" s="5293" t="str">
        <f t="shared" si="17"/>
        <v xml:space="preserve"> * El número de procedimientos de personas migrantes no debe superar el Total de procedimientos. </v>
      </c>
      <c r="CO59" s="4978"/>
      <c r="CP59" s="4978"/>
      <c r="CQ59" s="4994">
        <f t="shared" si="18"/>
        <v>1</v>
      </c>
      <c r="CR59" s="4994">
        <f t="shared" si="19"/>
        <v>1</v>
      </c>
    </row>
    <row r="60" spans="1:96" ht="14.1" customHeight="1" x14ac:dyDescent="0.25">
      <c r="A60" s="7682">
        <v>29000050</v>
      </c>
      <c r="B60" s="9133"/>
      <c r="C60" s="5467" t="s">
        <v>1331</v>
      </c>
      <c r="D60" s="5468" t="s">
        <v>5369</v>
      </c>
      <c r="E60" s="5469" t="s">
        <v>5370</v>
      </c>
      <c r="F60" s="5470" t="s">
        <v>5371</v>
      </c>
      <c r="G60" s="5470" t="s">
        <v>5372</v>
      </c>
      <c r="H60" s="5470" t="s">
        <v>5373</v>
      </c>
      <c r="I60" s="5470" t="s">
        <v>5374</v>
      </c>
      <c r="J60" s="5470" t="s">
        <v>5375</v>
      </c>
      <c r="K60" s="5470" t="s">
        <v>5376</v>
      </c>
      <c r="L60" s="5470" t="s">
        <v>5377</v>
      </c>
      <c r="M60" s="5471" t="s">
        <v>5378</v>
      </c>
      <c r="N60" s="5472" t="s">
        <v>5379</v>
      </c>
      <c r="O60" s="5472" t="s">
        <v>5380</v>
      </c>
      <c r="P60" s="5473" t="s">
        <v>5381</v>
      </c>
      <c r="Q60" s="5379" t="s">
        <v>5382</v>
      </c>
      <c r="R60" s="5380" t="s">
        <v>5383</v>
      </c>
      <c r="S60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60" s="4992"/>
      <c r="U60" s="4992"/>
      <c r="V60" s="4992"/>
      <c r="W60" s="4992"/>
      <c r="X60" s="4992"/>
      <c r="Y60" s="4992"/>
      <c r="Z60" s="4992"/>
      <c r="AA60" s="4992"/>
      <c r="AB60" s="4992"/>
      <c r="AC60" s="4264"/>
      <c r="AD60" s="4264"/>
      <c r="CB60" s="4993" t="str">
        <f t="shared" si="14"/>
        <v/>
      </c>
      <c r="CC60" s="4993" t="str">
        <f t="shared" si="15"/>
        <v/>
      </c>
      <c r="CD60" s="5293" t="str">
        <f t="shared" si="16"/>
        <v xml:space="preserve"> * El número de procedimientos de personas pertenecientes a pueblos originarios no debe superar el Total de procedimientos. </v>
      </c>
      <c r="CE60" s="5293" t="str">
        <f t="shared" si="17"/>
        <v xml:space="preserve"> * El número de procedimientos de personas migrantes no debe superar el Total de procedimientos. </v>
      </c>
      <c r="CO60" s="4994">
        <f>IF(D60&lt;SUM(N60:P60),1,0)</f>
        <v>0</v>
      </c>
      <c r="CP60" s="4994">
        <f>IF(AND(D60&lt;&gt;0,OR(N60="",O60="",P60="")),1,0)</f>
        <v>0</v>
      </c>
      <c r="CQ60" s="4994">
        <f t="shared" si="18"/>
        <v>1</v>
      </c>
      <c r="CR60" s="4994">
        <f t="shared" si="19"/>
        <v>1</v>
      </c>
    </row>
    <row r="61" spans="1:96" ht="14.1" customHeight="1" x14ac:dyDescent="0.25">
      <c r="A61" s="7682">
        <v>29000051</v>
      </c>
      <c r="B61" s="9133"/>
      <c r="C61" s="5474" t="s">
        <v>1330</v>
      </c>
      <c r="D61" s="5475" t="s">
        <v>5369</v>
      </c>
      <c r="E61" s="5476" t="s">
        <v>5370</v>
      </c>
      <c r="F61" s="5477" t="s">
        <v>5371</v>
      </c>
      <c r="G61" s="5477" t="s">
        <v>5372</v>
      </c>
      <c r="H61" s="5477" t="s">
        <v>5373</v>
      </c>
      <c r="I61" s="5477" t="s">
        <v>5374</v>
      </c>
      <c r="J61" s="5477" t="s">
        <v>5375</v>
      </c>
      <c r="K61" s="5477" t="s">
        <v>5376</v>
      </c>
      <c r="L61" s="5477" t="s">
        <v>5377</v>
      </c>
      <c r="M61" s="5478" t="s">
        <v>5378</v>
      </c>
      <c r="N61" s="5392" t="s">
        <v>5379</v>
      </c>
      <c r="O61" s="5392" t="s">
        <v>5380</v>
      </c>
      <c r="P61" s="5393" t="s">
        <v>5381</v>
      </c>
      <c r="Q61" s="5379" t="s">
        <v>5382</v>
      </c>
      <c r="R61" s="5380" t="s">
        <v>5383</v>
      </c>
      <c r="S61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61" s="4264"/>
      <c r="U61" s="4264"/>
      <c r="V61" s="4264"/>
      <c r="W61" s="4264"/>
      <c r="X61" s="4264"/>
      <c r="Y61" s="4264"/>
      <c r="Z61" s="4264"/>
      <c r="AA61" s="4264"/>
      <c r="AB61" s="4264"/>
      <c r="AC61" s="4264"/>
      <c r="AD61" s="4264"/>
      <c r="CB61" s="4993" t="str">
        <f t="shared" si="14"/>
        <v/>
      </c>
      <c r="CC61" s="4993" t="str">
        <f t="shared" si="15"/>
        <v/>
      </c>
      <c r="CD61" s="5293" t="str">
        <f t="shared" si="16"/>
        <v xml:space="preserve"> * El número de procedimientos de personas pertenecientes a pueblos originarios no debe superar el Total de procedimientos. </v>
      </c>
      <c r="CE61" s="5293" t="str">
        <f t="shared" si="17"/>
        <v xml:space="preserve"> * El número de procedimientos de personas migrantes no debe superar el Total de procedimientos. </v>
      </c>
      <c r="CO61" s="4978"/>
      <c r="CP61" s="4978"/>
      <c r="CQ61" s="4994">
        <f t="shared" si="18"/>
        <v>1</v>
      </c>
      <c r="CR61" s="4994">
        <f t="shared" si="19"/>
        <v>1</v>
      </c>
    </row>
    <row r="62" spans="1:96" ht="14.1" customHeight="1" x14ac:dyDescent="0.25">
      <c r="A62" s="7682">
        <v>29000052</v>
      </c>
      <c r="B62" s="10137"/>
      <c r="C62" s="5479" t="s">
        <v>1329</v>
      </c>
      <c r="D62" s="5480" t="s">
        <v>5369</v>
      </c>
      <c r="E62" s="5425" t="s">
        <v>5370</v>
      </c>
      <c r="F62" s="5426" t="s">
        <v>5371</v>
      </c>
      <c r="G62" s="5426" t="s">
        <v>5372</v>
      </c>
      <c r="H62" s="5426" t="s">
        <v>5373</v>
      </c>
      <c r="I62" s="5426" t="s">
        <v>5374</v>
      </c>
      <c r="J62" s="5426" t="s">
        <v>5375</v>
      </c>
      <c r="K62" s="5426" t="s">
        <v>5376</v>
      </c>
      <c r="L62" s="5426" t="s">
        <v>5377</v>
      </c>
      <c r="M62" s="5427" t="s">
        <v>5378</v>
      </c>
      <c r="N62" s="5428" t="s">
        <v>5379</v>
      </c>
      <c r="O62" s="5428" t="s">
        <v>5380</v>
      </c>
      <c r="P62" s="5429" t="s">
        <v>5381</v>
      </c>
      <c r="Q62" s="5415" t="s">
        <v>5382</v>
      </c>
      <c r="R62" s="5416" t="s">
        <v>5383</v>
      </c>
      <c r="S62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62" s="4264"/>
      <c r="U62" s="4264"/>
      <c r="V62" s="4264"/>
      <c r="W62" s="4264"/>
      <c r="X62" s="4264"/>
      <c r="Y62" s="4264"/>
      <c r="Z62" s="4264"/>
      <c r="AA62" s="4264"/>
      <c r="AB62" s="4264"/>
      <c r="AC62" s="4264"/>
      <c r="AD62" s="4264"/>
      <c r="CB62" s="4993" t="str">
        <f t="shared" si="14"/>
        <v/>
      </c>
      <c r="CC62" s="4993" t="str">
        <f t="shared" si="15"/>
        <v/>
      </c>
      <c r="CD62" s="5293" t="str">
        <f t="shared" si="16"/>
        <v xml:space="preserve"> * El número de procedimientos de personas pertenecientes a pueblos originarios no debe superar el Total de procedimientos. </v>
      </c>
      <c r="CE62" s="5293" t="str">
        <f t="shared" si="17"/>
        <v xml:space="preserve"> * El número de procedimientos de personas migrantes no debe superar el Total de procedimientos. </v>
      </c>
      <c r="CO62" s="4978"/>
      <c r="CP62" s="4978"/>
      <c r="CQ62" s="4994">
        <f t="shared" si="18"/>
        <v>1</v>
      </c>
      <c r="CR62" s="4994">
        <f t="shared" si="19"/>
        <v>1</v>
      </c>
    </row>
    <row r="63" spans="1:96" ht="14.1" customHeight="1" x14ac:dyDescent="0.25">
      <c r="A63" s="7682">
        <v>29000030</v>
      </c>
      <c r="B63" s="9079" t="s">
        <v>1328</v>
      </c>
      <c r="C63" s="5452" t="s">
        <v>190</v>
      </c>
      <c r="D63" s="5395" t="s">
        <v>5369</v>
      </c>
      <c r="E63" s="5481" t="s">
        <v>5370</v>
      </c>
      <c r="F63" s="5482" t="s">
        <v>5371</v>
      </c>
      <c r="G63" s="5482" t="s">
        <v>5372</v>
      </c>
      <c r="H63" s="5482" t="s">
        <v>5373</v>
      </c>
      <c r="I63" s="5482" t="s">
        <v>5374</v>
      </c>
      <c r="J63" s="5482" t="s">
        <v>5375</v>
      </c>
      <c r="K63" s="5482" t="s">
        <v>5376</v>
      </c>
      <c r="L63" s="5482" t="s">
        <v>5377</v>
      </c>
      <c r="M63" s="5483" t="s">
        <v>5378</v>
      </c>
      <c r="N63" s="5456" t="s">
        <v>5379</v>
      </c>
      <c r="O63" s="5456" t="s">
        <v>5380</v>
      </c>
      <c r="P63" s="5457" t="s">
        <v>5381</v>
      </c>
      <c r="Q63" s="5422" t="s">
        <v>5382</v>
      </c>
      <c r="R63" s="5423" t="s">
        <v>5383</v>
      </c>
      <c r="S63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63" s="4264"/>
      <c r="U63" s="4264"/>
      <c r="V63" s="4264"/>
      <c r="W63" s="4264"/>
      <c r="X63" s="4264"/>
      <c r="Y63" s="4264"/>
      <c r="Z63" s="4264"/>
      <c r="AA63" s="4264"/>
      <c r="AB63" s="4264"/>
      <c r="AC63" s="4264"/>
      <c r="AD63" s="4264"/>
      <c r="CB63" s="4993" t="str">
        <f t="shared" si="14"/>
        <v/>
      </c>
      <c r="CC63" s="4993" t="str">
        <f t="shared" si="15"/>
        <v/>
      </c>
      <c r="CD63" s="5293" t="str">
        <f t="shared" si="16"/>
        <v xml:space="preserve"> * El número de procedimientos de personas pertenecientes a pueblos originarios no debe superar el Total de procedimientos. </v>
      </c>
      <c r="CE63" s="5293" t="str">
        <f t="shared" si="17"/>
        <v xml:space="preserve"> * El número de procedimientos de personas migrantes no debe superar el Total de procedimientos. </v>
      </c>
      <c r="CO63" s="4978"/>
      <c r="CP63" s="4978"/>
      <c r="CQ63" s="4994">
        <f t="shared" si="18"/>
        <v>1</v>
      </c>
      <c r="CR63" s="4994">
        <f t="shared" si="19"/>
        <v>1</v>
      </c>
    </row>
    <row r="64" spans="1:96" ht="14.1" customHeight="1" x14ac:dyDescent="0.25">
      <c r="A64" s="7682">
        <v>29000031</v>
      </c>
      <c r="B64" s="10137"/>
      <c r="C64" s="5433" t="s">
        <v>1327</v>
      </c>
      <c r="D64" s="5425" t="s">
        <v>5369</v>
      </c>
      <c r="E64" s="5484" t="s">
        <v>5370</v>
      </c>
      <c r="F64" s="5485" t="s">
        <v>5371</v>
      </c>
      <c r="G64" s="5485" t="s">
        <v>5372</v>
      </c>
      <c r="H64" s="5485" t="s">
        <v>5373</v>
      </c>
      <c r="I64" s="5485" t="s">
        <v>5374</v>
      </c>
      <c r="J64" s="5485" t="s">
        <v>5375</v>
      </c>
      <c r="K64" s="5485" t="s">
        <v>5376</v>
      </c>
      <c r="L64" s="5485" t="s">
        <v>5377</v>
      </c>
      <c r="M64" s="5486" t="s">
        <v>5378</v>
      </c>
      <c r="N64" s="5416" t="s">
        <v>5379</v>
      </c>
      <c r="O64" s="5416" t="s">
        <v>5380</v>
      </c>
      <c r="P64" s="5487" t="s">
        <v>5381</v>
      </c>
      <c r="Q64" s="5415" t="s">
        <v>5382</v>
      </c>
      <c r="R64" s="5416" t="s">
        <v>5383</v>
      </c>
      <c r="S64" s="4258" t="str">
        <f t="shared" si="13"/>
        <v xml:space="preserve"> * El número de procedimientos de personas pertenecientes a pueblos originarios no debe superar el Total de procedimientos.  * El número de procedimientos de personas migrantes no debe superar el Total de procedimientos. </v>
      </c>
      <c r="T64" s="4992"/>
      <c r="U64" s="4992"/>
      <c r="V64" s="4992"/>
      <c r="W64" s="4992"/>
      <c r="X64" s="4992"/>
      <c r="Y64" s="4992"/>
      <c r="Z64" s="4992"/>
      <c r="AA64" s="4992"/>
      <c r="AB64" s="4992"/>
      <c r="AC64" s="4264"/>
      <c r="AD64" s="4264"/>
      <c r="CB64" s="4993" t="str">
        <f t="shared" si="14"/>
        <v/>
      </c>
      <c r="CC64" s="4993" t="str">
        <f t="shared" si="15"/>
        <v/>
      </c>
      <c r="CD64" s="5293" t="str">
        <f t="shared" si="16"/>
        <v xml:space="preserve"> * El número de procedimientos de personas pertenecientes a pueblos originarios no debe superar el Total de procedimientos. </v>
      </c>
      <c r="CE64" s="5293" t="str">
        <f t="shared" si="17"/>
        <v xml:space="preserve"> * El número de procedimientos de personas migrantes no debe superar el Total de procedimientos. </v>
      </c>
      <c r="CO64" s="4994">
        <f>IF(D64&lt;SUM(N64:P64),1,0)</f>
        <v>0</v>
      </c>
      <c r="CP64" s="4994">
        <f>IF(AND(D64&lt;&gt;0,OR(N64="",O64="",P64="")),1,0)</f>
        <v>0</v>
      </c>
      <c r="CQ64" s="4994">
        <f t="shared" si="18"/>
        <v>1</v>
      </c>
      <c r="CR64" s="4994">
        <f t="shared" si="19"/>
        <v>1</v>
      </c>
    </row>
    <row r="65" spans="1:105" customFormat="1" ht="27.6" customHeight="1" x14ac:dyDescent="0.3">
      <c r="B65" s="4268" t="s">
        <v>2717</v>
      </c>
      <c r="CB65" s="4295"/>
      <c r="CC65" s="4295"/>
      <c r="CD65" s="4295"/>
      <c r="CE65" s="4295"/>
      <c r="CF65" s="4295"/>
      <c r="CG65" s="4295"/>
      <c r="CH65" s="4295"/>
      <c r="CI65" s="4295"/>
      <c r="CJ65" s="4295"/>
      <c r="CK65" s="4295"/>
      <c r="CL65" s="4295"/>
      <c r="CM65" s="4295"/>
      <c r="CN65" s="4295"/>
      <c r="CO65" s="4295"/>
      <c r="CP65" s="4295"/>
      <c r="CQ65" s="4295"/>
      <c r="CR65" s="4295"/>
      <c r="CS65" s="4295"/>
      <c r="CT65" s="4295"/>
      <c r="CU65" s="4295"/>
      <c r="CV65" s="4295"/>
      <c r="CW65" s="4295"/>
      <c r="CX65" s="4295"/>
      <c r="CY65" s="4295"/>
      <c r="CZ65" s="4295"/>
      <c r="DA65" s="4295"/>
    </row>
    <row r="66" spans="1:105" customFormat="1" ht="14.4" x14ac:dyDescent="0.3">
      <c r="B66" s="10994" t="s">
        <v>1167</v>
      </c>
      <c r="C66" s="11021" t="s">
        <v>2718</v>
      </c>
      <c r="D66" s="11019" t="s">
        <v>2719</v>
      </c>
      <c r="E66" s="11019" t="s">
        <v>2771</v>
      </c>
      <c r="CB66" s="4295"/>
      <c r="CC66" s="4295"/>
      <c r="CD66" s="4295"/>
      <c r="CE66" s="4295"/>
      <c r="CF66" s="4295"/>
      <c r="CG66" s="4295"/>
      <c r="CH66" s="4295"/>
      <c r="CI66" s="4295"/>
      <c r="CJ66" s="4295"/>
      <c r="CK66" s="4295"/>
      <c r="CL66" s="4295"/>
      <c r="CM66" s="4295"/>
      <c r="CN66" s="4295"/>
      <c r="CO66" s="4295"/>
      <c r="CP66" s="4295"/>
      <c r="CQ66" s="4295"/>
      <c r="CR66" s="4295"/>
      <c r="CS66" s="4295"/>
      <c r="CT66" s="4295"/>
      <c r="CU66" s="4295"/>
      <c r="CV66" s="4295"/>
      <c r="CW66" s="4295"/>
      <c r="CX66" s="4295"/>
      <c r="CY66" s="4295"/>
      <c r="CZ66" s="4295"/>
      <c r="DA66" s="4295"/>
    </row>
    <row r="67" spans="1:105" customFormat="1" ht="45" customHeight="1" x14ac:dyDescent="0.3">
      <c r="B67" s="10994"/>
      <c r="C67" s="11022"/>
      <c r="D67" s="11020"/>
      <c r="E67" s="11020"/>
      <c r="CB67" s="4295"/>
      <c r="CC67" s="4295"/>
      <c r="CD67" s="4295"/>
      <c r="CE67" s="4295"/>
      <c r="CF67" s="4295"/>
      <c r="CG67" s="4295"/>
      <c r="CH67" s="4295"/>
      <c r="CI67" s="4295"/>
      <c r="CJ67" s="4295"/>
      <c r="CK67" s="4295"/>
      <c r="CL67" s="4295"/>
      <c r="CM67" s="4295"/>
      <c r="CN67" s="4295"/>
      <c r="CO67" s="4295"/>
      <c r="CP67" s="4295"/>
      <c r="CQ67" s="4295"/>
      <c r="CR67" s="4295"/>
      <c r="CS67" s="4295"/>
      <c r="CT67" s="4295"/>
      <c r="CU67" s="4295"/>
      <c r="CV67" s="4295"/>
      <c r="CW67" s="4295"/>
      <c r="CX67" s="4295"/>
      <c r="CY67" s="4295"/>
      <c r="CZ67" s="4295"/>
      <c r="DA67" s="4295"/>
    </row>
    <row r="68" spans="1:105" customFormat="1" ht="27" customHeight="1" x14ac:dyDescent="0.3">
      <c r="A68" s="7682">
        <v>29000034</v>
      </c>
      <c r="B68" s="11040" t="s">
        <v>38</v>
      </c>
      <c r="C68" s="5488" t="s">
        <v>2720</v>
      </c>
      <c r="D68" s="5489" t="s">
        <v>5369</v>
      </c>
      <c r="E68" s="5489" t="s">
        <v>5370</v>
      </c>
      <c r="CB68" s="4295"/>
      <c r="CC68" s="4295"/>
      <c r="CD68" s="4295"/>
      <c r="CE68" s="4295"/>
      <c r="CF68" s="4295"/>
      <c r="CG68" s="4295"/>
      <c r="CH68" s="4295"/>
      <c r="CI68" s="4295"/>
      <c r="CJ68" s="4295"/>
      <c r="CK68" s="4295"/>
      <c r="CL68" s="4295"/>
      <c r="CM68" s="4295"/>
      <c r="CN68" s="4295"/>
      <c r="CO68" s="4295"/>
      <c r="CP68" s="4295"/>
      <c r="CQ68" s="4295"/>
      <c r="CR68" s="4295"/>
      <c r="CS68" s="4295"/>
      <c r="CT68" s="4295"/>
      <c r="CU68" s="4295"/>
      <c r="CV68" s="4295"/>
      <c r="CW68" s="4295"/>
      <c r="CX68" s="4295"/>
      <c r="CY68" s="4295"/>
      <c r="CZ68" s="4295"/>
      <c r="DA68" s="4295"/>
    </row>
    <row r="69" spans="1:105" customFormat="1" ht="27.6" customHeight="1" x14ac:dyDescent="0.3">
      <c r="A69" s="7682">
        <v>29000035</v>
      </c>
      <c r="B69" s="11041"/>
      <c r="C69" s="5490" t="s">
        <v>2721</v>
      </c>
      <c r="D69" s="5491" t="s">
        <v>5369</v>
      </c>
      <c r="E69" s="5491" t="s">
        <v>5370</v>
      </c>
      <c r="BY69" s="4258"/>
      <c r="CB69" s="4295"/>
      <c r="CC69" s="4295"/>
      <c r="CD69" s="4295"/>
      <c r="CE69" s="4295"/>
      <c r="CF69" s="4295"/>
      <c r="CG69" s="4295"/>
      <c r="CH69" s="4295"/>
      <c r="CI69" s="4295"/>
      <c r="CJ69" s="4295"/>
      <c r="CK69" s="4295"/>
      <c r="CL69" s="4295"/>
      <c r="CM69" s="4295"/>
      <c r="CN69" s="4295"/>
      <c r="CO69" s="4295"/>
      <c r="CP69" s="4295"/>
      <c r="CQ69" s="4295"/>
      <c r="CR69" s="4295"/>
      <c r="CS69" s="4295"/>
      <c r="CT69" s="4295"/>
      <c r="CU69" s="4295"/>
      <c r="CV69" s="4295"/>
      <c r="CW69" s="4295"/>
      <c r="CX69" s="4295"/>
      <c r="CY69" s="4295"/>
      <c r="CZ69" s="4295"/>
      <c r="DA69" s="4295"/>
    </row>
    <row r="70" spans="1:105" customFormat="1" ht="22.95" customHeight="1" x14ac:dyDescent="0.3">
      <c r="A70" s="7682">
        <v>29000036</v>
      </c>
      <c r="B70" s="11041"/>
      <c r="C70" s="5492" t="s">
        <v>2722</v>
      </c>
      <c r="D70" s="5491" t="s">
        <v>5369</v>
      </c>
      <c r="E70" s="5491" t="s">
        <v>5370</v>
      </c>
      <c r="BY70" s="4258"/>
      <c r="CB70" s="4295"/>
      <c r="CC70" s="4295"/>
      <c r="CD70" s="4295"/>
      <c r="CE70" s="4295"/>
      <c r="CF70" s="4295"/>
      <c r="CG70" s="4295"/>
      <c r="CH70" s="4295"/>
      <c r="CI70" s="4295"/>
      <c r="CJ70" s="4295"/>
      <c r="CK70" s="4295"/>
      <c r="CL70" s="4295"/>
      <c r="CM70" s="4295"/>
      <c r="CN70" s="4295"/>
      <c r="CO70" s="4295"/>
      <c r="CP70" s="4295"/>
      <c r="CQ70" s="4295"/>
      <c r="CR70" s="4295"/>
      <c r="CS70" s="4295"/>
      <c r="CT70" s="4295"/>
      <c r="CU70" s="4295"/>
      <c r="CV70" s="4295"/>
      <c r="CW70" s="4295"/>
      <c r="CX70" s="4295"/>
      <c r="CY70" s="4295"/>
      <c r="CZ70" s="4295"/>
      <c r="DA70" s="4295"/>
    </row>
    <row r="71" spans="1:105" customFormat="1" ht="28.95" customHeight="1" x14ac:dyDescent="0.3">
      <c r="A71" s="7682">
        <v>29000037</v>
      </c>
      <c r="B71" s="11041"/>
      <c r="C71" s="5490" t="s">
        <v>2723</v>
      </c>
      <c r="D71" s="5491" t="s">
        <v>5369</v>
      </c>
      <c r="E71" s="5491" t="s">
        <v>5370</v>
      </c>
      <c r="BY71" s="4258"/>
      <c r="CB71" s="4295"/>
      <c r="CC71" s="4295"/>
      <c r="CD71" s="4295"/>
      <c r="CE71" s="4295"/>
      <c r="CF71" s="4295"/>
      <c r="CG71" s="4295"/>
      <c r="CH71" s="4295"/>
      <c r="CI71" s="4295"/>
      <c r="CJ71" s="4295"/>
      <c r="CK71" s="4295"/>
      <c r="CL71" s="4295"/>
      <c r="CM71" s="4295"/>
      <c r="CN71" s="4295"/>
      <c r="CO71" s="4295"/>
      <c r="CP71" s="4295"/>
      <c r="CQ71" s="4295"/>
      <c r="CR71" s="4295"/>
      <c r="CS71" s="4295"/>
      <c r="CT71" s="4295"/>
      <c r="CU71" s="4295"/>
      <c r="CV71" s="4295"/>
      <c r="CW71" s="4295"/>
      <c r="CX71" s="4295"/>
      <c r="CY71" s="4295"/>
      <c r="CZ71" s="4295"/>
      <c r="DA71" s="4295"/>
    </row>
    <row r="72" spans="1:105" customFormat="1" ht="28.95" customHeight="1" x14ac:dyDescent="0.3">
      <c r="A72" s="7320">
        <v>29101683</v>
      </c>
      <c r="B72" s="11041"/>
      <c r="C72" s="5490" t="s">
        <v>2744</v>
      </c>
      <c r="D72" s="5491" t="s">
        <v>5369</v>
      </c>
      <c r="E72" s="5491" t="s">
        <v>5370</v>
      </c>
      <c r="BY72" s="4258"/>
      <c r="CB72" s="4295"/>
      <c r="CC72" s="4295"/>
      <c r="CD72" s="4295"/>
      <c r="CE72" s="4295"/>
      <c r="CF72" s="4295"/>
      <c r="CG72" s="4295"/>
      <c r="CH72" s="4295"/>
      <c r="CI72" s="4295"/>
      <c r="CJ72" s="4295"/>
      <c r="CK72" s="4295"/>
      <c r="CL72" s="4295"/>
      <c r="CM72" s="4295"/>
      <c r="CN72" s="4295"/>
      <c r="CO72" s="4295"/>
      <c r="CP72" s="4295"/>
      <c r="CQ72" s="4295"/>
      <c r="CR72" s="4295"/>
      <c r="CS72" s="4295"/>
      <c r="CT72" s="4295"/>
      <c r="CU72" s="4295"/>
      <c r="CV72" s="4295"/>
      <c r="CW72" s="4295"/>
      <c r="CX72" s="4295"/>
      <c r="CY72" s="4295"/>
      <c r="CZ72" s="4295"/>
      <c r="DA72" s="4295"/>
    </row>
    <row r="73" spans="1:105" customFormat="1" ht="14.4" x14ac:dyDescent="0.3">
      <c r="A73" s="7682">
        <v>29000039</v>
      </c>
      <c r="B73" s="11041"/>
      <c r="C73" s="5493" t="s">
        <v>2724</v>
      </c>
      <c r="D73" s="5491" t="s">
        <v>5369</v>
      </c>
      <c r="E73" s="5491" t="s">
        <v>5370</v>
      </c>
      <c r="BY73" s="4258"/>
      <c r="CB73" s="4295"/>
      <c r="CC73" s="4295"/>
      <c r="CD73" s="4295"/>
      <c r="CE73" s="4295"/>
      <c r="CF73" s="4295"/>
      <c r="CG73" s="4295"/>
      <c r="CH73" s="4295"/>
      <c r="CI73" s="4295"/>
      <c r="CJ73" s="4295"/>
      <c r="CK73" s="4295"/>
      <c r="CL73" s="4295"/>
      <c r="CM73" s="4295"/>
      <c r="CN73" s="4295"/>
      <c r="CO73" s="4295"/>
      <c r="CP73" s="4295"/>
      <c r="CQ73" s="4295"/>
      <c r="CR73" s="4295"/>
      <c r="CS73" s="4295"/>
      <c r="CT73" s="4295"/>
      <c r="CU73" s="4295"/>
      <c r="CV73" s="4295"/>
      <c r="CW73" s="4295"/>
      <c r="CX73" s="4295"/>
      <c r="CY73" s="4295"/>
      <c r="CZ73" s="4295"/>
      <c r="DA73" s="4295"/>
    </row>
    <row r="74" spans="1:105" customFormat="1" ht="25.95" customHeight="1" x14ac:dyDescent="0.3">
      <c r="A74" s="7682">
        <v>29000040</v>
      </c>
      <c r="B74" s="11041"/>
      <c r="C74" s="5490" t="s">
        <v>2725</v>
      </c>
      <c r="D74" s="5491" t="s">
        <v>5369</v>
      </c>
      <c r="E74" s="5491" t="s">
        <v>5370</v>
      </c>
      <c r="BY74" s="4258"/>
      <c r="CB74" s="4295"/>
      <c r="CC74" s="4295"/>
      <c r="CD74" s="4295"/>
      <c r="CE74" s="4295"/>
      <c r="CF74" s="4295"/>
      <c r="CG74" s="4295"/>
      <c r="CH74" s="4295"/>
      <c r="CI74" s="4295"/>
      <c r="CJ74" s="4295"/>
      <c r="CK74" s="4295"/>
      <c r="CL74" s="4295"/>
      <c r="CM74" s="4295"/>
      <c r="CN74" s="4295"/>
      <c r="CO74" s="4295"/>
      <c r="CP74" s="4295"/>
      <c r="CQ74" s="4295"/>
      <c r="CR74" s="4295"/>
      <c r="CS74" s="4295"/>
      <c r="CT74" s="4295"/>
      <c r="CU74" s="4295"/>
      <c r="CV74" s="4295"/>
      <c r="CW74" s="4295"/>
      <c r="CX74" s="4295"/>
      <c r="CY74" s="4295"/>
      <c r="CZ74" s="4295"/>
      <c r="DA74" s="4295"/>
    </row>
    <row r="75" spans="1:105" customFormat="1" ht="27" customHeight="1" x14ac:dyDescent="0.3">
      <c r="A75" s="7320">
        <v>29101684</v>
      </c>
      <c r="B75" s="11041"/>
      <c r="C75" s="5490" t="s">
        <v>2745</v>
      </c>
      <c r="D75" s="5491" t="s">
        <v>5369</v>
      </c>
      <c r="E75" s="5491" t="s">
        <v>5370</v>
      </c>
      <c r="BY75" s="4258"/>
      <c r="CB75" s="4295"/>
      <c r="CC75" s="4295"/>
      <c r="CD75" s="4295"/>
      <c r="CE75" s="4295"/>
      <c r="CF75" s="4295"/>
      <c r="CG75" s="4295"/>
      <c r="CH75" s="4295"/>
      <c r="CI75" s="4295"/>
      <c r="CJ75" s="4295"/>
      <c r="CK75" s="4295"/>
      <c r="CL75" s="4295"/>
      <c r="CM75" s="4295"/>
      <c r="CN75" s="4295"/>
      <c r="CO75" s="4295"/>
      <c r="CP75" s="4295"/>
      <c r="CQ75" s="4295"/>
      <c r="CR75" s="4295"/>
      <c r="CS75" s="4295"/>
      <c r="CT75" s="4295"/>
      <c r="CU75" s="4295"/>
      <c r="CV75" s="4295"/>
      <c r="CW75" s="4295"/>
      <c r="CX75" s="4295"/>
      <c r="CY75" s="4295"/>
      <c r="CZ75" s="4295"/>
      <c r="DA75" s="4295"/>
    </row>
    <row r="76" spans="1:105" customFormat="1" ht="14.4" x14ac:dyDescent="0.3">
      <c r="A76" s="7682">
        <v>29000042</v>
      </c>
      <c r="B76" s="11041"/>
      <c r="C76" s="5493" t="s">
        <v>2726</v>
      </c>
      <c r="D76" s="5491" t="s">
        <v>5369</v>
      </c>
      <c r="E76" s="5491" t="s">
        <v>5370</v>
      </c>
      <c r="BY76" s="4258"/>
      <c r="CB76" s="4295"/>
      <c r="CC76" s="4295"/>
      <c r="CD76" s="4295"/>
      <c r="CE76" s="4295"/>
      <c r="CF76" s="4295"/>
      <c r="CG76" s="4295"/>
      <c r="CH76" s="4295"/>
      <c r="CI76" s="4295"/>
      <c r="CJ76" s="4295"/>
      <c r="CK76" s="4295"/>
      <c r="CL76" s="4295"/>
      <c r="CM76" s="4295"/>
      <c r="CN76" s="4295"/>
      <c r="CO76" s="4295"/>
      <c r="CP76" s="4295"/>
      <c r="CQ76" s="4295"/>
      <c r="CR76" s="4295"/>
      <c r="CS76" s="4295"/>
      <c r="CT76" s="4295"/>
      <c r="CU76" s="4295"/>
      <c r="CV76" s="4295"/>
      <c r="CW76" s="4295"/>
      <c r="CX76" s="4295"/>
      <c r="CY76" s="4295"/>
      <c r="CZ76" s="4295"/>
      <c r="DA76" s="4295"/>
    </row>
    <row r="77" spans="1:105" customFormat="1" ht="14.4" x14ac:dyDescent="0.3">
      <c r="A77" s="7682">
        <v>29000043</v>
      </c>
      <c r="B77" s="11041"/>
      <c r="C77" s="5493" t="s">
        <v>2727</v>
      </c>
      <c r="D77" s="5491" t="s">
        <v>5369</v>
      </c>
      <c r="E77" s="5491" t="s">
        <v>5370</v>
      </c>
      <c r="BY77" s="4258"/>
      <c r="CB77" s="4295"/>
      <c r="CC77" s="4295"/>
      <c r="CD77" s="4295"/>
      <c r="CE77" s="4295"/>
      <c r="CF77" s="4295"/>
      <c r="CG77" s="4295"/>
      <c r="CH77" s="4295"/>
      <c r="CI77" s="4295"/>
      <c r="CJ77" s="4295"/>
      <c r="CK77" s="4295"/>
      <c r="CL77" s="4295"/>
      <c r="CM77" s="4295"/>
      <c r="CN77" s="4295"/>
      <c r="CO77" s="4295"/>
      <c r="CP77" s="4295"/>
      <c r="CQ77" s="4295"/>
      <c r="CR77" s="4295"/>
      <c r="CS77" s="4295"/>
      <c r="CT77" s="4295"/>
      <c r="CU77" s="4295"/>
      <c r="CV77" s="4295"/>
      <c r="CW77" s="4295"/>
      <c r="CX77" s="4295"/>
      <c r="CY77" s="4295"/>
      <c r="CZ77" s="4295"/>
      <c r="DA77" s="4295"/>
    </row>
    <row r="78" spans="1:105" customFormat="1" ht="14.4" x14ac:dyDescent="0.3">
      <c r="A78" s="7682">
        <v>29101050</v>
      </c>
      <c r="B78" s="11041"/>
      <c r="C78" s="5493" t="s">
        <v>2728</v>
      </c>
      <c r="D78" s="5494" t="s">
        <v>5369</v>
      </c>
      <c r="E78" s="5494" t="s">
        <v>5370</v>
      </c>
      <c r="BY78" s="4258"/>
      <c r="CB78" s="4295"/>
      <c r="CC78" s="4295"/>
      <c r="CD78" s="4295"/>
      <c r="CE78" s="4295"/>
      <c r="CF78" s="4295"/>
      <c r="CG78" s="4295"/>
      <c r="CH78" s="4295"/>
      <c r="CI78" s="4295"/>
      <c r="CJ78" s="4295"/>
      <c r="CK78" s="4295"/>
      <c r="CL78" s="4295"/>
      <c r="CM78" s="4295"/>
      <c r="CN78" s="4295"/>
      <c r="CO78" s="4295"/>
      <c r="CP78" s="4295"/>
      <c r="CQ78" s="4295"/>
      <c r="CR78" s="4295"/>
      <c r="CS78" s="4295"/>
      <c r="CT78" s="4295"/>
      <c r="CU78" s="4295"/>
      <c r="CV78" s="4295"/>
      <c r="CW78" s="4295"/>
      <c r="CX78" s="4295"/>
      <c r="CY78" s="4295"/>
      <c r="CZ78" s="4295"/>
      <c r="DA78" s="4295"/>
    </row>
    <row r="79" spans="1:105" customFormat="1" ht="14.4" x14ac:dyDescent="0.3">
      <c r="A79" s="7682">
        <v>29101060</v>
      </c>
      <c r="B79" s="11041"/>
      <c r="C79" s="5493" t="s">
        <v>2729</v>
      </c>
      <c r="D79" s="5494" t="s">
        <v>5369</v>
      </c>
      <c r="E79" s="5494" t="s">
        <v>5370</v>
      </c>
      <c r="BY79" s="4258"/>
      <c r="CB79" s="4295"/>
      <c r="CC79" s="4295"/>
      <c r="CD79" s="4295"/>
      <c r="CE79" s="4295"/>
      <c r="CF79" s="4295"/>
      <c r="CG79" s="4295"/>
      <c r="CH79" s="4295"/>
      <c r="CI79" s="4295"/>
      <c r="CJ79" s="4295"/>
      <c r="CK79" s="4295"/>
      <c r="CL79" s="4295"/>
      <c r="CM79" s="4295"/>
      <c r="CN79" s="4295"/>
      <c r="CO79" s="4295"/>
      <c r="CP79" s="4295"/>
      <c r="CQ79" s="4295"/>
      <c r="CR79" s="4295"/>
      <c r="CS79" s="4295"/>
      <c r="CT79" s="4295"/>
      <c r="CU79" s="4295"/>
      <c r="CV79" s="4295"/>
      <c r="CW79" s="4295"/>
      <c r="CX79" s="4295"/>
      <c r="CY79" s="4295"/>
      <c r="CZ79" s="4295"/>
      <c r="DA79" s="4295"/>
    </row>
    <row r="80" spans="1:105" customFormat="1" ht="14.4" x14ac:dyDescent="0.3">
      <c r="A80" s="7682">
        <v>29000054</v>
      </c>
      <c r="B80" s="11041"/>
      <c r="C80" s="5493" t="s">
        <v>2730</v>
      </c>
      <c r="D80" s="5494" t="s">
        <v>5369</v>
      </c>
      <c r="E80" s="5494" t="s">
        <v>5370</v>
      </c>
      <c r="BY80" s="4258"/>
      <c r="CB80" s="4295"/>
      <c r="CC80" s="4295"/>
      <c r="CD80" s="4295"/>
      <c r="CE80" s="4295"/>
      <c r="CF80" s="4295"/>
      <c r="CG80" s="4295"/>
      <c r="CH80" s="4295"/>
      <c r="CI80" s="4295"/>
      <c r="CJ80" s="4295"/>
      <c r="CK80" s="4295"/>
      <c r="CL80" s="4295"/>
      <c r="CM80" s="4295"/>
      <c r="CN80" s="4295"/>
      <c r="CO80" s="4295"/>
      <c r="CP80" s="4295"/>
      <c r="CQ80" s="4295"/>
      <c r="CR80" s="4295"/>
      <c r="CS80" s="4295"/>
      <c r="CT80" s="4295"/>
      <c r="CU80" s="4295"/>
      <c r="CV80" s="4295"/>
      <c r="CW80" s="4295"/>
      <c r="CX80" s="4295"/>
      <c r="CY80" s="4295"/>
      <c r="CZ80" s="4295"/>
      <c r="DA80" s="4295"/>
    </row>
    <row r="81" spans="1:105" customFormat="1" ht="14.4" x14ac:dyDescent="0.3">
      <c r="A81" s="7682">
        <v>29000055</v>
      </c>
      <c r="B81" s="11041"/>
      <c r="C81" s="5493" t="s">
        <v>2731</v>
      </c>
      <c r="D81" s="5494" t="s">
        <v>5369</v>
      </c>
      <c r="E81" s="5494" t="s">
        <v>5370</v>
      </c>
      <c r="BY81" s="4258"/>
      <c r="CB81" s="4295"/>
      <c r="CC81" s="4295"/>
      <c r="CD81" s="4295"/>
      <c r="CE81" s="4295"/>
      <c r="CF81" s="4295"/>
      <c r="CG81" s="4295"/>
      <c r="CH81" s="4295"/>
      <c r="CI81" s="4295"/>
      <c r="CJ81" s="4295"/>
      <c r="CK81" s="4295"/>
      <c r="CL81" s="4295"/>
      <c r="CM81" s="4295"/>
      <c r="CN81" s="4295"/>
      <c r="CO81" s="4295"/>
      <c r="CP81" s="4295"/>
      <c r="CQ81" s="4295"/>
      <c r="CR81" s="4295"/>
      <c r="CS81" s="4295"/>
      <c r="CT81" s="4295"/>
      <c r="CU81" s="4295"/>
      <c r="CV81" s="4295"/>
      <c r="CW81" s="4295"/>
      <c r="CX81" s="4295"/>
      <c r="CY81" s="4295"/>
      <c r="CZ81" s="4295"/>
      <c r="DA81" s="4295"/>
    </row>
    <row r="82" spans="1:105" customFormat="1" ht="14.4" x14ac:dyDescent="0.3">
      <c r="A82" s="7682">
        <v>29000056</v>
      </c>
      <c r="B82" s="11041"/>
      <c r="C82" s="5493" t="s">
        <v>2732</v>
      </c>
      <c r="D82" s="5494" t="s">
        <v>5369</v>
      </c>
      <c r="E82" s="5494" t="s">
        <v>5370</v>
      </c>
      <c r="BY82" s="4258"/>
      <c r="CB82" s="4295"/>
      <c r="CC82" s="4295"/>
      <c r="CD82" s="4295"/>
      <c r="CE82" s="4295"/>
      <c r="CF82" s="4295"/>
      <c r="CG82" s="4295"/>
      <c r="CH82" s="4295"/>
      <c r="CI82" s="4295"/>
      <c r="CJ82" s="4295"/>
      <c r="CK82" s="4295"/>
      <c r="CL82" s="4295"/>
      <c r="CM82" s="4295"/>
      <c r="CN82" s="4295"/>
      <c r="CO82" s="4295"/>
      <c r="CP82" s="4295"/>
      <c r="CQ82" s="4295"/>
      <c r="CR82" s="4295"/>
      <c r="CS82" s="4295"/>
      <c r="CT82" s="4295"/>
      <c r="CU82" s="4295"/>
      <c r="CV82" s="4295"/>
      <c r="CW82" s="4295"/>
      <c r="CX82" s="4295"/>
      <c r="CY82" s="4295"/>
      <c r="CZ82" s="4295"/>
      <c r="DA82" s="4295"/>
    </row>
    <row r="83" spans="1:105" customFormat="1" ht="27" customHeight="1" x14ac:dyDescent="0.3">
      <c r="A83" s="7682">
        <v>29101070</v>
      </c>
      <c r="B83" s="11041"/>
      <c r="C83" s="5490" t="s">
        <v>2733</v>
      </c>
      <c r="D83" s="5494" t="s">
        <v>5369</v>
      </c>
      <c r="E83" s="5494" t="s">
        <v>5370</v>
      </c>
      <c r="BY83" s="4258"/>
      <c r="CB83" s="4295"/>
      <c r="CC83" s="4295"/>
      <c r="CD83" s="4295"/>
      <c r="CE83" s="4295"/>
      <c r="CF83" s="4295"/>
      <c r="CG83" s="4295"/>
      <c r="CH83" s="4295"/>
      <c r="CI83" s="4295"/>
      <c r="CJ83" s="4295"/>
      <c r="CK83" s="4295"/>
      <c r="CL83" s="4295"/>
      <c r="CM83" s="4295"/>
      <c r="CN83" s="4295"/>
      <c r="CO83" s="4295"/>
      <c r="CP83" s="4295"/>
      <c r="CQ83" s="4295"/>
      <c r="CR83" s="4295"/>
      <c r="CS83" s="4295"/>
      <c r="CT83" s="4295"/>
      <c r="CU83" s="4295"/>
      <c r="CV83" s="4295"/>
      <c r="CW83" s="4295"/>
      <c r="CX83" s="4295"/>
      <c r="CY83" s="4295"/>
      <c r="CZ83" s="4295"/>
      <c r="DA83" s="4295"/>
    </row>
    <row r="84" spans="1:105" customFormat="1" ht="27.6" customHeight="1" x14ac:dyDescent="0.3">
      <c r="A84" s="7682">
        <v>29101080</v>
      </c>
      <c r="B84" s="11041"/>
      <c r="C84" s="5490" t="s">
        <v>2734</v>
      </c>
      <c r="D84" s="5494" t="s">
        <v>5369</v>
      </c>
      <c r="E84" s="5494" t="s">
        <v>5370</v>
      </c>
      <c r="BY84" s="4258"/>
      <c r="CB84" s="4295"/>
      <c r="CC84" s="4295"/>
      <c r="CD84" s="4295"/>
      <c r="CE84" s="4295"/>
      <c r="CF84" s="4295"/>
      <c r="CG84" s="4295"/>
      <c r="CH84" s="4295"/>
      <c r="CI84" s="4295"/>
      <c r="CJ84" s="4295"/>
      <c r="CK84" s="4295"/>
      <c r="CL84" s="4295"/>
      <c r="CM84" s="4295"/>
      <c r="CN84" s="4295"/>
      <c r="CO84" s="4295"/>
      <c r="CP84" s="4295"/>
      <c r="CQ84" s="4295"/>
      <c r="CR84" s="4295"/>
      <c r="CS84" s="4295"/>
      <c r="CT84" s="4295"/>
      <c r="CU84" s="4295"/>
      <c r="CV84" s="4295"/>
      <c r="CW84" s="4295"/>
      <c r="CX84" s="4295"/>
      <c r="CY84" s="4295"/>
      <c r="CZ84" s="4295"/>
      <c r="DA84" s="4295"/>
    </row>
    <row r="85" spans="1:105" customFormat="1" ht="16.2" customHeight="1" x14ac:dyDescent="0.3">
      <c r="A85" s="7682">
        <v>29101090</v>
      </c>
      <c r="B85" s="11041"/>
      <c r="C85" s="5493" t="s">
        <v>2735</v>
      </c>
      <c r="D85" s="5494" t="s">
        <v>5369</v>
      </c>
      <c r="E85" s="5494" t="s">
        <v>5370</v>
      </c>
      <c r="BY85" s="4258"/>
      <c r="CB85" s="4295"/>
      <c r="CC85" s="4295"/>
      <c r="CD85" s="4295"/>
      <c r="CE85" s="4295"/>
      <c r="CF85" s="4295"/>
      <c r="CG85" s="4295"/>
      <c r="CH85" s="4295"/>
      <c r="CI85" s="4295"/>
      <c r="CJ85" s="4295"/>
      <c r="CK85" s="4295"/>
      <c r="CL85" s="4295"/>
      <c r="CM85" s="4295"/>
      <c r="CN85" s="4295"/>
      <c r="CO85" s="4295"/>
      <c r="CP85" s="4295"/>
      <c r="CQ85" s="4295"/>
      <c r="CR85" s="4295"/>
      <c r="CS85" s="4295"/>
      <c r="CT85" s="4295"/>
      <c r="CU85" s="4295"/>
      <c r="CV85" s="4295"/>
      <c r="CW85" s="4295"/>
      <c r="CX85" s="4295"/>
      <c r="CY85" s="4295"/>
      <c r="CZ85" s="4295"/>
      <c r="DA85" s="4295"/>
    </row>
    <row r="86" spans="1:105" customFormat="1" ht="14.4" x14ac:dyDescent="0.3">
      <c r="A86" s="7682">
        <v>29101100</v>
      </c>
      <c r="B86" s="11041"/>
      <c r="C86" s="5493" t="s">
        <v>2736</v>
      </c>
      <c r="D86" s="5494" t="s">
        <v>5369</v>
      </c>
      <c r="E86" s="5494" t="s">
        <v>5370</v>
      </c>
      <c r="BY86" s="4258"/>
      <c r="CB86" s="4295"/>
      <c r="CC86" s="4295"/>
      <c r="CD86" s="4295"/>
      <c r="CE86" s="4295"/>
      <c r="CF86" s="4295"/>
      <c r="CG86" s="4295"/>
      <c r="CH86" s="4295"/>
      <c r="CI86" s="4295"/>
      <c r="CJ86" s="4295"/>
      <c r="CK86" s="4295"/>
      <c r="CL86" s="4295"/>
      <c r="CM86" s="4295"/>
      <c r="CN86" s="4295"/>
      <c r="CO86" s="4295"/>
      <c r="CP86" s="4295"/>
      <c r="CQ86" s="4295"/>
      <c r="CR86" s="4295"/>
      <c r="CS86" s="4295"/>
      <c r="CT86" s="4295"/>
      <c r="CU86" s="4295"/>
      <c r="CV86" s="4295"/>
      <c r="CW86" s="4295"/>
      <c r="CX86" s="4295"/>
      <c r="CY86" s="4295"/>
      <c r="CZ86" s="4295"/>
      <c r="DA86" s="4295"/>
    </row>
    <row r="87" spans="1:105" customFormat="1" ht="27.6" customHeight="1" x14ac:dyDescent="0.3">
      <c r="A87" s="7682">
        <v>29101110</v>
      </c>
      <c r="B87" s="11042"/>
      <c r="C87" s="5495" t="s">
        <v>2737</v>
      </c>
      <c r="D87" s="5496" t="s">
        <v>5369</v>
      </c>
      <c r="E87" s="5496" t="s">
        <v>5370</v>
      </c>
      <c r="BY87" s="4258"/>
      <c r="CB87" s="4295"/>
      <c r="CC87" s="4295"/>
      <c r="CD87" s="4295"/>
      <c r="CE87" s="4295"/>
      <c r="CF87" s="4295"/>
      <c r="CG87" s="4295"/>
      <c r="CH87" s="4295"/>
      <c r="CI87" s="4295"/>
      <c r="CJ87" s="4295"/>
      <c r="CK87" s="4295"/>
      <c r="CL87" s="4295"/>
      <c r="CM87" s="4295"/>
      <c r="CN87" s="4295"/>
      <c r="CO87" s="4295"/>
      <c r="CP87" s="4295"/>
      <c r="CQ87" s="4295"/>
      <c r="CR87" s="4295"/>
      <c r="CS87" s="4295"/>
      <c r="CT87" s="4295"/>
      <c r="CU87" s="4295"/>
      <c r="CV87" s="4295"/>
      <c r="CW87" s="4295"/>
      <c r="CX87" s="4295"/>
      <c r="CY87" s="4295"/>
      <c r="CZ87" s="4295"/>
      <c r="DA87" s="4295"/>
    </row>
    <row r="88" spans="1:105" customFormat="1" ht="14.4" x14ac:dyDescent="0.3">
      <c r="A88" s="7682">
        <v>29000045</v>
      </c>
      <c r="B88" s="11038" t="s">
        <v>2738</v>
      </c>
      <c r="C88" s="5497" t="s">
        <v>2739</v>
      </c>
      <c r="D88" s="5498" t="s">
        <v>5369</v>
      </c>
      <c r="E88" s="5498" t="s">
        <v>5370</v>
      </c>
      <c r="BY88" s="4258"/>
      <c r="CB88" s="4295"/>
      <c r="CC88" s="4295"/>
      <c r="CD88" s="4295"/>
      <c r="CE88" s="4295"/>
      <c r="CF88" s="4295"/>
      <c r="CG88" s="4295"/>
      <c r="CH88" s="4295"/>
      <c r="CI88" s="4295"/>
      <c r="CJ88" s="4295"/>
      <c r="CK88" s="4295"/>
      <c r="CL88" s="4295"/>
      <c r="CM88" s="4295"/>
      <c r="CN88" s="4295"/>
      <c r="CO88" s="4295"/>
      <c r="CP88" s="4295"/>
      <c r="CQ88" s="4295"/>
      <c r="CR88" s="4295"/>
      <c r="CS88" s="4295"/>
      <c r="CT88" s="4295"/>
      <c r="CU88" s="4295"/>
      <c r="CV88" s="4295"/>
      <c r="CW88" s="4295"/>
      <c r="CX88" s="4295"/>
      <c r="CY88" s="4295"/>
      <c r="CZ88" s="4295"/>
      <c r="DA88" s="4295"/>
    </row>
    <row r="89" spans="1:105" customFormat="1" ht="14.4" customHeight="1" x14ac:dyDescent="0.3">
      <c r="A89" s="7682">
        <v>29000046</v>
      </c>
      <c r="B89" s="10749"/>
      <c r="C89" s="5499" t="s">
        <v>2740</v>
      </c>
      <c r="D89" s="5491" t="s">
        <v>5369</v>
      </c>
      <c r="E89" s="5491" t="s">
        <v>5370</v>
      </c>
      <c r="BY89" s="4258"/>
      <c r="CB89" s="4295"/>
      <c r="CC89" s="4295"/>
      <c r="CD89" s="4295"/>
      <c r="CE89" s="4295"/>
      <c r="CF89" s="4295"/>
      <c r="CG89" s="4295"/>
      <c r="CH89" s="4295"/>
      <c r="CI89" s="4295"/>
      <c r="CJ89" s="4295"/>
      <c r="CK89" s="4295"/>
      <c r="CL89" s="4295"/>
      <c r="CM89" s="4295"/>
      <c r="CN89" s="4295"/>
      <c r="CO89" s="4295"/>
      <c r="CP89" s="4295"/>
      <c r="CQ89" s="4295"/>
      <c r="CR89" s="4295"/>
      <c r="CS89" s="4295"/>
      <c r="CT89" s="4295"/>
      <c r="CU89" s="4295"/>
      <c r="CV89" s="4295"/>
      <c r="CW89" s="4295"/>
      <c r="CX89" s="4295"/>
      <c r="CY89" s="4295"/>
      <c r="CZ89" s="4295"/>
      <c r="DA89" s="4295"/>
    </row>
    <row r="90" spans="1:105" customFormat="1" ht="14.4" x14ac:dyDescent="0.3">
      <c r="A90" s="7682">
        <v>29000060</v>
      </c>
      <c r="B90" s="10749"/>
      <c r="C90" s="5499" t="s">
        <v>2741</v>
      </c>
      <c r="D90" s="5494" t="s">
        <v>5369</v>
      </c>
      <c r="E90" s="5494" t="s">
        <v>5370</v>
      </c>
      <c r="BY90" s="4258"/>
      <c r="CB90" s="4295"/>
      <c r="CC90" s="4295"/>
      <c r="CD90" s="4295"/>
      <c r="CE90" s="4295"/>
      <c r="CF90" s="4295"/>
      <c r="CG90" s="4295"/>
      <c r="CH90" s="4295"/>
      <c r="CI90" s="4295"/>
      <c r="CJ90" s="4295"/>
      <c r="CK90" s="4295"/>
      <c r="CL90" s="4295"/>
      <c r="CM90" s="4295"/>
      <c r="CN90" s="4295"/>
      <c r="CO90" s="4295"/>
      <c r="CP90" s="4295"/>
      <c r="CQ90" s="4295"/>
      <c r="CR90" s="4295"/>
      <c r="CS90" s="4295"/>
      <c r="CT90" s="4295"/>
      <c r="CU90" s="4295"/>
      <c r="CV90" s="4295"/>
      <c r="CW90" s="4295"/>
      <c r="CX90" s="4295"/>
      <c r="CY90" s="4295"/>
      <c r="CZ90" s="4295"/>
      <c r="DA90" s="4295"/>
    </row>
    <row r="91" spans="1:105" customFormat="1" ht="14.4" customHeight="1" x14ac:dyDescent="0.3">
      <c r="A91" s="7682">
        <v>29000047</v>
      </c>
      <c r="B91" s="10749"/>
      <c r="C91" s="5500" t="s">
        <v>2742</v>
      </c>
      <c r="D91" s="5494" t="s">
        <v>5369</v>
      </c>
      <c r="E91" s="5494" t="s">
        <v>5370</v>
      </c>
      <c r="BY91" s="4258"/>
      <c r="CB91" s="4295"/>
      <c r="CC91" s="4295"/>
      <c r="CD91" s="4295"/>
      <c r="CE91" s="4295"/>
      <c r="CF91" s="4295"/>
      <c r="CG91" s="4295"/>
      <c r="CH91" s="4295"/>
      <c r="CI91" s="4295"/>
      <c r="CJ91" s="4295"/>
      <c r="CK91" s="4295"/>
      <c r="CL91" s="4295"/>
      <c r="CM91" s="4295"/>
      <c r="CN91" s="4295"/>
      <c r="CO91" s="4295"/>
      <c r="CP91" s="4295"/>
      <c r="CQ91" s="4295"/>
      <c r="CR91" s="4295"/>
      <c r="CS91" s="4295"/>
      <c r="CT91" s="4295"/>
      <c r="CU91" s="4295"/>
      <c r="CV91" s="4295"/>
      <c r="CW91" s="4295"/>
      <c r="CX91" s="4295"/>
      <c r="CY91" s="4295"/>
      <c r="CZ91" s="4295"/>
      <c r="DA91" s="4295"/>
    </row>
    <row r="92" spans="1:105" customFormat="1" ht="18" customHeight="1" x14ac:dyDescent="0.3">
      <c r="A92" s="7682">
        <v>29101200</v>
      </c>
      <c r="B92" s="10749"/>
      <c r="C92" s="5501" t="s">
        <v>2743</v>
      </c>
      <c r="D92" s="5502" t="s">
        <v>5369</v>
      </c>
      <c r="E92" s="5502" t="s">
        <v>5370</v>
      </c>
      <c r="BY92" s="4258"/>
      <c r="CB92" s="4295"/>
      <c r="CC92" s="4295"/>
      <c r="CD92" s="4295"/>
      <c r="CE92" s="4295"/>
      <c r="CF92" s="4295"/>
      <c r="CG92" s="4295"/>
      <c r="CH92" s="4295"/>
      <c r="CI92" s="4295"/>
      <c r="CJ92" s="4295"/>
      <c r="CK92" s="4295"/>
      <c r="CL92" s="4295"/>
      <c r="CM92" s="4295"/>
      <c r="CN92" s="4295"/>
      <c r="CO92" s="4295"/>
      <c r="CP92" s="4295"/>
      <c r="CQ92" s="4295"/>
      <c r="CR92" s="4295"/>
      <c r="CS92" s="4295"/>
      <c r="CT92" s="4295"/>
      <c r="CU92" s="4295"/>
      <c r="CV92" s="4295"/>
      <c r="CW92" s="4295"/>
      <c r="CX92" s="4295"/>
      <c r="CY92" s="4295"/>
      <c r="CZ92" s="4295"/>
      <c r="DA92" s="4295"/>
    </row>
    <row r="93" spans="1:105" customFormat="1" ht="13.95" customHeight="1" x14ac:dyDescent="0.3">
      <c r="A93" s="7682">
        <v>29000061</v>
      </c>
      <c r="B93" s="10749"/>
      <c r="C93" s="5499" t="s">
        <v>2746</v>
      </c>
      <c r="D93" s="5503" t="s">
        <v>5369</v>
      </c>
      <c r="E93" s="5504" t="s">
        <v>5370</v>
      </c>
      <c r="M93" s="4264"/>
      <c r="BY93" s="4258"/>
      <c r="CB93" s="4295"/>
      <c r="CC93" s="4295"/>
      <c r="CD93" s="4295"/>
      <c r="CE93" s="4295"/>
      <c r="CF93" s="4295"/>
      <c r="CG93" s="4295"/>
      <c r="CH93" s="4295"/>
      <c r="CI93" s="4295"/>
      <c r="CJ93" s="4295"/>
      <c r="CK93" s="4295"/>
      <c r="CL93" s="4295"/>
      <c r="CM93" s="4295"/>
      <c r="CN93" s="4295"/>
      <c r="CO93" s="4295"/>
      <c r="CP93" s="4295"/>
      <c r="CQ93" s="4295"/>
      <c r="CR93" s="4295"/>
      <c r="CS93" s="4295"/>
      <c r="CT93" s="4295"/>
      <c r="CU93" s="4295"/>
      <c r="CV93" s="4295"/>
      <c r="CW93" s="4295"/>
      <c r="CX93" s="4295"/>
      <c r="CY93" s="4295"/>
      <c r="CZ93" s="4295"/>
      <c r="DA93" s="4295"/>
    </row>
    <row r="94" spans="1:105" customFormat="1" ht="13.95" customHeight="1" x14ac:dyDescent="0.3">
      <c r="A94" s="7736">
        <v>29101685</v>
      </c>
      <c r="B94" s="10749"/>
      <c r="C94" s="7733" t="s">
        <v>2772</v>
      </c>
      <c r="D94" s="5503" t="s">
        <v>5369</v>
      </c>
      <c r="E94" s="5504" t="s">
        <v>5370</v>
      </c>
      <c r="M94" s="4264"/>
      <c r="BY94" s="4258"/>
      <c r="CB94" s="4295"/>
      <c r="CC94" s="4295"/>
      <c r="CD94" s="4295"/>
      <c r="CE94" s="4295"/>
      <c r="CF94" s="4295"/>
      <c r="CG94" s="4295"/>
      <c r="CH94" s="4295"/>
      <c r="CI94" s="4295"/>
      <c r="CJ94" s="4295"/>
      <c r="CK94" s="4295"/>
      <c r="CL94" s="4295"/>
      <c r="CM94" s="4295"/>
      <c r="CN94" s="4295"/>
      <c r="CO94" s="4295"/>
      <c r="CP94" s="4295"/>
      <c r="CQ94" s="4295"/>
      <c r="CR94" s="4295"/>
      <c r="CS94" s="4295"/>
      <c r="CT94" s="4295"/>
      <c r="CU94" s="4295"/>
      <c r="CV94" s="4295"/>
      <c r="CW94" s="4295"/>
      <c r="CX94" s="4295"/>
      <c r="CY94" s="4295"/>
      <c r="CZ94" s="4295"/>
      <c r="DA94" s="4295"/>
    </row>
    <row r="95" spans="1:105" customFormat="1" ht="13.95" customHeight="1" x14ac:dyDescent="0.3">
      <c r="A95" s="7736">
        <v>29101686</v>
      </c>
      <c r="B95" s="10749"/>
      <c r="C95" s="7733" t="s">
        <v>2773</v>
      </c>
      <c r="D95" s="5503" t="s">
        <v>5369</v>
      </c>
      <c r="E95" s="5504" t="s">
        <v>5370</v>
      </c>
      <c r="M95" s="4264"/>
      <c r="BY95" s="4258"/>
      <c r="CB95" s="4295"/>
      <c r="CC95" s="4295"/>
      <c r="CD95" s="4295"/>
      <c r="CE95" s="4295"/>
      <c r="CF95" s="4295"/>
      <c r="CG95" s="4295"/>
      <c r="CH95" s="4295"/>
      <c r="CI95" s="4295"/>
      <c r="CJ95" s="4295"/>
      <c r="CK95" s="4295"/>
      <c r="CL95" s="4295"/>
      <c r="CM95" s="4295"/>
      <c r="CN95" s="4295"/>
      <c r="CO95" s="4295"/>
      <c r="CP95" s="4295"/>
      <c r="CQ95" s="4295"/>
      <c r="CR95" s="4295"/>
      <c r="CS95" s="4295"/>
      <c r="CT95" s="4295"/>
      <c r="CU95" s="4295"/>
      <c r="CV95" s="4295"/>
      <c r="CW95" s="4295"/>
      <c r="CX95" s="4295"/>
      <c r="CY95" s="4295"/>
      <c r="CZ95" s="4295"/>
      <c r="DA95" s="4295"/>
    </row>
    <row r="96" spans="1:105" customFormat="1" ht="13.95" customHeight="1" x14ac:dyDescent="0.3">
      <c r="A96" s="7736">
        <v>29101687</v>
      </c>
      <c r="B96" s="10749"/>
      <c r="C96" s="7733" t="s">
        <v>2774</v>
      </c>
      <c r="D96" s="5503" t="s">
        <v>5369</v>
      </c>
      <c r="E96" s="5504" t="s">
        <v>5370</v>
      </c>
      <c r="M96" s="4264"/>
      <c r="BY96" s="4258"/>
      <c r="CB96" s="4295"/>
      <c r="CC96" s="4295"/>
      <c r="CD96" s="4295"/>
      <c r="CE96" s="4295"/>
      <c r="CF96" s="4295"/>
      <c r="CG96" s="4295"/>
      <c r="CH96" s="4295"/>
      <c r="CI96" s="4295"/>
      <c r="CJ96" s="4295"/>
      <c r="CK96" s="4295"/>
      <c r="CL96" s="4295"/>
      <c r="CM96" s="4295"/>
      <c r="CN96" s="4295"/>
      <c r="CO96" s="4295"/>
      <c r="CP96" s="4295"/>
      <c r="CQ96" s="4295"/>
      <c r="CR96" s="4295"/>
      <c r="CS96" s="4295"/>
      <c r="CT96" s="4295"/>
      <c r="CU96" s="4295"/>
      <c r="CV96" s="4295"/>
      <c r="CW96" s="4295"/>
      <c r="CX96" s="4295"/>
      <c r="CY96" s="4295"/>
      <c r="CZ96" s="4295"/>
      <c r="DA96" s="4295"/>
    </row>
    <row r="97" spans="1:105" customFormat="1" ht="13.95" customHeight="1" x14ac:dyDescent="0.3">
      <c r="A97" s="7736">
        <v>29101688</v>
      </c>
      <c r="B97" s="10749"/>
      <c r="C97" s="7733" t="s">
        <v>2775</v>
      </c>
      <c r="D97" s="5503" t="s">
        <v>5369</v>
      </c>
      <c r="E97" s="5504" t="s">
        <v>5370</v>
      </c>
      <c r="M97" s="4264"/>
      <c r="BY97" s="4258"/>
      <c r="CB97" s="4295"/>
      <c r="CC97" s="4295"/>
      <c r="CD97" s="4295"/>
      <c r="CE97" s="4295"/>
      <c r="CF97" s="4295"/>
      <c r="CG97" s="4295"/>
      <c r="CH97" s="4295"/>
      <c r="CI97" s="4295"/>
      <c r="CJ97" s="4295"/>
      <c r="CK97" s="4295"/>
      <c r="CL97" s="4295"/>
      <c r="CM97" s="4295"/>
      <c r="CN97" s="4295"/>
      <c r="CO97" s="4295"/>
      <c r="CP97" s="4295"/>
      <c r="CQ97" s="4295"/>
      <c r="CR97" s="4295"/>
      <c r="CS97" s="4295"/>
      <c r="CT97" s="4295"/>
      <c r="CU97" s="4295"/>
      <c r="CV97" s="4295"/>
      <c r="CW97" s="4295"/>
      <c r="CX97" s="4295"/>
      <c r="CY97" s="4295"/>
      <c r="CZ97" s="4295"/>
      <c r="DA97" s="4295"/>
    </row>
    <row r="98" spans="1:105" customFormat="1" ht="13.95" customHeight="1" x14ac:dyDescent="0.3">
      <c r="A98" s="7736">
        <v>29101689</v>
      </c>
      <c r="B98" s="10749"/>
      <c r="C98" s="7733" t="s">
        <v>2776</v>
      </c>
      <c r="D98" s="5503" t="s">
        <v>5369</v>
      </c>
      <c r="E98" s="5504" t="s">
        <v>5370</v>
      </c>
      <c r="M98" s="4264"/>
      <c r="BY98" s="4258"/>
      <c r="CB98" s="4295"/>
      <c r="CC98" s="4295"/>
      <c r="CD98" s="4295"/>
      <c r="CE98" s="4295"/>
      <c r="CF98" s="4295"/>
      <c r="CG98" s="4295"/>
      <c r="CH98" s="4295"/>
      <c r="CI98" s="4295"/>
      <c r="CJ98" s="4295"/>
      <c r="CK98" s="4295"/>
      <c r="CL98" s="4295"/>
      <c r="CM98" s="4295"/>
      <c r="CN98" s="4295"/>
      <c r="CO98" s="4295"/>
      <c r="CP98" s="4295"/>
      <c r="CQ98" s="4295"/>
      <c r="CR98" s="4295"/>
      <c r="CS98" s="4295"/>
      <c r="CT98" s="4295"/>
      <c r="CU98" s="4295"/>
      <c r="CV98" s="4295"/>
      <c r="CW98" s="4295"/>
      <c r="CX98" s="4295"/>
      <c r="CY98" s="4295"/>
      <c r="CZ98" s="4295"/>
      <c r="DA98" s="4295"/>
    </row>
    <row r="99" spans="1:105" customFormat="1" ht="22.95" customHeight="1" x14ac:dyDescent="0.3">
      <c r="A99" s="7736">
        <v>29101690</v>
      </c>
      <c r="B99" s="10749"/>
      <c r="C99" s="7734" t="s">
        <v>2777</v>
      </c>
      <c r="D99" s="5503" t="s">
        <v>5369</v>
      </c>
      <c r="E99" s="5504" t="s">
        <v>5370</v>
      </c>
      <c r="M99" s="4264"/>
      <c r="BY99" s="4258"/>
      <c r="CB99" s="4295"/>
      <c r="CC99" s="4295"/>
      <c r="CD99" s="4295"/>
      <c r="CE99" s="4295"/>
      <c r="CF99" s="4295"/>
      <c r="CG99" s="4295"/>
      <c r="CH99" s="4295"/>
      <c r="CI99" s="4295"/>
      <c r="CJ99" s="4295"/>
      <c r="CK99" s="4295"/>
      <c r="CL99" s="4295"/>
      <c r="CM99" s="4295"/>
      <c r="CN99" s="4295"/>
      <c r="CO99" s="4295"/>
      <c r="CP99" s="4295"/>
      <c r="CQ99" s="4295"/>
      <c r="CR99" s="4295"/>
      <c r="CS99" s="4295"/>
      <c r="CT99" s="4295"/>
      <c r="CU99" s="4295"/>
      <c r="CV99" s="4295"/>
      <c r="CW99" s="4295"/>
      <c r="CX99" s="4295"/>
      <c r="CY99" s="4295"/>
      <c r="CZ99" s="4295"/>
      <c r="DA99" s="4295"/>
    </row>
    <row r="100" spans="1:105" customFormat="1" ht="13.95" customHeight="1" x14ac:dyDescent="0.3">
      <c r="A100" s="7736">
        <v>29101691</v>
      </c>
      <c r="B100" s="10749"/>
      <c r="C100" s="7733" t="s">
        <v>2778</v>
      </c>
      <c r="D100" s="5503" t="s">
        <v>5369</v>
      </c>
      <c r="E100" s="5504" t="s">
        <v>5370</v>
      </c>
      <c r="M100" s="4264"/>
      <c r="BY100" s="4258"/>
      <c r="CB100" s="4295"/>
      <c r="CC100" s="4295"/>
      <c r="CD100" s="4295"/>
      <c r="CE100" s="4295"/>
      <c r="CF100" s="4295"/>
      <c r="CG100" s="4295"/>
      <c r="CH100" s="4295"/>
      <c r="CI100" s="4295"/>
      <c r="CJ100" s="4295"/>
      <c r="CK100" s="4295"/>
      <c r="CL100" s="4295"/>
      <c r="CM100" s="4295"/>
      <c r="CN100" s="4295"/>
      <c r="CO100" s="4295"/>
      <c r="CP100" s="4295"/>
      <c r="CQ100" s="4295"/>
      <c r="CR100" s="4295"/>
      <c r="CS100" s="4295"/>
      <c r="CT100" s="4295"/>
      <c r="CU100" s="4295"/>
      <c r="CV100" s="4295"/>
      <c r="CW100" s="4295"/>
      <c r="CX100" s="4295"/>
      <c r="CY100" s="4295"/>
      <c r="CZ100" s="4295"/>
      <c r="DA100" s="4295"/>
    </row>
    <row r="101" spans="1:105" customFormat="1" ht="13.95" customHeight="1" x14ac:dyDescent="0.3">
      <c r="A101" s="7736">
        <v>29101692</v>
      </c>
      <c r="B101" s="11039"/>
      <c r="C101" s="7735" t="s">
        <v>2779</v>
      </c>
      <c r="D101" s="5505" t="s">
        <v>5369</v>
      </c>
      <c r="E101" s="5506" t="s">
        <v>5370</v>
      </c>
      <c r="F101" s="5507"/>
      <c r="M101" s="4264"/>
      <c r="BY101" s="4258"/>
      <c r="CB101" s="4295"/>
      <c r="CC101" s="4295"/>
      <c r="CD101" s="4295"/>
      <c r="CE101" s="4295"/>
      <c r="CF101" s="4295"/>
      <c r="CG101" s="4295"/>
      <c r="CH101" s="4295"/>
      <c r="CI101" s="4295"/>
      <c r="CJ101" s="4295"/>
      <c r="CK101" s="4295"/>
      <c r="CL101" s="4295"/>
      <c r="CM101" s="4295"/>
      <c r="CN101" s="4295"/>
      <c r="CO101" s="4295"/>
      <c r="CP101" s="4295"/>
      <c r="CQ101" s="4295"/>
      <c r="CR101" s="4295"/>
      <c r="CS101" s="4295"/>
      <c r="CT101" s="4295"/>
      <c r="CU101" s="4295"/>
      <c r="CV101" s="4295"/>
      <c r="CW101" s="4295"/>
      <c r="CX101" s="4295"/>
      <c r="CY101" s="4295"/>
      <c r="CZ101" s="4295"/>
      <c r="DA101" s="4295"/>
    </row>
    <row r="102" spans="1:105" s="4264" customFormat="1" ht="27.75" customHeight="1" x14ac:dyDescent="0.25">
      <c r="B102" s="5508" t="s">
        <v>1326</v>
      </c>
      <c r="C102" s="5509"/>
      <c r="D102" s="4257"/>
      <c r="E102" s="5509"/>
      <c r="F102" s="4469"/>
      <c r="BY102" s="4260"/>
      <c r="CB102" s="4295"/>
      <c r="CC102" s="4295"/>
      <c r="CD102" s="4295"/>
      <c r="CE102" s="4295"/>
      <c r="CF102" s="4295"/>
      <c r="CG102" s="4295"/>
      <c r="CH102" s="4295"/>
      <c r="CI102" s="4295"/>
      <c r="CJ102" s="4295"/>
      <c r="CK102" s="4295"/>
      <c r="CL102" s="4295"/>
      <c r="CM102" s="4295"/>
      <c r="CN102" s="4295"/>
      <c r="CO102" s="4295"/>
      <c r="CP102" s="4295"/>
      <c r="CQ102" s="4295"/>
      <c r="CR102" s="4295"/>
      <c r="CS102" s="4295"/>
      <c r="CT102" s="4295"/>
      <c r="CU102" s="4295"/>
      <c r="CV102" s="4295"/>
      <c r="CW102" s="4295"/>
      <c r="CX102" s="4295"/>
      <c r="CY102" s="4295"/>
      <c r="CZ102" s="4295"/>
      <c r="DA102" s="4295"/>
    </row>
    <row r="103" spans="1:105" s="4264" customFormat="1" ht="13.95" customHeight="1" x14ac:dyDescent="0.25">
      <c r="B103" s="11003" t="s">
        <v>31</v>
      </c>
      <c r="C103" s="9414" t="s">
        <v>44</v>
      </c>
      <c r="D103" s="9471" t="s">
        <v>1325</v>
      </c>
      <c r="E103" s="10747"/>
      <c r="BU103" s="4260"/>
      <c r="BV103" s="4260"/>
      <c r="CB103" s="4295"/>
      <c r="CC103" s="4295"/>
      <c r="CD103" s="4295"/>
      <c r="CE103" s="4295"/>
      <c r="CF103" s="4295"/>
      <c r="CG103" s="4295"/>
      <c r="CH103" s="4295"/>
      <c r="CI103" s="4295"/>
      <c r="CJ103" s="4295"/>
      <c r="CK103" s="4295"/>
      <c r="CL103" s="4295"/>
      <c r="CM103" s="4295"/>
      <c r="CN103" s="4295"/>
      <c r="CO103" s="4295"/>
      <c r="CP103" s="4295"/>
      <c r="CQ103" s="4295"/>
      <c r="CR103" s="4295"/>
      <c r="CS103" s="4295"/>
      <c r="CT103" s="4295"/>
      <c r="CU103" s="4295"/>
      <c r="CV103" s="4295"/>
      <c r="CW103" s="4295"/>
      <c r="CX103" s="4295"/>
      <c r="CY103" s="4295"/>
      <c r="CZ103" s="4295"/>
      <c r="DA103" s="4295"/>
    </row>
    <row r="104" spans="1:105" s="4264" customFormat="1" x14ac:dyDescent="0.25">
      <c r="B104" s="10996"/>
      <c r="C104" s="10996"/>
      <c r="D104" s="11013"/>
      <c r="E104" s="11014"/>
      <c r="BU104" s="4260"/>
      <c r="BV104" s="4260"/>
      <c r="CB104" s="4295"/>
      <c r="CC104" s="4295"/>
      <c r="CD104" s="4295"/>
      <c r="CE104" s="4295"/>
      <c r="CF104" s="4295"/>
      <c r="CG104" s="4295"/>
      <c r="CH104" s="4295"/>
      <c r="CI104" s="4295"/>
      <c r="CJ104" s="4295"/>
      <c r="CK104" s="4295"/>
      <c r="CL104" s="4295"/>
      <c r="CM104" s="4295"/>
      <c r="CN104" s="4295"/>
      <c r="CO104" s="4295"/>
      <c r="CP104" s="4295"/>
      <c r="CQ104" s="4295"/>
      <c r="CR104" s="4295"/>
      <c r="CS104" s="4295"/>
      <c r="CT104" s="4295"/>
      <c r="CU104" s="4295"/>
      <c r="CV104" s="4295"/>
      <c r="CW104" s="4295"/>
      <c r="CX104" s="4295"/>
      <c r="CY104" s="4295"/>
      <c r="CZ104" s="4295"/>
      <c r="DA104" s="4295"/>
    </row>
    <row r="105" spans="1:105" s="4264" customFormat="1" ht="13.95" customHeight="1" x14ac:dyDescent="0.25">
      <c r="B105" s="11004"/>
      <c r="C105" s="11012"/>
      <c r="D105" s="5510" t="s">
        <v>17</v>
      </c>
      <c r="E105" s="5283" t="s">
        <v>18</v>
      </c>
      <c r="BV105" s="4260"/>
      <c r="CB105" s="4295"/>
      <c r="CC105" s="4295"/>
      <c r="CD105" s="4295"/>
      <c r="CE105" s="4295"/>
      <c r="CF105" s="4295"/>
      <c r="CG105" s="4295"/>
      <c r="CH105" s="4295"/>
      <c r="CI105" s="4295"/>
      <c r="CJ105" s="4295"/>
      <c r="CK105" s="4295"/>
      <c r="CL105" s="4295"/>
      <c r="CM105" s="4295"/>
      <c r="CN105" s="4295"/>
      <c r="CO105" s="4295"/>
      <c r="CP105" s="4295"/>
      <c r="CQ105" s="4295"/>
      <c r="CR105" s="4295"/>
      <c r="CS105" s="4295"/>
      <c r="CT105" s="4295"/>
      <c r="CU105" s="4295"/>
      <c r="CV105" s="4295"/>
      <c r="CW105" s="4295"/>
      <c r="CX105" s="4295"/>
      <c r="CY105" s="4295"/>
      <c r="CZ105" s="4295"/>
      <c r="DA105" s="4295"/>
    </row>
    <row r="106" spans="1:105" s="4264" customFormat="1" ht="13.95" customHeight="1" x14ac:dyDescent="0.25">
      <c r="A106" s="7682">
        <v>29101120</v>
      </c>
      <c r="B106" s="5294" t="s">
        <v>1324</v>
      </c>
      <c r="C106" s="5417" t="s">
        <v>5369</v>
      </c>
      <c r="D106" s="5511" t="s">
        <v>5370</v>
      </c>
      <c r="E106" s="5511" t="s">
        <v>5371</v>
      </c>
      <c r="BV106" s="4260"/>
      <c r="CB106" s="4295"/>
      <c r="CC106" s="4295"/>
      <c r="CD106" s="4295"/>
      <c r="CE106" s="4295"/>
      <c r="CF106" s="4295"/>
      <c r="CG106" s="4295"/>
      <c r="CH106" s="4295"/>
      <c r="CI106" s="4295"/>
      <c r="CJ106" s="4295"/>
      <c r="CK106" s="4295"/>
      <c r="CL106" s="4295"/>
      <c r="CM106" s="4295"/>
      <c r="CN106" s="4295"/>
      <c r="CO106" s="4295"/>
      <c r="CP106" s="4295"/>
      <c r="CQ106" s="4295"/>
      <c r="CR106" s="4295"/>
      <c r="CS106" s="4295"/>
      <c r="CT106" s="4295"/>
      <c r="CU106" s="4295"/>
      <c r="CV106" s="4295"/>
      <c r="CW106" s="4295"/>
      <c r="CX106" s="4295"/>
      <c r="CY106" s="4295"/>
      <c r="CZ106" s="4295"/>
      <c r="DA106" s="4295"/>
    </row>
    <row r="107" spans="1:105" x14ac:dyDescent="0.25">
      <c r="A107" s="7682">
        <v>29101130</v>
      </c>
      <c r="B107" s="5512" t="s">
        <v>1323</v>
      </c>
      <c r="C107" s="5355" t="s">
        <v>5369</v>
      </c>
      <c r="D107" s="5513" t="s">
        <v>5370</v>
      </c>
      <c r="E107" s="5513" t="s">
        <v>5371</v>
      </c>
      <c r="F107" s="5514"/>
      <c r="BV107" s="4259"/>
    </row>
    <row r="108" spans="1:105" ht="25.2" customHeight="1" x14ac:dyDescent="0.25">
      <c r="B108" s="4256" t="s">
        <v>2873</v>
      </c>
      <c r="C108" s="5515"/>
      <c r="D108" s="5516"/>
      <c r="E108" s="5516"/>
      <c r="F108" s="5516"/>
      <c r="G108" s="5516"/>
      <c r="BY108" s="4259"/>
    </row>
    <row r="109" spans="1:105" ht="27.75" customHeight="1" x14ac:dyDescent="0.25">
      <c r="B109" s="4901" t="s">
        <v>2200</v>
      </c>
      <c r="C109" s="5517" t="s">
        <v>24</v>
      </c>
      <c r="BY109" s="4259"/>
    </row>
    <row r="110" spans="1:105" x14ac:dyDescent="0.25">
      <c r="A110" s="7682">
        <v>29101220</v>
      </c>
      <c r="B110" s="5518" t="s">
        <v>2282</v>
      </c>
      <c r="C110" s="5519" t="s">
        <v>5369</v>
      </c>
    </row>
    <row r="111" spans="1:105" x14ac:dyDescent="0.25">
      <c r="A111" s="7682">
        <v>29101230</v>
      </c>
      <c r="B111" s="5520" t="s">
        <v>2278</v>
      </c>
      <c r="C111" s="5521" t="s">
        <v>5369</v>
      </c>
    </row>
    <row r="112" spans="1:105" x14ac:dyDescent="0.25">
      <c r="A112" s="7682">
        <v>29101240</v>
      </c>
      <c r="B112" s="5520" t="s">
        <v>2279</v>
      </c>
      <c r="C112" s="5522" t="s">
        <v>5369</v>
      </c>
    </row>
    <row r="113" spans="1:6" x14ac:dyDescent="0.25">
      <c r="A113" s="7682">
        <v>29101250</v>
      </c>
      <c r="B113" s="5520" t="s">
        <v>2283</v>
      </c>
      <c r="C113" s="5522" t="s">
        <v>5369</v>
      </c>
    </row>
    <row r="114" spans="1:6" x14ac:dyDescent="0.25">
      <c r="A114" s="7682">
        <v>29101260</v>
      </c>
      <c r="B114" s="5520" t="s">
        <v>2284</v>
      </c>
      <c r="C114" s="5522" t="s">
        <v>5369</v>
      </c>
    </row>
    <row r="115" spans="1:6" x14ac:dyDescent="0.25">
      <c r="A115" s="7682">
        <v>29101270</v>
      </c>
      <c r="B115" s="5520" t="s">
        <v>2285</v>
      </c>
      <c r="C115" s="5522" t="s">
        <v>5369</v>
      </c>
    </row>
    <row r="116" spans="1:6" x14ac:dyDescent="0.25">
      <c r="A116" s="7682">
        <v>29101280</v>
      </c>
      <c r="B116" s="5520" t="s">
        <v>2286</v>
      </c>
      <c r="C116" s="5522" t="s">
        <v>5369</v>
      </c>
    </row>
    <row r="117" spans="1:6" x14ac:dyDescent="0.25">
      <c r="A117" s="7682">
        <v>29101290</v>
      </c>
      <c r="B117" s="5520" t="s">
        <v>2287</v>
      </c>
      <c r="C117" s="5522" t="s">
        <v>5369</v>
      </c>
    </row>
    <row r="118" spans="1:6" x14ac:dyDescent="0.25">
      <c r="A118" s="7682">
        <v>29101300</v>
      </c>
      <c r="B118" s="5520" t="s">
        <v>2288</v>
      </c>
      <c r="C118" s="5522" t="s">
        <v>5369</v>
      </c>
    </row>
    <row r="119" spans="1:6" x14ac:dyDescent="0.25">
      <c r="A119" s="7682">
        <v>29101310</v>
      </c>
      <c r="B119" s="5520" t="s">
        <v>2289</v>
      </c>
      <c r="C119" s="5522" t="s">
        <v>5369</v>
      </c>
    </row>
    <row r="120" spans="1:6" x14ac:dyDescent="0.25">
      <c r="A120" s="7682">
        <v>29101320</v>
      </c>
      <c r="B120" s="5520" t="s">
        <v>2290</v>
      </c>
      <c r="C120" s="5522" t="s">
        <v>5369</v>
      </c>
    </row>
    <row r="121" spans="1:6" x14ac:dyDescent="0.25">
      <c r="A121" s="7682">
        <v>29101330</v>
      </c>
      <c r="B121" s="5520" t="s">
        <v>2291</v>
      </c>
      <c r="C121" s="5522" t="s">
        <v>5369</v>
      </c>
    </row>
    <row r="122" spans="1:6" x14ac:dyDescent="0.25">
      <c r="A122" s="7682">
        <v>29101340</v>
      </c>
      <c r="B122" s="5520" t="s">
        <v>2294</v>
      </c>
      <c r="C122" s="5522" t="s">
        <v>5369</v>
      </c>
    </row>
    <row r="123" spans="1:6" x14ac:dyDescent="0.25">
      <c r="A123" s="7682">
        <v>29101350</v>
      </c>
      <c r="B123" s="5520" t="s">
        <v>2292</v>
      </c>
      <c r="C123" s="5522" t="s">
        <v>5369</v>
      </c>
    </row>
    <row r="124" spans="1:6" x14ac:dyDescent="0.25">
      <c r="A124" s="7682">
        <v>29101360</v>
      </c>
      <c r="B124" s="5520" t="s">
        <v>2293</v>
      </c>
      <c r="C124" s="5522" t="s">
        <v>5369</v>
      </c>
    </row>
    <row r="125" spans="1:6" x14ac:dyDescent="0.25">
      <c r="A125" s="7682">
        <v>29101370</v>
      </c>
      <c r="B125" s="5520" t="s">
        <v>2281</v>
      </c>
      <c r="C125" s="5522" t="s">
        <v>5369</v>
      </c>
    </row>
    <row r="126" spans="1:6" x14ac:dyDescent="0.25">
      <c r="A126" s="7682">
        <v>29101380</v>
      </c>
      <c r="B126" s="5523" t="s">
        <v>2280</v>
      </c>
      <c r="C126" s="5524" t="s">
        <v>5369</v>
      </c>
    </row>
    <row r="127" spans="1:6" ht="20.25" customHeight="1" x14ac:dyDescent="0.25">
      <c r="A127" s="7308"/>
      <c r="B127" s="5525" t="s">
        <v>24</v>
      </c>
      <c r="C127" s="5526">
        <f>SUM(C110:C126)</f>
        <v>0</v>
      </c>
      <c r="D127" s="5527"/>
    </row>
    <row r="128" spans="1:6" ht="28.2" customHeight="1" x14ac:dyDescent="0.3">
      <c r="B128" s="7719" t="s">
        <v>2874</v>
      </c>
      <c r="C128" s="2384"/>
      <c r="D128" s="2384"/>
      <c r="E128" s="2384"/>
      <c r="F128" s="2384"/>
    </row>
    <row r="129" spans="1:6" ht="27.6" customHeight="1" x14ac:dyDescent="0.25">
      <c r="B129" s="7720" t="s">
        <v>2872</v>
      </c>
      <c r="C129" s="7720" t="s">
        <v>1049</v>
      </c>
      <c r="D129" s="7720" t="s">
        <v>24</v>
      </c>
      <c r="E129" s="7720" t="s">
        <v>2861</v>
      </c>
      <c r="F129" s="7720" t="s">
        <v>2862</v>
      </c>
    </row>
    <row r="130" spans="1:6" ht="14.1" customHeight="1" x14ac:dyDescent="0.25">
      <c r="A130" s="7320">
        <v>29101693</v>
      </c>
      <c r="B130" s="11047" t="s">
        <v>2863</v>
      </c>
      <c r="C130" s="7721" t="s">
        <v>2864</v>
      </c>
      <c r="D130" s="7722" t="s">
        <v>5369</v>
      </c>
      <c r="E130" s="7723" t="s">
        <v>5370</v>
      </c>
      <c r="F130" s="7723" t="s">
        <v>5371</v>
      </c>
    </row>
    <row r="131" spans="1:6" ht="14.1" customHeight="1" x14ac:dyDescent="0.25">
      <c r="A131" s="7320">
        <v>29101694</v>
      </c>
      <c r="B131" s="11048"/>
      <c r="C131" s="7724" t="s">
        <v>2865</v>
      </c>
      <c r="D131" s="7725" t="s">
        <v>5369</v>
      </c>
      <c r="E131" s="7726" t="s">
        <v>5370</v>
      </c>
      <c r="F131" s="7726" t="s">
        <v>5371</v>
      </c>
    </row>
    <row r="132" spans="1:6" ht="14.1" customHeight="1" x14ac:dyDescent="0.25">
      <c r="A132" s="7320">
        <v>29101695</v>
      </c>
      <c r="B132" s="7727" t="s">
        <v>3527</v>
      </c>
      <c r="C132" s="7727" t="s">
        <v>2866</v>
      </c>
      <c r="D132" s="7728" t="s">
        <v>5369</v>
      </c>
      <c r="E132" s="7729" t="s">
        <v>5370</v>
      </c>
      <c r="F132" s="7729" t="s">
        <v>5371</v>
      </c>
    </row>
    <row r="133" spans="1:6" ht="14.1" customHeight="1" x14ac:dyDescent="0.25">
      <c r="A133" s="7320">
        <v>29101696</v>
      </c>
      <c r="B133" s="11049" t="s">
        <v>3934</v>
      </c>
      <c r="C133" s="7730" t="s">
        <v>2867</v>
      </c>
      <c r="D133" s="7731" t="s">
        <v>5369</v>
      </c>
      <c r="E133" s="7732" t="s">
        <v>5370</v>
      </c>
      <c r="F133" s="7732" t="s">
        <v>5371</v>
      </c>
    </row>
    <row r="134" spans="1:6" ht="14.1" customHeight="1" x14ac:dyDescent="0.25">
      <c r="A134" s="7320">
        <v>29101697</v>
      </c>
      <c r="B134" s="11048"/>
      <c r="C134" s="7724" t="s">
        <v>2868</v>
      </c>
      <c r="D134" s="7725" t="s">
        <v>5369</v>
      </c>
      <c r="E134" s="7725" t="s">
        <v>5370</v>
      </c>
      <c r="F134" s="7725" t="s">
        <v>5371</v>
      </c>
    </row>
    <row r="135" spans="1:6" ht="14.1" customHeight="1" x14ac:dyDescent="0.25">
      <c r="A135" s="7320">
        <v>29101698</v>
      </c>
      <c r="B135" s="11047" t="s">
        <v>2869</v>
      </c>
      <c r="C135" s="7721" t="s">
        <v>2867</v>
      </c>
      <c r="D135" s="7722" t="s">
        <v>5369</v>
      </c>
      <c r="E135" s="7722" t="s">
        <v>5370</v>
      </c>
      <c r="F135" s="7723" t="s">
        <v>5371</v>
      </c>
    </row>
    <row r="136" spans="1:6" ht="14.1" customHeight="1" x14ac:dyDescent="0.25">
      <c r="A136" s="7320">
        <v>29101699</v>
      </c>
      <c r="B136" s="11048"/>
      <c r="C136" s="7724" t="s">
        <v>2868</v>
      </c>
      <c r="D136" s="7725" t="s">
        <v>5369</v>
      </c>
      <c r="E136" s="7725" t="s">
        <v>5370</v>
      </c>
      <c r="F136" s="7726" t="s">
        <v>5371</v>
      </c>
    </row>
    <row r="137" spans="1:6" ht="14.1" customHeight="1" x14ac:dyDescent="0.25">
      <c r="A137" s="7320">
        <v>29101700</v>
      </c>
      <c r="B137" s="11047" t="s">
        <v>2870</v>
      </c>
      <c r="C137" s="7721" t="s">
        <v>2713</v>
      </c>
      <c r="D137" s="7722" t="s">
        <v>5369</v>
      </c>
      <c r="E137" s="7723" t="s">
        <v>5370</v>
      </c>
      <c r="F137" s="7723" t="s">
        <v>5371</v>
      </c>
    </row>
    <row r="138" spans="1:6" ht="14.1" customHeight="1" x14ac:dyDescent="0.25">
      <c r="A138" s="7320">
        <v>29101701</v>
      </c>
      <c r="B138" s="11048"/>
      <c r="C138" s="7724" t="s">
        <v>2871</v>
      </c>
      <c r="D138" s="7725" t="s">
        <v>5369</v>
      </c>
      <c r="E138" s="7726" t="s">
        <v>5370</v>
      </c>
      <c r="F138" s="7726" t="s">
        <v>5371</v>
      </c>
    </row>
    <row r="139" spans="1:6" ht="25.2" customHeight="1" x14ac:dyDescent="0.3">
      <c r="B139" s="7709" t="s">
        <v>2875</v>
      </c>
      <c r="C139" s="7710"/>
      <c r="D139" s="2384"/>
      <c r="E139" s="2384"/>
    </row>
    <row r="140" spans="1:6" ht="31.2" customHeight="1" x14ac:dyDescent="0.25">
      <c r="B140" s="7711" t="s">
        <v>1236</v>
      </c>
      <c r="C140" s="7711" t="s">
        <v>1214</v>
      </c>
      <c r="D140" s="7711" t="s">
        <v>2755</v>
      </c>
      <c r="E140" s="7711" t="s">
        <v>2756</v>
      </c>
    </row>
    <row r="141" spans="1:6" x14ac:dyDescent="0.25">
      <c r="A141" s="7320">
        <v>29101702</v>
      </c>
      <c r="B141" s="7712" t="s">
        <v>2757</v>
      </c>
      <c r="C141" s="7713" t="s">
        <v>5369</v>
      </c>
      <c r="D141" s="7713" t="s">
        <v>5370</v>
      </c>
      <c r="E141" s="7713" t="s">
        <v>5371</v>
      </c>
    </row>
    <row r="142" spans="1:6" x14ac:dyDescent="0.25">
      <c r="A142" s="7320">
        <v>29101703</v>
      </c>
      <c r="B142" s="7714" t="s">
        <v>2758</v>
      </c>
      <c r="C142" s="7715" t="s">
        <v>5369</v>
      </c>
      <c r="D142" s="7715" t="s">
        <v>5370</v>
      </c>
      <c r="E142" s="7715" t="s">
        <v>5371</v>
      </c>
    </row>
    <row r="143" spans="1:6" x14ac:dyDescent="0.25">
      <c r="A143" s="7320">
        <v>29101704</v>
      </c>
      <c r="B143" s="7714" t="s">
        <v>2759</v>
      </c>
      <c r="C143" s="7715" t="s">
        <v>5369</v>
      </c>
      <c r="D143" s="7716" t="s">
        <v>5370</v>
      </c>
      <c r="E143" s="7716" t="s">
        <v>5371</v>
      </c>
    </row>
    <row r="144" spans="1:6" x14ac:dyDescent="0.25">
      <c r="A144" s="7320">
        <v>29101705</v>
      </c>
      <c r="B144" s="7714" t="s">
        <v>2760</v>
      </c>
      <c r="C144" s="7715" t="s">
        <v>5369</v>
      </c>
      <c r="D144" s="7716" t="s">
        <v>5370</v>
      </c>
      <c r="E144" s="7716" t="s">
        <v>5371</v>
      </c>
    </row>
    <row r="145" spans="1:20" x14ac:dyDescent="0.25">
      <c r="A145" s="7320">
        <v>29101706</v>
      </c>
      <c r="B145" s="7714" t="s">
        <v>2761</v>
      </c>
      <c r="C145" s="7715" t="s">
        <v>5369</v>
      </c>
      <c r="D145" s="7715" t="s">
        <v>5370</v>
      </c>
      <c r="E145" s="7715" t="s">
        <v>5371</v>
      </c>
    </row>
    <row r="146" spans="1:20" x14ac:dyDescent="0.25">
      <c r="A146" s="7320">
        <v>29101707</v>
      </c>
      <c r="B146" s="7717" t="s">
        <v>2762</v>
      </c>
      <c r="C146" s="7718" t="s">
        <v>5369</v>
      </c>
      <c r="D146" s="7718" t="s">
        <v>5370</v>
      </c>
      <c r="E146" s="7718" t="s">
        <v>5371</v>
      </c>
    </row>
    <row r="147" spans="1:20" ht="22.2" customHeight="1" x14ac:dyDescent="0.3">
      <c r="A147" s="7320"/>
      <c r="B147" s="7683" t="s">
        <v>2876</v>
      </c>
      <c r="C147" s="2384"/>
      <c r="D147" s="2384"/>
      <c r="E147" s="2384"/>
      <c r="F147" s="2384"/>
      <c r="G147" s="2384"/>
      <c r="H147" s="2384"/>
      <c r="I147" s="2384"/>
      <c r="J147" s="2384"/>
      <c r="K147" s="2384"/>
      <c r="L147" s="2384"/>
      <c r="M147" s="2384"/>
      <c r="N147" s="2384"/>
      <c r="O147"/>
      <c r="P147"/>
      <c r="Q147"/>
    </row>
    <row r="148" spans="1:20" ht="14.4" customHeight="1" x14ac:dyDescent="0.3">
      <c r="B148" s="11029" t="s">
        <v>2711</v>
      </c>
      <c r="C148" s="11029" t="s">
        <v>24</v>
      </c>
      <c r="D148" s="11045" t="s">
        <v>3526</v>
      </c>
      <c r="E148" s="11045"/>
      <c r="F148" s="11043" t="s">
        <v>80</v>
      </c>
      <c r="G148" s="11044"/>
      <c r="H148" s="11045" t="s">
        <v>2906</v>
      </c>
      <c r="I148" s="11045"/>
      <c r="J148" s="11025" t="s">
        <v>2808</v>
      </c>
      <c r="K148" s="11026"/>
      <c r="L148" s="11023" t="s">
        <v>2785</v>
      </c>
      <c r="M148" s="11024"/>
      <c r="N148" s="11024"/>
      <c r="O148"/>
      <c r="P148"/>
      <c r="Q148"/>
      <c r="R148"/>
      <c r="S148"/>
      <c r="T148"/>
    </row>
    <row r="149" spans="1:20" ht="20.399999999999999" customHeight="1" x14ac:dyDescent="0.3">
      <c r="B149" s="11046"/>
      <c r="C149" s="11046"/>
      <c r="D149" s="7703" t="s">
        <v>17</v>
      </c>
      <c r="E149" s="7703" t="s">
        <v>18</v>
      </c>
      <c r="F149" s="7703" t="s">
        <v>17</v>
      </c>
      <c r="G149" s="7703" t="s">
        <v>18</v>
      </c>
      <c r="H149" s="7703" t="s">
        <v>17</v>
      </c>
      <c r="I149" s="7703" t="s">
        <v>18</v>
      </c>
      <c r="J149" s="7687" t="s">
        <v>17</v>
      </c>
      <c r="K149" s="7688" t="s">
        <v>18</v>
      </c>
      <c r="L149" s="7704" t="s">
        <v>1739</v>
      </c>
      <c r="M149" s="7705" t="s">
        <v>2783</v>
      </c>
      <c r="N149" s="7705" t="s">
        <v>2784</v>
      </c>
      <c r="O149"/>
      <c r="P149"/>
      <c r="Q149"/>
      <c r="R149"/>
      <c r="S149"/>
      <c r="T149"/>
    </row>
    <row r="150" spans="1:20" ht="14.4" x14ac:dyDescent="0.3">
      <c r="A150" s="7320">
        <v>29101708</v>
      </c>
      <c r="B150" s="7706" t="s">
        <v>2780</v>
      </c>
      <c r="C150" s="7987" t="s">
        <v>5369</v>
      </c>
      <c r="D150" s="7988" t="s">
        <v>5370</v>
      </c>
      <c r="E150" s="7988" t="s">
        <v>5371</v>
      </c>
      <c r="F150" s="7988" t="s">
        <v>5372</v>
      </c>
      <c r="G150" s="7988" t="s">
        <v>5373</v>
      </c>
      <c r="H150" s="7988" t="s">
        <v>5374</v>
      </c>
      <c r="I150" s="7988" t="s">
        <v>5375</v>
      </c>
      <c r="J150" s="7989" t="s">
        <v>5376</v>
      </c>
      <c r="K150" s="7990" t="s">
        <v>5377</v>
      </c>
      <c r="L150" s="7991" t="s">
        <v>5378</v>
      </c>
      <c r="M150" s="7992" t="s">
        <v>5379</v>
      </c>
      <c r="N150" s="7992" t="s">
        <v>5380</v>
      </c>
      <c r="O150"/>
      <c r="P150"/>
      <c r="Q150"/>
      <c r="R150"/>
      <c r="S150"/>
      <c r="T150"/>
    </row>
    <row r="151" spans="1:20" ht="14.4" x14ac:dyDescent="0.3">
      <c r="A151" s="7320">
        <v>29101709</v>
      </c>
      <c r="B151" s="7707" t="s">
        <v>2781</v>
      </c>
      <c r="C151" s="7993" t="s">
        <v>5369</v>
      </c>
      <c r="D151" s="7994" t="s">
        <v>5370</v>
      </c>
      <c r="E151" s="7994" t="s">
        <v>5371</v>
      </c>
      <c r="F151" s="7994" t="s">
        <v>5372</v>
      </c>
      <c r="G151" s="7994" t="s">
        <v>5373</v>
      </c>
      <c r="H151" s="7994" t="s">
        <v>5374</v>
      </c>
      <c r="I151" s="7994" t="s">
        <v>5375</v>
      </c>
      <c r="J151" s="7995" t="s">
        <v>5376</v>
      </c>
      <c r="K151" s="7996" t="s">
        <v>5377</v>
      </c>
      <c r="L151" s="7997" t="s">
        <v>5378</v>
      </c>
      <c r="M151" s="7994" t="s">
        <v>5379</v>
      </c>
      <c r="N151" s="7994" t="s">
        <v>5380</v>
      </c>
      <c r="O151"/>
      <c r="P151"/>
      <c r="Q151"/>
      <c r="R151"/>
      <c r="S151"/>
      <c r="T151"/>
    </row>
    <row r="152" spans="1:20" ht="14.4" x14ac:dyDescent="0.3">
      <c r="A152" s="7320">
        <v>29101710</v>
      </c>
      <c r="B152" s="7708" t="s">
        <v>2782</v>
      </c>
      <c r="C152" s="7998" t="s">
        <v>5369</v>
      </c>
      <c r="D152" s="7999" t="s">
        <v>5370</v>
      </c>
      <c r="E152" s="7999" t="s">
        <v>5371</v>
      </c>
      <c r="F152" s="7999" t="s">
        <v>5372</v>
      </c>
      <c r="G152" s="7999" t="s">
        <v>5373</v>
      </c>
      <c r="H152" s="7999" t="s">
        <v>5374</v>
      </c>
      <c r="I152" s="7999" t="s">
        <v>5375</v>
      </c>
      <c r="J152" s="8000" t="s">
        <v>5376</v>
      </c>
      <c r="K152" s="8001" t="s">
        <v>5377</v>
      </c>
      <c r="L152" s="8002" t="s">
        <v>5378</v>
      </c>
      <c r="M152" s="7999" t="s">
        <v>5379</v>
      </c>
      <c r="N152" s="7999" t="s">
        <v>5380</v>
      </c>
      <c r="O152"/>
      <c r="P152"/>
      <c r="Q152"/>
      <c r="R152"/>
      <c r="S152"/>
      <c r="T152"/>
    </row>
    <row r="153" spans="1:20" ht="24.6" customHeight="1" x14ac:dyDescent="0.25">
      <c r="B153" s="7683" t="s">
        <v>2877</v>
      </c>
      <c r="C153" s="7684"/>
      <c r="D153" s="7685"/>
      <c r="E153" s="7686"/>
      <c r="F153" s="7685"/>
      <c r="G153" s="7686"/>
      <c r="H153" s="2385"/>
      <c r="I153" s="2385"/>
    </row>
    <row r="154" spans="1:20" x14ac:dyDescent="0.25">
      <c r="B154" s="11029" t="s">
        <v>2711</v>
      </c>
      <c r="C154" s="11029" t="s">
        <v>24</v>
      </c>
      <c r="D154" s="11027" t="s">
        <v>2905</v>
      </c>
      <c r="E154" s="11028"/>
      <c r="F154" s="11033" t="s">
        <v>1351</v>
      </c>
      <c r="G154" s="11034"/>
      <c r="H154" s="11034"/>
      <c r="I154" s="11035"/>
    </row>
    <row r="155" spans="1:20" ht="14.4" customHeight="1" x14ac:dyDescent="0.25">
      <c r="B155" s="11030"/>
      <c r="C155" s="11030"/>
      <c r="D155" s="11027"/>
      <c r="E155" s="11028"/>
      <c r="F155" s="11036" t="s">
        <v>2713</v>
      </c>
      <c r="G155" s="11029" t="s">
        <v>2714</v>
      </c>
      <c r="H155" s="11032" t="s">
        <v>2712</v>
      </c>
      <c r="I155" s="11032"/>
    </row>
    <row r="156" spans="1:20" x14ac:dyDescent="0.25">
      <c r="B156" s="11031"/>
      <c r="C156" s="11031"/>
      <c r="D156" s="7687" t="s">
        <v>3647</v>
      </c>
      <c r="E156" s="7688" t="s">
        <v>2808</v>
      </c>
      <c r="F156" s="10715"/>
      <c r="G156" s="11037"/>
      <c r="H156" s="7689" t="s">
        <v>2713</v>
      </c>
      <c r="I156" s="7689" t="s">
        <v>2714</v>
      </c>
    </row>
    <row r="157" spans="1:20" x14ac:dyDescent="0.25">
      <c r="A157" s="7320">
        <v>29101711</v>
      </c>
      <c r="B157" s="7690" t="s">
        <v>2715</v>
      </c>
      <c r="C157" s="7691" t="s">
        <v>5369</v>
      </c>
      <c r="D157" s="7431" t="s">
        <v>5370</v>
      </c>
      <c r="E157" s="7692" t="s">
        <v>5371</v>
      </c>
      <c r="F157" s="7693" t="s">
        <v>5372</v>
      </c>
      <c r="G157" s="7694" t="s">
        <v>5373</v>
      </c>
      <c r="H157" s="7694" t="s">
        <v>5374</v>
      </c>
      <c r="I157" s="7694" t="s">
        <v>5375</v>
      </c>
    </row>
    <row r="158" spans="1:20" x14ac:dyDescent="0.25">
      <c r="A158" s="7320">
        <v>29101712</v>
      </c>
      <c r="B158" s="7695" t="s">
        <v>2201</v>
      </c>
      <c r="C158" s="7696" t="s">
        <v>5369</v>
      </c>
      <c r="D158" s="7463" t="s">
        <v>5370</v>
      </c>
      <c r="E158" s="7464" t="s">
        <v>5371</v>
      </c>
      <c r="F158" s="7697" t="s">
        <v>5372</v>
      </c>
      <c r="G158" s="7406" t="s">
        <v>5373</v>
      </c>
      <c r="H158" s="7406" t="s">
        <v>5374</v>
      </c>
      <c r="I158" s="7406" t="s">
        <v>5375</v>
      </c>
    </row>
    <row r="159" spans="1:20" x14ac:dyDescent="0.25">
      <c r="A159" s="7736">
        <v>29101713</v>
      </c>
      <c r="B159" s="7698" t="s">
        <v>2716</v>
      </c>
      <c r="C159" s="7699" t="s">
        <v>5369</v>
      </c>
      <c r="D159" s="7413" t="s">
        <v>5370</v>
      </c>
      <c r="E159" s="7700" t="s">
        <v>5371</v>
      </c>
      <c r="F159" s="7701" t="s">
        <v>5372</v>
      </c>
      <c r="G159" s="7702" t="s">
        <v>5373</v>
      </c>
      <c r="H159" s="7702" t="s">
        <v>5374</v>
      </c>
      <c r="I159" s="7702" t="s">
        <v>5375</v>
      </c>
    </row>
    <row r="162" spans="1:1" x14ac:dyDescent="0.25">
      <c r="A162" s="4258" t="s">
        <v>4068</v>
      </c>
    </row>
    <row r="163" spans="1:1" x14ac:dyDescent="0.25">
      <c r="A163" s="7320">
        <v>29101683</v>
      </c>
    </row>
    <row r="164" spans="1:1" x14ac:dyDescent="0.25">
      <c r="A164" s="7320">
        <v>29101684</v>
      </c>
    </row>
    <row r="165" spans="1:1" x14ac:dyDescent="0.25">
      <c r="A165" s="7320">
        <v>29101685</v>
      </c>
    </row>
    <row r="166" spans="1:1" x14ac:dyDescent="0.25">
      <c r="A166" s="7320">
        <v>29101686</v>
      </c>
    </row>
    <row r="167" spans="1:1" x14ac:dyDescent="0.25">
      <c r="A167" s="7320">
        <v>29101687</v>
      </c>
    </row>
    <row r="168" spans="1:1" x14ac:dyDescent="0.25">
      <c r="A168" s="7320">
        <v>29101688</v>
      </c>
    </row>
    <row r="169" spans="1:1" x14ac:dyDescent="0.25">
      <c r="A169" s="7320">
        <v>29101689</v>
      </c>
    </row>
    <row r="170" spans="1:1" x14ac:dyDescent="0.25">
      <c r="A170" s="7320">
        <v>29101690</v>
      </c>
    </row>
    <row r="171" spans="1:1" x14ac:dyDescent="0.25">
      <c r="A171" s="7320">
        <v>29101691</v>
      </c>
    </row>
    <row r="172" spans="1:1" x14ac:dyDescent="0.25">
      <c r="A172" s="7320">
        <v>29101692</v>
      </c>
    </row>
    <row r="173" spans="1:1" x14ac:dyDescent="0.25">
      <c r="A173" s="7320">
        <v>29101693</v>
      </c>
    </row>
    <row r="174" spans="1:1" x14ac:dyDescent="0.25">
      <c r="A174" s="7320">
        <v>29101694</v>
      </c>
    </row>
    <row r="175" spans="1:1" x14ac:dyDescent="0.25">
      <c r="A175" s="7320">
        <v>29101695</v>
      </c>
    </row>
    <row r="176" spans="1:1" x14ac:dyDescent="0.25">
      <c r="A176" s="7320">
        <v>29101696</v>
      </c>
    </row>
    <row r="177" spans="1:1" x14ac:dyDescent="0.25">
      <c r="A177" s="7320">
        <v>29101697</v>
      </c>
    </row>
    <row r="178" spans="1:1" x14ac:dyDescent="0.25">
      <c r="A178" s="7320">
        <v>29101698</v>
      </c>
    </row>
    <row r="179" spans="1:1" x14ac:dyDescent="0.25">
      <c r="A179" s="7320">
        <v>29101699</v>
      </c>
    </row>
    <row r="180" spans="1:1" x14ac:dyDescent="0.25">
      <c r="A180" s="7320">
        <v>29101700</v>
      </c>
    </row>
    <row r="181" spans="1:1" x14ac:dyDescent="0.25">
      <c r="A181" s="7320">
        <v>29101701</v>
      </c>
    </row>
    <row r="182" spans="1:1" x14ac:dyDescent="0.25">
      <c r="A182" s="7320">
        <v>29101702</v>
      </c>
    </row>
    <row r="183" spans="1:1" x14ac:dyDescent="0.25">
      <c r="A183" s="7320">
        <v>29101703</v>
      </c>
    </row>
    <row r="184" spans="1:1" x14ac:dyDescent="0.25">
      <c r="A184" s="7320">
        <v>29101704</v>
      </c>
    </row>
    <row r="185" spans="1:1" x14ac:dyDescent="0.25">
      <c r="A185" s="7320">
        <v>29101705</v>
      </c>
    </row>
    <row r="186" spans="1:1" x14ac:dyDescent="0.25">
      <c r="A186" s="7320">
        <v>29101706</v>
      </c>
    </row>
    <row r="187" spans="1:1" x14ac:dyDescent="0.25">
      <c r="A187" s="7320">
        <v>29101707</v>
      </c>
    </row>
    <row r="188" spans="1:1" x14ac:dyDescent="0.25">
      <c r="A188" s="7320">
        <v>29101708</v>
      </c>
    </row>
    <row r="189" spans="1:1" x14ac:dyDescent="0.25">
      <c r="A189" s="7320">
        <v>29101709</v>
      </c>
    </row>
    <row r="190" spans="1:1" x14ac:dyDescent="0.25">
      <c r="A190" s="7320">
        <v>29101710</v>
      </c>
    </row>
    <row r="191" spans="1:1" x14ac:dyDescent="0.25">
      <c r="A191" s="7320">
        <v>29101711</v>
      </c>
    </row>
    <row r="192" spans="1:1" x14ac:dyDescent="0.25">
      <c r="A192" s="7320">
        <v>29101712</v>
      </c>
    </row>
    <row r="193" spans="1:1" x14ac:dyDescent="0.25">
      <c r="A193" s="7320">
        <v>29101713</v>
      </c>
    </row>
    <row r="195" spans="1:1" x14ac:dyDescent="0.25">
      <c r="A195" s="4258" t="s">
        <v>4069</v>
      </c>
    </row>
    <row r="196" spans="1:1" ht="16.2" x14ac:dyDescent="0.3">
      <c r="A196" s="7737">
        <v>29101160</v>
      </c>
    </row>
    <row r="197" spans="1:1" ht="16.2" x14ac:dyDescent="0.3">
      <c r="A197" s="7737">
        <v>29000038</v>
      </c>
    </row>
    <row r="198" spans="1:1" ht="16.2" x14ac:dyDescent="0.3">
      <c r="A198" s="7737">
        <v>29000041</v>
      </c>
    </row>
    <row r="199" spans="1:1" ht="16.2" x14ac:dyDescent="0.3">
      <c r="A199" s="7737">
        <v>29101210</v>
      </c>
    </row>
    <row r="223" spans="79:79" x14ac:dyDescent="0.25">
      <c r="CA223" s="4258"/>
    </row>
    <row r="224" spans="79:79" x14ac:dyDescent="0.25">
      <c r="CA224" s="4258"/>
    </row>
    <row r="225" spans="2:105" s="5530" customFormat="1" hidden="1" x14ac:dyDescent="0.25">
      <c r="B225" s="5530">
        <f>SUM(C12:C13,C17:C20,C24:C25,C27,D32:D64,D68:E101,C106:C107,C127,D130:D138,C141:C146,C151:C152,C157:C159)</f>
        <v>0</v>
      </c>
      <c r="C225" s="5530">
        <f>SUM(CO11:CR64)</f>
        <v>94</v>
      </c>
      <c r="CB225" s="5531"/>
      <c r="CC225" s="5531"/>
      <c r="CD225" s="5531"/>
      <c r="CE225" s="5531"/>
      <c r="CF225" s="5531"/>
      <c r="CG225" s="5531"/>
      <c r="CH225" s="5531"/>
      <c r="CI225" s="5531"/>
      <c r="CJ225" s="5531"/>
      <c r="CK225" s="5531"/>
      <c r="CL225" s="5531"/>
      <c r="CM225" s="5531"/>
      <c r="CN225" s="5531"/>
      <c r="CO225" s="5531"/>
      <c r="CP225" s="5531"/>
      <c r="CQ225" s="5531"/>
      <c r="CR225" s="5531"/>
      <c r="CS225" s="5531"/>
      <c r="CT225" s="5531"/>
      <c r="CU225" s="5531"/>
      <c r="CV225" s="5531"/>
      <c r="CW225" s="5531"/>
      <c r="CX225" s="5531"/>
      <c r="CY225" s="5531"/>
      <c r="CZ225" s="5531"/>
      <c r="DA225" s="5531"/>
    </row>
    <row r="288" spans="79:105" s="4264" customFormat="1" x14ac:dyDescent="0.25">
      <c r="CA288" s="4260"/>
      <c r="CB288" s="4295"/>
      <c r="CC288" s="4295"/>
      <c r="CD288" s="4295"/>
      <c r="CE288" s="4295"/>
      <c r="CF288" s="4295"/>
      <c r="CG288" s="4295"/>
      <c r="CH288" s="4295"/>
      <c r="CI288" s="4295"/>
      <c r="CJ288" s="4295"/>
      <c r="CK288" s="4295"/>
      <c r="CL288" s="4295"/>
      <c r="CM288" s="4295"/>
      <c r="CN288" s="4295"/>
      <c r="CO288" s="4295"/>
      <c r="CP288" s="4295"/>
      <c r="CQ288" s="4295"/>
      <c r="CR288" s="4295"/>
      <c r="CS288" s="4295"/>
      <c r="CT288" s="4295"/>
      <c r="CU288" s="4295"/>
      <c r="CV288" s="4295"/>
      <c r="CW288" s="4295"/>
      <c r="CX288" s="4295"/>
      <c r="CY288" s="4295"/>
      <c r="CZ288" s="4295"/>
      <c r="DA288" s="4295"/>
    </row>
  </sheetData>
  <mergeCells count="60">
    <mergeCell ref="C11:U11"/>
    <mergeCell ref="C16:M16"/>
    <mergeCell ref="C23:M23"/>
    <mergeCell ref="C26:M26"/>
    <mergeCell ref="T16:U16"/>
    <mergeCell ref="T23:U23"/>
    <mergeCell ref="T26:U26"/>
    <mergeCell ref="B88:B101"/>
    <mergeCell ref="B68:B87"/>
    <mergeCell ref="F148:G148"/>
    <mergeCell ref="D148:E148"/>
    <mergeCell ref="H148:I148"/>
    <mergeCell ref="C148:C149"/>
    <mergeCell ref="B148:B149"/>
    <mergeCell ref="B103:B105"/>
    <mergeCell ref="B130:B131"/>
    <mergeCell ref="B133:B134"/>
    <mergeCell ref="B135:B136"/>
    <mergeCell ref="B137:B138"/>
    <mergeCell ref="L148:N148"/>
    <mergeCell ref="J148:K148"/>
    <mergeCell ref="D154:E155"/>
    <mergeCell ref="B154:B156"/>
    <mergeCell ref="C154:C156"/>
    <mergeCell ref="H155:I155"/>
    <mergeCell ref="F154:I154"/>
    <mergeCell ref="F155:F156"/>
    <mergeCell ref="G155:G156"/>
    <mergeCell ref="Q30:Q31"/>
    <mergeCell ref="R30:R31"/>
    <mergeCell ref="C103:C105"/>
    <mergeCell ref="D103:E104"/>
    <mergeCell ref="D30:D31"/>
    <mergeCell ref="N30:P30"/>
    <mergeCell ref="D66:D67"/>
    <mergeCell ref="E66:E67"/>
    <mergeCell ref="C66:C67"/>
    <mergeCell ref="B6:U6"/>
    <mergeCell ref="C9:E9"/>
    <mergeCell ref="F9:G9"/>
    <mergeCell ref="H9:I9"/>
    <mergeCell ref="J9:K9"/>
    <mergeCell ref="L9:M9"/>
    <mergeCell ref="N9:O9"/>
    <mergeCell ref="P9:Q9"/>
    <mergeCell ref="B9:B10"/>
    <mergeCell ref="T9:T10"/>
    <mergeCell ref="U9:U10"/>
    <mergeCell ref="R9:S9"/>
    <mergeCell ref="B32:B39"/>
    <mergeCell ref="B43:B45"/>
    <mergeCell ref="B40:B42"/>
    <mergeCell ref="B30:C31"/>
    <mergeCell ref="E30:M30"/>
    <mergeCell ref="B66:B67"/>
    <mergeCell ref="B49:B54"/>
    <mergeCell ref="B46:B48"/>
    <mergeCell ref="B55:B58"/>
    <mergeCell ref="B59:B62"/>
    <mergeCell ref="B63:B64"/>
  </mergeCells>
  <dataValidations count="1">
    <dataValidation allowBlank="1" showInputMessage="1" showErrorMessage="1" error="Valor no Permitido" sqref="D1:XFD8 B1:B9 B11:B13 T9:U9 B15:B46 Q29:R30 R10:S10 G148 D27:M28 W32:CE32 B106:B109 E29:P65 Q32:R65 D106:F106 C103:F105 C107:F107 C95:C107 B102:B103 H110:I110 G111:I147 B49:B68 B88 J110:XFD138 H148:I152 F139:XFD146 F150:G152 B150:C152 J147:XFD1048576 G153:I153 B153:E1048576 F153:F155 H155:I1048576 G155 F157:G1048576 D108:E152 B110:C148 F108:F148 D29:D71 C68:C93 V9:BZ28 U27:U28 S29:XFD31 CG32:XFD64 D66:XFD101 G103:BV107 CB102:XFD109 D102:BY102 G108:BY109 S65:XFD65 CB9:XFD28 S32:U32 C1:C66 D9:Q10 D12:M15 D17:M22 D24:M25 N12:T28 U12:U15 U17:U22 U24:U25 S33:CE64 A163:A193" xr:uid="{00000000-0002-0000-1500-000000000000}"/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P180"/>
  <sheetViews>
    <sheetView zoomScaleNormal="100" workbookViewId="0"/>
  </sheetViews>
  <sheetFormatPr baseColWidth="10" defaultColWidth="11.44140625" defaultRowHeight="13.8" x14ac:dyDescent="0.25"/>
  <cols>
    <col min="1" max="1" width="15.6640625" style="165" customWidth="1"/>
    <col min="2" max="2" width="66.44140625" style="165" customWidth="1"/>
    <col min="3" max="3" width="13.5546875" style="165" customWidth="1"/>
    <col min="4" max="8" width="11.44140625" style="165"/>
    <col min="9" max="9" width="16.6640625" style="165" customWidth="1"/>
    <col min="10" max="10" width="13.44140625" style="165" customWidth="1"/>
    <col min="11" max="11" width="13.33203125" style="165" bestFit="1" customWidth="1"/>
    <col min="12" max="16" width="11.44140625" style="165"/>
    <col min="17" max="17" width="11.44140625" style="165" customWidth="1"/>
    <col min="18" max="18" width="11.44140625" style="165"/>
    <col min="19" max="19" width="15.88671875" style="165" customWidth="1"/>
    <col min="20" max="20" width="14" style="165" customWidth="1"/>
    <col min="21" max="21" width="14.44140625" style="165" customWidth="1"/>
    <col min="22" max="24" width="11.44140625" style="165"/>
    <col min="25" max="25" width="11.33203125" style="165" customWidth="1"/>
    <col min="26" max="26" width="12" style="165" customWidth="1"/>
    <col min="27" max="16384" width="11.44140625" style="165"/>
  </cols>
  <sheetData>
    <row r="1" spans="2:38" ht="16.350000000000001" customHeight="1" x14ac:dyDescent="0.25">
      <c r="B1" s="150" t="s">
        <v>207</v>
      </c>
    </row>
    <row r="2" spans="2:38" ht="16.350000000000001" customHeight="1" x14ac:dyDescent="0.25">
      <c r="B2" s="150" t="str">
        <f>CONCATENATE("COMUNA: ",NOMBRE!B2," - ","( ",NOMBRE!C2,NOMBRE!D2,NOMBRE!E2,NOMBRE!F2,NOMBRE!G2," )")</f>
        <v>COMUNA:  - (  )</v>
      </c>
      <c r="E2" s="1420"/>
      <c r="F2" s="1420"/>
      <c r="G2" s="1420"/>
      <c r="H2" s="1420"/>
    </row>
    <row r="3" spans="2:38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  <c r="F3" s="1421"/>
      <c r="H3" s="1421"/>
      <c r="I3" s="1422"/>
    </row>
    <row r="4" spans="2:38" ht="16.350000000000001" customHeight="1" x14ac:dyDescent="0.25">
      <c r="B4" s="150" t="str">
        <f>CONCATENATE("MES: ",NOMBRE!B6," - ","( ",NOMBRE!C6,NOMBRE!D6," )")</f>
        <v>MES:  - (  )</v>
      </c>
    </row>
    <row r="5" spans="2:38" ht="16.350000000000001" customHeight="1" x14ac:dyDescent="0.25">
      <c r="B5" s="150" t="str">
        <f>CONCATENATE("AÑO: ",NOMBRE!B7)</f>
        <v>AÑO: 2023</v>
      </c>
    </row>
    <row r="6" spans="2:38" ht="15.75" customHeight="1" x14ac:dyDescent="0.3">
      <c r="B6" s="10225" t="s">
        <v>1767</v>
      </c>
      <c r="C6" s="10225"/>
      <c r="D6" s="10225"/>
      <c r="E6" s="10225"/>
      <c r="F6" s="10225"/>
      <c r="G6" s="10225"/>
      <c r="H6" s="10225"/>
      <c r="I6" s="10225"/>
      <c r="J6" s="10225"/>
      <c r="K6" s="10225"/>
      <c r="L6" s="10225"/>
      <c r="M6" s="10225"/>
      <c r="N6" s="10225"/>
      <c r="O6" s="10225"/>
      <c r="P6" s="10225"/>
      <c r="Q6" s="10225"/>
      <c r="R6" s="10225"/>
      <c r="S6" s="10225"/>
      <c r="T6" s="10225"/>
      <c r="U6" s="10225"/>
      <c r="V6" s="10225"/>
      <c r="W6" s="10225"/>
      <c r="X6" s="10225"/>
      <c r="Y6" s="10225"/>
      <c r="Z6" s="10225"/>
      <c r="AA6" s="10225"/>
      <c r="AB6" s="10225"/>
      <c r="AC6" s="10225"/>
      <c r="AD6" s="10225"/>
      <c r="AE6" s="10225"/>
      <c r="AF6" s="10225"/>
      <c r="AG6" s="140"/>
      <c r="AH6" s="140"/>
    </row>
    <row r="7" spans="2:38" ht="16.2" x14ac:dyDescent="0.3">
      <c r="B7" s="951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</row>
    <row r="8" spans="2:38" ht="16.2" x14ac:dyDescent="0.3">
      <c r="B8" s="951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</row>
    <row r="9" spans="2:38" x14ac:dyDescent="0.25">
      <c r="B9" s="674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</row>
    <row r="10" spans="2:38" ht="32.1" customHeight="1" x14ac:dyDescent="0.25">
      <c r="B10" s="751" t="s">
        <v>2674</v>
      </c>
      <c r="C10" s="751"/>
      <c r="D10" s="751"/>
      <c r="E10" s="751"/>
      <c r="F10" s="751"/>
      <c r="G10" s="751"/>
      <c r="H10" s="751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</row>
    <row r="11" spans="2:38" hidden="1" x14ac:dyDescent="0.25">
      <c r="B11" s="674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</row>
    <row r="12" spans="2:38" hidden="1" x14ac:dyDescent="0.25">
      <c r="B12" s="674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</row>
    <row r="13" spans="2:38" hidden="1" x14ac:dyDescent="0.25">
      <c r="B13" s="674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</row>
    <row r="14" spans="2:38" ht="53.25" customHeight="1" x14ac:dyDescent="0.25">
      <c r="B14" s="10853" t="s">
        <v>1766</v>
      </c>
      <c r="C14" s="9708" t="s">
        <v>3676</v>
      </c>
      <c r="D14" s="11123"/>
      <c r="E14" s="11123"/>
      <c r="F14" s="11123"/>
      <c r="G14" s="11123"/>
      <c r="H14" s="9709"/>
      <c r="I14" s="11063" t="s">
        <v>3677</v>
      </c>
      <c r="J14" s="11064"/>
      <c r="K14" s="11064"/>
      <c r="L14" s="11064"/>
      <c r="M14" s="11064"/>
      <c r="N14" s="11065"/>
      <c r="O14" s="11063" t="s">
        <v>3678</v>
      </c>
      <c r="P14" s="11064"/>
      <c r="Q14" s="11064"/>
      <c r="R14" s="11064"/>
      <c r="S14" s="11064"/>
      <c r="T14" s="11066"/>
      <c r="U14" s="10811" t="s">
        <v>1351</v>
      </c>
      <c r="V14" s="8646"/>
      <c r="W14" s="11117"/>
      <c r="X14" s="11067" t="s">
        <v>3679</v>
      </c>
      <c r="Y14" s="11064"/>
      <c r="Z14" s="11064"/>
      <c r="AA14" s="11064"/>
      <c r="AB14" s="11064"/>
      <c r="AC14" s="11066"/>
      <c r="AD14" s="11116" t="s">
        <v>1351</v>
      </c>
      <c r="AE14" s="8646"/>
      <c r="AF14" s="11117"/>
      <c r="AG14" s="11067" t="s">
        <v>3680</v>
      </c>
      <c r="AH14" s="11064"/>
      <c r="AI14" s="11064"/>
      <c r="AJ14" s="11064"/>
      <c r="AK14" s="11064"/>
      <c r="AL14" s="11065"/>
    </row>
    <row r="15" spans="2:38" ht="14.25" customHeight="1" x14ac:dyDescent="0.25">
      <c r="B15" s="8555"/>
      <c r="C15" s="11079" t="s">
        <v>2695</v>
      </c>
      <c r="D15" s="11058"/>
      <c r="E15" s="11080" t="s">
        <v>33</v>
      </c>
      <c r="F15" s="11058"/>
      <c r="G15" s="11080" t="s">
        <v>2696</v>
      </c>
      <c r="H15" s="11058"/>
      <c r="I15" s="11079" t="s">
        <v>2695</v>
      </c>
      <c r="J15" s="11058"/>
      <c r="K15" s="11080" t="s">
        <v>33</v>
      </c>
      <c r="L15" s="11058"/>
      <c r="M15" s="11080" t="s">
        <v>2696</v>
      </c>
      <c r="N15" s="11058"/>
      <c r="O15" s="10810" t="s">
        <v>2695</v>
      </c>
      <c r="P15" s="11062"/>
      <c r="Q15" s="10810" t="s">
        <v>33</v>
      </c>
      <c r="R15" s="11062"/>
      <c r="S15" s="10810" t="s">
        <v>2696</v>
      </c>
      <c r="T15" s="10812"/>
      <c r="U15" s="11105" t="s">
        <v>1739</v>
      </c>
      <c r="V15" s="11114" t="s">
        <v>1738</v>
      </c>
      <c r="W15" s="11115"/>
      <c r="X15" s="11068" t="s">
        <v>2695</v>
      </c>
      <c r="Y15" s="11062"/>
      <c r="Z15" s="10811" t="s">
        <v>33</v>
      </c>
      <c r="AA15" s="11058"/>
      <c r="AB15" s="11080" t="s">
        <v>2696</v>
      </c>
      <c r="AC15" s="11058"/>
      <c r="AD15" s="11124" t="s">
        <v>1739</v>
      </c>
      <c r="AE15" s="11114" t="s">
        <v>1738</v>
      </c>
      <c r="AF15" s="11115"/>
      <c r="AG15" s="11079" t="s">
        <v>2695</v>
      </c>
      <c r="AH15" s="11058"/>
      <c r="AI15" s="11080" t="s">
        <v>33</v>
      </c>
      <c r="AJ15" s="11058"/>
      <c r="AK15" s="11080" t="s">
        <v>2696</v>
      </c>
      <c r="AL15" s="11058"/>
    </row>
    <row r="16" spans="2:38" ht="14.25" customHeight="1" x14ac:dyDescent="0.25">
      <c r="B16" s="8940"/>
      <c r="C16" s="3663" t="s">
        <v>17</v>
      </c>
      <c r="D16" s="1069" t="s">
        <v>18</v>
      </c>
      <c r="E16" s="945" t="s">
        <v>17</v>
      </c>
      <c r="F16" s="1069" t="s">
        <v>18</v>
      </c>
      <c r="G16" s="945" t="s">
        <v>17</v>
      </c>
      <c r="H16" s="1069" t="s">
        <v>18</v>
      </c>
      <c r="I16" s="945" t="s">
        <v>17</v>
      </c>
      <c r="J16" s="1069" t="s">
        <v>18</v>
      </c>
      <c r="K16" s="945" t="s">
        <v>17</v>
      </c>
      <c r="L16" s="1069" t="s">
        <v>18</v>
      </c>
      <c r="M16" s="945" t="s">
        <v>17</v>
      </c>
      <c r="N16" s="1069" t="s">
        <v>18</v>
      </c>
      <c r="O16" s="2860" t="s">
        <v>17</v>
      </c>
      <c r="P16" s="2861" t="s">
        <v>18</v>
      </c>
      <c r="Q16" s="2860" t="s">
        <v>17</v>
      </c>
      <c r="R16" s="2861" t="s">
        <v>18</v>
      </c>
      <c r="S16" s="2860" t="s">
        <v>17</v>
      </c>
      <c r="T16" s="2862" t="s">
        <v>18</v>
      </c>
      <c r="U16" s="11106"/>
      <c r="V16" s="950" t="s">
        <v>1736</v>
      </c>
      <c r="W16" s="1423" t="s">
        <v>1735</v>
      </c>
      <c r="X16" s="2865" t="s">
        <v>17</v>
      </c>
      <c r="Y16" s="2861" t="s">
        <v>18</v>
      </c>
      <c r="Z16" s="2863" t="s">
        <v>17</v>
      </c>
      <c r="AA16" s="1069" t="s">
        <v>18</v>
      </c>
      <c r="AB16" s="945" t="s">
        <v>17</v>
      </c>
      <c r="AC16" s="1071" t="s">
        <v>18</v>
      </c>
      <c r="AD16" s="11125"/>
      <c r="AE16" s="950" t="s">
        <v>1736</v>
      </c>
      <c r="AF16" s="1423" t="s">
        <v>1735</v>
      </c>
      <c r="AG16" s="1070" t="s">
        <v>17</v>
      </c>
      <c r="AH16" s="2861" t="s">
        <v>18</v>
      </c>
      <c r="AI16" s="2863" t="s">
        <v>17</v>
      </c>
      <c r="AJ16" s="1069" t="s">
        <v>18</v>
      </c>
      <c r="AK16" s="945" t="s">
        <v>17</v>
      </c>
      <c r="AL16" s="1069" t="s">
        <v>18</v>
      </c>
    </row>
    <row r="17" spans="1:42" x14ac:dyDescent="0.25">
      <c r="A17" s="7267"/>
      <c r="B17" s="2768" t="s">
        <v>24</v>
      </c>
      <c r="C17" s="826">
        <f t="shared" ref="C17:AL17" si="0">SUM(C18:C77)</f>
        <v>0</v>
      </c>
      <c r="D17" s="1338">
        <f t="shared" si="0"/>
        <v>0</v>
      </c>
      <c r="E17" s="1336">
        <f t="shared" si="0"/>
        <v>0</v>
      </c>
      <c r="F17" s="1338">
        <f t="shared" si="0"/>
        <v>0</v>
      </c>
      <c r="G17" s="1336">
        <f>SUM(G18:G77)</f>
        <v>0</v>
      </c>
      <c r="H17" s="1338">
        <f>SUM(H18:H77)</f>
        <v>0</v>
      </c>
      <c r="I17" s="1336">
        <f>SUM(I18:I77)</f>
        <v>0</v>
      </c>
      <c r="J17" s="1338">
        <f>SUM(J18:J77)</f>
        <v>0</v>
      </c>
      <c r="K17" s="1336">
        <f t="shared" si="0"/>
        <v>0</v>
      </c>
      <c r="L17" s="1338">
        <f t="shared" si="0"/>
        <v>0</v>
      </c>
      <c r="M17" s="1336">
        <f t="shared" si="0"/>
        <v>0</v>
      </c>
      <c r="N17" s="1338">
        <f t="shared" si="0"/>
        <v>0</v>
      </c>
      <c r="O17" s="2834">
        <f>SUM(O18:O77)</f>
        <v>0</v>
      </c>
      <c r="P17" s="2835">
        <f>SUM(P18:P77)</f>
        <v>0</v>
      </c>
      <c r="Q17" s="2745">
        <f>SUM(Q18:Q77)</f>
        <v>0</v>
      </c>
      <c r="R17" s="2835">
        <f t="shared" si="0"/>
        <v>0</v>
      </c>
      <c r="S17" s="2834">
        <f t="shared" si="0"/>
        <v>0</v>
      </c>
      <c r="T17" s="2833">
        <f t="shared" si="0"/>
        <v>0</v>
      </c>
      <c r="U17" s="2859">
        <f t="shared" si="0"/>
        <v>0</v>
      </c>
      <c r="V17" s="826">
        <f t="shared" si="0"/>
        <v>0</v>
      </c>
      <c r="W17" s="1095">
        <f t="shared" si="0"/>
        <v>0</v>
      </c>
      <c r="X17" s="2836">
        <f>SUM(X18:X77)</f>
        <v>0</v>
      </c>
      <c r="Y17" s="2835">
        <f>SUM(Y18:Y77)</f>
        <v>0</v>
      </c>
      <c r="Z17" s="2745">
        <f t="shared" si="0"/>
        <v>0</v>
      </c>
      <c r="AA17" s="1338">
        <f t="shared" si="0"/>
        <v>0</v>
      </c>
      <c r="AB17" s="1336">
        <f t="shared" si="0"/>
        <v>0</v>
      </c>
      <c r="AC17" s="1066">
        <f t="shared" si="0"/>
        <v>0</v>
      </c>
      <c r="AD17" s="1068">
        <f t="shared" si="0"/>
        <v>0</v>
      </c>
      <c r="AE17" s="826">
        <f t="shared" si="0"/>
        <v>0</v>
      </c>
      <c r="AF17" s="1095">
        <f t="shared" si="0"/>
        <v>0</v>
      </c>
      <c r="AG17" s="1067">
        <f>SUM(AG18:AG77)</f>
        <v>0</v>
      </c>
      <c r="AH17" s="2835">
        <f>SUM(AH18:AH77)</f>
        <v>0</v>
      </c>
      <c r="AI17" s="2745">
        <f t="shared" si="0"/>
        <v>0</v>
      </c>
      <c r="AJ17" s="1338">
        <f t="shared" si="0"/>
        <v>0</v>
      </c>
      <c r="AK17" s="1336">
        <f t="shared" si="0"/>
        <v>0</v>
      </c>
      <c r="AL17" s="1338">
        <f t="shared" si="0"/>
        <v>0</v>
      </c>
    </row>
    <row r="18" spans="1:42" x14ac:dyDescent="0.25">
      <c r="A18" s="7682">
        <v>30000000</v>
      </c>
      <c r="B18" s="3151" t="s">
        <v>111</v>
      </c>
      <c r="C18" s="3244" t="s">
        <v>5369</v>
      </c>
      <c r="D18" s="949" t="s">
        <v>5370</v>
      </c>
      <c r="E18" s="948" t="s">
        <v>5371</v>
      </c>
      <c r="F18" s="949" t="s">
        <v>5372</v>
      </c>
      <c r="G18" s="948" t="s">
        <v>5373</v>
      </c>
      <c r="H18" s="949" t="s">
        <v>5374</v>
      </c>
      <c r="I18" s="948" t="s">
        <v>5375</v>
      </c>
      <c r="J18" s="949" t="s">
        <v>5376</v>
      </c>
      <c r="K18" s="948" t="s">
        <v>5377</v>
      </c>
      <c r="L18" s="949" t="s">
        <v>5378</v>
      </c>
      <c r="M18" s="948" t="s">
        <v>5379</v>
      </c>
      <c r="N18" s="949" t="s">
        <v>5380</v>
      </c>
      <c r="O18" s="1094" t="s">
        <v>5381</v>
      </c>
      <c r="P18" s="1093" t="s">
        <v>5382</v>
      </c>
      <c r="Q18" s="1094" t="s">
        <v>5383</v>
      </c>
      <c r="R18" s="1093" t="s">
        <v>5384</v>
      </c>
      <c r="S18" s="958" t="s">
        <v>5385</v>
      </c>
      <c r="T18" s="1092" t="s">
        <v>5386</v>
      </c>
      <c r="U18" s="1091" t="s">
        <v>5387</v>
      </c>
      <c r="V18" s="957" t="s">
        <v>5388</v>
      </c>
      <c r="W18" s="949" t="s">
        <v>5389</v>
      </c>
      <c r="X18" s="2866" t="s">
        <v>5390</v>
      </c>
      <c r="Y18" s="2867" t="s">
        <v>5391</v>
      </c>
      <c r="Z18" s="2864" t="s">
        <v>5392</v>
      </c>
      <c r="AA18" s="949" t="s">
        <v>5393</v>
      </c>
      <c r="AB18" s="948" t="s">
        <v>5394</v>
      </c>
      <c r="AC18" s="955" t="s">
        <v>5395</v>
      </c>
      <c r="AD18" s="1091" t="s">
        <v>5396</v>
      </c>
      <c r="AE18" s="957" t="s">
        <v>5397</v>
      </c>
      <c r="AF18" s="949" t="s">
        <v>5398</v>
      </c>
      <c r="AG18" s="1090" t="s">
        <v>5399</v>
      </c>
      <c r="AH18" s="2872" t="s">
        <v>5400</v>
      </c>
      <c r="AI18" s="2868" t="s">
        <v>5401</v>
      </c>
      <c r="AJ18" s="1088" t="s">
        <v>5402</v>
      </c>
      <c r="AK18" s="1089" t="s">
        <v>5403</v>
      </c>
      <c r="AL18" s="1088" t="s">
        <v>5404</v>
      </c>
    </row>
    <row r="19" spans="1:42" x14ac:dyDescent="0.25">
      <c r="A19" s="7682">
        <v>30000001</v>
      </c>
      <c r="B19" s="2855" t="s">
        <v>110</v>
      </c>
      <c r="C19" s="2518" t="s">
        <v>5369</v>
      </c>
      <c r="D19" s="138" t="s">
        <v>5370</v>
      </c>
      <c r="E19" s="137" t="s">
        <v>5371</v>
      </c>
      <c r="F19" s="138" t="s">
        <v>5372</v>
      </c>
      <c r="G19" s="137" t="s">
        <v>5373</v>
      </c>
      <c r="H19" s="138" t="s">
        <v>5374</v>
      </c>
      <c r="I19" s="137" t="s">
        <v>5375</v>
      </c>
      <c r="J19" s="138" t="s">
        <v>5376</v>
      </c>
      <c r="K19" s="137" t="s">
        <v>5377</v>
      </c>
      <c r="L19" s="138" t="s">
        <v>5378</v>
      </c>
      <c r="M19" s="137" t="s">
        <v>5379</v>
      </c>
      <c r="N19" s="138" t="s">
        <v>5380</v>
      </c>
      <c r="O19" s="875" t="s">
        <v>5381</v>
      </c>
      <c r="P19" s="850" t="s">
        <v>5382</v>
      </c>
      <c r="Q19" s="875" t="s">
        <v>5383</v>
      </c>
      <c r="R19" s="850" t="s">
        <v>5384</v>
      </c>
      <c r="S19" s="584" t="s">
        <v>5385</v>
      </c>
      <c r="T19" s="1087" t="s">
        <v>5386</v>
      </c>
      <c r="U19" s="262" t="s">
        <v>5387</v>
      </c>
      <c r="V19" s="557" t="s">
        <v>5388</v>
      </c>
      <c r="W19" s="138" t="s">
        <v>5389</v>
      </c>
      <c r="X19" s="2567" t="s">
        <v>5390</v>
      </c>
      <c r="Y19" s="2537" t="s">
        <v>5391</v>
      </c>
      <c r="Z19" s="2796" t="s">
        <v>5392</v>
      </c>
      <c r="AA19" s="138" t="s">
        <v>5393</v>
      </c>
      <c r="AB19" s="137" t="s">
        <v>5394</v>
      </c>
      <c r="AC19" s="260" t="s">
        <v>5395</v>
      </c>
      <c r="AD19" s="262" t="s">
        <v>5396</v>
      </c>
      <c r="AE19" s="557" t="s">
        <v>5397</v>
      </c>
      <c r="AF19" s="138" t="s">
        <v>5398</v>
      </c>
      <c r="AG19" s="1086" t="s">
        <v>5399</v>
      </c>
      <c r="AH19" s="2759" t="s">
        <v>5400</v>
      </c>
      <c r="AI19" s="2869" t="s">
        <v>5401</v>
      </c>
      <c r="AJ19" s="1084" t="s">
        <v>5402</v>
      </c>
      <c r="AK19" s="1085" t="s">
        <v>5403</v>
      </c>
      <c r="AL19" s="1084" t="s">
        <v>5404</v>
      </c>
    </row>
    <row r="20" spans="1:42" x14ac:dyDescent="0.25">
      <c r="A20" s="7682">
        <v>30000002</v>
      </c>
      <c r="B20" s="2855" t="s">
        <v>134</v>
      </c>
      <c r="C20" s="2518" t="s">
        <v>5369</v>
      </c>
      <c r="D20" s="138" t="s">
        <v>5370</v>
      </c>
      <c r="E20" s="137" t="s">
        <v>5371</v>
      </c>
      <c r="F20" s="138" t="s">
        <v>5372</v>
      </c>
      <c r="G20" s="137" t="s">
        <v>5373</v>
      </c>
      <c r="H20" s="138" t="s">
        <v>5374</v>
      </c>
      <c r="I20" s="137" t="s">
        <v>5375</v>
      </c>
      <c r="J20" s="138" t="s">
        <v>5376</v>
      </c>
      <c r="K20" s="137" t="s">
        <v>5377</v>
      </c>
      <c r="L20" s="138" t="s">
        <v>5378</v>
      </c>
      <c r="M20" s="137" t="s">
        <v>5379</v>
      </c>
      <c r="N20" s="138" t="s">
        <v>5380</v>
      </c>
      <c r="O20" s="875" t="s">
        <v>5381</v>
      </c>
      <c r="P20" s="850" t="s">
        <v>5382</v>
      </c>
      <c r="Q20" s="875" t="s">
        <v>5383</v>
      </c>
      <c r="R20" s="850" t="s">
        <v>5384</v>
      </c>
      <c r="S20" s="584" t="s">
        <v>5385</v>
      </c>
      <c r="T20" s="1087" t="s">
        <v>5386</v>
      </c>
      <c r="U20" s="262" t="s">
        <v>5387</v>
      </c>
      <c r="V20" s="557" t="s">
        <v>5388</v>
      </c>
      <c r="W20" s="138" t="s">
        <v>5389</v>
      </c>
      <c r="X20" s="2567" t="s">
        <v>5390</v>
      </c>
      <c r="Y20" s="2537" t="s">
        <v>5391</v>
      </c>
      <c r="Z20" s="2796" t="s">
        <v>5392</v>
      </c>
      <c r="AA20" s="138" t="s">
        <v>5393</v>
      </c>
      <c r="AB20" s="137" t="s">
        <v>5394</v>
      </c>
      <c r="AC20" s="260" t="s">
        <v>5395</v>
      </c>
      <c r="AD20" s="262" t="s">
        <v>5396</v>
      </c>
      <c r="AE20" s="557" t="s">
        <v>5397</v>
      </c>
      <c r="AF20" s="138" t="s">
        <v>5398</v>
      </c>
      <c r="AG20" s="1086" t="s">
        <v>5399</v>
      </c>
      <c r="AH20" s="2759" t="s">
        <v>5400</v>
      </c>
      <c r="AI20" s="2869" t="s">
        <v>5401</v>
      </c>
      <c r="AJ20" s="1084" t="s">
        <v>5402</v>
      </c>
      <c r="AK20" s="1085" t="s">
        <v>5403</v>
      </c>
      <c r="AL20" s="1084" t="s">
        <v>5404</v>
      </c>
    </row>
    <row r="21" spans="1:42" x14ac:dyDescent="0.25">
      <c r="A21" s="7682">
        <v>30000003</v>
      </c>
      <c r="B21" s="2855" t="s">
        <v>256</v>
      </c>
      <c r="C21" s="2518" t="s">
        <v>5369</v>
      </c>
      <c r="D21" s="138" t="s">
        <v>5370</v>
      </c>
      <c r="E21" s="137" t="s">
        <v>5371</v>
      </c>
      <c r="F21" s="138" t="s">
        <v>5372</v>
      </c>
      <c r="G21" s="137" t="s">
        <v>5373</v>
      </c>
      <c r="H21" s="138" t="s">
        <v>5374</v>
      </c>
      <c r="I21" s="137" t="s">
        <v>5375</v>
      </c>
      <c r="J21" s="138" t="s">
        <v>5376</v>
      </c>
      <c r="K21" s="137" t="s">
        <v>5377</v>
      </c>
      <c r="L21" s="138" t="s">
        <v>5378</v>
      </c>
      <c r="M21" s="137" t="s">
        <v>5379</v>
      </c>
      <c r="N21" s="138" t="s">
        <v>5380</v>
      </c>
      <c r="O21" s="875" t="s">
        <v>5381</v>
      </c>
      <c r="P21" s="850" t="s">
        <v>5382</v>
      </c>
      <c r="Q21" s="875" t="s">
        <v>5383</v>
      </c>
      <c r="R21" s="850" t="s">
        <v>5384</v>
      </c>
      <c r="S21" s="584" t="s">
        <v>5385</v>
      </c>
      <c r="T21" s="1087" t="s">
        <v>5386</v>
      </c>
      <c r="U21" s="262" t="s">
        <v>5387</v>
      </c>
      <c r="V21" s="557" t="s">
        <v>5388</v>
      </c>
      <c r="W21" s="138" t="s">
        <v>5389</v>
      </c>
      <c r="X21" s="2567" t="s">
        <v>5390</v>
      </c>
      <c r="Y21" s="2537" t="s">
        <v>5391</v>
      </c>
      <c r="Z21" s="2796" t="s">
        <v>5392</v>
      </c>
      <c r="AA21" s="138" t="s">
        <v>5393</v>
      </c>
      <c r="AB21" s="137" t="s">
        <v>5394</v>
      </c>
      <c r="AC21" s="260" t="s">
        <v>5395</v>
      </c>
      <c r="AD21" s="262" t="s">
        <v>5396</v>
      </c>
      <c r="AE21" s="557" t="s">
        <v>5397</v>
      </c>
      <c r="AF21" s="138" t="s">
        <v>5398</v>
      </c>
      <c r="AG21" s="1086" t="s">
        <v>5399</v>
      </c>
      <c r="AH21" s="2759" t="s">
        <v>5400</v>
      </c>
      <c r="AI21" s="2869" t="s">
        <v>5401</v>
      </c>
      <c r="AJ21" s="1084" t="s">
        <v>5402</v>
      </c>
      <c r="AK21" s="1085" t="s">
        <v>5403</v>
      </c>
      <c r="AL21" s="1084" t="s">
        <v>5404</v>
      </c>
    </row>
    <row r="22" spans="1:42" x14ac:dyDescent="0.25">
      <c r="A22" s="7682">
        <v>30000004</v>
      </c>
      <c r="B22" s="2855" t="s">
        <v>257</v>
      </c>
      <c r="C22" s="2518" t="s">
        <v>5369</v>
      </c>
      <c r="D22" s="138" t="s">
        <v>5370</v>
      </c>
      <c r="E22" s="137" t="s">
        <v>5371</v>
      </c>
      <c r="F22" s="138" t="s">
        <v>5372</v>
      </c>
      <c r="G22" s="137" t="s">
        <v>5373</v>
      </c>
      <c r="H22" s="138" t="s">
        <v>5374</v>
      </c>
      <c r="I22" s="137" t="s">
        <v>5375</v>
      </c>
      <c r="J22" s="138" t="s">
        <v>5376</v>
      </c>
      <c r="K22" s="137" t="s">
        <v>5377</v>
      </c>
      <c r="L22" s="138" t="s">
        <v>5378</v>
      </c>
      <c r="M22" s="137" t="s">
        <v>5379</v>
      </c>
      <c r="N22" s="138" t="s">
        <v>5380</v>
      </c>
      <c r="O22" s="875" t="s">
        <v>5381</v>
      </c>
      <c r="P22" s="850" t="s">
        <v>5382</v>
      </c>
      <c r="Q22" s="875" t="s">
        <v>5383</v>
      </c>
      <c r="R22" s="850" t="s">
        <v>5384</v>
      </c>
      <c r="S22" s="584" t="s">
        <v>5385</v>
      </c>
      <c r="T22" s="1087" t="s">
        <v>5386</v>
      </c>
      <c r="U22" s="262" t="s">
        <v>5387</v>
      </c>
      <c r="V22" s="557" t="s">
        <v>5388</v>
      </c>
      <c r="W22" s="138" t="s">
        <v>5389</v>
      </c>
      <c r="X22" s="2567" t="s">
        <v>5390</v>
      </c>
      <c r="Y22" s="2537" t="s">
        <v>5391</v>
      </c>
      <c r="Z22" s="2796" t="s">
        <v>5392</v>
      </c>
      <c r="AA22" s="138" t="s">
        <v>5393</v>
      </c>
      <c r="AB22" s="137" t="s">
        <v>5394</v>
      </c>
      <c r="AC22" s="260" t="s">
        <v>5395</v>
      </c>
      <c r="AD22" s="262" t="s">
        <v>5396</v>
      </c>
      <c r="AE22" s="557" t="s">
        <v>5397</v>
      </c>
      <c r="AF22" s="138" t="s">
        <v>5398</v>
      </c>
      <c r="AG22" s="1086" t="s">
        <v>5399</v>
      </c>
      <c r="AH22" s="2759" t="s">
        <v>5400</v>
      </c>
      <c r="AI22" s="2869" t="s">
        <v>5401</v>
      </c>
      <c r="AJ22" s="1084" t="s">
        <v>5402</v>
      </c>
      <c r="AK22" s="1085" t="s">
        <v>5403</v>
      </c>
      <c r="AL22" s="1084" t="s">
        <v>5404</v>
      </c>
    </row>
    <row r="23" spans="1:42" x14ac:dyDescent="0.25">
      <c r="A23" s="7682">
        <v>30000005</v>
      </c>
      <c r="B23" s="2855" t="s">
        <v>258</v>
      </c>
      <c r="C23" s="2518" t="s">
        <v>5369</v>
      </c>
      <c r="D23" s="138" t="s">
        <v>5370</v>
      </c>
      <c r="E23" s="137" t="s">
        <v>5371</v>
      </c>
      <c r="F23" s="138" t="s">
        <v>5372</v>
      </c>
      <c r="G23" s="137" t="s">
        <v>5373</v>
      </c>
      <c r="H23" s="138" t="s">
        <v>5374</v>
      </c>
      <c r="I23" s="137" t="s">
        <v>5375</v>
      </c>
      <c r="J23" s="138" t="s">
        <v>5376</v>
      </c>
      <c r="K23" s="137" t="s">
        <v>5377</v>
      </c>
      <c r="L23" s="138" t="s">
        <v>5378</v>
      </c>
      <c r="M23" s="137" t="s">
        <v>5379</v>
      </c>
      <c r="N23" s="138" t="s">
        <v>5380</v>
      </c>
      <c r="O23" s="875" t="s">
        <v>5381</v>
      </c>
      <c r="P23" s="850" t="s">
        <v>5382</v>
      </c>
      <c r="Q23" s="875" t="s">
        <v>5383</v>
      </c>
      <c r="R23" s="850" t="s">
        <v>5384</v>
      </c>
      <c r="S23" s="584" t="s">
        <v>5385</v>
      </c>
      <c r="T23" s="1087" t="s">
        <v>5386</v>
      </c>
      <c r="U23" s="262" t="s">
        <v>5387</v>
      </c>
      <c r="V23" s="557" t="s">
        <v>5388</v>
      </c>
      <c r="W23" s="138" t="s">
        <v>5389</v>
      </c>
      <c r="X23" s="2567" t="s">
        <v>5390</v>
      </c>
      <c r="Y23" s="2537" t="s">
        <v>5391</v>
      </c>
      <c r="Z23" s="2796" t="s">
        <v>5392</v>
      </c>
      <c r="AA23" s="138" t="s">
        <v>5393</v>
      </c>
      <c r="AB23" s="137" t="s">
        <v>5394</v>
      </c>
      <c r="AC23" s="260" t="s">
        <v>5395</v>
      </c>
      <c r="AD23" s="262" t="s">
        <v>5396</v>
      </c>
      <c r="AE23" s="557" t="s">
        <v>5397</v>
      </c>
      <c r="AF23" s="138" t="s">
        <v>5398</v>
      </c>
      <c r="AG23" s="1086" t="s">
        <v>5399</v>
      </c>
      <c r="AH23" s="2759" t="s">
        <v>5400</v>
      </c>
      <c r="AI23" s="2869" t="s">
        <v>5401</v>
      </c>
      <c r="AJ23" s="1084" t="s">
        <v>5402</v>
      </c>
      <c r="AK23" s="1085" t="s">
        <v>5403</v>
      </c>
      <c r="AL23" s="1084" t="s">
        <v>5404</v>
      </c>
    </row>
    <row r="24" spans="1:42" x14ac:dyDescent="0.25">
      <c r="A24" s="7682">
        <v>30000006</v>
      </c>
      <c r="B24" s="2855" t="s">
        <v>455</v>
      </c>
      <c r="C24" s="2518" t="s">
        <v>5369</v>
      </c>
      <c r="D24" s="138" t="s">
        <v>5370</v>
      </c>
      <c r="E24" s="137" t="s">
        <v>5371</v>
      </c>
      <c r="F24" s="138" t="s">
        <v>5372</v>
      </c>
      <c r="G24" s="137" t="s">
        <v>5373</v>
      </c>
      <c r="H24" s="138" t="s">
        <v>5374</v>
      </c>
      <c r="I24" s="137" t="s">
        <v>5375</v>
      </c>
      <c r="J24" s="138" t="s">
        <v>5376</v>
      </c>
      <c r="K24" s="137" t="s">
        <v>5377</v>
      </c>
      <c r="L24" s="138" t="s">
        <v>5378</v>
      </c>
      <c r="M24" s="137" t="s">
        <v>5379</v>
      </c>
      <c r="N24" s="138" t="s">
        <v>5380</v>
      </c>
      <c r="O24" s="875" t="s">
        <v>5381</v>
      </c>
      <c r="P24" s="850" t="s">
        <v>5382</v>
      </c>
      <c r="Q24" s="875" t="s">
        <v>5383</v>
      </c>
      <c r="R24" s="850" t="s">
        <v>5384</v>
      </c>
      <c r="S24" s="584" t="s">
        <v>5385</v>
      </c>
      <c r="T24" s="1087" t="s">
        <v>5386</v>
      </c>
      <c r="U24" s="262" t="s">
        <v>5387</v>
      </c>
      <c r="V24" s="557" t="s">
        <v>5388</v>
      </c>
      <c r="W24" s="138" t="s">
        <v>5389</v>
      </c>
      <c r="X24" s="2567" t="s">
        <v>5390</v>
      </c>
      <c r="Y24" s="2537" t="s">
        <v>5391</v>
      </c>
      <c r="Z24" s="2796" t="s">
        <v>5392</v>
      </c>
      <c r="AA24" s="138" t="s">
        <v>5393</v>
      </c>
      <c r="AB24" s="137" t="s">
        <v>5394</v>
      </c>
      <c r="AC24" s="260" t="s">
        <v>5395</v>
      </c>
      <c r="AD24" s="262" t="s">
        <v>5396</v>
      </c>
      <c r="AE24" s="557" t="s">
        <v>5397</v>
      </c>
      <c r="AF24" s="138" t="s">
        <v>5398</v>
      </c>
      <c r="AG24" s="1086" t="s">
        <v>5399</v>
      </c>
      <c r="AH24" s="2759" t="s">
        <v>5400</v>
      </c>
      <c r="AI24" s="2869" t="s">
        <v>5401</v>
      </c>
      <c r="AJ24" s="1084" t="s">
        <v>5402</v>
      </c>
      <c r="AK24" s="1085" t="s">
        <v>5403</v>
      </c>
      <c r="AL24" s="1084" t="s">
        <v>5404</v>
      </c>
    </row>
    <row r="25" spans="1:42" x14ac:dyDescent="0.25">
      <c r="A25" s="7682">
        <v>30000007</v>
      </c>
      <c r="B25" s="2855" t="s">
        <v>259</v>
      </c>
      <c r="C25" s="2518" t="s">
        <v>5369</v>
      </c>
      <c r="D25" s="138" t="s">
        <v>5370</v>
      </c>
      <c r="E25" s="137" t="s">
        <v>5371</v>
      </c>
      <c r="F25" s="138" t="s">
        <v>5372</v>
      </c>
      <c r="G25" s="137" t="s">
        <v>5373</v>
      </c>
      <c r="H25" s="138" t="s">
        <v>5374</v>
      </c>
      <c r="I25" s="137" t="s">
        <v>5375</v>
      </c>
      <c r="J25" s="138" t="s">
        <v>5376</v>
      </c>
      <c r="K25" s="137" t="s">
        <v>5377</v>
      </c>
      <c r="L25" s="138" t="s">
        <v>5378</v>
      </c>
      <c r="M25" s="137" t="s">
        <v>5379</v>
      </c>
      <c r="N25" s="138" t="s">
        <v>5380</v>
      </c>
      <c r="O25" s="875" t="s">
        <v>5381</v>
      </c>
      <c r="P25" s="850" t="s">
        <v>5382</v>
      </c>
      <c r="Q25" s="875" t="s">
        <v>5383</v>
      </c>
      <c r="R25" s="850" t="s">
        <v>5384</v>
      </c>
      <c r="S25" s="584" t="s">
        <v>5385</v>
      </c>
      <c r="T25" s="1087" t="s">
        <v>5386</v>
      </c>
      <c r="U25" s="262" t="s">
        <v>5387</v>
      </c>
      <c r="V25" s="557" t="s">
        <v>5388</v>
      </c>
      <c r="W25" s="138" t="s">
        <v>5389</v>
      </c>
      <c r="X25" s="2567" t="s">
        <v>5390</v>
      </c>
      <c r="Y25" s="2537" t="s">
        <v>5391</v>
      </c>
      <c r="Z25" s="2796" t="s">
        <v>5392</v>
      </c>
      <c r="AA25" s="138" t="s">
        <v>5393</v>
      </c>
      <c r="AB25" s="137" t="s">
        <v>5394</v>
      </c>
      <c r="AC25" s="260" t="s">
        <v>5395</v>
      </c>
      <c r="AD25" s="262" t="s">
        <v>5396</v>
      </c>
      <c r="AE25" s="557" t="s">
        <v>5397</v>
      </c>
      <c r="AF25" s="138" t="s">
        <v>5398</v>
      </c>
      <c r="AG25" s="1086" t="s">
        <v>5399</v>
      </c>
      <c r="AH25" s="2759" t="s">
        <v>5400</v>
      </c>
      <c r="AI25" s="2869" t="s">
        <v>5401</v>
      </c>
      <c r="AJ25" s="1084" t="s">
        <v>5402</v>
      </c>
      <c r="AK25" s="1085" t="s">
        <v>5403</v>
      </c>
      <c r="AL25" s="1084" t="s">
        <v>5404</v>
      </c>
    </row>
    <row r="26" spans="1:42" x14ac:dyDescent="0.25">
      <c r="A26" s="7682">
        <v>30000008</v>
      </c>
      <c r="B26" s="2855" t="s">
        <v>260</v>
      </c>
      <c r="C26" s="2518" t="s">
        <v>5369</v>
      </c>
      <c r="D26" s="138" t="s">
        <v>5370</v>
      </c>
      <c r="E26" s="137" t="s">
        <v>5371</v>
      </c>
      <c r="F26" s="138" t="s">
        <v>5372</v>
      </c>
      <c r="G26" s="137" t="s">
        <v>5373</v>
      </c>
      <c r="H26" s="138" t="s">
        <v>5374</v>
      </c>
      <c r="I26" s="137" t="s">
        <v>5375</v>
      </c>
      <c r="J26" s="138" t="s">
        <v>5376</v>
      </c>
      <c r="K26" s="137" t="s">
        <v>5377</v>
      </c>
      <c r="L26" s="138" t="s">
        <v>5378</v>
      </c>
      <c r="M26" s="137" t="s">
        <v>5379</v>
      </c>
      <c r="N26" s="138" t="s">
        <v>5380</v>
      </c>
      <c r="O26" s="875" t="s">
        <v>5381</v>
      </c>
      <c r="P26" s="850" t="s">
        <v>5382</v>
      </c>
      <c r="Q26" s="875" t="s">
        <v>5383</v>
      </c>
      <c r="R26" s="850" t="s">
        <v>5384</v>
      </c>
      <c r="S26" s="584" t="s">
        <v>5385</v>
      </c>
      <c r="T26" s="1087" t="s">
        <v>5386</v>
      </c>
      <c r="U26" s="262" t="s">
        <v>5387</v>
      </c>
      <c r="V26" s="557" t="s">
        <v>5388</v>
      </c>
      <c r="W26" s="138" t="s">
        <v>5389</v>
      </c>
      <c r="X26" s="2567" t="s">
        <v>5390</v>
      </c>
      <c r="Y26" s="2537" t="s">
        <v>5391</v>
      </c>
      <c r="Z26" s="2796" t="s">
        <v>5392</v>
      </c>
      <c r="AA26" s="138" t="s">
        <v>5393</v>
      </c>
      <c r="AB26" s="137" t="s">
        <v>5394</v>
      </c>
      <c r="AC26" s="260" t="s">
        <v>5395</v>
      </c>
      <c r="AD26" s="262" t="s">
        <v>5396</v>
      </c>
      <c r="AE26" s="557" t="s">
        <v>5397</v>
      </c>
      <c r="AF26" s="138" t="s">
        <v>5398</v>
      </c>
      <c r="AG26" s="1086" t="s">
        <v>5399</v>
      </c>
      <c r="AH26" s="2759" t="s">
        <v>5400</v>
      </c>
      <c r="AI26" s="2869" t="s">
        <v>5401</v>
      </c>
      <c r="AJ26" s="1084" t="s">
        <v>5402</v>
      </c>
      <c r="AK26" s="1085" t="s">
        <v>5403</v>
      </c>
      <c r="AL26" s="1084" t="s">
        <v>5404</v>
      </c>
      <c r="AM26" s="214"/>
      <c r="AN26" s="214"/>
      <c r="AO26" s="214"/>
      <c r="AP26" s="214"/>
    </row>
    <row r="27" spans="1:42" x14ac:dyDescent="0.25">
      <c r="A27" s="7682">
        <v>30000009</v>
      </c>
      <c r="B27" s="2855" t="s">
        <v>261</v>
      </c>
      <c r="C27" s="2518" t="s">
        <v>5369</v>
      </c>
      <c r="D27" s="138" t="s">
        <v>5370</v>
      </c>
      <c r="E27" s="137" t="s">
        <v>5371</v>
      </c>
      <c r="F27" s="138" t="s">
        <v>5372</v>
      </c>
      <c r="G27" s="137" t="s">
        <v>5373</v>
      </c>
      <c r="H27" s="138" t="s">
        <v>5374</v>
      </c>
      <c r="I27" s="137" t="s">
        <v>5375</v>
      </c>
      <c r="J27" s="138" t="s">
        <v>5376</v>
      </c>
      <c r="K27" s="137" t="s">
        <v>5377</v>
      </c>
      <c r="L27" s="138" t="s">
        <v>5378</v>
      </c>
      <c r="M27" s="137" t="s">
        <v>5379</v>
      </c>
      <c r="N27" s="138" t="s">
        <v>5380</v>
      </c>
      <c r="O27" s="875" t="s">
        <v>5381</v>
      </c>
      <c r="P27" s="850" t="s">
        <v>5382</v>
      </c>
      <c r="Q27" s="875" t="s">
        <v>5383</v>
      </c>
      <c r="R27" s="850" t="s">
        <v>5384</v>
      </c>
      <c r="S27" s="584" t="s">
        <v>5385</v>
      </c>
      <c r="T27" s="1087" t="s">
        <v>5386</v>
      </c>
      <c r="U27" s="262" t="s">
        <v>5387</v>
      </c>
      <c r="V27" s="557" t="s">
        <v>5388</v>
      </c>
      <c r="W27" s="138" t="s">
        <v>5389</v>
      </c>
      <c r="X27" s="2567" t="s">
        <v>5390</v>
      </c>
      <c r="Y27" s="2537" t="s">
        <v>5391</v>
      </c>
      <c r="Z27" s="2796" t="s">
        <v>5392</v>
      </c>
      <c r="AA27" s="138" t="s">
        <v>5393</v>
      </c>
      <c r="AB27" s="137" t="s">
        <v>5394</v>
      </c>
      <c r="AC27" s="260" t="s">
        <v>5395</v>
      </c>
      <c r="AD27" s="262" t="s">
        <v>5396</v>
      </c>
      <c r="AE27" s="557" t="s">
        <v>5397</v>
      </c>
      <c r="AF27" s="138" t="s">
        <v>5398</v>
      </c>
      <c r="AG27" s="1086" t="s">
        <v>5399</v>
      </c>
      <c r="AH27" s="2759" t="s">
        <v>5400</v>
      </c>
      <c r="AI27" s="2869" t="s">
        <v>5401</v>
      </c>
      <c r="AJ27" s="1084" t="s">
        <v>5402</v>
      </c>
      <c r="AK27" s="1085" t="s">
        <v>5403</v>
      </c>
      <c r="AL27" s="1084" t="s">
        <v>5404</v>
      </c>
      <c r="AM27" s="214"/>
      <c r="AN27" s="214"/>
      <c r="AO27" s="214"/>
      <c r="AP27" s="214"/>
    </row>
    <row r="28" spans="1:42" x14ac:dyDescent="0.25">
      <c r="A28" s="7682">
        <v>30000010</v>
      </c>
      <c r="B28" s="2855" t="s">
        <v>262</v>
      </c>
      <c r="C28" s="2518" t="s">
        <v>5369</v>
      </c>
      <c r="D28" s="138" t="s">
        <v>5370</v>
      </c>
      <c r="E28" s="137" t="s">
        <v>5371</v>
      </c>
      <c r="F28" s="138" t="s">
        <v>5372</v>
      </c>
      <c r="G28" s="137" t="s">
        <v>5373</v>
      </c>
      <c r="H28" s="138" t="s">
        <v>5374</v>
      </c>
      <c r="I28" s="137" t="s">
        <v>5375</v>
      </c>
      <c r="J28" s="138" t="s">
        <v>5376</v>
      </c>
      <c r="K28" s="137" t="s">
        <v>5377</v>
      </c>
      <c r="L28" s="138" t="s">
        <v>5378</v>
      </c>
      <c r="M28" s="137" t="s">
        <v>5379</v>
      </c>
      <c r="N28" s="138" t="s">
        <v>5380</v>
      </c>
      <c r="O28" s="875" t="s">
        <v>5381</v>
      </c>
      <c r="P28" s="850" t="s">
        <v>5382</v>
      </c>
      <c r="Q28" s="875" t="s">
        <v>5383</v>
      </c>
      <c r="R28" s="850" t="s">
        <v>5384</v>
      </c>
      <c r="S28" s="584" t="s">
        <v>5385</v>
      </c>
      <c r="T28" s="1087" t="s">
        <v>5386</v>
      </c>
      <c r="U28" s="262" t="s">
        <v>5387</v>
      </c>
      <c r="V28" s="557" t="s">
        <v>5388</v>
      </c>
      <c r="W28" s="138" t="s">
        <v>5389</v>
      </c>
      <c r="X28" s="2567" t="s">
        <v>5390</v>
      </c>
      <c r="Y28" s="2537" t="s">
        <v>5391</v>
      </c>
      <c r="Z28" s="2796" t="s">
        <v>5392</v>
      </c>
      <c r="AA28" s="138" t="s">
        <v>5393</v>
      </c>
      <c r="AB28" s="137" t="s">
        <v>5394</v>
      </c>
      <c r="AC28" s="260" t="s">
        <v>5395</v>
      </c>
      <c r="AD28" s="262" t="s">
        <v>5396</v>
      </c>
      <c r="AE28" s="557" t="s">
        <v>5397</v>
      </c>
      <c r="AF28" s="138" t="s">
        <v>5398</v>
      </c>
      <c r="AG28" s="1086" t="s">
        <v>5399</v>
      </c>
      <c r="AH28" s="2759" t="s">
        <v>5400</v>
      </c>
      <c r="AI28" s="2869" t="s">
        <v>5401</v>
      </c>
      <c r="AJ28" s="1084" t="s">
        <v>5402</v>
      </c>
      <c r="AK28" s="1085" t="s">
        <v>5403</v>
      </c>
      <c r="AL28" s="1084" t="s">
        <v>5404</v>
      </c>
      <c r="AM28" s="214"/>
      <c r="AN28" s="214"/>
      <c r="AO28" s="214"/>
      <c r="AP28" s="214"/>
    </row>
    <row r="29" spans="1:42" x14ac:dyDescent="0.25">
      <c r="A29" s="7682">
        <v>30000011</v>
      </c>
      <c r="B29" s="2855" t="s">
        <v>263</v>
      </c>
      <c r="C29" s="2518" t="s">
        <v>5369</v>
      </c>
      <c r="D29" s="138" t="s">
        <v>5370</v>
      </c>
      <c r="E29" s="137" t="s">
        <v>5371</v>
      </c>
      <c r="F29" s="138" t="s">
        <v>5372</v>
      </c>
      <c r="G29" s="137" t="s">
        <v>5373</v>
      </c>
      <c r="H29" s="138" t="s">
        <v>5374</v>
      </c>
      <c r="I29" s="137" t="s">
        <v>5375</v>
      </c>
      <c r="J29" s="138" t="s">
        <v>5376</v>
      </c>
      <c r="K29" s="137" t="s">
        <v>5377</v>
      </c>
      <c r="L29" s="138" t="s">
        <v>5378</v>
      </c>
      <c r="M29" s="137" t="s">
        <v>5379</v>
      </c>
      <c r="N29" s="138" t="s">
        <v>5380</v>
      </c>
      <c r="O29" s="875" t="s">
        <v>5381</v>
      </c>
      <c r="P29" s="850" t="s">
        <v>5382</v>
      </c>
      <c r="Q29" s="875" t="s">
        <v>5383</v>
      </c>
      <c r="R29" s="850" t="s">
        <v>5384</v>
      </c>
      <c r="S29" s="584" t="s">
        <v>5385</v>
      </c>
      <c r="T29" s="1087" t="s">
        <v>5386</v>
      </c>
      <c r="U29" s="262" t="s">
        <v>5387</v>
      </c>
      <c r="V29" s="557" t="s">
        <v>5388</v>
      </c>
      <c r="W29" s="138" t="s">
        <v>5389</v>
      </c>
      <c r="X29" s="2567" t="s">
        <v>5390</v>
      </c>
      <c r="Y29" s="2537" t="s">
        <v>5391</v>
      </c>
      <c r="Z29" s="2796" t="s">
        <v>5392</v>
      </c>
      <c r="AA29" s="138" t="s">
        <v>5393</v>
      </c>
      <c r="AB29" s="137" t="s">
        <v>5394</v>
      </c>
      <c r="AC29" s="260" t="s">
        <v>5395</v>
      </c>
      <c r="AD29" s="262" t="s">
        <v>5396</v>
      </c>
      <c r="AE29" s="557" t="s">
        <v>5397</v>
      </c>
      <c r="AF29" s="138" t="s">
        <v>5398</v>
      </c>
      <c r="AG29" s="1086" t="s">
        <v>5399</v>
      </c>
      <c r="AH29" s="2759" t="s">
        <v>5400</v>
      </c>
      <c r="AI29" s="2869" t="s">
        <v>5401</v>
      </c>
      <c r="AJ29" s="1084" t="s">
        <v>5402</v>
      </c>
      <c r="AK29" s="1085" t="s">
        <v>5403</v>
      </c>
      <c r="AL29" s="1084" t="s">
        <v>5404</v>
      </c>
      <c r="AM29" s="214"/>
      <c r="AN29" s="214"/>
      <c r="AO29" s="214"/>
      <c r="AP29" s="214"/>
    </row>
    <row r="30" spans="1:42" x14ac:dyDescent="0.25">
      <c r="A30" s="7682">
        <v>30000012</v>
      </c>
      <c r="B30" s="2855" t="s">
        <v>264</v>
      </c>
      <c r="C30" s="2518" t="s">
        <v>5369</v>
      </c>
      <c r="D30" s="138" t="s">
        <v>5370</v>
      </c>
      <c r="E30" s="137" t="s">
        <v>5371</v>
      </c>
      <c r="F30" s="138" t="s">
        <v>5372</v>
      </c>
      <c r="G30" s="137" t="s">
        <v>5373</v>
      </c>
      <c r="H30" s="138" t="s">
        <v>5374</v>
      </c>
      <c r="I30" s="137" t="s">
        <v>5375</v>
      </c>
      <c r="J30" s="138" t="s">
        <v>5376</v>
      </c>
      <c r="K30" s="137" t="s">
        <v>5377</v>
      </c>
      <c r="L30" s="138" t="s">
        <v>5378</v>
      </c>
      <c r="M30" s="137" t="s">
        <v>5379</v>
      </c>
      <c r="N30" s="138" t="s">
        <v>5380</v>
      </c>
      <c r="O30" s="875" t="s">
        <v>5381</v>
      </c>
      <c r="P30" s="850" t="s">
        <v>5382</v>
      </c>
      <c r="Q30" s="875" t="s">
        <v>5383</v>
      </c>
      <c r="R30" s="850" t="s">
        <v>5384</v>
      </c>
      <c r="S30" s="584" t="s">
        <v>5385</v>
      </c>
      <c r="T30" s="1087" t="s">
        <v>5386</v>
      </c>
      <c r="U30" s="262" t="s">
        <v>5387</v>
      </c>
      <c r="V30" s="557" t="s">
        <v>5388</v>
      </c>
      <c r="W30" s="138" t="s">
        <v>5389</v>
      </c>
      <c r="X30" s="2567" t="s">
        <v>5390</v>
      </c>
      <c r="Y30" s="2537" t="s">
        <v>5391</v>
      </c>
      <c r="Z30" s="2796" t="s">
        <v>5392</v>
      </c>
      <c r="AA30" s="138" t="s">
        <v>5393</v>
      </c>
      <c r="AB30" s="137" t="s">
        <v>5394</v>
      </c>
      <c r="AC30" s="260" t="s">
        <v>5395</v>
      </c>
      <c r="AD30" s="262" t="s">
        <v>5396</v>
      </c>
      <c r="AE30" s="557" t="s">
        <v>5397</v>
      </c>
      <c r="AF30" s="138" t="s">
        <v>5398</v>
      </c>
      <c r="AG30" s="1086" t="s">
        <v>5399</v>
      </c>
      <c r="AH30" s="2759" t="s">
        <v>5400</v>
      </c>
      <c r="AI30" s="2869" t="s">
        <v>5401</v>
      </c>
      <c r="AJ30" s="1084" t="s">
        <v>5402</v>
      </c>
      <c r="AK30" s="1085" t="s">
        <v>5403</v>
      </c>
      <c r="AL30" s="1084" t="s">
        <v>5404</v>
      </c>
      <c r="AM30" s="214"/>
      <c r="AN30" s="214"/>
      <c r="AO30" s="214"/>
      <c r="AP30" s="214"/>
    </row>
    <row r="31" spans="1:42" x14ac:dyDescent="0.25">
      <c r="A31" s="7682">
        <v>30000013</v>
      </c>
      <c r="B31" s="2855" t="s">
        <v>456</v>
      </c>
      <c r="C31" s="2518" t="s">
        <v>5369</v>
      </c>
      <c r="D31" s="138" t="s">
        <v>5370</v>
      </c>
      <c r="E31" s="137" t="s">
        <v>5371</v>
      </c>
      <c r="F31" s="138" t="s">
        <v>5372</v>
      </c>
      <c r="G31" s="137" t="s">
        <v>5373</v>
      </c>
      <c r="H31" s="138" t="s">
        <v>5374</v>
      </c>
      <c r="I31" s="137" t="s">
        <v>5375</v>
      </c>
      <c r="J31" s="138" t="s">
        <v>5376</v>
      </c>
      <c r="K31" s="137" t="s">
        <v>5377</v>
      </c>
      <c r="L31" s="138" t="s">
        <v>5378</v>
      </c>
      <c r="M31" s="137" t="s">
        <v>5379</v>
      </c>
      <c r="N31" s="138" t="s">
        <v>5380</v>
      </c>
      <c r="O31" s="875" t="s">
        <v>5381</v>
      </c>
      <c r="P31" s="850" t="s">
        <v>5382</v>
      </c>
      <c r="Q31" s="875" t="s">
        <v>5383</v>
      </c>
      <c r="R31" s="850" t="s">
        <v>5384</v>
      </c>
      <c r="S31" s="584" t="s">
        <v>5385</v>
      </c>
      <c r="T31" s="1087" t="s">
        <v>5386</v>
      </c>
      <c r="U31" s="262" t="s">
        <v>5387</v>
      </c>
      <c r="V31" s="557" t="s">
        <v>5388</v>
      </c>
      <c r="W31" s="138" t="s">
        <v>5389</v>
      </c>
      <c r="X31" s="2567" t="s">
        <v>5390</v>
      </c>
      <c r="Y31" s="2537" t="s">
        <v>5391</v>
      </c>
      <c r="Z31" s="2796" t="s">
        <v>5392</v>
      </c>
      <c r="AA31" s="138" t="s">
        <v>5393</v>
      </c>
      <c r="AB31" s="137" t="s">
        <v>5394</v>
      </c>
      <c r="AC31" s="260" t="s">
        <v>5395</v>
      </c>
      <c r="AD31" s="262" t="s">
        <v>5396</v>
      </c>
      <c r="AE31" s="557" t="s">
        <v>5397</v>
      </c>
      <c r="AF31" s="138" t="s">
        <v>5398</v>
      </c>
      <c r="AG31" s="1086" t="s">
        <v>5399</v>
      </c>
      <c r="AH31" s="2759" t="s">
        <v>5400</v>
      </c>
      <c r="AI31" s="2869" t="s">
        <v>5401</v>
      </c>
      <c r="AJ31" s="1084" t="s">
        <v>5402</v>
      </c>
      <c r="AK31" s="1085" t="s">
        <v>5403</v>
      </c>
      <c r="AL31" s="1084" t="s">
        <v>5404</v>
      </c>
      <c r="AM31" s="214"/>
      <c r="AN31" s="214"/>
      <c r="AO31" s="214"/>
      <c r="AP31" s="214"/>
    </row>
    <row r="32" spans="1:42" x14ac:dyDescent="0.25">
      <c r="A32" s="7682">
        <v>30000014</v>
      </c>
      <c r="B32" s="2855" t="s">
        <v>265</v>
      </c>
      <c r="C32" s="2518" t="s">
        <v>5369</v>
      </c>
      <c r="D32" s="138" t="s">
        <v>5370</v>
      </c>
      <c r="E32" s="137" t="s">
        <v>5371</v>
      </c>
      <c r="F32" s="138" t="s">
        <v>5372</v>
      </c>
      <c r="G32" s="137" t="s">
        <v>5373</v>
      </c>
      <c r="H32" s="138" t="s">
        <v>5374</v>
      </c>
      <c r="I32" s="137" t="s">
        <v>5375</v>
      </c>
      <c r="J32" s="138" t="s">
        <v>5376</v>
      </c>
      <c r="K32" s="137" t="s">
        <v>5377</v>
      </c>
      <c r="L32" s="138" t="s">
        <v>5378</v>
      </c>
      <c r="M32" s="137" t="s">
        <v>5379</v>
      </c>
      <c r="N32" s="138" t="s">
        <v>5380</v>
      </c>
      <c r="O32" s="875" t="s">
        <v>5381</v>
      </c>
      <c r="P32" s="850" t="s">
        <v>5382</v>
      </c>
      <c r="Q32" s="875" t="s">
        <v>5383</v>
      </c>
      <c r="R32" s="850" t="s">
        <v>5384</v>
      </c>
      <c r="S32" s="584" t="s">
        <v>5385</v>
      </c>
      <c r="T32" s="1087" t="s">
        <v>5386</v>
      </c>
      <c r="U32" s="262" t="s">
        <v>5387</v>
      </c>
      <c r="V32" s="557" t="s">
        <v>5388</v>
      </c>
      <c r="W32" s="138" t="s">
        <v>5389</v>
      </c>
      <c r="X32" s="2567" t="s">
        <v>5390</v>
      </c>
      <c r="Y32" s="2537" t="s">
        <v>5391</v>
      </c>
      <c r="Z32" s="2796" t="s">
        <v>5392</v>
      </c>
      <c r="AA32" s="138" t="s">
        <v>5393</v>
      </c>
      <c r="AB32" s="137" t="s">
        <v>5394</v>
      </c>
      <c r="AC32" s="260" t="s">
        <v>5395</v>
      </c>
      <c r="AD32" s="262" t="s">
        <v>5396</v>
      </c>
      <c r="AE32" s="557" t="s">
        <v>5397</v>
      </c>
      <c r="AF32" s="138" t="s">
        <v>5398</v>
      </c>
      <c r="AG32" s="1086" t="s">
        <v>5399</v>
      </c>
      <c r="AH32" s="2759" t="s">
        <v>5400</v>
      </c>
      <c r="AI32" s="2869" t="s">
        <v>5401</v>
      </c>
      <c r="AJ32" s="1084" t="s">
        <v>5402</v>
      </c>
      <c r="AK32" s="1085" t="s">
        <v>5403</v>
      </c>
      <c r="AL32" s="1084" t="s">
        <v>5404</v>
      </c>
      <c r="AM32" s="214"/>
      <c r="AN32" s="214"/>
      <c r="AO32" s="214"/>
      <c r="AP32" s="214"/>
    </row>
    <row r="33" spans="1:42" x14ac:dyDescent="0.25">
      <c r="A33" s="7682">
        <v>30000015</v>
      </c>
      <c r="B33" s="2855" t="s">
        <v>266</v>
      </c>
      <c r="C33" s="2518" t="s">
        <v>5369</v>
      </c>
      <c r="D33" s="138" t="s">
        <v>5370</v>
      </c>
      <c r="E33" s="137" t="s">
        <v>5371</v>
      </c>
      <c r="F33" s="138" t="s">
        <v>5372</v>
      </c>
      <c r="G33" s="137" t="s">
        <v>5373</v>
      </c>
      <c r="H33" s="138" t="s">
        <v>5374</v>
      </c>
      <c r="I33" s="137" t="s">
        <v>5375</v>
      </c>
      <c r="J33" s="138" t="s">
        <v>5376</v>
      </c>
      <c r="K33" s="137" t="s">
        <v>5377</v>
      </c>
      <c r="L33" s="138" t="s">
        <v>5378</v>
      </c>
      <c r="M33" s="137" t="s">
        <v>5379</v>
      </c>
      <c r="N33" s="138" t="s">
        <v>5380</v>
      </c>
      <c r="O33" s="875" t="s">
        <v>5381</v>
      </c>
      <c r="P33" s="850" t="s">
        <v>5382</v>
      </c>
      <c r="Q33" s="875" t="s">
        <v>5383</v>
      </c>
      <c r="R33" s="850" t="s">
        <v>5384</v>
      </c>
      <c r="S33" s="584" t="s">
        <v>5385</v>
      </c>
      <c r="T33" s="1087" t="s">
        <v>5386</v>
      </c>
      <c r="U33" s="262" t="s">
        <v>5387</v>
      </c>
      <c r="V33" s="557" t="s">
        <v>5388</v>
      </c>
      <c r="W33" s="138" t="s">
        <v>5389</v>
      </c>
      <c r="X33" s="2567" t="s">
        <v>5390</v>
      </c>
      <c r="Y33" s="2537" t="s">
        <v>5391</v>
      </c>
      <c r="Z33" s="2796" t="s">
        <v>5392</v>
      </c>
      <c r="AA33" s="138" t="s">
        <v>5393</v>
      </c>
      <c r="AB33" s="137" t="s">
        <v>5394</v>
      </c>
      <c r="AC33" s="260" t="s">
        <v>5395</v>
      </c>
      <c r="AD33" s="262" t="s">
        <v>5396</v>
      </c>
      <c r="AE33" s="557" t="s">
        <v>5397</v>
      </c>
      <c r="AF33" s="138" t="s">
        <v>5398</v>
      </c>
      <c r="AG33" s="1086" t="s">
        <v>5399</v>
      </c>
      <c r="AH33" s="2759" t="s">
        <v>5400</v>
      </c>
      <c r="AI33" s="2869" t="s">
        <v>5401</v>
      </c>
      <c r="AJ33" s="1084" t="s">
        <v>5402</v>
      </c>
      <c r="AK33" s="1085" t="s">
        <v>5403</v>
      </c>
      <c r="AL33" s="1084" t="s">
        <v>5404</v>
      </c>
      <c r="AM33" s="214"/>
      <c r="AN33" s="214"/>
      <c r="AO33" s="214"/>
      <c r="AP33" s="214"/>
    </row>
    <row r="34" spans="1:42" x14ac:dyDescent="0.25">
      <c r="A34" s="7682">
        <v>30000016</v>
      </c>
      <c r="B34" s="2855" t="s">
        <v>267</v>
      </c>
      <c r="C34" s="2518" t="s">
        <v>5369</v>
      </c>
      <c r="D34" s="138" t="s">
        <v>5370</v>
      </c>
      <c r="E34" s="137" t="s">
        <v>5371</v>
      </c>
      <c r="F34" s="138" t="s">
        <v>5372</v>
      </c>
      <c r="G34" s="137" t="s">
        <v>5373</v>
      </c>
      <c r="H34" s="138" t="s">
        <v>5374</v>
      </c>
      <c r="I34" s="137" t="s">
        <v>5375</v>
      </c>
      <c r="J34" s="138" t="s">
        <v>5376</v>
      </c>
      <c r="K34" s="137" t="s">
        <v>5377</v>
      </c>
      <c r="L34" s="138" t="s">
        <v>5378</v>
      </c>
      <c r="M34" s="137" t="s">
        <v>5379</v>
      </c>
      <c r="N34" s="138" t="s">
        <v>5380</v>
      </c>
      <c r="O34" s="875" t="s">
        <v>5381</v>
      </c>
      <c r="P34" s="850" t="s">
        <v>5382</v>
      </c>
      <c r="Q34" s="875" t="s">
        <v>5383</v>
      </c>
      <c r="R34" s="850" t="s">
        <v>5384</v>
      </c>
      <c r="S34" s="584" t="s">
        <v>5385</v>
      </c>
      <c r="T34" s="1087" t="s">
        <v>5386</v>
      </c>
      <c r="U34" s="262" t="s">
        <v>5387</v>
      </c>
      <c r="V34" s="557" t="s">
        <v>5388</v>
      </c>
      <c r="W34" s="138" t="s">
        <v>5389</v>
      </c>
      <c r="X34" s="2567" t="s">
        <v>5390</v>
      </c>
      <c r="Y34" s="2537" t="s">
        <v>5391</v>
      </c>
      <c r="Z34" s="2796" t="s">
        <v>5392</v>
      </c>
      <c r="AA34" s="138" t="s">
        <v>5393</v>
      </c>
      <c r="AB34" s="137" t="s">
        <v>5394</v>
      </c>
      <c r="AC34" s="260" t="s">
        <v>5395</v>
      </c>
      <c r="AD34" s="262" t="s">
        <v>5396</v>
      </c>
      <c r="AE34" s="557" t="s">
        <v>5397</v>
      </c>
      <c r="AF34" s="138" t="s">
        <v>5398</v>
      </c>
      <c r="AG34" s="1086" t="s">
        <v>5399</v>
      </c>
      <c r="AH34" s="2759" t="s">
        <v>5400</v>
      </c>
      <c r="AI34" s="2869" t="s">
        <v>5401</v>
      </c>
      <c r="AJ34" s="1084" t="s">
        <v>5402</v>
      </c>
      <c r="AK34" s="1085" t="s">
        <v>5403</v>
      </c>
      <c r="AL34" s="1084" t="s">
        <v>5404</v>
      </c>
      <c r="AM34" s="214"/>
      <c r="AN34" s="214"/>
      <c r="AO34" s="214"/>
      <c r="AP34" s="214"/>
    </row>
    <row r="35" spans="1:42" x14ac:dyDescent="0.25">
      <c r="A35" s="7682">
        <v>30000017</v>
      </c>
      <c r="B35" s="2855" t="s">
        <v>457</v>
      </c>
      <c r="C35" s="2518" t="s">
        <v>5369</v>
      </c>
      <c r="D35" s="138" t="s">
        <v>5370</v>
      </c>
      <c r="E35" s="137" t="s">
        <v>5371</v>
      </c>
      <c r="F35" s="138" t="s">
        <v>5372</v>
      </c>
      <c r="G35" s="137" t="s">
        <v>5373</v>
      </c>
      <c r="H35" s="138" t="s">
        <v>5374</v>
      </c>
      <c r="I35" s="137" t="s">
        <v>5375</v>
      </c>
      <c r="J35" s="138" t="s">
        <v>5376</v>
      </c>
      <c r="K35" s="137" t="s">
        <v>5377</v>
      </c>
      <c r="L35" s="138" t="s">
        <v>5378</v>
      </c>
      <c r="M35" s="137" t="s">
        <v>5379</v>
      </c>
      <c r="N35" s="138" t="s">
        <v>5380</v>
      </c>
      <c r="O35" s="875" t="s">
        <v>5381</v>
      </c>
      <c r="P35" s="850" t="s">
        <v>5382</v>
      </c>
      <c r="Q35" s="875" t="s">
        <v>5383</v>
      </c>
      <c r="R35" s="850" t="s">
        <v>5384</v>
      </c>
      <c r="S35" s="584" t="s">
        <v>5385</v>
      </c>
      <c r="T35" s="1087" t="s">
        <v>5386</v>
      </c>
      <c r="U35" s="262" t="s">
        <v>5387</v>
      </c>
      <c r="V35" s="557" t="s">
        <v>5388</v>
      </c>
      <c r="W35" s="138" t="s">
        <v>5389</v>
      </c>
      <c r="X35" s="2567" t="s">
        <v>5390</v>
      </c>
      <c r="Y35" s="2537" t="s">
        <v>5391</v>
      </c>
      <c r="Z35" s="2796" t="s">
        <v>5392</v>
      </c>
      <c r="AA35" s="138" t="s">
        <v>5393</v>
      </c>
      <c r="AB35" s="137" t="s">
        <v>5394</v>
      </c>
      <c r="AC35" s="260" t="s">
        <v>5395</v>
      </c>
      <c r="AD35" s="262" t="s">
        <v>5396</v>
      </c>
      <c r="AE35" s="557" t="s">
        <v>5397</v>
      </c>
      <c r="AF35" s="138" t="s">
        <v>5398</v>
      </c>
      <c r="AG35" s="1086" t="s">
        <v>5399</v>
      </c>
      <c r="AH35" s="2759" t="s">
        <v>5400</v>
      </c>
      <c r="AI35" s="2869" t="s">
        <v>5401</v>
      </c>
      <c r="AJ35" s="1084" t="s">
        <v>5402</v>
      </c>
      <c r="AK35" s="1085" t="s">
        <v>5403</v>
      </c>
      <c r="AL35" s="1084" t="s">
        <v>5404</v>
      </c>
      <c r="AM35" s="214"/>
      <c r="AN35" s="214"/>
      <c r="AO35" s="214"/>
      <c r="AP35" s="214"/>
    </row>
    <row r="36" spans="1:42" x14ac:dyDescent="0.25">
      <c r="A36" s="7682">
        <v>30000018</v>
      </c>
      <c r="B36" s="2855" t="s">
        <v>268</v>
      </c>
      <c r="C36" s="2518" t="s">
        <v>5369</v>
      </c>
      <c r="D36" s="138" t="s">
        <v>5370</v>
      </c>
      <c r="E36" s="137" t="s">
        <v>5371</v>
      </c>
      <c r="F36" s="138" t="s">
        <v>5372</v>
      </c>
      <c r="G36" s="137" t="s">
        <v>5373</v>
      </c>
      <c r="H36" s="138" t="s">
        <v>5374</v>
      </c>
      <c r="I36" s="137" t="s">
        <v>5375</v>
      </c>
      <c r="J36" s="138" t="s">
        <v>5376</v>
      </c>
      <c r="K36" s="137" t="s">
        <v>5377</v>
      </c>
      <c r="L36" s="138" t="s">
        <v>5378</v>
      </c>
      <c r="M36" s="137" t="s">
        <v>5379</v>
      </c>
      <c r="N36" s="138" t="s">
        <v>5380</v>
      </c>
      <c r="O36" s="875" t="s">
        <v>5381</v>
      </c>
      <c r="P36" s="850" t="s">
        <v>5382</v>
      </c>
      <c r="Q36" s="875" t="s">
        <v>5383</v>
      </c>
      <c r="R36" s="850" t="s">
        <v>5384</v>
      </c>
      <c r="S36" s="584" t="s">
        <v>5385</v>
      </c>
      <c r="T36" s="1087" t="s">
        <v>5386</v>
      </c>
      <c r="U36" s="262" t="s">
        <v>5387</v>
      </c>
      <c r="V36" s="557" t="s">
        <v>5388</v>
      </c>
      <c r="W36" s="138" t="s">
        <v>5389</v>
      </c>
      <c r="X36" s="2567" t="s">
        <v>5390</v>
      </c>
      <c r="Y36" s="2537" t="s">
        <v>5391</v>
      </c>
      <c r="Z36" s="2796" t="s">
        <v>5392</v>
      </c>
      <c r="AA36" s="138" t="s">
        <v>5393</v>
      </c>
      <c r="AB36" s="137" t="s">
        <v>5394</v>
      </c>
      <c r="AC36" s="260" t="s">
        <v>5395</v>
      </c>
      <c r="AD36" s="262" t="s">
        <v>5396</v>
      </c>
      <c r="AE36" s="557" t="s">
        <v>5397</v>
      </c>
      <c r="AF36" s="138" t="s">
        <v>5398</v>
      </c>
      <c r="AG36" s="1086" t="s">
        <v>5399</v>
      </c>
      <c r="AH36" s="2759" t="s">
        <v>5400</v>
      </c>
      <c r="AI36" s="2869" t="s">
        <v>5401</v>
      </c>
      <c r="AJ36" s="1084" t="s">
        <v>5402</v>
      </c>
      <c r="AK36" s="1085" t="s">
        <v>5403</v>
      </c>
      <c r="AL36" s="1084" t="s">
        <v>5404</v>
      </c>
      <c r="AM36" s="214"/>
      <c r="AN36" s="214"/>
      <c r="AO36" s="214"/>
      <c r="AP36" s="214"/>
    </row>
    <row r="37" spans="1:42" x14ac:dyDescent="0.25">
      <c r="A37" s="7682">
        <v>30000019</v>
      </c>
      <c r="B37" s="2855" t="s">
        <v>458</v>
      </c>
      <c r="C37" s="2518" t="s">
        <v>5369</v>
      </c>
      <c r="D37" s="138" t="s">
        <v>5370</v>
      </c>
      <c r="E37" s="137" t="s">
        <v>5371</v>
      </c>
      <c r="F37" s="138" t="s">
        <v>5372</v>
      </c>
      <c r="G37" s="137" t="s">
        <v>5373</v>
      </c>
      <c r="H37" s="138" t="s">
        <v>5374</v>
      </c>
      <c r="I37" s="137" t="s">
        <v>5375</v>
      </c>
      <c r="J37" s="138" t="s">
        <v>5376</v>
      </c>
      <c r="K37" s="137" t="s">
        <v>5377</v>
      </c>
      <c r="L37" s="138" t="s">
        <v>5378</v>
      </c>
      <c r="M37" s="137" t="s">
        <v>5379</v>
      </c>
      <c r="N37" s="138" t="s">
        <v>5380</v>
      </c>
      <c r="O37" s="875" t="s">
        <v>5381</v>
      </c>
      <c r="P37" s="850" t="s">
        <v>5382</v>
      </c>
      <c r="Q37" s="875" t="s">
        <v>5383</v>
      </c>
      <c r="R37" s="850" t="s">
        <v>5384</v>
      </c>
      <c r="S37" s="584" t="s">
        <v>5385</v>
      </c>
      <c r="T37" s="1087" t="s">
        <v>5386</v>
      </c>
      <c r="U37" s="262" t="s">
        <v>5387</v>
      </c>
      <c r="V37" s="557" t="s">
        <v>5388</v>
      </c>
      <c r="W37" s="138" t="s">
        <v>5389</v>
      </c>
      <c r="X37" s="2567" t="s">
        <v>5390</v>
      </c>
      <c r="Y37" s="2537" t="s">
        <v>5391</v>
      </c>
      <c r="Z37" s="2796" t="s">
        <v>5392</v>
      </c>
      <c r="AA37" s="138" t="s">
        <v>5393</v>
      </c>
      <c r="AB37" s="137" t="s">
        <v>5394</v>
      </c>
      <c r="AC37" s="260" t="s">
        <v>5395</v>
      </c>
      <c r="AD37" s="262" t="s">
        <v>5396</v>
      </c>
      <c r="AE37" s="557" t="s">
        <v>5397</v>
      </c>
      <c r="AF37" s="138" t="s">
        <v>5398</v>
      </c>
      <c r="AG37" s="1086" t="s">
        <v>5399</v>
      </c>
      <c r="AH37" s="2759" t="s">
        <v>5400</v>
      </c>
      <c r="AI37" s="2869" t="s">
        <v>5401</v>
      </c>
      <c r="AJ37" s="1084" t="s">
        <v>5402</v>
      </c>
      <c r="AK37" s="1085" t="s">
        <v>5403</v>
      </c>
      <c r="AL37" s="1084" t="s">
        <v>5404</v>
      </c>
      <c r="AM37" s="214"/>
      <c r="AN37" s="214"/>
      <c r="AO37" s="214"/>
      <c r="AP37" s="214"/>
    </row>
    <row r="38" spans="1:42" x14ac:dyDescent="0.25">
      <c r="A38" s="7682">
        <v>30000020</v>
      </c>
      <c r="B38" s="2855" t="s">
        <v>269</v>
      </c>
      <c r="C38" s="2518" t="s">
        <v>5369</v>
      </c>
      <c r="D38" s="138" t="s">
        <v>5370</v>
      </c>
      <c r="E38" s="137" t="s">
        <v>5371</v>
      </c>
      <c r="F38" s="138" t="s">
        <v>5372</v>
      </c>
      <c r="G38" s="137" t="s">
        <v>5373</v>
      </c>
      <c r="H38" s="138" t="s">
        <v>5374</v>
      </c>
      <c r="I38" s="137" t="s">
        <v>5375</v>
      </c>
      <c r="J38" s="138" t="s">
        <v>5376</v>
      </c>
      <c r="K38" s="137" t="s">
        <v>5377</v>
      </c>
      <c r="L38" s="138" t="s">
        <v>5378</v>
      </c>
      <c r="M38" s="137" t="s">
        <v>5379</v>
      </c>
      <c r="N38" s="138" t="s">
        <v>5380</v>
      </c>
      <c r="O38" s="875" t="s">
        <v>5381</v>
      </c>
      <c r="P38" s="850" t="s">
        <v>5382</v>
      </c>
      <c r="Q38" s="875" t="s">
        <v>5383</v>
      </c>
      <c r="R38" s="850" t="s">
        <v>5384</v>
      </c>
      <c r="S38" s="584" t="s">
        <v>5385</v>
      </c>
      <c r="T38" s="1087" t="s">
        <v>5386</v>
      </c>
      <c r="U38" s="262" t="s">
        <v>5387</v>
      </c>
      <c r="V38" s="557" t="s">
        <v>5388</v>
      </c>
      <c r="W38" s="138" t="s">
        <v>5389</v>
      </c>
      <c r="X38" s="2567" t="s">
        <v>5390</v>
      </c>
      <c r="Y38" s="2537" t="s">
        <v>5391</v>
      </c>
      <c r="Z38" s="2796" t="s">
        <v>5392</v>
      </c>
      <c r="AA38" s="138" t="s">
        <v>5393</v>
      </c>
      <c r="AB38" s="137" t="s">
        <v>5394</v>
      </c>
      <c r="AC38" s="260" t="s">
        <v>5395</v>
      </c>
      <c r="AD38" s="262" t="s">
        <v>5396</v>
      </c>
      <c r="AE38" s="557" t="s">
        <v>5397</v>
      </c>
      <c r="AF38" s="138" t="s">
        <v>5398</v>
      </c>
      <c r="AG38" s="1086" t="s">
        <v>5399</v>
      </c>
      <c r="AH38" s="2759" t="s">
        <v>5400</v>
      </c>
      <c r="AI38" s="2869" t="s">
        <v>5401</v>
      </c>
      <c r="AJ38" s="1084" t="s">
        <v>5402</v>
      </c>
      <c r="AK38" s="1085" t="s">
        <v>5403</v>
      </c>
      <c r="AL38" s="1084" t="s">
        <v>5404</v>
      </c>
      <c r="AM38" s="214"/>
      <c r="AN38" s="214"/>
      <c r="AO38" s="214"/>
      <c r="AP38" s="214"/>
    </row>
    <row r="39" spans="1:42" x14ac:dyDescent="0.25">
      <c r="A39" s="7682">
        <v>30000021</v>
      </c>
      <c r="B39" s="2855" t="s">
        <v>270</v>
      </c>
      <c r="C39" s="2518" t="s">
        <v>5369</v>
      </c>
      <c r="D39" s="138" t="s">
        <v>5370</v>
      </c>
      <c r="E39" s="137" t="s">
        <v>5371</v>
      </c>
      <c r="F39" s="138" t="s">
        <v>5372</v>
      </c>
      <c r="G39" s="137" t="s">
        <v>5373</v>
      </c>
      <c r="H39" s="138" t="s">
        <v>5374</v>
      </c>
      <c r="I39" s="137" t="s">
        <v>5375</v>
      </c>
      <c r="J39" s="138" t="s">
        <v>5376</v>
      </c>
      <c r="K39" s="137" t="s">
        <v>5377</v>
      </c>
      <c r="L39" s="138" t="s">
        <v>5378</v>
      </c>
      <c r="M39" s="137" t="s">
        <v>5379</v>
      </c>
      <c r="N39" s="138" t="s">
        <v>5380</v>
      </c>
      <c r="O39" s="875" t="s">
        <v>5381</v>
      </c>
      <c r="P39" s="850" t="s">
        <v>5382</v>
      </c>
      <c r="Q39" s="875" t="s">
        <v>5383</v>
      </c>
      <c r="R39" s="850" t="s">
        <v>5384</v>
      </c>
      <c r="S39" s="584" t="s">
        <v>5385</v>
      </c>
      <c r="T39" s="1087" t="s">
        <v>5386</v>
      </c>
      <c r="U39" s="262" t="s">
        <v>5387</v>
      </c>
      <c r="V39" s="557" t="s">
        <v>5388</v>
      </c>
      <c r="W39" s="138" t="s">
        <v>5389</v>
      </c>
      <c r="X39" s="2567" t="s">
        <v>5390</v>
      </c>
      <c r="Y39" s="2537" t="s">
        <v>5391</v>
      </c>
      <c r="Z39" s="2796" t="s">
        <v>5392</v>
      </c>
      <c r="AA39" s="138" t="s">
        <v>5393</v>
      </c>
      <c r="AB39" s="137" t="s">
        <v>5394</v>
      </c>
      <c r="AC39" s="260" t="s">
        <v>5395</v>
      </c>
      <c r="AD39" s="262" t="s">
        <v>5396</v>
      </c>
      <c r="AE39" s="557" t="s">
        <v>5397</v>
      </c>
      <c r="AF39" s="138" t="s">
        <v>5398</v>
      </c>
      <c r="AG39" s="1086" t="s">
        <v>5399</v>
      </c>
      <c r="AH39" s="2759" t="s">
        <v>5400</v>
      </c>
      <c r="AI39" s="2869" t="s">
        <v>5401</v>
      </c>
      <c r="AJ39" s="1084" t="s">
        <v>5402</v>
      </c>
      <c r="AK39" s="1085" t="s">
        <v>5403</v>
      </c>
      <c r="AL39" s="1084" t="s">
        <v>5404</v>
      </c>
      <c r="AM39" s="214"/>
      <c r="AN39" s="214"/>
      <c r="AO39" s="214"/>
      <c r="AP39" s="214"/>
    </row>
    <row r="40" spans="1:42" x14ac:dyDescent="0.25">
      <c r="A40" s="7682">
        <v>30000022</v>
      </c>
      <c r="B40" s="2855" t="s">
        <v>459</v>
      </c>
      <c r="C40" s="2518" t="s">
        <v>5369</v>
      </c>
      <c r="D40" s="138" t="s">
        <v>5370</v>
      </c>
      <c r="E40" s="137" t="s">
        <v>5371</v>
      </c>
      <c r="F40" s="138" t="s">
        <v>5372</v>
      </c>
      <c r="G40" s="137" t="s">
        <v>5373</v>
      </c>
      <c r="H40" s="138" t="s">
        <v>5374</v>
      </c>
      <c r="I40" s="137" t="s">
        <v>5375</v>
      </c>
      <c r="J40" s="138" t="s">
        <v>5376</v>
      </c>
      <c r="K40" s="137" t="s">
        <v>5377</v>
      </c>
      <c r="L40" s="138" t="s">
        <v>5378</v>
      </c>
      <c r="M40" s="137" t="s">
        <v>5379</v>
      </c>
      <c r="N40" s="138" t="s">
        <v>5380</v>
      </c>
      <c r="O40" s="875" t="s">
        <v>5381</v>
      </c>
      <c r="P40" s="850" t="s">
        <v>5382</v>
      </c>
      <c r="Q40" s="875" t="s">
        <v>5383</v>
      </c>
      <c r="R40" s="850" t="s">
        <v>5384</v>
      </c>
      <c r="S40" s="584" t="s">
        <v>5385</v>
      </c>
      <c r="T40" s="1087" t="s">
        <v>5386</v>
      </c>
      <c r="U40" s="262" t="s">
        <v>5387</v>
      </c>
      <c r="V40" s="557" t="s">
        <v>5388</v>
      </c>
      <c r="W40" s="138" t="s">
        <v>5389</v>
      </c>
      <c r="X40" s="2567" t="s">
        <v>5390</v>
      </c>
      <c r="Y40" s="2537" t="s">
        <v>5391</v>
      </c>
      <c r="Z40" s="2796" t="s">
        <v>5392</v>
      </c>
      <c r="AA40" s="138" t="s">
        <v>5393</v>
      </c>
      <c r="AB40" s="137" t="s">
        <v>5394</v>
      </c>
      <c r="AC40" s="260" t="s">
        <v>5395</v>
      </c>
      <c r="AD40" s="262" t="s">
        <v>5396</v>
      </c>
      <c r="AE40" s="557" t="s">
        <v>5397</v>
      </c>
      <c r="AF40" s="138" t="s">
        <v>5398</v>
      </c>
      <c r="AG40" s="1086" t="s">
        <v>5399</v>
      </c>
      <c r="AH40" s="2759" t="s">
        <v>5400</v>
      </c>
      <c r="AI40" s="2869" t="s">
        <v>5401</v>
      </c>
      <c r="AJ40" s="1084" t="s">
        <v>5402</v>
      </c>
      <c r="AK40" s="1085" t="s">
        <v>5403</v>
      </c>
      <c r="AL40" s="1084" t="s">
        <v>5404</v>
      </c>
      <c r="AM40" s="214"/>
      <c r="AN40" s="214"/>
      <c r="AO40" s="214"/>
      <c r="AP40" s="214"/>
    </row>
    <row r="41" spans="1:42" x14ac:dyDescent="0.25">
      <c r="A41" s="7682">
        <v>30000023</v>
      </c>
      <c r="B41" s="2855" t="s">
        <v>271</v>
      </c>
      <c r="C41" s="2518" t="s">
        <v>5369</v>
      </c>
      <c r="D41" s="138" t="s">
        <v>5370</v>
      </c>
      <c r="E41" s="137" t="s">
        <v>5371</v>
      </c>
      <c r="F41" s="138" t="s">
        <v>5372</v>
      </c>
      <c r="G41" s="137" t="s">
        <v>5373</v>
      </c>
      <c r="H41" s="138" t="s">
        <v>5374</v>
      </c>
      <c r="I41" s="137" t="s">
        <v>5375</v>
      </c>
      <c r="J41" s="138" t="s">
        <v>5376</v>
      </c>
      <c r="K41" s="137" t="s">
        <v>5377</v>
      </c>
      <c r="L41" s="138" t="s">
        <v>5378</v>
      </c>
      <c r="M41" s="137" t="s">
        <v>5379</v>
      </c>
      <c r="N41" s="138" t="s">
        <v>5380</v>
      </c>
      <c r="O41" s="875" t="s">
        <v>5381</v>
      </c>
      <c r="P41" s="850" t="s">
        <v>5382</v>
      </c>
      <c r="Q41" s="875" t="s">
        <v>5383</v>
      </c>
      <c r="R41" s="850" t="s">
        <v>5384</v>
      </c>
      <c r="S41" s="584" t="s">
        <v>5385</v>
      </c>
      <c r="T41" s="1087" t="s">
        <v>5386</v>
      </c>
      <c r="U41" s="262" t="s">
        <v>5387</v>
      </c>
      <c r="V41" s="557" t="s">
        <v>5388</v>
      </c>
      <c r="W41" s="138" t="s">
        <v>5389</v>
      </c>
      <c r="X41" s="2567" t="s">
        <v>5390</v>
      </c>
      <c r="Y41" s="2537" t="s">
        <v>5391</v>
      </c>
      <c r="Z41" s="2796" t="s">
        <v>5392</v>
      </c>
      <c r="AA41" s="138" t="s">
        <v>5393</v>
      </c>
      <c r="AB41" s="137" t="s">
        <v>5394</v>
      </c>
      <c r="AC41" s="260" t="s">
        <v>5395</v>
      </c>
      <c r="AD41" s="262" t="s">
        <v>5396</v>
      </c>
      <c r="AE41" s="557" t="s">
        <v>5397</v>
      </c>
      <c r="AF41" s="138" t="s">
        <v>5398</v>
      </c>
      <c r="AG41" s="1086" t="s">
        <v>5399</v>
      </c>
      <c r="AH41" s="2759" t="s">
        <v>5400</v>
      </c>
      <c r="AI41" s="2869" t="s">
        <v>5401</v>
      </c>
      <c r="AJ41" s="1084" t="s">
        <v>5402</v>
      </c>
      <c r="AK41" s="1085" t="s">
        <v>5403</v>
      </c>
      <c r="AL41" s="1084" t="s">
        <v>5404</v>
      </c>
      <c r="AM41" s="214"/>
      <c r="AN41" s="214"/>
      <c r="AO41" s="214"/>
      <c r="AP41" s="214"/>
    </row>
    <row r="42" spans="1:42" x14ac:dyDescent="0.25">
      <c r="A42" s="7682">
        <v>30000024</v>
      </c>
      <c r="B42" s="2855" t="s">
        <v>272</v>
      </c>
      <c r="C42" s="2518" t="s">
        <v>5369</v>
      </c>
      <c r="D42" s="138" t="s">
        <v>5370</v>
      </c>
      <c r="E42" s="137" t="s">
        <v>5371</v>
      </c>
      <c r="F42" s="138" t="s">
        <v>5372</v>
      </c>
      <c r="G42" s="137" t="s">
        <v>5373</v>
      </c>
      <c r="H42" s="138" t="s">
        <v>5374</v>
      </c>
      <c r="I42" s="137" t="s">
        <v>5375</v>
      </c>
      <c r="J42" s="138" t="s">
        <v>5376</v>
      </c>
      <c r="K42" s="137" t="s">
        <v>5377</v>
      </c>
      <c r="L42" s="138" t="s">
        <v>5378</v>
      </c>
      <c r="M42" s="137" t="s">
        <v>5379</v>
      </c>
      <c r="N42" s="138" t="s">
        <v>5380</v>
      </c>
      <c r="O42" s="875" t="s">
        <v>5381</v>
      </c>
      <c r="P42" s="850" t="s">
        <v>5382</v>
      </c>
      <c r="Q42" s="875" t="s">
        <v>5383</v>
      </c>
      <c r="R42" s="850" t="s">
        <v>5384</v>
      </c>
      <c r="S42" s="584" t="s">
        <v>5385</v>
      </c>
      <c r="T42" s="1087" t="s">
        <v>5386</v>
      </c>
      <c r="U42" s="262" t="s">
        <v>5387</v>
      </c>
      <c r="V42" s="557" t="s">
        <v>5388</v>
      </c>
      <c r="W42" s="138" t="s">
        <v>5389</v>
      </c>
      <c r="X42" s="2567" t="s">
        <v>5390</v>
      </c>
      <c r="Y42" s="2537" t="s">
        <v>5391</v>
      </c>
      <c r="Z42" s="2796" t="s">
        <v>5392</v>
      </c>
      <c r="AA42" s="138" t="s">
        <v>5393</v>
      </c>
      <c r="AB42" s="137" t="s">
        <v>5394</v>
      </c>
      <c r="AC42" s="260" t="s">
        <v>5395</v>
      </c>
      <c r="AD42" s="262" t="s">
        <v>5396</v>
      </c>
      <c r="AE42" s="557" t="s">
        <v>5397</v>
      </c>
      <c r="AF42" s="138" t="s">
        <v>5398</v>
      </c>
      <c r="AG42" s="1086" t="s">
        <v>5399</v>
      </c>
      <c r="AH42" s="2759" t="s">
        <v>5400</v>
      </c>
      <c r="AI42" s="2869" t="s">
        <v>5401</v>
      </c>
      <c r="AJ42" s="1084" t="s">
        <v>5402</v>
      </c>
      <c r="AK42" s="1085" t="s">
        <v>5403</v>
      </c>
      <c r="AL42" s="1084" t="s">
        <v>5404</v>
      </c>
      <c r="AM42" s="214"/>
      <c r="AN42" s="214"/>
      <c r="AO42" s="214"/>
      <c r="AP42" s="214"/>
    </row>
    <row r="43" spans="1:42" x14ac:dyDescent="0.25">
      <c r="A43" s="7682">
        <v>30000025</v>
      </c>
      <c r="B43" s="2855" t="s">
        <v>273</v>
      </c>
      <c r="C43" s="2518" t="s">
        <v>5369</v>
      </c>
      <c r="D43" s="138" t="s">
        <v>5370</v>
      </c>
      <c r="E43" s="137" t="s">
        <v>5371</v>
      </c>
      <c r="F43" s="138" t="s">
        <v>5372</v>
      </c>
      <c r="G43" s="137" t="s">
        <v>5373</v>
      </c>
      <c r="H43" s="138" t="s">
        <v>5374</v>
      </c>
      <c r="I43" s="137" t="s">
        <v>5375</v>
      </c>
      <c r="J43" s="138" t="s">
        <v>5376</v>
      </c>
      <c r="K43" s="137" t="s">
        <v>5377</v>
      </c>
      <c r="L43" s="138" t="s">
        <v>5378</v>
      </c>
      <c r="M43" s="137" t="s">
        <v>5379</v>
      </c>
      <c r="N43" s="138" t="s">
        <v>5380</v>
      </c>
      <c r="O43" s="875" t="s">
        <v>5381</v>
      </c>
      <c r="P43" s="850" t="s">
        <v>5382</v>
      </c>
      <c r="Q43" s="875" t="s">
        <v>5383</v>
      </c>
      <c r="R43" s="850" t="s">
        <v>5384</v>
      </c>
      <c r="S43" s="584" t="s">
        <v>5385</v>
      </c>
      <c r="T43" s="1087" t="s">
        <v>5386</v>
      </c>
      <c r="U43" s="262" t="s">
        <v>5387</v>
      </c>
      <c r="V43" s="557" t="s">
        <v>5388</v>
      </c>
      <c r="W43" s="138" t="s">
        <v>5389</v>
      </c>
      <c r="X43" s="2567" t="s">
        <v>5390</v>
      </c>
      <c r="Y43" s="2537" t="s">
        <v>5391</v>
      </c>
      <c r="Z43" s="2796" t="s">
        <v>5392</v>
      </c>
      <c r="AA43" s="138" t="s">
        <v>5393</v>
      </c>
      <c r="AB43" s="137" t="s">
        <v>5394</v>
      </c>
      <c r="AC43" s="260" t="s">
        <v>5395</v>
      </c>
      <c r="AD43" s="262" t="s">
        <v>5396</v>
      </c>
      <c r="AE43" s="557" t="s">
        <v>5397</v>
      </c>
      <c r="AF43" s="138" t="s">
        <v>5398</v>
      </c>
      <c r="AG43" s="1086" t="s">
        <v>5399</v>
      </c>
      <c r="AH43" s="2759" t="s">
        <v>5400</v>
      </c>
      <c r="AI43" s="2869" t="s">
        <v>5401</v>
      </c>
      <c r="AJ43" s="1084" t="s">
        <v>5402</v>
      </c>
      <c r="AK43" s="1085" t="s">
        <v>5403</v>
      </c>
      <c r="AL43" s="1084" t="s">
        <v>5404</v>
      </c>
      <c r="AM43" s="214"/>
      <c r="AN43" s="214"/>
      <c r="AO43" s="214"/>
      <c r="AP43" s="214"/>
    </row>
    <row r="44" spans="1:42" x14ac:dyDescent="0.25">
      <c r="A44" s="7682">
        <v>30000026</v>
      </c>
      <c r="B44" s="2855" t="s">
        <v>274</v>
      </c>
      <c r="C44" s="2518" t="s">
        <v>5369</v>
      </c>
      <c r="D44" s="138" t="s">
        <v>5370</v>
      </c>
      <c r="E44" s="137" t="s">
        <v>5371</v>
      </c>
      <c r="F44" s="138" t="s">
        <v>5372</v>
      </c>
      <c r="G44" s="137" t="s">
        <v>5373</v>
      </c>
      <c r="H44" s="138" t="s">
        <v>5374</v>
      </c>
      <c r="I44" s="137" t="s">
        <v>5375</v>
      </c>
      <c r="J44" s="138" t="s">
        <v>5376</v>
      </c>
      <c r="K44" s="137" t="s">
        <v>5377</v>
      </c>
      <c r="L44" s="138" t="s">
        <v>5378</v>
      </c>
      <c r="M44" s="137" t="s">
        <v>5379</v>
      </c>
      <c r="N44" s="138" t="s">
        <v>5380</v>
      </c>
      <c r="O44" s="875" t="s">
        <v>5381</v>
      </c>
      <c r="P44" s="850" t="s">
        <v>5382</v>
      </c>
      <c r="Q44" s="875" t="s">
        <v>5383</v>
      </c>
      <c r="R44" s="850" t="s">
        <v>5384</v>
      </c>
      <c r="S44" s="584" t="s">
        <v>5385</v>
      </c>
      <c r="T44" s="1087" t="s">
        <v>5386</v>
      </c>
      <c r="U44" s="262" t="s">
        <v>5387</v>
      </c>
      <c r="V44" s="557" t="s">
        <v>5388</v>
      </c>
      <c r="W44" s="138" t="s">
        <v>5389</v>
      </c>
      <c r="X44" s="2567" t="s">
        <v>5390</v>
      </c>
      <c r="Y44" s="2537" t="s">
        <v>5391</v>
      </c>
      <c r="Z44" s="2796" t="s">
        <v>5392</v>
      </c>
      <c r="AA44" s="138" t="s">
        <v>5393</v>
      </c>
      <c r="AB44" s="137" t="s">
        <v>5394</v>
      </c>
      <c r="AC44" s="260" t="s">
        <v>5395</v>
      </c>
      <c r="AD44" s="262" t="s">
        <v>5396</v>
      </c>
      <c r="AE44" s="557" t="s">
        <v>5397</v>
      </c>
      <c r="AF44" s="138" t="s">
        <v>5398</v>
      </c>
      <c r="AG44" s="1086" t="s">
        <v>5399</v>
      </c>
      <c r="AH44" s="2759" t="s">
        <v>5400</v>
      </c>
      <c r="AI44" s="2869" t="s">
        <v>5401</v>
      </c>
      <c r="AJ44" s="1084" t="s">
        <v>5402</v>
      </c>
      <c r="AK44" s="1085" t="s">
        <v>5403</v>
      </c>
      <c r="AL44" s="1084" t="s">
        <v>5404</v>
      </c>
      <c r="AM44" s="214"/>
      <c r="AN44" s="214"/>
      <c r="AO44" s="214"/>
      <c r="AP44" s="214"/>
    </row>
    <row r="45" spans="1:42" x14ac:dyDescent="0.25">
      <c r="A45" s="7682">
        <v>30000027</v>
      </c>
      <c r="B45" s="2855" t="s">
        <v>275</v>
      </c>
      <c r="C45" s="2518" t="s">
        <v>5369</v>
      </c>
      <c r="D45" s="138" t="s">
        <v>5370</v>
      </c>
      <c r="E45" s="137" t="s">
        <v>5371</v>
      </c>
      <c r="F45" s="138" t="s">
        <v>5372</v>
      </c>
      <c r="G45" s="137" t="s">
        <v>5373</v>
      </c>
      <c r="H45" s="138" t="s">
        <v>5374</v>
      </c>
      <c r="I45" s="137" t="s">
        <v>5375</v>
      </c>
      <c r="J45" s="138" t="s">
        <v>5376</v>
      </c>
      <c r="K45" s="137" t="s">
        <v>5377</v>
      </c>
      <c r="L45" s="138" t="s">
        <v>5378</v>
      </c>
      <c r="M45" s="137" t="s">
        <v>5379</v>
      </c>
      <c r="N45" s="138" t="s">
        <v>5380</v>
      </c>
      <c r="O45" s="875" t="s">
        <v>5381</v>
      </c>
      <c r="P45" s="850" t="s">
        <v>5382</v>
      </c>
      <c r="Q45" s="875" t="s">
        <v>5383</v>
      </c>
      <c r="R45" s="850" t="s">
        <v>5384</v>
      </c>
      <c r="S45" s="584" t="s">
        <v>5385</v>
      </c>
      <c r="T45" s="1087" t="s">
        <v>5386</v>
      </c>
      <c r="U45" s="262" t="s">
        <v>5387</v>
      </c>
      <c r="V45" s="557" t="s">
        <v>5388</v>
      </c>
      <c r="W45" s="138" t="s">
        <v>5389</v>
      </c>
      <c r="X45" s="2567" t="s">
        <v>5390</v>
      </c>
      <c r="Y45" s="2537" t="s">
        <v>5391</v>
      </c>
      <c r="Z45" s="2796" t="s">
        <v>5392</v>
      </c>
      <c r="AA45" s="138" t="s">
        <v>5393</v>
      </c>
      <c r="AB45" s="137" t="s">
        <v>5394</v>
      </c>
      <c r="AC45" s="260" t="s">
        <v>5395</v>
      </c>
      <c r="AD45" s="262" t="s">
        <v>5396</v>
      </c>
      <c r="AE45" s="557" t="s">
        <v>5397</v>
      </c>
      <c r="AF45" s="138" t="s">
        <v>5398</v>
      </c>
      <c r="AG45" s="1086" t="s">
        <v>5399</v>
      </c>
      <c r="AH45" s="2759" t="s">
        <v>5400</v>
      </c>
      <c r="AI45" s="2869" t="s">
        <v>5401</v>
      </c>
      <c r="AJ45" s="1084" t="s">
        <v>5402</v>
      </c>
      <c r="AK45" s="1085" t="s">
        <v>5403</v>
      </c>
      <c r="AL45" s="1084" t="s">
        <v>5404</v>
      </c>
      <c r="AM45" s="214"/>
      <c r="AN45" s="214"/>
      <c r="AO45" s="214"/>
      <c r="AP45" s="214"/>
    </row>
    <row r="46" spans="1:42" x14ac:dyDescent="0.25">
      <c r="A46" s="7682">
        <v>30000028</v>
      </c>
      <c r="B46" s="2855" t="s">
        <v>460</v>
      </c>
      <c r="C46" s="2518" t="s">
        <v>5369</v>
      </c>
      <c r="D46" s="138" t="s">
        <v>5370</v>
      </c>
      <c r="E46" s="137" t="s">
        <v>5371</v>
      </c>
      <c r="F46" s="138" t="s">
        <v>5372</v>
      </c>
      <c r="G46" s="137" t="s">
        <v>5373</v>
      </c>
      <c r="H46" s="138" t="s">
        <v>5374</v>
      </c>
      <c r="I46" s="137" t="s">
        <v>5375</v>
      </c>
      <c r="J46" s="138" t="s">
        <v>5376</v>
      </c>
      <c r="K46" s="137" t="s">
        <v>5377</v>
      </c>
      <c r="L46" s="138" t="s">
        <v>5378</v>
      </c>
      <c r="M46" s="137" t="s">
        <v>5379</v>
      </c>
      <c r="N46" s="138" t="s">
        <v>5380</v>
      </c>
      <c r="O46" s="875" t="s">
        <v>5381</v>
      </c>
      <c r="P46" s="850" t="s">
        <v>5382</v>
      </c>
      <c r="Q46" s="875" t="s">
        <v>5383</v>
      </c>
      <c r="R46" s="850" t="s">
        <v>5384</v>
      </c>
      <c r="S46" s="584" t="s">
        <v>5385</v>
      </c>
      <c r="T46" s="1087" t="s">
        <v>5386</v>
      </c>
      <c r="U46" s="262" t="s">
        <v>5387</v>
      </c>
      <c r="V46" s="557" t="s">
        <v>5388</v>
      </c>
      <c r="W46" s="138" t="s">
        <v>5389</v>
      </c>
      <c r="X46" s="2567" t="s">
        <v>5390</v>
      </c>
      <c r="Y46" s="2537" t="s">
        <v>5391</v>
      </c>
      <c r="Z46" s="2796" t="s">
        <v>5392</v>
      </c>
      <c r="AA46" s="138" t="s">
        <v>5393</v>
      </c>
      <c r="AB46" s="137" t="s">
        <v>5394</v>
      </c>
      <c r="AC46" s="260" t="s">
        <v>5395</v>
      </c>
      <c r="AD46" s="262" t="s">
        <v>5396</v>
      </c>
      <c r="AE46" s="557" t="s">
        <v>5397</v>
      </c>
      <c r="AF46" s="138" t="s">
        <v>5398</v>
      </c>
      <c r="AG46" s="1086" t="s">
        <v>5399</v>
      </c>
      <c r="AH46" s="2759" t="s">
        <v>5400</v>
      </c>
      <c r="AI46" s="2869" t="s">
        <v>5401</v>
      </c>
      <c r="AJ46" s="1084" t="s">
        <v>5402</v>
      </c>
      <c r="AK46" s="1085" t="s">
        <v>5403</v>
      </c>
      <c r="AL46" s="1084" t="s">
        <v>5404</v>
      </c>
      <c r="AM46" s="214"/>
      <c r="AN46" s="214"/>
      <c r="AO46" s="214"/>
      <c r="AP46" s="214"/>
    </row>
    <row r="47" spans="1:42" x14ac:dyDescent="0.25">
      <c r="A47" s="7682">
        <v>30000029</v>
      </c>
      <c r="B47" s="2855" t="s">
        <v>276</v>
      </c>
      <c r="C47" s="2518" t="s">
        <v>5369</v>
      </c>
      <c r="D47" s="138" t="s">
        <v>5370</v>
      </c>
      <c r="E47" s="137" t="s">
        <v>5371</v>
      </c>
      <c r="F47" s="138" t="s">
        <v>5372</v>
      </c>
      <c r="G47" s="137" t="s">
        <v>5373</v>
      </c>
      <c r="H47" s="138" t="s">
        <v>5374</v>
      </c>
      <c r="I47" s="137" t="s">
        <v>5375</v>
      </c>
      <c r="J47" s="138" t="s">
        <v>5376</v>
      </c>
      <c r="K47" s="137" t="s">
        <v>5377</v>
      </c>
      <c r="L47" s="138" t="s">
        <v>5378</v>
      </c>
      <c r="M47" s="137" t="s">
        <v>5379</v>
      </c>
      <c r="N47" s="138" t="s">
        <v>5380</v>
      </c>
      <c r="O47" s="875" t="s">
        <v>5381</v>
      </c>
      <c r="P47" s="850" t="s">
        <v>5382</v>
      </c>
      <c r="Q47" s="875" t="s">
        <v>5383</v>
      </c>
      <c r="R47" s="850" t="s">
        <v>5384</v>
      </c>
      <c r="S47" s="584" t="s">
        <v>5385</v>
      </c>
      <c r="T47" s="1087" t="s">
        <v>5386</v>
      </c>
      <c r="U47" s="262" t="s">
        <v>5387</v>
      </c>
      <c r="V47" s="557" t="s">
        <v>5388</v>
      </c>
      <c r="W47" s="138" t="s">
        <v>5389</v>
      </c>
      <c r="X47" s="2567" t="s">
        <v>5390</v>
      </c>
      <c r="Y47" s="2537" t="s">
        <v>5391</v>
      </c>
      <c r="Z47" s="2796" t="s">
        <v>5392</v>
      </c>
      <c r="AA47" s="138" t="s">
        <v>5393</v>
      </c>
      <c r="AB47" s="137" t="s">
        <v>5394</v>
      </c>
      <c r="AC47" s="260" t="s">
        <v>5395</v>
      </c>
      <c r="AD47" s="262" t="s">
        <v>5396</v>
      </c>
      <c r="AE47" s="557" t="s">
        <v>5397</v>
      </c>
      <c r="AF47" s="138" t="s">
        <v>5398</v>
      </c>
      <c r="AG47" s="1086" t="s">
        <v>5399</v>
      </c>
      <c r="AH47" s="2759" t="s">
        <v>5400</v>
      </c>
      <c r="AI47" s="2869" t="s">
        <v>5401</v>
      </c>
      <c r="AJ47" s="1084" t="s">
        <v>5402</v>
      </c>
      <c r="AK47" s="1085" t="s">
        <v>5403</v>
      </c>
      <c r="AL47" s="1084" t="s">
        <v>5404</v>
      </c>
      <c r="AM47" s="214"/>
      <c r="AN47" s="214"/>
      <c r="AO47" s="214"/>
      <c r="AP47" s="214"/>
    </row>
    <row r="48" spans="1:42" x14ac:dyDescent="0.25">
      <c r="A48" s="7682">
        <v>30000030</v>
      </c>
      <c r="B48" s="2855" t="s">
        <v>277</v>
      </c>
      <c r="C48" s="2518" t="s">
        <v>5369</v>
      </c>
      <c r="D48" s="138" t="s">
        <v>5370</v>
      </c>
      <c r="E48" s="137" t="s">
        <v>5371</v>
      </c>
      <c r="F48" s="138" t="s">
        <v>5372</v>
      </c>
      <c r="G48" s="137" t="s">
        <v>5373</v>
      </c>
      <c r="H48" s="138" t="s">
        <v>5374</v>
      </c>
      <c r="I48" s="137" t="s">
        <v>5375</v>
      </c>
      <c r="J48" s="138" t="s">
        <v>5376</v>
      </c>
      <c r="K48" s="137" t="s">
        <v>5377</v>
      </c>
      <c r="L48" s="138" t="s">
        <v>5378</v>
      </c>
      <c r="M48" s="137" t="s">
        <v>5379</v>
      </c>
      <c r="N48" s="138" t="s">
        <v>5380</v>
      </c>
      <c r="O48" s="875" t="s">
        <v>5381</v>
      </c>
      <c r="P48" s="850" t="s">
        <v>5382</v>
      </c>
      <c r="Q48" s="875" t="s">
        <v>5383</v>
      </c>
      <c r="R48" s="850" t="s">
        <v>5384</v>
      </c>
      <c r="S48" s="584" t="s">
        <v>5385</v>
      </c>
      <c r="T48" s="1087" t="s">
        <v>5386</v>
      </c>
      <c r="U48" s="262" t="s">
        <v>5387</v>
      </c>
      <c r="V48" s="557" t="s">
        <v>5388</v>
      </c>
      <c r="W48" s="138" t="s">
        <v>5389</v>
      </c>
      <c r="X48" s="2567" t="s">
        <v>5390</v>
      </c>
      <c r="Y48" s="2537" t="s">
        <v>5391</v>
      </c>
      <c r="Z48" s="2796" t="s">
        <v>5392</v>
      </c>
      <c r="AA48" s="138" t="s">
        <v>5393</v>
      </c>
      <c r="AB48" s="137" t="s">
        <v>5394</v>
      </c>
      <c r="AC48" s="260" t="s">
        <v>5395</v>
      </c>
      <c r="AD48" s="262" t="s">
        <v>5396</v>
      </c>
      <c r="AE48" s="557" t="s">
        <v>5397</v>
      </c>
      <c r="AF48" s="138" t="s">
        <v>5398</v>
      </c>
      <c r="AG48" s="1086" t="s">
        <v>5399</v>
      </c>
      <c r="AH48" s="2759" t="s">
        <v>5400</v>
      </c>
      <c r="AI48" s="2869" t="s">
        <v>5401</v>
      </c>
      <c r="AJ48" s="1084" t="s">
        <v>5402</v>
      </c>
      <c r="AK48" s="1085" t="s">
        <v>5403</v>
      </c>
      <c r="AL48" s="1084" t="s">
        <v>5404</v>
      </c>
      <c r="AM48" s="214"/>
      <c r="AN48" s="214"/>
      <c r="AO48" s="214"/>
      <c r="AP48" s="214"/>
    </row>
    <row r="49" spans="1:42" x14ac:dyDescent="0.25">
      <c r="A49" s="7682">
        <v>30000031</v>
      </c>
      <c r="B49" s="2855" t="s">
        <v>461</v>
      </c>
      <c r="C49" s="2518" t="s">
        <v>5369</v>
      </c>
      <c r="D49" s="138" t="s">
        <v>5370</v>
      </c>
      <c r="E49" s="137" t="s">
        <v>5371</v>
      </c>
      <c r="F49" s="138" t="s">
        <v>5372</v>
      </c>
      <c r="G49" s="137" t="s">
        <v>5373</v>
      </c>
      <c r="H49" s="138" t="s">
        <v>5374</v>
      </c>
      <c r="I49" s="137" t="s">
        <v>5375</v>
      </c>
      <c r="J49" s="138" t="s">
        <v>5376</v>
      </c>
      <c r="K49" s="137" t="s">
        <v>5377</v>
      </c>
      <c r="L49" s="138" t="s">
        <v>5378</v>
      </c>
      <c r="M49" s="137" t="s">
        <v>5379</v>
      </c>
      <c r="N49" s="138" t="s">
        <v>5380</v>
      </c>
      <c r="O49" s="875" t="s">
        <v>5381</v>
      </c>
      <c r="P49" s="850" t="s">
        <v>5382</v>
      </c>
      <c r="Q49" s="875" t="s">
        <v>5383</v>
      </c>
      <c r="R49" s="850" t="s">
        <v>5384</v>
      </c>
      <c r="S49" s="584" t="s">
        <v>5385</v>
      </c>
      <c r="T49" s="1087" t="s">
        <v>5386</v>
      </c>
      <c r="U49" s="262" t="s">
        <v>5387</v>
      </c>
      <c r="V49" s="557" t="s">
        <v>5388</v>
      </c>
      <c r="W49" s="138" t="s">
        <v>5389</v>
      </c>
      <c r="X49" s="2567" t="s">
        <v>5390</v>
      </c>
      <c r="Y49" s="2537" t="s">
        <v>5391</v>
      </c>
      <c r="Z49" s="2796" t="s">
        <v>5392</v>
      </c>
      <c r="AA49" s="138" t="s">
        <v>5393</v>
      </c>
      <c r="AB49" s="137" t="s">
        <v>5394</v>
      </c>
      <c r="AC49" s="260" t="s">
        <v>5395</v>
      </c>
      <c r="AD49" s="262" t="s">
        <v>5396</v>
      </c>
      <c r="AE49" s="557" t="s">
        <v>5397</v>
      </c>
      <c r="AF49" s="138" t="s">
        <v>5398</v>
      </c>
      <c r="AG49" s="1086" t="s">
        <v>5399</v>
      </c>
      <c r="AH49" s="2759" t="s">
        <v>5400</v>
      </c>
      <c r="AI49" s="2869" t="s">
        <v>5401</v>
      </c>
      <c r="AJ49" s="1084" t="s">
        <v>5402</v>
      </c>
      <c r="AK49" s="1085" t="s">
        <v>5403</v>
      </c>
      <c r="AL49" s="1084" t="s">
        <v>5404</v>
      </c>
      <c r="AM49" s="214"/>
      <c r="AN49" s="214"/>
      <c r="AO49" s="214"/>
      <c r="AP49" s="214"/>
    </row>
    <row r="50" spans="1:42" x14ac:dyDescent="0.25">
      <c r="A50" s="7682">
        <v>30000032</v>
      </c>
      <c r="B50" s="2855" t="s">
        <v>278</v>
      </c>
      <c r="C50" s="2518" t="s">
        <v>5369</v>
      </c>
      <c r="D50" s="138" t="s">
        <v>5370</v>
      </c>
      <c r="E50" s="137" t="s">
        <v>5371</v>
      </c>
      <c r="F50" s="138" t="s">
        <v>5372</v>
      </c>
      <c r="G50" s="137" t="s">
        <v>5373</v>
      </c>
      <c r="H50" s="138" t="s">
        <v>5374</v>
      </c>
      <c r="I50" s="137" t="s">
        <v>5375</v>
      </c>
      <c r="J50" s="138" t="s">
        <v>5376</v>
      </c>
      <c r="K50" s="137" t="s">
        <v>5377</v>
      </c>
      <c r="L50" s="138" t="s">
        <v>5378</v>
      </c>
      <c r="M50" s="137" t="s">
        <v>5379</v>
      </c>
      <c r="N50" s="138" t="s">
        <v>5380</v>
      </c>
      <c r="O50" s="875" t="s">
        <v>5381</v>
      </c>
      <c r="P50" s="850" t="s">
        <v>5382</v>
      </c>
      <c r="Q50" s="875" t="s">
        <v>5383</v>
      </c>
      <c r="R50" s="850" t="s">
        <v>5384</v>
      </c>
      <c r="S50" s="584" t="s">
        <v>5385</v>
      </c>
      <c r="T50" s="1087" t="s">
        <v>5386</v>
      </c>
      <c r="U50" s="262" t="s">
        <v>5387</v>
      </c>
      <c r="V50" s="557" t="s">
        <v>5388</v>
      </c>
      <c r="W50" s="138" t="s">
        <v>5389</v>
      </c>
      <c r="X50" s="2567" t="s">
        <v>5390</v>
      </c>
      <c r="Y50" s="2537" t="s">
        <v>5391</v>
      </c>
      <c r="Z50" s="2796" t="s">
        <v>5392</v>
      </c>
      <c r="AA50" s="138" t="s">
        <v>5393</v>
      </c>
      <c r="AB50" s="137" t="s">
        <v>5394</v>
      </c>
      <c r="AC50" s="260" t="s">
        <v>5395</v>
      </c>
      <c r="AD50" s="262" t="s">
        <v>5396</v>
      </c>
      <c r="AE50" s="557" t="s">
        <v>5397</v>
      </c>
      <c r="AF50" s="138" t="s">
        <v>5398</v>
      </c>
      <c r="AG50" s="1086" t="s">
        <v>5399</v>
      </c>
      <c r="AH50" s="2759" t="s">
        <v>5400</v>
      </c>
      <c r="AI50" s="2869" t="s">
        <v>5401</v>
      </c>
      <c r="AJ50" s="1084" t="s">
        <v>5402</v>
      </c>
      <c r="AK50" s="1085" t="s">
        <v>5403</v>
      </c>
      <c r="AL50" s="1084" t="s">
        <v>5404</v>
      </c>
      <c r="AM50" s="214"/>
      <c r="AN50" s="214"/>
      <c r="AO50" s="214"/>
      <c r="AP50" s="214"/>
    </row>
    <row r="51" spans="1:42" x14ac:dyDescent="0.25">
      <c r="A51" s="7682">
        <v>30000033</v>
      </c>
      <c r="B51" s="2855" t="s">
        <v>462</v>
      </c>
      <c r="C51" s="2518" t="s">
        <v>5369</v>
      </c>
      <c r="D51" s="138" t="s">
        <v>5370</v>
      </c>
      <c r="E51" s="137" t="s">
        <v>5371</v>
      </c>
      <c r="F51" s="138" t="s">
        <v>5372</v>
      </c>
      <c r="G51" s="137" t="s">
        <v>5373</v>
      </c>
      <c r="H51" s="138" t="s">
        <v>5374</v>
      </c>
      <c r="I51" s="137" t="s">
        <v>5375</v>
      </c>
      <c r="J51" s="138" t="s">
        <v>5376</v>
      </c>
      <c r="K51" s="137" t="s">
        <v>5377</v>
      </c>
      <c r="L51" s="138" t="s">
        <v>5378</v>
      </c>
      <c r="M51" s="137" t="s">
        <v>5379</v>
      </c>
      <c r="N51" s="138" t="s">
        <v>5380</v>
      </c>
      <c r="O51" s="875" t="s">
        <v>5381</v>
      </c>
      <c r="P51" s="850" t="s">
        <v>5382</v>
      </c>
      <c r="Q51" s="875" t="s">
        <v>5383</v>
      </c>
      <c r="R51" s="850" t="s">
        <v>5384</v>
      </c>
      <c r="S51" s="584" t="s">
        <v>5385</v>
      </c>
      <c r="T51" s="1087" t="s">
        <v>5386</v>
      </c>
      <c r="U51" s="262" t="s">
        <v>5387</v>
      </c>
      <c r="V51" s="557" t="s">
        <v>5388</v>
      </c>
      <c r="W51" s="138" t="s">
        <v>5389</v>
      </c>
      <c r="X51" s="2567" t="s">
        <v>5390</v>
      </c>
      <c r="Y51" s="2537" t="s">
        <v>5391</v>
      </c>
      <c r="Z51" s="2796" t="s">
        <v>5392</v>
      </c>
      <c r="AA51" s="138" t="s">
        <v>5393</v>
      </c>
      <c r="AB51" s="137" t="s">
        <v>5394</v>
      </c>
      <c r="AC51" s="260" t="s">
        <v>5395</v>
      </c>
      <c r="AD51" s="262" t="s">
        <v>5396</v>
      </c>
      <c r="AE51" s="557" t="s">
        <v>5397</v>
      </c>
      <c r="AF51" s="138" t="s">
        <v>5398</v>
      </c>
      <c r="AG51" s="1086" t="s">
        <v>5399</v>
      </c>
      <c r="AH51" s="2759" t="s">
        <v>5400</v>
      </c>
      <c r="AI51" s="2869" t="s">
        <v>5401</v>
      </c>
      <c r="AJ51" s="1084" t="s">
        <v>5402</v>
      </c>
      <c r="AK51" s="1085" t="s">
        <v>5403</v>
      </c>
      <c r="AL51" s="1084" t="s">
        <v>5404</v>
      </c>
      <c r="AM51" s="214"/>
      <c r="AN51" s="214"/>
      <c r="AO51" s="214"/>
      <c r="AP51" s="214"/>
    </row>
    <row r="52" spans="1:42" x14ac:dyDescent="0.25">
      <c r="A52" s="7682">
        <v>30000034</v>
      </c>
      <c r="B52" s="153" t="s">
        <v>3591</v>
      </c>
      <c r="C52" s="2518" t="s">
        <v>5369</v>
      </c>
      <c r="D52" s="138" t="s">
        <v>5370</v>
      </c>
      <c r="E52" s="137" t="s">
        <v>5371</v>
      </c>
      <c r="F52" s="138" t="s">
        <v>5372</v>
      </c>
      <c r="G52" s="137" t="s">
        <v>5373</v>
      </c>
      <c r="H52" s="138" t="s">
        <v>5374</v>
      </c>
      <c r="I52" s="137" t="s">
        <v>5375</v>
      </c>
      <c r="J52" s="138" t="s">
        <v>5376</v>
      </c>
      <c r="K52" s="137" t="s">
        <v>5377</v>
      </c>
      <c r="L52" s="138" t="s">
        <v>5378</v>
      </c>
      <c r="M52" s="137" t="s">
        <v>5379</v>
      </c>
      <c r="N52" s="138" t="s">
        <v>5380</v>
      </c>
      <c r="O52" s="875" t="s">
        <v>5381</v>
      </c>
      <c r="P52" s="850" t="s">
        <v>5382</v>
      </c>
      <c r="Q52" s="875" t="s">
        <v>5383</v>
      </c>
      <c r="R52" s="850" t="s">
        <v>5384</v>
      </c>
      <c r="S52" s="584" t="s">
        <v>5385</v>
      </c>
      <c r="T52" s="1087" t="s">
        <v>5386</v>
      </c>
      <c r="U52" s="262" t="s">
        <v>5387</v>
      </c>
      <c r="V52" s="557" t="s">
        <v>5388</v>
      </c>
      <c r="W52" s="138" t="s">
        <v>5389</v>
      </c>
      <c r="X52" s="2567" t="s">
        <v>5390</v>
      </c>
      <c r="Y52" s="2537" t="s">
        <v>5391</v>
      </c>
      <c r="Z52" s="2796" t="s">
        <v>5392</v>
      </c>
      <c r="AA52" s="138" t="s">
        <v>5393</v>
      </c>
      <c r="AB52" s="137" t="s">
        <v>5394</v>
      </c>
      <c r="AC52" s="260" t="s">
        <v>5395</v>
      </c>
      <c r="AD52" s="262" t="s">
        <v>5396</v>
      </c>
      <c r="AE52" s="557" t="s">
        <v>5397</v>
      </c>
      <c r="AF52" s="138" t="s">
        <v>5398</v>
      </c>
      <c r="AG52" s="1086" t="s">
        <v>5399</v>
      </c>
      <c r="AH52" s="2759" t="s">
        <v>5400</v>
      </c>
      <c r="AI52" s="2869" t="s">
        <v>5401</v>
      </c>
      <c r="AJ52" s="1084" t="s">
        <v>5402</v>
      </c>
      <c r="AK52" s="1085" t="s">
        <v>5403</v>
      </c>
      <c r="AL52" s="1084" t="s">
        <v>5404</v>
      </c>
      <c r="AM52" s="214"/>
      <c r="AN52" s="214"/>
      <c r="AO52" s="214"/>
      <c r="AP52" s="214"/>
    </row>
    <row r="53" spans="1:42" x14ac:dyDescent="0.25">
      <c r="A53" s="7682">
        <v>30000035</v>
      </c>
      <c r="B53" s="3384" t="s">
        <v>279</v>
      </c>
      <c r="C53" s="2518" t="s">
        <v>5369</v>
      </c>
      <c r="D53" s="138" t="s">
        <v>5370</v>
      </c>
      <c r="E53" s="137" t="s">
        <v>5371</v>
      </c>
      <c r="F53" s="138" t="s">
        <v>5372</v>
      </c>
      <c r="G53" s="137" t="s">
        <v>5373</v>
      </c>
      <c r="H53" s="138" t="s">
        <v>5374</v>
      </c>
      <c r="I53" s="137" t="s">
        <v>5375</v>
      </c>
      <c r="J53" s="138" t="s">
        <v>5376</v>
      </c>
      <c r="K53" s="137" t="s">
        <v>5377</v>
      </c>
      <c r="L53" s="138" t="s">
        <v>5378</v>
      </c>
      <c r="M53" s="137" t="s">
        <v>5379</v>
      </c>
      <c r="N53" s="138" t="s">
        <v>5380</v>
      </c>
      <c r="O53" s="875" t="s">
        <v>5381</v>
      </c>
      <c r="P53" s="850" t="s">
        <v>5382</v>
      </c>
      <c r="Q53" s="875" t="s">
        <v>5383</v>
      </c>
      <c r="R53" s="850" t="s">
        <v>5384</v>
      </c>
      <c r="S53" s="584" t="s">
        <v>5385</v>
      </c>
      <c r="T53" s="1087" t="s">
        <v>5386</v>
      </c>
      <c r="U53" s="262" t="s">
        <v>5387</v>
      </c>
      <c r="V53" s="557" t="s">
        <v>5388</v>
      </c>
      <c r="W53" s="138" t="s">
        <v>5389</v>
      </c>
      <c r="X53" s="2567" t="s">
        <v>5390</v>
      </c>
      <c r="Y53" s="2537" t="s">
        <v>5391</v>
      </c>
      <c r="Z53" s="2796" t="s">
        <v>5392</v>
      </c>
      <c r="AA53" s="138" t="s">
        <v>5393</v>
      </c>
      <c r="AB53" s="137" t="s">
        <v>5394</v>
      </c>
      <c r="AC53" s="260" t="s">
        <v>5395</v>
      </c>
      <c r="AD53" s="262" t="s">
        <v>5396</v>
      </c>
      <c r="AE53" s="557" t="s">
        <v>5397</v>
      </c>
      <c r="AF53" s="138" t="s">
        <v>5398</v>
      </c>
      <c r="AG53" s="1086" t="s">
        <v>5399</v>
      </c>
      <c r="AH53" s="2759" t="s">
        <v>5400</v>
      </c>
      <c r="AI53" s="2869" t="s">
        <v>5401</v>
      </c>
      <c r="AJ53" s="1084" t="s">
        <v>5402</v>
      </c>
      <c r="AK53" s="1085" t="s">
        <v>5403</v>
      </c>
      <c r="AL53" s="1084" t="s">
        <v>5404</v>
      </c>
      <c r="AM53" s="214"/>
      <c r="AN53" s="214"/>
      <c r="AO53" s="214"/>
      <c r="AP53" s="214"/>
    </row>
    <row r="54" spans="1:42" x14ac:dyDescent="0.25">
      <c r="A54" s="7682">
        <v>30000036</v>
      </c>
      <c r="B54" s="2855" t="s">
        <v>280</v>
      </c>
      <c r="C54" s="2518" t="s">
        <v>5369</v>
      </c>
      <c r="D54" s="138" t="s">
        <v>5370</v>
      </c>
      <c r="E54" s="137" t="s">
        <v>5371</v>
      </c>
      <c r="F54" s="138" t="s">
        <v>5372</v>
      </c>
      <c r="G54" s="137" t="s">
        <v>5373</v>
      </c>
      <c r="H54" s="138" t="s">
        <v>5374</v>
      </c>
      <c r="I54" s="137" t="s">
        <v>5375</v>
      </c>
      <c r="J54" s="138" t="s">
        <v>5376</v>
      </c>
      <c r="K54" s="137" t="s">
        <v>5377</v>
      </c>
      <c r="L54" s="138" t="s">
        <v>5378</v>
      </c>
      <c r="M54" s="137" t="s">
        <v>5379</v>
      </c>
      <c r="N54" s="138" t="s">
        <v>5380</v>
      </c>
      <c r="O54" s="875" t="s">
        <v>5381</v>
      </c>
      <c r="P54" s="850" t="s">
        <v>5382</v>
      </c>
      <c r="Q54" s="875" t="s">
        <v>5383</v>
      </c>
      <c r="R54" s="850" t="s">
        <v>5384</v>
      </c>
      <c r="S54" s="584" t="s">
        <v>5385</v>
      </c>
      <c r="T54" s="1087" t="s">
        <v>5386</v>
      </c>
      <c r="U54" s="262" t="s">
        <v>5387</v>
      </c>
      <c r="V54" s="557" t="s">
        <v>5388</v>
      </c>
      <c r="W54" s="138" t="s">
        <v>5389</v>
      </c>
      <c r="X54" s="2567" t="s">
        <v>5390</v>
      </c>
      <c r="Y54" s="2537" t="s">
        <v>5391</v>
      </c>
      <c r="Z54" s="2796" t="s">
        <v>5392</v>
      </c>
      <c r="AA54" s="138" t="s">
        <v>5393</v>
      </c>
      <c r="AB54" s="137" t="s">
        <v>5394</v>
      </c>
      <c r="AC54" s="260" t="s">
        <v>5395</v>
      </c>
      <c r="AD54" s="262" t="s">
        <v>5396</v>
      </c>
      <c r="AE54" s="557" t="s">
        <v>5397</v>
      </c>
      <c r="AF54" s="138" t="s">
        <v>5398</v>
      </c>
      <c r="AG54" s="1086" t="s">
        <v>5399</v>
      </c>
      <c r="AH54" s="2759" t="s">
        <v>5400</v>
      </c>
      <c r="AI54" s="2869" t="s">
        <v>5401</v>
      </c>
      <c r="AJ54" s="1084" t="s">
        <v>5402</v>
      </c>
      <c r="AK54" s="1085" t="s">
        <v>5403</v>
      </c>
      <c r="AL54" s="1084" t="s">
        <v>5404</v>
      </c>
      <c r="AM54" s="214"/>
      <c r="AN54" s="214"/>
      <c r="AO54" s="214"/>
      <c r="AP54" s="214"/>
    </row>
    <row r="55" spans="1:42" x14ac:dyDescent="0.25">
      <c r="A55" s="7682">
        <v>30000037</v>
      </c>
      <c r="B55" s="2855" t="s">
        <v>463</v>
      </c>
      <c r="C55" s="2518" t="s">
        <v>5369</v>
      </c>
      <c r="D55" s="138" t="s">
        <v>5370</v>
      </c>
      <c r="E55" s="137" t="s">
        <v>5371</v>
      </c>
      <c r="F55" s="138" t="s">
        <v>5372</v>
      </c>
      <c r="G55" s="137" t="s">
        <v>5373</v>
      </c>
      <c r="H55" s="138" t="s">
        <v>5374</v>
      </c>
      <c r="I55" s="137" t="s">
        <v>5375</v>
      </c>
      <c r="J55" s="138" t="s">
        <v>5376</v>
      </c>
      <c r="K55" s="137" t="s">
        <v>5377</v>
      </c>
      <c r="L55" s="138" t="s">
        <v>5378</v>
      </c>
      <c r="M55" s="137" t="s">
        <v>5379</v>
      </c>
      <c r="N55" s="138" t="s">
        <v>5380</v>
      </c>
      <c r="O55" s="875" t="s">
        <v>5381</v>
      </c>
      <c r="P55" s="850" t="s">
        <v>5382</v>
      </c>
      <c r="Q55" s="875" t="s">
        <v>5383</v>
      </c>
      <c r="R55" s="850" t="s">
        <v>5384</v>
      </c>
      <c r="S55" s="584" t="s">
        <v>5385</v>
      </c>
      <c r="T55" s="1087" t="s">
        <v>5386</v>
      </c>
      <c r="U55" s="262" t="s">
        <v>5387</v>
      </c>
      <c r="V55" s="557" t="s">
        <v>5388</v>
      </c>
      <c r="W55" s="138" t="s">
        <v>5389</v>
      </c>
      <c r="X55" s="2567" t="s">
        <v>5390</v>
      </c>
      <c r="Y55" s="2537" t="s">
        <v>5391</v>
      </c>
      <c r="Z55" s="2796" t="s">
        <v>5392</v>
      </c>
      <c r="AA55" s="138" t="s">
        <v>5393</v>
      </c>
      <c r="AB55" s="137" t="s">
        <v>5394</v>
      </c>
      <c r="AC55" s="260" t="s">
        <v>5395</v>
      </c>
      <c r="AD55" s="262" t="s">
        <v>5396</v>
      </c>
      <c r="AE55" s="557" t="s">
        <v>5397</v>
      </c>
      <c r="AF55" s="138" t="s">
        <v>5398</v>
      </c>
      <c r="AG55" s="1086" t="s">
        <v>5399</v>
      </c>
      <c r="AH55" s="2759" t="s">
        <v>5400</v>
      </c>
      <c r="AI55" s="2869" t="s">
        <v>5401</v>
      </c>
      <c r="AJ55" s="1084" t="s">
        <v>5402</v>
      </c>
      <c r="AK55" s="1085" t="s">
        <v>5403</v>
      </c>
      <c r="AL55" s="1084" t="s">
        <v>5404</v>
      </c>
      <c r="AM55" s="214"/>
      <c r="AN55" s="214"/>
      <c r="AO55" s="214"/>
      <c r="AP55" s="214"/>
    </row>
    <row r="56" spans="1:42" x14ac:dyDescent="0.25">
      <c r="A56" s="7682">
        <v>30000038</v>
      </c>
      <c r="B56" s="2855" t="s">
        <v>3592</v>
      </c>
      <c r="C56" s="2518" t="s">
        <v>5369</v>
      </c>
      <c r="D56" s="138" t="s">
        <v>5370</v>
      </c>
      <c r="E56" s="137" t="s">
        <v>5371</v>
      </c>
      <c r="F56" s="138" t="s">
        <v>5372</v>
      </c>
      <c r="G56" s="137" t="s">
        <v>5373</v>
      </c>
      <c r="H56" s="138" t="s">
        <v>5374</v>
      </c>
      <c r="I56" s="137" t="s">
        <v>5375</v>
      </c>
      <c r="J56" s="138" t="s">
        <v>5376</v>
      </c>
      <c r="K56" s="137" t="s">
        <v>5377</v>
      </c>
      <c r="L56" s="138" t="s">
        <v>5378</v>
      </c>
      <c r="M56" s="137" t="s">
        <v>5379</v>
      </c>
      <c r="N56" s="138" t="s">
        <v>5380</v>
      </c>
      <c r="O56" s="875" t="s">
        <v>5381</v>
      </c>
      <c r="P56" s="850" t="s">
        <v>5382</v>
      </c>
      <c r="Q56" s="875" t="s">
        <v>5383</v>
      </c>
      <c r="R56" s="850" t="s">
        <v>5384</v>
      </c>
      <c r="S56" s="584" t="s">
        <v>5385</v>
      </c>
      <c r="T56" s="1087" t="s">
        <v>5386</v>
      </c>
      <c r="U56" s="262" t="s">
        <v>5387</v>
      </c>
      <c r="V56" s="557" t="s">
        <v>5388</v>
      </c>
      <c r="W56" s="138" t="s">
        <v>5389</v>
      </c>
      <c r="X56" s="2567" t="s">
        <v>5390</v>
      </c>
      <c r="Y56" s="2537" t="s">
        <v>5391</v>
      </c>
      <c r="Z56" s="2796" t="s">
        <v>5392</v>
      </c>
      <c r="AA56" s="138" t="s">
        <v>5393</v>
      </c>
      <c r="AB56" s="137" t="s">
        <v>5394</v>
      </c>
      <c r="AC56" s="260" t="s">
        <v>5395</v>
      </c>
      <c r="AD56" s="262" t="s">
        <v>5396</v>
      </c>
      <c r="AE56" s="557" t="s">
        <v>5397</v>
      </c>
      <c r="AF56" s="138" t="s">
        <v>5398</v>
      </c>
      <c r="AG56" s="1086" t="s">
        <v>5399</v>
      </c>
      <c r="AH56" s="2759" t="s">
        <v>5400</v>
      </c>
      <c r="AI56" s="2869" t="s">
        <v>5401</v>
      </c>
      <c r="AJ56" s="1084" t="s">
        <v>5402</v>
      </c>
      <c r="AK56" s="1085" t="s">
        <v>5403</v>
      </c>
      <c r="AL56" s="1084" t="s">
        <v>5404</v>
      </c>
      <c r="AM56" s="214"/>
      <c r="AN56" s="214"/>
      <c r="AO56" s="214"/>
      <c r="AP56" s="214"/>
    </row>
    <row r="57" spans="1:42" x14ac:dyDescent="0.25">
      <c r="A57" s="7682">
        <v>30000039</v>
      </c>
      <c r="B57" s="2855" t="s">
        <v>35</v>
      </c>
      <c r="C57" s="2518" t="s">
        <v>5369</v>
      </c>
      <c r="D57" s="138" t="s">
        <v>5370</v>
      </c>
      <c r="E57" s="137" t="s">
        <v>5371</v>
      </c>
      <c r="F57" s="138" t="s">
        <v>5372</v>
      </c>
      <c r="G57" s="137" t="s">
        <v>5373</v>
      </c>
      <c r="H57" s="138" t="s">
        <v>5374</v>
      </c>
      <c r="I57" s="137" t="s">
        <v>5375</v>
      </c>
      <c r="J57" s="138" t="s">
        <v>5376</v>
      </c>
      <c r="K57" s="137" t="s">
        <v>5377</v>
      </c>
      <c r="L57" s="138" t="s">
        <v>5378</v>
      </c>
      <c r="M57" s="137" t="s">
        <v>5379</v>
      </c>
      <c r="N57" s="138" t="s">
        <v>5380</v>
      </c>
      <c r="O57" s="875" t="s">
        <v>5381</v>
      </c>
      <c r="P57" s="850" t="s">
        <v>5382</v>
      </c>
      <c r="Q57" s="875" t="s">
        <v>5383</v>
      </c>
      <c r="R57" s="850" t="s">
        <v>5384</v>
      </c>
      <c r="S57" s="584" t="s">
        <v>5385</v>
      </c>
      <c r="T57" s="1087" t="s">
        <v>5386</v>
      </c>
      <c r="U57" s="262" t="s">
        <v>5387</v>
      </c>
      <c r="V57" s="557" t="s">
        <v>5388</v>
      </c>
      <c r="W57" s="138" t="s">
        <v>5389</v>
      </c>
      <c r="X57" s="2567" t="s">
        <v>5390</v>
      </c>
      <c r="Y57" s="2537" t="s">
        <v>5391</v>
      </c>
      <c r="Z57" s="2796" t="s">
        <v>5392</v>
      </c>
      <c r="AA57" s="138" t="s">
        <v>5393</v>
      </c>
      <c r="AB57" s="137" t="s">
        <v>5394</v>
      </c>
      <c r="AC57" s="260" t="s">
        <v>5395</v>
      </c>
      <c r="AD57" s="262" t="s">
        <v>5396</v>
      </c>
      <c r="AE57" s="557" t="s">
        <v>5397</v>
      </c>
      <c r="AF57" s="138" t="s">
        <v>5398</v>
      </c>
      <c r="AG57" s="1086" t="s">
        <v>5399</v>
      </c>
      <c r="AH57" s="2759" t="s">
        <v>5400</v>
      </c>
      <c r="AI57" s="2869" t="s">
        <v>5401</v>
      </c>
      <c r="AJ57" s="1084" t="s">
        <v>5402</v>
      </c>
      <c r="AK57" s="1085" t="s">
        <v>5403</v>
      </c>
      <c r="AL57" s="1084" t="s">
        <v>5404</v>
      </c>
      <c r="AM57" s="214"/>
      <c r="AN57" s="214"/>
      <c r="AO57" s="214"/>
      <c r="AP57" s="214"/>
    </row>
    <row r="58" spans="1:42" x14ac:dyDescent="0.25">
      <c r="A58" s="7682">
        <v>30000040</v>
      </c>
      <c r="B58" s="2855" t="s">
        <v>281</v>
      </c>
      <c r="C58" s="2518" t="s">
        <v>5369</v>
      </c>
      <c r="D58" s="138" t="s">
        <v>5370</v>
      </c>
      <c r="E58" s="137" t="s">
        <v>5371</v>
      </c>
      <c r="F58" s="138" t="s">
        <v>5372</v>
      </c>
      <c r="G58" s="137" t="s">
        <v>5373</v>
      </c>
      <c r="H58" s="138" t="s">
        <v>5374</v>
      </c>
      <c r="I58" s="137" t="s">
        <v>5375</v>
      </c>
      <c r="J58" s="138" t="s">
        <v>5376</v>
      </c>
      <c r="K58" s="137" t="s">
        <v>5377</v>
      </c>
      <c r="L58" s="138" t="s">
        <v>5378</v>
      </c>
      <c r="M58" s="137" t="s">
        <v>5379</v>
      </c>
      <c r="N58" s="138" t="s">
        <v>5380</v>
      </c>
      <c r="O58" s="875" t="s">
        <v>5381</v>
      </c>
      <c r="P58" s="850" t="s">
        <v>5382</v>
      </c>
      <c r="Q58" s="875" t="s">
        <v>5383</v>
      </c>
      <c r="R58" s="850" t="s">
        <v>5384</v>
      </c>
      <c r="S58" s="584" t="s">
        <v>5385</v>
      </c>
      <c r="T58" s="1087" t="s">
        <v>5386</v>
      </c>
      <c r="U58" s="262" t="s">
        <v>5387</v>
      </c>
      <c r="V58" s="557" t="s">
        <v>5388</v>
      </c>
      <c r="W58" s="138" t="s">
        <v>5389</v>
      </c>
      <c r="X58" s="2567" t="s">
        <v>5390</v>
      </c>
      <c r="Y58" s="2537" t="s">
        <v>5391</v>
      </c>
      <c r="Z58" s="2796" t="s">
        <v>5392</v>
      </c>
      <c r="AA58" s="138" t="s">
        <v>5393</v>
      </c>
      <c r="AB58" s="137" t="s">
        <v>5394</v>
      </c>
      <c r="AC58" s="260" t="s">
        <v>5395</v>
      </c>
      <c r="AD58" s="262" t="s">
        <v>5396</v>
      </c>
      <c r="AE58" s="557" t="s">
        <v>5397</v>
      </c>
      <c r="AF58" s="138" t="s">
        <v>5398</v>
      </c>
      <c r="AG58" s="1086" t="s">
        <v>5399</v>
      </c>
      <c r="AH58" s="2759" t="s">
        <v>5400</v>
      </c>
      <c r="AI58" s="2869" t="s">
        <v>5401</v>
      </c>
      <c r="AJ58" s="1084" t="s">
        <v>5402</v>
      </c>
      <c r="AK58" s="1085" t="s">
        <v>5403</v>
      </c>
      <c r="AL58" s="1084" t="s">
        <v>5404</v>
      </c>
      <c r="AM58" s="214"/>
      <c r="AN58" s="214"/>
      <c r="AO58" s="214"/>
      <c r="AP58" s="214"/>
    </row>
    <row r="59" spans="1:42" x14ac:dyDescent="0.25">
      <c r="A59" s="7682">
        <v>30000041</v>
      </c>
      <c r="B59" s="2855" t="s">
        <v>36</v>
      </c>
      <c r="C59" s="2518" t="s">
        <v>5369</v>
      </c>
      <c r="D59" s="138" t="s">
        <v>5370</v>
      </c>
      <c r="E59" s="137" t="s">
        <v>5371</v>
      </c>
      <c r="F59" s="138" t="s">
        <v>5372</v>
      </c>
      <c r="G59" s="137" t="s">
        <v>5373</v>
      </c>
      <c r="H59" s="138" t="s">
        <v>5374</v>
      </c>
      <c r="I59" s="137" t="s">
        <v>5375</v>
      </c>
      <c r="J59" s="138" t="s">
        <v>5376</v>
      </c>
      <c r="K59" s="137" t="s">
        <v>5377</v>
      </c>
      <c r="L59" s="138" t="s">
        <v>5378</v>
      </c>
      <c r="M59" s="137" t="s">
        <v>5379</v>
      </c>
      <c r="N59" s="138" t="s">
        <v>5380</v>
      </c>
      <c r="O59" s="875" t="s">
        <v>5381</v>
      </c>
      <c r="P59" s="850" t="s">
        <v>5382</v>
      </c>
      <c r="Q59" s="875" t="s">
        <v>5383</v>
      </c>
      <c r="R59" s="850" t="s">
        <v>5384</v>
      </c>
      <c r="S59" s="584" t="s">
        <v>5385</v>
      </c>
      <c r="T59" s="1087" t="s">
        <v>5386</v>
      </c>
      <c r="U59" s="262" t="s">
        <v>5387</v>
      </c>
      <c r="V59" s="557" t="s">
        <v>5388</v>
      </c>
      <c r="W59" s="138" t="s">
        <v>5389</v>
      </c>
      <c r="X59" s="2567" t="s">
        <v>5390</v>
      </c>
      <c r="Y59" s="2537" t="s">
        <v>5391</v>
      </c>
      <c r="Z59" s="2796" t="s">
        <v>5392</v>
      </c>
      <c r="AA59" s="138" t="s">
        <v>5393</v>
      </c>
      <c r="AB59" s="137" t="s">
        <v>5394</v>
      </c>
      <c r="AC59" s="260" t="s">
        <v>5395</v>
      </c>
      <c r="AD59" s="262" t="s">
        <v>5396</v>
      </c>
      <c r="AE59" s="557" t="s">
        <v>5397</v>
      </c>
      <c r="AF59" s="138" t="s">
        <v>5398</v>
      </c>
      <c r="AG59" s="1086" t="s">
        <v>5399</v>
      </c>
      <c r="AH59" s="2759" t="s">
        <v>5400</v>
      </c>
      <c r="AI59" s="2869" t="s">
        <v>5401</v>
      </c>
      <c r="AJ59" s="1084" t="s">
        <v>5402</v>
      </c>
      <c r="AK59" s="1085" t="s">
        <v>5403</v>
      </c>
      <c r="AL59" s="1084" t="s">
        <v>5404</v>
      </c>
      <c r="AM59" s="214"/>
      <c r="AN59" s="214"/>
      <c r="AO59" s="214"/>
      <c r="AP59" s="214"/>
    </row>
    <row r="60" spans="1:42" x14ac:dyDescent="0.25">
      <c r="A60" s="7682">
        <v>30000042</v>
      </c>
      <c r="B60" s="2855" t="s">
        <v>34</v>
      </c>
      <c r="C60" s="2518" t="s">
        <v>5369</v>
      </c>
      <c r="D60" s="138" t="s">
        <v>5370</v>
      </c>
      <c r="E60" s="137" t="s">
        <v>5371</v>
      </c>
      <c r="F60" s="138" t="s">
        <v>5372</v>
      </c>
      <c r="G60" s="137" t="s">
        <v>5373</v>
      </c>
      <c r="H60" s="138" t="s">
        <v>5374</v>
      </c>
      <c r="I60" s="137" t="s">
        <v>5375</v>
      </c>
      <c r="J60" s="138" t="s">
        <v>5376</v>
      </c>
      <c r="K60" s="137" t="s">
        <v>5377</v>
      </c>
      <c r="L60" s="138" t="s">
        <v>5378</v>
      </c>
      <c r="M60" s="137" t="s">
        <v>5379</v>
      </c>
      <c r="N60" s="138" t="s">
        <v>5380</v>
      </c>
      <c r="O60" s="875" t="s">
        <v>5381</v>
      </c>
      <c r="P60" s="850" t="s">
        <v>5382</v>
      </c>
      <c r="Q60" s="875" t="s">
        <v>5383</v>
      </c>
      <c r="R60" s="850" t="s">
        <v>5384</v>
      </c>
      <c r="S60" s="584" t="s">
        <v>5385</v>
      </c>
      <c r="T60" s="1087" t="s">
        <v>5386</v>
      </c>
      <c r="U60" s="262" t="s">
        <v>5387</v>
      </c>
      <c r="V60" s="557" t="s">
        <v>5388</v>
      </c>
      <c r="W60" s="138" t="s">
        <v>5389</v>
      </c>
      <c r="X60" s="2567" t="s">
        <v>5390</v>
      </c>
      <c r="Y60" s="2537" t="s">
        <v>5391</v>
      </c>
      <c r="Z60" s="2796" t="s">
        <v>5392</v>
      </c>
      <c r="AA60" s="138" t="s">
        <v>5393</v>
      </c>
      <c r="AB60" s="137" t="s">
        <v>5394</v>
      </c>
      <c r="AC60" s="260" t="s">
        <v>5395</v>
      </c>
      <c r="AD60" s="262" t="s">
        <v>5396</v>
      </c>
      <c r="AE60" s="557" t="s">
        <v>5397</v>
      </c>
      <c r="AF60" s="138" t="s">
        <v>5398</v>
      </c>
      <c r="AG60" s="1086" t="s">
        <v>5399</v>
      </c>
      <c r="AH60" s="2759" t="s">
        <v>5400</v>
      </c>
      <c r="AI60" s="2869" t="s">
        <v>5401</v>
      </c>
      <c r="AJ60" s="1084" t="s">
        <v>5402</v>
      </c>
      <c r="AK60" s="1085" t="s">
        <v>5403</v>
      </c>
      <c r="AL60" s="1084" t="s">
        <v>5404</v>
      </c>
      <c r="AM60" s="214"/>
      <c r="AN60" s="214"/>
      <c r="AO60" s="214"/>
      <c r="AP60" s="214"/>
    </row>
    <row r="61" spans="1:42" x14ac:dyDescent="0.25">
      <c r="A61" s="7682">
        <v>30000043</v>
      </c>
      <c r="B61" s="3151" t="s">
        <v>282</v>
      </c>
      <c r="C61" s="2518" t="s">
        <v>5369</v>
      </c>
      <c r="D61" s="138" t="s">
        <v>5370</v>
      </c>
      <c r="E61" s="137" t="s">
        <v>5371</v>
      </c>
      <c r="F61" s="138" t="s">
        <v>5372</v>
      </c>
      <c r="G61" s="137" t="s">
        <v>5373</v>
      </c>
      <c r="H61" s="138" t="s">
        <v>5374</v>
      </c>
      <c r="I61" s="137" t="s">
        <v>5375</v>
      </c>
      <c r="J61" s="138" t="s">
        <v>5376</v>
      </c>
      <c r="K61" s="137" t="s">
        <v>5377</v>
      </c>
      <c r="L61" s="138" t="s">
        <v>5378</v>
      </c>
      <c r="M61" s="137" t="s">
        <v>5379</v>
      </c>
      <c r="N61" s="138" t="s">
        <v>5380</v>
      </c>
      <c r="O61" s="875" t="s">
        <v>5381</v>
      </c>
      <c r="P61" s="850" t="s">
        <v>5382</v>
      </c>
      <c r="Q61" s="875" t="s">
        <v>5383</v>
      </c>
      <c r="R61" s="850" t="s">
        <v>5384</v>
      </c>
      <c r="S61" s="584" t="s">
        <v>5385</v>
      </c>
      <c r="T61" s="1087" t="s">
        <v>5386</v>
      </c>
      <c r="U61" s="262" t="s">
        <v>5387</v>
      </c>
      <c r="V61" s="557" t="s">
        <v>5388</v>
      </c>
      <c r="W61" s="138" t="s">
        <v>5389</v>
      </c>
      <c r="X61" s="2567" t="s">
        <v>5390</v>
      </c>
      <c r="Y61" s="2537" t="s">
        <v>5391</v>
      </c>
      <c r="Z61" s="2796" t="s">
        <v>5392</v>
      </c>
      <c r="AA61" s="138" t="s">
        <v>5393</v>
      </c>
      <c r="AB61" s="137" t="s">
        <v>5394</v>
      </c>
      <c r="AC61" s="260" t="s">
        <v>5395</v>
      </c>
      <c r="AD61" s="262" t="s">
        <v>5396</v>
      </c>
      <c r="AE61" s="557" t="s">
        <v>5397</v>
      </c>
      <c r="AF61" s="138" t="s">
        <v>5398</v>
      </c>
      <c r="AG61" s="1086" t="s">
        <v>5399</v>
      </c>
      <c r="AH61" s="2759" t="s">
        <v>5400</v>
      </c>
      <c r="AI61" s="2869" t="s">
        <v>5401</v>
      </c>
      <c r="AJ61" s="1084" t="s">
        <v>5402</v>
      </c>
      <c r="AK61" s="1085" t="s">
        <v>5403</v>
      </c>
      <c r="AL61" s="1084" t="s">
        <v>5404</v>
      </c>
      <c r="AM61" s="214"/>
      <c r="AN61" s="214"/>
      <c r="AO61" s="214"/>
      <c r="AP61" s="214"/>
    </row>
    <row r="62" spans="1:42" x14ac:dyDescent="0.25">
      <c r="A62" s="7682">
        <v>30000044</v>
      </c>
      <c r="B62" s="3384" t="s">
        <v>283</v>
      </c>
      <c r="C62" s="2518" t="s">
        <v>5369</v>
      </c>
      <c r="D62" s="138" t="s">
        <v>5370</v>
      </c>
      <c r="E62" s="137" t="s">
        <v>5371</v>
      </c>
      <c r="F62" s="138" t="s">
        <v>5372</v>
      </c>
      <c r="G62" s="137" t="s">
        <v>5373</v>
      </c>
      <c r="H62" s="138" t="s">
        <v>5374</v>
      </c>
      <c r="I62" s="137" t="s">
        <v>5375</v>
      </c>
      <c r="J62" s="138" t="s">
        <v>5376</v>
      </c>
      <c r="K62" s="137" t="s">
        <v>5377</v>
      </c>
      <c r="L62" s="138" t="s">
        <v>5378</v>
      </c>
      <c r="M62" s="137" t="s">
        <v>5379</v>
      </c>
      <c r="N62" s="138" t="s">
        <v>5380</v>
      </c>
      <c r="O62" s="875" t="s">
        <v>5381</v>
      </c>
      <c r="P62" s="850" t="s">
        <v>5382</v>
      </c>
      <c r="Q62" s="875" t="s">
        <v>5383</v>
      </c>
      <c r="R62" s="850" t="s">
        <v>5384</v>
      </c>
      <c r="S62" s="584" t="s">
        <v>5385</v>
      </c>
      <c r="T62" s="1087" t="s">
        <v>5386</v>
      </c>
      <c r="U62" s="262" t="s">
        <v>5387</v>
      </c>
      <c r="V62" s="557" t="s">
        <v>5388</v>
      </c>
      <c r="W62" s="138" t="s">
        <v>5389</v>
      </c>
      <c r="X62" s="2567" t="s">
        <v>5390</v>
      </c>
      <c r="Y62" s="2537" t="s">
        <v>5391</v>
      </c>
      <c r="Z62" s="2796" t="s">
        <v>5392</v>
      </c>
      <c r="AA62" s="138" t="s">
        <v>5393</v>
      </c>
      <c r="AB62" s="137" t="s">
        <v>5394</v>
      </c>
      <c r="AC62" s="260" t="s">
        <v>5395</v>
      </c>
      <c r="AD62" s="262" t="s">
        <v>5396</v>
      </c>
      <c r="AE62" s="557" t="s">
        <v>5397</v>
      </c>
      <c r="AF62" s="138" t="s">
        <v>5398</v>
      </c>
      <c r="AG62" s="1086" t="s">
        <v>5399</v>
      </c>
      <c r="AH62" s="2759" t="s">
        <v>5400</v>
      </c>
      <c r="AI62" s="2869" t="s">
        <v>5401</v>
      </c>
      <c r="AJ62" s="1084" t="s">
        <v>5402</v>
      </c>
      <c r="AK62" s="1085" t="s">
        <v>5403</v>
      </c>
      <c r="AL62" s="1084" t="s">
        <v>5404</v>
      </c>
      <c r="AM62" s="214"/>
      <c r="AN62" s="214"/>
      <c r="AO62" s="214"/>
      <c r="AP62" s="214"/>
    </row>
    <row r="63" spans="1:42" x14ac:dyDescent="0.25">
      <c r="A63" s="7682">
        <v>30000045</v>
      </c>
      <c r="B63" s="3384" t="s">
        <v>284</v>
      </c>
      <c r="C63" s="2518" t="s">
        <v>5369</v>
      </c>
      <c r="D63" s="138" t="s">
        <v>5370</v>
      </c>
      <c r="E63" s="137" t="s">
        <v>5371</v>
      </c>
      <c r="F63" s="138" t="s">
        <v>5372</v>
      </c>
      <c r="G63" s="137" t="s">
        <v>5373</v>
      </c>
      <c r="H63" s="138" t="s">
        <v>5374</v>
      </c>
      <c r="I63" s="137" t="s">
        <v>5375</v>
      </c>
      <c r="J63" s="138" t="s">
        <v>5376</v>
      </c>
      <c r="K63" s="137" t="s">
        <v>5377</v>
      </c>
      <c r="L63" s="138" t="s">
        <v>5378</v>
      </c>
      <c r="M63" s="137" t="s">
        <v>5379</v>
      </c>
      <c r="N63" s="138" t="s">
        <v>5380</v>
      </c>
      <c r="O63" s="875" t="s">
        <v>5381</v>
      </c>
      <c r="P63" s="850" t="s">
        <v>5382</v>
      </c>
      <c r="Q63" s="875" t="s">
        <v>5383</v>
      </c>
      <c r="R63" s="850" t="s">
        <v>5384</v>
      </c>
      <c r="S63" s="584" t="s">
        <v>5385</v>
      </c>
      <c r="T63" s="1087" t="s">
        <v>5386</v>
      </c>
      <c r="U63" s="262" t="s">
        <v>5387</v>
      </c>
      <c r="V63" s="557" t="s">
        <v>5388</v>
      </c>
      <c r="W63" s="138" t="s">
        <v>5389</v>
      </c>
      <c r="X63" s="2567" t="s">
        <v>5390</v>
      </c>
      <c r="Y63" s="2537" t="s">
        <v>5391</v>
      </c>
      <c r="Z63" s="2796" t="s">
        <v>5392</v>
      </c>
      <c r="AA63" s="138" t="s">
        <v>5393</v>
      </c>
      <c r="AB63" s="137" t="s">
        <v>5394</v>
      </c>
      <c r="AC63" s="260" t="s">
        <v>5395</v>
      </c>
      <c r="AD63" s="262" t="s">
        <v>5396</v>
      </c>
      <c r="AE63" s="557" t="s">
        <v>5397</v>
      </c>
      <c r="AF63" s="138" t="s">
        <v>5398</v>
      </c>
      <c r="AG63" s="1086" t="s">
        <v>5399</v>
      </c>
      <c r="AH63" s="2759" t="s">
        <v>5400</v>
      </c>
      <c r="AI63" s="2869" t="s">
        <v>5401</v>
      </c>
      <c r="AJ63" s="1084" t="s">
        <v>5402</v>
      </c>
      <c r="AK63" s="1085" t="s">
        <v>5403</v>
      </c>
      <c r="AL63" s="1084" t="s">
        <v>5404</v>
      </c>
      <c r="AM63" s="214"/>
      <c r="AN63" s="214"/>
      <c r="AO63" s="214"/>
      <c r="AP63" s="214"/>
    </row>
    <row r="64" spans="1:42" x14ac:dyDescent="0.25">
      <c r="A64" s="7682">
        <v>30000046</v>
      </c>
      <c r="B64" s="3384" t="s">
        <v>464</v>
      </c>
      <c r="C64" s="2518" t="s">
        <v>5369</v>
      </c>
      <c r="D64" s="138" t="s">
        <v>5370</v>
      </c>
      <c r="E64" s="137" t="s">
        <v>5371</v>
      </c>
      <c r="F64" s="138" t="s">
        <v>5372</v>
      </c>
      <c r="G64" s="137" t="s">
        <v>5373</v>
      </c>
      <c r="H64" s="138" t="s">
        <v>5374</v>
      </c>
      <c r="I64" s="137" t="s">
        <v>5375</v>
      </c>
      <c r="J64" s="138" t="s">
        <v>5376</v>
      </c>
      <c r="K64" s="137" t="s">
        <v>5377</v>
      </c>
      <c r="L64" s="138" t="s">
        <v>5378</v>
      </c>
      <c r="M64" s="137" t="s">
        <v>5379</v>
      </c>
      <c r="N64" s="138" t="s">
        <v>5380</v>
      </c>
      <c r="O64" s="875" t="s">
        <v>5381</v>
      </c>
      <c r="P64" s="850" t="s">
        <v>5382</v>
      </c>
      <c r="Q64" s="875" t="s">
        <v>5383</v>
      </c>
      <c r="R64" s="850" t="s">
        <v>5384</v>
      </c>
      <c r="S64" s="584" t="s">
        <v>5385</v>
      </c>
      <c r="T64" s="1087" t="s">
        <v>5386</v>
      </c>
      <c r="U64" s="262" t="s">
        <v>5387</v>
      </c>
      <c r="V64" s="557" t="s">
        <v>5388</v>
      </c>
      <c r="W64" s="138" t="s">
        <v>5389</v>
      </c>
      <c r="X64" s="2567" t="s">
        <v>5390</v>
      </c>
      <c r="Y64" s="2537" t="s">
        <v>5391</v>
      </c>
      <c r="Z64" s="2796" t="s">
        <v>5392</v>
      </c>
      <c r="AA64" s="138" t="s">
        <v>5393</v>
      </c>
      <c r="AB64" s="137" t="s">
        <v>5394</v>
      </c>
      <c r="AC64" s="260" t="s">
        <v>5395</v>
      </c>
      <c r="AD64" s="262" t="s">
        <v>5396</v>
      </c>
      <c r="AE64" s="557" t="s">
        <v>5397</v>
      </c>
      <c r="AF64" s="138" t="s">
        <v>5398</v>
      </c>
      <c r="AG64" s="1086" t="s">
        <v>5399</v>
      </c>
      <c r="AH64" s="2759" t="s">
        <v>5400</v>
      </c>
      <c r="AI64" s="2869" t="s">
        <v>5401</v>
      </c>
      <c r="AJ64" s="1084" t="s">
        <v>5402</v>
      </c>
      <c r="AK64" s="1085" t="s">
        <v>5403</v>
      </c>
      <c r="AL64" s="1084" t="s">
        <v>5404</v>
      </c>
      <c r="AM64" s="214"/>
      <c r="AN64" s="214"/>
      <c r="AO64" s="214"/>
      <c r="AP64" s="214"/>
    </row>
    <row r="65" spans="1:42" x14ac:dyDescent="0.25">
      <c r="A65" s="7682">
        <v>30000047</v>
      </c>
      <c r="B65" s="2855" t="s">
        <v>38</v>
      </c>
      <c r="C65" s="2518" t="s">
        <v>5369</v>
      </c>
      <c r="D65" s="138" t="s">
        <v>5370</v>
      </c>
      <c r="E65" s="137" t="s">
        <v>5371</v>
      </c>
      <c r="F65" s="138" t="s">
        <v>5372</v>
      </c>
      <c r="G65" s="137" t="s">
        <v>5373</v>
      </c>
      <c r="H65" s="138" t="s">
        <v>5374</v>
      </c>
      <c r="I65" s="137" t="s">
        <v>5375</v>
      </c>
      <c r="J65" s="138" t="s">
        <v>5376</v>
      </c>
      <c r="K65" s="137" t="s">
        <v>5377</v>
      </c>
      <c r="L65" s="138" t="s">
        <v>5378</v>
      </c>
      <c r="M65" s="137" t="s">
        <v>5379</v>
      </c>
      <c r="N65" s="138" t="s">
        <v>5380</v>
      </c>
      <c r="O65" s="875" t="s">
        <v>5381</v>
      </c>
      <c r="P65" s="850" t="s">
        <v>5382</v>
      </c>
      <c r="Q65" s="875" t="s">
        <v>5383</v>
      </c>
      <c r="R65" s="850" t="s">
        <v>5384</v>
      </c>
      <c r="S65" s="584" t="s">
        <v>5385</v>
      </c>
      <c r="T65" s="1087" t="s">
        <v>5386</v>
      </c>
      <c r="U65" s="262" t="s">
        <v>5387</v>
      </c>
      <c r="V65" s="557" t="s">
        <v>5388</v>
      </c>
      <c r="W65" s="138" t="s">
        <v>5389</v>
      </c>
      <c r="X65" s="2567" t="s">
        <v>5390</v>
      </c>
      <c r="Y65" s="2537" t="s">
        <v>5391</v>
      </c>
      <c r="Z65" s="2796" t="s">
        <v>5392</v>
      </c>
      <c r="AA65" s="138" t="s">
        <v>5393</v>
      </c>
      <c r="AB65" s="137" t="s">
        <v>5394</v>
      </c>
      <c r="AC65" s="260" t="s">
        <v>5395</v>
      </c>
      <c r="AD65" s="262" t="s">
        <v>5396</v>
      </c>
      <c r="AE65" s="557" t="s">
        <v>5397</v>
      </c>
      <c r="AF65" s="138" t="s">
        <v>5398</v>
      </c>
      <c r="AG65" s="1086" t="s">
        <v>5399</v>
      </c>
      <c r="AH65" s="2759" t="s">
        <v>5400</v>
      </c>
      <c r="AI65" s="2869" t="s">
        <v>5401</v>
      </c>
      <c r="AJ65" s="1084" t="s">
        <v>5402</v>
      </c>
      <c r="AK65" s="1085" t="s">
        <v>5403</v>
      </c>
      <c r="AL65" s="1084" t="s">
        <v>5404</v>
      </c>
      <c r="AM65" s="214"/>
      <c r="AN65" s="214"/>
      <c r="AO65" s="214"/>
      <c r="AP65" s="214"/>
    </row>
    <row r="66" spans="1:42" x14ac:dyDescent="0.25">
      <c r="A66" s="7682">
        <v>30000048</v>
      </c>
      <c r="B66" s="2855" t="s">
        <v>37</v>
      </c>
      <c r="C66" s="2518" t="s">
        <v>5369</v>
      </c>
      <c r="D66" s="138" t="s">
        <v>5370</v>
      </c>
      <c r="E66" s="137" t="s">
        <v>5371</v>
      </c>
      <c r="F66" s="138" t="s">
        <v>5372</v>
      </c>
      <c r="G66" s="137" t="s">
        <v>5373</v>
      </c>
      <c r="H66" s="138" t="s">
        <v>5374</v>
      </c>
      <c r="I66" s="137" t="s">
        <v>5375</v>
      </c>
      <c r="J66" s="138" t="s">
        <v>5376</v>
      </c>
      <c r="K66" s="137" t="s">
        <v>5377</v>
      </c>
      <c r="L66" s="138" t="s">
        <v>5378</v>
      </c>
      <c r="M66" s="137" t="s">
        <v>5379</v>
      </c>
      <c r="N66" s="138" t="s">
        <v>5380</v>
      </c>
      <c r="O66" s="875" t="s">
        <v>5381</v>
      </c>
      <c r="P66" s="850" t="s">
        <v>5382</v>
      </c>
      <c r="Q66" s="875" t="s">
        <v>5383</v>
      </c>
      <c r="R66" s="850" t="s">
        <v>5384</v>
      </c>
      <c r="S66" s="584" t="s">
        <v>5385</v>
      </c>
      <c r="T66" s="1087" t="s">
        <v>5386</v>
      </c>
      <c r="U66" s="262" t="s">
        <v>5387</v>
      </c>
      <c r="V66" s="557" t="s">
        <v>5388</v>
      </c>
      <c r="W66" s="138" t="s">
        <v>5389</v>
      </c>
      <c r="X66" s="2567" t="s">
        <v>5390</v>
      </c>
      <c r="Y66" s="2537" t="s">
        <v>5391</v>
      </c>
      <c r="Z66" s="2796" t="s">
        <v>5392</v>
      </c>
      <c r="AA66" s="138" t="s">
        <v>5393</v>
      </c>
      <c r="AB66" s="137" t="s">
        <v>5394</v>
      </c>
      <c r="AC66" s="260" t="s">
        <v>5395</v>
      </c>
      <c r="AD66" s="262" t="s">
        <v>5396</v>
      </c>
      <c r="AE66" s="557" t="s">
        <v>5397</v>
      </c>
      <c r="AF66" s="138" t="s">
        <v>5398</v>
      </c>
      <c r="AG66" s="1086" t="s">
        <v>5399</v>
      </c>
      <c r="AH66" s="2759" t="s">
        <v>5400</v>
      </c>
      <c r="AI66" s="2869" t="s">
        <v>5401</v>
      </c>
      <c r="AJ66" s="1084" t="s">
        <v>5402</v>
      </c>
      <c r="AK66" s="1085" t="s">
        <v>5403</v>
      </c>
      <c r="AL66" s="1084" t="s">
        <v>5404</v>
      </c>
      <c r="AM66" s="214"/>
      <c r="AN66" s="214"/>
      <c r="AO66" s="214"/>
      <c r="AP66" s="214"/>
    </row>
    <row r="67" spans="1:42" x14ac:dyDescent="0.25">
      <c r="A67" s="7682">
        <v>30000049</v>
      </c>
      <c r="B67" s="2855" t="s">
        <v>285</v>
      </c>
      <c r="C67" s="2518" t="s">
        <v>5369</v>
      </c>
      <c r="D67" s="138" t="s">
        <v>5370</v>
      </c>
      <c r="E67" s="137" t="s">
        <v>5371</v>
      </c>
      <c r="F67" s="138" t="s">
        <v>5372</v>
      </c>
      <c r="G67" s="137" t="s">
        <v>5373</v>
      </c>
      <c r="H67" s="138" t="s">
        <v>5374</v>
      </c>
      <c r="I67" s="137" t="s">
        <v>5375</v>
      </c>
      <c r="J67" s="138" t="s">
        <v>5376</v>
      </c>
      <c r="K67" s="137" t="s">
        <v>5377</v>
      </c>
      <c r="L67" s="138" t="s">
        <v>5378</v>
      </c>
      <c r="M67" s="137" t="s">
        <v>5379</v>
      </c>
      <c r="N67" s="138" t="s">
        <v>5380</v>
      </c>
      <c r="O67" s="875" t="s">
        <v>5381</v>
      </c>
      <c r="P67" s="850" t="s">
        <v>5382</v>
      </c>
      <c r="Q67" s="875" t="s">
        <v>5383</v>
      </c>
      <c r="R67" s="850" t="s">
        <v>5384</v>
      </c>
      <c r="S67" s="584" t="s">
        <v>5385</v>
      </c>
      <c r="T67" s="1087" t="s">
        <v>5386</v>
      </c>
      <c r="U67" s="262" t="s">
        <v>5387</v>
      </c>
      <c r="V67" s="557" t="s">
        <v>5388</v>
      </c>
      <c r="W67" s="138" t="s">
        <v>5389</v>
      </c>
      <c r="X67" s="2567" t="s">
        <v>5390</v>
      </c>
      <c r="Y67" s="2537" t="s">
        <v>5391</v>
      </c>
      <c r="Z67" s="2796" t="s">
        <v>5392</v>
      </c>
      <c r="AA67" s="138" t="s">
        <v>5393</v>
      </c>
      <c r="AB67" s="137" t="s">
        <v>5394</v>
      </c>
      <c r="AC67" s="260" t="s">
        <v>5395</v>
      </c>
      <c r="AD67" s="262" t="s">
        <v>5396</v>
      </c>
      <c r="AE67" s="557" t="s">
        <v>5397</v>
      </c>
      <c r="AF67" s="138" t="s">
        <v>5398</v>
      </c>
      <c r="AG67" s="1086" t="s">
        <v>5399</v>
      </c>
      <c r="AH67" s="2759" t="s">
        <v>5400</v>
      </c>
      <c r="AI67" s="2869" t="s">
        <v>5401</v>
      </c>
      <c r="AJ67" s="1084" t="s">
        <v>5402</v>
      </c>
      <c r="AK67" s="1085" t="s">
        <v>5403</v>
      </c>
      <c r="AL67" s="1084" t="s">
        <v>5404</v>
      </c>
      <c r="AM67" s="214"/>
      <c r="AN67" s="214"/>
      <c r="AO67" s="214"/>
      <c r="AP67" s="214"/>
    </row>
    <row r="68" spans="1:42" x14ac:dyDescent="0.25">
      <c r="A68" s="7682">
        <v>30000050</v>
      </c>
      <c r="B68" s="2855" t="s">
        <v>465</v>
      </c>
      <c r="C68" s="2518" t="s">
        <v>5369</v>
      </c>
      <c r="D68" s="138" t="s">
        <v>5370</v>
      </c>
      <c r="E68" s="137" t="s">
        <v>5371</v>
      </c>
      <c r="F68" s="138" t="s">
        <v>5372</v>
      </c>
      <c r="G68" s="137" t="s">
        <v>5373</v>
      </c>
      <c r="H68" s="138" t="s">
        <v>5374</v>
      </c>
      <c r="I68" s="137" t="s">
        <v>5375</v>
      </c>
      <c r="J68" s="138" t="s">
        <v>5376</v>
      </c>
      <c r="K68" s="137" t="s">
        <v>5377</v>
      </c>
      <c r="L68" s="138" t="s">
        <v>5378</v>
      </c>
      <c r="M68" s="137" t="s">
        <v>5379</v>
      </c>
      <c r="N68" s="138" t="s">
        <v>5380</v>
      </c>
      <c r="O68" s="875" t="s">
        <v>5381</v>
      </c>
      <c r="P68" s="850" t="s">
        <v>5382</v>
      </c>
      <c r="Q68" s="875" t="s">
        <v>5383</v>
      </c>
      <c r="R68" s="850" t="s">
        <v>5384</v>
      </c>
      <c r="S68" s="584" t="s">
        <v>5385</v>
      </c>
      <c r="T68" s="1087" t="s">
        <v>5386</v>
      </c>
      <c r="U68" s="262" t="s">
        <v>5387</v>
      </c>
      <c r="V68" s="557" t="s">
        <v>5388</v>
      </c>
      <c r="W68" s="138" t="s">
        <v>5389</v>
      </c>
      <c r="X68" s="2567" t="s">
        <v>5390</v>
      </c>
      <c r="Y68" s="2537" t="s">
        <v>5391</v>
      </c>
      <c r="Z68" s="2796" t="s">
        <v>5392</v>
      </c>
      <c r="AA68" s="138" t="s">
        <v>5393</v>
      </c>
      <c r="AB68" s="137" t="s">
        <v>5394</v>
      </c>
      <c r="AC68" s="260" t="s">
        <v>5395</v>
      </c>
      <c r="AD68" s="262" t="s">
        <v>5396</v>
      </c>
      <c r="AE68" s="557" t="s">
        <v>5397</v>
      </c>
      <c r="AF68" s="138" t="s">
        <v>5398</v>
      </c>
      <c r="AG68" s="1086" t="s">
        <v>5399</v>
      </c>
      <c r="AH68" s="2759" t="s">
        <v>5400</v>
      </c>
      <c r="AI68" s="2869" t="s">
        <v>5401</v>
      </c>
      <c r="AJ68" s="1084" t="s">
        <v>5402</v>
      </c>
      <c r="AK68" s="1085" t="s">
        <v>5403</v>
      </c>
      <c r="AL68" s="1084" t="s">
        <v>5404</v>
      </c>
      <c r="AM68" s="214"/>
      <c r="AN68" s="214"/>
      <c r="AO68" s="214"/>
      <c r="AP68" s="214"/>
    </row>
    <row r="69" spans="1:42" x14ac:dyDescent="0.25">
      <c r="A69" s="7682">
        <v>30000051</v>
      </c>
      <c r="B69" s="2855" t="s">
        <v>286</v>
      </c>
      <c r="C69" s="2518" t="s">
        <v>5369</v>
      </c>
      <c r="D69" s="138" t="s">
        <v>5370</v>
      </c>
      <c r="E69" s="137" t="s">
        <v>5371</v>
      </c>
      <c r="F69" s="138" t="s">
        <v>5372</v>
      </c>
      <c r="G69" s="137" t="s">
        <v>5373</v>
      </c>
      <c r="H69" s="138" t="s">
        <v>5374</v>
      </c>
      <c r="I69" s="137" t="s">
        <v>5375</v>
      </c>
      <c r="J69" s="138" t="s">
        <v>5376</v>
      </c>
      <c r="K69" s="137" t="s">
        <v>5377</v>
      </c>
      <c r="L69" s="138" t="s">
        <v>5378</v>
      </c>
      <c r="M69" s="137" t="s">
        <v>5379</v>
      </c>
      <c r="N69" s="138" t="s">
        <v>5380</v>
      </c>
      <c r="O69" s="875" t="s">
        <v>5381</v>
      </c>
      <c r="P69" s="850" t="s">
        <v>5382</v>
      </c>
      <c r="Q69" s="875" t="s">
        <v>5383</v>
      </c>
      <c r="R69" s="850" t="s">
        <v>5384</v>
      </c>
      <c r="S69" s="584" t="s">
        <v>5385</v>
      </c>
      <c r="T69" s="1087" t="s">
        <v>5386</v>
      </c>
      <c r="U69" s="262" t="s">
        <v>5387</v>
      </c>
      <c r="V69" s="557" t="s">
        <v>5388</v>
      </c>
      <c r="W69" s="138" t="s">
        <v>5389</v>
      </c>
      <c r="X69" s="2567" t="s">
        <v>5390</v>
      </c>
      <c r="Y69" s="2537" t="s">
        <v>5391</v>
      </c>
      <c r="Z69" s="2796" t="s">
        <v>5392</v>
      </c>
      <c r="AA69" s="138" t="s">
        <v>5393</v>
      </c>
      <c r="AB69" s="137" t="s">
        <v>5394</v>
      </c>
      <c r="AC69" s="260" t="s">
        <v>5395</v>
      </c>
      <c r="AD69" s="262" t="s">
        <v>5396</v>
      </c>
      <c r="AE69" s="557" t="s">
        <v>5397</v>
      </c>
      <c r="AF69" s="138" t="s">
        <v>5398</v>
      </c>
      <c r="AG69" s="1086" t="s">
        <v>5399</v>
      </c>
      <c r="AH69" s="2759" t="s">
        <v>5400</v>
      </c>
      <c r="AI69" s="2869" t="s">
        <v>5401</v>
      </c>
      <c r="AJ69" s="1084" t="s">
        <v>5402</v>
      </c>
      <c r="AK69" s="1085" t="s">
        <v>5403</v>
      </c>
      <c r="AL69" s="1084" t="s">
        <v>5404</v>
      </c>
      <c r="AM69" s="214"/>
      <c r="AN69" s="214"/>
      <c r="AO69" s="214"/>
      <c r="AP69" s="214"/>
    </row>
    <row r="70" spans="1:42" x14ac:dyDescent="0.25">
      <c r="A70" s="7682">
        <v>30000052</v>
      </c>
      <c r="B70" s="2855" t="s">
        <v>466</v>
      </c>
      <c r="C70" s="2518" t="s">
        <v>5369</v>
      </c>
      <c r="D70" s="138" t="s">
        <v>5370</v>
      </c>
      <c r="E70" s="137" t="s">
        <v>5371</v>
      </c>
      <c r="F70" s="138" t="s">
        <v>5372</v>
      </c>
      <c r="G70" s="137" t="s">
        <v>5373</v>
      </c>
      <c r="H70" s="138" t="s">
        <v>5374</v>
      </c>
      <c r="I70" s="137" t="s">
        <v>5375</v>
      </c>
      <c r="J70" s="138" t="s">
        <v>5376</v>
      </c>
      <c r="K70" s="137" t="s">
        <v>5377</v>
      </c>
      <c r="L70" s="138" t="s">
        <v>5378</v>
      </c>
      <c r="M70" s="137" t="s">
        <v>5379</v>
      </c>
      <c r="N70" s="138" t="s">
        <v>5380</v>
      </c>
      <c r="O70" s="875" t="s">
        <v>5381</v>
      </c>
      <c r="P70" s="850" t="s">
        <v>5382</v>
      </c>
      <c r="Q70" s="875" t="s">
        <v>5383</v>
      </c>
      <c r="R70" s="850" t="s">
        <v>5384</v>
      </c>
      <c r="S70" s="584" t="s">
        <v>5385</v>
      </c>
      <c r="T70" s="1087" t="s">
        <v>5386</v>
      </c>
      <c r="U70" s="262" t="s">
        <v>5387</v>
      </c>
      <c r="V70" s="557" t="s">
        <v>5388</v>
      </c>
      <c r="W70" s="138" t="s">
        <v>5389</v>
      </c>
      <c r="X70" s="2567" t="s">
        <v>5390</v>
      </c>
      <c r="Y70" s="2537" t="s">
        <v>5391</v>
      </c>
      <c r="Z70" s="2796" t="s">
        <v>5392</v>
      </c>
      <c r="AA70" s="138" t="s">
        <v>5393</v>
      </c>
      <c r="AB70" s="137" t="s">
        <v>5394</v>
      </c>
      <c r="AC70" s="260" t="s">
        <v>5395</v>
      </c>
      <c r="AD70" s="262" t="s">
        <v>5396</v>
      </c>
      <c r="AE70" s="557" t="s">
        <v>5397</v>
      </c>
      <c r="AF70" s="138" t="s">
        <v>5398</v>
      </c>
      <c r="AG70" s="1086" t="s">
        <v>5399</v>
      </c>
      <c r="AH70" s="2759" t="s">
        <v>5400</v>
      </c>
      <c r="AI70" s="2869" t="s">
        <v>5401</v>
      </c>
      <c r="AJ70" s="1084" t="s">
        <v>5402</v>
      </c>
      <c r="AK70" s="1085" t="s">
        <v>5403</v>
      </c>
      <c r="AL70" s="1084" t="s">
        <v>5404</v>
      </c>
      <c r="AM70" s="214"/>
      <c r="AN70" s="214"/>
      <c r="AO70" s="214"/>
      <c r="AP70" s="214"/>
    </row>
    <row r="71" spans="1:42" x14ac:dyDescent="0.25">
      <c r="A71" s="7682">
        <v>30000053</v>
      </c>
      <c r="B71" s="2855" t="s">
        <v>3593</v>
      </c>
      <c r="C71" s="2518" t="s">
        <v>5369</v>
      </c>
      <c r="D71" s="138" t="s">
        <v>5370</v>
      </c>
      <c r="E71" s="137" t="s">
        <v>5371</v>
      </c>
      <c r="F71" s="138" t="s">
        <v>5372</v>
      </c>
      <c r="G71" s="137" t="s">
        <v>5373</v>
      </c>
      <c r="H71" s="138" t="s">
        <v>5374</v>
      </c>
      <c r="I71" s="137" t="s">
        <v>5375</v>
      </c>
      <c r="J71" s="138" t="s">
        <v>5376</v>
      </c>
      <c r="K71" s="137" t="s">
        <v>5377</v>
      </c>
      <c r="L71" s="138" t="s">
        <v>5378</v>
      </c>
      <c r="M71" s="137" t="s">
        <v>5379</v>
      </c>
      <c r="N71" s="138" t="s">
        <v>5380</v>
      </c>
      <c r="O71" s="875" t="s">
        <v>5381</v>
      </c>
      <c r="P71" s="850" t="s">
        <v>5382</v>
      </c>
      <c r="Q71" s="875" t="s">
        <v>5383</v>
      </c>
      <c r="R71" s="850" t="s">
        <v>5384</v>
      </c>
      <c r="S71" s="584" t="s">
        <v>5385</v>
      </c>
      <c r="T71" s="1087" t="s">
        <v>5386</v>
      </c>
      <c r="U71" s="262" t="s">
        <v>5387</v>
      </c>
      <c r="V71" s="557" t="s">
        <v>5388</v>
      </c>
      <c r="W71" s="138" t="s">
        <v>5389</v>
      </c>
      <c r="X71" s="2567" t="s">
        <v>5390</v>
      </c>
      <c r="Y71" s="2537" t="s">
        <v>5391</v>
      </c>
      <c r="Z71" s="2796" t="s">
        <v>5392</v>
      </c>
      <c r="AA71" s="138" t="s">
        <v>5393</v>
      </c>
      <c r="AB71" s="137" t="s">
        <v>5394</v>
      </c>
      <c r="AC71" s="260" t="s">
        <v>5395</v>
      </c>
      <c r="AD71" s="262" t="s">
        <v>5396</v>
      </c>
      <c r="AE71" s="557" t="s">
        <v>5397</v>
      </c>
      <c r="AF71" s="138" t="s">
        <v>5398</v>
      </c>
      <c r="AG71" s="1086" t="s">
        <v>5399</v>
      </c>
      <c r="AH71" s="2759" t="s">
        <v>5400</v>
      </c>
      <c r="AI71" s="2869" t="s">
        <v>5401</v>
      </c>
      <c r="AJ71" s="1084" t="s">
        <v>5402</v>
      </c>
      <c r="AK71" s="1085" t="s">
        <v>5403</v>
      </c>
      <c r="AL71" s="1084" t="s">
        <v>5404</v>
      </c>
      <c r="AM71" s="214"/>
      <c r="AN71" s="214"/>
      <c r="AO71" s="214"/>
      <c r="AP71" s="214"/>
    </row>
    <row r="72" spans="1:42" x14ac:dyDescent="0.25">
      <c r="A72" s="7682">
        <v>30000054</v>
      </c>
      <c r="B72" s="2855" t="s">
        <v>287</v>
      </c>
      <c r="C72" s="2518" t="s">
        <v>5369</v>
      </c>
      <c r="D72" s="138" t="s">
        <v>5370</v>
      </c>
      <c r="E72" s="137" t="s">
        <v>5371</v>
      </c>
      <c r="F72" s="138" t="s">
        <v>5372</v>
      </c>
      <c r="G72" s="137" t="s">
        <v>5373</v>
      </c>
      <c r="H72" s="138" t="s">
        <v>5374</v>
      </c>
      <c r="I72" s="137" t="s">
        <v>5375</v>
      </c>
      <c r="J72" s="138" t="s">
        <v>5376</v>
      </c>
      <c r="K72" s="137" t="s">
        <v>5377</v>
      </c>
      <c r="L72" s="138" t="s">
        <v>5378</v>
      </c>
      <c r="M72" s="137" t="s">
        <v>5379</v>
      </c>
      <c r="N72" s="138" t="s">
        <v>5380</v>
      </c>
      <c r="O72" s="875" t="s">
        <v>5381</v>
      </c>
      <c r="P72" s="850" t="s">
        <v>5382</v>
      </c>
      <c r="Q72" s="875" t="s">
        <v>5383</v>
      </c>
      <c r="R72" s="850" t="s">
        <v>5384</v>
      </c>
      <c r="S72" s="584" t="s">
        <v>5385</v>
      </c>
      <c r="T72" s="1087" t="s">
        <v>5386</v>
      </c>
      <c r="U72" s="262" t="s">
        <v>5387</v>
      </c>
      <c r="V72" s="557" t="s">
        <v>5388</v>
      </c>
      <c r="W72" s="138" t="s">
        <v>5389</v>
      </c>
      <c r="X72" s="2567" t="s">
        <v>5390</v>
      </c>
      <c r="Y72" s="2537" t="s">
        <v>5391</v>
      </c>
      <c r="Z72" s="2796" t="s">
        <v>5392</v>
      </c>
      <c r="AA72" s="138" t="s">
        <v>5393</v>
      </c>
      <c r="AB72" s="137" t="s">
        <v>5394</v>
      </c>
      <c r="AC72" s="260" t="s">
        <v>5395</v>
      </c>
      <c r="AD72" s="262" t="s">
        <v>5396</v>
      </c>
      <c r="AE72" s="557" t="s">
        <v>5397</v>
      </c>
      <c r="AF72" s="138" t="s">
        <v>5398</v>
      </c>
      <c r="AG72" s="1086" t="s">
        <v>5399</v>
      </c>
      <c r="AH72" s="2759" t="s">
        <v>5400</v>
      </c>
      <c r="AI72" s="2869" t="s">
        <v>5401</v>
      </c>
      <c r="AJ72" s="1084" t="s">
        <v>5402</v>
      </c>
      <c r="AK72" s="1085" t="s">
        <v>5403</v>
      </c>
      <c r="AL72" s="1084" t="s">
        <v>5404</v>
      </c>
      <c r="AM72" s="214"/>
      <c r="AN72" s="214"/>
      <c r="AO72" s="214"/>
      <c r="AP72" s="214"/>
    </row>
    <row r="73" spans="1:42" x14ac:dyDescent="0.25">
      <c r="A73" s="7682">
        <v>30000086</v>
      </c>
      <c r="B73" s="2855" t="s">
        <v>452</v>
      </c>
      <c r="C73" s="2518" t="s">
        <v>5369</v>
      </c>
      <c r="D73" s="138" t="s">
        <v>5370</v>
      </c>
      <c r="E73" s="137" t="s">
        <v>5371</v>
      </c>
      <c r="F73" s="138" t="s">
        <v>5372</v>
      </c>
      <c r="G73" s="137" t="s">
        <v>5373</v>
      </c>
      <c r="H73" s="138" t="s">
        <v>5374</v>
      </c>
      <c r="I73" s="137" t="s">
        <v>5375</v>
      </c>
      <c r="J73" s="138" t="s">
        <v>5376</v>
      </c>
      <c r="K73" s="137" t="s">
        <v>5377</v>
      </c>
      <c r="L73" s="138" t="s">
        <v>5378</v>
      </c>
      <c r="M73" s="137" t="s">
        <v>5379</v>
      </c>
      <c r="N73" s="138" t="s">
        <v>5380</v>
      </c>
      <c r="O73" s="875" t="s">
        <v>5381</v>
      </c>
      <c r="P73" s="850" t="s">
        <v>5382</v>
      </c>
      <c r="Q73" s="875" t="s">
        <v>5383</v>
      </c>
      <c r="R73" s="850" t="s">
        <v>5384</v>
      </c>
      <c r="S73" s="584" t="s">
        <v>5385</v>
      </c>
      <c r="T73" s="1087" t="s">
        <v>5386</v>
      </c>
      <c r="U73" s="262" t="s">
        <v>5387</v>
      </c>
      <c r="V73" s="557" t="s">
        <v>5388</v>
      </c>
      <c r="W73" s="138" t="s">
        <v>5389</v>
      </c>
      <c r="X73" s="2567" t="s">
        <v>5390</v>
      </c>
      <c r="Y73" s="2537" t="s">
        <v>5391</v>
      </c>
      <c r="Z73" s="2796" t="s">
        <v>5392</v>
      </c>
      <c r="AA73" s="138" t="s">
        <v>5393</v>
      </c>
      <c r="AB73" s="137" t="s">
        <v>5394</v>
      </c>
      <c r="AC73" s="260" t="s">
        <v>5395</v>
      </c>
      <c r="AD73" s="262" t="s">
        <v>5396</v>
      </c>
      <c r="AE73" s="557" t="s">
        <v>5397</v>
      </c>
      <c r="AF73" s="138" t="s">
        <v>5398</v>
      </c>
      <c r="AG73" s="1086" t="s">
        <v>5399</v>
      </c>
      <c r="AH73" s="2759" t="s">
        <v>5400</v>
      </c>
      <c r="AI73" s="2869" t="s">
        <v>5401</v>
      </c>
      <c r="AJ73" s="1084" t="s">
        <v>5402</v>
      </c>
      <c r="AK73" s="1085" t="s">
        <v>5403</v>
      </c>
      <c r="AL73" s="1084" t="s">
        <v>5404</v>
      </c>
      <c r="AM73" s="214"/>
      <c r="AN73" s="214"/>
      <c r="AO73" s="214"/>
      <c r="AP73" s="214"/>
    </row>
    <row r="74" spans="1:42" x14ac:dyDescent="0.25">
      <c r="A74" s="7682">
        <v>30000055</v>
      </c>
      <c r="B74" s="2855" t="s">
        <v>288</v>
      </c>
      <c r="C74" s="2518" t="s">
        <v>5369</v>
      </c>
      <c r="D74" s="138" t="s">
        <v>5370</v>
      </c>
      <c r="E74" s="137" t="s">
        <v>5371</v>
      </c>
      <c r="F74" s="138" t="s">
        <v>5372</v>
      </c>
      <c r="G74" s="137" t="s">
        <v>5373</v>
      </c>
      <c r="H74" s="138" t="s">
        <v>5374</v>
      </c>
      <c r="I74" s="137" t="s">
        <v>5375</v>
      </c>
      <c r="J74" s="138" t="s">
        <v>5376</v>
      </c>
      <c r="K74" s="137" t="s">
        <v>5377</v>
      </c>
      <c r="L74" s="138" t="s">
        <v>5378</v>
      </c>
      <c r="M74" s="137" t="s">
        <v>5379</v>
      </c>
      <c r="N74" s="138" t="s">
        <v>5380</v>
      </c>
      <c r="O74" s="875" t="s">
        <v>5381</v>
      </c>
      <c r="P74" s="850" t="s">
        <v>5382</v>
      </c>
      <c r="Q74" s="875" t="s">
        <v>5383</v>
      </c>
      <c r="R74" s="850" t="s">
        <v>5384</v>
      </c>
      <c r="S74" s="584" t="s">
        <v>5385</v>
      </c>
      <c r="T74" s="1087" t="s">
        <v>5386</v>
      </c>
      <c r="U74" s="262" t="s">
        <v>5387</v>
      </c>
      <c r="V74" s="557" t="s">
        <v>5388</v>
      </c>
      <c r="W74" s="138" t="s">
        <v>5389</v>
      </c>
      <c r="X74" s="2567" t="s">
        <v>5390</v>
      </c>
      <c r="Y74" s="2537" t="s">
        <v>5391</v>
      </c>
      <c r="Z74" s="2796" t="s">
        <v>5392</v>
      </c>
      <c r="AA74" s="138" t="s">
        <v>5393</v>
      </c>
      <c r="AB74" s="137" t="s">
        <v>5394</v>
      </c>
      <c r="AC74" s="260" t="s">
        <v>5395</v>
      </c>
      <c r="AD74" s="262" t="s">
        <v>5396</v>
      </c>
      <c r="AE74" s="557" t="s">
        <v>5397</v>
      </c>
      <c r="AF74" s="138" t="s">
        <v>5398</v>
      </c>
      <c r="AG74" s="1086" t="s">
        <v>5399</v>
      </c>
      <c r="AH74" s="2759" t="s">
        <v>5400</v>
      </c>
      <c r="AI74" s="2869" t="s">
        <v>5401</v>
      </c>
      <c r="AJ74" s="1084" t="s">
        <v>5402</v>
      </c>
      <c r="AK74" s="1085" t="s">
        <v>5403</v>
      </c>
      <c r="AL74" s="1084" t="s">
        <v>5404</v>
      </c>
      <c r="AM74" s="214"/>
      <c r="AN74" s="214"/>
      <c r="AO74" s="214"/>
      <c r="AP74" s="214"/>
    </row>
    <row r="75" spans="1:42" x14ac:dyDescent="0.25">
      <c r="A75" s="7682">
        <v>30000056</v>
      </c>
      <c r="B75" s="2922" t="s">
        <v>3814</v>
      </c>
      <c r="C75" s="1842" t="s">
        <v>5369</v>
      </c>
      <c r="D75" s="122" t="s">
        <v>5370</v>
      </c>
      <c r="E75" s="110" t="s">
        <v>5371</v>
      </c>
      <c r="F75" s="122" t="s">
        <v>5372</v>
      </c>
      <c r="G75" s="110" t="s">
        <v>5373</v>
      </c>
      <c r="H75" s="122" t="s">
        <v>5374</v>
      </c>
      <c r="I75" s="110" t="s">
        <v>5375</v>
      </c>
      <c r="J75" s="122" t="s">
        <v>5376</v>
      </c>
      <c r="K75" s="110" t="s">
        <v>5377</v>
      </c>
      <c r="L75" s="122" t="s">
        <v>5378</v>
      </c>
      <c r="M75" s="110" t="s">
        <v>5379</v>
      </c>
      <c r="N75" s="122" t="s">
        <v>5380</v>
      </c>
      <c r="O75" s="815" t="s">
        <v>5381</v>
      </c>
      <c r="P75" s="851" t="s">
        <v>5382</v>
      </c>
      <c r="Q75" s="815" t="s">
        <v>5383</v>
      </c>
      <c r="R75" s="851" t="s">
        <v>5384</v>
      </c>
      <c r="S75" s="323" t="s">
        <v>5385</v>
      </c>
      <c r="T75" s="1083" t="s">
        <v>5386</v>
      </c>
      <c r="U75" s="259" t="s">
        <v>5387</v>
      </c>
      <c r="V75" s="112" t="s">
        <v>5388</v>
      </c>
      <c r="W75" s="122" t="s">
        <v>5389</v>
      </c>
      <c r="X75" s="2848" t="s">
        <v>5390</v>
      </c>
      <c r="Y75" s="2824" t="s">
        <v>5391</v>
      </c>
      <c r="Z75" s="2852" t="s">
        <v>5392</v>
      </c>
      <c r="AA75" s="122" t="s">
        <v>5393</v>
      </c>
      <c r="AB75" s="110" t="s">
        <v>5394</v>
      </c>
      <c r="AC75" s="197" t="s">
        <v>5395</v>
      </c>
      <c r="AD75" s="259" t="s">
        <v>5396</v>
      </c>
      <c r="AE75" s="112" t="s">
        <v>5397</v>
      </c>
      <c r="AF75" s="122" t="s">
        <v>5398</v>
      </c>
      <c r="AG75" s="1082" t="s">
        <v>5399</v>
      </c>
      <c r="AH75" s="2851" t="s">
        <v>5400</v>
      </c>
      <c r="AI75" s="2870" t="s">
        <v>5401</v>
      </c>
      <c r="AJ75" s="1080" t="s">
        <v>5402</v>
      </c>
      <c r="AK75" s="1081" t="s">
        <v>5403</v>
      </c>
      <c r="AL75" s="1080" t="s">
        <v>5404</v>
      </c>
      <c r="AM75" s="214"/>
      <c r="AN75" s="214"/>
      <c r="AO75" s="214"/>
      <c r="AP75" s="214"/>
    </row>
    <row r="76" spans="1:42" x14ac:dyDescent="0.25">
      <c r="A76" s="7682">
        <v>30000087</v>
      </c>
      <c r="B76" s="3151" t="s">
        <v>418</v>
      </c>
      <c r="C76" s="1842" t="s">
        <v>5369</v>
      </c>
      <c r="D76" s="122" t="s">
        <v>5370</v>
      </c>
      <c r="E76" s="110" t="s">
        <v>5371</v>
      </c>
      <c r="F76" s="122" t="s">
        <v>5372</v>
      </c>
      <c r="G76" s="110" t="s">
        <v>5373</v>
      </c>
      <c r="H76" s="122" t="s">
        <v>5374</v>
      </c>
      <c r="I76" s="110" t="s">
        <v>5375</v>
      </c>
      <c r="J76" s="122" t="s">
        <v>5376</v>
      </c>
      <c r="K76" s="110" t="s">
        <v>5377</v>
      </c>
      <c r="L76" s="122" t="s">
        <v>5378</v>
      </c>
      <c r="M76" s="110" t="s">
        <v>5379</v>
      </c>
      <c r="N76" s="122" t="s">
        <v>5380</v>
      </c>
      <c r="O76" s="815" t="s">
        <v>5381</v>
      </c>
      <c r="P76" s="851" t="s">
        <v>5382</v>
      </c>
      <c r="Q76" s="815" t="s">
        <v>5383</v>
      </c>
      <c r="R76" s="851" t="s">
        <v>5384</v>
      </c>
      <c r="S76" s="323" t="s">
        <v>5385</v>
      </c>
      <c r="T76" s="1083" t="s">
        <v>5386</v>
      </c>
      <c r="U76" s="259" t="s">
        <v>5387</v>
      </c>
      <c r="V76" s="112" t="s">
        <v>5388</v>
      </c>
      <c r="W76" s="122" t="s">
        <v>5389</v>
      </c>
      <c r="X76" s="2848" t="s">
        <v>5390</v>
      </c>
      <c r="Y76" s="2824" t="s">
        <v>5391</v>
      </c>
      <c r="Z76" s="2852" t="s">
        <v>5392</v>
      </c>
      <c r="AA76" s="122" t="s">
        <v>5393</v>
      </c>
      <c r="AB76" s="110" t="s">
        <v>5394</v>
      </c>
      <c r="AC76" s="197" t="s">
        <v>5395</v>
      </c>
      <c r="AD76" s="259" t="s">
        <v>5396</v>
      </c>
      <c r="AE76" s="112" t="s">
        <v>5397</v>
      </c>
      <c r="AF76" s="122" t="s">
        <v>5398</v>
      </c>
      <c r="AG76" s="1082" t="s">
        <v>5399</v>
      </c>
      <c r="AH76" s="2851" t="s">
        <v>5400</v>
      </c>
      <c r="AI76" s="2870" t="s">
        <v>5401</v>
      </c>
      <c r="AJ76" s="1080" t="s">
        <v>5402</v>
      </c>
      <c r="AK76" s="1081" t="s">
        <v>5403</v>
      </c>
      <c r="AL76" s="1080" t="s">
        <v>5404</v>
      </c>
      <c r="AM76" s="214"/>
      <c r="AN76" s="214"/>
      <c r="AO76" s="214"/>
      <c r="AP76" s="214"/>
    </row>
    <row r="77" spans="1:42" x14ac:dyDescent="0.25">
      <c r="A77" s="7682">
        <v>30000088</v>
      </c>
      <c r="B77" s="2928" t="s">
        <v>419</v>
      </c>
      <c r="C77" s="2825" t="s">
        <v>5369</v>
      </c>
      <c r="D77" s="101" t="s">
        <v>5370</v>
      </c>
      <c r="E77" s="125" t="s">
        <v>5371</v>
      </c>
      <c r="F77" s="101" t="s">
        <v>5372</v>
      </c>
      <c r="G77" s="125" t="s">
        <v>5373</v>
      </c>
      <c r="H77" s="101" t="s">
        <v>5374</v>
      </c>
      <c r="I77" s="125" t="s">
        <v>5375</v>
      </c>
      <c r="J77" s="101" t="s">
        <v>5376</v>
      </c>
      <c r="K77" s="125" t="s">
        <v>5377</v>
      </c>
      <c r="L77" s="101" t="s">
        <v>5378</v>
      </c>
      <c r="M77" s="125" t="s">
        <v>5379</v>
      </c>
      <c r="N77" s="101" t="s">
        <v>5380</v>
      </c>
      <c r="O77" s="826" t="s">
        <v>5381</v>
      </c>
      <c r="P77" s="1338" t="s">
        <v>5382</v>
      </c>
      <c r="Q77" s="826" t="s">
        <v>5383</v>
      </c>
      <c r="R77" s="1338" t="s">
        <v>5384</v>
      </c>
      <c r="S77" s="1336" t="s">
        <v>5385</v>
      </c>
      <c r="T77" s="1079" t="s">
        <v>5386</v>
      </c>
      <c r="U77" s="264" t="s">
        <v>5387</v>
      </c>
      <c r="V77" s="173" t="s">
        <v>5388</v>
      </c>
      <c r="W77" s="101" t="s">
        <v>5389</v>
      </c>
      <c r="X77" s="2829" t="s">
        <v>5390</v>
      </c>
      <c r="Y77" s="2821" t="s">
        <v>5391</v>
      </c>
      <c r="Z77" s="2477" t="s">
        <v>5392</v>
      </c>
      <c r="AA77" s="101" t="s">
        <v>5393</v>
      </c>
      <c r="AB77" s="125" t="s">
        <v>5394</v>
      </c>
      <c r="AC77" s="198" t="s">
        <v>5395</v>
      </c>
      <c r="AD77" s="264" t="s">
        <v>5396</v>
      </c>
      <c r="AE77" s="173" t="s">
        <v>5397</v>
      </c>
      <c r="AF77" s="101" t="s">
        <v>5398</v>
      </c>
      <c r="AG77" s="1078" t="s">
        <v>5399</v>
      </c>
      <c r="AH77" s="2849" t="s">
        <v>5400</v>
      </c>
      <c r="AI77" s="2871" t="s">
        <v>5401</v>
      </c>
      <c r="AJ77" s="1076" t="s">
        <v>5402</v>
      </c>
      <c r="AK77" s="1077" t="s">
        <v>5403</v>
      </c>
      <c r="AL77" s="1076" t="s">
        <v>5404</v>
      </c>
      <c r="AM77" s="214"/>
      <c r="AN77" s="214"/>
      <c r="AO77" s="214"/>
      <c r="AP77" s="214"/>
    </row>
    <row r="78" spans="1:42" ht="32.1" customHeight="1" x14ac:dyDescent="0.25">
      <c r="B78" s="803" t="s">
        <v>3681</v>
      </c>
      <c r="C78" s="744"/>
      <c r="D78" s="744"/>
      <c r="E78" s="153"/>
      <c r="F78" s="153"/>
      <c r="G78" s="153"/>
      <c r="H78" s="153"/>
      <c r="I78" s="288"/>
      <c r="J78" s="288"/>
      <c r="K78" s="288"/>
      <c r="L78" s="291"/>
      <c r="M78" s="291"/>
      <c r="N78" s="291"/>
      <c r="O78" s="288"/>
      <c r="P78" s="291"/>
      <c r="Q78" s="291"/>
      <c r="R78" s="291"/>
      <c r="S78" s="190"/>
      <c r="T78" s="190"/>
      <c r="U78" s="190"/>
      <c r="V78" s="190"/>
      <c r="W78" s="190"/>
      <c r="X78" s="190"/>
      <c r="Y78" s="190"/>
      <c r="Z78" s="190"/>
      <c r="AA78" s="190"/>
      <c r="AB78" s="190"/>
      <c r="AC78" s="190"/>
      <c r="AD78" s="190"/>
      <c r="AE78" s="190"/>
      <c r="AF78" s="190"/>
      <c r="AG78" s="190"/>
      <c r="AH78" s="190"/>
    </row>
    <row r="79" spans="1:42" ht="47.25" customHeight="1" x14ac:dyDescent="0.25">
      <c r="B79" s="8616" t="s">
        <v>2675</v>
      </c>
      <c r="C79" s="11063" t="s">
        <v>2676</v>
      </c>
      <c r="D79" s="11064"/>
      <c r="E79" s="11064"/>
      <c r="F79" s="11064"/>
      <c r="G79" s="11064"/>
      <c r="H79" s="11066"/>
      <c r="I79" s="11116" t="s">
        <v>1351</v>
      </c>
      <c r="J79" s="8646"/>
      <c r="K79" s="11117"/>
      <c r="L79" s="11067" t="s">
        <v>2677</v>
      </c>
      <c r="M79" s="11064"/>
      <c r="N79" s="11064"/>
      <c r="O79" s="11064"/>
      <c r="P79" s="11064"/>
      <c r="Q79" s="11065"/>
    </row>
    <row r="80" spans="1:42" ht="14.25" customHeight="1" x14ac:dyDescent="0.25">
      <c r="B80" s="8591"/>
      <c r="C80" s="11079" t="s">
        <v>2695</v>
      </c>
      <c r="D80" s="11058"/>
      <c r="E80" s="11080" t="s">
        <v>33</v>
      </c>
      <c r="F80" s="11058"/>
      <c r="G80" s="10810" t="s">
        <v>2696</v>
      </c>
      <c r="H80" s="10812"/>
      <c r="I80" s="1424" t="s">
        <v>1765</v>
      </c>
      <c r="J80" s="11063" t="s">
        <v>1738</v>
      </c>
      <c r="K80" s="11066"/>
      <c r="L80" s="11079" t="s">
        <v>2695</v>
      </c>
      <c r="M80" s="11058"/>
      <c r="N80" s="11080" t="s">
        <v>33</v>
      </c>
      <c r="O80" s="11058"/>
      <c r="P80" s="11080" t="s">
        <v>2696</v>
      </c>
      <c r="Q80" s="11058"/>
    </row>
    <row r="81" spans="1:38" ht="24" customHeight="1" x14ac:dyDescent="0.25">
      <c r="B81" s="8617"/>
      <c r="C81" s="1072" t="s">
        <v>708</v>
      </c>
      <c r="D81" s="1069" t="s">
        <v>18</v>
      </c>
      <c r="E81" s="2860" t="s">
        <v>17</v>
      </c>
      <c r="F81" s="2861" t="s">
        <v>18</v>
      </c>
      <c r="G81" s="2863" t="s">
        <v>17</v>
      </c>
      <c r="H81" s="591" t="s">
        <v>18</v>
      </c>
      <c r="I81" s="1424" t="s">
        <v>1737</v>
      </c>
      <c r="J81" s="2092" t="s">
        <v>1736</v>
      </c>
      <c r="K81" s="1424" t="s">
        <v>1735</v>
      </c>
      <c r="L81" s="2865" t="s">
        <v>17</v>
      </c>
      <c r="M81" s="2861" t="s">
        <v>18</v>
      </c>
      <c r="N81" s="2863" t="s">
        <v>17</v>
      </c>
      <c r="O81" s="1069" t="s">
        <v>18</v>
      </c>
      <c r="P81" s="945" t="s">
        <v>17</v>
      </c>
      <c r="Q81" s="1069" t="s">
        <v>18</v>
      </c>
    </row>
    <row r="82" spans="1:38" x14ac:dyDescent="0.25">
      <c r="A82" s="7682">
        <v>30000089</v>
      </c>
      <c r="B82" s="2877" t="s">
        <v>1764</v>
      </c>
      <c r="C82" s="1286" t="s">
        <v>5369</v>
      </c>
      <c r="D82" s="1305" t="s">
        <v>5370</v>
      </c>
      <c r="E82" s="2874" t="s">
        <v>5371</v>
      </c>
      <c r="F82" s="2867" t="s">
        <v>5372</v>
      </c>
      <c r="G82" s="2864" t="s">
        <v>5373</v>
      </c>
      <c r="H82" s="1306" t="s">
        <v>5374</v>
      </c>
      <c r="I82" s="1307" t="s">
        <v>5375</v>
      </c>
      <c r="J82" s="1286" t="s">
        <v>5376</v>
      </c>
      <c r="K82" s="1305" t="s">
        <v>5377</v>
      </c>
      <c r="L82" s="2866" t="s">
        <v>5378</v>
      </c>
      <c r="M82" s="2867" t="s">
        <v>5379</v>
      </c>
      <c r="N82" s="2864" t="s">
        <v>5380</v>
      </c>
      <c r="O82" s="1305" t="s">
        <v>5381</v>
      </c>
      <c r="P82" s="1286" t="s">
        <v>5382</v>
      </c>
      <c r="Q82" s="1305" t="s">
        <v>5383</v>
      </c>
    </row>
    <row r="83" spans="1:38" x14ac:dyDescent="0.25">
      <c r="A83" s="7682">
        <v>30000090</v>
      </c>
      <c r="B83" s="2878" t="s">
        <v>1763</v>
      </c>
      <c r="C83" s="1288" t="s">
        <v>5369</v>
      </c>
      <c r="D83" s="1308" t="s">
        <v>5370</v>
      </c>
      <c r="E83" s="2822" t="s">
        <v>5371</v>
      </c>
      <c r="F83" s="2824" t="s">
        <v>5372</v>
      </c>
      <c r="G83" s="2852" t="s">
        <v>5373</v>
      </c>
      <c r="H83" s="1309" t="s">
        <v>5374</v>
      </c>
      <c r="I83" s="1308" t="s">
        <v>5375</v>
      </c>
      <c r="J83" s="1288" t="s">
        <v>5376</v>
      </c>
      <c r="K83" s="1308" t="s">
        <v>5377</v>
      </c>
      <c r="L83" s="2848" t="s">
        <v>5378</v>
      </c>
      <c r="M83" s="2824" t="s">
        <v>5379</v>
      </c>
      <c r="N83" s="2852" t="s">
        <v>5380</v>
      </c>
      <c r="O83" s="1308" t="s">
        <v>5381</v>
      </c>
      <c r="P83" s="1288" t="s">
        <v>5382</v>
      </c>
      <c r="Q83" s="1308" t="s">
        <v>5383</v>
      </c>
    </row>
    <row r="84" spans="1:38" ht="18" customHeight="1" x14ac:dyDescent="0.25">
      <c r="A84" s="7682">
        <v>30000091</v>
      </c>
      <c r="B84" s="2879" t="s">
        <v>1762</v>
      </c>
      <c r="C84" s="1302" t="s">
        <v>5369</v>
      </c>
      <c r="D84" s="1303" t="s">
        <v>5370</v>
      </c>
      <c r="E84" s="2875" t="s">
        <v>5371</v>
      </c>
      <c r="F84" s="1120" t="s">
        <v>5372</v>
      </c>
      <c r="G84" s="2873" t="s">
        <v>5373</v>
      </c>
      <c r="H84" s="1304" t="s">
        <v>5374</v>
      </c>
      <c r="I84" s="1303" t="s">
        <v>5375</v>
      </c>
      <c r="J84" s="1239" t="s">
        <v>5376</v>
      </c>
      <c r="K84" s="1303" t="s">
        <v>5377</v>
      </c>
      <c r="L84" s="2876" t="s">
        <v>5378</v>
      </c>
      <c r="M84" s="1120" t="s">
        <v>5379</v>
      </c>
      <c r="N84" s="2873" t="s">
        <v>5380</v>
      </c>
      <c r="O84" s="1303" t="s">
        <v>5381</v>
      </c>
      <c r="P84" s="1239" t="s">
        <v>5382</v>
      </c>
      <c r="Q84" s="1303" t="s">
        <v>5383</v>
      </c>
    </row>
    <row r="85" spans="1:38" ht="32.1" customHeight="1" x14ac:dyDescent="0.25">
      <c r="B85" s="751" t="s">
        <v>1761</v>
      </c>
      <c r="C85" s="153"/>
      <c r="D85" s="153"/>
      <c r="E85" s="153"/>
      <c r="F85" s="153"/>
      <c r="G85" s="140"/>
      <c r="H85" s="153"/>
      <c r="I85" s="140"/>
      <c r="J85" s="140"/>
      <c r="K85" s="14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0"/>
      <c r="AA85" s="190"/>
      <c r="AB85" s="190"/>
      <c r="AC85" s="190"/>
      <c r="AD85" s="190"/>
      <c r="AE85" s="190"/>
      <c r="AF85" s="190"/>
      <c r="AG85" s="190"/>
      <c r="AH85" s="190"/>
    </row>
    <row r="86" spans="1:38" ht="24" customHeight="1" x14ac:dyDescent="0.25">
      <c r="B86" s="11099" t="s">
        <v>2678</v>
      </c>
      <c r="C86" s="11063" t="s">
        <v>1760</v>
      </c>
      <c r="D86" s="11064"/>
      <c r="E86" s="11064"/>
      <c r="F86" s="11064"/>
      <c r="G86" s="11064"/>
      <c r="H86" s="11064"/>
      <c r="I86" s="11064"/>
      <c r="J86" s="11064"/>
      <c r="K86" s="11066"/>
      <c r="L86" s="11067" t="s">
        <v>1744</v>
      </c>
      <c r="M86" s="11064"/>
      <c r="N86" s="11064"/>
      <c r="O86" s="11064"/>
      <c r="P86" s="11064"/>
      <c r="Q86" s="11064"/>
      <c r="R86" s="11064"/>
      <c r="S86" s="11064"/>
      <c r="T86" s="11066"/>
      <c r="U86" s="11121" t="s">
        <v>2679</v>
      </c>
      <c r="V86" s="11122"/>
      <c r="W86" s="190"/>
      <c r="X86" s="190"/>
      <c r="Y86" s="190"/>
      <c r="Z86" s="190"/>
      <c r="AA86" s="190"/>
      <c r="AB86" s="190"/>
      <c r="AC86" s="190"/>
      <c r="AD86" s="190"/>
      <c r="AE86" s="190"/>
      <c r="AF86" s="190"/>
      <c r="AG86" s="190"/>
      <c r="AH86" s="190"/>
      <c r="AI86" s="190"/>
      <c r="AJ86" s="190"/>
      <c r="AK86" s="190"/>
      <c r="AL86" s="190"/>
    </row>
    <row r="87" spans="1:38" ht="21" customHeight="1" x14ac:dyDescent="0.25">
      <c r="B87" s="11100"/>
      <c r="C87" s="10810" t="s">
        <v>2695</v>
      </c>
      <c r="D87" s="11062"/>
      <c r="E87" s="10810" t="s">
        <v>33</v>
      </c>
      <c r="F87" s="11062"/>
      <c r="G87" s="10811" t="s">
        <v>2696</v>
      </c>
      <c r="H87" s="10812"/>
      <c r="I87" s="11068" t="s">
        <v>1351</v>
      </c>
      <c r="J87" s="10811"/>
      <c r="K87" s="10812"/>
      <c r="L87" s="11068" t="s">
        <v>2695</v>
      </c>
      <c r="M87" s="11062"/>
      <c r="N87" s="10810" t="s">
        <v>33</v>
      </c>
      <c r="O87" s="11062"/>
      <c r="P87" s="10810" t="s">
        <v>2696</v>
      </c>
      <c r="Q87" s="10812"/>
      <c r="R87" s="11068" t="s">
        <v>1351</v>
      </c>
      <c r="S87" s="10811"/>
      <c r="T87" s="10812"/>
      <c r="U87" s="11121"/>
      <c r="V87" s="11122"/>
      <c r="W87" s="190"/>
      <c r="X87" s="190"/>
      <c r="Y87" s="190"/>
      <c r="Z87" s="190"/>
      <c r="AA87" s="190"/>
      <c r="AB87" s="190"/>
      <c r="AC87" s="190"/>
      <c r="AD87" s="190"/>
      <c r="AE87" s="190"/>
      <c r="AF87" s="190"/>
      <c r="AG87" s="190"/>
      <c r="AH87" s="190"/>
      <c r="AI87" s="190"/>
      <c r="AJ87" s="190"/>
      <c r="AK87" s="190"/>
      <c r="AL87" s="190"/>
    </row>
    <row r="88" spans="1:38" ht="23.4" customHeight="1" x14ac:dyDescent="0.25">
      <c r="B88" s="11100"/>
      <c r="C88" s="9710" t="s">
        <v>17</v>
      </c>
      <c r="D88" s="9711" t="s">
        <v>18</v>
      </c>
      <c r="E88" s="9710" t="s">
        <v>17</v>
      </c>
      <c r="F88" s="9711" t="s">
        <v>18</v>
      </c>
      <c r="G88" s="8874" t="s">
        <v>17</v>
      </c>
      <c r="H88" s="11074" t="s">
        <v>18</v>
      </c>
      <c r="I88" s="11089" t="s">
        <v>1739</v>
      </c>
      <c r="J88" s="11091" t="s">
        <v>1738</v>
      </c>
      <c r="K88" s="11066"/>
      <c r="L88" s="11084" t="s">
        <v>17</v>
      </c>
      <c r="M88" s="9711" t="s">
        <v>18</v>
      </c>
      <c r="N88" s="8874" t="s">
        <v>17</v>
      </c>
      <c r="O88" s="9711" t="s">
        <v>18</v>
      </c>
      <c r="P88" s="9710" t="s">
        <v>17</v>
      </c>
      <c r="Q88" s="11074" t="s">
        <v>18</v>
      </c>
      <c r="R88" s="11089" t="s">
        <v>1739</v>
      </c>
      <c r="S88" s="11091" t="s">
        <v>1738</v>
      </c>
      <c r="T88" s="11066"/>
      <c r="U88" s="11088" t="s">
        <v>2690</v>
      </c>
      <c r="V88" s="11087" t="s">
        <v>2691</v>
      </c>
      <c r="W88" s="190"/>
      <c r="X88" s="190"/>
      <c r="Y88" s="190"/>
      <c r="Z88" s="190"/>
      <c r="AA88" s="190"/>
      <c r="AB88" s="190"/>
      <c r="AC88" s="190"/>
      <c r="AD88" s="190"/>
      <c r="AE88" s="190"/>
      <c r="AF88" s="190"/>
      <c r="AG88" s="190"/>
      <c r="AH88" s="190"/>
      <c r="AI88" s="190"/>
      <c r="AJ88" s="190"/>
      <c r="AK88" s="190"/>
      <c r="AL88" s="190"/>
    </row>
    <row r="89" spans="1:38" ht="21" customHeight="1" x14ac:dyDescent="0.25">
      <c r="B89" s="11101"/>
      <c r="C89" s="11075"/>
      <c r="D89" s="11086"/>
      <c r="E89" s="11075"/>
      <c r="F89" s="11086"/>
      <c r="G89" s="9630"/>
      <c r="H89" s="11076"/>
      <c r="I89" s="11090"/>
      <c r="J89" s="2884" t="s">
        <v>1736</v>
      </c>
      <c r="K89" s="2896" t="s">
        <v>1735</v>
      </c>
      <c r="L89" s="11085"/>
      <c r="M89" s="11086"/>
      <c r="N89" s="9630"/>
      <c r="O89" s="11086"/>
      <c r="P89" s="11075"/>
      <c r="Q89" s="11076"/>
      <c r="R89" s="11090"/>
      <c r="S89" s="2884" t="s">
        <v>1736</v>
      </c>
      <c r="T89" s="2896" t="s">
        <v>1735</v>
      </c>
      <c r="U89" s="11088"/>
      <c r="V89" s="11087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0"/>
    </row>
    <row r="90" spans="1:38" ht="21" customHeight="1" x14ac:dyDescent="0.25">
      <c r="A90" s="7298"/>
      <c r="B90" s="2897" t="s">
        <v>1759</v>
      </c>
      <c r="C90" s="2880">
        <f>SUM(C91:C103)</f>
        <v>0</v>
      </c>
      <c r="D90" s="2881">
        <f t="shared" ref="D90:T90" si="1">SUM(D91:D103)</f>
        <v>0</v>
      </c>
      <c r="E90" s="2880">
        <f t="shared" si="1"/>
        <v>0</v>
      </c>
      <c r="F90" s="2881">
        <f t="shared" si="1"/>
        <v>0</v>
      </c>
      <c r="G90" s="2859">
        <f>SUM(G91:G103)</f>
        <v>0</v>
      </c>
      <c r="H90" s="2885">
        <f>SUM(H91:H103)</f>
        <v>0</v>
      </c>
      <c r="I90" s="2886">
        <f t="shared" si="1"/>
        <v>0</v>
      </c>
      <c r="J90" s="2887">
        <f t="shared" si="1"/>
        <v>0</v>
      </c>
      <c r="K90" s="2888">
        <f t="shared" si="1"/>
        <v>0</v>
      </c>
      <c r="L90" s="2886">
        <f>SUM(L91:L103)</f>
        <v>0</v>
      </c>
      <c r="M90" s="2893">
        <f>SUM(M91:M103)</f>
        <v>0</v>
      </c>
      <c r="N90" s="2894">
        <f t="shared" si="1"/>
        <v>0</v>
      </c>
      <c r="O90" s="2893">
        <f t="shared" si="1"/>
        <v>0</v>
      </c>
      <c r="P90" s="2859">
        <f t="shared" si="1"/>
        <v>0</v>
      </c>
      <c r="Q90" s="2885">
        <f t="shared" si="1"/>
        <v>0</v>
      </c>
      <c r="R90" s="2859">
        <f t="shared" si="1"/>
        <v>0</v>
      </c>
      <c r="S90" s="2859">
        <f t="shared" si="1"/>
        <v>0</v>
      </c>
      <c r="T90" s="2885">
        <f t="shared" si="1"/>
        <v>0</v>
      </c>
      <c r="U90" s="6780">
        <f>SUM(U91:U103)</f>
        <v>0</v>
      </c>
      <c r="V90" s="6781">
        <f>SUM(V91:V103)</f>
        <v>0</v>
      </c>
      <c r="W90" s="190"/>
      <c r="X90" s="190"/>
      <c r="Y90" s="140"/>
      <c r="Z90" s="190"/>
      <c r="AA90" s="190"/>
      <c r="AB90" s="190"/>
      <c r="AC90" s="190"/>
      <c r="AD90" s="190"/>
      <c r="AE90" s="190"/>
      <c r="AF90" s="190"/>
      <c r="AG90" s="190"/>
      <c r="AH90" s="190"/>
      <c r="AI90" s="190"/>
      <c r="AJ90" s="190"/>
      <c r="AK90" s="190"/>
      <c r="AL90" s="190"/>
    </row>
    <row r="91" spans="1:38" ht="14.1" customHeight="1" x14ac:dyDescent="0.25">
      <c r="A91" s="7682">
        <v>30000058</v>
      </c>
      <c r="B91" s="317" t="s">
        <v>1758</v>
      </c>
      <c r="C91" s="828" t="s">
        <v>5369</v>
      </c>
      <c r="D91" s="2441" t="s">
        <v>5370</v>
      </c>
      <c r="E91" s="828" t="s">
        <v>5371</v>
      </c>
      <c r="F91" s="2441" t="s">
        <v>5372</v>
      </c>
      <c r="G91" s="1792" t="s">
        <v>5373</v>
      </c>
      <c r="H91" s="2832" t="s">
        <v>5374</v>
      </c>
      <c r="I91" s="828" t="s">
        <v>5375</v>
      </c>
      <c r="J91" s="209" t="s">
        <v>5376</v>
      </c>
      <c r="K91" s="2832" t="s">
        <v>5377</v>
      </c>
      <c r="L91" s="569" t="s">
        <v>5378</v>
      </c>
      <c r="M91" s="2441" t="s">
        <v>5379</v>
      </c>
      <c r="N91" s="1792" t="s">
        <v>5380</v>
      </c>
      <c r="O91" s="2441" t="s">
        <v>5381</v>
      </c>
      <c r="P91" s="828" t="s">
        <v>5382</v>
      </c>
      <c r="Q91" s="2832" t="s">
        <v>5383</v>
      </c>
      <c r="R91" s="569" t="s">
        <v>5384</v>
      </c>
      <c r="S91" s="2895" t="s">
        <v>5385</v>
      </c>
      <c r="T91" s="716" t="s">
        <v>5386</v>
      </c>
      <c r="U91" s="2892" t="s">
        <v>5387</v>
      </c>
      <c r="V91" s="2738" t="s">
        <v>5388</v>
      </c>
      <c r="W91" s="190"/>
      <c r="X91" s="190"/>
      <c r="Y91" s="140"/>
      <c r="Z91" s="190"/>
      <c r="AA91" s="190"/>
      <c r="AB91" s="190"/>
      <c r="AC91" s="190"/>
      <c r="AD91" s="190"/>
      <c r="AE91" s="190"/>
      <c r="AF91" s="190"/>
      <c r="AG91" s="190"/>
      <c r="AH91" s="190"/>
      <c r="AI91" s="190"/>
      <c r="AJ91" s="190"/>
      <c r="AK91" s="190"/>
      <c r="AL91" s="190"/>
    </row>
    <row r="92" spans="1:38" ht="14.1" customHeight="1" x14ac:dyDescent="0.25">
      <c r="A92" s="7682">
        <v>30000059</v>
      </c>
      <c r="B92" s="317" t="s">
        <v>1757</v>
      </c>
      <c r="C92" s="2518" t="s">
        <v>5369</v>
      </c>
      <c r="D92" s="2537" t="s">
        <v>5370</v>
      </c>
      <c r="E92" s="2518" t="s">
        <v>5371</v>
      </c>
      <c r="F92" s="2537" t="s">
        <v>5372</v>
      </c>
      <c r="G92" s="2796" t="s">
        <v>5373</v>
      </c>
      <c r="H92" s="2831" t="s">
        <v>5374</v>
      </c>
      <c r="I92" s="2518" t="s">
        <v>5375</v>
      </c>
      <c r="J92" s="557" t="s">
        <v>5376</v>
      </c>
      <c r="K92" s="2831" t="s">
        <v>5377</v>
      </c>
      <c r="L92" s="2567" t="s">
        <v>5378</v>
      </c>
      <c r="M92" s="2537" t="s">
        <v>5379</v>
      </c>
      <c r="N92" s="2796" t="s">
        <v>5380</v>
      </c>
      <c r="O92" s="2537" t="s">
        <v>5381</v>
      </c>
      <c r="P92" s="2518" t="s">
        <v>5382</v>
      </c>
      <c r="Q92" s="2831" t="s">
        <v>5383</v>
      </c>
      <c r="R92" s="2567" t="s">
        <v>5384</v>
      </c>
      <c r="S92" s="2568" t="s">
        <v>5385</v>
      </c>
      <c r="T92" s="2552" t="s">
        <v>5386</v>
      </c>
      <c r="U92" s="2826" t="s">
        <v>5387</v>
      </c>
      <c r="V92" s="2679" t="s">
        <v>5388</v>
      </c>
      <c r="W92" s="190"/>
      <c r="X92" s="190"/>
      <c r="Y92" s="14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</row>
    <row r="93" spans="1:38" ht="14.1" customHeight="1" x14ac:dyDescent="0.25">
      <c r="A93" s="7682">
        <v>30000060</v>
      </c>
      <c r="B93" s="317" t="s">
        <v>1756</v>
      </c>
      <c r="C93" s="2518" t="s">
        <v>5369</v>
      </c>
      <c r="D93" s="2537" t="s">
        <v>5370</v>
      </c>
      <c r="E93" s="2518" t="s">
        <v>5371</v>
      </c>
      <c r="F93" s="2537" t="s">
        <v>5372</v>
      </c>
      <c r="G93" s="2796" t="s">
        <v>5373</v>
      </c>
      <c r="H93" s="2831" t="s">
        <v>5374</v>
      </c>
      <c r="I93" s="2518" t="s">
        <v>5375</v>
      </c>
      <c r="J93" s="557" t="s">
        <v>5376</v>
      </c>
      <c r="K93" s="2831" t="s">
        <v>5377</v>
      </c>
      <c r="L93" s="2567" t="s">
        <v>5378</v>
      </c>
      <c r="M93" s="2537" t="s">
        <v>5379</v>
      </c>
      <c r="N93" s="2796" t="s">
        <v>5380</v>
      </c>
      <c r="O93" s="2537" t="s">
        <v>5381</v>
      </c>
      <c r="P93" s="2518" t="s">
        <v>5382</v>
      </c>
      <c r="Q93" s="2831" t="s">
        <v>5383</v>
      </c>
      <c r="R93" s="2567" t="s">
        <v>5384</v>
      </c>
      <c r="S93" s="2568" t="s">
        <v>5385</v>
      </c>
      <c r="T93" s="2552" t="s">
        <v>5386</v>
      </c>
      <c r="U93" s="2826" t="s">
        <v>5387</v>
      </c>
      <c r="V93" s="2679" t="s">
        <v>5388</v>
      </c>
      <c r="W93" s="190"/>
      <c r="X93" s="190"/>
      <c r="Y93" s="140"/>
      <c r="Z93" s="190"/>
      <c r="AA93" s="190"/>
      <c r="AB93" s="190"/>
      <c r="AC93" s="190"/>
      <c r="AD93" s="190"/>
      <c r="AE93" s="190"/>
      <c r="AF93" s="190"/>
      <c r="AG93" s="190"/>
      <c r="AH93" s="190"/>
      <c r="AI93" s="190"/>
      <c r="AJ93" s="190"/>
      <c r="AK93" s="190"/>
      <c r="AL93" s="190"/>
    </row>
    <row r="94" spans="1:38" ht="14.1" customHeight="1" x14ac:dyDescent="0.25">
      <c r="A94" s="7682">
        <v>30000061</v>
      </c>
      <c r="B94" s="317" t="s">
        <v>1755</v>
      </c>
      <c r="C94" s="2518" t="s">
        <v>5369</v>
      </c>
      <c r="D94" s="2537" t="s">
        <v>5370</v>
      </c>
      <c r="E94" s="2518" t="s">
        <v>5371</v>
      </c>
      <c r="F94" s="2537" t="s">
        <v>5372</v>
      </c>
      <c r="G94" s="2796" t="s">
        <v>5373</v>
      </c>
      <c r="H94" s="2831" t="s">
        <v>5374</v>
      </c>
      <c r="I94" s="2518" t="s">
        <v>5375</v>
      </c>
      <c r="J94" s="557" t="s">
        <v>5376</v>
      </c>
      <c r="K94" s="2831" t="s">
        <v>5377</v>
      </c>
      <c r="L94" s="2567" t="s">
        <v>5378</v>
      </c>
      <c r="M94" s="2537" t="s">
        <v>5379</v>
      </c>
      <c r="N94" s="2796" t="s">
        <v>5380</v>
      </c>
      <c r="O94" s="2537" t="s">
        <v>5381</v>
      </c>
      <c r="P94" s="2518" t="s">
        <v>5382</v>
      </c>
      <c r="Q94" s="2831" t="s">
        <v>5383</v>
      </c>
      <c r="R94" s="2567" t="s">
        <v>5384</v>
      </c>
      <c r="S94" s="2568" t="s">
        <v>5385</v>
      </c>
      <c r="T94" s="2552" t="s">
        <v>5386</v>
      </c>
      <c r="U94" s="2826" t="s">
        <v>5387</v>
      </c>
      <c r="V94" s="2679" t="s">
        <v>5388</v>
      </c>
      <c r="W94" s="190"/>
      <c r="X94" s="190"/>
      <c r="Y94" s="140"/>
      <c r="Z94" s="190"/>
      <c r="AA94" s="190"/>
      <c r="AB94" s="190"/>
      <c r="AC94" s="190"/>
      <c r="AD94" s="190"/>
      <c r="AE94" s="190"/>
      <c r="AF94" s="190"/>
      <c r="AG94" s="190"/>
      <c r="AH94" s="190"/>
      <c r="AI94" s="190"/>
      <c r="AJ94" s="190"/>
      <c r="AK94" s="190"/>
      <c r="AL94" s="190"/>
    </row>
    <row r="95" spans="1:38" ht="14.1" customHeight="1" x14ac:dyDescent="0.25">
      <c r="A95" s="7682">
        <v>30000062</v>
      </c>
      <c r="B95" s="317" t="s">
        <v>3699</v>
      </c>
      <c r="C95" s="2518" t="s">
        <v>5369</v>
      </c>
      <c r="D95" s="2537" t="s">
        <v>5370</v>
      </c>
      <c r="E95" s="2518" t="s">
        <v>5371</v>
      </c>
      <c r="F95" s="2537" t="s">
        <v>5372</v>
      </c>
      <c r="G95" s="2796" t="s">
        <v>5373</v>
      </c>
      <c r="H95" s="2831" t="s">
        <v>5374</v>
      </c>
      <c r="I95" s="2518" t="s">
        <v>5375</v>
      </c>
      <c r="J95" s="557" t="s">
        <v>5376</v>
      </c>
      <c r="K95" s="2831" t="s">
        <v>5377</v>
      </c>
      <c r="L95" s="2567" t="s">
        <v>5378</v>
      </c>
      <c r="M95" s="2537" t="s">
        <v>5379</v>
      </c>
      <c r="N95" s="2796" t="s">
        <v>5380</v>
      </c>
      <c r="O95" s="2537" t="s">
        <v>5381</v>
      </c>
      <c r="P95" s="2518" t="s">
        <v>5382</v>
      </c>
      <c r="Q95" s="2831" t="s">
        <v>5383</v>
      </c>
      <c r="R95" s="2567" t="s">
        <v>5384</v>
      </c>
      <c r="S95" s="2568" t="s">
        <v>5385</v>
      </c>
      <c r="T95" s="2552" t="s">
        <v>5386</v>
      </c>
      <c r="U95" s="2826" t="s">
        <v>5387</v>
      </c>
      <c r="V95" s="2679" t="s">
        <v>5388</v>
      </c>
      <c r="W95" s="190"/>
      <c r="X95" s="190"/>
      <c r="Y95" s="14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</row>
    <row r="96" spans="1:38" ht="14.1" customHeight="1" x14ac:dyDescent="0.25">
      <c r="A96" s="7682">
        <v>30000063</v>
      </c>
      <c r="B96" s="317" t="s">
        <v>1754</v>
      </c>
      <c r="C96" s="2518" t="s">
        <v>5369</v>
      </c>
      <c r="D96" s="2537" t="s">
        <v>5370</v>
      </c>
      <c r="E96" s="2518" t="s">
        <v>5371</v>
      </c>
      <c r="F96" s="2537" t="s">
        <v>5372</v>
      </c>
      <c r="G96" s="2796" t="s">
        <v>5373</v>
      </c>
      <c r="H96" s="2831" t="s">
        <v>5374</v>
      </c>
      <c r="I96" s="2518" t="s">
        <v>5375</v>
      </c>
      <c r="J96" s="557" t="s">
        <v>5376</v>
      </c>
      <c r="K96" s="2831" t="s">
        <v>5377</v>
      </c>
      <c r="L96" s="2567" t="s">
        <v>5378</v>
      </c>
      <c r="M96" s="2537" t="s">
        <v>5379</v>
      </c>
      <c r="N96" s="2796" t="s">
        <v>5380</v>
      </c>
      <c r="O96" s="2537" t="s">
        <v>5381</v>
      </c>
      <c r="P96" s="2518" t="s">
        <v>5382</v>
      </c>
      <c r="Q96" s="2831" t="s">
        <v>5383</v>
      </c>
      <c r="R96" s="2567" t="s">
        <v>5384</v>
      </c>
      <c r="S96" s="2568" t="s">
        <v>5385</v>
      </c>
      <c r="T96" s="2552" t="s">
        <v>5386</v>
      </c>
      <c r="U96" s="2826" t="s">
        <v>5387</v>
      </c>
      <c r="V96" s="2679" t="s">
        <v>5388</v>
      </c>
      <c r="W96" s="190"/>
      <c r="X96" s="190"/>
      <c r="Y96" s="140"/>
      <c r="Z96" s="190"/>
      <c r="AA96" s="190"/>
      <c r="AB96" s="190"/>
      <c r="AC96" s="190"/>
      <c r="AD96" s="190"/>
      <c r="AE96" s="190"/>
      <c r="AF96" s="190"/>
      <c r="AG96" s="190"/>
      <c r="AH96" s="190"/>
      <c r="AI96" s="190"/>
      <c r="AJ96" s="190"/>
      <c r="AK96" s="190"/>
      <c r="AL96" s="190"/>
    </row>
    <row r="97" spans="1:40" ht="14.1" customHeight="1" x14ac:dyDescent="0.25">
      <c r="A97" s="7682">
        <v>30000064</v>
      </c>
      <c r="B97" s="317" t="s">
        <v>1753</v>
      </c>
      <c r="C97" s="2518" t="s">
        <v>5369</v>
      </c>
      <c r="D97" s="2537" t="s">
        <v>5370</v>
      </c>
      <c r="E97" s="2518" t="s">
        <v>5371</v>
      </c>
      <c r="F97" s="2537" t="s">
        <v>5372</v>
      </c>
      <c r="G97" s="2796" t="s">
        <v>5373</v>
      </c>
      <c r="H97" s="2831" t="s">
        <v>5374</v>
      </c>
      <c r="I97" s="2518" t="s">
        <v>5375</v>
      </c>
      <c r="J97" s="557" t="s">
        <v>5376</v>
      </c>
      <c r="K97" s="2831" t="s">
        <v>5377</v>
      </c>
      <c r="L97" s="2567" t="s">
        <v>5378</v>
      </c>
      <c r="M97" s="2537" t="s">
        <v>5379</v>
      </c>
      <c r="N97" s="2796" t="s">
        <v>5380</v>
      </c>
      <c r="O97" s="2537" t="s">
        <v>5381</v>
      </c>
      <c r="P97" s="2518" t="s">
        <v>5382</v>
      </c>
      <c r="Q97" s="2831" t="s">
        <v>5383</v>
      </c>
      <c r="R97" s="2567" t="s">
        <v>5384</v>
      </c>
      <c r="S97" s="2568" t="s">
        <v>5385</v>
      </c>
      <c r="T97" s="2552" t="s">
        <v>5386</v>
      </c>
      <c r="U97" s="2826" t="s">
        <v>5387</v>
      </c>
      <c r="V97" s="2679" t="s">
        <v>5388</v>
      </c>
      <c r="W97" s="190"/>
      <c r="X97" s="190"/>
      <c r="Y97" s="140"/>
      <c r="Z97" s="190"/>
      <c r="AA97" s="190"/>
      <c r="AB97" s="190"/>
      <c r="AC97" s="190"/>
      <c r="AD97" s="190"/>
      <c r="AE97" s="190"/>
      <c r="AF97" s="190"/>
      <c r="AG97" s="190"/>
      <c r="AH97" s="190"/>
      <c r="AI97" s="190"/>
      <c r="AJ97" s="190"/>
      <c r="AK97" s="190"/>
      <c r="AL97" s="190"/>
    </row>
    <row r="98" spans="1:40" ht="14.1" customHeight="1" x14ac:dyDescent="0.25">
      <c r="A98" s="7682">
        <v>30000065</v>
      </c>
      <c r="B98" s="317" t="s">
        <v>1752</v>
      </c>
      <c r="C98" s="2518" t="s">
        <v>5369</v>
      </c>
      <c r="D98" s="2537" t="s">
        <v>5370</v>
      </c>
      <c r="E98" s="2518" t="s">
        <v>5371</v>
      </c>
      <c r="F98" s="2537" t="s">
        <v>5372</v>
      </c>
      <c r="G98" s="2796" t="s">
        <v>5373</v>
      </c>
      <c r="H98" s="2831" t="s">
        <v>5374</v>
      </c>
      <c r="I98" s="2518" t="s">
        <v>5375</v>
      </c>
      <c r="J98" s="557" t="s">
        <v>5376</v>
      </c>
      <c r="K98" s="2831" t="s">
        <v>5377</v>
      </c>
      <c r="L98" s="2567" t="s">
        <v>5378</v>
      </c>
      <c r="M98" s="2537" t="s">
        <v>5379</v>
      </c>
      <c r="N98" s="2796" t="s">
        <v>5380</v>
      </c>
      <c r="O98" s="2537" t="s">
        <v>5381</v>
      </c>
      <c r="P98" s="2518" t="s">
        <v>5382</v>
      </c>
      <c r="Q98" s="2831" t="s">
        <v>5383</v>
      </c>
      <c r="R98" s="2567" t="s">
        <v>5384</v>
      </c>
      <c r="S98" s="2568" t="s">
        <v>5385</v>
      </c>
      <c r="T98" s="2552" t="s">
        <v>5386</v>
      </c>
      <c r="U98" s="2826" t="s">
        <v>5387</v>
      </c>
      <c r="V98" s="2679" t="s">
        <v>5388</v>
      </c>
      <c r="W98" s="190"/>
      <c r="X98" s="190"/>
      <c r="Y98" s="140"/>
      <c r="Z98" s="190"/>
      <c r="AA98" s="190"/>
      <c r="AB98" s="190"/>
      <c r="AC98" s="190"/>
      <c r="AD98" s="190"/>
      <c r="AE98" s="190"/>
      <c r="AF98" s="190"/>
      <c r="AG98" s="190"/>
      <c r="AH98" s="190"/>
      <c r="AI98" s="190"/>
      <c r="AJ98" s="190"/>
      <c r="AK98" s="190"/>
      <c r="AL98" s="190"/>
    </row>
    <row r="99" spans="1:40" ht="14.1" customHeight="1" x14ac:dyDescent="0.25">
      <c r="A99" s="7682">
        <v>30000066</v>
      </c>
      <c r="B99" s="317" t="s">
        <v>1751</v>
      </c>
      <c r="C99" s="2518" t="s">
        <v>5369</v>
      </c>
      <c r="D99" s="2537" t="s">
        <v>5370</v>
      </c>
      <c r="E99" s="2518" t="s">
        <v>5371</v>
      </c>
      <c r="F99" s="2537" t="s">
        <v>5372</v>
      </c>
      <c r="G99" s="2796" t="s">
        <v>5373</v>
      </c>
      <c r="H99" s="2831" t="s">
        <v>5374</v>
      </c>
      <c r="I99" s="2822" t="s">
        <v>5375</v>
      </c>
      <c r="J99" s="2823" t="s">
        <v>5376</v>
      </c>
      <c r="K99" s="2889" t="s">
        <v>5377</v>
      </c>
      <c r="L99" s="2567" t="s">
        <v>5378</v>
      </c>
      <c r="M99" s="2537" t="s">
        <v>5379</v>
      </c>
      <c r="N99" s="2796" t="s">
        <v>5380</v>
      </c>
      <c r="O99" s="2537" t="s">
        <v>5381</v>
      </c>
      <c r="P99" s="2518" t="s">
        <v>5382</v>
      </c>
      <c r="Q99" s="2831" t="s">
        <v>5383</v>
      </c>
      <c r="R99" s="2567" t="s">
        <v>5384</v>
      </c>
      <c r="S99" s="2568" t="s">
        <v>5385</v>
      </c>
      <c r="T99" s="2552" t="s">
        <v>5386</v>
      </c>
      <c r="U99" s="2826" t="s">
        <v>5387</v>
      </c>
      <c r="V99" s="2679" t="s">
        <v>5388</v>
      </c>
      <c r="W99" s="190"/>
      <c r="X99" s="190"/>
      <c r="Y99" s="140"/>
      <c r="Z99" s="190"/>
      <c r="AA99" s="190"/>
      <c r="AB99" s="190"/>
      <c r="AC99" s="190"/>
      <c r="AD99" s="190"/>
      <c r="AE99" s="190"/>
      <c r="AF99" s="190"/>
      <c r="AG99" s="190"/>
      <c r="AH99" s="190"/>
      <c r="AI99" s="190"/>
      <c r="AJ99" s="190"/>
      <c r="AK99" s="190"/>
      <c r="AL99" s="190"/>
    </row>
    <row r="100" spans="1:40" ht="14.1" customHeight="1" x14ac:dyDescent="0.25">
      <c r="A100" s="7682">
        <v>30000067</v>
      </c>
      <c r="B100" s="317" t="s">
        <v>1750</v>
      </c>
      <c r="C100" s="2846" t="s">
        <v>5369</v>
      </c>
      <c r="D100" s="2843" t="s">
        <v>5370</v>
      </c>
      <c r="E100" s="2846" t="s">
        <v>5371</v>
      </c>
      <c r="F100" s="2858" t="s">
        <v>5372</v>
      </c>
      <c r="G100" s="2847" t="s">
        <v>5373</v>
      </c>
      <c r="H100" s="2890" t="s">
        <v>5374</v>
      </c>
      <c r="I100" s="2845" t="s">
        <v>5375</v>
      </c>
      <c r="J100" s="2844" t="s">
        <v>5376</v>
      </c>
      <c r="K100" s="2891" t="s">
        <v>5377</v>
      </c>
      <c r="L100" s="2567" t="s">
        <v>5378</v>
      </c>
      <c r="M100" s="2537" t="s">
        <v>5379</v>
      </c>
      <c r="N100" s="2796" t="s">
        <v>5380</v>
      </c>
      <c r="O100" s="2537" t="s">
        <v>5381</v>
      </c>
      <c r="P100" s="2518" t="s">
        <v>5382</v>
      </c>
      <c r="Q100" s="2831" t="s">
        <v>5383</v>
      </c>
      <c r="R100" s="2567" t="s">
        <v>5384</v>
      </c>
      <c r="S100" s="2568" t="s">
        <v>5385</v>
      </c>
      <c r="T100" s="2552" t="s">
        <v>5386</v>
      </c>
      <c r="U100" s="2826" t="s">
        <v>5387</v>
      </c>
      <c r="V100" s="2679" t="s">
        <v>5388</v>
      </c>
      <c r="W100" s="190"/>
      <c r="X100" s="190"/>
      <c r="Y100" s="140"/>
      <c r="Z100" s="190"/>
      <c r="AA100" s="190"/>
      <c r="AB100" s="190"/>
      <c r="AC100" s="190"/>
      <c r="AD100" s="190"/>
      <c r="AE100" s="190"/>
      <c r="AF100" s="190"/>
      <c r="AG100" s="190"/>
      <c r="AH100" s="190"/>
      <c r="AI100" s="190"/>
      <c r="AJ100" s="190"/>
      <c r="AK100" s="190"/>
      <c r="AL100" s="190"/>
    </row>
    <row r="101" spans="1:40" ht="14.1" customHeight="1" x14ac:dyDescent="0.25">
      <c r="A101" s="7682">
        <v>30000068</v>
      </c>
      <c r="B101" s="2898" t="s">
        <v>1749</v>
      </c>
      <c r="C101" s="2841" t="s">
        <v>5369</v>
      </c>
      <c r="D101" s="2481" t="s">
        <v>5370</v>
      </c>
      <c r="E101" s="2841" t="s">
        <v>5371</v>
      </c>
      <c r="F101" s="2882" t="s">
        <v>5372</v>
      </c>
      <c r="G101" s="2842" t="s">
        <v>5373</v>
      </c>
      <c r="H101" s="2840" t="s">
        <v>5374</v>
      </c>
      <c r="I101" s="2839" t="s">
        <v>5375</v>
      </c>
      <c r="J101" s="2838" t="s">
        <v>5376</v>
      </c>
      <c r="K101" s="2856" t="s">
        <v>5377</v>
      </c>
      <c r="L101" s="2567" t="s">
        <v>5378</v>
      </c>
      <c r="M101" s="2537" t="s">
        <v>5379</v>
      </c>
      <c r="N101" s="2796" t="s">
        <v>5380</v>
      </c>
      <c r="O101" s="2537" t="s">
        <v>5381</v>
      </c>
      <c r="P101" s="2518" t="s">
        <v>5382</v>
      </c>
      <c r="Q101" s="2831" t="s">
        <v>5383</v>
      </c>
      <c r="R101" s="2567" t="s">
        <v>5384</v>
      </c>
      <c r="S101" s="2568" t="s">
        <v>5385</v>
      </c>
      <c r="T101" s="2552" t="s">
        <v>5386</v>
      </c>
      <c r="U101" s="2826" t="s">
        <v>5387</v>
      </c>
      <c r="V101" s="2679" t="s">
        <v>5388</v>
      </c>
      <c r="W101" s="190"/>
      <c r="X101" s="190"/>
      <c r="Y101" s="140"/>
      <c r="Z101" s="190"/>
      <c r="AA101" s="190"/>
      <c r="AB101" s="190"/>
      <c r="AC101" s="190"/>
      <c r="AD101" s="190"/>
      <c r="AE101" s="190"/>
      <c r="AF101" s="190"/>
      <c r="AG101" s="190"/>
      <c r="AH101" s="190"/>
      <c r="AI101" s="190"/>
      <c r="AJ101" s="190"/>
      <c r="AK101" s="190"/>
      <c r="AL101" s="190"/>
    </row>
    <row r="102" spans="1:40" ht="14.1" customHeight="1" x14ac:dyDescent="0.25">
      <c r="A102" s="7682">
        <v>30000069</v>
      </c>
      <c r="B102" s="2898" t="s">
        <v>1748</v>
      </c>
      <c r="C102" s="2518" t="s">
        <v>5369</v>
      </c>
      <c r="D102" s="2537" t="s">
        <v>5370</v>
      </c>
      <c r="E102" s="2518" t="s">
        <v>5371</v>
      </c>
      <c r="F102" s="2537" t="s">
        <v>5372</v>
      </c>
      <c r="G102" s="2796" t="s">
        <v>5373</v>
      </c>
      <c r="H102" s="2831" t="s">
        <v>5374</v>
      </c>
      <c r="I102" s="2518" t="s">
        <v>5375</v>
      </c>
      <c r="J102" s="557" t="s">
        <v>5376</v>
      </c>
      <c r="K102" s="2831" t="s">
        <v>5377</v>
      </c>
      <c r="L102" s="2567" t="s">
        <v>5378</v>
      </c>
      <c r="M102" s="2537" t="s">
        <v>5379</v>
      </c>
      <c r="N102" s="2796" t="s">
        <v>5380</v>
      </c>
      <c r="O102" s="2537" t="s">
        <v>5381</v>
      </c>
      <c r="P102" s="2518" t="s">
        <v>5382</v>
      </c>
      <c r="Q102" s="2831" t="s">
        <v>5383</v>
      </c>
      <c r="R102" s="2567" t="s">
        <v>5384</v>
      </c>
      <c r="S102" s="2568" t="s">
        <v>5385</v>
      </c>
      <c r="T102" s="2552" t="s">
        <v>5386</v>
      </c>
      <c r="U102" s="2826" t="s">
        <v>5387</v>
      </c>
      <c r="V102" s="2679" t="s">
        <v>5388</v>
      </c>
      <c r="W102" s="190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  <c r="AI102" s="190"/>
      <c r="AJ102" s="190"/>
    </row>
    <row r="103" spans="1:40" ht="14.1" customHeight="1" x14ac:dyDescent="0.25">
      <c r="A103" s="7682">
        <v>30000070</v>
      </c>
      <c r="B103" s="317" t="s">
        <v>1747</v>
      </c>
      <c r="C103" s="2825" t="s">
        <v>5369</v>
      </c>
      <c r="D103" s="2821" t="s">
        <v>5370</v>
      </c>
      <c r="E103" s="2825" t="s">
        <v>5371</v>
      </c>
      <c r="F103" s="2821" t="s">
        <v>5372</v>
      </c>
      <c r="G103" s="2477" t="s">
        <v>5373</v>
      </c>
      <c r="H103" s="2830" t="s">
        <v>5374</v>
      </c>
      <c r="I103" s="2825" t="s">
        <v>5375</v>
      </c>
      <c r="J103" s="2480" t="s">
        <v>5376</v>
      </c>
      <c r="K103" s="2830" t="s">
        <v>5377</v>
      </c>
      <c r="L103" s="2829" t="s">
        <v>5378</v>
      </c>
      <c r="M103" s="2821" t="s">
        <v>5379</v>
      </c>
      <c r="N103" s="2477" t="s">
        <v>5380</v>
      </c>
      <c r="O103" s="2821" t="s">
        <v>5381</v>
      </c>
      <c r="P103" s="2825" t="s">
        <v>5382</v>
      </c>
      <c r="Q103" s="2830" t="s">
        <v>5383</v>
      </c>
      <c r="R103" s="2829" t="s">
        <v>5384</v>
      </c>
      <c r="S103" s="2828" t="s">
        <v>5385</v>
      </c>
      <c r="T103" s="2484" t="s">
        <v>5386</v>
      </c>
      <c r="U103" s="2479" t="s">
        <v>5387</v>
      </c>
      <c r="V103" s="2715" t="s">
        <v>5388</v>
      </c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  <c r="AI103" s="190"/>
      <c r="AJ103" s="190"/>
    </row>
    <row r="104" spans="1:40" ht="22.5" customHeight="1" x14ac:dyDescent="0.3">
      <c r="B104" s="2767" t="s">
        <v>3655</v>
      </c>
      <c r="C104" s="190"/>
      <c r="D104" s="190"/>
      <c r="E104" s="190"/>
      <c r="F104" s="190"/>
      <c r="G104" s="190"/>
      <c r="H104" s="190"/>
      <c r="I104" s="190"/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</row>
    <row r="105" spans="1:40" ht="36.6" customHeight="1" x14ac:dyDescent="0.25">
      <c r="A105" s="7279"/>
      <c r="B105" s="11102" t="s">
        <v>2680</v>
      </c>
      <c r="C105" s="11063" t="s">
        <v>3656</v>
      </c>
      <c r="D105" s="11064"/>
      <c r="E105" s="11064"/>
      <c r="F105" s="11064"/>
      <c r="G105" s="11064"/>
      <c r="H105" s="11065"/>
      <c r="I105" s="11063" t="s">
        <v>3657</v>
      </c>
      <c r="J105" s="11064"/>
      <c r="K105" s="11064"/>
      <c r="L105" s="11064"/>
      <c r="M105" s="11064"/>
      <c r="N105" s="11066"/>
      <c r="O105" s="11067" t="s">
        <v>3658</v>
      </c>
      <c r="P105" s="11064"/>
      <c r="Q105" s="11064"/>
      <c r="R105" s="11064"/>
      <c r="S105" s="11064"/>
      <c r="T105" s="11066"/>
      <c r="U105" s="11082" t="s">
        <v>1351</v>
      </c>
      <c r="V105" s="11082"/>
      <c r="W105" s="11092"/>
      <c r="X105" s="11067" t="s">
        <v>3659</v>
      </c>
      <c r="Y105" s="11064"/>
      <c r="Z105" s="11064"/>
      <c r="AA105" s="11064"/>
      <c r="AB105" s="11064"/>
      <c r="AC105" s="11065"/>
      <c r="AD105" s="190"/>
      <c r="AE105" s="190"/>
      <c r="AF105" s="190"/>
      <c r="AG105" s="190"/>
      <c r="AH105" s="190"/>
      <c r="AI105" s="190"/>
      <c r="AJ105" s="190"/>
      <c r="AK105" s="190"/>
      <c r="AL105" s="190"/>
      <c r="AM105" s="190"/>
      <c r="AN105" s="190"/>
    </row>
    <row r="106" spans="1:40" ht="22.5" customHeight="1" x14ac:dyDescent="0.25">
      <c r="A106" s="7279"/>
      <c r="B106" s="11103"/>
      <c r="C106" s="11079" t="s">
        <v>2695</v>
      </c>
      <c r="D106" s="11058"/>
      <c r="E106" s="11080" t="s">
        <v>33</v>
      </c>
      <c r="F106" s="11058"/>
      <c r="G106" s="10810" t="s">
        <v>2696</v>
      </c>
      <c r="H106" s="11062"/>
      <c r="I106" s="11079" t="s">
        <v>2695</v>
      </c>
      <c r="J106" s="11058"/>
      <c r="K106" s="11080" t="s">
        <v>33</v>
      </c>
      <c r="L106" s="11058"/>
      <c r="M106" s="10810" t="s">
        <v>2696</v>
      </c>
      <c r="N106" s="10812"/>
      <c r="O106" s="11079" t="s">
        <v>2695</v>
      </c>
      <c r="P106" s="11058"/>
      <c r="Q106" s="11080" t="s">
        <v>33</v>
      </c>
      <c r="R106" s="11058"/>
      <c r="S106" s="10810" t="s">
        <v>2696</v>
      </c>
      <c r="T106" s="10812"/>
      <c r="U106" s="2764" t="s">
        <v>1739</v>
      </c>
      <c r="V106" s="11056" t="s">
        <v>1738</v>
      </c>
      <c r="W106" s="11057"/>
      <c r="X106" s="11079" t="s">
        <v>2695</v>
      </c>
      <c r="Y106" s="11058"/>
      <c r="Z106" s="11080" t="s">
        <v>33</v>
      </c>
      <c r="AA106" s="11058"/>
      <c r="AB106" s="10810" t="s">
        <v>2696</v>
      </c>
      <c r="AC106" s="11062"/>
      <c r="AD106" s="190"/>
      <c r="AE106" s="190"/>
      <c r="AF106" s="190"/>
      <c r="AG106" s="190"/>
      <c r="AH106" s="190"/>
      <c r="AI106" s="190"/>
      <c r="AJ106" s="190"/>
      <c r="AK106" s="190"/>
      <c r="AL106" s="190"/>
      <c r="AM106" s="190"/>
      <c r="AN106" s="190"/>
    </row>
    <row r="107" spans="1:40" ht="22.5" customHeight="1" x14ac:dyDescent="0.25">
      <c r="A107" s="7279"/>
      <c r="B107" s="11104"/>
      <c r="C107" s="2756" t="s">
        <v>17</v>
      </c>
      <c r="D107" s="2754" t="s">
        <v>18</v>
      </c>
      <c r="E107" s="2747" t="s">
        <v>17</v>
      </c>
      <c r="F107" s="2754" t="s">
        <v>18</v>
      </c>
      <c r="G107" s="2747" t="s">
        <v>17</v>
      </c>
      <c r="H107" s="2754" t="s">
        <v>18</v>
      </c>
      <c r="I107" s="2747" t="s">
        <v>17</v>
      </c>
      <c r="J107" s="2754" t="s">
        <v>18</v>
      </c>
      <c r="K107" s="2747" t="s">
        <v>17</v>
      </c>
      <c r="L107" s="2754" t="s">
        <v>18</v>
      </c>
      <c r="M107" s="2747" t="s">
        <v>17</v>
      </c>
      <c r="N107" s="2744" t="s">
        <v>18</v>
      </c>
      <c r="O107" s="2755" t="s">
        <v>17</v>
      </c>
      <c r="P107" s="2861" t="s">
        <v>18</v>
      </c>
      <c r="Q107" s="2863" t="s">
        <v>17</v>
      </c>
      <c r="R107" s="2754" t="s">
        <v>18</v>
      </c>
      <c r="S107" s="2747" t="s">
        <v>17</v>
      </c>
      <c r="T107" s="2744" t="s">
        <v>18</v>
      </c>
      <c r="U107" s="2766" t="s">
        <v>1737</v>
      </c>
      <c r="V107" s="2748" t="s">
        <v>1736</v>
      </c>
      <c r="W107" s="2763" t="s">
        <v>1735</v>
      </c>
      <c r="X107" s="2755" t="s">
        <v>17</v>
      </c>
      <c r="Y107" s="2861" t="s">
        <v>18</v>
      </c>
      <c r="Z107" s="2863" t="s">
        <v>17</v>
      </c>
      <c r="AA107" s="2754" t="s">
        <v>18</v>
      </c>
      <c r="AB107" s="2747" t="s">
        <v>17</v>
      </c>
      <c r="AC107" s="2754" t="s">
        <v>18</v>
      </c>
      <c r="AD107" s="190"/>
      <c r="AE107" s="190"/>
      <c r="AF107" s="190"/>
      <c r="AG107" s="190"/>
      <c r="AH107" s="190"/>
      <c r="AI107" s="190"/>
      <c r="AJ107" s="190"/>
      <c r="AK107" s="190"/>
      <c r="AL107" s="190"/>
      <c r="AM107" s="190"/>
      <c r="AN107" s="190"/>
    </row>
    <row r="108" spans="1:40" ht="14.4" customHeight="1" x14ac:dyDescent="0.25">
      <c r="A108" s="7298"/>
      <c r="B108" s="2765" t="s">
        <v>24</v>
      </c>
      <c r="C108" s="2745">
        <f>SUM(C109:C119)</f>
        <v>0</v>
      </c>
      <c r="D108" s="2749">
        <f t="shared" ref="D108:N108" si="2">SUM(D109:D119)</f>
        <v>0</v>
      </c>
      <c r="E108" s="2745">
        <f t="shared" si="2"/>
        <v>0</v>
      </c>
      <c r="F108" s="2749">
        <f t="shared" si="2"/>
        <v>0</v>
      </c>
      <c r="G108" s="2745">
        <f t="shared" si="2"/>
        <v>0</v>
      </c>
      <c r="H108" s="2749">
        <f t="shared" si="2"/>
        <v>0</v>
      </c>
      <c r="I108" s="2745">
        <f t="shared" si="2"/>
        <v>0</v>
      </c>
      <c r="J108" s="2749">
        <f t="shared" si="2"/>
        <v>0</v>
      </c>
      <c r="K108" s="2745">
        <f t="shared" si="2"/>
        <v>0</v>
      </c>
      <c r="L108" s="2749">
        <f t="shared" si="2"/>
        <v>0</v>
      </c>
      <c r="M108" s="2745">
        <f t="shared" si="2"/>
        <v>0</v>
      </c>
      <c r="N108" s="2745">
        <f t="shared" si="2"/>
        <v>0</v>
      </c>
      <c r="O108" s="3524">
        <f t="shared" ref="O108:U108" si="3">SUM(O109:O119)</f>
        <v>0</v>
      </c>
      <c r="P108" s="3249">
        <f t="shared" si="3"/>
        <v>0</v>
      </c>
      <c r="Q108" s="3524">
        <f t="shared" si="3"/>
        <v>0</v>
      </c>
      <c r="R108" s="3249">
        <f t="shared" si="3"/>
        <v>0</v>
      </c>
      <c r="S108" s="3524">
        <f t="shared" si="3"/>
        <v>0</v>
      </c>
      <c r="T108" s="3249">
        <f t="shared" si="3"/>
        <v>0</v>
      </c>
      <c r="U108" s="2753">
        <f t="shared" si="3"/>
        <v>0</v>
      </c>
      <c r="V108" s="2752">
        <f t="shared" ref="V108:AC108" si="4">SUM(V109:V119)</f>
        <v>0</v>
      </c>
      <c r="W108" s="2713">
        <f t="shared" si="4"/>
        <v>0</v>
      </c>
      <c r="X108" s="2817">
        <f t="shared" si="4"/>
        <v>0</v>
      </c>
      <c r="Y108" s="2835">
        <f t="shared" si="4"/>
        <v>0</v>
      </c>
      <c r="Z108" s="2745">
        <f t="shared" si="4"/>
        <v>0</v>
      </c>
      <c r="AA108" s="2762">
        <f t="shared" si="4"/>
        <v>0</v>
      </c>
      <c r="AB108" s="2761">
        <f>SUM(AB109:AB119)</f>
        <v>0</v>
      </c>
      <c r="AC108" s="2762">
        <f t="shared" si="4"/>
        <v>0</v>
      </c>
      <c r="AD108" s="190"/>
      <c r="AE108" s="190"/>
      <c r="AF108" s="190"/>
      <c r="AG108" s="190"/>
      <c r="AH108" s="190"/>
      <c r="AI108" s="190"/>
      <c r="AJ108" s="190"/>
      <c r="AK108" s="190"/>
      <c r="AL108" s="190"/>
      <c r="AM108" s="190"/>
      <c r="AN108" s="190"/>
    </row>
    <row r="109" spans="1:40" ht="14.1" customHeight="1" x14ac:dyDescent="0.25">
      <c r="A109" s="7258">
        <v>30000071</v>
      </c>
      <c r="B109" s="2816" t="s">
        <v>1059</v>
      </c>
      <c r="C109" s="2017" t="s">
        <v>5369</v>
      </c>
      <c r="D109" s="2537" t="s">
        <v>5370</v>
      </c>
      <c r="E109" s="2518" t="s">
        <v>5371</v>
      </c>
      <c r="F109" s="2537" t="s">
        <v>5372</v>
      </c>
      <c r="G109" s="2518" t="s">
        <v>5373</v>
      </c>
      <c r="H109" s="2537" t="s">
        <v>5374</v>
      </c>
      <c r="I109" s="2518" t="s">
        <v>5375</v>
      </c>
      <c r="J109" s="2537" t="s">
        <v>5376</v>
      </c>
      <c r="K109" s="2518" t="s">
        <v>5377</v>
      </c>
      <c r="L109" s="2537" t="s">
        <v>5378</v>
      </c>
      <c r="M109" s="2518" t="s">
        <v>5379</v>
      </c>
      <c r="N109" s="1628" t="s">
        <v>5380</v>
      </c>
      <c r="O109" s="2837" t="s">
        <v>5381</v>
      </c>
      <c r="P109" s="2746" t="s">
        <v>5382</v>
      </c>
      <c r="Q109" s="2854" t="s">
        <v>5383</v>
      </c>
      <c r="R109" s="2746" t="s">
        <v>5384</v>
      </c>
      <c r="S109" s="2714" t="s">
        <v>5385</v>
      </c>
      <c r="T109" s="2751" t="s">
        <v>5386</v>
      </c>
      <c r="U109" s="2017" t="s">
        <v>5387</v>
      </c>
      <c r="V109" s="557" t="s">
        <v>5388</v>
      </c>
      <c r="W109" s="1628" t="s">
        <v>5389</v>
      </c>
      <c r="X109" s="2742" t="s">
        <v>5390</v>
      </c>
      <c r="Y109" s="2900" t="s">
        <v>5391</v>
      </c>
      <c r="Z109" s="2899" t="s">
        <v>5392</v>
      </c>
      <c r="AA109" s="2741" t="s">
        <v>5393</v>
      </c>
      <c r="AB109" s="2740" t="s">
        <v>5394</v>
      </c>
      <c r="AC109" s="2741" t="s">
        <v>5395</v>
      </c>
      <c r="AD109" s="190"/>
      <c r="AE109" s="190"/>
      <c r="AF109" s="190"/>
      <c r="AG109" s="190"/>
      <c r="AH109" s="190"/>
      <c r="AI109" s="190"/>
      <c r="AJ109" s="190"/>
      <c r="AK109" s="190"/>
      <c r="AL109" s="190"/>
      <c r="AM109" s="190"/>
      <c r="AN109" s="190"/>
    </row>
    <row r="110" spans="1:40" ht="14.1" customHeight="1" x14ac:dyDescent="0.25">
      <c r="A110" s="7258">
        <v>30000072</v>
      </c>
      <c r="B110" s="2816" t="s">
        <v>1027</v>
      </c>
      <c r="C110" s="2017" t="s">
        <v>5369</v>
      </c>
      <c r="D110" s="2537" t="s">
        <v>5370</v>
      </c>
      <c r="E110" s="2518" t="s">
        <v>5371</v>
      </c>
      <c r="F110" s="2537" t="s">
        <v>5372</v>
      </c>
      <c r="G110" s="2518" t="s">
        <v>5373</v>
      </c>
      <c r="H110" s="2537" t="s">
        <v>5374</v>
      </c>
      <c r="I110" s="2518" t="s">
        <v>5375</v>
      </c>
      <c r="J110" s="2537" t="s">
        <v>5376</v>
      </c>
      <c r="K110" s="2518" t="s">
        <v>5377</v>
      </c>
      <c r="L110" s="2537" t="s">
        <v>5378</v>
      </c>
      <c r="M110" s="2518" t="s">
        <v>5379</v>
      </c>
      <c r="N110" s="1628" t="s">
        <v>5380</v>
      </c>
      <c r="O110" s="2837" t="s">
        <v>5381</v>
      </c>
      <c r="P110" s="2746" t="s">
        <v>5382</v>
      </c>
      <c r="Q110" s="2854" t="s">
        <v>5383</v>
      </c>
      <c r="R110" s="2746" t="s">
        <v>5384</v>
      </c>
      <c r="S110" s="2714" t="s">
        <v>5385</v>
      </c>
      <c r="T110" s="2751" t="s">
        <v>5386</v>
      </c>
      <c r="U110" s="2017" t="s">
        <v>5387</v>
      </c>
      <c r="V110" s="557" t="s">
        <v>5388</v>
      </c>
      <c r="W110" s="1628" t="s">
        <v>5389</v>
      </c>
      <c r="X110" s="2853" t="s">
        <v>5390</v>
      </c>
      <c r="Y110" s="2759" t="s">
        <v>5391</v>
      </c>
      <c r="Z110" s="2869" t="s">
        <v>5392</v>
      </c>
      <c r="AA110" s="2759" t="s">
        <v>5393</v>
      </c>
      <c r="AB110" s="2760" t="s">
        <v>5394</v>
      </c>
      <c r="AC110" s="2759" t="s">
        <v>5395</v>
      </c>
      <c r="AD110" s="190"/>
      <c r="AE110" s="190"/>
      <c r="AF110" s="190"/>
      <c r="AG110" s="190"/>
      <c r="AH110" s="190"/>
      <c r="AI110" s="190"/>
      <c r="AJ110" s="190"/>
      <c r="AK110" s="190"/>
      <c r="AL110" s="190"/>
      <c r="AM110" s="190"/>
      <c r="AN110" s="190"/>
    </row>
    <row r="111" spans="1:40" ht="14.1" customHeight="1" x14ac:dyDescent="0.25">
      <c r="A111" s="7258">
        <v>30000073</v>
      </c>
      <c r="B111" s="2816" t="s">
        <v>1036</v>
      </c>
      <c r="C111" s="2017" t="s">
        <v>5369</v>
      </c>
      <c r="D111" s="2537" t="s">
        <v>5370</v>
      </c>
      <c r="E111" s="2518" t="s">
        <v>5371</v>
      </c>
      <c r="F111" s="2537" t="s">
        <v>5372</v>
      </c>
      <c r="G111" s="2518" t="s">
        <v>5373</v>
      </c>
      <c r="H111" s="2537" t="s">
        <v>5374</v>
      </c>
      <c r="I111" s="2518" t="s">
        <v>5375</v>
      </c>
      <c r="J111" s="2537" t="s">
        <v>5376</v>
      </c>
      <c r="K111" s="2518" t="s">
        <v>5377</v>
      </c>
      <c r="L111" s="2537" t="s">
        <v>5378</v>
      </c>
      <c r="M111" s="2518" t="s">
        <v>5379</v>
      </c>
      <c r="N111" s="1628" t="s">
        <v>5380</v>
      </c>
      <c r="O111" s="2837" t="s">
        <v>5381</v>
      </c>
      <c r="P111" s="2746" t="s">
        <v>5382</v>
      </c>
      <c r="Q111" s="2854" t="s">
        <v>5383</v>
      </c>
      <c r="R111" s="2746" t="s">
        <v>5384</v>
      </c>
      <c r="S111" s="2714" t="s">
        <v>5385</v>
      </c>
      <c r="T111" s="2751" t="s">
        <v>5386</v>
      </c>
      <c r="U111" s="2017" t="s">
        <v>5387</v>
      </c>
      <c r="V111" s="557" t="s">
        <v>5388</v>
      </c>
      <c r="W111" s="1628" t="s">
        <v>5389</v>
      </c>
      <c r="X111" s="2853" t="s">
        <v>5390</v>
      </c>
      <c r="Y111" s="2759" t="s">
        <v>5391</v>
      </c>
      <c r="Z111" s="2869" t="s">
        <v>5392</v>
      </c>
      <c r="AA111" s="2759" t="s">
        <v>5393</v>
      </c>
      <c r="AB111" s="2760" t="s">
        <v>5394</v>
      </c>
      <c r="AC111" s="2759" t="s">
        <v>5395</v>
      </c>
      <c r="AD111" s="190"/>
      <c r="AE111" s="190"/>
      <c r="AF111" s="190"/>
      <c r="AG111" s="190"/>
      <c r="AH111" s="190"/>
      <c r="AI111" s="190"/>
      <c r="AJ111" s="190"/>
      <c r="AK111" s="190"/>
      <c r="AL111" s="190"/>
      <c r="AM111" s="190"/>
      <c r="AN111" s="190"/>
    </row>
    <row r="112" spans="1:40" ht="14.1" customHeight="1" x14ac:dyDescent="0.25">
      <c r="A112" s="7258">
        <v>30000074</v>
      </c>
      <c r="B112" s="2816" t="s">
        <v>1033</v>
      </c>
      <c r="C112" s="2017" t="s">
        <v>5369</v>
      </c>
      <c r="D112" s="2537" t="s">
        <v>5370</v>
      </c>
      <c r="E112" s="2518" t="s">
        <v>5371</v>
      </c>
      <c r="F112" s="2537" t="s">
        <v>5372</v>
      </c>
      <c r="G112" s="2518" t="s">
        <v>5373</v>
      </c>
      <c r="H112" s="2537" t="s">
        <v>5374</v>
      </c>
      <c r="I112" s="2518" t="s">
        <v>5375</v>
      </c>
      <c r="J112" s="2537" t="s">
        <v>5376</v>
      </c>
      <c r="K112" s="2518" t="s">
        <v>5377</v>
      </c>
      <c r="L112" s="2537" t="s">
        <v>5378</v>
      </c>
      <c r="M112" s="2518" t="s">
        <v>5379</v>
      </c>
      <c r="N112" s="1628" t="s">
        <v>5380</v>
      </c>
      <c r="O112" s="2837" t="s">
        <v>5381</v>
      </c>
      <c r="P112" s="2746" t="s">
        <v>5382</v>
      </c>
      <c r="Q112" s="2854" t="s">
        <v>5383</v>
      </c>
      <c r="R112" s="2746" t="s">
        <v>5384</v>
      </c>
      <c r="S112" s="2714" t="s">
        <v>5385</v>
      </c>
      <c r="T112" s="2751" t="s">
        <v>5386</v>
      </c>
      <c r="U112" s="2017" t="s">
        <v>5387</v>
      </c>
      <c r="V112" s="557" t="s">
        <v>5388</v>
      </c>
      <c r="W112" s="1628" t="s">
        <v>5389</v>
      </c>
      <c r="X112" s="2853" t="s">
        <v>5390</v>
      </c>
      <c r="Y112" s="2759" t="s">
        <v>5391</v>
      </c>
      <c r="Z112" s="2869" t="s">
        <v>5392</v>
      </c>
      <c r="AA112" s="2759" t="s">
        <v>5393</v>
      </c>
      <c r="AB112" s="2760" t="s">
        <v>5394</v>
      </c>
      <c r="AC112" s="2759" t="s">
        <v>5395</v>
      </c>
      <c r="AD112" s="190"/>
      <c r="AE112" s="190"/>
      <c r="AF112" s="190"/>
      <c r="AG112" s="190"/>
      <c r="AH112" s="190"/>
      <c r="AI112" s="190"/>
      <c r="AJ112" s="190"/>
      <c r="AK112" s="190"/>
      <c r="AL112" s="190"/>
      <c r="AM112" s="190"/>
      <c r="AN112" s="190"/>
    </row>
    <row r="113" spans="1:40" ht="14.1" customHeight="1" x14ac:dyDescent="0.25">
      <c r="A113" s="7258">
        <v>30000075</v>
      </c>
      <c r="B113" s="2816" t="s">
        <v>2681</v>
      </c>
      <c r="C113" s="2017" t="s">
        <v>5369</v>
      </c>
      <c r="D113" s="2537" t="s">
        <v>5370</v>
      </c>
      <c r="E113" s="2518" t="s">
        <v>5371</v>
      </c>
      <c r="F113" s="2537" t="s">
        <v>5372</v>
      </c>
      <c r="G113" s="2518" t="s">
        <v>5373</v>
      </c>
      <c r="H113" s="2537" t="s">
        <v>5374</v>
      </c>
      <c r="I113" s="2518" t="s">
        <v>5375</v>
      </c>
      <c r="J113" s="2537" t="s">
        <v>5376</v>
      </c>
      <c r="K113" s="2518" t="s">
        <v>5377</v>
      </c>
      <c r="L113" s="2537" t="s">
        <v>5378</v>
      </c>
      <c r="M113" s="2518" t="s">
        <v>5379</v>
      </c>
      <c r="N113" s="1628" t="s">
        <v>5380</v>
      </c>
      <c r="O113" s="2837" t="s">
        <v>5381</v>
      </c>
      <c r="P113" s="2746" t="s">
        <v>5382</v>
      </c>
      <c r="Q113" s="2854" t="s">
        <v>5383</v>
      </c>
      <c r="R113" s="2746" t="s">
        <v>5384</v>
      </c>
      <c r="S113" s="2714" t="s">
        <v>5385</v>
      </c>
      <c r="T113" s="2751" t="s">
        <v>5386</v>
      </c>
      <c r="U113" s="2017" t="s">
        <v>5387</v>
      </c>
      <c r="V113" s="557" t="s">
        <v>5388</v>
      </c>
      <c r="W113" s="1628" t="s">
        <v>5389</v>
      </c>
      <c r="X113" s="2853" t="s">
        <v>5390</v>
      </c>
      <c r="Y113" s="2759" t="s">
        <v>5391</v>
      </c>
      <c r="Z113" s="2869" t="s">
        <v>5392</v>
      </c>
      <c r="AA113" s="2759" t="s">
        <v>5393</v>
      </c>
      <c r="AB113" s="2760" t="s">
        <v>5394</v>
      </c>
      <c r="AC113" s="2759" t="s">
        <v>5395</v>
      </c>
      <c r="AD113" s="190"/>
      <c r="AE113" s="190"/>
      <c r="AF113" s="190"/>
      <c r="AG113" s="190"/>
      <c r="AH113" s="190"/>
      <c r="AI113" s="190"/>
      <c r="AJ113" s="190"/>
      <c r="AK113" s="190"/>
      <c r="AL113" s="190"/>
      <c r="AM113" s="190"/>
      <c r="AN113" s="190"/>
    </row>
    <row r="114" spans="1:40" ht="14.1" customHeight="1" x14ac:dyDescent="0.25">
      <c r="A114" s="7258">
        <v>30000076</v>
      </c>
      <c r="B114" s="2816" t="s">
        <v>1032</v>
      </c>
      <c r="C114" s="2017" t="s">
        <v>5369</v>
      </c>
      <c r="D114" s="2537" t="s">
        <v>5370</v>
      </c>
      <c r="E114" s="2518" t="s">
        <v>5371</v>
      </c>
      <c r="F114" s="2537" t="s">
        <v>5372</v>
      </c>
      <c r="G114" s="2518" t="s">
        <v>5373</v>
      </c>
      <c r="H114" s="2537" t="s">
        <v>5374</v>
      </c>
      <c r="I114" s="2518" t="s">
        <v>5375</v>
      </c>
      <c r="J114" s="2537" t="s">
        <v>5376</v>
      </c>
      <c r="K114" s="2518" t="s">
        <v>5377</v>
      </c>
      <c r="L114" s="2537" t="s">
        <v>5378</v>
      </c>
      <c r="M114" s="2518" t="s">
        <v>5379</v>
      </c>
      <c r="N114" s="1628" t="s">
        <v>5380</v>
      </c>
      <c r="O114" s="2837" t="s">
        <v>5381</v>
      </c>
      <c r="P114" s="2746" t="s">
        <v>5382</v>
      </c>
      <c r="Q114" s="2854" t="s">
        <v>5383</v>
      </c>
      <c r="R114" s="2746" t="s">
        <v>5384</v>
      </c>
      <c r="S114" s="2714" t="s">
        <v>5385</v>
      </c>
      <c r="T114" s="2751" t="s">
        <v>5386</v>
      </c>
      <c r="U114" s="2017" t="s">
        <v>5387</v>
      </c>
      <c r="V114" s="557" t="s">
        <v>5388</v>
      </c>
      <c r="W114" s="1628" t="s">
        <v>5389</v>
      </c>
      <c r="X114" s="2853" t="s">
        <v>5390</v>
      </c>
      <c r="Y114" s="2759" t="s">
        <v>5391</v>
      </c>
      <c r="Z114" s="2869" t="s">
        <v>5392</v>
      </c>
      <c r="AA114" s="2759" t="s">
        <v>5393</v>
      </c>
      <c r="AB114" s="2760" t="s">
        <v>5394</v>
      </c>
      <c r="AC114" s="2759" t="s">
        <v>5395</v>
      </c>
      <c r="AD114" s="190"/>
      <c r="AE114" s="190"/>
      <c r="AF114" s="190"/>
      <c r="AG114" s="190"/>
      <c r="AH114" s="190"/>
      <c r="AI114" s="190"/>
      <c r="AJ114" s="190"/>
      <c r="AK114" s="190"/>
      <c r="AL114" s="190"/>
      <c r="AM114" s="190"/>
      <c r="AN114" s="190"/>
    </row>
    <row r="115" spans="1:40" ht="14.1" customHeight="1" x14ac:dyDescent="0.25">
      <c r="A115" s="7258">
        <v>30000077</v>
      </c>
      <c r="B115" s="2816" t="s">
        <v>1057</v>
      </c>
      <c r="C115" s="2017" t="s">
        <v>5369</v>
      </c>
      <c r="D115" s="2537" t="s">
        <v>5370</v>
      </c>
      <c r="E115" s="2518" t="s">
        <v>5371</v>
      </c>
      <c r="F115" s="2537" t="s">
        <v>5372</v>
      </c>
      <c r="G115" s="2518" t="s">
        <v>5373</v>
      </c>
      <c r="H115" s="2537" t="s">
        <v>5374</v>
      </c>
      <c r="I115" s="2518" t="s">
        <v>5375</v>
      </c>
      <c r="J115" s="2537" t="s">
        <v>5376</v>
      </c>
      <c r="K115" s="2518" t="s">
        <v>5377</v>
      </c>
      <c r="L115" s="2537" t="s">
        <v>5378</v>
      </c>
      <c r="M115" s="2518" t="s">
        <v>5379</v>
      </c>
      <c r="N115" s="1628" t="s">
        <v>5380</v>
      </c>
      <c r="O115" s="2837" t="s">
        <v>5381</v>
      </c>
      <c r="P115" s="2746" t="s">
        <v>5382</v>
      </c>
      <c r="Q115" s="2854" t="s">
        <v>5383</v>
      </c>
      <c r="R115" s="2746" t="s">
        <v>5384</v>
      </c>
      <c r="S115" s="2714" t="s">
        <v>5385</v>
      </c>
      <c r="T115" s="2751" t="s">
        <v>5386</v>
      </c>
      <c r="U115" s="2017" t="s">
        <v>5387</v>
      </c>
      <c r="V115" s="557" t="s">
        <v>5388</v>
      </c>
      <c r="W115" s="1628" t="s">
        <v>5389</v>
      </c>
      <c r="X115" s="2853" t="s">
        <v>5390</v>
      </c>
      <c r="Y115" s="2759" t="s">
        <v>5391</v>
      </c>
      <c r="Z115" s="2869" t="s">
        <v>5392</v>
      </c>
      <c r="AA115" s="2759" t="s">
        <v>5393</v>
      </c>
      <c r="AB115" s="2760" t="s">
        <v>5394</v>
      </c>
      <c r="AC115" s="2759" t="s">
        <v>5395</v>
      </c>
      <c r="AD115" s="190"/>
      <c r="AE115" s="190"/>
      <c r="AF115" s="190"/>
      <c r="AG115" s="190"/>
      <c r="AH115" s="190"/>
      <c r="AI115" s="190"/>
      <c r="AJ115" s="190"/>
      <c r="AK115" s="190"/>
      <c r="AL115" s="190"/>
      <c r="AM115" s="190"/>
      <c r="AN115" s="190"/>
    </row>
    <row r="116" spans="1:40" ht="14.1" customHeight="1" x14ac:dyDescent="0.25">
      <c r="A116" s="7258">
        <v>30000078</v>
      </c>
      <c r="B116" s="2816" t="s">
        <v>1056</v>
      </c>
      <c r="C116" s="2017" t="s">
        <v>5369</v>
      </c>
      <c r="D116" s="2537" t="s">
        <v>5370</v>
      </c>
      <c r="E116" s="2518" t="s">
        <v>5371</v>
      </c>
      <c r="F116" s="2537" t="s">
        <v>5372</v>
      </c>
      <c r="G116" s="2518" t="s">
        <v>5373</v>
      </c>
      <c r="H116" s="2537" t="s">
        <v>5374</v>
      </c>
      <c r="I116" s="2518" t="s">
        <v>5375</v>
      </c>
      <c r="J116" s="2537" t="s">
        <v>5376</v>
      </c>
      <c r="K116" s="2518" t="s">
        <v>5377</v>
      </c>
      <c r="L116" s="2537" t="s">
        <v>5378</v>
      </c>
      <c r="M116" s="2518" t="s">
        <v>5379</v>
      </c>
      <c r="N116" s="1628" t="s">
        <v>5380</v>
      </c>
      <c r="O116" s="2837" t="s">
        <v>5381</v>
      </c>
      <c r="P116" s="2746" t="s">
        <v>5382</v>
      </c>
      <c r="Q116" s="2854" t="s">
        <v>5383</v>
      </c>
      <c r="R116" s="2746" t="s">
        <v>5384</v>
      </c>
      <c r="S116" s="2714" t="s">
        <v>5385</v>
      </c>
      <c r="T116" s="2751" t="s">
        <v>5386</v>
      </c>
      <c r="U116" s="2017" t="s">
        <v>5387</v>
      </c>
      <c r="V116" s="557" t="s">
        <v>5388</v>
      </c>
      <c r="W116" s="1628" t="s">
        <v>5389</v>
      </c>
      <c r="X116" s="2853" t="s">
        <v>5390</v>
      </c>
      <c r="Y116" s="2759" t="s">
        <v>5391</v>
      </c>
      <c r="Z116" s="2869" t="s">
        <v>5392</v>
      </c>
      <c r="AA116" s="2759" t="s">
        <v>5393</v>
      </c>
      <c r="AB116" s="2760" t="s">
        <v>5394</v>
      </c>
      <c r="AC116" s="2759" t="s">
        <v>5395</v>
      </c>
      <c r="AD116" s="190"/>
      <c r="AE116" s="190"/>
      <c r="AF116" s="190"/>
      <c r="AG116" s="190"/>
      <c r="AH116" s="190"/>
      <c r="AI116" s="190"/>
      <c r="AJ116" s="190"/>
      <c r="AK116" s="190"/>
      <c r="AL116" s="190"/>
      <c r="AM116" s="190"/>
      <c r="AN116" s="190"/>
    </row>
    <row r="117" spans="1:40" ht="14.1" customHeight="1" x14ac:dyDescent="0.25">
      <c r="A117" s="7258">
        <v>30000079</v>
      </c>
      <c r="B117" s="2816" t="s">
        <v>1028</v>
      </c>
      <c r="C117" s="2017" t="s">
        <v>5369</v>
      </c>
      <c r="D117" s="2537" t="s">
        <v>5370</v>
      </c>
      <c r="E117" s="2518" t="s">
        <v>5371</v>
      </c>
      <c r="F117" s="2537" t="s">
        <v>5372</v>
      </c>
      <c r="G117" s="2518" t="s">
        <v>5373</v>
      </c>
      <c r="H117" s="2537" t="s">
        <v>5374</v>
      </c>
      <c r="I117" s="2518" t="s">
        <v>5375</v>
      </c>
      <c r="J117" s="2537" t="s">
        <v>5376</v>
      </c>
      <c r="K117" s="2518" t="s">
        <v>5377</v>
      </c>
      <c r="L117" s="2537" t="s">
        <v>5378</v>
      </c>
      <c r="M117" s="2518" t="s">
        <v>5379</v>
      </c>
      <c r="N117" s="1628" t="s">
        <v>5380</v>
      </c>
      <c r="O117" s="2837" t="s">
        <v>5381</v>
      </c>
      <c r="P117" s="2746" t="s">
        <v>5382</v>
      </c>
      <c r="Q117" s="2854" t="s">
        <v>5383</v>
      </c>
      <c r="R117" s="2746" t="s">
        <v>5384</v>
      </c>
      <c r="S117" s="2714" t="s">
        <v>5385</v>
      </c>
      <c r="T117" s="2751" t="s">
        <v>5386</v>
      </c>
      <c r="U117" s="2017" t="s">
        <v>5387</v>
      </c>
      <c r="V117" s="557" t="s">
        <v>5388</v>
      </c>
      <c r="W117" s="1628" t="s">
        <v>5389</v>
      </c>
      <c r="X117" s="2853" t="s">
        <v>5390</v>
      </c>
      <c r="Y117" s="2759" t="s">
        <v>5391</v>
      </c>
      <c r="Z117" s="2869" t="s">
        <v>5392</v>
      </c>
      <c r="AA117" s="2759" t="s">
        <v>5393</v>
      </c>
      <c r="AB117" s="2760" t="s">
        <v>5394</v>
      </c>
      <c r="AC117" s="2759" t="s">
        <v>5395</v>
      </c>
      <c r="AD117" s="190"/>
      <c r="AE117" s="190"/>
      <c r="AF117" s="190"/>
      <c r="AG117" s="190"/>
      <c r="AH117" s="190"/>
      <c r="AI117" s="190"/>
      <c r="AJ117" s="190"/>
      <c r="AK117" s="190"/>
      <c r="AL117" s="190"/>
      <c r="AM117" s="190"/>
      <c r="AN117" s="190"/>
    </row>
    <row r="118" spans="1:40" ht="14.1" customHeight="1" x14ac:dyDescent="0.25">
      <c r="A118" s="7258">
        <v>30000080</v>
      </c>
      <c r="B118" s="2816" t="s">
        <v>1029</v>
      </c>
      <c r="C118" s="2017" t="s">
        <v>5369</v>
      </c>
      <c r="D118" s="2537" t="s">
        <v>5370</v>
      </c>
      <c r="E118" s="2518" t="s">
        <v>5371</v>
      </c>
      <c r="F118" s="2537" t="s">
        <v>5372</v>
      </c>
      <c r="G118" s="2518" t="s">
        <v>5373</v>
      </c>
      <c r="H118" s="2537" t="s">
        <v>5374</v>
      </c>
      <c r="I118" s="2518" t="s">
        <v>5375</v>
      </c>
      <c r="J118" s="2537" t="s">
        <v>5376</v>
      </c>
      <c r="K118" s="2518" t="s">
        <v>5377</v>
      </c>
      <c r="L118" s="2537" t="s">
        <v>5378</v>
      </c>
      <c r="M118" s="2518" t="s">
        <v>5379</v>
      </c>
      <c r="N118" s="1628" t="s">
        <v>5380</v>
      </c>
      <c r="O118" s="2837" t="s">
        <v>5381</v>
      </c>
      <c r="P118" s="2746" t="s">
        <v>5382</v>
      </c>
      <c r="Q118" s="2854" t="s">
        <v>5383</v>
      </c>
      <c r="R118" s="2746" t="s">
        <v>5384</v>
      </c>
      <c r="S118" s="2714" t="s">
        <v>5385</v>
      </c>
      <c r="T118" s="2751" t="s">
        <v>5386</v>
      </c>
      <c r="U118" s="2017" t="s">
        <v>5387</v>
      </c>
      <c r="V118" s="557" t="s">
        <v>5388</v>
      </c>
      <c r="W118" s="1628" t="s">
        <v>5389</v>
      </c>
      <c r="X118" s="2853" t="s">
        <v>5390</v>
      </c>
      <c r="Y118" s="2759" t="s">
        <v>5391</v>
      </c>
      <c r="Z118" s="2869" t="s">
        <v>5392</v>
      </c>
      <c r="AA118" s="2759" t="s">
        <v>5393</v>
      </c>
      <c r="AB118" s="2760" t="s">
        <v>5394</v>
      </c>
      <c r="AC118" s="2759" t="s">
        <v>5395</v>
      </c>
      <c r="AD118" s="190"/>
      <c r="AE118" s="190"/>
      <c r="AF118" s="190"/>
      <c r="AG118" s="190"/>
      <c r="AH118" s="190"/>
      <c r="AI118" s="190"/>
      <c r="AJ118" s="190"/>
      <c r="AK118" s="190"/>
      <c r="AL118" s="190"/>
      <c r="AM118" s="190"/>
      <c r="AN118" s="190"/>
    </row>
    <row r="119" spans="1:40" ht="14.1" customHeight="1" x14ac:dyDescent="0.25">
      <c r="A119" s="7258">
        <v>30000081</v>
      </c>
      <c r="B119" s="2819" t="s">
        <v>1030</v>
      </c>
      <c r="C119" s="2477" t="s">
        <v>5369</v>
      </c>
      <c r="D119" s="2496" t="s">
        <v>5370</v>
      </c>
      <c r="E119" s="2743" t="s">
        <v>5371</v>
      </c>
      <c r="F119" s="2496" t="s">
        <v>5372</v>
      </c>
      <c r="G119" s="2743" t="s">
        <v>5373</v>
      </c>
      <c r="H119" s="2496" t="s">
        <v>5374</v>
      </c>
      <c r="I119" s="2743" t="s">
        <v>5375</v>
      </c>
      <c r="J119" s="2496" t="s">
        <v>5376</v>
      </c>
      <c r="K119" s="2743" t="s">
        <v>5377</v>
      </c>
      <c r="L119" s="2496" t="s">
        <v>5378</v>
      </c>
      <c r="M119" s="2743" t="s">
        <v>5379</v>
      </c>
      <c r="N119" s="2502" t="s">
        <v>5380</v>
      </c>
      <c r="O119" s="2817" t="s">
        <v>5381</v>
      </c>
      <c r="P119" s="2835" t="s">
        <v>5382</v>
      </c>
      <c r="Q119" s="2745" t="s">
        <v>5383</v>
      </c>
      <c r="R119" s="2762" t="s">
        <v>5384</v>
      </c>
      <c r="S119" s="2761" t="s">
        <v>5385</v>
      </c>
      <c r="T119" s="2750" t="s">
        <v>5386</v>
      </c>
      <c r="U119" s="2477" t="s">
        <v>5387</v>
      </c>
      <c r="V119" s="2480" t="s">
        <v>5388</v>
      </c>
      <c r="W119" s="2502" t="s">
        <v>5389</v>
      </c>
      <c r="X119" s="2818" t="s">
        <v>5390</v>
      </c>
      <c r="Y119" s="2849" t="s">
        <v>5391</v>
      </c>
      <c r="Z119" s="2871" t="s">
        <v>5392</v>
      </c>
      <c r="AA119" s="2757" t="s">
        <v>5393</v>
      </c>
      <c r="AB119" s="2758" t="s">
        <v>5394</v>
      </c>
      <c r="AC119" s="2757" t="s">
        <v>5395</v>
      </c>
      <c r="AD119" s="190"/>
      <c r="AE119" s="190"/>
      <c r="AF119" s="190"/>
      <c r="AG119" s="190"/>
      <c r="AH119" s="190"/>
      <c r="AI119" s="190"/>
      <c r="AJ119" s="190"/>
      <c r="AK119" s="190"/>
      <c r="AL119" s="190"/>
      <c r="AM119" s="190"/>
      <c r="AN119" s="190"/>
    </row>
    <row r="120" spans="1:40" ht="24" customHeight="1" x14ac:dyDescent="0.25">
      <c r="B120" s="3438" t="s">
        <v>1746</v>
      </c>
    </row>
    <row r="121" spans="1:40" ht="15" customHeight="1" x14ac:dyDescent="0.25">
      <c r="A121" s="7279"/>
      <c r="B121" s="11118" t="s">
        <v>1745</v>
      </c>
      <c r="C121" s="11063" t="s">
        <v>1744</v>
      </c>
      <c r="D121" s="11064"/>
      <c r="E121" s="11064"/>
      <c r="F121" s="11064"/>
      <c r="G121" s="11064"/>
      <c r="H121" s="11064"/>
      <c r="I121" s="11064"/>
      <c r="J121" s="11064"/>
      <c r="K121" s="11066"/>
      <c r="L121" s="11069" t="s">
        <v>3698</v>
      </c>
      <c r="M121" s="8559"/>
      <c r="N121" s="8559"/>
      <c r="O121" s="8559"/>
      <c r="P121" s="8559"/>
      <c r="Q121" s="8557"/>
    </row>
    <row r="122" spans="1:40" ht="23.25" customHeight="1" x14ac:dyDescent="0.25">
      <c r="A122" s="7279"/>
      <c r="B122" s="11119"/>
      <c r="C122" s="11079" t="s">
        <v>2695</v>
      </c>
      <c r="D122" s="11058"/>
      <c r="E122" s="10810" t="s">
        <v>33</v>
      </c>
      <c r="F122" s="11062"/>
      <c r="G122" s="10811" t="s">
        <v>2696</v>
      </c>
      <c r="H122" s="11062"/>
      <c r="I122" s="11081" t="s">
        <v>1351</v>
      </c>
      <c r="J122" s="11082"/>
      <c r="K122" s="11083"/>
      <c r="L122" s="11070"/>
      <c r="M122" s="8598"/>
      <c r="N122" s="8598"/>
      <c r="O122" s="8598"/>
      <c r="P122" s="8598"/>
      <c r="Q122" s="11071"/>
    </row>
    <row r="123" spans="1:40" ht="13.95" customHeight="1" x14ac:dyDescent="0.25">
      <c r="A123" s="7279"/>
      <c r="B123" s="11119"/>
      <c r="C123" s="11093" t="s">
        <v>17</v>
      </c>
      <c r="D123" s="11095" t="s">
        <v>18</v>
      </c>
      <c r="E123" s="9710" t="s">
        <v>17</v>
      </c>
      <c r="F123" s="9711" t="s">
        <v>18</v>
      </c>
      <c r="G123" s="8874" t="s">
        <v>17</v>
      </c>
      <c r="H123" s="11077" t="s">
        <v>18</v>
      </c>
      <c r="I123" s="1424" t="s">
        <v>1739</v>
      </c>
      <c r="J123" s="11097" t="s">
        <v>1738</v>
      </c>
      <c r="K123" s="11098"/>
      <c r="L123" s="11068" t="s">
        <v>2695</v>
      </c>
      <c r="M123" s="11062"/>
      <c r="N123" s="10811" t="s">
        <v>33</v>
      </c>
      <c r="O123" s="11058"/>
      <c r="P123" s="10810" t="s">
        <v>2696</v>
      </c>
      <c r="Q123" s="11062"/>
    </row>
    <row r="124" spans="1:40" ht="24.75" customHeight="1" x14ac:dyDescent="0.25">
      <c r="A124" s="7279"/>
      <c r="B124" s="11120"/>
      <c r="C124" s="11094"/>
      <c r="D124" s="11096"/>
      <c r="E124" s="11075"/>
      <c r="F124" s="11086"/>
      <c r="G124" s="9630"/>
      <c r="H124" s="11078"/>
      <c r="I124" s="1424" t="s">
        <v>1737</v>
      </c>
      <c r="J124" s="2122" t="s">
        <v>1736</v>
      </c>
      <c r="K124" s="1425" t="s">
        <v>1735</v>
      </c>
      <c r="L124" s="2865" t="s">
        <v>17</v>
      </c>
      <c r="M124" s="2861" t="s">
        <v>18</v>
      </c>
      <c r="N124" s="2863" t="s">
        <v>17</v>
      </c>
      <c r="O124" s="1069" t="s">
        <v>18</v>
      </c>
      <c r="P124" s="945" t="s">
        <v>17</v>
      </c>
      <c r="Q124" s="1069" t="s">
        <v>18</v>
      </c>
    </row>
    <row r="125" spans="1:40" x14ac:dyDescent="0.25">
      <c r="A125" s="7738"/>
      <c r="B125" s="2716" t="s">
        <v>24</v>
      </c>
      <c r="C125" s="1073">
        <f>SUM(C126:C129)</f>
        <v>0</v>
      </c>
      <c r="D125" s="953">
        <f>SUM(D126:D129)</f>
        <v>0</v>
      </c>
      <c r="E125" s="2880">
        <f>SUM(E126:E129)</f>
        <v>0</v>
      </c>
      <c r="F125" s="2881">
        <f>SUM(F126:F129)</f>
        <v>0</v>
      </c>
      <c r="G125" s="2859">
        <f t="shared" ref="G125:Q125" si="5">SUM(G126:G129)</f>
        <v>0</v>
      </c>
      <c r="H125" s="590">
        <f t="shared" si="5"/>
        <v>0</v>
      </c>
      <c r="I125" s="1426">
        <f t="shared" si="5"/>
        <v>0</v>
      </c>
      <c r="J125" s="1427">
        <f t="shared" si="5"/>
        <v>0</v>
      </c>
      <c r="K125" s="1428">
        <f t="shared" si="5"/>
        <v>0</v>
      </c>
      <c r="L125" s="2886">
        <f t="shared" si="5"/>
        <v>0</v>
      </c>
      <c r="M125" s="2901">
        <f t="shared" si="5"/>
        <v>0</v>
      </c>
      <c r="N125" s="2883">
        <f t="shared" si="5"/>
        <v>0</v>
      </c>
      <c r="O125" s="1075">
        <f t="shared" si="5"/>
        <v>0</v>
      </c>
      <c r="P125" s="1074">
        <f t="shared" si="5"/>
        <v>0</v>
      </c>
      <c r="Q125" s="2739">
        <f t="shared" si="5"/>
        <v>0</v>
      </c>
    </row>
    <row r="126" spans="1:40" ht="14.1" customHeight="1" x14ac:dyDescent="0.25">
      <c r="A126" s="7258">
        <v>30000082</v>
      </c>
      <c r="B126" s="317" t="s">
        <v>1743</v>
      </c>
      <c r="C126" s="178" t="s">
        <v>5369</v>
      </c>
      <c r="D126" s="179" t="s">
        <v>5370</v>
      </c>
      <c r="E126" s="828" t="s">
        <v>5371</v>
      </c>
      <c r="F126" s="2441" t="s">
        <v>5372</v>
      </c>
      <c r="G126" s="1792" t="s">
        <v>5373</v>
      </c>
      <c r="H126" s="713" t="s">
        <v>5374</v>
      </c>
      <c r="I126" s="1150" t="s">
        <v>5375</v>
      </c>
      <c r="J126" s="178" t="s">
        <v>5376</v>
      </c>
      <c r="K126" s="716" t="s">
        <v>5377</v>
      </c>
      <c r="L126" s="2902" t="s">
        <v>5378</v>
      </c>
      <c r="M126" s="2900" t="s">
        <v>5379</v>
      </c>
      <c r="N126" s="2899" t="s">
        <v>5380</v>
      </c>
      <c r="O126" s="2741" t="s">
        <v>5381</v>
      </c>
      <c r="P126" s="2740" t="s">
        <v>5382</v>
      </c>
      <c r="Q126" s="2759" t="s">
        <v>5383</v>
      </c>
    </row>
    <row r="127" spans="1:40" ht="14.1" customHeight="1" x14ac:dyDescent="0.25">
      <c r="A127" s="7258">
        <v>30000083</v>
      </c>
      <c r="B127" s="317" t="s">
        <v>1742</v>
      </c>
      <c r="C127" s="113" t="s">
        <v>5369</v>
      </c>
      <c r="D127" s="138" t="s">
        <v>5370</v>
      </c>
      <c r="E127" s="2518" t="s">
        <v>5371</v>
      </c>
      <c r="F127" s="2537" t="s">
        <v>5372</v>
      </c>
      <c r="G127" s="2796" t="s">
        <v>5373</v>
      </c>
      <c r="H127" s="260" t="s">
        <v>5374</v>
      </c>
      <c r="I127" s="164" t="s">
        <v>5375</v>
      </c>
      <c r="J127" s="113" t="s">
        <v>5376</v>
      </c>
      <c r="K127" s="585" t="s">
        <v>5377</v>
      </c>
      <c r="L127" s="2853" t="s">
        <v>5378</v>
      </c>
      <c r="M127" s="2759" t="s">
        <v>5379</v>
      </c>
      <c r="N127" s="2869" t="s">
        <v>5380</v>
      </c>
      <c r="O127" s="2759" t="s">
        <v>5381</v>
      </c>
      <c r="P127" s="2760" t="s">
        <v>5382</v>
      </c>
      <c r="Q127" s="2759" t="s">
        <v>5383</v>
      </c>
    </row>
    <row r="128" spans="1:40" ht="14.1" customHeight="1" x14ac:dyDescent="0.25">
      <c r="A128" s="7258">
        <v>30000084</v>
      </c>
      <c r="B128" s="317" t="s">
        <v>1741</v>
      </c>
      <c r="C128" s="113" t="s">
        <v>5369</v>
      </c>
      <c r="D128" s="138" t="s">
        <v>5370</v>
      </c>
      <c r="E128" s="2518" t="s">
        <v>5371</v>
      </c>
      <c r="F128" s="2537" t="s">
        <v>5372</v>
      </c>
      <c r="G128" s="2796" t="s">
        <v>5373</v>
      </c>
      <c r="H128" s="260" t="s">
        <v>5374</v>
      </c>
      <c r="I128" s="164" t="s">
        <v>5375</v>
      </c>
      <c r="J128" s="113" t="s">
        <v>5376</v>
      </c>
      <c r="K128" s="585" t="s">
        <v>5377</v>
      </c>
      <c r="L128" s="2853" t="s">
        <v>5378</v>
      </c>
      <c r="M128" s="2759" t="s">
        <v>5379</v>
      </c>
      <c r="N128" s="2869" t="s">
        <v>5380</v>
      </c>
      <c r="O128" s="2759" t="s">
        <v>5381</v>
      </c>
      <c r="P128" s="2760" t="s">
        <v>5382</v>
      </c>
      <c r="Q128" s="2759" t="s">
        <v>5383</v>
      </c>
    </row>
    <row r="129" spans="1:17" ht="14.1" customHeight="1" x14ac:dyDescent="0.25">
      <c r="A129" s="7258">
        <v>30000085</v>
      </c>
      <c r="B129" s="318" t="s">
        <v>1740</v>
      </c>
      <c r="C129" s="102" t="s">
        <v>5369</v>
      </c>
      <c r="D129" s="101" t="s">
        <v>5370</v>
      </c>
      <c r="E129" s="2825" t="s">
        <v>5371</v>
      </c>
      <c r="F129" s="2821" t="s">
        <v>5372</v>
      </c>
      <c r="G129" s="2477" t="s">
        <v>5373</v>
      </c>
      <c r="H129" s="1284" t="s">
        <v>5374</v>
      </c>
      <c r="I129" s="1283" t="s">
        <v>5375</v>
      </c>
      <c r="J129" s="102" t="s">
        <v>5376</v>
      </c>
      <c r="K129" s="254" t="s">
        <v>5377</v>
      </c>
      <c r="L129" s="2850" t="s">
        <v>5378</v>
      </c>
      <c r="M129" s="2849" t="s">
        <v>5379</v>
      </c>
      <c r="N129" s="2871" t="s">
        <v>5380</v>
      </c>
      <c r="O129" s="2757" t="s">
        <v>5381</v>
      </c>
      <c r="P129" s="2758" t="s">
        <v>5382</v>
      </c>
      <c r="Q129" s="2757" t="s">
        <v>5383</v>
      </c>
    </row>
    <row r="130" spans="1:17" ht="22.2" customHeight="1" x14ac:dyDescent="0.25">
      <c r="B130" s="3525" t="s">
        <v>3533</v>
      </c>
    </row>
    <row r="131" spans="1:17" ht="25.95" customHeight="1" x14ac:dyDescent="0.25">
      <c r="B131" s="11059" t="s">
        <v>41</v>
      </c>
      <c r="C131" s="11060" t="s">
        <v>3651</v>
      </c>
      <c r="D131" s="11072" t="s">
        <v>3649</v>
      </c>
      <c r="E131" s="8559"/>
      <c r="F131" s="8557"/>
      <c r="G131" s="9710" t="s">
        <v>1586</v>
      </c>
      <c r="H131" s="8874"/>
      <c r="I131" s="11074"/>
      <c r="J131" s="11067" t="s">
        <v>3650</v>
      </c>
      <c r="K131" s="11064"/>
      <c r="L131" s="11064"/>
      <c r="M131" s="11064"/>
      <c r="N131" s="11064"/>
      <c r="O131" s="11065"/>
    </row>
    <row r="132" spans="1:17" ht="19.95" customHeight="1" x14ac:dyDescent="0.25">
      <c r="B132" s="11059"/>
      <c r="C132" s="8620"/>
      <c r="D132" s="11073"/>
      <c r="E132" s="8598"/>
      <c r="F132" s="11071"/>
      <c r="G132" s="11075"/>
      <c r="H132" s="9630"/>
      <c r="I132" s="11076"/>
      <c r="J132" s="11068" t="s">
        <v>2695</v>
      </c>
      <c r="K132" s="11062"/>
      <c r="L132" s="10811" t="s">
        <v>33</v>
      </c>
      <c r="M132" s="11058"/>
      <c r="N132" s="10810" t="s">
        <v>2696</v>
      </c>
      <c r="O132" s="11062"/>
    </row>
    <row r="133" spans="1:17" ht="25.2" customHeight="1" x14ac:dyDescent="0.25">
      <c r="B133" s="11059" t="s">
        <v>3648</v>
      </c>
      <c r="C133" s="11061"/>
      <c r="D133" s="2904" t="s">
        <v>2695</v>
      </c>
      <c r="E133" s="3526" t="s">
        <v>33</v>
      </c>
      <c r="F133" s="2771" t="s">
        <v>2696</v>
      </c>
      <c r="G133" s="2860" t="s">
        <v>42</v>
      </c>
      <c r="H133" s="2863" t="s">
        <v>17</v>
      </c>
      <c r="I133" s="3527" t="s">
        <v>18</v>
      </c>
      <c r="J133" s="2865" t="s">
        <v>17</v>
      </c>
      <c r="K133" s="3284" t="s">
        <v>18</v>
      </c>
      <c r="L133" s="2863" t="s">
        <v>17</v>
      </c>
      <c r="M133" s="3528" t="s">
        <v>18</v>
      </c>
      <c r="N133" s="3529" t="s">
        <v>17</v>
      </c>
      <c r="O133" s="3530" t="s">
        <v>18</v>
      </c>
    </row>
    <row r="134" spans="1:17" ht="18" customHeight="1" x14ac:dyDescent="0.25">
      <c r="A134" s="2389"/>
      <c r="B134" s="8627"/>
      <c r="C134" s="3531">
        <f>SUM(C135:C140)</f>
        <v>0</v>
      </c>
      <c r="D134" s="2880">
        <f t="shared" ref="D134:I134" si="6">SUM(D135:D140)</f>
        <v>0</v>
      </c>
      <c r="E134" s="2859">
        <f t="shared" si="6"/>
        <v>0</v>
      </c>
      <c r="F134" s="3532">
        <f t="shared" si="6"/>
        <v>0</v>
      </c>
      <c r="G134" s="2880">
        <f t="shared" si="6"/>
        <v>0</v>
      </c>
      <c r="H134" s="2859">
        <f t="shared" si="6"/>
        <v>0</v>
      </c>
      <c r="I134" s="3533">
        <f t="shared" si="6"/>
        <v>0</v>
      </c>
      <c r="J134" s="2886">
        <f t="shared" ref="J134:O134" si="7">SUM(J135:J140)</f>
        <v>0</v>
      </c>
      <c r="K134" s="2893">
        <f t="shared" si="7"/>
        <v>0</v>
      </c>
      <c r="L134" s="2883">
        <f t="shared" si="7"/>
        <v>0</v>
      </c>
      <c r="M134" s="3534">
        <f t="shared" si="7"/>
        <v>0</v>
      </c>
      <c r="N134" s="3535">
        <f t="shared" si="7"/>
        <v>0</v>
      </c>
      <c r="O134" s="3534">
        <f t="shared" si="7"/>
        <v>0</v>
      </c>
    </row>
    <row r="135" spans="1:17" ht="14.1" customHeight="1" x14ac:dyDescent="0.25">
      <c r="A135" s="7485">
        <v>32101521</v>
      </c>
      <c r="B135" s="3536" t="s">
        <v>819</v>
      </c>
      <c r="C135" s="164" t="s">
        <v>5369</v>
      </c>
      <c r="D135" s="2518" t="s">
        <v>5370</v>
      </c>
      <c r="E135" s="2796" t="s">
        <v>5371</v>
      </c>
      <c r="F135" s="2519" t="s">
        <v>5372</v>
      </c>
      <c r="G135" s="2518" t="s">
        <v>5373</v>
      </c>
      <c r="H135" s="2796" t="s">
        <v>5374</v>
      </c>
      <c r="I135" s="2552" t="s">
        <v>5375</v>
      </c>
      <c r="J135" s="2853" t="s">
        <v>5376</v>
      </c>
      <c r="K135" s="2769" t="s">
        <v>5377</v>
      </c>
      <c r="L135" s="2869" t="s">
        <v>5378</v>
      </c>
      <c r="M135" s="2769" t="s">
        <v>5379</v>
      </c>
      <c r="N135" s="2760" t="s">
        <v>5380</v>
      </c>
      <c r="O135" s="2769" t="s">
        <v>5381</v>
      </c>
    </row>
    <row r="136" spans="1:17" ht="14.1" customHeight="1" x14ac:dyDescent="0.25">
      <c r="A136" s="7485">
        <v>32101522</v>
      </c>
      <c r="B136" s="3537" t="s">
        <v>3652</v>
      </c>
      <c r="C136" s="164" t="s">
        <v>5369</v>
      </c>
      <c r="D136" s="2518" t="s">
        <v>5370</v>
      </c>
      <c r="E136" s="2796" t="s">
        <v>5371</v>
      </c>
      <c r="F136" s="2519" t="s">
        <v>5372</v>
      </c>
      <c r="G136" s="2518" t="s">
        <v>5373</v>
      </c>
      <c r="H136" s="2796" t="s">
        <v>5374</v>
      </c>
      <c r="I136" s="2552" t="s">
        <v>5375</v>
      </c>
      <c r="J136" s="2853" t="s">
        <v>5376</v>
      </c>
      <c r="K136" s="2769" t="s">
        <v>5377</v>
      </c>
      <c r="L136" s="2869" t="s">
        <v>5378</v>
      </c>
      <c r="M136" s="2769" t="s">
        <v>5379</v>
      </c>
      <c r="N136" s="2760" t="s">
        <v>5380</v>
      </c>
      <c r="O136" s="2769" t="s">
        <v>5381</v>
      </c>
    </row>
    <row r="137" spans="1:17" ht="14.1" customHeight="1" x14ac:dyDescent="0.25">
      <c r="A137" s="7485">
        <v>32101523</v>
      </c>
      <c r="B137" s="3537" t="s">
        <v>3653</v>
      </c>
      <c r="C137" s="164" t="s">
        <v>5369</v>
      </c>
      <c r="D137" s="2518" t="s">
        <v>5370</v>
      </c>
      <c r="E137" s="2796" t="s">
        <v>5371</v>
      </c>
      <c r="F137" s="2519" t="s">
        <v>5372</v>
      </c>
      <c r="G137" s="2518" t="s">
        <v>5373</v>
      </c>
      <c r="H137" s="2796" t="s">
        <v>5374</v>
      </c>
      <c r="I137" s="2552" t="s">
        <v>5375</v>
      </c>
      <c r="J137" s="2853" t="s">
        <v>5376</v>
      </c>
      <c r="K137" s="2769" t="s">
        <v>5377</v>
      </c>
      <c r="L137" s="2869" t="s">
        <v>5378</v>
      </c>
      <c r="M137" s="2769" t="s">
        <v>5379</v>
      </c>
      <c r="N137" s="2760" t="s">
        <v>5380</v>
      </c>
      <c r="O137" s="2769" t="s">
        <v>5381</v>
      </c>
    </row>
    <row r="138" spans="1:17" ht="14.1" customHeight="1" x14ac:dyDescent="0.25">
      <c r="A138" s="7485">
        <v>32101524</v>
      </c>
      <c r="B138" s="3537" t="s">
        <v>880</v>
      </c>
      <c r="C138" s="164" t="s">
        <v>5369</v>
      </c>
      <c r="D138" s="2518" t="s">
        <v>5370</v>
      </c>
      <c r="E138" s="2796" t="s">
        <v>5371</v>
      </c>
      <c r="F138" s="2519" t="s">
        <v>5372</v>
      </c>
      <c r="G138" s="2518" t="s">
        <v>5373</v>
      </c>
      <c r="H138" s="2796" t="s">
        <v>5374</v>
      </c>
      <c r="I138" s="2552" t="s">
        <v>5375</v>
      </c>
      <c r="J138" s="2853" t="s">
        <v>5376</v>
      </c>
      <c r="K138" s="2769" t="s">
        <v>5377</v>
      </c>
      <c r="L138" s="2869" t="s">
        <v>5378</v>
      </c>
      <c r="M138" s="2769" t="s">
        <v>5379</v>
      </c>
      <c r="N138" s="2760" t="s">
        <v>5380</v>
      </c>
      <c r="O138" s="2769" t="s">
        <v>5381</v>
      </c>
    </row>
    <row r="139" spans="1:17" ht="14.1" customHeight="1" x14ac:dyDescent="0.25">
      <c r="A139" s="7485">
        <v>32101525</v>
      </c>
      <c r="B139" s="3537" t="s">
        <v>3654</v>
      </c>
      <c r="C139" s="164" t="s">
        <v>5369</v>
      </c>
      <c r="D139" s="2518" t="s">
        <v>5370</v>
      </c>
      <c r="E139" s="2796" t="s">
        <v>5371</v>
      </c>
      <c r="F139" s="2519" t="s">
        <v>5372</v>
      </c>
      <c r="G139" s="2518" t="s">
        <v>5373</v>
      </c>
      <c r="H139" s="2796" t="s">
        <v>5374</v>
      </c>
      <c r="I139" s="2552" t="s">
        <v>5375</v>
      </c>
      <c r="J139" s="2853" t="s">
        <v>5376</v>
      </c>
      <c r="K139" s="2769" t="s">
        <v>5377</v>
      </c>
      <c r="L139" s="2869" t="s">
        <v>5378</v>
      </c>
      <c r="M139" s="2769" t="s">
        <v>5379</v>
      </c>
      <c r="N139" s="2760" t="s">
        <v>5380</v>
      </c>
      <c r="O139" s="2769" t="s">
        <v>5381</v>
      </c>
    </row>
    <row r="140" spans="1:17" ht="14.1" customHeight="1" x14ac:dyDescent="0.25">
      <c r="A140" s="7485">
        <v>32101526</v>
      </c>
      <c r="B140" s="3538" t="s">
        <v>70</v>
      </c>
      <c r="C140" s="2479" t="s">
        <v>5369</v>
      </c>
      <c r="D140" s="2825" t="s">
        <v>5370</v>
      </c>
      <c r="E140" s="2477" t="s">
        <v>5371</v>
      </c>
      <c r="F140" s="2479" t="s">
        <v>5372</v>
      </c>
      <c r="G140" s="2825" t="s">
        <v>5373</v>
      </c>
      <c r="H140" s="2477" t="s">
        <v>5374</v>
      </c>
      <c r="I140" s="2484" t="s">
        <v>5375</v>
      </c>
      <c r="J140" s="2850" t="s">
        <v>5376</v>
      </c>
      <c r="K140" s="2770" t="s">
        <v>5377</v>
      </c>
      <c r="L140" s="2871" t="s">
        <v>5378</v>
      </c>
      <c r="M140" s="2770" t="s">
        <v>5379</v>
      </c>
      <c r="N140" s="2758" t="s">
        <v>5380</v>
      </c>
      <c r="O140" s="2770" t="s">
        <v>5381</v>
      </c>
    </row>
    <row r="141" spans="1:17" x14ac:dyDescent="0.25">
      <c r="B141" s="4047" t="s">
        <v>3741</v>
      </c>
      <c r="C141" s="3940"/>
      <c r="D141" s="3940"/>
      <c r="E141" s="3914"/>
    </row>
    <row r="142" spans="1:17" x14ac:dyDescent="0.25">
      <c r="B142" s="11107" t="s">
        <v>2566</v>
      </c>
      <c r="C142" s="11109" t="s">
        <v>1351</v>
      </c>
      <c r="D142" s="11110"/>
      <c r="E142" s="11111"/>
    </row>
    <row r="143" spans="1:17" ht="19.5" customHeight="1" x14ac:dyDescent="0.25">
      <c r="B143" s="11041"/>
      <c r="C143" s="4246" t="s">
        <v>1739</v>
      </c>
      <c r="D143" s="11112" t="s">
        <v>1738</v>
      </c>
      <c r="E143" s="11113"/>
    </row>
    <row r="144" spans="1:17" ht="24" customHeight="1" x14ac:dyDescent="0.25">
      <c r="B144" s="11108"/>
      <c r="C144" s="4247" t="s">
        <v>1737</v>
      </c>
      <c r="D144" s="4248" t="s">
        <v>1736</v>
      </c>
      <c r="E144" s="4249" t="s">
        <v>1735</v>
      </c>
    </row>
    <row r="145" spans="1:5" ht="14.1" customHeight="1" x14ac:dyDescent="0.25">
      <c r="A145" s="7258">
        <v>30000092</v>
      </c>
      <c r="B145" s="4250" t="s">
        <v>1734</v>
      </c>
      <c r="C145" s="4251" t="s">
        <v>5369</v>
      </c>
      <c r="D145" s="4252" t="s">
        <v>5370</v>
      </c>
      <c r="E145" s="4253" t="s">
        <v>5371</v>
      </c>
    </row>
    <row r="148" spans="1:5" x14ac:dyDescent="0.25">
      <c r="A148" s="165" t="s">
        <v>4068</v>
      </c>
    </row>
    <row r="149" spans="1:5" x14ac:dyDescent="0.25">
      <c r="A149" s="7485">
        <v>32101521</v>
      </c>
    </row>
    <row r="150" spans="1:5" x14ac:dyDescent="0.25">
      <c r="A150" s="7485">
        <v>32101522</v>
      </c>
    </row>
    <row r="151" spans="1:5" x14ac:dyDescent="0.25">
      <c r="A151" s="7485">
        <v>32101523</v>
      </c>
    </row>
    <row r="152" spans="1:5" x14ac:dyDescent="0.25">
      <c r="A152" s="7485">
        <v>32101524</v>
      </c>
    </row>
    <row r="153" spans="1:5" x14ac:dyDescent="0.25">
      <c r="A153" s="7485">
        <v>32101525</v>
      </c>
    </row>
    <row r="154" spans="1:5" x14ac:dyDescent="0.25">
      <c r="A154" s="7485">
        <v>32101526</v>
      </c>
    </row>
    <row r="172" spans="2:2" x14ac:dyDescent="0.25">
      <c r="B172" s="290"/>
    </row>
    <row r="180" spans="2:3" s="1418" customFormat="1" hidden="1" x14ac:dyDescent="0.25">
      <c r="B180" s="1418">
        <f>SUM(C17:AL17,C82:Q84,C90:V90,C125:Q125,C134:O134,C108:AC108)</f>
        <v>0</v>
      </c>
      <c r="C180" s="1418">
        <v>0</v>
      </c>
    </row>
  </sheetData>
  <dataConsolidate link="1"/>
  <mergeCells count="117">
    <mergeCell ref="U86:V87"/>
    <mergeCell ref="B6:AF6"/>
    <mergeCell ref="Z15:AA15"/>
    <mergeCell ref="AG15:AH15"/>
    <mergeCell ref="AG14:AL14"/>
    <mergeCell ref="O15:P15"/>
    <mergeCell ref="O14:T14"/>
    <mergeCell ref="C14:H14"/>
    <mergeCell ref="G15:H15"/>
    <mergeCell ref="G80:H80"/>
    <mergeCell ref="C80:D80"/>
    <mergeCell ref="C79:H79"/>
    <mergeCell ref="AI15:AJ15"/>
    <mergeCell ref="AK15:AL15"/>
    <mergeCell ref="AD14:AF14"/>
    <mergeCell ref="AD15:AD16"/>
    <mergeCell ref="U14:W14"/>
    <mergeCell ref="I14:N14"/>
    <mergeCell ref="X14:AC14"/>
    <mergeCell ref="AE15:AF15"/>
    <mergeCell ref="AB15:AC15"/>
    <mergeCell ref="E80:F80"/>
    <mergeCell ref="J80:K80"/>
    <mergeCell ref="N80:O80"/>
    <mergeCell ref="P80:Q80"/>
    <mergeCell ref="L80:M80"/>
    <mergeCell ref="L79:Q79"/>
    <mergeCell ref="I15:J15"/>
    <mergeCell ref="X15:Y15"/>
    <mergeCell ref="S15:T15"/>
    <mergeCell ref="U15:U16"/>
    <mergeCell ref="B142:B144"/>
    <mergeCell ref="C142:E142"/>
    <mergeCell ref="D143:E143"/>
    <mergeCell ref="C106:D106"/>
    <mergeCell ref="E106:F106"/>
    <mergeCell ref="Q106:R106"/>
    <mergeCell ref="M15:N15"/>
    <mergeCell ref="Q15:R15"/>
    <mergeCell ref="V15:W15"/>
    <mergeCell ref="B79:B81"/>
    <mergeCell ref="I79:K79"/>
    <mergeCell ref="B14:B16"/>
    <mergeCell ref="C15:D15"/>
    <mergeCell ref="E15:F15"/>
    <mergeCell ref="K15:L15"/>
    <mergeCell ref="P123:Q123"/>
    <mergeCell ref="B121:B124"/>
    <mergeCell ref="C123:C124"/>
    <mergeCell ref="D123:D124"/>
    <mergeCell ref="E123:E124"/>
    <mergeCell ref="F123:F124"/>
    <mergeCell ref="J123:K123"/>
    <mergeCell ref="B86:B89"/>
    <mergeCell ref="C86:K86"/>
    <mergeCell ref="C87:D87"/>
    <mergeCell ref="E87:F87"/>
    <mergeCell ref="I87:K87"/>
    <mergeCell ref="B105:B107"/>
    <mergeCell ref="N87:O87"/>
    <mergeCell ref="P87:Q87"/>
    <mergeCell ref="R87:T87"/>
    <mergeCell ref="C88:C89"/>
    <mergeCell ref="D88:D89"/>
    <mergeCell ref="E88:E89"/>
    <mergeCell ref="F88:F89"/>
    <mergeCell ref="I88:I89"/>
    <mergeCell ref="J88:K88"/>
    <mergeCell ref="N88:N89"/>
    <mergeCell ref="L86:T86"/>
    <mergeCell ref="G88:G89"/>
    <mergeCell ref="G87:H87"/>
    <mergeCell ref="L87:M87"/>
    <mergeCell ref="G122:H122"/>
    <mergeCell ref="C122:D122"/>
    <mergeCell ref="E122:F122"/>
    <mergeCell ref="Z106:AA106"/>
    <mergeCell ref="AB106:AC106"/>
    <mergeCell ref="X106:Y106"/>
    <mergeCell ref="X105:AC105"/>
    <mergeCell ref="H88:H89"/>
    <mergeCell ref="L88:L89"/>
    <mergeCell ref="M88:M89"/>
    <mergeCell ref="V88:V89"/>
    <mergeCell ref="O88:O89"/>
    <mergeCell ref="P88:P89"/>
    <mergeCell ref="Q88:Q89"/>
    <mergeCell ref="U88:U89"/>
    <mergeCell ref="R88:R89"/>
    <mergeCell ref="S88:T88"/>
    <mergeCell ref="G106:H106"/>
    <mergeCell ref="I106:J106"/>
    <mergeCell ref="U105:W105"/>
    <mergeCell ref="V106:W106"/>
    <mergeCell ref="N123:O123"/>
    <mergeCell ref="B131:B132"/>
    <mergeCell ref="C131:C133"/>
    <mergeCell ref="B133:B134"/>
    <mergeCell ref="L132:M132"/>
    <mergeCell ref="N132:O132"/>
    <mergeCell ref="C105:H105"/>
    <mergeCell ref="I105:N105"/>
    <mergeCell ref="O105:T105"/>
    <mergeCell ref="L123:M123"/>
    <mergeCell ref="L121:Q122"/>
    <mergeCell ref="D131:F132"/>
    <mergeCell ref="G131:I132"/>
    <mergeCell ref="J132:K132"/>
    <mergeCell ref="J131:O131"/>
    <mergeCell ref="G123:G124"/>
    <mergeCell ref="H123:H124"/>
    <mergeCell ref="O106:P106"/>
    <mergeCell ref="K106:L106"/>
    <mergeCell ref="M106:N106"/>
    <mergeCell ref="S106:T106"/>
    <mergeCell ref="C121:K121"/>
    <mergeCell ref="I122:K12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5F36A-A811-4FCC-988C-911BD5620DAF}">
  <sheetPr codeName="Hoja29"/>
  <dimension ref="A1:CY186"/>
  <sheetViews>
    <sheetView showGridLines="0" zoomScaleNormal="100" workbookViewId="0"/>
  </sheetViews>
  <sheetFormatPr baseColWidth="10" defaultColWidth="11.44140625" defaultRowHeight="13.8" x14ac:dyDescent="0.25"/>
  <cols>
    <col min="1" max="1" width="14.5546875" style="165" customWidth="1"/>
    <col min="2" max="2" width="57.44140625" style="165" customWidth="1"/>
    <col min="3" max="3" width="11.33203125" style="165" customWidth="1"/>
    <col min="4" max="4" width="12.88671875" style="165" customWidth="1"/>
    <col min="5" max="5" width="14.33203125" style="165" customWidth="1"/>
    <col min="6" max="6" width="14.6640625" style="165" customWidth="1"/>
    <col min="7" max="7" width="12.33203125" style="165" customWidth="1"/>
    <col min="8" max="8" width="13.33203125" style="165" customWidth="1"/>
    <col min="9" max="9" width="12" style="165" customWidth="1"/>
    <col min="10" max="10" width="11.6640625" style="165" customWidth="1"/>
    <col min="11" max="11" width="12" style="165" customWidth="1"/>
    <col min="12" max="12" width="11.6640625" style="165" customWidth="1"/>
    <col min="13" max="13" width="11.44140625" style="165"/>
    <col min="14" max="14" width="12.44140625" style="165" customWidth="1"/>
    <col min="15" max="15" width="11.44140625" style="165"/>
    <col min="16" max="16" width="12.33203125" style="165" customWidth="1"/>
    <col min="17" max="17" width="11.44140625" style="165"/>
    <col min="18" max="18" width="11.33203125" style="165" customWidth="1"/>
    <col min="19" max="19" width="11.44140625" style="165"/>
    <col min="20" max="20" width="10.33203125" style="165" customWidth="1"/>
    <col min="21" max="21" width="11.44140625" style="165"/>
    <col min="22" max="22" width="8.6640625" style="165" customWidth="1"/>
    <col min="23" max="23" width="13.44140625" style="165" customWidth="1"/>
    <col min="24" max="24" width="11.33203125" style="165" customWidth="1"/>
    <col min="25" max="25" width="12" style="165" customWidth="1"/>
    <col min="26" max="26" width="13.44140625" style="165" customWidth="1"/>
    <col min="27" max="28" width="11.44140625" style="165"/>
    <col min="29" max="29" width="12.6640625" style="165" customWidth="1"/>
    <col min="30" max="73" width="11.44140625" style="165"/>
    <col min="74" max="77" width="11.6640625" style="165" customWidth="1"/>
    <col min="78" max="96" width="11.6640625" style="1430" customWidth="1"/>
    <col min="97" max="97" width="11.6640625" style="165" customWidth="1"/>
    <col min="98" max="16384" width="11.44140625" style="165"/>
  </cols>
  <sheetData>
    <row r="1" spans="1:96" x14ac:dyDescent="0.25">
      <c r="B1" s="150" t="s">
        <v>207</v>
      </c>
    </row>
    <row r="2" spans="1:96" x14ac:dyDescent="0.25">
      <c r="B2" s="150" t="str">
        <f>CONCATENATE("COMUNA: ",NOMBRE!B2," - ","( ",NOMBRE!C2,NOMBRE!D2,NOMBRE!E2,NOMBRE!F2,NOMBRE!G2," )")</f>
        <v>COMUNA:  - (  )</v>
      </c>
    </row>
    <row r="3" spans="1:96" x14ac:dyDescent="0.25">
      <c r="B3" s="150" t="str">
        <f>CONCATENATE("ESTABLECIMIENTO/ESTRATEGIA: ",NOMBRE!B3," - ","( ",NOMBRE!C3,NOMBRE!D3,NOMBRE!E3,NOMBRE!F3,NOMBRE!G3,NOMBRE!H3," )")</f>
        <v>ESTABLECIMIENTO/ESTRATEGIA:  - (  )</v>
      </c>
    </row>
    <row r="4" spans="1:96" x14ac:dyDescent="0.25">
      <c r="B4" s="150" t="str">
        <f>CONCATENATE("MES: ",NOMBRE!B6," - ","( ",NOMBRE!C6,NOMBRE!D6," )")</f>
        <v>MES:  - (  )</v>
      </c>
    </row>
    <row r="5" spans="1:96" x14ac:dyDescent="0.25">
      <c r="B5" s="150" t="str">
        <f>CONCATENATE("AÑO: ",NOMBRE!B7)</f>
        <v>AÑO: 2023</v>
      </c>
    </row>
    <row r="7" spans="1:96" ht="19.5" customHeight="1" x14ac:dyDescent="0.25">
      <c r="C7" s="1065" t="s">
        <v>3913</v>
      </c>
      <c r="D7" s="1065"/>
      <c r="E7" s="1065"/>
      <c r="F7" s="1065"/>
      <c r="G7" s="1065"/>
      <c r="H7" s="1065"/>
      <c r="I7" s="1065"/>
      <c r="J7" s="1065"/>
      <c r="K7" s="1065"/>
      <c r="L7" s="688"/>
      <c r="M7" s="688"/>
      <c r="N7" s="688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BZ7" s="165"/>
      <c r="CA7" s="165"/>
      <c r="CB7" s="165"/>
      <c r="CC7" s="165"/>
      <c r="CD7" s="165"/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5"/>
      <c r="CP7" s="165"/>
      <c r="CQ7" s="165"/>
      <c r="CR7" s="165"/>
    </row>
    <row r="8" spans="1:96" ht="16.2" customHeight="1" x14ac:dyDescent="0.3">
      <c r="B8" s="951"/>
      <c r="C8" s="13"/>
      <c r="D8" s="140"/>
      <c r="E8" s="140"/>
      <c r="F8" s="140"/>
      <c r="G8" s="6842" t="s">
        <v>3818</v>
      </c>
      <c r="H8" s="6843"/>
      <c r="I8" s="6843"/>
      <c r="J8" s="6843"/>
      <c r="K8" s="6843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BZ8" s="165"/>
      <c r="CA8" s="165"/>
      <c r="CB8" s="165"/>
      <c r="CC8" s="165"/>
      <c r="CD8" s="165"/>
      <c r="CE8" s="165"/>
      <c r="CF8" s="165"/>
      <c r="CG8" s="165"/>
      <c r="CH8" s="165"/>
      <c r="CI8" s="165"/>
      <c r="CJ8" s="165"/>
      <c r="CK8" s="165"/>
      <c r="CL8" s="165"/>
      <c r="CM8" s="165"/>
      <c r="CN8" s="165"/>
      <c r="CO8" s="165"/>
      <c r="CP8" s="165"/>
      <c r="CQ8" s="165"/>
      <c r="CR8" s="165"/>
    </row>
    <row r="9" spans="1:96" ht="16.2" customHeight="1" x14ac:dyDescent="0.3">
      <c r="B9" s="951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BZ9" s="165"/>
      <c r="CA9" s="165"/>
      <c r="CB9" s="165"/>
      <c r="CC9" s="165"/>
      <c r="CD9" s="165"/>
      <c r="CE9" s="165"/>
      <c r="CF9" s="165"/>
      <c r="CG9" s="165"/>
      <c r="CH9" s="165"/>
      <c r="CI9" s="165"/>
      <c r="CJ9" s="165"/>
      <c r="CK9" s="165"/>
      <c r="CL9" s="165"/>
      <c r="CM9" s="165"/>
      <c r="CN9" s="165"/>
      <c r="CO9" s="165"/>
      <c r="CP9" s="165"/>
      <c r="CQ9" s="165"/>
      <c r="CR9" s="165"/>
    </row>
    <row r="10" spans="1:96" ht="16.2" customHeight="1" x14ac:dyDescent="0.25">
      <c r="B10" s="674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BZ10" s="165"/>
      <c r="CA10" s="165"/>
      <c r="CB10" s="165"/>
      <c r="CC10" s="165"/>
      <c r="CD10" s="165"/>
      <c r="CE10" s="165"/>
      <c r="CF10" s="165"/>
      <c r="CG10" s="165"/>
      <c r="CH10" s="165"/>
      <c r="CI10" s="165"/>
      <c r="CJ10" s="165"/>
      <c r="CK10" s="165"/>
      <c r="CL10" s="165"/>
      <c r="CM10" s="165"/>
      <c r="CN10" s="165"/>
      <c r="CO10" s="165"/>
      <c r="CP10" s="165"/>
      <c r="CQ10" s="165"/>
      <c r="CR10" s="165"/>
    </row>
    <row r="11" spans="1:96" ht="18.75" customHeight="1" x14ac:dyDescent="0.25">
      <c r="B11" s="4268" t="s">
        <v>3819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BZ11" s="165"/>
      <c r="CA11" s="165"/>
      <c r="CB11" s="165"/>
      <c r="CC11" s="165"/>
      <c r="CD11" s="165"/>
      <c r="CE11" s="165"/>
      <c r="CF11" s="165"/>
      <c r="CG11" s="165"/>
      <c r="CH11" s="165"/>
      <c r="CI11" s="165"/>
      <c r="CJ11" s="165"/>
      <c r="CK11" s="165"/>
      <c r="CL11" s="165"/>
      <c r="CM11" s="165"/>
      <c r="CN11" s="165"/>
      <c r="CO11" s="165"/>
      <c r="CP11" s="165"/>
      <c r="CQ11" s="165"/>
      <c r="CR11" s="165"/>
    </row>
    <row r="12" spans="1:96" ht="20.25" customHeight="1" x14ac:dyDescent="0.25">
      <c r="B12" s="72" t="s">
        <v>3820</v>
      </c>
      <c r="C12" s="72"/>
      <c r="D12" s="72"/>
      <c r="E12" s="72"/>
      <c r="F12" s="72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BZ12" s="165"/>
      <c r="CA12" s="165"/>
      <c r="CB12" s="165"/>
      <c r="CC12" s="165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65"/>
      <c r="CR12" s="165"/>
    </row>
    <row r="13" spans="1:96" ht="37.5" customHeight="1" x14ac:dyDescent="0.25">
      <c r="B13" s="11126" t="s">
        <v>1766</v>
      </c>
      <c r="C13" s="9485" t="s">
        <v>3821</v>
      </c>
      <c r="D13" s="9486"/>
      <c r="E13" s="9486"/>
      <c r="F13" s="9503"/>
      <c r="G13" s="11129" t="s">
        <v>3822</v>
      </c>
      <c r="H13" s="11129"/>
      <c r="I13" s="11129"/>
      <c r="J13" s="9485"/>
      <c r="K13" s="9485" t="s">
        <v>3823</v>
      </c>
      <c r="L13" s="9486"/>
      <c r="M13" s="9486"/>
      <c r="N13" s="9503"/>
      <c r="O13" s="9485" t="s">
        <v>3824</v>
      </c>
      <c r="P13" s="9486"/>
      <c r="Q13" s="9486"/>
      <c r="R13" s="9503"/>
      <c r="BZ13" s="165"/>
      <c r="CA13" s="165"/>
      <c r="CB13" s="165"/>
      <c r="CC13" s="165"/>
      <c r="CD13" s="165"/>
      <c r="CE13" s="165"/>
      <c r="CF13" s="165"/>
      <c r="CG13" s="165"/>
      <c r="CH13" s="165"/>
      <c r="CI13" s="165"/>
      <c r="CJ13" s="165"/>
      <c r="CK13" s="165"/>
      <c r="CL13" s="165"/>
      <c r="CM13" s="165"/>
      <c r="CN13" s="165"/>
      <c r="CO13" s="165"/>
      <c r="CP13" s="165"/>
      <c r="CQ13" s="165"/>
      <c r="CR13" s="165"/>
    </row>
    <row r="14" spans="1:96" ht="33.75" customHeight="1" x14ac:dyDescent="0.25">
      <c r="B14" s="11127"/>
      <c r="C14" s="9504" t="s">
        <v>3825</v>
      </c>
      <c r="D14" s="9505"/>
      <c r="E14" s="9504" t="s">
        <v>3826</v>
      </c>
      <c r="F14" s="9505"/>
      <c r="G14" s="11130" t="s">
        <v>3825</v>
      </c>
      <c r="H14" s="11130"/>
      <c r="I14" s="11130" t="s">
        <v>3826</v>
      </c>
      <c r="J14" s="9504"/>
      <c r="K14" s="9504" t="s">
        <v>3825</v>
      </c>
      <c r="L14" s="9505"/>
      <c r="M14" s="9504" t="s">
        <v>3826</v>
      </c>
      <c r="N14" s="9505"/>
      <c r="O14" s="9504" t="s">
        <v>3825</v>
      </c>
      <c r="P14" s="9505"/>
      <c r="Q14" s="9504" t="s">
        <v>3826</v>
      </c>
      <c r="R14" s="9505"/>
      <c r="BZ14" s="165"/>
      <c r="CA14" s="165"/>
      <c r="CB14" s="165"/>
      <c r="CC14" s="165"/>
      <c r="CD14" s="165"/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65"/>
      <c r="CR14" s="165"/>
    </row>
    <row r="15" spans="1:96" ht="27.75" customHeight="1" x14ac:dyDescent="0.25">
      <c r="B15" s="11128"/>
      <c r="C15" s="6871" t="s">
        <v>17</v>
      </c>
      <c r="D15" s="6916" t="s">
        <v>18</v>
      </c>
      <c r="E15" s="6871" t="s">
        <v>17</v>
      </c>
      <c r="F15" s="6916" t="s">
        <v>18</v>
      </c>
      <c r="G15" s="6871" t="s">
        <v>17</v>
      </c>
      <c r="H15" s="6916" t="s">
        <v>18</v>
      </c>
      <c r="I15" s="6871" t="s">
        <v>17</v>
      </c>
      <c r="J15" s="6897" t="s">
        <v>18</v>
      </c>
      <c r="K15" s="6871" t="s">
        <v>17</v>
      </c>
      <c r="L15" s="6844" t="s">
        <v>18</v>
      </c>
      <c r="M15" s="6917" t="s">
        <v>17</v>
      </c>
      <c r="N15" s="6918" t="s">
        <v>18</v>
      </c>
      <c r="O15" s="6871" t="s">
        <v>17</v>
      </c>
      <c r="P15" s="6916" t="s">
        <v>18</v>
      </c>
      <c r="Q15" s="6871" t="s">
        <v>17</v>
      </c>
      <c r="R15" s="6916" t="s">
        <v>18</v>
      </c>
      <c r="BZ15" s="165"/>
      <c r="CA15" s="165"/>
      <c r="CB15" s="165"/>
      <c r="CC15" s="165"/>
      <c r="CD15" s="165"/>
      <c r="CE15" s="165"/>
      <c r="CF15" s="165"/>
      <c r="CG15" s="165"/>
      <c r="CH15" s="165"/>
      <c r="CI15" s="165"/>
      <c r="CJ15" s="165"/>
      <c r="CK15" s="165"/>
      <c r="CL15" s="165"/>
      <c r="CM15" s="165"/>
      <c r="CN15" s="165"/>
      <c r="CO15" s="165"/>
      <c r="CP15" s="165"/>
      <c r="CQ15" s="165"/>
      <c r="CR15" s="165"/>
    </row>
    <row r="16" spans="1:96" ht="16.2" customHeight="1" x14ac:dyDescent="0.25">
      <c r="A16" s="7267"/>
      <c r="B16" s="6845" t="s">
        <v>24</v>
      </c>
      <c r="C16" s="6847">
        <f>SUM(C17:C25)</f>
        <v>0</v>
      </c>
      <c r="D16" s="6846">
        <f>SUM(D17:D25)</f>
        <v>0</v>
      </c>
      <c r="E16" s="6847">
        <f>SUM(E17:E25)</f>
        <v>0</v>
      </c>
      <c r="F16" s="6846">
        <f>SUM(F17:F25)</f>
        <v>0</v>
      </c>
      <c r="G16" s="6847">
        <f>SUM(G17:G25)</f>
        <v>0</v>
      </c>
      <c r="H16" s="6846">
        <f t="shared" ref="H16:R16" si="0">SUM(H17:H25)</f>
        <v>0</v>
      </c>
      <c r="I16" s="6847">
        <f t="shared" si="0"/>
        <v>0</v>
      </c>
      <c r="J16" s="6846">
        <f t="shared" si="0"/>
        <v>0</v>
      </c>
      <c r="K16" s="6847">
        <f t="shared" si="0"/>
        <v>0</v>
      </c>
      <c r="L16" s="6846">
        <f t="shared" si="0"/>
        <v>0</v>
      </c>
      <c r="M16" s="6872">
        <f t="shared" si="0"/>
        <v>0</v>
      </c>
      <c r="N16" s="6915">
        <f t="shared" si="0"/>
        <v>0</v>
      </c>
      <c r="O16" s="6847">
        <f>SUM(O17:O25)</f>
        <v>0</v>
      </c>
      <c r="P16" s="6846">
        <f>SUM(P17:P25)</f>
        <v>0</v>
      </c>
      <c r="Q16" s="6847">
        <f t="shared" si="0"/>
        <v>0</v>
      </c>
      <c r="R16" s="6848">
        <f t="shared" si="0"/>
        <v>0</v>
      </c>
      <c r="S16" s="6849"/>
      <c r="BZ16" s="165"/>
      <c r="CA16" s="165"/>
      <c r="CB16" s="165"/>
      <c r="CC16" s="165"/>
      <c r="CD16" s="165"/>
      <c r="CE16" s="165"/>
      <c r="CF16" s="165"/>
      <c r="CG16" s="165"/>
      <c r="CH16" s="165"/>
      <c r="CI16" s="165"/>
      <c r="CJ16" s="165"/>
      <c r="CK16" s="165"/>
      <c r="CL16" s="165"/>
      <c r="CM16" s="165"/>
      <c r="CN16" s="165"/>
      <c r="CO16" s="165"/>
      <c r="CP16" s="165"/>
      <c r="CQ16" s="165"/>
      <c r="CR16" s="165"/>
    </row>
    <row r="17" spans="1:96" ht="16.2" customHeight="1" x14ac:dyDescent="0.25">
      <c r="A17" s="7258">
        <v>30100110</v>
      </c>
      <c r="B17" s="6850" t="s">
        <v>266</v>
      </c>
      <c r="C17" s="6851" t="s">
        <v>5369</v>
      </c>
      <c r="D17" s="6852" t="s">
        <v>5370</v>
      </c>
      <c r="E17" s="6853" t="s">
        <v>5371</v>
      </c>
      <c r="F17" s="6854" t="s">
        <v>5372</v>
      </c>
      <c r="G17" s="4668" t="s">
        <v>5373</v>
      </c>
      <c r="H17" s="6855" t="s">
        <v>5374</v>
      </c>
      <c r="I17" s="2822" t="s">
        <v>5375</v>
      </c>
      <c r="J17" s="6856" t="s">
        <v>5376</v>
      </c>
      <c r="K17" s="4668" t="s">
        <v>5377</v>
      </c>
      <c r="L17" s="6855" t="s">
        <v>5378</v>
      </c>
      <c r="M17" s="6857" t="s">
        <v>5379</v>
      </c>
      <c r="N17" s="6858" t="s">
        <v>5380</v>
      </c>
      <c r="O17" s="4668" t="s">
        <v>5381</v>
      </c>
      <c r="P17" s="6855" t="s">
        <v>5382</v>
      </c>
      <c r="Q17" s="6859" t="s">
        <v>5383</v>
      </c>
      <c r="R17" s="6860" t="s">
        <v>5384</v>
      </c>
      <c r="BZ17" s="165"/>
      <c r="CA17" s="165"/>
      <c r="CB17" s="165"/>
      <c r="CC17" s="165"/>
      <c r="CD17" s="165"/>
      <c r="CE17" s="165"/>
      <c r="CF17" s="165"/>
      <c r="CG17" s="165"/>
      <c r="CH17" s="165"/>
      <c r="CI17" s="165"/>
      <c r="CJ17" s="165"/>
      <c r="CK17" s="165"/>
      <c r="CL17" s="165"/>
      <c r="CM17" s="165"/>
      <c r="CN17" s="165"/>
      <c r="CO17" s="165"/>
      <c r="CP17" s="165"/>
      <c r="CQ17" s="165"/>
      <c r="CR17" s="165"/>
    </row>
    <row r="18" spans="1:96" ht="16.2" customHeight="1" x14ac:dyDescent="0.25">
      <c r="A18" s="7258">
        <v>30100120</v>
      </c>
      <c r="B18" s="6850" t="s">
        <v>269</v>
      </c>
      <c r="C18" s="6861" t="s">
        <v>5369</v>
      </c>
      <c r="D18" s="6854" t="s">
        <v>5370</v>
      </c>
      <c r="E18" s="6862" t="s">
        <v>5371</v>
      </c>
      <c r="F18" s="6854" t="s">
        <v>5372</v>
      </c>
      <c r="G18" s="2822" t="s">
        <v>5373</v>
      </c>
      <c r="H18" s="4541" t="s">
        <v>5374</v>
      </c>
      <c r="I18" s="2822" t="s">
        <v>5375</v>
      </c>
      <c r="J18" s="6856" t="s">
        <v>5376</v>
      </c>
      <c r="K18" s="2822" t="s">
        <v>5377</v>
      </c>
      <c r="L18" s="4541" t="s">
        <v>5378</v>
      </c>
      <c r="M18" s="2852" t="s">
        <v>5379</v>
      </c>
      <c r="N18" s="2826" t="s">
        <v>5380</v>
      </c>
      <c r="O18" s="6859" t="s">
        <v>5381</v>
      </c>
      <c r="P18" s="6860" t="s">
        <v>5382</v>
      </c>
      <c r="Q18" s="6859" t="s">
        <v>5383</v>
      </c>
      <c r="R18" s="6860" t="s">
        <v>5384</v>
      </c>
      <c r="BZ18" s="165"/>
      <c r="CA18" s="165"/>
      <c r="CB18" s="165"/>
      <c r="CC18" s="165"/>
      <c r="CD18" s="165"/>
      <c r="CE18" s="165"/>
      <c r="CF18" s="165"/>
      <c r="CG18" s="165"/>
      <c r="CH18" s="165"/>
      <c r="CI18" s="165"/>
      <c r="CJ18" s="165"/>
      <c r="CK18" s="165"/>
      <c r="CL18" s="165"/>
      <c r="CM18" s="165"/>
      <c r="CN18" s="165"/>
      <c r="CO18" s="165"/>
      <c r="CP18" s="165"/>
      <c r="CQ18" s="165"/>
      <c r="CR18" s="165"/>
    </row>
    <row r="19" spans="1:96" ht="16.2" customHeight="1" x14ac:dyDescent="0.25">
      <c r="A19" s="7258">
        <v>30100130</v>
      </c>
      <c r="B19" s="6850" t="s">
        <v>272</v>
      </c>
      <c r="C19" s="4668" t="s">
        <v>5369</v>
      </c>
      <c r="D19" s="6855" t="s">
        <v>5370</v>
      </c>
      <c r="E19" s="6862" t="s">
        <v>5371</v>
      </c>
      <c r="F19" s="6854" t="s">
        <v>5372</v>
      </c>
      <c r="G19" s="4668" t="s">
        <v>5373</v>
      </c>
      <c r="H19" s="6855" t="s">
        <v>5374</v>
      </c>
      <c r="I19" s="2822" t="s">
        <v>5375</v>
      </c>
      <c r="J19" s="6856" t="s">
        <v>5376</v>
      </c>
      <c r="K19" s="4668" t="s">
        <v>5377</v>
      </c>
      <c r="L19" s="6855" t="s">
        <v>5378</v>
      </c>
      <c r="M19" s="2852" t="s">
        <v>5379</v>
      </c>
      <c r="N19" s="4541" t="s">
        <v>5380</v>
      </c>
      <c r="O19" s="4668" t="s">
        <v>5381</v>
      </c>
      <c r="P19" s="6855" t="s">
        <v>5382</v>
      </c>
      <c r="Q19" s="6859" t="s">
        <v>5383</v>
      </c>
      <c r="R19" s="6860" t="s">
        <v>5384</v>
      </c>
      <c r="BZ19" s="165"/>
      <c r="CA19" s="165"/>
      <c r="CB19" s="165"/>
      <c r="CC19" s="165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</row>
    <row r="20" spans="1:96" ht="16.2" customHeight="1" x14ac:dyDescent="0.25">
      <c r="A20" s="7258">
        <v>30100140</v>
      </c>
      <c r="B20" s="6850" t="s">
        <v>288</v>
      </c>
      <c r="C20" s="4668" t="s">
        <v>5369</v>
      </c>
      <c r="D20" s="6855" t="s">
        <v>5370</v>
      </c>
      <c r="E20" s="6862" t="s">
        <v>5371</v>
      </c>
      <c r="F20" s="6854" t="s">
        <v>5372</v>
      </c>
      <c r="G20" s="3583" t="s">
        <v>5373</v>
      </c>
      <c r="H20" s="3650" t="s">
        <v>5374</v>
      </c>
      <c r="I20" s="2822" t="s">
        <v>5375</v>
      </c>
      <c r="J20" s="6856" t="s">
        <v>5376</v>
      </c>
      <c r="K20" s="3583" t="s">
        <v>5377</v>
      </c>
      <c r="L20" s="3650" t="s">
        <v>5378</v>
      </c>
      <c r="M20" s="2852" t="s">
        <v>5379</v>
      </c>
      <c r="N20" s="4541" t="s">
        <v>5380</v>
      </c>
      <c r="O20" s="4735" t="s">
        <v>5381</v>
      </c>
      <c r="P20" s="2549" t="s">
        <v>5382</v>
      </c>
      <c r="Q20" s="6863" t="s">
        <v>5383</v>
      </c>
      <c r="R20" s="2759" t="s">
        <v>5384</v>
      </c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</row>
    <row r="21" spans="1:96" ht="16.2" customHeight="1" x14ac:dyDescent="0.25">
      <c r="A21" s="7635">
        <v>32101679</v>
      </c>
      <c r="B21" s="6850" t="s">
        <v>3827</v>
      </c>
      <c r="C21" s="6861" t="s">
        <v>5369</v>
      </c>
      <c r="D21" s="6854" t="s">
        <v>5370</v>
      </c>
      <c r="E21" s="6862" t="s">
        <v>5371</v>
      </c>
      <c r="F21" s="6854" t="s">
        <v>5372</v>
      </c>
      <c r="G21" s="3297" t="s">
        <v>5373</v>
      </c>
      <c r="H21" s="3238" t="s">
        <v>5374</v>
      </c>
      <c r="I21" s="2822" t="s">
        <v>5375</v>
      </c>
      <c r="J21" s="6856" t="s">
        <v>5376</v>
      </c>
      <c r="K21" s="3297" t="s">
        <v>5377</v>
      </c>
      <c r="L21" s="3238" t="s">
        <v>5378</v>
      </c>
      <c r="M21" s="2823" t="s">
        <v>5379</v>
      </c>
      <c r="N21" s="4541" t="s">
        <v>5380</v>
      </c>
      <c r="O21" s="6859" t="s">
        <v>5381</v>
      </c>
      <c r="P21" s="6860" t="s">
        <v>5382</v>
      </c>
      <c r="Q21" s="6863" t="s">
        <v>5383</v>
      </c>
      <c r="R21" s="2759" t="s">
        <v>5384</v>
      </c>
      <c r="BZ21" s="165"/>
      <c r="CA21" s="165"/>
      <c r="CB21" s="165"/>
      <c r="CC21" s="165"/>
      <c r="CD21" s="165"/>
      <c r="CE21" s="165"/>
      <c r="CF21" s="165"/>
      <c r="CG21" s="165"/>
      <c r="CH21" s="165"/>
      <c r="CI21" s="165"/>
      <c r="CJ21" s="165"/>
      <c r="CK21" s="165"/>
      <c r="CL21" s="165"/>
      <c r="CM21" s="165"/>
      <c r="CN21" s="165"/>
      <c r="CO21" s="165"/>
      <c r="CP21" s="165"/>
      <c r="CQ21" s="165"/>
      <c r="CR21" s="165"/>
    </row>
    <row r="22" spans="1:96" ht="16.2" customHeight="1" x14ac:dyDescent="0.25">
      <c r="A22" s="7635">
        <v>32101680</v>
      </c>
      <c r="B22" s="6850" t="s">
        <v>3828</v>
      </c>
      <c r="C22" s="4668" t="s">
        <v>5369</v>
      </c>
      <c r="D22" s="6855" t="s">
        <v>5370</v>
      </c>
      <c r="E22" s="6862" t="s">
        <v>5371</v>
      </c>
      <c r="F22" s="6854" t="s">
        <v>5372</v>
      </c>
      <c r="G22" s="3583" t="s">
        <v>5373</v>
      </c>
      <c r="H22" s="3650" t="s">
        <v>5374</v>
      </c>
      <c r="I22" s="2822" t="s">
        <v>5375</v>
      </c>
      <c r="J22" s="6856" t="s">
        <v>5376</v>
      </c>
      <c r="K22" s="3583" t="s">
        <v>5377</v>
      </c>
      <c r="L22" s="3650" t="s">
        <v>5378</v>
      </c>
      <c r="M22" s="2852" t="s">
        <v>5379</v>
      </c>
      <c r="N22" s="4541" t="s">
        <v>5380</v>
      </c>
      <c r="O22" s="4735" t="s">
        <v>5381</v>
      </c>
      <c r="P22" s="2549" t="s">
        <v>5382</v>
      </c>
      <c r="Q22" s="6863" t="s">
        <v>5383</v>
      </c>
      <c r="R22" s="2759" t="s">
        <v>5384</v>
      </c>
      <c r="BZ22" s="165"/>
      <c r="CA22" s="165"/>
      <c r="CB22" s="165"/>
      <c r="CC22" s="165"/>
      <c r="CD22" s="165"/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65"/>
      <c r="CR22" s="165"/>
    </row>
    <row r="23" spans="1:96" ht="16.2" customHeight="1" x14ac:dyDescent="0.25">
      <c r="A23" s="7635">
        <v>32101681</v>
      </c>
      <c r="B23" s="6864" t="s">
        <v>3829</v>
      </c>
      <c r="C23" s="4668" t="s">
        <v>5369</v>
      </c>
      <c r="D23" s="6855" t="s">
        <v>5370</v>
      </c>
      <c r="E23" s="6862" t="s">
        <v>5371</v>
      </c>
      <c r="F23" s="6854" t="s">
        <v>5372</v>
      </c>
      <c r="G23" s="3583" t="s">
        <v>5373</v>
      </c>
      <c r="H23" s="3650" t="s">
        <v>5374</v>
      </c>
      <c r="I23" s="2822" t="s">
        <v>5375</v>
      </c>
      <c r="J23" s="6856" t="s">
        <v>5376</v>
      </c>
      <c r="K23" s="3583" t="s">
        <v>5377</v>
      </c>
      <c r="L23" s="3650" t="s">
        <v>5378</v>
      </c>
      <c r="M23" s="2852" t="s">
        <v>5379</v>
      </c>
      <c r="N23" s="2826" t="s">
        <v>5380</v>
      </c>
      <c r="O23" s="4735" t="s">
        <v>5381</v>
      </c>
      <c r="P23" s="2549" t="s">
        <v>5382</v>
      </c>
      <c r="Q23" s="6863" t="s">
        <v>5383</v>
      </c>
      <c r="R23" s="2759" t="s">
        <v>5384</v>
      </c>
      <c r="BZ23" s="165"/>
      <c r="CA23" s="165"/>
      <c r="CB23" s="165"/>
      <c r="CC23" s="165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</row>
    <row r="24" spans="1:96" ht="16.2" customHeight="1" x14ac:dyDescent="0.25">
      <c r="A24" s="7635">
        <v>32101682</v>
      </c>
      <c r="B24" s="6864" t="s">
        <v>3830</v>
      </c>
      <c r="C24" s="6861" t="s">
        <v>5369</v>
      </c>
      <c r="D24" s="6854" t="s">
        <v>5370</v>
      </c>
      <c r="E24" s="6862" t="s">
        <v>5371</v>
      </c>
      <c r="F24" s="6854" t="s">
        <v>5372</v>
      </c>
      <c r="G24" s="3185" t="s">
        <v>5373</v>
      </c>
      <c r="H24" s="2537" t="s">
        <v>5374</v>
      </c>
      <c r="I24" s="3185" t="s">
        <v>5375</v>
      </c>
      <c r="J24" s="3229" t="s">
        <v>5376</v>
      </c>
      <c r="K24" s="3185" t="s">
        <v>5377</v>
      </c>
      <c r="L24" s="2537" t="s">
        <v>5378</v>
      </c>
      <c r="M24" s="2823" t="s">
        <v>5379</v>
      </c>
      <c r="N24" s="4541" t="s">
        <v>5380</v>
      </c>
      <c r="O24" s="6863" t="s">
        <v>5381</v>
      </c>
      <c r="P24" s="2759" t="s">
        <v>5382</v>
      </c>
      <c r="Q24" s="6863" t="s">
        <v>5383</v>
      </c>
      <c r="R24" s="2759" t="s">
        <v>5384</v>
      </c>
      <c r="BZ24" s="165"/>
      <c r="CA24" s="165"/>
      <c r="CB24" s="165"/>
      <c r="CC24" s="165"/>
      <c r="CD24" s="165"/>
      <c r="CE24" s="165"/>
      <c r="CF24" s="165"/>
      <c r="CG24" s="165"/>
      <c r="CH24" s="165"/>
      <c r="CI24" s="165"/>
      <c r="CJ24" s="165"/>
      <c r="CK24" s="165"/>
      <c r="CL24" s="165"/>
      <c r="CM24" s="165"/>
      <c r="CN24" s="165"/>
      <c r="CO24" s="165"/>
      <c r="CP24" s="165"/>
      <c r="CQ24" s="165"/>
      <c r="CR24" s="165"/>
    </row>
    <row r="25" spans="1:96" ht="16.2" customHeight="1" x14ac:dyDescent="0.25">
      <c r="A25" s="7635">
        <v>32101683</v>
      </c>
      <c r="B25" s="6865" t="s">
        <v>3831</v>
      </c>
      <c r="C25" s="6866" t="s">
        <v>5369</v>
      </c>
      <c r="D25" s="6867" t="s">
        <v>5370</v>
      </c>
      <c r="E25" s="6866" t="s">
        <v>5371</v>
      </c>
      <c r="F25" s="6867" t="s">
        <v>5372</v>
      </c>
      <c r="G25" s="3158" t="s">
        <v>5373</v>
      </c>
      <c r="H25" s="2821" t="s">
        <v>5374</v>
      </c>
      <c r="I25" s="3158" t="s">
        <v>5375</v>
      </c>
      <c r="J25" s="2665" t="s">
        <v>5376</v>
      </c>
      <c r="K25" s="3158" t="s">
        <v>5377</v>
      </c>
      <c r="L25" s="2821" t="s">
        <v>5378</v>
      </c>
      <c r="M25" s="2477" t="s">
        <v>5379</v>
      </c>
      <c r="N25" s="3159" t="s">
        <v>5380</v>
      </c>
      <c r="O25" s="6868" t="s">
        <v>5381</v>
      </c>
      <c r="P25" s="2849" t="s">
        <v>5382</v>
      </c>
      <c r="Q25" s="6868" t="s">
        <v>5383</v>
      </c>
      <c r="R25" s="2849" t="s">
        <v>5384</v>
      </c>
      <c r="BZ25" s="165"/>
      <c r="CA25" s="165"/>
      <c r="CB25" s="165"/>
      <c r="CC25" s="165"/>
      <c r="CD25" s="165"/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65"/>
      <c r="CR25" s="165"/>
    </row>
    <row r="26" spans="1:96" ht="21" customHeight="1" x14ac:dyDescent="0.25">
      <c r="B26" s="11131" t="s">
        <v>3832</v>
      </c>
      <c r="C26" s="11131"/>
      <c r="D26" s="11131"/>
      <c r="E26" s="11131"/>
      <c r="F26" s="11131"/>
      <c r="G26" s="11131"/>
      <c r="H26" s="692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BZ26" s="165"/>
      <c r="CA26" s="165"/>
      <c r="CB26" s="165"/>
      <c r="CC26" s="165"/>
      <c r="CD26" s="165"/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65"/>
      <c r="CR26" s="165"/>
    </row>
    <row r="27" spans="1:96" ht="37.5" customHeight="1" x14ac:dyDescent="0.25">
      <c r="B27" s="11132" t="s">
        <v>1766</v>
      </c>
      <c r="C27" s="11129" t="s">
        <v>3833</v>
      </c>
      <c r="D27" s="11129"/>
      <c r="E27" s="11129"/>
      <c r="F27" s="11129"/>
      <c r="G27" s="11129" t="s">
        <v>3834</v>
      </c>
      <c r="H27" s="11129"/>
      <c r="I27" s="11129"/>
      <c r="J27" s="11129"/>
      <c r="K27" s="11129" t="s">
        <v>3835</v>
      </c>
      <c r="L27" s="11129"/>
      <c r="M27" s="11129"/>
      <c r="N27" s="11129"/>
      <c r="O27" s="9485" t="s">
        <v>3836</v>
      </c>
      <c r="P27" s="11135"/>
      <c r="Q27" s="11135"/>
      <c r="R27" s="9503"/>
      <c r="BZ27" s="165"/>
      <c r="CA27" s="165"/>
      <c r="CB27" s="165"/>
      <c r="CC27" s="165"/>
      <c r="CD27" s="165"/>
      <c r="CE27" s="165"/>
      <c r="CF27" s="165"/>
      <c r="CG27" s="165"/>
      <c r="CH27" s="165"/>
      <c r="CI27" s="165"/>
      <c r="CJ27" s="165"/>
      <c r="CK27" s="165"/>
      <c r="CL27" s="165"/>
      <c r="CM27" s="165"/>
      <c r="CN27" s="165"/>
      <c r="CO27" s="165"/>
      <c r="CP27" s="165"/>
      <c r="CQ27" s="165"/>
      <c r="CR27" s="165"/>
    </row>
    <row r="28" spans="1:96" ht="33.75" customHeight="1" x14ac:dyDescent="0.25">
      <c r="B28" s="11133"/>
      <c r="C28" s="11130" t="s">
        <v>3825</v>
      </c>
      <c r="D28" s="11130"/>
      <c r="E28" s="11130" t="s">
        <v>3826</v>
      </c>
      <c r="F28" s="11130"/>
      <c r="G28" s="9504" t="s">
        <v>3825</v>
      </c>
      <c r="H28" s="9505"/>
      <c r="I28" s="9504" t="s">
        <v>3826</v>
      </c>
      <c r="J28" s="9505"/>
      <c r="K28" s="11130" t="s">
        <v>3825</v>
      </c>
      <c r="L28" s="11130"/>
      <c r="M28" s="11130" t="s">
        <v>3826</v>
      </c>
      <c r="N28" s="11130"/>
      <c r="O28" s="9504" t="s">
        <v>3825</v>
      </c>
      <c r="P28" s="9505"/>
      <c r="Q28" s="9504" t="s">
        <v>3826</v>
      </c>
      <c r="R28" s="9505"/>
      <c r="BZ28" s="165"/>
      <c r="CA28" s="165"/>
      <c r="CB28" s="165"/>
      <c r="CC28" s="165"/>
      <c r="CD28" s="165"/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65"/>
      <c r="CR28" s="165"/>
    </row>
    <row r="29" spans="1:96" ht="27.75" customHeight="1" x14ac:dyDescent="0.25">
      <c r="B29" s="11134"/>
      <c r="C29" s="6871" t="s">
        <v>17</v>
      </c>
      <c r="D29" s="6916" t="s">
        <v>18</v>
      </c>
      <c r="E29" s="6871" t="s">
        <v>17</v>
      </c>
      <c r="F29" s="6916" t="s">
        <v>18</v>
      </c>
      <c r="G29" s="6871" t="s">
        <v>17</v>
      </c>
      <c r="H29" s="6916" t="s">
        <v>18</v>
      </c>
      <c r="I29" s="6871" t="s">
        <v>17</v>
      </c>
      <c r="J29" s="6916" t="s">
        <v>18</v>
      </c>
      <c r="K29" s="6871" t="s">
        <v>17</v>
      </c>
      <c r="L29" s="6916" t="s">
        <v>18</v>
      </c>
      <c r="M29" s="6871" t="s">
        <v>17</v>
      </c>
      <c r="N29" s="6916" t="s">
        <v>18</v>
      </c>
      <c r="O29" s="6871" t="s">
        <v>17</v>
      </c>
      <c r="P29" s="6916" t="s">
        <v>18</v>
      </c>
      <c r="Q29" s="6871" t="s">
        <v>17</v>
      </c>
      <c r="R29" s="6916" t="s">
        <v>18</v>
      </c>
      <c r="BZ29" s="165"/>
      <c r="CA29" s="165"/>
      <c r="CB29" s="165"/>
      <c r="CC29" s="165"/>
      <c r="CD29" s="165"/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65"/>
      <c r="CR29" s="165"/>
    </row>
    <row r="30" spans="1:96" ht="16.2" customHeight="1" x14ac:dyDescent="0.25">
      <c r="A30" s="7267"/>
      <c r="B30" s="6845" t="s">
        <v>24</v>
      </c>
      <c r="C30" s="6872" t="e">
        <f>SUM(C31+C34+C36+C37+C38)</f>
        <v>#VALUE!</v>
      </c>
      <c r="D30" s="6921" t="e">
        <f>SUM(D31+D34+D36+D37+D38)</f>
        <v>#VALUE!</v>
      </c>
      <c r="E30" s="6872">
        <f>SUM(E31:E38)</f>
        <v>0</v>
      </c>
      <c r="F30" s="6921">
        <f>SUM(F31:F38)</f>
        <v>0</v>
      </c>
      <c r="G30" s="6872" t="e">
        <f>SUM(G31+G34+G36+G37+G38)</f>
        <v>#VALUE!</v>
      </c>
      <c r="H30" s="6872" t="e">
        <f>SUM(H31+H34+H36+H37+H38)</f>
        <v>#VALUE!</v>
      </c>
      <c r="I30" s="6872">
        <f>SUM(I31:I38)</f>
        <v>0</v>
      </c>
      <c r="J30" s="6872">
        <f>SUM(J31:J38)</f>
        <v>0</v>
      </c>
      <c r="K30" s="6872" t="e">
        <f>SUM(K31+K34+K36+K37+K38)</f>
        <v>#VALUE!</v>
      </c>
      <c r="L30" s="6872" t="e">
        <f>SUM(L31+L34+L36+L37+L38)</f>
        <v>#VALUE!</v>
      </c>
      <c r="M30" s="6872">
        <f>SUM(M31:M38)</f>
        <v>0</v>
      </c>
      <c r="N30" s="6872">
        <f>SUM(N31:N38)</f>
        <v>0</v>
      </c>
      <c r="O30" s="6872" t="e">
        <f>SUM(O31+O34+O36+O37+O38)</f>
        <v>#VALUE!</v>
      </c>
      <c r="P30" s="6872" t="e">
        <f>SUM(P31+P34+P36+P37+P38)</f>
        <v>#VALUE!</v>
      </c>
      <c r="Q30" s="6872">
        <f>SUM(Q31:Q38)</f>
        <v>0</v>
      </c>
      <c r="R30" s="6873">
        <f>SUM(R31:R38)</f>
        <v>0</v>
      </c>
      <c r="BZ30" s="165"/>
      <c r="CA30" s="165"/>
      <c r="CB30" s="165"/>
      <c r="CC30" s="165"/>
      <c r="CD30" s="165"/>
      <c r="CE30" s="165"/>
      <c r="CF30" s="165"/>
      <c r="CG30" s="165"/>
      <c r="CH30" s="165"/>
      <c r="CI30" s="165"/>
      <c r="CJ30" s="165"/>
      <c r="CK30" s="165"/>
      <c r="CL30" s="165"/>
      <c r="CM30" s="165"/>
      <c r="CN30" s="165"/>
      <c r="CO30" s="165"/>
      <c r="CP30" s="165"/>
      <c r="CQ30" s="165"/>
      <c r="CR30" s="165"/>
    </row>
    <row r="31" spans="1:96" s="290" customFormat="1" ht="16.2" customHeight="1" x14ac:dyDescent="0.25">
      <c r="A31" s="7635">
        <v>32101684</v>
      </c>
      <c r="B31" s="6850" t="s">
        <v>269</v>
      </c>
      <c r="C31" s="6874" t="s">
        <v>5369</v>
      </c>
      <c r="D31" s="6875" t="s">
        <v>5370</v>
      </c>
      <c r="E31" s="6874" t="s">
        <v>5371</v>
      </c>
      <c r="F31" s="6875" t="s">
        <v>5372</v>
      </c>
      <c r="G31" s="6876" t="s">
        <v>5373</v>
      </c>
      <c r="H31" s="6858" t="s">
        <v>5374</v>
      </c>
      <c r="I31" s="6876" t="s">
        <v>5375</v>
      </c>
      <c r="J31" s="6858" t="s">
        <v>5376</v>
      </c>
      <c r="K31" s="6876" t="s">
        <v>5377</v>
      </c>
      <c r="L31" s="6858" t="s">
        <v>5378</v>
      </c>
      <c r="M31" s="6876" t="s">
        <v>5379</v>
      </c>
      <c r="N31" s="6858" t="s">
        <v>5380</v>
      </c>
      <c r="O31" s="6877" t="s">
        <v>5381</v>
      </c>
      <c r="P31" s="6878" t="s">
        <v>5382</v>
      </c>
      <c r="Q31" s="6877" t="s">
        <v>5383</v>
      </c>
      <c r="R31" s="6878" t="s">
        <v>5384</v>
      </c>
    </row>
    <row r="32" spans="1:96" ht="16.2" customHeight="1" x14ac:dyDescent="0.25">
      <c r="A32" s="7635">
        <v>32101685</v>
      </c>
      <c r="B32" s="6850" t="s">
        <v>3837</v>
      </c>
      <c r="C32" s="4668" t="s">
        <v>5369</v>
      </c>
      <c r="D32" s="6855" t="s">
        <v>5370</v>
      </c>
      <c r="E32" s="6879" t="s">
        <v>5371</v>
      </c>
      <c r="F32" s="6880" t="s">
        <v>5372</v>
      </c>
      <c r="G32" s="4668" t="s">
        <v>5373</v>
      </c>
      <c r="H32" s="6855" t="s">
        <v>5374</v>
      </c>
      <c r="I32" s="2822" t="s">
        <v>5375</v>
      </c>
      <c r="J32" s="4541" t="s">
        <v>5376</v>
      </c>
      <c r="K32" s="4668" t="s">
        <v>5377</v>
      </c>
      <c r="L32" s="6855" t="s">
        <v>5378</v>
      </c>
      <c r="M32" s="2822" t="s">
        <v>5379</v>
      </c>
      <c r="N32" s="4541" t="s">
        <v>5380</v>
      </c>
      <c r="O32" s="4668" t="s">
        <v>5381</v>
      </c>
      <c r="P32" s="6855" t="s">
        <v>5382</v>
      </c>
      <c r="Q32" s="6859" t="s">
        <v>5383</v>
      </c>
      <c r="R32" s="6860" t="s">
        <v>5384</v>
      </c>
      <c r="S32" s="214"/>
      <c r="T32" s="214"/>
      <c r="U32" s="214"/>
      <c r="BZ32" s="165"/>
      <c r="CA32" s="165"/>
      <c r="CB32" s="165"/>
      <c r="CC32" s="165"/>
      <c r="CD32" s="165"/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65"/>
      <c r="CR32" s="165"/>
    </row>
    <row r="33" spans="1:103" ht="16.2" customHeight="1" x14ac:dyDescent="0.25">
      <c r="A33" s="7635">
        <v>32101686</v>
      </c>
      <c r="B33" s="6850" t="s">
        <v>3827</v>
      </c>
      <c r="C33" s="4668" t="s">
        <v>5369</v>
      </c>
      <c r="D33" s="6855" t="s">
        <v>5370</v>
      </c>
      <c r="E33" s="6879" t="s">
        <v>5371</v>
      </c>
      <c r="F33" s="6880" t="s">
        <v>5372</v>
      </c>
      <c r="G33" s="4668" t="s">
        <v>5373</v>
      </c>
      <c r="H33" s="6855" t="s">
        <v>5374</v>
      </c>
      <c r="I33" s="2822" t="s">
        <v>5375</v>
      </c>
      <c r="J33" s="4541" t="s">
        <v>5376</v>
      </c>
      <c r="K33" s="4668" t="s">
        <v>5377</v>
      </c>
      <c r="L33" s="6855" t="s">
        <v>5378</v>
      </c>
      <c r="M33" s="2822" t="s">
        <v>5379</v>
      </c>
      <c r="N33" s="4541" t="s">
        <v>5380</v>
      </c>
      <c r="O33" s="4668" t="s">
        <v>5381</v>
      </c>
      <c r="P33" s="6855" t="s">
        <v>5382</v>
      </c>
      <c r="Q33" s="6859" t="s">
        <v>5383</v>
      </c>
      <c r="R33" s="6860" t="s">
        <v>5384</v>
      </c>
      <c r="S33" s="214"/>
      <c r="T33" s="214"/>
      <c r="U33" s="214"/>
      <c r="BZ33" s="165"/>
      <c r="CA33" s="165"/>
      <c r="CB33" s="165"/>
      <c r="CC33" s="165"/>
      <c r="CD33" s="165"/>
      <c r="CE33" s="165"/>
      <c r="CF33" s="165"/>
      <c r="CG33" s="165"/>
      <c r="CH33" s="165"/>
      <c r="CI33" s="165"/>
      <c r="CJ33" s="165"/>
      <c r="CK33" s="165"/>
      <c r="CL33" s="165"/>
      <c r="CM33" s="165"/>
      <c r="CN33" s="165"/>
      <c r="CO33" s="165"/>
      <c r="CP33" s="165"/>
      <c r="CQ33" s="165"/>
      <c r="CR33" s="165"/>
    </row>
    <row r="34" spans="1:103" ht="16.2" customHeight="1" x14ac:dyDescent="0.25">
      <c r="A34" s="7635">
        <v>32101687</v>
      </c>
      <c r="B34" s="6850" t="s">
        <v>3914</v>
      </c>
      <c r="C34" s="6879" t="s">
        <v>5369</v>
      </c>
      <c r="D34" s="6880" t="s">
        <v>5370</v>
      </c>
      <c r="E34" s="6879" t="s">
        <v>5371</v>
      </c>
      <c r="F34" s="6880" t="s">
        <v>5372</v>
      </c>
      <c r="G34" s="2822" t="s">
        <v>5373</v>
      </c>
      <c r="H34" s="4541" t="s">
        <v>5374</v>
      </c>
      <c r="I34" s="2822" t="s">
        <v>5375</v>
      </c>
      <c r="J34" s="4541" t="s">
        <v>5376</v>
      </c>
      <c r="K34" s="2822" t="s">
        <v>5377</v>
      </c>
      <c r="L34" s="4541" t="s">
        <v>5378</v>
      </c>
      <c r="M34" s="2822" t="s">
        <v>5379</v>
      </c>
      <c r="N34" s="4541" t="s">
        <v>5380</v>
      </c>
      <c r="O34" s="6859" t="s">
        <v>5381</v>
      </c>
      <c r="P34" s="6860" t="s">
        <v>5382</v>
      </c>
      <c r="Q34" s="6859" t="s">
        <v>5383</v>
      </c>
      <c r="R34" s="6860" t="s">
        <v>5384</v>
      </c>
      <c r="S34" s="214"/>
      <c r="T34" s="214"/>
      <c r="U34" s="214"/>
      <c r="BZ34" s="165"/>
      <c r="CA34" s="165"/>
      <c r="CB34" s="165"/>
      <c r="CC34" s="165"/>
      <c r="CD34" s="165"/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65"/>
      <c r="CR34" s="165"/>
    </row>
    <row r="35" spans="1:103" ht="16.2" customHeight="1" x14ac:dyDescent="0.25">
      <c r="A35" s="7635">
        <v>32101688</v>
      </c>
      <c r="B35" s="6850" t="s">
        <v>110</v>
      </c>
      <c r="C35" s="4668" t="s">
        <v>5369</v>
      </c>
      <c r="D35" s="6855" t="s">
        <v>5370</v>
      </c>
      <c r="E35" s="6879" t="s">
        <v>5371</v>
      </c>
      <c r="F35" s="6880" t="s">
        <v>5372</v>
      </c>
      <c r="G35" s="4668" t="s">
        <v>5373</v>
      </c>
      <c r="H35" s="6855" t="s">
        <v>5374</v>
      </c>
      <c r="I35" s="2822" t="s">
        <v>5375</v>
      </c>
      <c r="J35" s="4541" t="s">
        <v>5376</v>
      </c>
      <c r="K35" s="4668" t="s">
        <v>5377</v>
      </c>
      <c r="L35" s="6855" t="s">
        <v>5378</v>
      </c>
      <c r="M35" s="2822" t="s">
        <v>5379</v>
      </c>
      <c r="N35" s="4541" t="s">
        <v>5380</v>
      </c>
      <c r="O35" s="4668" t="s">
        <v>5381</v>
      </c>
      <c r="P35" s="6855" t="s">
        <v>5382</v>
      </c>
      <c r="Q35" s="6859" t="s">
        <v>5383</v>
      </c>
      <c r="R35" s="6860" t="s">
        <v>5384</v>
      </c>
      <c r="S35" s="214"/>
      <c r="T35" s="214"/>
      <c r="U35" s="214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</row>
    <row r="36" spans="1:103" ht="16.2" customHeight="1" x14ac:dyDescent="0.25">
      <c r="A36" s="7635">
        <v>32101689</v>
      </c>
      <c r="B36" s="6850" t="s">
        <v>3838</v>
      </c>
      <c r="C36" s="6879" t="s">
        <v>5369</v>
      </c>
      <c r="D36" s="6880" t="s">
        <v>5370</v>
      </c>
      <c r="E36" s="6879" t="s">
        <v>5371</v>
      </c>
      <c r="F36" s="6880" t="s">
        <v>5372</v>
      </c>
      <c r="G36" s="3297" t="s">
        <v>5373</v>
      </c>
      <c r="H36" s="3238" t="s">
        <v>5374</v>
      </c>
      <c r="I36" s="3297" t="s">
        <v>5375</v>
      </c>
      <c r="J36" s="3238" t="s">
        <v>5376</v>
      </c>
      <c r="K36" s="3297" t="s">
        <v>5377</v>
      </c>
      <c r="L36" s="3238" t="s">
        <v>5378</v>
      </c>
      <c r="M36" s="3297" t="s">
        <v>5379</v>
      </c>
      <c r="N36" s="3238" t="s">
        <v>5380</v>
      </c>
      <c r="O36" s="6863" t="s">
        <v>5381</v>
      </c>
      <c r="P36" s="6860" t="s">
        <v>5382</v>
      </c>
      <c r="Q36" s="6859" t="s">
        <v>5383</v>
      </c>
      <c r="R36" s="2759" t="s">
        <v>5384</v>
      </c>
      <c r="S36" s="214"/>
      <c r="T36" s="214"/>
      <c r="U36" s="214"/>
      <c r="BZ36" s="165"/>
      <c r="CA36" s="165"/>
      <c r="CB36" s="165"/>
      <c r="CC36" s="165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</row>
    <row r="37" spans="1:103" ht="16.2" customHeight="1" x14ac:dyDescent="0.25">
      <c r="A37" s="7635">
        <v>32101690</v>
      </c>
      <c r="B37" s="6850" t="s">
        <v>3831</v>
      </c>
      <c r="C37" s="6879" t="s">
        <v>5369</v>
      </c>
      <c r="D37" s="6880" t="s">
        <v>5370</v>
      </c>
      <c r="E37" s="6879" t="s">
        <v>5371</v>
      </c>
      <c r="F37" s="6880" t="s">
        <v>5372</v>
      </c>
      <c r="G37" s="3185" t="s">
        <v>5373</v>
      </c>
      <c r="H37" s="2537" t="s">
        <v>5374</v>
      </c>
      <c r="I37" s="3185" t="s">
        <v>5375</v>
      </c>
      <c r="J37" s="2537" t="s">
        <v>5376</v>
      </c>
      <c r="K37" s="3185" t="s">
        <v>5377</v>
      </c>
      <c r="L37" s="2537" t="s">
        <v>5378</v>
      </c>
      <c r="M37" s="3185" t="s">
        <v>5379</v>
      </c>
      <c r="N37" s="2537" t="s">
        <v>5380</v>
      </c>
      <c r="O37" s="6863" t="s">
        <v>5381</v>
      </c>
      <c r="P37" s="6860" t="s">
        <v>5382</v>
      </c>
      <c r="Q37" s="6881" t="s">
        <v>5383</v>
      </c>
      <c r="R37" s="6860" t="s">
        <v>5384</v>
      </c>
      <c r="S37" s="214"/>
      <c r="T37" s="214"/>
      <c r="U37" s="214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</row>
    <row r="38" spans="1:103" ht="16.2" customHeight="1" x14ac:dyDescent="0.25">
      <c r="A38" s="7635">
        <v>32101691</v>
      </c>
      <c r="B38" s="6865" t="s">
        <v>3839</v>
      </c>
      <c r="C38" s="6882" t="s">
        <v>5369</v>
      </c>
      <c r="D38" s="6883" t="s">
        <v>5370</v>
      </c>
      <c r="E38" s="6882" t="s">
        <v>5371</v>
      </c>
      <c r="F38" s="6883" t="s">
        <v>5372</v>
      </c>
      <c r="G38" s="3158" t="s">
        <v>5373</v>
      </c>
      <c r="H38" s="2821" t="s">
        <v>5374</v>
      </c>
      <c r="I38" s="3158" t="s">
        <v>5375</v>
      </c>
      <c r="J38" s="2821" t="s">
        <v>5376</v>
      </c>
      <c r="K38" s="3158" t="s">
        <v>5377</v>
      </c>
      <c r="L38" s="2821" t="s">
        <v>5378</v>
      </c>
      <c r="M38" s="3158" t="s">
        <v>5379</v>
      </c>
      <c r="N38" s="2821" t="s">
        <v>5380</v>
      </c>
      <c r="O38" s="6868" t="s">
        <v>5381</v>
      </c>
      <c r="P38" s="6922" t="s">
        <v>5382</v>
      </c>
      <c r="Q38" s="6868" t="s">
        <v>5383</v>
      </c>
      <c r="R38" s="6922" t="s">
        <v>5384</v>
      </c>
      <c r="S38" s="214"/>
      <c r="T38" s="214"/>
      <c r="U38" s="214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</row>
    <row r="39" spans="1:103" ht="24.45" customHeight="1" x14ac:dyDescent="0.25">
      <c r="B39" s="751" t="s">
        <v>3840</v>
      </c>
      <c r="C39" s="153"/>
      <c r="D39" s="153"/>
      <c r="E39" s="153"/>
      <c r="F39" s="153"/>
      <c r="G39" s="140"/>
      <c r="H39" s="140"/>
      <c r="I39" s="140"/>
      <c r="J39" s="14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0"/>
      <c r="AA39" s="190"/>
      <c r="AB39" s="190"/>
      <c r="AC39" s="190"/>
      <c r="BZ39" s="165"/>
      <c r="CA39" s="165"/>
      <c r="CB39" s="165"/>
      <c r="CC39" s="165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</row>
    <row r="40" spans="1:103" ht="30" customHeight="1" x14ac:dyDescent="0.25">
      <c r="B40" s="11136" t="s">
        <v>3841</v>
      </c>
      <c r="C40" s="11129" t="s">
        <v>3842</v>
      </c>
      <c r="D40" s="11129"/>
      <c r="E40" s="11129"/>
      <c r="F40" s="11129"/>
      <c r="G40" s="11129" t="s">
        <v>3843</v>
      </c>
      <c r="H40" s="11129"/>
      <c r="I40" s="11129"/>
      <c r="J40" s="11129"/>
      <c r="K40" s="11129" t="s">
        <v>3844</v>
      </c>
      <c r="L40" s="11129"/>
      <c r="M40" s="11129"/>
      <c r="N40" s="9485"/>
      <c r="O40" s="11129" t="s">
        <v>3845</v>
      </c>
      <c r="P40" s="11129"/>
      <c r="Q40" s="11129"/>
      <c r="R40" s="11129"/>
      <c r="S40" s="9503" t="s">
        <v>3846</v>
      </c>
      <c r="T40" s="11129"/>
      <c r="U40" s="11129"/>
      <c r="V40" s="11129"/>
      <c r="W40" s="9503" t="s">
        <v>3847</v>
      </c>
      <c r="X40" s="11129"/>
      <c r="Y40" s="11129"/>
      <c r="Z40" s="11129"/>
      <c r="AA40" s="190"/>
      <c r="AB40" s="190"/>
      <c r="AC40" s="190"/>
      <c r="AD40" s="190"/>
      <c r="AE40" s="190"/>
      <c r="AF40" s="190"/>
      <c r="AG40" s="190"/>
      <c r="AH40" s="190"/>
      <c r="AI40" s="190"/>
      <c r="AJ40" s="190"/>
      <c r="AK40" s="190"/>
      <c r="AL40" s="190"/>
      <c r="AM40" s="190"/>
      <c r="AN40" s="190"/>
      <c r="AO40" s="190"/>
      <c r="BZ40" s="165"/>
      <c r="CA40" s="165"/>
      <c r="CB40" s="165"/>
      <c r="CC40" s="165"/>
      <c r="CD40" s="165"/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65"/>
      <c r="CR40" s="165"/>
    </row>
    <row r="41" spans="1:103" ht="16.2" customHeight="1" x14ac:dyDescent="0.25">
      <c r="B41" s="11136"/>
      <c r="C41" s="11130" t="s">
        <v>3825</v>
      </c>
      <c r="D41" s="11130"/>
      <c r="E41" s="11130" t="s">
        <v>3826</v>
      </c>
      <c r="F41" s="11130"/>
      <c r="G41" s="11130" t="s">
        <v>3825</v>
      </c>
      <c r="H41" s="11130"/>
      <c r="I41" s="11130" t="s">
        <v>3826</v>
      </c>
      <c r="J41" s="11130"/>
      <c r="K41" s="11130" t="s">
        <v>3825</v>
      </c>
      <c r="L41" s="11130"/>
      <c r="M41" s="11130" t="s">
        <v>3826</v>
      </c>
      <c r="N41" s="9504"/>
      <c r="O41" s="11130" t="s">
        <v>3825</v>
      </c>
      <c r="P41" s="11130"/>
      <c r="Q41" s="11130" t="s">
        <v>3826</v>
      </c>
      <c r="R41" s="11130"/>
      <c r="S41" s="9505" t="s">
        <v>3825</v>
      </c>
      <c r="T41" s="11130"/>
      <c r="U41" s="11130" t="s">
        <v>3826</v>
      </c>
      <c r="V41" s="11130"/>
      <c r="W41" s="11137" t="s">
        <v>3825</v>
      </c>
      <c r="X41" s="9505"/>
      <c r="Y41" s="9504" t="s">
        <v>3826</v>
      </c>
      <c r="Z41" s="9505"/>
      <c r="AA41" s="190"/>
      <c r="AB41" s="190"/>
      <c r="AC41" s="190"/>
      <c r="AD41" s="190"/>
      <c r="AE41" s="190"/>
      <c r="AF41" s="190"/>
      <c r="AG41" s="190"/>
      <c r="AH41" s="190"/>
      <c r="AI41" s="190"/>
      <c r="BZ41" s="165"/>
      <c r="CA41" s="165"/>
      <c r="CB41" s="165"/>
      <c r="CC41" s="165"/>
      <c r="CD41" s="165"/>
      <c r="CE41" s="165"/>
      <c r="CF41" s="165"/>
      <c r="CS41" s="1430"/>
      <c r="CT41" s="1430"/>
      <c r="CU41" s="1430"/>
      <c r="CV41" s="1430"/>
      <c r="CW41" s="1430"/>
      <c r="CX41" s="1430"/>
      <c r="CY41" s="1430"/>
    </row>
    <row r="42" spans="1:103" ht="16.2" customHeight="1" x14ac:dyDescent="0.25">
      <c r="B42" s="11136"/>
      <c r="C42" s="6869" t="s">
        <v>17</v>
      </c>
      <c r="D42" s="6869" t="s">
        <v>18</v>
      </c>
      <c r="E42" s="6869" t="s">
        <v>17</v>
      </c>
      <c r="F42" s="6869" t="s">
        <v>18</v>
      </c>
      <c r="G42" s="6869" t="s">
        <v>17</v>
      </c>
      <c r="H42" s="6869" t="s">
        <v>18</v>
      </c>
      <c r="I42" s="6869" t="s">
        <v>17</v>
      </c>
      <c r="J42" s="6869" t="s">
        <v>18</v>
      </c>
      <c r="K42" s="6871" t="s">
        <v>17</v>
      </c>
      <c r="L42" s="6916" t="s">
        <v>18</v>
      </c>
      <c r="M42" s="6871" t="s">
        <v>17</v>
      </c>
      <c r="N42" s="6897" t="s">
        <v>18</v>
      </c>
      <c r="O42" s="6871" t="s">
        <v>17</v>
      </c>
      <c r="P42" s="6916" t="s">
        <v>18</v>
      </c>
      <c r="Q42" s="6871" t="s">
        <v>17</v>
      </c>
      <c r="R42" s="6916" t="s">
        <v>18</v>
      </c>
      <c r="S42" s="6903" t="s">
        <v>17</v>
      </c>
      <c r="T42" s="6916" t="s">
        <v>18</v>
      </c>
      <c r="U42" s="6871" t="s">
        <v>17</v>
      </c>
      <c r="V42" s="6916" t="s">
        <v>18</v>
      </c>
      <c r="W42" s="6884" t="s">
        <v>17</v>
      </c>
      <c r="X42" s="6885" t="s">
        <v>18</v>
      </c>
      <c r="Y42" s="6886" t="s">
        <v>17</v>
      </c>
      <c r="Z42" s="6887" t="s">
        <v>18</v>
      </c>
      <c r="AA42" s="190"/>
      <c r="AB42" s="190"/>
      <c r="AC42" s="190"/>
      <c r="AD42" s="190"/>
      <c r="AE42" s="190"/>
      <c r="AF42" s="190"/>
      <c r="AG42" s="190"/>
      <c r="BZ42" s="165"/>
      <c r="CA42" s="165"/>
      <c r="CB42" s="165"/>
      <c r="CC42" s="165"/>
      <c r="CD42" s="165"/>
      <c r="CS42" s="1430"/>
      <c r="CT42" s="1430"/>
      <c r="CU42" s="1430"/>
      <c r="CV42" s="1430"/>
      <c r="CW42" s="1430"/>
    </row>
    <row r="43" spans="1:103" ht="16.2" customHeight="1" x14ac:dyDescent="0.25">
      <c r="B43" s="6898" t="s">
        <v>24</v>
      </c>
      <c r="C43" s="6888">
        <f>SUM(C44:C47)</f>
        <v>0</v>
      </c>
      <c r="D43" s="6923">
        <f>SUM(D44:D47)</f>
        <v>0</v>
      </c>
      <c r="E43" s="6889">
        <f>SUM(E44:E47)</f>
        <v>0</v>
      </c>
      <c r="F43" s="6923">
        <f>SUM(F44:F47)</f>
        <v>0</v>
      </c>
      <c r="G43" s="6889">
        <f>SUM(G44:G47)</f>
        <v>0</v>
      </c>
      <c r="H43" s="6888">
        <f t="shared" ref="H43:N43" si="1">SUM(H44:H47)</f>
        <v>0</v>
      </c>
      <c r="I43" s="6888">
        <f t="shared" si="1"/>
        <v>0</v>
      </c>
      <c r="J43" s="6888">
        <f t="shared" si="1"/>
        <v>0</v>
      </c>
      <c r="K43" s="6888">
        <f t="shared" si="1"/>
        <v>0</v>
      </c>
      <c r="L43" s="6888">
        <f t="shared" si="1"/>
        <v>0</v>
      </c>
      <c r="M43" s="6888">
        <f t="shared" si="1"/>
        <v>0</v>
      </c>
      <c r="N43" s="6890">
        <f t="shared" si="1"/>
        <v>0</v>
      </c>
      <c r="O43" s="6888">
        <f>SUM(O44)</f>
        <v>0</v>
      </c>
      <c r="P43" s="6923">
        <f>SUM(P44)</f>
        <v>0</v>
      </c>
      <c r="Q43" s="6889">
        <f>SUM(Q44)</f>
        <v>0</v>
      </c>
      <c r="R43" s="6891">
        <f>SUM(R44)</f>
        <v>0</v>
      </c>
      <c r="S43" s="6889">
        <f t="shared" ref="S43:Z43" si="2">SUM(S44:S47)</f>
        <v>0</v>
      </c>
      <c r="T43" s="6923">
        <f t="shared" si="2"/>
        <v>0</v>
      </c>
      <c r="U43" s="6888">
        <f t="shared" si="2"/>
        <v>0</v>
      </c>
      <c r="V43" s="6923">
        <f t="shared" si="2"/>
        <v>0</v>
      </c>
      <c r="W43" s="6889">
        <f t="shared" si="2"/>
        <v>0</v>
      </c>
      <c r="X43" s="6923">
        <f t="shared" si="2"/>
        <v>0</v>
      </c>
      <c r="Y43" s="6888">
        <f t="shared" si="2"/>
        <v>0</v>
      </c>
      <c r="Z43" s="6923">
        <f t="shared" si="2"/>
        <v>0</v>
      </c>
      <c r="AA43" s="190"/>
      <c r="AB43" s="190"/>
      <c r="AC43" s="190"/>
      <c r="AD43" s="190"/>
      <c r="AE43" s="190"/>
      <c r="AF43" s="190"/>
      <c r="AG43" s="190"/>
      <c r="BZ43" s="165"/>
      <c r="CA43" s="165"/>
      <c r="CB43" s="165"/>
      <c r="CC43" s="165"/>
      <c r="CD43" s="165"/>
      <c r="CS43" s="1430"/>
      <c r="CT43" s="1430"/>
      <c r="CU43" s="1430"/>
      <c r="CV43" s="1430"/>
      <c r="CW43" s="1430"/>
    </row>
    <row r="44" spans="1:103" ht="16.2" customHeight="1" x14ac:dyDescent="0.25">
      <c r="A44" s="7258">
        <v>30100160</v>
      </c>
      <c r="B44" s="6892" t="s">
        <v>3848</v>
      </c>
      <c r="C44" s="6937" t="s">
        <v>5369</v>
      </c>
      <c r="D44" s="6938" t="s">
        <v>5370</v>
      </c>
      <c r="E44" s="6937" t="s">
        <v>5371</v>
      </c>
      <c r="F44" s="6938" t="s">
        <v>5372</v>
      </c>
      <c r="G44" s="6893" t="s">
        <v>5373</v>
      </c>
      <c r="H44" s="6858" t="s">
        <v>5374</v>
      </c>
      <c r="I44" s="6876" t="s">
        <v>5375</v>
      </c>
      <c r="J44" s="6858" t="s">
        <v>5376</v>
      </c>
      <c r="K44" s="6876" t="s">
        <v>5377</v>
      </c>
      <c r="L44" s="6858" t="s">
        <v>5378</v>
      </c>
      <c r="M44" s="6876" t="s">
        <v>5379</v>
      </c>
      <c r="N44" s="6894" t="s">
        <v>5380</v>
      </c>
      <c r="O44" s="6876" t="s">
        <v>5381</v>
      </c>
      <c r="P44" s="6858" t="s">
        <v>5382</v>
      </c>
      <c r="Q44" s="6876" t="s">
        <v>5383</v>
      </c>
      <c r="R44" s="6858" t="s">
        <v>5384</v>
      </c>
      <c r="S44" s="6893" t="s">
        <v>5385</v>
      </c>
      <c r="T44" s="6858" t="s">
        <v>5386</v>
      </c>
      <c r="U44" s="6876" t="s">
        <v>5387</v>
      </c>
      <c r="V44" s="6858" t="s">
        <v>5388</v>
      </c>
      <c r="W44" s="6895" t="s">
        <v>5389</v>
      </c>
      <c r="X44" s="6878" t="s">
        <v>5390</v>
      </c>
      <c r="Y44" s="6877" t="s">
        <v>5391</v>
      </c>
      <c r="Z44" s="6878" t="s">
        <v>5392</v>
      </c>
      <c r="AA44" s="190"/>
      <c r="AB44" s="190"/>
      <c r="AC44" s="190"/>
      <c r="AD44" s="190"/>
      <c r="AE44" s="190"/>
      <c r="AF44" s="190"/>
      <c r="AG44" s="190"/>
      <c r="AH44" s="190"/>
      <c r="BZ44" s="165"/>
      <c r="CA44" s="165"/>
      <c r="CB44" s="165"/>
      <c r="CC44" s="165"/>
      <c r="CD44" s="165"/>
      <c r="CE44" s="165"/>
      <c r="CS44" s="1430"/>
      <c r="CT44" s="1430"/>
      <c r="CU44" s="1430"/>
      <c r="CV44" s="1430"/>
      <c r="CW44" s="1430"/>
      <c r="CX44" s="1430"/>
    </row>
    <row r="45" spans="1:103" ht="19.5" customHeight="1" x14ac:dyDescent="0.25">
      <c r="A45" s="7258">
        <v>30100180</v>
      </c>
      <c r="B45" s="6896" t="s">
        <v>3915</v>
      </c>
      <c r="C45" s="6949" t="s">
        <v>5369</v>
      </c>
      <c r="D45" s="2954" t="s">
        <v>5370</v>
      </c>
      <c r="E45" s="6949" t="s">
        <v>5371</v>
      </c>
      <c r="F45" s="2954" t="s">
        <v>5372</v>
      </c>
      <c r="G45" s="2852" t="s">
        <v>5373</v>
      </c>
      <c r="H45" s="4541" t="s">
        <v>5374</v>
      </c>
      <c r="I45" s="2822" t="s">
        <v>5375</v>
      </c>
      <c r="J45" s="4541" t="s">
        <v>5376</v>
      </c>
      <c r="K45" s="2822" t="s">
        <v>5377</v>
      </c>
      <c r="L45" s="4541" t="s">
        <v>5378</v>
      </c>
      <c r="M45" s="2822" t="s">
        <v>5379</v>
      </c>
      <c r="N45" s="6856" t="s">
        <v>5380</v>
      </c>
      <c r="O45" s="4668" t="s">
        <v>5381</v>
      </c>
      <c r="P45" s="2947" t="s">
        <v>5382</v>
      </c>
      <c r="Q45" s="4668" t="s">
        <v>5383</v>
      </c>
      <c r="R45" s="2947" t="s">
        <v>5384</v>
      </c>
      <c r="S45" s="2852" t="s">
        <v>5385</v>
      </c>
      <c r="T45" s="4541" t="s">
        <v>5386</v>
      </c>
      <c r="U45" s="2822" t="s">
        <v>5387</v>
      </c>
      <c r="V45" s="4541" t="s">
        <v>5388</v>
      </c>
      <c r="W45" s="2870" t="s">
        <v>5389</v>
      </c>
      <c r="X45" s="6860" t="s">
        <v>5390</v>
      </c>
      <c r="Y45" s="6859" t="s">
        <v>5391</v>
      </c>
      <c r="Z45" s="6860" t="s">
        <v>5392</v>
      </c>
      <c r="AA45" s="190"/>
      <c r="AB45" s="190"/>
      <c r="AC45" s="190"/>
      <c r="AD45" s="190"/>
      <c r="AE45" s="190"/>
      <c r="AF45" s="190"/>
      <c r="AG45" s="190"/>
      <c r="AH45" s="190"/>
      <c r="BZ45" s="165"/>
      <c r="CA45" s="165"/>
      <c r="CB45" s="165"/>
      <c r="CC45" s="165"/>
      <c r="CD45" s="165"/>
      <c r="CE45" s="165"/>
      <c r="CS45" s="1430"/>
      <c r="CT45" s="1430"/>
      <c r="CU45" s="1430"/>
      <c r="CV45" s="1430"/>
      <c r="CW45" s="1430"/>
      <c r="CX45" s="1430"/>
    </row>
    <row r="46" spans="1:103" ht="16.2" customHeight="1" x14ac:dyDescent="0.25">
      <c r="A46" s="7320">
        <v>32101717</v>
      </c>
      <c r="B46" s="6896" t="s">
        <v>3849</v>
      </c>
      <c r="C46" s="6949" t="s">
        <v>5369</v>
      </c>
      <c r="D46" s="2954" t="s">
        <v>5370</v>
      </c>
      <c r="E46" s="6949" t="s">
        <v>5371</v>
      </c>
      <c r="F46" s="2954" t="s">
        <v>5372</v>
      </c>
      <c r="G46" s="2852" t="s">
        <v>5373</v>
      </c>
      <c r="H46" s="4541" t="s">
        <v>5374</v>
      </c>
      <c r="I46" s="2822" t="s">
        <v>5375</v>
      </c>
      <c r="J46" s="4541" t="s">
        <v>5376</v>
      </c>
      <c r="K46" s="2822" t="s">
        <v>5377</v>
      </c>
      <c r="L46" s="4541" t="s">
        <v>5378</v>
      </c>
      <c r="M46" s="2822" t="s">
        <v>5379</v>
      </c>
      <c r="N46" s="6856" t="s">
        <v>5380</v>
      </c>
      <c r="O46" s="6959" t="s">
        <v>5381</v>
      </c>
      <c r="P46" s="6855" t="s">
        <v>5382</v>
      </c>
      <c r="Q46" s="6960" t="s">
        <v>5383</v>
      </c>
      <c r="R46" s="6855" t="s">
        <v>5384</v>
      </c>
      <c r="S46" s="2852" t="s">
        <v>5385</v>
      </c>
      <c r="T46" s="4541" t="s">
        <v>5386</v>
      </c>
      <c r="U46" s="2822" t="s">
        <v>5387</v>
      </c>
      <c r="V46" s="4541" t="s">
        <v>5388</v>
      </c>
      <c r="W46" s="2870" t="s">
        <v>5389</v>
      </c>
      <c r="X46" s="6860" t="s">
        <v>5390</v>
      </c>
      <c r="Y46" s="6859" t="s">
        <v>5391</v>
      </c>
      <c r="Z46" s="6860" t="s">
        <v>5392</v>
      </c>
      <c r="AA46" s="190"/>
      <c r="AB46" s="190"/>
      <c r="AC46" s="190"/>
      <c r="AD46" s="190"/>
      <c r="AE46" s="190"/>
      <c r="AF46" s="190"/>
      <c r="AG46" s="190"/>
      <c r="AH46" s="190"/>
      <c r="BZ46" s="165"/>
      <c r="CA46" s="165"/>
      <c r="CB46" s="165"/>
      <c r="CC46" s="165"/>
      <c r="CD46" s="165"/>
      <c r="CE46" s="165"/>
      <c r="CS46" s="1430"/>
      <c r="CT46" s="1430"/>
      <c r="CU46" s="1430"/>
      <c r="CV46" s="1430"/>
      <c r="CW46" s="1430"/>
      <c r="CX46" s="1430"/>
    </row>
    <row r="47" spans="1:103" ht="16.2" customHeight="1" x14ac:dyDescent="0.25">
      <c r="A47" s="7258">
        <v>30100190</v>
      </c>
      <c r="B47" s="6931" t="s">
        <v>3850</v>
      </c>
      <c r="C47" s="6950" t="s">
        <v>5369</v>
      </c>
      <c r="D47" s="6951" t="s">
        <v>5370</v>
      </c>
      <c r="E47" s="6950" t="s">
        <v>5371</v>
      </c>
      <c r="F47" s="6951" t="s">
        <v>5372</v>
      </c>
      <c r="G47" s="6924" t="s">
        <v>5373</v>
      </c>
      <c r="H47" s="6925" t="s">
        <v>5374</v>
      </c>
      <c r="I47" s="6926" t="s">
        <v>5375</v>
      </c>
      <c r="J47" s="6925" t="s">
        <v>5376</v>
      </c>
      <c r="K47" s="6926" t="s">
        <v>5377</v>
      </c>
      <c r="L47" s="6925" t="s">
        <v>5378</v>
      </c>
      <c r="M47" s="6926" t="s">
        <v>5379</v>
      </c>
      <c r="N47" s="6927" t="s">
        <v>5380</v>
      </c>
      <c r="O47" s="6961" t="s">
        <v>5381</v>
      </c>
      <c r="P47" s="3577" t="s">
        <v>5382</v>
      </c>
      <c r="Q47" s="4739" t="s">
        <v>5383</v>
      </c>
      <c r="R47" s="6962" t="s">
        <v>5384</v>
      </c>
      <c r="S47" s="6924" t="s">
        <v>5385</v>
      </c>
      <c r="T47" s="6925" t="s">
        <v>5386</v>
      </c>
      <c r="U47" s="6926" t="s">
        <v>5387</v>
      </c>
      <c r="V47" s="6925" t="s">
        <v>5388</v>
      </c>
      <c r="W47" s="2871" t="s">
        <v>5389</v>
      </c>
      <c r="X47" s="2849" t="s">
        <v>5390</v>
      </c>
      <c r="Y47" s="6868" t="s">
        <v>5391</v>
      </c>
      <c r="Z47" s="2849" t="s">
        <v>5392</v>
      </c>
      <c r="AA47" s="190"/>
      <c r="AB47" s="190"/>
      <c r="AC47" s="190"/>
      <c r="AD47" s="190"/>
      <c r="AE47" s="190"/>
      <c r="AF47" s="190"/>
      <c r="AG47" s="190"/>
      <c r="AH47" s="190"/>
      <c r="BZ47" s="165"/>
      <c r="CA47" s="165"/>
      <c r="CB47" s="165"/>
      <c r="CC47" s="165"/>
      <c r="CD47" s="165"/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65"/>
      <c r="CR47" s="165"/>
    </row>
    <row r="48" spans="1:103" ht="24.75" customHeight="1" x14ac:dyDescent="0.25">
      <c r="B48" s="6919" t="s">
        <v>3851</v>
      </c>
      <c r="V48" s="199"/>
      <c r="W48" s="199"/>
      <c r="X48" s="199"/>
      <c r="Y48" s="199"/>
      <c r="Z48" s="199"/>
      <c r="BZ48" s="165"/>
      <c r="CA48" s="165"/>
      <c r="CB48" s="165"/>
      <c r="CC48" s="165"/>
      <c r="CD48" s="165"/>
      <c r="CE48" s="165"/>
      <c r="CF48" s="165"/>
      <c r="CG48" s="165"/>
      <c r="CH48" s="165"/>
      <c r="CI48" s="165"/>
      <c r="CJ48" s="165"/>
      <c r="CK48" s="165"/>
      <c r="CL48" s="165"/>
      <c r="CM48" s="165"/>
      <c r="CN48" s="165"/>
      <c r="CO48" s="165"/>
      <c r="CP48" s="165"/>
      <c r="CQ48" s="165"/>
      <c r="CR48" s="165"/>
    </row>
    <row r="49" spans="1:96" ht="34.5" customHeight="1" x14ac:dyDescent="0.25">
      <c r="B49" s="11136" t="s">
        <v>3852</v>
      </c>
      <c r="C49" s="9485" t="s">
        <v>3853</v>
      </c>
      <c r="D49" s="11135"/>
      <c r="E49" s="11135"/>
      <c r="F49" s="9503"/>
      <c r="G49" s="9485" t="s">
        <v>3854</v>
      </c>
      <c r="H49" s="11135"/>
      <c r="I49" s="11135"/>
      <c r="J49" s="9503"/>
      <c r="K49" s="9485" t="s">
        <v>3855</v>
      </c>
      <c r="L49" s="11135"/>
      <c r="M49" s="11135"/>
      <c r="N49" s="9503"/>
      <c r="O49" s="9503" t="s">
        <v>3856</v>
      </c>
      <c r="P49" s="11129"/>
      <c r="Q49" s="11129"/>
      <c r="R49" s="11129"/>
      <c r="S49" s="199"/>
      <c r="T49" s="199"/>
      <c r="U49" s="199"/>
      <c r="V49" s="199"/>
      <c r="BZ49" s="165"/>
      <c r="CA49" s="165"/>
      <c r="CB49" s="165"/>
      <c r="CC49" s="165"/>
      <c r="CD49" s="165"/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65"/>
      <c r="CR49" s="165"/>
    </row>
    <row r="50" spans="1:96" ht="16.2" customHeight="1" x14ac:dyDescent="0.25">
      <c r="B50" s="11136"/>
      <c r="C50" s="9504" t="s">
        <v>3825</v>
      </c>
      <c r="D50" s="9505"/>
      <c r="E50" s="11137" t="s">
        <v>3826</v>
      </c>
      <c r="F50" s="9505"/>
      <c r="G50" s="9504" t="s">
        <v>3825</v>
      </c>
      <c r="H50" s="9505"/>
      <c r="I50" s="11137" t="s">
        <v>3826</v>
      </c>
      <c r="J50" s="9505"/>
      <c r="K50" s="9504" t="s">
        <v>3825</v>
      </c>
      <c r="L50" s="9505"/>
      <c r="M50" s="9504" t="s">
        <v>3826</v>
      </c>
      <c r="N50" s="9505"/>
      <c r="O50" s="9505" t="s">
        <v>3825</v>
      </c>
      <c r="P50" s="11130"/>
      <c r="Q50" s="11130" t="s">
        <v>3826</v>
      </c>
      <c r="R50" s="11130"/>
      <c r="S50" s="199"/>
      <c r="T50" s="199"/>
      <c r="U50" s="199"/>
      <c r="V50" s="199"/>
      <c r="BZ50" s="165"/>
      <c r="CA50" s="165"/>
      <c r="CB50" s="165"/>
      <c r="CC50" s="165"/>
      <c r="CD50" s="165"/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65"/>
      <c r="CR50" s="165"/>
    </row>
    <row r="51" spans="1:96" ht="16.2" customHeight="1" x14ac:dyDescent="0.25">
      <c r="B51" s="11136"/>
      <c r="C51" s="6886" t="s">
        <v>17</v>
      </c>
      <c r="D51" s="6887" t="s">
        <v>18</v>
      </c>
      <c r="E51" s="6884" t="s">
        <v>17</v>
      </c>
      <c r="F51" s="6887" t="s">
        <v>18</v>
      </c>
      <c r="G51" s="6886" t="s">
        <v>17</v>
      </c>
      <c r="H51" s="6887" t="s">
        <v>18</v>
      </c>
      <c r="I51" s="6884" t="s">
        <v>17</v>
      </c>
      <c r="J51" s="6887" t="s">
        <v>18</v>
      </c>
      <c r="K51" s="6871" t="s">
        <v>17</v>
      </c>
      <c r="L51" s="6916" t="s">
        <v>18</v>
      </c>
      <c r="M51" s="6871" t="s">
        <v>17</v>
      </c>
      <c r="N51" s="6916" t="s">
        <v>18</v>
      </c>
      <c r="O51" s="6884" t="s">
        <v>17</v>
      </c>
      <c r="P51" s="6887" t="s">
        <v>18</v>
      </c>
      <c r="Q51" s="6886" t="s">
        <v>17</v>
      </c>
      <c r="R51" s="6887" t="s">
        <v>18</v>
      </c>
      <c r="S51" s="199"/>
      <c r="T51" s="199"/>
      <c r="U51" s="199"/>
      <c r="V51" s="199"/>
      <c r="BZ51" s="165"/>
      <c r="CA51" s="165"/>
      <c r="CB51" s="165"/>
      <c r="CC51" s="165"/>
      <c r="CD51" s="165"/>
      <c r="CE51" s="165"/>
      <c r="CF51" s="165"/>
      <c r="CG51" s="165"/>
      <c r="CH51" s="165"/>
      <c r="CI51" s="165"/>
      <c r="CJ51" s="165"/>
      <c r="CK51" s="165"/>
      <c r="CL51" s="165"/>
      <c r="CM51" s="165"/>
      <c r="CN51" s="165"/>
      <c r="CO51" s="165"/>
      <c r="CP51" s="165"/>
      <c r="CQ51" s="165"/>
      <c r="CR51" s="165"/>
    </row>
    <row r="52" spans="1:96" ht="16.2" customHeight="1" x14ac:dyDescent="0.25">
      <c r="A52" s="7267"/>
      <c r="B52" s="6898" t="s">
        <v>24</v>
      </c>
      <c r="C52" s="6899">
        <f>SUM(C53:C57)</f>
        <v>0</v>
      </c>
      <c r="D52" s="6900">
        <f>SUM(D53:D57)</f>
        <v>0</v>
      </c>
      <c r="E52" s="6901">
        <f>SUM(E53:E57)</f>
        <v>0</v>
      </c>
      <c r="F52" s="6900">
        <f>SUM(F53:F57)</f>
        <v>0</v>
      </c>
      <c r="G52" s="6886">
        <f>SUM(G53:G57)</f>
        <v>0</v>
      </c>
      <c r="H52" s="6887">
        <f t="shared" ref="H52:R52" si="3">SUM(H53:H57)</f>
        <v>0</v>
      </c>
      <c r="I52" s="6884">
        <f t="shared" si="3"/>
        <v>0</v>
      </c>
      <c r="J52" s="6887">
        <f t="shared" si="3"/>
        <v>0</v>
      </c>
      <c r="K52" s="6902">
        <f t="shared" si="3"/>
        <v>0</v>
      </c>
      <c r="L52" s="2095">
        <f t="shared" si="3"/>
        <v>0</v>
      </c>
      <c r="M52" s="6871">
        <f t="shared" si="3"/>
        <v>0</v>
      </c>
      <c r="N52" s="6916">
        <f t="shared" si="3"/>
        <v>0</v>
      </c>
      <c r="O52" s="6903">
        <f t="shared" si="3"/>
        <v>0</v>
      </c>
      <c r="P52" s="6916">
        <f t="shared" si="3"/>
        <v>0</v>
      </c>
      <c r="Q52" s="6884">
        <f t="shared" si="3"/>
        <v>0</v>
      </c>
      <c r="R52" s="6844">
        <f t="shared" si="3"/>
        <v>0</v>
      </c>
      <c r="S52" s="199"/>
      <c r="T52" s="199"/>
      <c r="U52" s="199"/>
      <c r="V52" s="199"/>
      <c r="BZ52" s="165"/>
      <c r="CA52" s="165"/>
      <c r="CB52" s="165"/>
      <c r="CC52" s="165"/>
      <c r="CD52" s="165"/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65"/>
      <c r="CR52" s="165"/>
    </row>
    <row r="53" spans="1:96" x14ac:dyDescent="0.25">
      <c r="A53" s="7635">
        <v>32101692</v>
      </c>
      <c r="B53" s="6904" t="s">
        <v>3857</v>
      </c>
      <c r="C53" s="6937" t="s">
        <v>5369</v>
      </c>
      <c r="D53" s="6946" t="s">
        <v>5370</v>
      </c>
      <c r="E53" s="6947" t="s">
        <v>5371</v>
      </c>
      <c r="F53" s="6946" t="s">
        <v>5372</v>
      </c>
      <c r="G53" s="6876" t="s">
        <v>5373</v>
      </c>
      <c r="H53" s="6833" t="s">
        <v>5374</v>
      </c>
      <c r="I53" s="6893" t="s">
        <v>5375</v>
      </c>
      <c r="J53" s="6833" t="s">
        <v>5376</v>
      </c>
      <c r="K53" s="6893" t="s">
        <v>5377</v>
      </c>
      <c r="L53" s="6833" t="s">
        <v>5378</v>
      </c>
      <c r="M53" s="6876" t="s">
        <v>5379</v>
      </c>
      <c r="N53" s="6833" t="s">
        <v>5380</v>
      </c>
      <c r="O53" s="6877" t="s">
        <v>5381</v>
      </c>
      <c r="P53" s="6878" t="s">
        <v>5382</v>
      </c>
      <c r="Q53" s="6877" t="s">
        <v>5383</v>
      </c>
      <c r="R53" s="6878" t="s">
        <v>5384</v>
      </c>
      <c r="S53" s="6825"/>
      <c r="T53" s="6825"/>
      <c r="U53" s="6825"/>
      <c r="V53" s="199"/>
      <c r="BZ53" s="165"/>
      <c r="CA53" s="165"/>
      <c r="CB53" s="165"/>
      <c r="CC53" s="165"/>
      <c r="CD53" s="165"/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65"/>
      <c r="CR53" s="165"/>
    </row>
    <row r="54" spans="1:96" ht="16.2" customHeight="1" x14ac:dyDescent="0.25">
      <c r="A54" s="7635">
        <v>32101693</v>
      </c>
      <c r="B54" s="6896" t="s">
        <v>1036</v>
      </c>
      <c r="C54" s="4565" t="s">
        <v>5369</v>
      </c>
      <c r="D54" s="6948" t="s">
        <v>5370</v>
      </c>
      <c r="E54" s="2923" t="s">
        <v>5371</v>
      </c>
      <c r="F54" s="6948" t="s">
        <v>5372</v>
      </c>
      <c r="G54" s="2822" t="s">
        <v>5373</v>
      </c>
      <c r="H54" s="4541" t="s">
        <v>5374</v>
      </c>
      <c r="I54" s="2852" t="s">
        <v>5375</v>
      </c>
      <c r="J54" s="4541" t="s">
        <v>5376</v>
      </c>
      <c r="K54" s="2852" t="s">
        <v>5377</v>
      </c>
      <c r="L54" s="4541" t="s">
        <v>5378</v>
      </c>
      <c r="M54" s="2822" t="s">
        <v>5379</v>
      </c>
      <c r="N54" s="4541" t="s">
        <v>5380</v>
      </c>
      <c r="O54" s="6859" t="s">
        <v>5381</v>
      </c>
      <c r="P54" s="6860" t="s">
        <v>5382</v>
      </c>
      <c r="Q54" s="6859" t="s">
        <v>5383</v>
      </c>
      <c r="R54" s="6860" t="s">
        <v>5384</v>
      </c>
      <c r="S54" s="199"/>
      <c r="T54" s="199"/>
      <c r="U54" s="199"/>
      <c r="V54" s="199"/>
      <c r="BZ54" s="165"/>
      <c r="CA54" s="165"/>
      <c r="CB54" s="165"/>
      <c r="CC54" s="165"/>
      <c r="CD54" s="165"/>
      <c r="CE54" s="165"/>
      <c r="CF54" s="165"/>
      <c r="CG54" s="165"/>
      <c r="CH54" s="165"/>
      <c r="CI54" s="165"/>
      <c r="CJ54" s="165"/>
      <c r="CK54" s="165"/>
      <c r="CL54" s="165"/>
      <c r="CM54" s="165"/>
      <c r="CN54" s="165"/>
      <c r="CO54" s="165"/>
      <c r="CP54" s="165"/>
      <c r="CQ54" s="165"/>
      <c r="CR54" s="165"/>
    </row>
    <row r="55" spans="1:96" ht="16.2" customHeight="1" x14ac:dyDescent="0.25">
      <c r="A55" s="7635">
        <v>32101694</v>
      </c>
      <c r="B55" s="6905" t="s">
        <v>1030</v>
      </c>
      <c r="C55" s="4565" t="s">
        <v>5369</v>
      </c>
      <c r="D55" s="6948" t="s">
        <v>5370</v>
      </c>
      <c r="E55" s="2923" t="s">
        <v>5371</v>
      </c>
      <c r="F55" s="6948" t="s">
        <v>5372</v>
      </c>
      <c r="G55" s="2822" t="s">
        <v>5373</v>
      </c>
      <c r="H55" s="2826" t="s">
        <v>5374</v>
      </c>
      <c r="I55" s="2852" t="s">
        <v>5375</v>
      </c>
      <c r="J55" s="2826" t="s">
        <v>5376</v>
      </c>
      <c r="K55" s="2852" t="s">
        <v>5377</v>
      </c>
      <c r="L55" s="2826" t="s">
        <v>5378</v>
      </c>
      <c r="M55" s="2822" t="s">
        <v>5379</v>
      </c>
      <c r="N55" s="2826" t="s">
        <v>5380</v>
      </c>
      <c r="O55" s="6859" t="s">
        <v>5381</v>
      </c>
      <c r="P55" s="6860" t="s">
        <v>5382</v>
      </c>
      <c r="Q55" s="6859" t="s">
        <v>5383</v>
      </c>
      <c r="R55" s="6860" t="s">
        <v>5384</v>
      </c>
      <c r="S55" s="199"/>
      <c r="T55" s="199"/>
      <c r="U55" s="199"/>
      <c r="V55" s="199"/>
      <c r="BZ55" s="165"/>
      <c r="CA55" s="165"/>
      <c r="CB55" s="165"/>
      <c r="CC55" s="165"/>
      <c r="CD55" s="165"/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65"/>
      <c r="CR55" s="165"/>
    </row>
    <row r="56" spans="1:96" ht="16.2" customHeight="1" x14ac:dyDescent="0.25">
      <c r="A56" s="7635">
        <v>32101695</v>
      </c>
      <c r="B56" s="6905" t="s">
        <v>1034</v>
      </c>
      <c r="C56" s="4565" t="s">
        <v>5369</v>
      </c>
      <c r="D56" s="6948" t="s">
        <v>5370</v>
      </c>
      <c r="E56" s="2923" t="s">
        <v>5371</v>
      </c>
      <c r="F56" s="6948" t="s">
        <v>5372</v>
      </c>
      <c r="G56" s="2822" t="s">
        <v>5373</v>
      </c>
      <c r="H56" s="2826" t="s">
        <v>5374</v>
      </c>
      <c r="I56" s="2852" t="s">
        <v>5375</v>
      </c>
      <c r="J56" s="2826" t="s">
        <v>5376</v>
      </c>
      <c r="K56" s="2852" t="s">
        <v>5377</v>
      </c>
      <c r="L56" s="2826" t="s">
        <v>5378</v>
      </c>
      <c r="M56" s="2822" t="s">
        <v>5379</v>
      </c>
      <c r="N56" s="2826" t="s">
        <v>5380</v>
      </c>
      <c r="O56" s="6859" t="s">
        <v>5381</v>
      </c>
      <c r="P56" s="6860" t="s">
        <v>5382</v>
      </c>
      <c r="Q56" s="6859" t="s">
        <v>5383</v>
      </c>
      <c r="R56" s="6860" t="s">
        <v>5384</v>
      </c>
      <c r="BZ56" s="165"/>
      <c r="CA56" s="165"/>
      <c r="CB56" s="165"/>
      <c r="CC56" s="165"/>
      <c r="CD56" s="165"/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65"/>
      <c r="CR56" s="165"/>
    </row>
    <row r="57" spans="1:96" s="199" customFormat="1" ht="16.2" customHeight="1" x14ac:dyDescent="0.25">
      <c r="A57" s="7258">
        <v>30100200</v>
      </c>
      <c r="B57" s="6906" t="s">
        <v>1029</v>
      </c>
      <c r="C57" s="3162" t="s">
        <v>5369</v>
      </c>
      <c r="D57" s="2835" t="s">
        <v>5370</v>
      </c>
      <c r="E57" s="2745" t="s">
        <v>5371</v>
      </c>
      <c r="F57" s="2835" t="s">
        <v>5372</v>
      </c>
      <c r="G57" s="3158" t="s">
        <v>5373</v>
      </c>
      <c r="H57" s="3159" t="s">
        <v>5374</v>
      </c>
      <c r="I57" s="2477" t="s">
        <v>5375</v>
      </c>
      <c r="J57" s="3159" t="s">
        <v>5376</v>
      </c>
      <c r="K57" s="2477" t="s">
        <v>5377</v>
      </c>
      <c r="L57" s="3159" t="s">
        <v>5378</v>
      </c>
      <c r="M57" s="3158" t="s">
        <v>5379</v>
      </c>
      <c r="N57" s="3159" t="s">
        <v>5380</v>
      </c>
      <c r="O57" s="6868" t="s">
        <v>5381</v>
      </c>
      <c r="P57" s="2849" t="s">
        <v>5382</v>
      </c>
      <c r="Q57" s="6868" t="s">
        <v>5383</v>
      </c>
      <c r="R57" s="2849" t="s">
        <v>5384</v>
      </c>
    </row>
    <row r="58" spans="1:96" ht="33" customHeight="1" x14ac:dyDescent="0.25">
      <c r="B58" s="133" t="s">
        <v>3858</v>
      </c>
      <c r="C58" s="6825"/>
      <c r="D58" s="6825"/>
      <c r="E58" s="6825"/>
      <c r="F58" s="6825"/>
      <c r="G58" s="6825"/>
      <c r="H58" s="6825"/>
      <c r="I58" s="6825"/>
      <c r="J58" s="6825"/>
      <c r="K58" s="153"/>
      <c r="L58" s="153"/>
      <c r="M58" s="153"/>
      <c r="N58" s="153"/>
      <c r="O58" s="6825"/>
      <c r="P58" s="6825"/>
      <c r="Q58" s="6825"/>
      <c r="R58" s="6825"/>
      <c r="BZ58" s="165"/>
      <c r="CA58" s="165"/>
      <c r="CB58" s="165"/>
      <c r="CC58" s="165"/>
      <c r="CD58" s="165"/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65"/>
      <c r="CR58" s="165"/>
    </row>
    <row r="59" spans="1:96" ht="19.5" customHeight="1" x14ac:dyDescent="0.25">
      <c r="B59" s="6919" t="s">
        <v>3859</v>
      </c>
      <c r="BZ59" s="165"/>
      <c r="CA59" s="165"/>
      <c r="CB59" s="165"/>
      <c r="CC59" s="165"/>
      <c r="CD59" s="165"/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65"/>
      <c r="CR59" s="165"/>
    </row>
    <row r="60" spans="1:96" ht="33" customHeight="1" x14ac:dyDescent="0.25">
      <c r="B60" s="11136" t="s">
        <v>3860</v>
      </c>
      <c r="C60" s="11129" t="s">
        <v>3861</v>
      </c>
      <c r="D60" s="11129"/>
      <c r="E60" s="11129"/>
      <c r="F60" s="11129"/>
      <c r="G60" s="11129" t="s">
        <v>3862</v>
      </c>
      <c r="H60" s="11129"/>
      <c r="I60" s="11129"/>
      <c r="J60" s="11129"/>
      <c r="K60" s="11129" t="s">
        <v>3863</v>
      </c>
      <c r="L60" s="11129"/>
      <c r="M60" s="11129"/>
      <c r="N60" s="11129"/>
      <c r="O60" s="11129" t="s">
        <v>3864</v>
      </c>
      <c r="P60" s="11129"/>
      <c r="Q60" s="11129"/>
      <c r="R60" s="11129"/>
      <c r="BZ60" s="165"/>
      <c r="CA60" s="165"/>
      <c r="CB60" s="165"/>
      <c r="CC60" s="165"/>
      <c r="CD60" s="165"/>
      <c r="CE60" s="165"/>
      <c r="CF60" s="165"/>
      <c r="CG60" s="165"/>
      <c r="CH60" s="165"/>
      <c r="CI60" s="165"/>
      <c r="CJ60" s="165"/>
      <c r="CK60" s="165"/>
      <c r="CL60" s="165"/>
      <c r="CM60" s="165"/>
      <c r="CN60" s="165"/>
      <c r="CO60" s="165"/>
      <c r="CP60" s="165"/>
      <c r="CQ60" s="165"/>
      <c r="CR60" s="165"/>
    </row>
    <row r="61" spans="1:96" ht="16.2" customHeight="1" x14ac:dyDescent="0.25">
      <c r="B61" s="11136"/>
      <c r="C61" s="11130" t="s">
        <v>3825</v>
      </c>
      <c r="D61" s="11130"/>
      <c r="E61" s="11130" t="s">
        <v>3826</v>
      </c>
      <c r="F61" s="11130"/>
      <c r="G61" s="11130" t="s">
        <v>3825</v>
      </c>
      <c r="H61" s="11130"/>
      <c r="I61" s="11130" t="s">
        <v>3826</v>
      </c>
      <c r="J61" s="11130"/>
      <c r="K61" s="9504" t="s">
        <v>3825</v>
      </c>
      <c r="L61" s="9505"/>
      <c r="M61" s="9504" t="s">
        <v>3826</v>
      </c>
      <c r="N61" s="9505"/>
      <c r="O61" s="9504" t="s">
        <v>3825</v>
      </c>
      <c r="P61" s="9505"/>
      <c r="Q61" s="9505" t="s">
        <v>3826</v>
      </c>
      <c r="R61" s="11130"/>
      <c r="BZ61" s="165"/>
      <c r="CA61" s="165"/>
      <c r="CB61" s="165"/>
      <c r="CC61" s="165"/>
      <c r="CD61" s="165"/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65"/>
      <c r="CR61" s="165"/>
    </row>
    <row r="62" spans="1:96" ht="16.2" customHeight="1" x14ac:dyDescent="0.25">
      <c r="B62" s="11136"/>
      <c r="C62" s="6871" t="s">
        <v>17</v>
      </c>
      <c r="D62" s="6916" t="s">
        <v>18</v>
      </c>
      <c r="E62" s="6871" t="s">
        <v>17</v>
      </c>
      <c r="F62" s="6916" t="s">
        <v>18</v>
      </c>
      <c r="G62" s="6871" t="s">
        <v>17</v>
      </c>
      <c r="H62" s="6916" t="s">
        <v>18</v>
      </c>
      <c r="I62" s="6871" t="s">
        <v>17</v>
      </c>
      <c r="J62" s="6916" t="s">
        <v>18</v>
      </c>
      <c r="K62" s="6871" t="s">
        <v>17</v>
      </c>
      <c r="L62" s="6916" t="s">
        <v>18</v>
      </c>
      <c r="M62" s="6871" t="s">
        <v>17</v>
      </c>
      <c r="N62" s="6916" t="s">
        <v>18</v>
      </c>
      <c r="O62" s="6871" t="s">
        <v>17</v>
      </c>
      <c r="P62" s="6916" t="s">
        <v>18</v>
      </c>
      <c r="Q62" s="6903" t="s">
        <v>17</v>
      </c>
      <c r="R62" s="6916" t="s">
        <v>18</v>
      </c>
      <c r="BZ62" s="165"/>
      <c r="CA62" s="165"/>
      <c r="CB62" s="165"/>
      <c r="CC62" s="165"/>
      <c r="CD62" s="165"/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65"/>
      <c r="CR62" s="165"/>
    </row>
    <row r="63" spans="1:96" ht="16.2" customHeight="1" x14ac:dyDescent="0.25">
      <c r="A63" s="7267"/>
      <c r="B63" s="6907" t="s">
        <v>24</v>
      </c>
      <c r="C63" s="6888">
        <f>SUM(C64:C67)</f>
        <v>0</v>
      </c>
      <c r="D63" s="6888">
        <f t="shared" ref="D63:R63" si="4">SUM(D64:D67)</f>
        <v>0</v>
      </c>
      <c r="E63" s="6888">
        <f t="shared" si="4"/>
        <v>0</v>
      </c>
      <c r="F63" s="6888">
        <f t="shared" si="4"/>
        <v>0</v>
      </c>
      <c r="G63" s="6888">
        <f t="shared" si="4"/>
        <v>0</v>
      </c>
      <c r="H63" s="6888">
        <f t="shared" si="4"/>
        <v>0</v>
      </c>
      <c r="I63" s="6888">
        <f t="shared" si="4"/>
        <v>0</v>
      </c>
      <c r="J63" s="6888">
        <f t="shared" si="4"/>
        <v>0</v>
      </c>
      <c r="K63" s="6888">
        <f t="shared" si="4"/>
        <v>0</v>
      </c>
      <c r="L63" s="6888">
        <f t="shared" si="4"/>
        <v>0</v>
      </c>
      <c r="M63" s="6888">
        <f t="shared" si="4"/>
        <v>0</v>
      </c>
      <c r="N63" s="6888">
        <f t="shared" si="4"/>
        <v>0</v>
      </c>
      <c r="O63" s="6888">
        <f t="shared" si="4"/>
        <v>0</v>
      </c>
      <c r="P63" s="6888">
        <f t="shared" si="4"/>
        <v>0</v>
      </c>
      <c r="Q63" s="6888">
        <f t="shared" si="4"/>
        <v>0</v>
      </c>
      <c r="R63" s="6908">
        <f t="shared" si="4"/>
        <v>0</v>
      </c>
      <c r="BZ63" s="165"/>
      <c r="CA63" s="165"/>
      <c r="CB63" s="165"/>
      <c r="CC63" s="165"/>
      <c r="CD63" s="165"/>
      <c r="CE63" s="165"/>
      <c r="CF63" s="165"/>
      <c r="CG63" s="165"/>
      <c r="CH63" s="165"/>
      <c r="CI63" s="165"/>
      <c r="CJ63" s="165"/>
      <c r="CK63" s="165"/>
      <c r="CL63" s="165"/>
      <c r="CM63" s="165"/>
      <c r="CN63" s="165"/>
      <c r="CO63" s="165"/>
      <c r="CP63" s="165"/>
      <c r="CQ63" s="165"/>
      <c r="CR63" s="165"/>
    </row>
    <row r="64" spans="1:96" ht="16.2" customHeight="1" x14ac:dyDescent="0.25">
      <c r="A64" s="7635">
        <v>32101696</v>
      </c>
      <c r="B64" s="6892" t="s">
        <v>2592</v>
      </c>
      <c r="C64" s="6937" t="s">
        <v>5369</v>
      </c>
      <c r="D64" s="6946" t="s">
        <v>5370</v>
      </c>
      <c r="E64" s="6947" t="s">
        <v>5371</v>
      </c>
      <c r="F64" s="6946" t="s">
        <v>5372</v>
      </c>
      <c r="G64" s="3757" t="s">
        <v>5373</v>
      </c>
      <c r="H64" s="4551" t="s">
        <v>5374</v>
      </c>
      <c r="I64" s="3756" t="s">
        <v>5375</v>
      </c>
      <c r="J64" s="4551" t="s">
        <v>5376</v>
      </c>
      <c r="K64" s="3757" t="s">
        <v>5377</v>
      </c>
      <c r="L64" s="4551" t="s">
        <v>5378</v>
      </c>
      <c r="M64" s="3756" t="s">
        <v>5379</v>
      </c>
      <c r="N64" s="4551" t="s">
        <v>5380</v>
      </c>
      <c r="O64" s="6859" t="s">
        <v>5381</v>
      </c>
      <c r="P64" s="6860" t="s">
        <v>5382</v>
      </c>
      <c r="Q64" s="6859" t="s">
        <v>5383</v>
      </c>
      <c r="R64" s="6860" t="s">
        <v>5384</v>
      </c>
      <c r="BZ64" s="165"/>
      <c r="CA64" s="165"/>
      <c r="CB64" s="165"/>
      <c r="CC64" s="165"/>
      <c r="CD64" s="165"/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65"/>
      <c r="CR64" s="165"/>
    </row>
    <row r="65" spans="1:96" ht="16.2" customHeight="1" x14ac:dyDescent="0.25">
      <c r="A65" s="7635">
        <v>32101697</v>
      </c>
      <c r="B65" s="6909" t="s">
        <v>3865</v>
      </c>
      <c r="C65" s="4565" t="s">
        <v>5369</v>
      </c>
      <c r="D65" s="6948" t="s">
        <v>5370</v>
      </c>
      <c r="E65" s="2923" t="s">
        <v>5371</v>
      </c>
      <c r="F65" s="6948" t="s">
        <v>5372</v>
      </c>
      <c r="G65" s="2822" t="s">
        <v>5373</v>
      </c>
      <c r="H65" s="4541" t="s">
        <v>5374</v>
      </c>
      <c r="I65" s="2852" t="s">
        <v>5375</v>
      </c>
      <c r="J65" s="4541" t="s">
        <v>5376</v>
      </c>
      <c r="K65" s="2822" t="s">
        <v>5377</v>
      </c>
      <c r="L65" s="4541" t="s">
        <v>5378</v>
      </c>
      <c r="M65" s="2852" t="s">
        <v>5379</v>
      </c>
      <c r="N65" s="4541" t="s">
        <v>5380</v>
      </c>
      <c r="O65" s="6859" t="s">
        <v>5381</v>
      </c>
      <c r="P65" s="6860" t="s">
        <v>5382</v>
      </c>
      <c r="Q65" s="6859" t="s">
        <v>5383</v>
      </c>
      <c r="R65" s="6860" t="s">
        <v>5384</v>
      </c>
      <c r="BZ65" s="165"/>
      <c r="CA65" s="165"/>
      <c r="CB65" s="165"/>
      <c r="CC65" s="165"/>
      <c r="CD65" s="165"/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65"/>
      <c r="CR65" s="165"/>
    </row>
    <row r="66" spans="1:96" ht="16.2" customHeight="1" x14ac:dyDescent="0.25">
      <c r="A66" s="7635">
        <v>32101698</v>
      </c>
      <c r="B66" s="6909" t="s">
        <v>3866</v>
      </c>
      <c r="C66" s="4565" t="s">
        <v>5369</v>
      </c>
      <c r="D66" s="6948" t="s">
        <v>5370</v>
      </c>
      <c r="E66" s="2923" t="s">
        <v>5371</v>
      </c>
      <c r="F66" s="6948" t="s">
        <v>5372</v>
      </c>
      <c r="G66" s="2822" t="s">
        <v>5373</v>
      </c>
      <c r="H66" s="4541" t="s">
        <v>5374</v>
      </c>
      <c r="I66" s="2852" t="s">
        <v>5375</v>
      </c>
      <c r="J66" s="4541" t="s">
        <v>5376</v>
      </c>
      <c r="K66" s="2822" t="s">
        <v>5377</v>
      </c>
      <c r="L66" s="4541" t="s">
        <v>5378</v>
      </c>
      <c r="M66" s="2852" t="s">
        <v>5379</v>
      </c>
      <c r="N66" s="4541" t="s">
        <v>5380</v>
      </c>
      <c r="O66" s="6859" t="s">
        <v>5381</v>
      </c>
      <c r="P66" s="6860" t="s">
        <v>5382</v>
      </c>
      <c r="Q66" s="6859" t="s">
        <v>5383</v>
      </c>
      <c r="R66" s="6860" t="s">
        <v>5384</v>
      </c>
      <c r="BZ66" s="165"/>
      <c r="CA66" s="165"/>
      <c r="CB66" s="165"/>
      <c r="CC66" s="165"/>
      <c r="CD66" s="165"/>
      <c r="CE66" s="165"/>
      <c r="CF66" s="165"/>
      <c r="CG66" s="165"/>
      <c r="CH66" s="165"/>
      <c r="CI66" s="165"/>
      <c r="CJ66" s="165"/>
      <c r="CK66" s="165"/>
      <c r="CL66" s="165"/>
      <c r="CM66" s="165"/>
      <c r="CN66" s="165"/>
      <c r="CO66" s="165"/>
      <c r="CP66" s="165"/>
      <c r="CQ66" s="165"/>
      <c r="CR66" s="165"/>
    </row>
    <row r="67" spans="1:96" s="199" customFormat="1" ht="16.2" customHeight="1" x14ac:dyDescent="0.25">
      <c r="A67" s="7635">
        <v>32101699</v>
      </c>
      <c r="B67" s="6910" t="s">
        <v>3867</v>
      </c>
      <c r="C67" s="3162" t="s">
        <v>5369</v>
      </c>
      <c r="D67" s="2835" t="s">
        <v>5370</v>
      </c>
      <c r="E67" s="2745" t="s">
        <v>5371</v>
      </c>
      <c r="F67" s="2835" t="s">
        <v>5372</v>
      </c>
      <c r="G67" s="3158" t="s">
        <v>5373</v>
      </c>
      <c r="H67" s="2821" t="s">
        <v>5374</v>
      </c>
      <c r="I67" s="2477" t="s">
        <v>5375</v>
      </c>
      <c r="J67" s="2821" t="s">
        <v>5376</v>
      </c>
      <c r="K67" s="3158" t="s">
        <v>5377</v>
      </c>
      <c r="L67" s="2821" t="s">
        <v>5378</v>
      </c>
      <c r="M67" s="2477" t="s">
        <v>5379</v>
      </c>
      <c r="N67" s="2821" t="s">
        <v>5380</v>
      </c>
      <c r="O67" s="6928" t="s">
        <v>5381</v>
      </c>
      <c r="P67" s="6922" t="s">
        <v>5382</v>
      </c>
      <c r="Q67" s="6929" t="s">
        <v>5383</v>
      </c>
      <c r="R67" s="6930" t="s">
        <v>5384</v>
      </c>
    </row>
    <row r="68" spans="1:96" ht="23.25" customHeight="1" x14ac:dyDescent="0.25">
      <c r="B68" s="6919" t="s">
        <v>3868</v>
      </c>
      <c r="BZ68" s="165"/>
      <c r="CA68" s="165"/>
      <c r="CB68" s="165"/>
      <c r="CC68" s="165"/>
      <c r="CD68" s="165"/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65"/>
      <c r="CR68" s="165"/>
    </row>
    <row r="69" spans="1:96" ht="22.5" customHeight="1" x14ac:dyDescent="0.25">
      <c r="B69" s="11136" t="s">
        <v>3869</v>
      </c>
      <c r="C69" s="11129" t="s">
        <v>3870</v>
      </c>
      <c r="D69" s="11129"/>
      <c r="E69" s="11129"/>
      <c r="F69" s="11129"/>
      <c r="G69" s="11129" t="s">
        <v>3871</v>
      </c>
      <c r="H69" s="11129"/>
      <c r="I69" s="11129"/>
      <c r="J69" s="11129"/>
      <c r="K69" s="11129" t="s">
        <v>3872</v>
      </c>
      <c r="L69" s="11129"/>
      <c r="M69" s="11129"/>
      <c r="N69" s="11129"/>
      <c r="O69" s="11129" t="s">
        <v>3873</v>
      </c>
      <c r="P69" s="11129"/>
      <c r="Q69" s="11129"/>
      <c r="R69" s="11129"/>
      <c r="BZ69" s="165"/>
      <c r="CA69" s="165"/>
      <c r="CB69" s="165"/>
      <c r="CC69" s="165"/>
      <c r="CD69" s="165"/>
      <c r="CE69" s="165"/>
      <c r="CF69" s="165"/>
      <c r="CG69" s="165"/>
      <c r="CH69" s="165"/>
      <c r="CI69" s="165"/>
      <c r="CJ69" s="165"/>
      <c r="CK69" s="165"/>
      <c r="CL69" s="165"/>
      <c r="CM69" s="165"/>
      <c r="CN69" s="165"/>
      <c r="CO69" s="165"/>
      <c r="CP69" s="165"/>
      <c r="CQ69" s="165"/>
      <c r="CR69" s="165"/>
    </row>
    <row r="70" spans="1:96" ht="16.2" customHeight="1" x14ac:dyDescent="0.25">
      <c r="B70" s="11136"/>
      <c r="C70" s="11130" t="s">
        <v>3825</v>
      </c>
      <c r="D70" s="11130"/>
      <c r="E70" s="11130" t="s">
        <v>3826</v>
      </c>
      <c r="F70" s="11130"/>
      <c r="G70" s="11130" t="s">
        <v>3825</v>
      </c>
      <c r="H70" s="11130"/>
      <c r="I70" s="11130" t="s">
        <v>3826</v>
      </c>
      <c r="J70" s="11130"/>
      <c r="K70" s="9504" t="s">
        <v>3825</v>
      </c>
      <c r="L70" s="9505"/>
      <c r="M70" s="9504" t="s">
        <v>3826</v>
      </c>
      <c r="N70" s="9505"/>
      <c r="O70" s="9504" t="s">
        <v>3825</v>
      </c>
      <c r="P70" s="9505"/>
      <c r="Q70" s="9505" t="s">
        <v>3826</v>
      </c>
      <c r="R70" s="11130"/>
      <c r="BZ70" s="165"/>
      <c r="CA70" s="165"/>
      <c r="CB70" s="165"/>
      <c r="CC70" s="165"/>
      <c r="CD70" s="165"/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65"/>
      <c r="CR70" s="165"/>
    </row>
    <row r="71" spans="1:96" ht="16.2" customHeight="1" x14ac:dyDescent="0.25">
      <c r="B71" s="11136"/>
      <c r="C71" s="6871" t="s">
        <v>17</v>
      </c>
      <c r="D71" s="6916" t="s">
        <v>18</v>
      </c>
      <c r="E71" s="6871" t="s">
        <v>17</v>
      </c>
      <c r="F71" s="6916" t="s">
        <v>18</v>
      </c>
      <c r="G71" s="6871" t="s">
        <v>17</v>
      </c>
      <c r="H71" s="6916" t="s">
        <v>18</v>
      </c>
      <c r="I71" s="6871" t="s">
        <v>17</v>
      </c>
      <c r="J71" s="6916" t="s">
        <v>18</v>
      </c>
      <c r="K71" s="6871" t="s">
        <v>17</v>
      </c>
      <c r="L71" s="6916" t="s">
        <v>18</v>
      </c>
      <c r="M71" s="6871" t="s">
        <v>17</v>
      </c>
      <c r="N71" s="6916" t="s">
        <v>18</v>
      </c>
      <c r="O71" s="6871" t="s">
        <v>17</v>
      </c>
      <c r="P71" s="6916" t="s">
        <v>18</v>
      </c>
      <c r="Q71" s="6903" t="s">
        <v>17</v>
      </c>
      <c r="R71" s="6916" t="s">
        <v>18</v>
      </c>
      <c r="BZ71" s="165"/>
      <c r="CA71" s="165"/>
      <c r="CB71" s="165"/>
      <c r="CC71" s="165"/>
      <c r="CD71" s="165"/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65"/>
      <c r="CR71" s="165"/>
    </row>
    <row r="72" spans="1:96" ht="16.2" customHeight="1" x14ac:dyDescent="0.25">
      <c r="A72" s="7267"/>
      <c r="B72" s="6907" t="s">
        <v>24</v>
      </c>
      <c r="C72" s="6888">
        <f>SUM(C73:C76)</f>
        <v>0</v>
      </c>
      <c r="D72" s="6891">
        <f>SUM(D73:D76)</f>
        <v>0</v>
      </c>
      <c r="E72" s="6889">
        <f>SUM(E73:E76)</f>
        <v>0</v>
      </c>
      <c r="F72" s="6891">
        <f>SUM(F73:F76)</f>
        <v>0</v>
      </c>
      <c r="G72" s="6888">
        <f t="shared" ref="G72:R72" si="5">SUM(G73:G76)</f>
        <v>0</v>
      </c>
      <c r="H72" s="6923">
        <f t="shared" si="5"/>
        <v>0</v>
      </c>
      <c r="I72" s="6888">
        <f t="shared" si="5"/>
        <v>0</v>
      </c>
      <c r="J72" s="6923">
        <f t="shared" si="5"/>
        <v>0</v>
      </c>
      <c r="K72" s="6888">
        <f t="shared" si="5"/>
        <v>0</v>
      </c>
      <c r="L72" s="6923">
        <f t="shared" si="5"/>
        <v>0</v>
      </c>
      <c r="M72" s="6888">
        <f t="shared" si="5"/>
        <v>0</v>
      </c>
      <c r="N72" s="6923">
        <f t="shared" si="5"/>
        <v>0</v>
      </c>
      <c r="O72" s="6888">
        <f t="shared" si="5"/>
        <v>0</v>
      </c>
      <c r="P72" s="6923">
        <f t="shared" si="5"/>
        <v>0</v>
      </c>
      <c r="Q72" s="6889">
        <f t="shared" si="5"/>
        <v>0</v>
      </c>
      <c r="R72" s="6923">
        <f t="shared" si="5"/>
        <v>0</v>
      </c>
      <c r="BZ72" s="165"/>
      <c r="CA72" s="165"/>
      <c r="CB72" s="165"/>
      <c r="CC72" s="165"/>
      <c r="CD72" s="165"/>
      <c r="CE72" s="165"/>
      <c r="CF72" s="165"/>
      <c r="CG72" s="165"/>
      <c r="CH72" s="165"/>
      <c r="CI72" s="165"/>
      <c r="CJ72" s="165"/>
      <c r="CK72" s="165"/>
      <c r="CL72" s="165"/>
      <c r="CM72" s="165"/>
      <c r="CN72" s="165"/>
      <c r="CO72" s="165"/>
      <c r="CP72" s="165"/>
      <c r="CQ72" s="165"/>
      <c r="CR72" s="165"/>
    </row>
    <row r="73" spans="1:96" ht="16.2" customHeight="1" x14ac:dyDescent="0.25">
      <c r="A73" s="7635">
        <v>32101700</v>
      </c>
      <c r="B73" s="6892" t="s">
        <v>2592</v>
      </c>
      <c r="C73" s="6937" t="s">
        <v>5369</v>
      </c>
      <c r="D73" s="6946" t="s">
        <v>5370</v>
      </c>
      <c r="E73" s="6947" t="s">
        <v>5371</v>
      </c>
      <c r="F73" s="6946" t="s">
        <v>5372</v>
      </c>
      <c r="G73" s="3757" t="s">
        <v>5373</v>
      </c>
      <c r="H73" s="4551" t="s">
        <v>5374</v>
      </c>
      <c r="I73" s="3756" t="s">
        <v>5375</v>
      </c>
      <c r="J73" s="4551" t="s">
        <v>5376</v>
      </c>
      <c r="K73" s="3757" t="s">
        <v>5377</v>
      </c>
      <c r="L73" s="4551" t="s">
        <v>5378</v>
      </c>
      <c r="M73" s="3756" t="s">
        <v>5379</v>
      </c>
      <c r="N73" s="4551" t="s">
        <v>5380</v>
      </c>
      <c r="O73" s="6859" t="s">
        <v>5381</v>
      </c>
      <c r="P73" s="6860" t="s">
        <v>5382</v>
      </c>
      <c r="Q73" s="6859" t="s">
        <v>5383</v>
      </c>
      <c r="R73" s="6860" t="s">
        <v>5384</v>
      </c>
      <c r="BZ73" s="165"/>
      <c r="CA73" s="165"/>
      <c r="CB73" s="165"/>
      <c r="CC73" s="165"/>
      <c r="CD73" s="165"/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65"/>
      <c r="CR73" s="165"/>
    </row>
    <row r="74" spans="1:96" ht="16.2" customHeight="1" x14ac:dyDescent="0.25">
      <c r="A74" s="7635">
        <v>32101701</v>
      </c>
      <c r="B74" s="6909" t="s">
        <v>3865</v>
      </c>
      <c r="C74" s="4565" t="s">
        <v>5369</v>
      </c>
      <c r="D74" s="6948" t="s">
        <v>5370</v>
      </c>
      <c r="E74" s="2923" t="s">
        <v>5371</v>
      </c>
      <c r="F74" s="6948" t="s">
        <v>5372</v>
      </c>
      <c r="G74" s="2822" t="s">
        <v>5373</v>
      </c>
      <c r="H74" s="4541" t="s">
        <v>5374</v>
      </c>
      <c r="I74" s="2852" t="s">
        <v>5375</v>
      </c>
      <c r="J74" s="4541" t="s">
        <v>5376</v>
      </c>
      <c r="K74" s="2822" t="s">
        <v>5377</v>
      </c>
      <c r="L74" s="4541" t="s">
        <v>5378</v>
      </c>
      <c r="M74" s="2852" t="s">
        <v>5379</v>
      </c>
      <c r="N74" s="4541" t="s">
        <v>5380</v>
      </c>
      <c r="O74" s="6859" t="s">
        <v>5381</v>
      </c>
      <c r="P74" s="6860" t="s">
        <v>5382</v>
      </c>
      <c r="Q74" s="6859" t="s">
        <v>5383</v>
      </c>
      <c r="R74" s="6860" t="s">
        <v>5384</v>
      </c>
      <c r="BZ74" s="165"/>
      <c r="CA74" s="165"/>
      <c r="CB74" s="165"/>
      <c r="CC74" s="165"/>
      <c r="CD74" s="165"/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65"/>
      <c r="CR74" s="165"/>
    </row>
    <row r="75" spans="1:96" ht="16.2" customHeight="1" x14ac:dyDescent="0.25">
      <c r="A75" s="7635">
        <v>32101702</v>
      </c>
      <c r="B75" s="6909" t="s">
        <v>3866</v>
      </c>
      <c r="C75" s="4565" t="s">
        <v>5369</v>
      </c>
      <c r="D75" s="6948" t="s">
        <v>5370</v>
      </c>
      <c r="E75" s="2923" t="s">
        <v>5371</v>
      </c>
      <c r="F75" s="6948" t="s">
        <v>5372</v>
      </c>
      <c r="G75" s="2822" t="s">
        <v>5373</v>
      </c>
      <c r="H75" s="4541" t="s">
        <v>5374</v>
      </c>
      <c r="I75" s="2852" t="s">
        <v>5375</v>
      </c>
      <c r="J75" s="4541" t="s">
        <v>5376</v>
      </c>
      <c r="K75" s="2822" t="s">
        <v>5377</v>
      </c>
      <c r="L75" s="4541" t="s">
        <v>5378</v>
      </c>
      <c r="M75" s="2852" t="s">
        <v>5379</v>
      </c>
      <c r="N75" s="4541" t="s">
        <v>5380</v>
      </c>
      <c r="O75" s="6859" t="s">
        <v>5381</v>
      </c>
      <c r="P75" s="6860" t="s">
        <v>5382</v>
      </c>
      <c r="Q75" s="6859" t="s">
        <v>5383</v>
      </c>
      <c r="R75" s="6860" t="s">
        <v>5384</v>
      </c>
      <c r="BZ75" s="165"/>
      <c r="CA75" s="165"/>
      <c r="CB75" s="165"/>
      <c r="CC75" s="165"/>
      <c r="CD75" s="165"/>
      <c r="CE75" s="165"/>
      <c r="CF75" s="165"/>
      <c r="CG75" s="165"/>
      <c r="CH75" s="165"/>
      <c r="CI75" s="165"/>
      <c r="CJ75" s="165"/>
      <c r="CK75" s="165"/>
      <c r="CL75" s="165"/>
      <c r="CM75" s="165"/>
      <c r="CN75" s="165"/>
      <c r="CO75" s="165"/>
      <c r="CP75" s="165"/>
      <c r="CQ75" s="165"/>
      <c r="CR75" s="165"/>
    </row>
    <row r="76" spans="1:96" s="290" customFormat="1" ht="16.2" customHeight="1" x14ac:dyDescent="0.25">
      <c r="A76" s="7635">
        <v>32101703</v>
      </c>
      <c r="B76" s="6910" t="s">
        <v>3867</v>
      </c>
      <c r="C76" s="3162" t="s">
        <v>5369</v>
      </c>
      <c r="D76" s="2835" t="s">
        <v>5370</v>
      </c>
      <c r="E76" s="2745" t="s">
        <v>5371</v>
      </c>
      <c r="F76" s="2835" t="s">
        <v>5372</v>
      </c>
      <c r="G76" s="3158" t="s">
        <v>5373</v>
      </c>
      <c r="H76" s="2821" t="s">
        <v>5374</v>
      </c>
      <c r="I76" s="2477" t="s">
        <v>5375</v>
      </c>
      <c r="J76" s="2821" t="s">
        <v>5376</v>
      </c>
      <c r="K76" s="3158" t="s">
        <v>5377</v>
      </c>
      <c r="L76" s="2821" t="s">
        <v>5378</v>
      </c>
      <c r="M76" s="2477" t="s">
        <v>5379</v>
      </c>
      <c r="N76" s="2821" t="s">
        <v>5380</v>
      </c>
      <c r="O76" s="6928" t="s">
        <v>5381</v>
      </c>
      <c r="P76" s="6922" t="s">
        <v>5382</v>
      </c>
      <c r="Q76" s="6929" t="s">
        <v>5383</v>
      </c>
      <c r="R76" s="6930" t="s">
        <v>5384</v>
      </c>
    </row>
    <row r="77" spans="1:96" ht="23.25" customHeight="1" x14ac:dyDescent="0.25">
      <c r="B77" s="6919" t="s">
        <v>3916</v>
      </c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BZ77" s="165"/>
      <c r="CA77" s="165"/>
      <c r="CB77" s="165"/>
      <c r="CC77" s="165"/>
      <c r="CD77" s="165"/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65"/>
      <c r="CR77" s="165"/>
    </row>
    <row r="78" spans="1:96" ht="22.5" customHeight="1" x14ac:dyDescent="0.25">
      <c r="B78" s="11143" t="s">
        <v>3869</v>
      </c>
      <c r="C78" s="11129" t="s">
        <v>3917</v>
      </c>
      <c r="D78" s="11129"/>
      <c r="E78" s="11129"/>
      <c r="F78" s="11129"/>
      <c r="G78" s="11129" t="s">
        <v>3918</v>
      </c>
      <c r="H78" s="11129"/>
      <c r="I78" s="11129"/>
      <c r="J78" s="11129"/>
      <c r="BZ78" s="165"/>
      <c r="CA78" s="165"/>
      <c r="CB78" s="165"/>
      <c r="CC78" s="165"/>
      <c r="CD78" s="165"/>
      <c r="CE78" s="165"/>
      <c r="CF78" s="165"/>
      <c r="CG78" s="165"/>
      <c r="CH78" s="165"/>
      <c r="CI78" s="165"/>
      <c r="CJ78" s="165"/>
      <c r="CK78" s="165"/>
      <c r="CL78" s="165"/>
      <c r="CM78" s="165"/>
      <c r="CN78" s="165"/>
      <c r="CO78" s="165"/>
      <c r="CP78" s="165"/>
      <c r="CQ78" s="165"/>
      <c r="CR78" s="165"/>
    </row>
    <row r="79" spans="1:96" x14ac:dyDescent="0.25">
      <c r="B79" s="11144"/>
      <c r="C79" s="11130" t="s">
        <v>3825</v>
      </c>
      <c r="D79" s="11130"/>
      <c r="E79" s="11130" t="s">
        <v>3826</v>
      </c>
      <c r="F79" s="11130"/>
      <c r="G79" s="9504" t="s">
        <v>3825</v>
      </c>
      <c r="H79" s="9505"/>
      <c r="I79" s="11130" t="s">
        <v>3826</v>
      </c>
      <c r="J79" s="11130"/>
      <c r="BZ79" s="165"/>
      <c r="CA79" s="165"/>
      <c r="CB79" s="165"/>
      <c r="CC79" s="165"/>
      <c r="CD79" s="165"/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65"/>
      <c r="CR79" s="165"/>
    </row>
    <row r="80" spans="1:96" ht="19.5" customHeight="1" x14ac:dyDescent="0.25">
      <c r="B80" s="11145"/>
      <c r="C80" s="6871" t="s">
        <v>17</v>
      </c>
      <c r="D80" s="6844" t="s">
        <v>18</v>
      </c>
      <c r="E80" s="6903" t="s">
        <v>17</v>
      </c>
      <c r="F80" s="6916" t="s">
        <v>18</v>
      </c>
      <c r="G80" s="6871" t="s">
        <v>17</v>
      </c>
      <c r="H80" s="6916" t="s">
        <v>18</v>
      </c>
      <c r="I80" s="6871" t="s">
        <v>17</v>
      </c>
      <c r="J80" s="6844" t="s">
        <v>18</v>
      </c>
      <c r="BZ80" s="165"/>
      <c r="CA80" s="165"/>
      <c r="CB80" s="165"/>
      <c r="CC80" s="165"/>
      <c r="CD80" s="165"/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65"/>
      <c r="CR80" s="165"/>
    </row>
    <row r="81" spans="1:96" x14ac:dyDescent="0.25">
      <c r="A81" s="7267"/>
      <c r="B81" s="6907" t="s">
        <v>24</v>
      </c>
      <c r="C81" s="6871">
        <f>SUM(C82:C83)</f>
        <v>0</v>
      </c>
      <c r="D81" s="6903">
        <f t="shared" ref="D81:J81" si="6">SUM(D82:D83)</f>
        <v>0</v>
      </c>
      <c r="E81" s="6871">
        <f t="shared" si="6"/>
        <v>0</v>
      </c>
      <c r="F81" s="6903">
        <f t="shared" si="6"/>
        <v>0</v>
      </c>
      <c r="G81" s="6870">
        <f t="shared" si="6"/>
        <v>0</v>
      </c>
      <c r="H81" s="6844">
        <f t="shared" si="6"/>
        <v>0</v>
      </c>
      <c r="I81" s="6870">
        <f t="shared" si="6"/>
        <v>0</v>
      </c>
      <c r="J81" s="6911">
        <f t="shared" si="6"/>
        <v>0</v>
      </c>
      <c r="K81" s="6849"/>
      <c r="BZ81" s="165"/>
      <c r="CA81" s="165"/>
      <c r="CB81" s="165"/>
      <c r="CC81" s="165"/>
      <c r="CD81" s="165"/>
      <c r="CE81" s="165"/>
      <c r="CF81" s="165"/>
      <c r="CG81" s="165"/>
      <c r="CH81" s="165"/>
      <c r="CI81" s="165"/>
      <c r="CJ81" s="165"/>
      <c r="CK81" s="165"/>
      <c r="CL81" s="165"/>
      <c r="CM81" s="165"/>
      <c r="CN81" s="165"/>
      <c r="CO81" s="165"/>
      <c r="CP81" s="165"/>
      <c r="CQ81" s="165"/>
      <c r="CR81" s="165"/>
    </row>
    <row r="82" spans="1:96" x14ac:dyDescent="0.25">
      <c r="A82" s="7258">
        <v>30100250</v>
      </c>
      <c r="B82" s="6892" t="s">
        <v>3874</v>
      </c>
      <c r="C82" s="3754" t="s">
        <v>5369</v>
      </c>
      <c r="D82" s="7019" t="s">
        <v>5370</v>
      </c>
      <c r="E82" s="3134" t="s">
        <v>5371</v>
      </c>
      <c r="F82" s="3193" t="s">
        <v>5372</v>
      </c>
      <c r="G82" s="7739" t="s">
        <v>5373</v>
      </c>
      <c r="H82" s="7740" t="s">
        <v>5374</v>
      </c>
      <c r="I82" s="7739" t="s">
        <v>5375</v>
      </c>
      <c r="J82" s="7740" t="s">
        <v>5376</v>
      </c>
      <c r="BZ82" s="165"/>
      <c r="CA82" s="165"/>
      <c r="CB82" s="165"/>
      <c r="CC82" s="165"/>
      <c r="CD82" s="165"/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65"/>
      <c r="CR82" s="165"/>
    </row>
    <row r="83" spans="1:96" x14ac:dyDescent="0.25">
      <c r="A83" s="7635">
        <v>32101704</v>
      </c>
      <c r="B83" s="6931" t="s">
        <v>3875</v>
      </c>
      <c r="C83" s="6926" t="s">
        <v>5369</v>
      </c>
      <c r="D83" s="6925" t="s">
        <v>5370</v>
      </c>
      <c r="E83" s="6924" t="s">
        <v>5371</v>
      </c>
      <c r="F83" s="6925" t="s">
        <v>5372</v>
      </c>
      <c r="G83" s="6928" t="s">
        <v>5373</v>
      </c>
      <c r="H83" s="6922" t="s">
        <v>5374</v>
      </c>
      <c r="I83" s="6928" t="s">
        <v>5375</v>
      </c>
      <c r="J83" s="6922" t="s">
        <v>5376</v>
      </c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</row>
    <row r="84" spans="1:96" s="1192" customFormat="1" ht="19.5" customHeight="1" x14ac:dyDescent="0.3">
      <c r="A84" s="7635"/>
      <c r="B84" s="751" t="s">
        <v>3876</v>
      </c>
      <c r="C84" s="6825"/>
      <c r="D84" s="6825"/>
      <c r="E84" s="6825"/>
      <c r="F84" s="6825"/>
      <c r="G84" s="6825"/>
      <c r="H84" s="6825"/>
      <c r="I84" s="6825"/>
      <c r="J84" s="6825"/>
    </row>
    <row r="85" spans="1:96" customFormat="1" ht="18" customHeight="1" x14ac:dyDescent="0.3">
      <c r="A85" s="7635"/>
      <c r="B85" s="2386" t="s">
        <v>3877</v>
      </c>
      <c r="C85" s="7323"/>
      <c r="D85" s="7742"/>
      <c r="E85" s="7742"/>
      <c r="F85" s="7742"/>
      <c r="G85" s="7742"/>
      <c r="H85" s="2385"/>
      <c r="I85" s="2384"/>
      <c r="J85" s="2384"/>
      <c r="K85" s="2384"/>
    </row>
    <row r="86" spans="1:96" customFormat="1" ht="23.25" customHeight="1" x14ac:dyDescent="0.3">
      <c r="A86" s="7635"/>
      <c r="B86" s="11138" t="s">
        <v>3878</v>
      </c>
      <c r="C86" s="10912" t="s">
        <v>24</v>
      </c>
      <c r="D86" s="11139" t="s">
        <v>3879</v>
      </c>
      <c r="E86" s="11139"/>
      <c r="F86" s="11139"/>
      <c r="G86" s="11139"/>
      <c r="H86" s="11139"/>
      <c r="I86" s="10912"/>
      <c r="J86" s="11140" t="s">
        <v>3880</v>
      </c>
      <c r="K86" s="10906"/>
    </row>
    <row r="87" spans="1:96" customFormat="1" ht="23.25" customHeight="1" x14ac:dyDescent="0.3">
      <c r="B87" s="11138"/>
      <c r="C87" s="10912"/>
      <c r="D87" s="11142" t="s">
        <v>3825</v>
      </c>
      <c r="E87" s="10909"/>
      <c r="F87" s="10908" t="s">
        <v>3826</v>
      </c>
      <c r="G87" s="10909"/>
      <c r="H87" s="10911" t="s">
        <v>3881</v>
      </c>
      <c r="I87" s="10912"/>
      <c r="J87" s="11141"/>
      <c r="K87" s="10907"/>
    </row>
    <row r="88" spans="1:96" customFormat="1" ht="41.25" customHeight="1" x14ac:dyDescent="0.3">
      <c r="A88" s="7635"/>
      <c r="B88" s="11138"/>
      <c r="C88" s="10906"/>
      <c r="D88" s="7746" t="s">
        <v>17</v>
      </c>
      <c r="E88" s="7745" t="s">
        <v>18</v>
      </c>
      <c r="F88" s="7746" t="s">
        <v>17</v>
      </c>
      <c r="G88" s="7745" t="s">
        <v>18</v>
      </c>
      <c r="H88" s="7747" t="s">
        <v>3882</v>
      </c>
      <c r="I88" s="7743" t="s">
        <v>3883</v>
      </c>
      <c r="J88" s="7748" t="s">
        <v>3884</v>
      </c>
      <c r="K88" s="7749" t="s">
        <v>3885</v>
      </c>
    </row>
    <row r="89" spans="1:96" customFormat="1" ht="16.5" customHeight="1" x14ac:dyDescent="0.3">
      <c r="A89" s="7635">
        <v>32101705</v>
      </c>
      <c r="B89" s="7785" t="s">
        <v>3886</v>
      </c>
      <c r="C89" s="7750" t="s">
        <v>5369</v>
      </c>
      <c r="D89" s="7751" t="s">
        <v>5370</v>
      </c>
      <c r="E89" s="7752" t="s">
        <v>5371</v>
      </c>
      <c r="F89" s="7753" t="s">
        <v>5372</v>
      </c>
      <c r="G89" s="7754" t="s">
        <v>5373</v>
      </c>
      <c r="H89" s="7402" t="s">
        <v>5374</v>
      </c>
      <c r="I89" s="7755" t="s">
        <v>5375</v>
      </c>
      <c r="J89" s="7431" t="s">
        <v>5376</v>
      </c>
      <c r="K89" s="7756" t="s">
        <v>5377</v>
      </c>
    </row>
    <row r="90" spans="1:96" customFormat="1" ht="16.5" customHeight="1" x14ac:dyDescent="0.3">
      <c r="A90" s="7635">
        <v>32101706</v>
      </c>
      <c r="B90" s="7786" t="s">
        <v>3887</v>
      </c>
      <c r="C90" s="7757" t="s">
        <v>5369</v>
      </c>
      <c r="D90" s="7758" t="s">
        <v>5370</v>
      </c>
      <c r="E90" s="7759" t="s">
        <v>5371</v>
      </c>
      <c r="F90" s="7758" t="s">
        <v>5372</v>
      </c>
      <c r="G90" s="7759" t="s">
        <v>5373</v>
      </c>
      <c r="H90" s="7760" t="s">
        <v>5374</v>
      </c>
      <c r="I90" s="7761" t="s">
        <v>5375</v>
      </c>
      <c r="J90" s="7762" t="s">
        <v>5376</v>
      </c>
      <c r="K90" s="7763" t="s">
        <v>5377</v>
      </c>
    </row>
    <row r="91" spans="1:96" customFormat="1" ht="24" customHeight="1" x14ac:dyDescent="0.3">
      <c r="A91" s="7635"/>
      <c r="B91" s="7764" t="s">
        <v>3888</v>
      </c>
      <c r="C91" s="7765"/>
      <c r="D91" s="7766"/>
      <c r="E91" s="7766"/>
      <c r="F91" s="7766"/>
      <c r="G91" s="7767"/>
      <c r="H91" s="165"/>
    </row>
    <row r="92" spans="1:96" customFormat="1" ht="28.5" customHeight="1" x14ac:dyDescent="0.3">
      <c r="A92" s="7635"/>
      <c r="B92" s="11138" t="s">
        <v>3889</v>
      </c>
      <c r="C92" s="11146" t="s">
        <v>24</v>
      </c>
      <c r="D92" s="10911" t="s">
        <v>3890</v>
      </c>
      <c r="E92" s="10912"/>
      <c r="F92" s="11140" t="s">
        <v>3891</v>
      </c>
      <c r="G92" s="10906"/>
    </row>
    <row r="93" spans="1:96" customFormat="1" ht="12.75" customHeight="1" x14ac:dyDescent="0.3">
      <c r="A93" s="7635"/>
      <c r="B93" s="11138"/>
      <c r="C93" s="11147"/>
      <c r="D93" s="10908" t="s">
        <v>3826</v>
      </c>
      <c r="E93" s="10909"/>
      <c r="F93" s="11141"/>
      <c r="G93" s="10907"/>
    </row>
    <row r="94" spans="1:96" customFormat="1" ht="20.399999999999999" x14ac:dyDescent="0.3">
      <c r="A94" s="7635"/>
      <c r="B94" s="11138"/>
      <c r="C94" s="11148"/>
      <c r="D94" s="7747" t="s">
        <v>17</v>
      </c>
      <c r="E94" s="7743" t="s">
        <v>18</v>
      </c>
      <c r="F94" s="7744" t="s">
        <v>3884</v>
      </c>
      <c r="G94" s="7748" t="s">
        <v>3885</v>
      </c>
      <c r="I94" s="165"/>
      <c r="J94" s="165"/>
    </row>
    <row r="95" spans="1:96" customFormat="1" ht="14.4" x14ac:dyDescent="0.3">
      <c r="A95" s="7635">
        <v>32101707</v>
      </c>
      <c r="B95" s="7785" t="s">
        <v>3886</v>
      </c>
      <c r="C95" s="7770" t="s">
        <v>5369</v>
      </c>
      <c r="D95" s="7771" t="s">
        <v>5370</v>
      </c>
      <c r="E95" s="7693" t="s">
        <v>5371</v>
      </c>
      <c r="F95" s="7693" t="s">
        <v>5372</v>
      </c>
      <c r="G95" s="7431" t="s">
        <v>5373</v>
      </c>
      <c r="I95" s="165"/>
      <c r="J95" s="165"/>
    </row>
    <row r="96" spans="1:96" s="1192" customFormat="1" ht="14.4" x14ac:dyDescent="0.3">
      <c r="A96" s="7635">
        <v>32101708</v>
      </c>
      <c r="B96" s="7786" t="s">
        <v>3887</v>
      </c>
      <c r="C96" s="7769" t="s">
        <v>5369</v>
      </c>
      <c r="D96" s="7772" t="s">
        <v>5370</v>
      </c>
      <c r="E96" s="7763" t="s">
        <v>5371</v>
      </c>
      <c r="F96" s="7762" t="s">
        <v>5372</v>
      </c>
      <c r="G96" s="7762" t="s">
        <v>5373</v>
      </c>
      <c r="H96"/>
      <c r="K96"/>
      <c r="L96"/>
      <c r="M96"/>
      <c r="N96"/>
      <c r="O96"/>
      <c r="P96"/>
    </row>
    <row r="97" spans="1:96" s="1192" customFormat="1" ht="21.75" customHeight="1" x14ac:dyDescent="0.3">
      <c r="A97" s="7635"/>
      <c r="B97" s="751" t="s">
        <v>3892</v>
      </c>
      <c r="C97" s="751"/>
      <c r="D97" s="6912"/>
      <c r="E97" s="6912"/>
      <c r="F97" s="6912"/>
      <c r="G97" s="6912"/>
      <c r="H97" s="165"/>
    </row>
    <row r="98" spans="1:96" s="1192" customFormat="1" ht="26.25" customHeight="1" x14ac:dyDescent="0.3">
      <c r="A98" s="7635"/>
      <c r="B98" s="11149" t="s">
        <v>3893</v>
      </c>
      <c r="C98" s="11129" t="s">
        <v>24</v>
      </c>
      <c r="D98" s="11135" t="s">
        <v>3894</v>
      </c>
      <c r="E98" s="11135"/>
      <c r="F98" s="11135"/>
      <c r="G98" s="9503"/>
    </row>
    <row r="99" spans="1:96" s="1192" customFormat="1" ht="14.4" x14ac:dyDescent="0.3">
      <c r="A99" s="7635"/>
      <c r="B99" s="11149"/>
      <c r="C99" s="11129"/>
      <c r="D99" s="11137" t="s">
        <v>3825</v>
      </c>
      <c r="E99" s="9505"/>
      <c r="F99" s="9505" t="s">
        <v>3826</v>
      </c>
      <c r="G99" s="11130"/>
    </row>
    <row r="100" spans="1:96" s="1192" customFormat="1" ht="14.4" x14ac:dyDescent="0.3">
      <c r="A100" s="7635"/>
      <c r="B100" s="11149"/>
      <c r="C100" s="11129"/>
      <c r="D100" s="6903" t="s">
        <v>17</v>
      </c>
      <c r="E100" s="6916" t="s">
        <v>18</v>
      </c>
      <c r="F100" s="6903" t="s">
        <v>17</v>
      </c>
      <c r="G100" s="6916" t="s">
        <v>18</v>
      </c>
    </row>
    <row r="101" spans="1:96" s="1192" customFormat="1" ht="14.4" x14ac:dyDescent="0.3">
      <c r="A101" s="7635">
        <v>32101709</v>
      </c>
      <c r="B101" s="7787" t="s">
        <v>3895</v>
      </c>
      <c r="C101" s="6913" t="s">
        <v>5369</v>
      </c>
      <c r="D101" s="6924" t="s">
        <v>5370</v>
      </c>
      <c r="E101" s="6925" t="s">
        <v>5371</v>
      </c>
      <c r="F101" s="2477" t="s">
        <v>5372</v>
      </c>
      <c r="G101" s="2821" t="s">
        <v>5373</v>
      </c>
      <c r="L101" s="199"/>
      <c r="M101" s="199"/>
      <c r="N101" s="199"/>
      <c r="O101" s="199"/>
      <c r="P101" s="199"/>
      <c r="Q101" s="199"/>
      <c r="R101" s="199"/>
    </row>
    <row r="102" spans="1:96" s="1192" customFormat="1" ht="26.25" customHeight="1" x14ac:dyDescent="0.3">
      <c r="A102" s="7635"/>
      <c r="B102" s="7323" t="s">
        <v>3896</v>
      </c>
      <c r="C102" s="7323"/>
      <c r="D102" s="7742"/>
      <c r="E102" s="7742"/>
      <c r="F102" s="7742"/>
      <c r="G102" s="7742"/>
      <c r="H102" s="165"/>
    </row>
    <row r="103" spans="1:96" s="1192" customFormat="1" ht="23.25" customHeight="1" x14ac:dyDescent="0.3">
      <c r="A103" s="7635"/>
      <c r="B103" s="11151" t="s">
        <v>3893</v>
      </c>
      <c r="C103" s="11155" t="s">
        <v>24</v>
      </c>
      <c r="D103" s="11139" t="s">
        <v>3897</v>
      </c>
      <c r="E103" s="11139"/>
      <c r="F103" s="11139"/>
      <c r="G103" s="10912"/>
    </row>
    <row r="104" spans="1:96" s="1192" customFormat="1" ht="14.4" x14ac:dyDescent="0.3">
      <c r="A104" s="7635"/>
      <c r="B104" s="11151"/>
      <c r="C104" s="10543"/>
      <c r="D104" s="10909" t="s">
        <v>3825</v>
      </c>
      <c r="E104" s="11150"/>
      <c r="F104" s="10909" t="s">
        <v>3826</v>
      </c>
      <c r="G104" s="11150"/>
    </row>
    <row r="105" spans="1:96" s="1192" customFormat="1" ht="14.4" x14ac:dyDescent="0.3">
      <c r="A105" s="7635"/>
      <c r="B105" s="11151"/>
      <c r="C105" s="11156"/>
      <c r="D105" s="7746" t="s">
        <v>17</v>
      </c>
      <c r="E105" s="7745" t="s">
        <v>18</v>
      </c>
      <c r="F105" s="7746" t="s">
        <v>17</v>
      </c>
      <c r="G105" s="7745" t="s">
        <v>18</v>
      </c>
    </row>
    <row r="106" spans="1:96" ht="14.25" customHeight="1" x14ac:dyDescent="0.3">
      <c r="A106" s="7635">
        <v>32101710</v>
      </c>
      <c r="B106" s="7787" t="s">
        <v>3895</v>
      </c>
      <c r="C106" s="7768" t="s">
        <v>5369</v>
      </c>
      <c r="D106" s="7788" t="s">
        <v>5370</v>
      </c>
      <c r="E106" s="7789" t="s">
        <v>5371</v>
      </c>
      <c r="F106" s="7788" t="s">
        <v>5372</v>
      </c>
      <c r="G106" s="7789" t="s">
        <v>5373</v>
      </c>
      <c r="H106" s="1192"/>
      <c r="I106" s="1192"/>
      <c r="J106" s="1192"/>
      <c r="K106" s="1192"/>
      <c r="L106" s="1157"/>
      <c r="M106" s="1157"/>
      <c r="N106" s="1157"/>
      <c r="O106" s="1157"/>
      <c r="P106" s="1157"/>
      <c r="Q106" s="1157"/>
      <c r="R106" s="1157"/>
      <c r="BZ106" s="165"/>
      <c r="CA106" s="165"/>
      <c r="CB106" s="165"/>
      <c r="CC106" s="165"/>
      <c r="CD106" s="165"/>
      <c r="CE106" s="165"/>
      <c r="CF106" s="165"/>
      <c r="CG106" s="165"/>
      <c r="CH106" s="165"/>
      <c r="CI106" s="165"/>
      <c r="CJ106" s="165"/>
      <c r="CK106" s="165"/>
      <c r="CL106" s="165"/>
      <c r="CM106" s="165"/>
      <c r="CN106" s="165"/>
      <c r="CO106" s="165"/>
      <c r="CP106" s="165"/>
      <c r="CQ106" s="165"/>
      <c r="CR106" s="165"/>
    </row>
    <row r="107" spans="1:96" ht="24" customHeight="1" x14ac:dyDescent="0.25">
      <c r="A107" s="7635"/>
      <c r="B107" s="7773" t="s">
        <v>3898</v>
      </c>
      <c r="C107" s="7742"/>
      <c r="D107" s="7742"/>
      <c r="E107" s="7742"/>
      <c r="F107" s="7742"/>
      <c r="G107" s="2385"/>
      <c r="H107" s="2385"/>
      <c r="I107" s="2385"/>
      <c r="J107" s="2385"/>
    </row>
    <row r="108" spans="1:96" ht="27" customHeight="1" x14ac:dyDescent="0.25">
      <c r="A108" s="7635"/>
      <c r="B108" s="11138" t="s">
        <v>3899</v>
      </c>
      <c r="C108" s="11154" t="s">
        <v>3900</v>
      </c>
      <c r="D108" s="11154"/>
      <c r="E108" s="11154"/>
      <c r="F108" s="11154"/>
      <c r="G108" s="11154" t="s">
        <v>3901</v>
      </c>
      <c r="H108" s="11154"/>
      <c r="I108" s="11154"/>
      <c r="J108" s="11154"/>
    </row>
    <row r="109" spans="1:96" x14ac:dyDescent="0.25">
      <c r="A109" s="7635"/>
      <c r="B109" s="11138"/>
      <c r="C109" s="11150" t="s">
        <v>3825</v>
      </c>
      <c r="D109" s="11150"/>
      <c r="E109" s="11150" t="s">
        <v>3826</v>
      </c>
      <c r="F109" s="11150"/>
      <c r="G109" s="11150" t="s">
        <v>3825</v>
      </c>
      <c r="H109" s="11150"/>
      <c r="I109" s="11150" t="s">
        <v>3826</v>
      </c>
      <c r="J109" s="11150"/>
    </row>
    <row r="110" spans="1:96" x14ac:dyDescent="0.25">
      <c r="A110" s="7635"/>
      <c r="B110" s="11138"/>
      <c r="C110" s="7774" t="s">
        <v>17</v>
      </c>
      <c r="D110" s="7745" t="s">
        <v>18</v>
      </c>
      <c r="E110" s="7774" t="s">
        <v>17</v>
      </c>
      <c r="F110" s="7745" t="s">
        <v>18</v>
      </c>
      <c r="G110" s="7774" t="s">
        <v>17</v>
      </c>
      <c r="H110" s="7745" t="s">
        <v>18</v>
      </c>
      <c r="I110" s="7774" t="s">
        <v>17</v>
      </c>
      <c r="J110" s="7745" t="s">
        <v>18</v>
      </c>
    </row>
    <row r="111" spans="1:96" ht="14.4" x14ac:dyDescent="0.25">
      <c r="A111" s="7635"/>
      <c r="B111" s="7775" t="s">
        <v>24</v>
      </c>
      <c r="C111" s="7776">
        <f>SUM(C112:C116)</f>
        <v>0</v>
      </c>
      <c r="D111" s="7777">
        <f>SUM(D112:D116)</f>
        <v>0</v>
      </c>
      <c r="E111" s="7776">
        <f t="shared" ref="E111:J111" si="7">SUM(E112:E116)</f>
        <v>0</v>
      </c>
      <c r="F111" s="7777">
        <f t="shared" si="7"/>
        <v>0</v>
      </c>
      <c r="G111" s="7776">
        <f t="shared" si="7"/>
        <v>0</v>
      </c>
      <c r="H111" s="7777">
        <f t="shared" si="7"/>
        <v>0</v>
      </c>
      <c r="I111" s="7776">
        <f t="shared" si="7"/>
        <v>0</v>
      </c>
      <c r="J111" s="7777">
        <f t="shared" si="7"/>
        <v>0</v>
      </c>
    </row>
    <row r="112" spans="1:96" x14ac:dyDescent="0.25">
      <c r="A112" s="7635">
        <v>32101711</v>
      </c>
      <c r="B112" s="7790" t="s">
        <v>3902</v>
      </c>
      <c r="C112" s="7771" t="s">
        <v>5369</v>
      </c>
      <c r="D112" s="7693" t="s">
        <v>5370</v>
      </c>
      <c r="E112" s="7771" t="s">
        <v>5371</v>
      </c>
      <c r="F112" s="7693" t="s">
        <v>5372</v>
      </c>
      <c r="G112" s="7778" t="s">
        <v>5373</v>
      </c>
      <c r="H112" s="7779" t="s">
        <v>5374</v>
      </c>
      <c r="I112" s="7778" t="s">
        <v>5375</v>
      </c>
      <c r="J112" s="7779" t="s">
        <v>5376</v>
      </c>
      <c r="BZ112" s="165"/>
      <c r="CA112" s="165"/>
      <c r="CB112" s="165"/>
      <c r="CC112" s="165"/>
      <c r="CD112" s="165"/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65"/>
      <c r="CR112" s="165"/>
    </row>
    <row r="113" spans="1:96" x14ac:dyDescent="0.25">
      <c r="A113" s="7635">
        <v>32101712</v>
      </c>
      <c r="B113" s="7791" t="s">
        <v>3903</v>
      </c>
      <c r="C113" s="7780" t="s">
        <v>5369</v>
      </c>
      <c r="D113" s="7756" t="s">
        <v>5370</v>
      </c>
      <c r="E113" s="7780" t="s">
        <v>5371</v>
      </c>
      <c r="F113" s="7756" t="s">
        <v>5372</v>
      </c>
      <c r="G113" s="7781" t="s">
        <v>5373</v>
      </c>
      <c r="H113" s="7782" t="s">
        <v>5374</v>
      </c>
      <c r="I113" s="7781" t="s">
        <v>5375</v>
      </c>
      <c r="J113" s="7782" t="s">
        <v>5376</v>
      </c>
      <c r="BZ113" s="165"/>
      <c r="CA113" s="165"/>
      <c r="CB113" s="165"/>
      <c r="CC113" s="165"/>
      <c r="CD113" s="165"/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65"/>
      <c r="CR113" s="165"/>
    </row>
    <row r="114" spans="1:96" x14ac:dyDescent="0.25">
      <c r="A114" s="7635">
        <v>32101713</v>
      </c>
      <c r="B114" s="7791" t="s">
        <v>3904</v>
      </c>
      <c r="C114" s="7780" t="s">
        <v>5369</v>
      </c>
      <c r="D114" s="7756" t="s">
        <v>5370</v>
      </c>
      <c r="E114" s="7780" t="s">
        <v>5371</v>
      </c>
      <c r="F114" s="7756" t="s">
        <v>5372</v>
      </c>
      <c r="G114" s="7781" t="s">
        <v>5373</v>
      </c>
      <c r="H114" s="7782" t="s">
        <v>5374</v>
      </c>
      <c r="I114" s="7781" t="s">
        <v>5375</v>
      </c>
      <c r="J114" s="7782" t="s">
        <v>5376</v>
      </c>
      <c r="BZ114" s="165"/>
      <c r="CA114" s="165"/>
      <c r="CB114" s="165"/>
      <c r="CC114" s="165"/>
      <c r="CD114" s="165"/>
      <c r="CE114" s="165"/>
      <c r="CF114" s="165"/>
      <c r="CG114" s="165"/>
      <c r="CH114" s="165"/>
      <c r="CI114" s="165"/>
      <c r="CJ114" s="165"/>
      <c r="CK114" s="165"/>
      <c r="CL114" s="165"/>
      <c r="CM114" s="165"/>
      <c r="CN114" s="165"/>
      <c r="CO114" s="165"/>
      <c r="CP114" s="165"/>
      <c r="CQ114" s="165"/>
      <c r="CR114" s="165"/>
    </row>
    <row r="115" spans="1:96" x14ac:dyDescent="0.25">
      <c r="A115" s="7635">
        <v>32101714</v>
      </c>
      <c r="B115" s="7791" t="s">
        <v>3905</v>
      </c>
      <c r="C115" s="7780" t="s">
        <v>5369</v>
      </c>
      <c r="D115" s="7756" t="s">
        <v>5370</v>
      </c>
      <c r="E115" s="7780" t="s">
        <v>5371</v>
      </c>
      <c r="F115" s="7756" t="s">
        <v>5372</v>
      </c>
      <c r="G115" s="7781" t="s">
        <v>5373</v>
      </c>
      <c r="H115" s="7782" t="s">
        <v>5374</v>
      </c>
      <c r="I115" s="7781" t="s">
        <v>5375</v>
      </c>
      <c r="J115" s="7782" t="s">
        <v>5376</v>
      </c>
      <c r="BZ115" s="165"/>
      <c r="CA115" s="165"/>
      <c r="CB115" s="165"/>
      <c r="CC115" s="165"/>
      <c r="CD115" s="165"/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65"/>
      <c r="CR115" s="165"/>
    </row>
    <row r="116" spans="1:96" x14ac:dyDescent="0.25">
      <c r="A116" s="7635">
        <v>32101715</v>
      </c>
      <c r="B116" s="7792" t="s">
        <v>70</v>
      </c>
      <c r="C116" s="7772" t="s">
        <v>5369</v>
      </c>
      <c r="D116" s="7763" t="s">
        <v>5370</v>
      </c>
      <c r="E116" s="7772" t="s">
        <v>5371</v>
      </c>
      <c r="F116" s="7763" t="s">
        <v>5372</v>
      </c>
      <c r="G116" s="7783" t="s">
        <v>5373</v>
      </c>
      <c r="H116" s="7784" t="s">
        <v>5374</v>
      </c>
      <c r="I116" s="7783" t="s">
        <v>5375</v>
      </c>
      <c r="J116" s="7784" t="s">
        <v>5376</v>
      </c>
      <c r="BZ116" s="165"/>
      <c r="CA116" s="165"/>
      <c r="CB116" s="165"/>
      <c r="CC116" s="165"/>
      <c r="CD116" s="165"/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65"/>
      <c r="CR116" s="165"/>
    </row>
    <row r="117" spans="1:96" ht="13.5" customHeight="1" x14ac:dyDescent="0.25">
      <c r="BZ117" s="165"/>
      <c r="CA117" s="165"/>
      <c r="CB117" s="165"/>
      <c r="CC117" s="165"/>
      <c r="CD117" s="165"/>
      <c r="CE117" s="165"/>
      <c r="CF117" s="165"/>
      <c r="CG117" s="165"/>
      <c r="CH117" s="165"/>
      <c r="CI117" s="165"/>
      <c r="CJ117" s="165"/>
      <c r="CK117" s="165"/>
      <c r="CL117" s="165"/>
      <c r="CM117" s="165"/>
      <c r="CN117" s="165"/>
      <c r="CO117" s="165"/>
      <c r="CP117" s="165"/>
      <c r="CQ117" s="165"/>
      <c r="CR117" s="165"/>
    </row>
    <row r="118" spans="1:96" ht="14.7" customHeight="1" x14ac:dyDescent="0.25">
      <c r="B118" s="7773" t="s">
        <v>3906</v>
      </c>
      <c r="C118" s="7742"/>
      <c r="D118" s="7742"/>
      <c r="E118" s="7742"/>
      <c r="F118" s="7742"/>
      <c r="G118" s="2385"/>
      <c r="H118" s="2385"/>
      <c r="BZ118" s="165"/>
      <c r="CA118" s="165"/>
      <c r="CB118" s="165"/>
      <c r="CC118" s="165"/>
      <c r="CD118" s="165"/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65"/>
      <c r="CR118" s="165"/>
    </row>
    <row r="119" spans="1:96" ht="14.7" customHeight="1" x14ac:dyDescent="0.25">
      <c r="B119" s="11151" t="s">
        <v>3907</v>
      </c>
      <c r="C119" s="11152" t="s">
        <v>39</v>
      </c>
      <c r="D119" s="10912" t="s">
        <v>3908</v>
      </c>
      <c r="E119" s="11154"/>
      <c r="F119" s="11154"/>
      <c r="G119" s="11154"/>
      <c r="H119" s="11154"/>
      <c r="BZ119" s="165"/>
      <c r="CA119" s="165"/>
      <c r="CB119" s="165"/>
      <c r="CC119" s="165"/>
      <c r="CD119" s="165"/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65"/>
      <c r="CR119" s="165"/>
    </row>
    <row r="120" spans="1:96" x14ac:dyDescent="0.25">
      <c r="B120" s="11151"/>
      <c r="C120" s="10541"/>
      <c r="D120" s="10909" t="s">
        <v>3825</v>
      </c>
      <c r="E120" s="11150"/>
      <c r="F120" s="10909" t="s">
        <v>3826</v>
      </c>
      <c r="G120" s="11150"/>
      <c r="H120" s="11155" t="s">
        <v>3909</v>
      </c>
      <c r="BZ120" s="165"/>
      <c r="CA120" s="165"/>
      <c r="CB120" s="165"/>
      <c r="CC120" s="165"/>
      <c r="CD120" s="165"/>
      <c r="CE120" s="165"/>
      <c r="CF120" s="165"/>
      <c r="CG120" s="165"/>
      <c r="CH120" s="165"/>
      <c r="CI120" s="165"/>
      <c r="CJ120" s="165"/>
      <c r="CK120" s="165"/>
      <c r="CL120" s="165"/>
      <c r="CM120" s="165"/>
      <c r="CN120" s="165"/>
      <c r="CO120" s="165"/>
      <c r="CP120" s="165"/>
      <c r="CQ120" s="165"/>
      <c r="CR120" s="165"/>
    </row>
    <row r="121" spans="1:96" x14ac:dyDescent="0.25">
      <c r="B121" s="11151"/>
      <c r="C121" s="11153"/>
      <c r="D121" s="7746" t="s">
        <v>17</v>
      </c>
      <c r="E121" s="7745" t="s">
        <v>18</v>
      </c>
      <c r="F121" s="7746" t="s">
        <v>17</v>
      </c>
      <c r="G121" s="7745" t="s">
        <v>18</v>
      </c>
      <c r="H121" s="11156"/>
      <c r="BZ121" s="165"/>
      <c r="CA121" s="165"/>
      <c r="CB121" s="165"/>
      <c r="CC121" s="165"/>
      <c r="CD121" s="165"/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65"/>
      <c r="CR121" s="165"/>
    </row>
    <row r="122" spans="1:96" s="6914" customFormat="1" x14ac:dyDescent="0.25">
      <c r="A122" s="7320">
        <v>32101716</v>
      </c>
      <c r="B122" s="7791" t="s">
        <v>3910</v>
      </c>
      <c r="C122" s="7770" t="s">
        <v>5369</v>
      </c>
      <c r="D122" s="7793" t="s">
        <v>5370</v>
      </c>
      <c r="E122" s="7794" t="s">
        <v>5371</v>
      </c>
      <c r="F122" s="7793" t="s">
        <v>5372</v>
      </c>
      <c r="G122" s="7793" t="s">
        <v>5373</v>
      </c>
      <c r="H122" s="7431" t="s">
        <v>5374</v>
      </c>
      <c r="I122" s="165"/>
      <c r="J122" s="165"/>
      <c r="K122" s="165"/>
    </row>
    <row r="123" spans="1:96" x14ac:dyDescent="0.25">
      <c r="A123" s="7635">
        <v>32101718</v>
      </c>
      <c r="B123" s="7791" t="s">
        <v>3911</v>
      </c>
      <c r="C123" s="7795" t="s">
        <v>5369</v>
      </c>
      <c r="D123" s="7753" t="s">
        <v>5370</v>
      </c>
      <c r="E123" s="7754" t="s">
        <v>5371</v>
      </c>
      <c r="F123" s="7753" t="s">
        <v>5372</v>
      </c>
      <c r="G123" s="7753" t="s">
        <v>5373</v>
      </c>
      <c r="H123" s="7796" t="s">
        <v>5374</v>
      </c>
      <c r="I123" s="6914"/>
      <c r="J123" s="6914"/>
      <c r="K123" s="6914"/>
      <c r="L123" s="6914"/>
      <c r="M123" s="6914"/>
      <c r="N123" s="6914"/>
      <c r="O123" s="6914"/>
      <c r="P123" s="6914"/>
      <c r="Q123" s="6914"/>
      <c r="R123" s="6914"/>
      <c r="BZ123" s="165"/>
      <c r="CA123" s="165"/>
      <c r="CB123" s="165"/>
      <c r="CC123" s="165"/>
      <c r="CD123" s="165"/>
      <c r="CE123" s="165"/>
      <c r="CF123" s="165"/>
      <c r="CG123" s="165"/>
      <c r="CH123" s="165"/>
      <c r="CI123" s="165"/>
      <c r="CJ123" s="165"/>
      <c r="CK123" s="165"/>
      <c r="CL123" s="165"/>
      <c r="CM123" s="165"/>
      <c r="CN123" s="165"/>
      <c r="CO123" s="165"/>
      <c r="CP123" s="165"/>
      <c r="CQ123" s="165"/>
      <c r="CR123" s="165"/>
    </row>
    <row r="124" spans="1:96" x14ac:dyDescent="0.25">
      <c r="A124" s="7258">
        <v>30100310</v>
      </c>
      <c r="B124" s="7792" t="s">
        <v>3912</v>
      </c>
      <c r="C124" s="7769" t="s">
        <v>5369</v>
      </c>
      <c r="D124" s="7758" t="s">
        <v>5370</v>
      </c>
      <c r="E124" s="7759" t="s">
        <v>5371</v>
      </c>
      <c r="F124" s="7758" t="s">
        <v>5372</v>
      </c>
      <c r="G124" s="7758" t="s">
        <v>5373</v>
      </c>
      <c r="H124" s="7762" t="s">
        <v>5374</v>
      </c>
      <c r="I124" s="6914"/>
      <c r="J124" s="6914"/>
      <c r="K124" s="6914"/>
    </row>
    <row r="130" spans="1:96" s="1418" customFormat="1" x14ac:dyDescent="0.25">
      <c r="B130" s="1418" t="e">
        <f>SUM(C16:F16,C30:F30,C43:F43,C52:F52,C63:F63,C72:F72,C81:J81,C89:C90,C95:C96,C101,C106,C111:J111,C122:C124)</f>
        <v>#VALUE!</v>
      </c>
      <c r="C130" s="1418">
        <v>0</v>
      </c>
    </row>
    <row r="131" spans="1:96" x14ac:dyDescent="0.25">
      <c r="A131" s="165" t="s">
        <v>4068</v>
      </c>
    </row>
    <row r="132" spans="1:96" x14ac:dyDescent="0.25">
      <c r="A132" s="7635">
        <v>32101679</v>
      </c>
    </row>
    <row r="133" spans="1:96" x14ac:dyDescent="0.25">
      <c r="A133" s="7635">
        <v>32101680</v>
      </c>
      <c r="BZ133" s="165"/>
      <c r="CA133" s="165"/>
      <c r="CB133" s="165"/>
      <c r="CC133" s="165"/>
      <c r="CD133" s="165"/>
      <c r="CE133" s="165"/>
      <c r="CF133" s="165"/>
      <c r="CG133" s="165"/>
      <c r="CH133" s="165"/>
      <c r="CI133" s="165"/>
      <c r="CJ133" s="165"/>
      <c r="CK133" s="165"/>
      <c r="CL133" s="165"/>
      <c r="CM133" s="165"/>
      <c r="CN133" s="165"/>
      <c r="CO133" s="165"/>
      <c r="CP133" s="165"/>
      <c r="CQ133" s="165"/>
      <c r="CR133" s="165"/>
    </row>
    <row r="134" spans="1:96" x14ac:dyDescent="0.25">
      <c r="A134" s="7635">
        <v>32101681</v>
      </c>
      <c r="BZ134" s="165"/>
      <c r="CA134" s="165"/>
      <c r="CB134" s="165"/>
      <c r="CC134" s="165"/>
      <c r="CD134" s="165"/>
      <c r="CE134" s="165"/>
      <c r="CF134" s="165"/>
      <c r="CG134" s="165"/>
      <c r="CH134" s="165"/>
      <c r="CI134" s="165"/>
      <c r="CJ134" s="165"/>
      <c r="CK134" s="165"/>
      <c r="CL134" s="165"/>
      <c r="CM134" s="165"/>
      <c r="CN134" s="165"/>
      <c r="CO134" s="165"/>
      <c r="CP134" s="165"/>
      <c r="CQ134" s="165"/>
      <c r="CR134" s="165"/>
    </row>
    <row r="135" spans="1:96" x14ac:dyDescent="0.25">
      <c r="A135" s="7635">
        <v>32101682</v>
      </c>
      <c r="BZ135" s="165"/>
      <c r="CA135" s="165"/>
      <c r="CB135" s="165"/>
      <c r="CC135" s="165"/>
      <c r="CD135" s="165"/>
      <c r="CE135" s="165"/>
      <c r="CF135" s="165"/>
      <c r="CG135" s="165"/>
      <c r="CH135" s="165"/>
      <c r="CI135" s="165"/>
      <c r="CJ135" s="165"/>
      <c r="CK135" s="165"/>
      <c r="CL135" s="165"/>
      <c r="CM135" s="165"/>
      <c r="CN135" s="165"/>
      <c r="CO135" s="165"/>
      <c r="CP135" s="165"/>
      <c r="CQ135" s="165"/>
      <c r="CR135" s="165"/>
    </row>
    <row r="136" spans="1:96" x14ac:dyDescent="0.25">
      <c r="A136" s="7635">
        <v>32101683</v>
      </c>
      <c r="BZ136" s="165"/>
      <c r="CA136" s="165"/>
      <c r="CB136" s="165"/>
      <c r="CC136" s="165"/>
      <c r="CD136" s="165"/>
      <c r="CE136" s="165"/>
      <c r="CF136" s="165"/>
      <c r="CG136" s="165"/>
      <c r="CH136" s="165"/>
      <c r="CI136" s="165"/>
      <c r="CJ136" s="165"/>
      <c r="CK136" s="165"/>
      <c r="CL136" s="165"/>
      <c r="CM136" s="165"/>
      <c r="CN136" s="165"/>
      <c r="CO136" s="165"/>
      <c r="CP136" s="165"/>
      <c r="CQ136" s="165"/>
      <c r="CR136" s="165"/>
    </row>
    <row r="137" spans="1:96" x14ac:dyDescent="0.25">
      <c r="A137" s="7635">
        <v>32101684</v>
      </c>
      <c r="BZ137" s="165"/>
      <c r="CA137" s="165"/>
      <c r="CB137" s="165"/>
      <c r="CC137" s="165"/>
      <c r="CD137" s="165"/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65"/>
      <c r="CR137" s="165"/>
    </row>
    <row r="138" spans="1:96" ht="17.25" customHeight="1" x14ac:dyDescent="0.25">
      <c r="A138" s="7635">
        <v>32101685</v>
      </c>
      <c r="BZ138" s="165"/>
      <c r="CA138" s="165"/>
      <c r="CB138" s="165"/>
      <c r="CC138" s="165"/>
      <c r="CD138" s="165"/>
      <c r="CE138" s="165"/>
      <c r="CF138" s="165"/>
      <c r="CG138" s="165"/>
      <c r="CH138" s="165"/>
      <c r="CI138" s="165"/>
      <c r="CJ138" s="165"/>
      <c r="CK138" s="165"/>
      <c r="CL138" s="165"/>
      <c r="CM138" s="165"/>
      <c r="CN138" s="165"/>
      <c r="CO138" s="165"/>
      <c r="CP138" s="165"/>
      <c r="CQ138" s="165"/>
      <c r="CR138" s="165"/>
    </row>
    <row r="139" spans="1:96" x14ac:dyDescent="0.25">
      <c r="A139" s="7635">
        <v>32101686</v>
      </c>
      <c r="BZ139" s="165"/>
      <c r="CA139" s="165"/>
      <c r="CB139" s="165"/>
      <c r="CC139" s="165"/>
      <c r="CD139" s="165"/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65"/>
      <c r="CR139" s="165"/>
    </row>
    <row r="140" spans="1:96" x14ac:dyDescent="0.25">
      <c r="A140" s="7635">
        <v>32101687</v>
      </c>
      <c r="BZ140" s="165"/>
      <c r="CA140" s="165"/>
      <c r="CB140" s="165"/>
      <c r="CC140" s="165"/>
      <c r="CD140" s="165"/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65"/>
      <c r="CR140" s="165"/>
    </row>
    <row r="141" spans="1:96" x14ac:dyDescent="0.25">
      <c r="A141" s="7635">
        <v>32101688</v>
      </c>
      <c r="BZ141" s="165"/>
      <c r="CA141" s="165"/>
      <c r="CB141" s="165"/>
      <c r="CC141" s="165"/>
      <c r="CD141" s="165"/>
      <c r="CE141" s="165"/>
      <c r="CF141" s="165"/>
      <c r="CG141" s="165"/>
      <c r="CH141" s="165"/>
      <c r="CI141" s="165"/>
      <c r="CJ141" s="165"/>
      <c r="CK141" s="165"/>
      <c r="CL141" s="165"/>
      <c r="CM141" s="165"/>
      <c r="CN141" s="165"/>
      <c r="CO141" s="165"/>
      <c r="CP141" s="165"/>
      <c r="CQ141" s="165"/>
      <c r="CR141" s="165"/>
    </row>
    <row r="142" spans="1:96" x14ac:dyDescent="0.25">
      <c r="A142" s="7635">
        <v>32101689</v>
      </c>
      <c r="BZ142" s="165"/>
      <c r="CA142" s="165"/>
      <c r="CB142" s="165"/>
      <c r="CC142" s="165"/>
      <c r="CD142" s="165"/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65"/>
      <c r="CR142" s="165"/>
    </row>
    <row r="143" spans="1:96" x14ac:dyDescent="0.25">
      <c r="A143" s="7635">
        <v>32101690</v>
      </c>
      <c r="BZ143" s="165"/>
      <c r="CA143" s="165"/>
      <c r="CB143" s="165"/>
      <c r="CC143" s="165"/>
      <c r="CD143" s="165"/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65"/>
      <c r="CR143" s="165"/>
    </row>
    <row r="144" spans="1:96" x14ac:dyDescent="0.25">
      <c r="A144" s="7635">
        <v>32101691</v>
      </c>
      <c r="BZ144" s="165"/>
      <c r="CA144" s="165"/>
      <c r="CB144" s="165"/>
      <c r="CC144" s="165"/>
      <c r="CD144" s="165"/>
      <c r="CE144" s="165"/>
      <c r="CF144" s="165"/>
      <c r="CG144" s="165"/>
      <c r="CH144" s="165"/>
      <c r="CI144" s="165"/>
      <c r="CJ144" s="165"/>
      <c r="CK144" s="165"/>
      <c r="CL144" s="165"/>
      <c r="CM144" s="165"/>
      <c r="CN144" s="165"/>
      <c r="CO144" s="165"/>
      <c r="CP144" s="165"/>
      <c r="CQ144" s="165"/>
      <c r="CR144" s="165"/>
    </row>
    <row r="145" spans="1:96" x14ac:dyDescent="0.25">
      <c r="A145" s="7635">
        <v>32101692</v>
      </c>
      <c r="BZ145" s="165"/>
      <c r="CA145" s="165"/>
      <c r="CB145" s="165"/>
      <c r="CC145" s="165"/>
      <c r="CD145" s="165"/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65"/>
      <c r="CR145" s="165"/>
    </row>
    <row r="146" spans="1:96" x14ac:dyDescent="0.25">
      <c r="A146" s="7635">
        <v>32101693</v>
      </c>
      <c r="BZ146" s="165"/>
      <c r="CA146" s="165"/>
      <c r="CB146" s="165"/>
      <c r="CC146" s="165"/>
      <c r="CD146" s="165"/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65"/>
      <c r="CR146" s="165"/>
    </row>
    <row r="147" spans="1:96" x14ac:dyDescent="0.25">
      <c r="A147" s="7635">
        <v>32101694</v>
      </c>
      <c r="BZ147" s="165"/>
      <c r="CA147" s="165"/>
      <c r="CB147" s="165"/>
      <c r="CC147" s="165"/>
      <c r="CD147" s="165"/>
      <c r="CE147" s="165"/>
      <c r="CF147" s="165"/>
      <c r="CG147" s="165"/>
      <c r="CH147" s="165"/>
      <c r="CI147" s="165"/>
      <c r="CJ147" s="165"/>
      <c r="CK147" s="165"/>
      <c r="CL147" s="165"/>
      <c r="CM147" s="165"/>
      <c r="CN147" s="165"/>
      <c r="CO147" s="165"/>
      <c r="CP147" s="165"/>
      <c r="CQ147" s="165"/>
      <c r="CR147" s="165"/>
    </row>
    <row r="148" spans="1:96" x14ac:dyDescent="0.25">
      <c r="A148" s="7635">
        <v>32101695</v>
      </c>
      <c r="BZ148" s="165"/>
      <c r="CA148" s="165"/>
      <c r="CB148" s="165"/>
      <c r="CC148" s="165"/>
      <c r="CD148" s="165"/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65"/>
      <c r="CR148" s="165"/>
    </row>
    <row r="149" spans="1:96" x14ac:dyDescent="0.25">
      <c r="A149" s="7635">
        <v>32101696</v>
      </c>
      <c r="BZ149" s="165"/>
      <c r="CA149" s="165"/>
      <c r="CB149" s="165"/>
      <c r="CC149" s="165"/>
      <c r="CD149" s="165"/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65"/>
      <c r="CR149" s="165"/>
    </row>
    <row r="150" spans="1:96" x14ac:dyDescent="0.25">
      <c r="A150" s="7635">
        <v>32101697</v>
      </c>
      <c r="BZ150" s="165"/>
      <c r="CA150" s="165"/>
      <c r="CB150" s="165"/>
      <c r="CC150" s="165"/>
      <c r="CD150" s="165"/>
      <c r="CE150" s="165"/>
      <c r="CF150" s="165"/>
      <c r="CG150" s="165"/>
      <c r="CH150" s="165"/>
      <c r="CI150" s="165"/>
      <c r="CJ150" s="165"/>
      <c r="CK150" s="165"/>
      <c r="CL150" s="165"/>
      <c r="CM150" s="165"/>
      <c r="CN150" s="165"/>
      <c r="CO150" s="165"/>
      <c r="CP150" s="165"/>
      <c r="CQ150" s="165"/>
      <c r="CR150" s="165"/>
    </row>
    <row r="151" spans="1:96" x14ac:dyDescent="0.25">
      <c r="A151" s="7635">
        <v>32101698</v>
      </c>
      <c r="BZ151" s="165"/>
      <c r="CA151" s="165"/>
      <c r="CB151" s="165"/>
      <c r="CC151" s="165"/>
      <c r="CD151" s="165"/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65"/>
      <c r="CR151" s="165"/>
    </row>
    <row r="152" spans="1:96" x14ac:dyDescent="0.25">
      <c r="A152" s="7635">
        <v>32101699</v>
      </c>
      <c r="BZ152" s="165"/>
      <c r="CA152" s="165"/>
      <c r="CB152" s="165"/>
      <c r="CC152" s="165"/>
      <c r="CD152" s="165"/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65"/>
      <c r="CR152" s="165"/>
    </row>
    <row r="153" spans="1:96" x14ac:dyDescent="0.25">
      <c r="A153" s="7635">
        <v>32101700</v>
      </c>
      <c r="BZ153" s="165"/>
      <c r="CA153" s="165"/>
      <c r="CB153" s="165"/>
      <c r="CC153" s="165"/>
      <c r="CD153" s="165"/>
      <c r="CE153" s="165"/>
      <c r="CF153" s="165"/>
      <c r="CG153" s="165"/>
      <c r="CH153" s="165"/>
      <c r="CI153" s="165"/>
      <c r="CJ153" s="165"/>
      <c r="CK153" s="165"/>
      <c r="CL153" s="165"/>
      <c r="CM153" s="165"/>
      <c r="CN153" s="165"/>
      <c r="CO153" s="165"/>
      <c r="CP153" s="165"/>
      <c r="CQ153" s="165"/>
      <c r="CR153" s="165"/>
    </row>
    <row r="154" spans="1:96" x14ac:dyDescent="0.25">
      <c r="A154" s="7635">
        <v>32101701</v>
      </c>
      <c r="BZ154" s="165"/>
      <c r="CA154" s="165"/>
      <c r="CB154" s="165"/>
      <c r="CC154" s="165"/>
      <c r="CD154" s="165"/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65"/>
      <c r="CR154" s="165"/>
    </row>
    <row r="155" spans="1:96" x14ac:dyDescent="0.25">
      <c r="A155" s="7635">
        <v>32101702</v>
      </c>
      <c r="BZ155" s="165"/>
      <c r="CA155" s="165"/>
      <c r="CB155" s="165"/>
      <c r="CC155" s="165"/>
      <c r="CD155" s="165"/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65"/>
      <c r="CR155" s="165"/>
    </row>
    <row r="156" spans="1:96" x14ac:dyDescent="0.25">
      <c r="A156" s="7635">
        <v>32101703</v>
      </c>
      <c r="BZ156" s="165"/>
      <c r="CA156" s="165"/>
      <c r="CB156" s="165"/>
      <c r="CC156" s="165"/>
      <c r="CD156" s="165"/>
      <c r="CE156" s="165"/>
      <c r="CF156" s="165"/>
      <c r="CG156" s="165"/>
      <c r="CH156" s="165"/>
      <c r="CI156" s="165"/>
      <c r="CJ156" s="165"/>
      <c r="CK156" s="165"/>
      <c r="CL156" s="165"/>
      <c r="CM156" s="165"/>
      <c r="CN156" s="165"/>
      <c r="CO156" s="165"/>
      <c r="CP156" s="165"/>
      <c r="CQ156" s="165"/>
      <c r="CR156" s="165"/>
    </row>
    <row r="157" spans="1:96" x14ac:dyDescent="0.25">
      <c r="A157" s="7635">
        <v>32101704</v>
      </c>
      <c r="BZ157" s="165"/>
      <c r="CA157" s="165"/>
      <c r="CB157" s="165"/>
      <c r="CC157" s="165"/>
      <c r="CD157" s="165"/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65"/>
      <c r="CR157" s="165"/>
    </row>
    <row r="158" spans="1:96" x14ac:dyDescent="0.25">
      <c r="A158" s="7635">
        <v>32101705</v>
      </c>
      <c r="BZ158" s="165"/>
      <c r="CA158" s="165"/>
      <c r="CB158" s="165"/>
      <c r="CC158" s="165"/>
      <c r="CD158" s="165"/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65"/>
      <c r="CR158" s="165"/>
    </row>
    <row r="159" spans="1:96" x14ac:dyDescent="0.25">
      <c r="A159" s="7635">
        <v>32101706</v>
      </c>
      <c r="BZ159" s="165"/>
      <c r="CA159" s="165"/>
      <c r="CB159" s="165"/>
      <c r="CC159" s="165"/>
      <c r="CD159" s="165"/>
      <c r="CE159" s="165"/>
      <c r="CF159" s="165"/>
      <c r="CG159" s="165"/>
      <c r="CH159" s="165"/>
      <c r="CI159" s="165"/>
      <c r="CJ159" s="165"/>
      <c r="CK159" s="165"/>
      <c r="CL159" s="165"/>
      <c r="CM159" s="165"/>
      <c r="CN159" s="165"/>
      <c r="CO159" s="165"/>
      <c r="CP159" s="165"/>
      <c r="CQ159" s="165"/>
      <c r="CR159" s="165"/>
    </row>
    <row r="160" spans="1:96" x14ac:dyDescent="0.25">
      <c r="A160" s="7635">
        <v>32101707</v>
      </c>
      <c r="BZ160" s="165"/>
      <c r="CA160" s="165"/>
      <c r="CB160" s="165"/>
      <c r="CC160" s="165"/>
      <c r="CD160" s="165"/>
      <c r="CE160" s="165"/>
      <c r="CF160" s="165"/>
      <c r="CG160" s="165"/>
      <c r="CH160" s="165"/>
      <c r="CI160" s="165"/>
      <c r="CJ160" s="165"/>
      <c r="CK160" s="165"/>
      <c r="CL160" s="165"/>
      <c r="CM160" s="165"/>
      <c r="CN160" s="165"/>
      <c r="CO160" s="165"/>
      <c r="CP160" s="165"/>
      <c r="CQ160" s="165"/>
      <c r="CR160" s="165"/>
    </row>
    <row r="161" spans="1:96" x14ac:dyDescent="0.25">
      <c r="A161" s="7635">
        <v>32101708</v>
      </c>
      <c r="BZ161" s="165"/>
      <c r="CA161" s="165"/>
      <c r="CB161" s="165"/>
      <c r="CC161" s="165"/>
      <c r="CD161" s="165"/>
      <c r="CE161" s="165"/>
      <c r="CF161" s="165"/>
      <c r="CG161" s="165"/>
      <c r="CH161" s="165"/>
      <c r="CI161" s="165"/>
      <c r="CJ161" s="165"/>
      <c r="CK161" s="165"/>
      <c r="CL161" s="165"/>
      <c r="CM161" s="165"/>
      <c r="CN161" s="165"/>
      <c r="CO161" s="165"/>
      <c r="CP161" s="165"/>
      <c r="CQ161" s="165"/>
      <c r="CR161" s="165"/>
    </row>
    <row r="162" spans="1:96" x14ac:dyDescent="0.25">
      <c r="A162" s="7635">
        <v>32101709</v>
      </c>
      <c r="BZ162" s="165"/>
      <c r="CA162" s="165"/>
      <c r="CB162" s="165"/>
      <c r="CC162" s="165"/>
      <c r="CD162" s="165"/>
      <c r="CE162" s="165"/>
      <c r="CF162" s="165"/>
      <c r="CG162" s="165"/>
      <c r="CH162" s="165"/>
      <c r="CI162" s="165"/>
      <c r="CJ162" s="165"/>
      <c r="CK162" s="165"/>
      <c r="CL162" s="165"/>
      <c r="CM162" s="165"/>
      <c r="CN162" s="165"/>
      <c r="CO162" s="165"/>
      <c r="CP162" s="165"/>
      <c r="CQ162" s="165"/>
      <c r="CR162" s="165"/>
    </row>
    <row r="163" spans="1:96" x14ac:dyDescent="0.25">
      <c r="A163" s="7635">
        <v>32101710</v>
      </c>
      <c r="BZ163" s="165"/>
      <c r="CA163" s="165"/>
      <c r="CB163" s="165"/>
      <c r="CC163" s="165"/>
      <c r="CD163" s="165"/>
      <c r="CE163" s="165"/>
      <c r="CF163" s="165"/>
      <c r="CG163" s="165"/>
      <c r="CH163" s="165"/>
      <c r="CI163" s="165"/>
      <c r="CJ163" s="165"/>
      <c r="CK163" s="165"/>
      <c r="CL163" s="165"/>
      <c r="CM163" s="165"/>
      <c r="CN163" s="165"/>
      <c r="CO163" s="165"/>
      <c r="CP163" s="165"/>
      <c r="CQ163" s="165"/>
      <c r="CR163" s="165"/>
    </row>
    <row r="164" spans="1:96" x14ac:dyDescent="0.25">
      <c r="A164" s="7635">
        <v>32101711</v>
      </c>
      <c r="BZ164" s="165"/>
      <c r="CA164" s="165"/>
      <c r="CB164" s="165"/>
      <c r="CC164" s="165"/>
      <c r="CD164" s="165"/>
      <c r="CE164" s="165"/>
      <c r="CF164" s="165"/>
      <c r="CG164" s="165"/>
      <c r="CH164" s="165"/>
      <c r="CI164" s="165"/>
      <c r="CJ164" s="165"/>
      <c r="CK164" s="165"/>
      <c r="CL164" s="165"/>
      <c r="CM164" s="165"/>
      <c r="CN164" s="165"/>
      <c r="CO164" s="165"/>
      <c r="CP164" s="165"/>
      <c r="CQ164" s="165"/>
      <c r="CR164" s="165"/>
    </row>
    <row r="165" spans="1:96" x14ac:dyDescent="0.25">
      <c r="A165" s="7635">
        <v>32101712</v>
      </c>
      <c r="BZ165" s="165"/>
      <c r="CA165" s="165"/>
      <c r="CB165" s="165"/>
      <c r="CC165" s="165"/>
      <c r="CD165" s="165"/>
      <c r="CE165" s="165"/>
      <c r="CF165" s="165"/>
      <c r="CG165" s="165"/>
      <c r="CH165" s="165"/>
      <c r="CI165" s="165"/>
      <c r="CJ165" s="165"/>
      <c r="CK165" s="165"/>
      <c r="CL165" s="165"/>
      <c r="CM165" s="165"/>
      <c r="CN165" s="165"/>
      <c r="CO165" s="165"/>
      <c r="CP165" s="165"/>
      <c r="CQ165" s="165"/>
      <c r="CR165" s="165"/>
    </row>
    <row r="166" spans="1:96" x14ac:dyDescent="0.25">
      <c r="A166" s="7635">
        <v>32101713</v>
      </c>
      <c r="BZ166" s="165"/>
      <c r="CA166" s="165"/>
      <c r="CB166" s="165"/>
      <c r="CC166" s="165"/>
      <c r="CD166" s="165"/>
      <c r="CE166" s="165"/>
      <c r="CF166" s="165"/>
      <c r="CG166" s="165"/>
      <c r="CH166" s="165"/>
      <c r="CI166" s="165"/>
      <c r="CJ166" s="165"/>
      <c r="CK166" s="165"/>
      <c r="CL166" s="165"/>
      <c r="CM166" s="165"/>
      <c r="CN166" s="165"/>
      <c r="CO166" s="165"/>
      <c r="CP166" s="165"/>
      <c r="CQ166" s="165"/>
      <c r="CR166" s="165"/>
    </row>
    <row r="167" spans="1:96" x14ac:dyDescent="0.25">
      <c r="A167" s="7635">
        <v>32101714</v>
      </c>
      <c r="BZ167" s="165"/>
      <c r="CA167" s="165"/>
      <c r="CB167" s="165"/>
      <c r="CC167" s="165"/>
      <c r="CD167" s="165"/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65"/>
      <c r="CR167" s="165"/>
    </row>
    <row r="168" spans="1:96" x14ac:dyDescent="0.25">
      <c r="A168" s="7635">
        <v>32101715</v>
      </c>
      <c r="BZ168" s="165"/>
      <c r="CA168" s="165"/>
      <c r="CB168" s="165"/>
      <c r="CC168" s="165"/>
      <c r="CD168" s="165"/>
      <c r="CE168" s="165"/>
      <c r="CF168" s="165"/>
      <c r="CG168" s="165"/>
      <c r="CH168" s="165"/>
      <c r="CI168" s="165"/>
      <c r="CJ168" s="165"/>
      <c r="CK168" s="165"/>
      <c r="CL168" s="165"/>
      <c r="CM168" s="165"/>
      <c r="CN168" s="165"/>
      <c r="CO168" s="165"/>
      <c r="CP168" s="165"/>
      <c r="CQ168" s="165"/>
      <c r="CR168" s="165"/>
    </row>
    <row r="169" spans="1:96" x14ac:dyDescent="0.25">
      <c r="A169" s="7635">
        <v>32101716</v>
      </c>
      <c r="BZ169" s="165"/>
      <c r="CA169" s="165"/>
      <c r="CB169" s="165"/>
      <c r="CC169" s="165"/>
      <c r="CD169" s="165"/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65"/>
      <c r="CR169" s="165"/>
    </row>
    <row r="170" spans="1:96" x14ac:dyDescent="0.25">
      <c r="A170" s="7635">
        <v>32101717</v>
      </c>
      <c r="BZ170" s="165"/>
      <c r="CA170" s="165"/>
      <c r="CB170" s="165"/>
      <c r="CC170" s="165"/>
      <c r="CD170" s="165"/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65"/>
      <c r="CR170" s="165"/>
    </row>
    <row r="171" spans="1:96" x14ac:dyDescent="0.25">
      <c r="A171" s="7635">
        <v>32101718</v>
      </c>
    </row>
    <row r="173" spans="1:96" x14ac:dyDescent="0.25">
      <c r="A173" s="165" t="s">
        <v>4069</v>
      </c>
    </row>
    <row r="174" spans="1:96" x14ac:dyDescent="0.25">
      <c r="A174" s="7671">
        <v>30100100</v>
      </c>
    </row>
    <row r="175" spans="1:96" x14ac:dyDescent="0.25">
      <c r="A175" s="7671">
        <v>30100150</v>
      </c>
    </row>
    <row r="176" spans="1:96" x14ac:dyDescent="0.25">
      <c r="A176" s="7671">
        <v>30100210</v>
      </c>
    </row>
    <row r="177" spans="1:1" x14ac:dyDescent="0.25">
      <c r="A177" s="7671">
        <v>30100220</v>
      </c>
    </row>
    <row r="178" spans="1:1" x14ac:dyDescent="0.25">
      <c r="A178" s="7671">
        <v>30100230</v>
      </c>
    </row>
    <row r="179" spans="1:1" x14ac:dyDescent="0.25">
      <c r="A179" s="7671">
        <v>30100240</v>
      </c>
    </row>
    <row r="180" spans="1:1" x14ac:dyDescent="0.25">
      <c r="A180" s="7671">
        <v>30100260</v>
      </c>
    </row>
    <row r="181" spans="1:1" x14ac:dyDescent="0.25">
      <c r="A181" s="7671">
        <v>30100270</v>
      </c>
    </row>
    <row r="182" spans="1:1" x14ac:dyDescent="0.25">
      <c r="A182" s="7671">
        <v>30100280</v>
      </c>
    </row>
    <row r="183" spans="1:1" x14ac:dyDescent="0.25">
      <c r="A183" s="7671">
        <v>30100300</v>
      </c>
    </row>
    <row r="184" spans="1:1" x14ac:dyDescent="0.25">
      <c r="A184" s="7671">
        <v>30100320</v>
      </c>
    </row>
    <row r="185" spans="1:1" x14ac:dyDescent="0.25">
      <c r="A185" s="7671">
        <v>30100170</v>
      </c>
    </row>
    <row r="186" spans="1:1" x14ac:dyDescent="0.25">
      <c r="A186" s="7671">
        <v>30100290</v>
      </c>
    </row>
  </sheetData>
  <mergeCells count="127">
    <mergeCell ref="B98:B100"/>
    <mergeCell ref="C98:C100"/>
    <mergeCell ref="D98:G98"/>
    <mergeCell ref="D99:E99"/>
    <mergeCell ref="F99:G99"/>
    <mergeCell ref="G109:H109"/>
    <mergeCell ref="I109:J109"/>
    <mergeCell ref="B119:B121"/>
    <mergeCell ref="C119:C121"/>
    <mergeCell ref="D119:H119"/>
    <mergeCell ref="D120:E120"/>
    <mergeCell ref="F120:G120"/>
    <mergeCell ref="H120:H121"/>
    <mergeCell ref="B103:B105"/>
    <mergeCell ref="C103:C105"/>
    <mergeCell ref="D103:G103"/>
    <mergeCell ref="D104:E104"/>
    <mergeCell ref="F104:G104"/>
    <mergeCell ref="B108:B110"/>
    <mergeCell ref="C108:F108"/>
    <mergeCell ref="G108:J108"/>
    <mergeCell ref="C109:D109"/>
    <mergeCell ref="E109:F109"/>
    <mergeCell ref="G70:H70"/>
    <mergeCell ref="I70:J70"/>
    <mergeCell ref="K70:L70"/>
    <mergeCell ref="M70:N70"/>
    <mergeCell ref="O70:P70"/>
    <mergeCell ref="B92:B94"/>
    <mergeCell ref="C92:C94"/>
    <mergeCell ref="D92:E92"/>
    <mergeCell ref="F92:G93"/>
    <mergeCell ref="D93:E93"/>
    <mergeCell ref="O61:P61"/>
    <mergeCell ref="Q61:R61"/>
    <mergeCell ref="B69:B71"/>
    <mergeCell ref="C69:F69"/>
    <mergeCell ref="G69:J69"/>
    <mergeCell ref="K69:N69"/>
    <mergeCell ref="O69:R69"/>
    <mergeCell ref="C70:D70"/>
    <mergeCell ref="B86:B88"/>
    <mergeCell ref="C86:C88"/>
    <mergeCell ref="D86:I86"/>
    <mergeCell ref="J86:K87"/>
    <mergeCell ref="D87:E87"/>
    <mergeCell ref="F87:G87"/>
    <mergeCell ref="H87:I87"/>
    <mergeCell ref="Q70:R70"/>
    <mergeCell ref="B78:B80"/>
    <mergeCell ref="C78:F78"/>
    <mergeCell ref="G78:J78"/>
    <mergeCell ref="C79:D79"/>
    <mergeCell ref="E79:F79"/>
    <mergeCell ref="G79:H79"/>
    <mergeCell ref="I79:J79"/>
    <mergeCell ref="E70:F70"/>
    <mergeCell ref="B49:B51"/>
    <mergeCell ref="C49:F49"/>
    <mergeCell ref="G49:J49"/>
    <mergeCell ref="K49:N49"/>
    <mergeCell ref="O49:R49"/>
    <mergeCell ref="C50:D50"/>
    <mergeCell ref="Q50:R50"/>
    <mergeCell ref="B60:B62"/>
    <mergeCell ref="C60:F60"/>
    <mergeCell ref="G60:J60"/>
    <mergeCell ref="K60:N60"/>
    <mergeCell ref="O60:R60"/>
    <mergeCell ref="C61:D61"/>
    <mergeCell ref="E61:F61"/>
    <mergeCell ref="G61:H61"/>
    <mergeCell ref="I61:J61"/>
    <mergeCell ref="E50:F50"/>
    <mergeCell ref="G50:H50"/>
    <mergeCell ref="I50:J50"/>
    <mergeCell ref="K50:L50"/>
    <mergeCell ref="M50:N50"/>
    <mergeCell ref="O50:P50"/>
    <mergeCell ref="K61:L61"/>
    <mergeCell ref="M61:N61"/>
    <mergeCell ref="S40:V40"/>
    <mergeCell ref="W40:Z40"/>
    <mergeCell ref="C41:D41"/>
    <mergeCell ref="E41:F41"/>
    <mergeCell ref="G41:H41"/>
    <mergeCell ref="I41:J41"/>
    <mergeCell ref="K41:L41"/>
    <mergeCell ref="M41:N41"/>
    <mergeCell ref="O41:P41"/>
    <mergeCell ref="Q41:R41"/>
    <mergeCell ref="S41:T41"/>
    <mergeCell ref="U41:V41"/>
    <mergeCell ref="W41:X41"/>
    <mergeCell ref="Y41:Z41"/>
    <mergeCell ref="B26:G26"/>
    <mergeCell ref="B27:B29"/>
    <mergeCell ref="C27:F27"/>
    <mergeCell ref="G27:J27"/>
    <mergeCell ref="K27:N27"/>
    <mergeCell ref="O27:R27"/>
    <mergeCell ref="O28:P28"/>
    <mergeCell ref="Q28:R28"/>
    <mergeCell ref="B40:B42"/>
    <mergeCell ref="C40:F40"/>
    <mergeCell ref="G40:J40"/>
    <mergeCell ref="K40:N40"/>
    <mergeCell ref="O40:R40"/>
    <mergeCell ref="C28:D28"/>
    <mergeCell ref="E28:F28"/>
    <mergeCell ref="G28:H28"/>
    <mergeCell ref="I28:J28"/>
    <mergeCell ref="K28:L28"/>
    <mergeCell ref="M28:N28"/>
    <mergeCell ref="B13:B15"/>
    <mergeCell ref="C13:F13"/>
    <mergeCell ref="G13:J13"/>
    <mergeCell ref="K13:N13"/>
    <mergeCell ref="O13:R13"/>
    <mergeCell ref="C14:D14"/>
    <mergeCell ref="E14:F14"/>
    <mergeCell ref="G14:H14"/>
    <mergeCell ref="I14:J14"/>
    <mergeCell ref="K14:L14"/>
    <mergeCell ref="M14:N14"/>
    <mergeCell ref="O14:P14"/>
    <mergeCell ref="Q14:R14"/>
  </mergeCells>
  <conditionalFormatting sqref="A132:A171">
    <cfRule type="duplicateValues" dxfId="11" priority="2"/>
  </conditionalFormatting>
  <conditionalFormatting sqref="A174:A186">
    <cfRule type="duplicateValues" dxfId="10" priority="1"/>
  </conditionalFormatting>
  <dataValidations count="1">
    <dataValidation type="whole" allowBlank="1" showInputMessage="1" showErrorMessage="1" errorTitle="Error de ingreso" error="Debe ingresar sólo números." sqref="D122:G122 C73:R76 J17:J19 I17:I20 O31:R38 E17:H25 I24:J25 K17:R25 C31:J38 F57:N57 D95:E96 D101:G101 D106:G106 C44:Z47 C64:R67 C112:J115 D89:G90 C53:F53 C54:E57 F54:F56 C82:J84 O57:R58 C58:J58" xr:uid="{659514FD-4980-43E3-A1C5-BEEBF0515B3F}">
      <formula1>0</formula1>
      <formula2>99999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3"/>
  <dimension ref="A1:DB176"/>
  <sheetViews>
    <sheetView showGridLines="0" zoomScaleNormal="100" workbookViewId="0"/>
  </sheetViews>
  <sheetFormatPr baseColWidth="10" defaultColWidth="11.44140625" defaultRowHeight="14.4" x14ac:dyDescent="0.3"/>
  <cols>
    <col min="1" max="1" width="16.109375" style="1192" customWidth="1"/>
    <col min="2" max="2" width="27.88671875" style="1192" customWidth="1"/>
    <col min="3" max="3" width="17.44140625" style="1192" customWidth="1"/>
    <col min="4" max="4" width="14.109375" style="1192" customWidth="1"/>
    <col min="5" max="5" width="11.44140625" style="1192" customWidth="1"/>
    <col min="6" max="6" width="11.44140625" style="1192"/>
    <col min="7" max="7" width="11.109375" style="1192" customWidth="1"/>
    <col min="8" max="8" width="10.33203125" style="1192" customWidth="1"/>
    <col min="9" max="9" width="9.44140625" style="1192" customWidth="1"/>
    <col min="10" max="10" width="9" style="1192" customWidth="1"/>
    <col min="11" max="12" width="9.109375" style="1192" customWidth="1"/>
    <col min="13" max="13" width="12.44140625" style="1192" customWidth="1"/>
    <col min="14" max="14" width="12.33203125" style="1192" customWidth="1"/>
    <col min="15" max="15" width="12.88671875" style="1192" customWidth="1"/>
    <col min="16" max="16" width="12.109375" style="1192" customWidth="1"/>
    <col min="17" max="17" width="12" style="1192" customWidth="1"/>
    <col min="18" max="18" width="13.6640625" style="1192" customWidth="1"/>
    <col min="19" max="19" width="12.44140625" style="1192" customWidth="1"/>
    <col min="20" max="20" width="11.109375" style="1192" customWidth="1"/>
    <col min="21" max="22" width="12.44140625" style="1192" customWidth="1"/>
    <col min="23" max="23" width="11" style="1192" customWidth="1"/>
    <col min="24" max="24" width="10.6640625" style="1192" customWidth="1"/>
    <col min="25" max="25" width="11.44140625" style="1192" customWidth="1"/>
    <col min="26" max="26" width="12.33203125" style="1192" customWidth="1"/>
    <col min="27" max="27" width="13.109375" style="1192" customWidth="1"/>
    <col min="28" max="28" width="10.33203125" style="1192" customWidth="1"/>
    <col min="29" max="29" width="12.109375" style="1192" customWidth="1"/>
    <col min="30" max="30" width="12.44140625" style="1192" customWidth="1"/>
    <col min="31" max="31" width="12" style="1192" customWidth="1"/>
    <col min="32" max="32" width="12.6640625" style="1192" customWidth="1"/>
    <col min="33" max="33" width="11" style="1192" customWidth="1"/>
    <col min="34" max="35" width="11.6640625" style="1192" customWidth="1"/>
    <col min="36" max="36" width="10.44140625" style="1192" customWidth="1"/>
    <col min="37" max="37" width="11.88671875" style="1192" customWidth="1"/>
    <col min="38" max="38" width="11.44140625" style="1192" customWidth="1"/>
    <col min="39" max="39" width="10.88671875" style="1192" customWidth="1"/>
    <col min="40" max="40" width="11.44140625" style="1192" customWidth="1"/>
    <col min="41" max="41" width="11.6640625" style="1192" customWidth="1"/>
    <col min="42" max="42" width="11.44140625" style="1192" customWidth="1"/>
    <col min="43" max="45" width="11.44140625" style="1192"/>
    <col min="46" max="46" width="14.44140625" style="1192" customWidth="1"/>
    <col min="47" max="78" width="11.44140625" style="1192"/>
    <col min="79" max="79" width="12.109375" style="1192" hidden="1" customWidth="1"/>
    <col min="80" max="105" width="12.109375" style="1344" hidden="1" customWidth="1"/>
    <col min="106" max="106" width="12.109375" style="1192" hidden="1" customWidth="1"/>
    <col min="107" max="16384" width="11.44140625" style="1192"/>
  </cols>
  <sheetData>
    <row r="1" spans="1:105" s="1340" customFormat="1" ht="16.350000000000001" customHeight="1" x14ac:dyDescent="0.25">
      <c r="B1" s="150" t="s">
        <v>207</v>
      </c>
      <c r="CB1" s="1341"/>
      <c r="CC1" s="1341"/>
      <c r="CD1" s="1341"/>
      <c r="CE1" s="1341"/>
      <c r="CF1" s="1341"/>
      <c r="CG1" s="1341"/>
      <c r="CH1" s="1341"/>
      <c r="CI1" s="1341"/>
      <c r="CJ1" s="1341"/>
      <c r="CK1" s="1341"/>
      <c r="CL1" s="1341"/>
      <c r="CM1" s="1341"/>
      <c r="CN1" s="1341"/>
      <c r="CO1" s="1341"/>
      <c r="CP1" s="1341"/>
      <c r="CQ1" s="1341"/>
      <c r="CR1" s="1341"/>
      <c r="CS1" s="1341"/>
      <c r="CT1" s="1341"/>
      <c r="CU1" s="1341"/>
      <c r="CV1" s="1341"/>
      <c r="CW1" s="1341"/>
      <c r="CX1" s="1341"/>
      <c r="CY1" s="1341"/>
      <c r="CZ1" s="1341"/>
      <c r="DA1" s="1341"/>
    </row>
    <row r="2" spans="1:105" s="1340" customFormat="1" ht="16.350000000000001" customHeight="1" x14ac:dyDescent="0.25">
      <c r="B2" s="150" t="str">
        <f>CONCATENATE("COMUNA: ",NOMBRE!B2," - ","( ",NOMBRE!C2,NOMBRE!D2,NOMBRE!E2,NOMBRE!F2,NOMBRE!G2," )")</f>
        <v>COMUNA:  - (  )</v>
      </c>
      <c r="CB2" s="1341"/>
      <c r="CC2" s="1341"/>
      <c r="CD2" s="1341"/>
      <c r="CE2" s="1341"/>
      <c r="CF2" s="1341"/>
      <c r="CG2" s="1341"/>
      <c r="CH2" s="1341"/>
      <c r="CI2" s="1341"/>
      <c r="CJ2" s="1341"/>
      <c r="CK2" s="1341"/>
      <c r="CL2" s="1341"/>
      <c r="CM2" s="1341"/>
      <c r="CN2" s="1341"/>
      <c r="CO2" s="1341"/>
      <c r="CP2" s="1341"/>
      <c r="CQ2" s="1341"/>
      <c r="CR2" s="1341"/>
      <c r="CS2" s="1341"/>
      <c r="CT2" s="1341"/>
      <c r="CU2" s="1341"/>
      <c r="CV2" s="1341"/>
      <c r="CW2" s="1341"/>
      <c r="CX2" s="1341"/>
      <c r="CY2" s="1341"/>
      <c r="CZ2" s="1341"/>
      <c r="DA2" s="1341"/>
    </row>
    <row r="3" spans="1:105" s="1340" customFormat="1" ht="16.350000000000001" customHeight="1" x14ac:dyDescent="0.25">
      <c r="B3" s="150" t="str">
        <f>CONCATENATE("ESTABLECIMIENTO/ESTRATEGIA: ",NOMBRE!B3," - ","( ",NOMBRE!C3,NOMBRE!D3,NOMBRE!E3,NOMBRE!F3,NOMBRE!G3,NOMBRE!H3," )")</f>
        <v>ESTABLECIMIENTO/ESTRATEGIA:  - (  )</v>
      </c>
      <c r="CB3" s="1341"/>
      <c r="CC3" s="1341"/>
      <c r="CD3" s="1341"/>
      <c r="CE3" s="1341"/>
      <c r="CF3" s="1341"/>
      <c r="CG3" s="1341"/>
      <c r="CH3" s="1341"/>
      <c r="CI3" s="1341"/>
      <c r="CJ3" s="1341"/>
      <c r="CK3" s="1341"/>
      <c r="CL3" s="1341"/>
      <c r="CM3" s="1341"/>
      <c r="CN3" s="1341"/>
      <c r="CO3" s="1341"/>
      <c r="CP3" s="1341"/>
      <c r="CQ3" s="1341"/>
      <c r="CR3" s="1341"/>
      <c r="CS3" s="1341"/>
      <c r="CT3" s="1341"/>
      <c r="CU3" s="1341"/>
      <c r="CV3" s="1341"/>
      <c r="CW3" s="1341"/>
      <c r="CX3" s="1341"/>
      <c r="CY3" s="1341"/>
      <c r="CZ3" s="1341"/>
      <c r="DA3" s="1341"/>
    </row>
    <row r="4" spans="1:105" s="1340" customFormat="1" ht="16.350000000000001" customHeight="1" x14ac:dyDescent="0.25">
      <c r="B4" s="150" t="str">
        <f>CONCATENATE("MES: ",NOMBRE!B6," - ","( ",NOMBRE!C6,NOMBRE!D6," )")</f>
        <v>MES:  - (  )</v>
      </c>
      <c r="H4" s="1342"/>
      <c r="I4" s="1342"/>
      <c r="J4" s="1342"/>
      <c r="K4" s="1342"/>
      <c r="L4" s="1342"/>
      <c r="M4" s="1342"/>
      <c r="CB4" s="1341"/>
      <c r="CC4" s="1341"/>
      <c r="CD4" s="1341"/>
      <c r="CE4" s="1341"/>
      <c r="CF4" s="1341"/>
      <c r="CG4" s="1341"/>
      <c r="CH4" s="1341"/>
      <c r="CI4" s="1341"/>
      <c r="CJ4" s="1341"/>
      <c r="CK4" s="1341"/>
      <c r="CL4" s="1341"/>
      <c r="CM4" s="1341"/>
      <c r="CN4" s="1341"/>
      <c r="CO4" s="1341"/>
      <c r="CP4" s="1341"/>
      <c r="CQ4" s="1341"/>
      <c r="CR4" s="1341"/>
      <c r="CS4" s="1341"/>
      <c r="CT4" s="1341"/>
      <c r="CU4" s="1341"/>
      <c r="CV4" s="1341"/>
      <c r="CW4" s="1341"/>
      <c r="CX4" s="1341"/>
      <c r="CY4" s="1341"/>
      <c r="CZ4" s="1341"/>
      <c r="DA4" s="1341"/>
    </row>
    <row r="5" spans="1:105" s="1340" customFormat="1" ht="16.350000000000001" customHeight="1" x14ac:dyDescent="0.25">
      <c r="B5" s="150" t="str">
        <f>CONCATENATE("AÑO: ",NOMBRE!B7)</f>
        <v>AÑO: 2023</v>
      </c>
      <c r="F5" s="1343"/>
      <c r="CB5" s="1341"/>
      <c r="CC5" s="1341"/>
      <c r="CD5" s="1341"/>
      <c r="CE5" s="1341"/>
      <c r="CF5" s="1341"/>
      <c r="CG5" s="1341"/>
      <c r="CH5" s="1341"/>
      <c r="CI5" s="1341"/>
      <c r="CJ5" s="1341"/>
      <c r="CK5" s="1341"/>
      <c r="CL5" s="1341"/>
      <c r="CM5" s="1341"/>
      <c r="CN5" s="1341"/>
      <c r="CO5" s="1341"/>
      <c r="CP5" s="1341"/>
      <c r="CQ5" s="1341"/>
      <c r="CR5" s="1341"/>
      <c r="CS5" s="1341"/>
      <c r="CT5" s="1341"/>
      <c r="CU5" s="1341"/>
      <c r="CV5" s="1341"/>
      <c r="CW5" s="1341"/>
      <c r="CX5" s="1341"/>
      <c r="CY5" s="1341"/>
      <c r="CZ5" s="1341"/>
      <c r="DA5" s="1341"/>
    </row>
    <row r="6" spans="1:105" x14ac:dyDescent="0.3">
      <c r="B6" s="1342"/>
      <c r="C6" s="1342"/>
      <c r="D6" s="1342"/>
      <c r="E6" s="1342"/>
      <c r="F6" s="1342"/>
      <c r="G6" s="1342"/>
      <c r="H6" s="1342"/>
      <c r="I6" s="1342"/>
      <c r="J6" s="1342"/>
      <c r="K6" s="1342"/>
      <c r="L6" s="1342"/>
      <c r="M6" s="1342"/>
      <c r="N6" s="1342"/>
      <c r="O6" s="1342"/>
      <c r="P6" s="1342"/>
      <c r="Q6" s="1342"/>
      <c r="R6" s="1342"/>
      <c r="S6" s="1342"/>
      <c r="T6" s="1342"/>
      <c r="U6" s="1342"/>
      <c r="V6" s="1342"/>
      <c r="W6" s="1342"/>
      <c r="X6" s="1342"/>
      <c r="Y6" s="1342"/>
      <c r="Z6" s="1342"/>
      <c r="AA6" s="1342"/>
      <c r="AB6" s="1342"/>
      <c r="AC6" s="1342"/>
      <c r="AD6" s="1342"/>
      <c r="AE6" s="1342"/>
      <c r="AF6" s="1342"/>
      <c r="AG6" s="1342"/>
      <c r="AH6" s="1342"/>
      <c r="AI6" s="1342"/>
      <c r="AJ6" s="1342"/>
      <c r="AK6" s="1342"/>
      <c r="AL6" s="1342"/>
      <c r="AM6" s="1342"/>
      <c r="AN6" s="1340"/>
      <c r="AO6" s="1340"/>
      <c r="AP6" s="1340"/>
      <c r="AQ6" s="1340"/>
      <c r="AR6" s="1340"/>
      <c r="AS6" s="1340"/>
      <c r="AT6" s="1342"/>
      <c r="AU6" s="1342"/>
      <c r="AV6" s="1342"/>
      <c r="AW6" s="1342"/>
      <c r="AX6" s="1342"/>
      <c r="AY6" s="1342"/>
      <c r="AZ6" s="1342"/>
      <c r="BA6" s="1342"/>
      <c r="BB6" s="1342"/>
      <c r="BC6" s="1342"/>
      <c r="BD6" s="1342"/>
      <c r="BE6" s="1342"/>
      <c r="BF6" s="1342"/>
      <c r="BG6" s="1342"/>
      <c r="BH6" s="1342"/>
      <c r="BI6" s="1342"/>
      <c r="BJ6" s="1342"/>
      <c r="BK6" s="1342"/>
      <c r="BL6" s="1342"/>
      <c r="BM6" s="1342"/>
      <c r="BN6" s="1342"/>
      <c r="BO6" s="1342"/>
      <c r="BP6" s="1342"/>
      <c r="BQ6" s="1342"/>
      <c r="BR6" s="1342"/>
      <c r="BS6" s="1342"/>
      <c r="BT6" s="1342"/>
      <c r="BU6" s="1342"/>
      <c r="BV6" s="1342"/>
      <c r="BW6" s="1342"/>
      <c r="BX6" s="1342"/>
      <c r="BY6" s="1342"/>
      <c r="BZ6" s="1342"/>
      <c r="CA6" s="1342"/>
      <c r="CB6" s="1341"/>
      <c r="CC6" s="1341"/>
      <c r="CD6" s="1341"/>
      <c r="CE6" s="1341"/>
      <c r="CF6" s="1341"/>
      <c r="CG6" s="1341"/>
      <c r="CH6" s="1341"/>
      <c r="CI6" s="1341"/>
      <c r="CJ6" s="1341"/>
      <c r="CK6" s="1341"/>
      <c r="CL6" s="1341"/>
      <c r="CM6" s="1341"/>
      <c r="CN6" s="1341"/>
      <c r="CO6" s="1341"/>
      <c r="CP6" s="1341"/>
    </row>
    <row r="7" spans="1:105" ht="16.2" x14ac:dyDescent="0.3">
      <c r="B7" s="8629" t="s">
        <v>2071</v>
      </c>
      <c r="C7" s="8629"/>
      <c r="D7" s="8629"/>
      <c r="E7" s="8629"/>
      <c r="F7" s="8629"/>
      <c r="G7" s="8629"/>
      <c r="H7" s="8629"/>
      <c r="I7" s="8629"/>
      <c r="J7" s="8629"/>
      <c r="K7" s="8629"/>
      <c r="L7" s="8629"/>
      <c r="M7" s="8629"/>
      <c r="N7" s="8629"/>
      <c r="O7" s="8629"/>
      <c r="P7" s="8629"/>
      <c r="Q7" s="8629"/>
      <c r="R7" s="8629"/>
      <c r="S7" s="8629"/>
      <c r="T7" s="8629"/>
      <c r="U7" s="8629"/>
      <c r="V7" s="1342"/>
      <c r="W7" s="1342"/>
      <c r="X7" s="1342"/>
      <c r="Y7" s="1342"/>
      <c r="Z7" s="1342"/>
      <c r="AA7" s="1342"/>
      <c r="AB7" s="1342"/>
      <c r="AC7" s="1342"/>
      <c r="AD7" s="1342"/>
      <c r="AE7" s="1342"/>
      <c r="AF7" s="1342"/>
      <c r="AG7" s="1342"/>
      <c r="AH7" s="1342"/>
      <c r="AI7" s="1342"/>
      <c r="AJ7" s="1342"/>
      <c r="AK7" s="1342"/>
      <c r="AL7" s="1342"/>
      <c r="AM7" s="1342"/>
      <c r="AN7" s="1340"/>
      <c r="AO7" s="1340"/>
      <c r="AP7" s="1340"/>
      <c r="AQ7" s="1340"/>
      <c r="AR7" s="1340"/>
      <c r="AS7" s="1340"/>
      <c r="AT7" s="1342"/>
      <c r="AU7" s="1342"/>
      <c r="AV7" s="1342"/>
      <c r="AW7" s="1342"/>
      <c r="AX7" s="1342"/>
      <c r="AY7" s="1342"/>
      <c r="AZ7" s="1342"/>
      <c r="BA7" s="1342"/>
      <c r="BB7" s="1342"/>
      <c r="BC7" s="1342"/>
      <c r="BD7" s="1342"/>
      <c r="BE7" s="1342"/>
      <c r="BF7" s="1342"/>
      <c r="BG7" s="1342"/>
      <c r="BH7" s="1342"/>
      <c r="BI7" s="1342"/>
      <c r="BJ7" s="1342"/>
      <c r="BK7" s="1342"/>
      <c r="BL7" s="1342"/>
      <c r="BM7" s="1342"/>
      <c r="BN7" s="1342"/>
      <c r="BO7" s="1342"/>
      <c r="BP7" s="1342"/>
      <c r="BQ7" s="1342"/>
      <c r="BR7" s="1342"/>
      <c r="BS7" s="1342"/>
      <c r="BT7" s="1342"/>
      <c r="BU7" s="1342"/>
      <c r="BV7" s="1342"/>
      <c r="BW7" s="1342"/>
      <c r="BX7" s="1342"/>
      <c r="BY7" s="1342"/>
      <c r="BZ7" s="1342"/>
      <c r="CA7" s="1342"/>
      <c r="CB7" s="1341"/>
      <c r="CC7" s="1341"/>
      <c r="CD7" s="1341"/>
      <c r="CE7" s="1341"/>
      <c r="CF7" s="1341"/>
      <c r="CG7" s="1341"/>
      <c r="CH7" s="1341"/>
      <c r="CI7" s="1341"/>
      <c r="CJ7" s="1341"/>
      <c r="CK7" s="1341"/>
      <c r="CL7" s="1341"/>
      <c r="CM7" s="1341"/>
      <c r="CN7" s="1341"/>
      <c r="CO7" s="1341"/>
      <c r="CP7" s="1341"/>
    </row>
    <row r="8" spans="1:105" ht="16.2" x14ac:dyDescent="0.3">
      <c r="B8" s="1096"/>
      <c r="C8" s="1096"/>
      <c r="D8" s="1096"/>
      <c r="E8" s="1096"/>
      <c r="F8" s="1096"/>
      <c r="G8" s="1096"/>
      <c r="H8" s="1096"/>
      <c r="I8" s="1096"/>
      <c r="J8" s="1096"/>
      <c r="K8" s="1096"/>
      <c r="L8" s="1096"/>
      <c r="M8" s="1096"/>
      <c r="N8" s="1096"/>
      <c r="O8" s="1096"/>
      <c r="P8" s="1096"/>
      <c r="Q8" s="1096"/>
      <c r="R8" s="1096"/>
      <c r="S8" s="1096"/>
      <c r="T8" s="1096"/>
      <c r="U8" s="1096"/>
      <c r="V8" s="1342"/>
      <c r="W8" s="1342"/>
      <c r="X8" s="1342"/>
      <c r="Y8" s="1342"/>
      <c r="Z8" s="1342"/>
      <c r="AA8" s="1342"/>
      <c r="AB8" s="1342"/>
      <c r="AC8" s="1342"/>
      <c r="AD8" s="1342"/>
      <c r="AE8" s="1342"/>
      <c r="AF8" s="1342"/>
      <c r="AG8" s="1342"/>
      <c r="AH8" s="1342"/>
      <c r="AI8" s="1342"/>
      <c r="AJ8" s="1342"/>
      <c r="AK8" s="1342"/>
      <c r="AL8" s="1342"/>
      <c r="AM8" s="1342"/>
      <c r="AN8" s="1340"/>
      <c r="AO8" s="1340"/>
      <c r="AP8" s="1340"/>
      <c r="AQ8" s="1340"/>
      <c r="AR8" s="1340"/>
      <c r="AS8" s="1340"/>
      <c r="AT8" s="1342"/>
      <c r="AU8" s="1342"/>
      <c r="AV8" s="1342"/>
      <c r="AW8" s="1342"/>
      <c r="AX8" s="1342"/>
      <c r="AY8" s="1342"/>
      <c r="AZ8" s="1342"/>
      <c r="BA8" s="1342"/>
      <c r="BB8" s="1342"/>
      <c r="BC8" s="1342"/>
      <c r="BD8" s="1342"/>
      <c r="BE8" s="1342"/>
      <c r="BF8" s="1342"/>
      <c r="BG8" s="1342"/>
      <c r="BH8" s="1342"/>
      <c r="BI8" s="1342"/>
      <c r="BJ8" s="1342"/>
      <c r="BK8" s="1342"/>
      <c r="BL8" s="1342"/>
      <c r="BM8" s="1342"/>
      <c r="BN8" s="1342"/>
      <c r="BO8" s="1342"/>
      <c r="BP8" s="1342"/>
      <c r="BQ8" s="1342"/>
      <c r="BR8" s="1342"/>
      <c r="BS8" s="1342"/>
      <c r="BT8" s="1342"/>
      <c r="BU8" s="1342"/>
      <c r="BV8" s="1342"/>
      <c r="BW8" s="1342"/>
      <c r="BX8" s="1342"/>
      <c r="BY8" s="1342"/>
      <c r="BZ8" s="1342"/>
      <c r="CA8" s="1342"/>
      <c r="CB8" s="1341"/>
      <c r="CC8" s="1341"/>
      <c r="CD8" s="1341"/>
      <c r="CE8" s="1341"/>
      <c r="CF8" s="1341"/>
      <c r="CG8" s="1341"/>
      <c r="CH8" s="1341"/>
      <c r="CI8" s="1341"/>
      <c r="CJ8" s="1341"/>
      <c r="CK8" s="1341"/>
      <c r="CL8" s="1341"/>
      <c r="CM8" s="1341"/>
      <c r="CN8" s="1341"/>
      <c r="CO8" s="1341"/>
      <c r="CP8" s="1341"/>
    </row>
    <row r="9" spans="1:105" x14ac:dyDescent="0.3">
      <c r="B9" s="1342"/>
      <c r="C9" s="1342"/>
      <c r="D9" s="1342"/>
      <c r="E9" s="1342"/>
      <c r="F9" s="1342"/>
      <c r="G9" s="1342"/>
      <c r="H9" s="1342"/>
      <c r="I9" s="1342"/>
      <c r="J9" s="1342"/>
      <c r="K9" s="1342"/>
      <c r="L9" s="1342"/>
      <c r="M9" s="1342"/>
      <c r="N9" s="1342"/>
      <c r="O9" s="1342"/>
      <c r="P9" s="1342"/>
      <c r="Q9" s="1342"/>
      <c r="R9" s="1342"/>
      <c r="S9" s="1342"/>
      <c r="T9" s="1342"/>
      <c r="U9" s="1342"/>
      <c r="V9" s="1342"/>
      <c r="W9" s="1342"/>
      <c r="X9" s="1342"/>
      <c r="Y9" s="1342"/>
      <c r="Z9" s="1342"/>
      <c r="AA9" s="1342"/>
      <c r="AB9" s="1342"/>
      <c r="AC9" s="1342"/>
      <c r="AD9" s="1342"/>
      <c r="AE9" s="1342"/>
      <c r="AF9" s="1342"/>
      <c r="AG9" s="1342"/>
      <c r="AH9" s="1342"/>
      <c r="AI9" s="1342"/>
      <c r="AJ9" s="1342"/>
      <c r="AK9" s="1342"/>
      <c r="AL9" s="1342"/>
      <c r="AM9" s="1342"/>
      <c r="AN9" s="1340"/>
      <c r="AO9" s="1340"/>
      <c r="AP9" s="1340"/>
      <c r="AQ9" s="1340"/>
      <c r="AR9" s="1340"/>
      <c r="AS9" s="1340"/>
      <c r="AT9" s="1342"/>
      <c r="AU9" s="1342"/>
      <c r="AV9" s="1342"/>
      <c r="AW9" s="1342"/>
      <c r="AX9" s="1342"/>
      <c r="AY9" s="1342"/>
      <c r="AZ9" s="1342"/>
      <c r="BA9" s="1342"/>
      <c r="BB9" s="1342"/>
      <c r="BC9" s="1342"/>
      <c r="BD9" s="1342"/>
      <c r="BE9" s="1342"/>
      <c r="BF9" s="1342"/>
      <c r="BG9" s="1342"/>
      <c r="BH9" s="1342"/>
      <c r="BI9" s="1342"/>
      <c r="BJ9" s="1342"/>
      <c r="BK9" s="1342"/>
      <c r="BL9" s="1342"/>
      <c r="BM9" s="1342"/>
      <c r="BN9" s="1342"/>
      <c r="BO9" s="1342"/>
      <c r="BP9" s="1342"/>
      <c r="BQ9" s="1342"/>
      <c r="BR9" s="1342"/>
      <c r="BS9" s="1342"/>
      <c r="BT9" s="1342"/>
      <c r="BU9" s="1342"/>
      <c r="BV9" s="1342"/>
      <c r="BW9" s="1342"/>
      <c r="BX9" s="1342"/>
      <c r="BY9" s="1342"/>
      <c r="BZ9" s="1342"/>
      <c r="CA9" s="1342"/>
      <c r="CB9" s="1341"/>
      <c r="CC9" s="1341"/>
      <c r="CD9" s="1341"/>
      <c r="CE9" s="1341"/>
      <c r="CF9" s="1341"/>
      <c r="CG9" s="1341"/>
      <c r="CH9" s="1341"/>
      <c r="CI9" s="1341"/>
      <c r="CJ9" s="1341"/>
      <c r="CK9" s="1341"/>
      <c r="CL9" s="1341"/>
      <c r="CM9" s="1341"/>
      <c r="CN9" s="1341"/>
      <c r="CO9" s="1341"/>
      <c r="CP9" s="1341"/>
    </row>
    <row r="10" spans="1:105" ht="32.1" customHeight="1" x14ac:dyDescent="0.3">
      <c r="B10" s="1345" t="s">
        <v>2072</v>
      </c>
      <c r="C10" s="1342"/>
      <c r="D10" s="1342"/>
      <c r="E10" s="1342"/>
      <c r="F10" s="1342"/>
      <c r="G10" s="1342"/>
      <c r="H10" s="1342"/>
      <c r="I10" s="1342"/>
      <c r="J10" s="1342"/>
      <c r="K10" s="1342"/>
      <c r="L10" s="1342"/>
      <c r="M10" s="1342"/>
      <c r="N10" s="1342"/>
      <c r="O10" s="1342"/>
      <c r="P10" s="1342"/>
      <c r="Q10" s="1342"/>
      <c r="R10" s="1342"/>
      <c r="S10" s="1342"/>
      <c r="T10" s="1342"/>
      <c r="U10" s="1342"/>
      <c r="V10" s="1342"/>
      <c r="W10" s="1342"/>
      <c r="X10" s="1342"/>
      <c r="Y10" s="1342"/>
      <c r="Z10" s="1342"/>
      <c r="AA10" s="1342"/>
      <c r="AB10" s="1342"/>
      <c r="AC10" s="1342"/>
      <c r="AD10" s="1342"/>
      <c r="AE10" s="1342"/>
      <c r="AF10" s="1342"/>
      <c r="AG10" s="1342"/>
      <c r="AH10" s="1342"/>
      <c r="AI10" s="1342"/>
      <c r="AJ10" s="1342"/>
      <c r="AK10" s="1342"/>
      <c r="AL10" s="1342"/>
      <c r="AM10" s="1342"/>
      <c r="AN10" s="1342"/>
      <c r="AO10" s="1342"/>
      <c r="AP10" s="1342"/>
      <c r="AQ10" s="1342"/>
      <c r="AR10" s="1342"/>
      <c r="AS10" s="1342"/>
      <c r="AT10" s="1342"/>
      <c r="AU10" s="1342"/>
      <c r="AV10" s="1342"/>
      <c r="AW10" s="1342"/>
      <c r="AX10" s="1342"/>
      <c r="AY10" s="1342"/>
      <c r="AZ10" s="1342"/>
      <c r="BA10" s="1342"/>
      <c r="BB10" s="1342"/>
      <c r="BC10" s="1342"/>
      <c r="BD10" s="1342"/>
      <c r="BE10" s="1342"/>
      <c r="BF10" s="1342"/>
      <c r="BG10" s="1342"/>
      <c r="BH10" s="1342"/>
      <c r="BI10" s="1342"/>
      <c r="BJ10" s="1342"/>
      <c r="BK10" s="1342"/>
      <c r="BL10" s="1342"/>
      <c r="BM10" s="1342"/>
      <c r="BN10" s="1342"/>
      <c r="BO10" s="1342"/>
      <c r="BP10" s="1342"/>
      <c r="BQ10" s="1342"/>
      <c r="BR10" s="1342"/>
      <c r="BS10" s="1342"/>
      <c r="BT10" s="1342"/>
      <c r="BU10" s="1342"/>
      <c r="BV10" s="1342"/>
      <c r="BW10" s="1342"/>
      <c r="BX10" s="1342"/>
      <c r="BY10" s="1342"/>
      <c r="BZ10" s="1342"/>
      <c r="CA10" s="1342"/>
      <c r="CB10" s="1341"/>
      <c r="CC10" s="1341"/>
      <c r="CD10" s="1341"/>
      <c r="CE10" s="1341"/>
      <c r="CF10" s="1341"/>
      <c r="CG10" s="1341"/>
      <c r="CH10" s="1341"/>
      <c r="CI10" s="1341"/>
      <c r="CJ10" s="1341"/>
      <c r="CK10" s="1341"/>
      <c r="CL10" s="1341"/>
      <c r="CM10" s="1341"/>
      <c r="CN10" s="1341"/>
      <c r="CO10" s="1341"/>
      <c r="CP10" s="1341"/>
    </row>
    <row r="11" spans="1:105" s="1349" customFormat="1" ht="16.350000000000001" customHeight="1" x14ac:dyDescent="0.2">
      <c r="A11" s="7798"/>
      <c r="B11" s="11157" t="s">
        <v>614</v>
      </c>
      <c r="C11" s="11158"/>
      <c r="D11" s="11157" t="s">
        <v>44</v>
      </c>
      <c r="E11" s="11157"/>
      <c r="F11" s="11158"/>
      <c r="G11" s="11163" t="s">
        <v>25</v>
      </c>
      <c r="H11" s="11164"/>
      <c r="I11" s="11164"/>
      <c r="J11" s="11164"/>
      <c r="K11" s="11164"/>
      <c r="L11" s="11164"/>
      <c r="M11" s="11164"/>
      <c r="N11" s="11164"/>
      <c r="O11" s="11164"/>
      <c r="P11" s="11164"/>
      <c r="Q11" s="11164"/>
      <c r="R11" s="11164"/>
      <c r="S11" s="11164"/>
      <c r="T11" s="11164"/>
      <c r="U11" s="11164"/>
      <c r="V11" s="11164"/>
      <c r="W11" s="11164"/>
      <c r="X11" s="11164"/>
      <c r="Y11" s="11164"/>
      <c r="Z11" s="11164"/>
      <c r="AA11" s="11164"/>
      <c r="AB11" s="11164"/>
      <c r="AC11" s="11164"/>
      <c r="AD11" s="11164"/>
      <c r="AE11" s="11164"/>
      <c r="AF11" s="11164"/>
      <c r="AG11" s="11164"/>
      <c r="AH11" s="11164"/>
      <c r="AI11" s="11164"/>
      <c r="AJ11" s="11164"/>
      <c r="AK11" s="11164"/>
      <c r="AL11" s="11164"/>
      <c r="AM11" s="11164"/>
      <c r="AN11" s="11165"/>
      <c r="AO11" s="11166" t="s">
        <v>396</v>
      </c>
      <c r="AP11" s="11171" t="s">
        <v>360</v>
      </c>
      <c r="AQ11" s="11158" t="s">
        <v>362</v>
      </c>
      <c r="AR11" s="11171" t="s">
        <v>361</v>
      </c>
      <c r="AS11" s="11175" t="s">
        <v>429</v>
      </c>
      <c r="AT11" s="11158" t="s">
        <v>2068</v>
      </c>
      <c r="AU11" s="11178" t="s">
        <v>428</v>
      </c>
      <c r="AV11" s="11158" t="s">
        <v>374</v>
      </c>
      <c r="AW11" s="11171" t="s">
        <v>430</v>
      </c>
      <c r="AX11" s="11171" t="s">
        <v>375</v>
      </c>
      <c r="AY11" s="1346"/>
      <c r="AZ11" s="1346"/>
      <c r="BA11" s="1346"/>
      <c r="BB11" s="1346"/>
      <c r="BC11" s="1346"/>
      <c r="BD11" s="1346"/>
      <c r="BE11" s="1346"/>
      <c r="BF11" s="1346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1347"/>
      <c r="CC11" s="1347"/>
      <c r="CD11" s="1347"/>
      <c r="CE11" s="1347"/>
      <c r="CF11" s="1347"/>
      <c r="CG11" s="1347"/>
      <c r="CH11" s="1347"/>
      <c r="CI11" s="1347"/>
      <c r="CJ11" s="1347"/>
      <c r="CK11" s="1347"/>
      <c r="CL11" s="1347"/>
      <c r="CM11" s="1347"/>
      <c r="CN11" s="1347"/>
      <c r="CO11" s="1347"/>
      <c r="CP11" s="1347"/>
      <c r="CQ11" s="1348"/>
      <c r="CR11" s="1348"/>
      <c r="CS11" s="1348"/>
      <c r="CT11" s="1348"/>
      <c r="CU11" s="1348"/>
      <c r="CV11" s="1348"/>
      <c r="CW11" s="1348"/>
      <c r="CX11" s="1348"/>
      <c r="CY11" s="1348"/>
      <c r="CZ11" s="1348"/>
      <c r="DA11" s="1348"/>
    </row>
    <row r="12" spans="1:105" s="1349" customFormat="1" ht="16.350000000000001" customHeight="1" x14ac:dyDescent="0.2">
      <c r="A12" s="7798"/>
      <c r="B12" s="11159"/>
      <c r="C12" s="11160"/>
      <c r="D12" s="11161"/>
      <c r="E12" s="11161"/>
      <c r="F12" s="11162"/>
      <c r="G12" s="11163" t="s">
        <v>3459</v>
      </c>
      <c r="H12" s="11174"/>
      <c r="I12" s="11164" t="s">
        <v>3460</v>
      </c>
      <c r="J12" s="11174"/>
      <c r="K12" s="11164" t="s">
        <v>3547</v>
      </c>
      <c r="L12" s="11174"/>
      <c r="M12" s="11163" t="s">
        <v>33</v>
      </c>
      <c r="N12" s="11174"/>
      <c r="O12" s="11169" t="s">
        <v>81</v>
      </c>
      <c r="P12" s="11170"/>
      <c r="Q12" s="11169" t="s">
        <v>82</v>
      </c>
      <c r="R12" s="11170"/>
      <c r="S12" s="11169" t="s">
        <v>83</v>
      </c>
      <c r="T12" s="11170"/>
      <c r="U12" s="11169" t="s">
        <v>400</v>
      </c>
      <c r="V12" s="11170"/>
      <c r="W12" s="11169" t="s">
        <v>124</v>
      </c>
      <c r="X12" s="11170"/>
      <c r="Y12" s="11169" t="s">
        <v>125</v>
      </c>
      <c r="Z12" s="11170"/>
      <c r="AA12" s="11169" t="s">
        <v>126</v>
      </c>
      <c r="AB12" s="11170"/>
      <c r="AC12" s="11169" t="s">
        <v>127</v>
      </c>
      <c r="AD12" s="11170"/>
      <c r="AE12" s="11169" t="s">
        <v>128</v>
      </c>
      <c r="AF12" s="11170"/>
      <c r="AG12" s="11169" t="s">
        <v>129</v>
      </c>
      <c r="AH12" s="11170"/>
      <c r="AI12" s="11169" t="s">
        <v>130</v>
      </c>
      <c r="AJ12" s="11170"/>
      <c r="AK12" s="11169" t="s">
        <v>131</v>
      </c>
      <c r="AL12" s="11170"/>
      <c r="AM12" s="11169" t="s">
        <v>1919</v>
      </c>
      <c r="AN12" s="11177"/>
      <c r="AO12" s="11167"/>
      <c r="AP12" s="11172"/>
      <c r="AQ12" s="11160"/>
      <c r="AR12" s="11172"/>
      <c r="AS12" s="11176"/>
      <c r="AT12" s="11160"/>
      <c r="AU12" s="11179"/>
      <c r="AV12" s="11160"/>
      <c r="AW12" s="11172"/>
      <c r="AX12" s="11172"/>
      <c r="AY12" s="1346"/>
      <c r="AZ12" s="1346"/>
      <c r="BA12" s="1346"/>
      <c r="BB12" s="1346"/>
      <c r="BC12" s="1346"/>
      <c r="BD12" s="1346"/>
      <c r="BE12" s="1346"/>
      <c r="BF12" s="1346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J12" s="1347"/>
      <c r="CK12" s="1347"/>
      <c r="CL12" s="1347"/>
      <c r="CM12" s="1347"/>
      <c r="CN12" s="1347"/>
      <c r="CO12" s="1347"/>
      <c r="CP12" s="1347"/>
      <c r="CQ12" s="1348"/>
      <c r="CR12" s="1348"/>
      <c r="CS12" s="1348"/>
      <c r="CT12" s="1348"/>
      <c r="CU12" s="1348"/>
      <c r="CV12" s="1348"/>
      <c r="CW12" s="1348"/>
      <c r="CX12" s="1348"/>
      <c r="CY12" s="1348"/>
      <c r="CZ12" s="1348"/>
      <c r="DA12" s="1348"/>
    </row>
    <row r="13" spans="1:105" s="1349" customFormat="1" ht="31.5" customHeight="1" x14ac:dyDescent="0.2">
      <c r="A13" s="7798"/>
      <c r="B13" s="11161"/>
      <c r="C13" s="11162"/>
      <c r="D13" s="1350" t="s">
        <v>42</v>
      </c>
      <c r="E13" s="1929" t="s">
        <v>17</v>
      </c>
      <c r="F13" s="1351" t="s">
        <v>18</v>
      </c>
      <c r="G13" s="1352" t="s">
        <v>17</v>
      </c>
      <c r="H13" s="1353" t="s">
        <v>18</v>
      </c>
      <c r="I13" s="1354" t="s">
        <v>17</v>
      </c>
      <c r="J13" s="1353" t="s">
        <v>18</v>
      </c>
      <c r="K13" s="1354" t="s">
        <v>17</v>
      </c>
      <c r="L13" s="1353" t="s">
        <v>18</v>
      </c>
      <c r="M13" s="1352" t="s">
        <v>17</v>
      </c>
      <c r="N13" s="1353" t="s">
        <v>18</v>
      </c>
      <c r="O13" s="1352" t="s">
        <v>17</v>
      </c>
      <c r="P13" s="1353" t="s">
        <v>18</v>
      </c>
      <c r="Q13" s="1352" t="s">
        <v>17</v>
      </c>
      <c r="R13" s="1353" t="s">
        <v>18</v>
      </c>
      <c r="S13" s="1352" t="s">
        <v>17</v>
      </c>
      <c r="T13" s="1353" t="s">
        <v>18</v>
      </c>
      <c r="U13" s="1352" t="s">
        <v>17</v>
      </c>
      <c r="V13" s="1353" t="s">
        <v>18</v>
      </c>
      <c r="W13" s="1352" t="s">
        <v>17</v>
      </c>
      <c r="X13" s="1353" t="s">
        <v>18</v>
      </c>
      <c r="Y13" s="1352" t="s">
        <v>17</v>
      </c>
      <c r="Z13" s="1353" t="s">
        <v>18</v>
      </c>
      <c r="AA13" s="1352" t="s">
        <v>17</v>
      </c>
      <c r="AB13" s="1353" t="s">
        <v>18</v>
      </c>
      <c r="AC13" s="1352" t="s">
        <v>17</v>
      </c>
      <c r="AD13" s="1353" t="s">
        <v>18</v>
      </c>
      <c r="AE13" s="1352" t="s">
        <v>17</v>
      </c>
      <c r="AF13" s="1353" t="s">
        <v>18</v>
      </c>
      <c r="AG13" s="1352" t="s">
        <v>17</v>
      </c>
      <c r="AH13" s="1353" t="s">
        <v>18</v>
      </c>
      <c r="AI13" s="1352" t="s">
        <v>17</v>
      </c>
      <c r="AJ13" s="1353" t="s">
        <v>18</v>
      </c>
      <c r="AK13" s="1352" t="s">
        <v>17</v>
      </c>
      <c r="AL13" s="1353" t="s">
        <v>18</v>
      </c>
      <c r="AM13" s="1352" t="s">
        <v>17</v>
      </c>
      <c r="AN13" s="1355" t="s">
        <v>18</v>
      </c>
      <c r="AO13" s="11168"/>
      <c r="AP13" s="11173"/>
      <c r="AQ13" s="11162"/>
      <c r="AR13" s="11173"/>
      <c r="AS13" s="10882"/>
      <c r="AT13" s="11162"/>
      <c r="AU13" s="11180"/>
      <c r="AV13" s="11162"/>
      <c r="AW13" s="11173"/>
      <c r="AX13" s="11173"/>
      <c r="AY13" s="1346"/>
      <c r="AZ13" s="1346"/>
      <c r="BA13" s="1346"/>
      <c r="BB13" s="1346"/>
      <c r="BC13" s="1346"/>
      <c r="BD13" s="1346"/>
      <c r="BE13" s="1346"/>
      <c r="BF13" s="1346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1347"/>
      <c r="CC13" s="1347"/>
      <c r="CD13" s="1347"/>
      <c r="CE13" s="1347"/>
      <c r="CF13" s="1347"/>
      <c r="CG13" s="1347"/>
      <c r="CH13" s="1356"/>
      <c r="CI13" s="1356"/>
      <c r="CJ13" s="1347"/>
      <c r="CK13" s="1347"/>
      <c r="CL13" s="1347"/>
      <c r="CM13" s="1347"/>
      <c r="CN13" s="1347"/>
      <c r="CO13" s="1347"/>
      <c r="CP13" s="1347"/>
      <c r="CQ13" s="1348"/>
      <c r="CR13" s="1348"/>
      <c r="CS13" s="1348"/>
      <c r="CT13" s="1348"/>
      <c r="CU13" s="1348"/>
      <c r="CV13" s="1348"/>
      <c r="CW13" s="1348"/>
      <c r="CX13" s="1348"/>
      <c r="CY13" s="1348"/>
      <c r="CZ13" s="1348"/>
      <c r="DA13" s="1348"/>
    </row>
    <row r="14" spans="1:105" s="1349" customFormat="1" ht="16.350000000000001" customHeight="1" x14ac:dyDescent="0.2">
      <c r="A14" s="7263">
        <v>31000000</v>
      </c>
      <c r="B14" s="11185" t="s">
        <v>446</v>
      </c>
      <c r="C14" s="1357" t="s">
        <v>370</v>
      </c>
      <c r="D14" s="466" t="s">
        <v>5369</v>
      </c>
      <c r="E14" s="1846" t="s">
        <v>5370</v>
      </c>
      <c r="F14" s="1358" t="s">
        <v>5371</v>
      </c>
      <c r="G14" s="177" t="s">
        <v>5372</v>
      </c>
      <c r="H14" s="179" t="s">
        <v>5373</v>
      </c>
      <c r="I14" s="178" t="s">
        <v>5374</v>
      </c>
      <c r="J14" s="179" t="s">
        <v>5375</v>
      </c>
      <c r="K14" s="178" t="s">
        <v>5376</v>
      </c>
      <c r="L14" s="179" t="s">
        <v>5377</v>
      </c>
      <c r="M14" s="178" t="s">
        <v>5378</v>
      </c>
      <c r="N14" s="179" t="s">
        <v>5379</v>
      </c>
      <c r="O14" s="178" t="s">
        <v>5380</v>
      </c>
      <c r="P14" s="179" t="s">
        <v>5381</v>
      </c>
      <c r="Q14" s="178" t="s">
        <v>5382</v>
      </c>
      <c r="R14" s="179" t="s">
        <v>5383</v>
      </c>
      <c r="S14" s="178" t="s">
        <v>5384</v>
      </c>
      <c r="T14" s="179" t="s">
        <v>5385</v>
      </c>
      <c r="U14" s="178" t="s">
        <v>5386</v>
      </c>
      <c r="V14" s="179" t="s">
        <v>5387</v>
      </c>
      <c r="W14" s="178" t="s">
        <v>5388</v>
      </c>
      <c r="X14" s="179" t="s">
        <v>5389</v>
      </c>
      <c r="Y14" s="178" t="s">
        <v>5390</v>
      </c>
      <c r="Z14" s="179" t="s">
        <v>5391</v>
      </c>
      <c r="AA14" s="178" t="s">
        <v>5392</v>
      </c>
      <c r="AB14" s="179" t="s">
        <v>5393</v>
      </c>
      <c r="AC14" s="178" t="s">
        <v>5394</v>
      </c>
      <c r="AD14" s="179" t="s">
        <v>5395</v>
      </c>
      <c r="AE14" s="178" t="s">
        <v>5396</v>
      </c>
      <c r="AF14" s="179" t="s">
        <v>5397</v>
      </c>
      <c r="AG14" s="178" t="s">
        <v>5398</v>
      </c>
      <c r="AH14" s="179" t="s">
        <v>5399</v>
      </c>
      <c r="AI14" s="178" t="s">
        <v>5400</v>
      </c>
      <c r="AJ14" s="179" t="s">
        <v>5401</v>
      </c>
      <c r="AK14" s="178" t="s">
        <v>5402</v>
      </c>
      <c r="AL14" s="179" t="s">
        <v>5403</v>
      </c>
      <c r="AM14" s="178" t="s">
        <v>5404</v>
      </c>
      <c r="AN14" s="247" t="s">
        <v>5405</v>
      </c>
      <c r="AO14" s="1359" t="s">
        <v>5406</v>
      </c>
      <c r="AP14" s="528" t="s">
        <v>5407</v>
      </c>
      <c r="AQ14" s="228" t="s">
        <v>5408</v>
      </c>
      <c r="AR14" s="202" t="s">
        <v>5409</v>
      </c>
      <c r="AS14" s="253" t="s">
        <v>5410</v>
      </c>
      <c r="AT14" s="228" t="s">
        <v>5411</v>
      </c>
      <c r="AU14" s="253" t="s">
        <v>5412</v>
      </c>
      <c r="AV14" s="228" t="s">
        <v>5413</v>
      </c>
      <c r="AW14" s="202" t="s">
        <v>5414</v>
      </c>
      <c r="AX14" s="202" t="s">
        <v>5415</v>
      </c>
      <c r="AY14" s="1360" t="e">
        <f>CB14&amp;CC14&amp;CD14</f>
        <v>#VALUE!</v>
      </c>
      <c r="AZ14" s="806"/>
      <c r="BA14" s="806"/>
      <c r="BB14" s="806"/>
      <c r="BC14" s="806"/>
      <c r="BD14" s="806"/>
      <c r="BE14" s="1346"/>
      <c r="BF14" s="1346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1361" t="str">
        <f>IF(CH14=1,"* No olvide digitar la columna Beneficiarios y/o Pueblos Originario y/o Migrantes y/o Población SENAME (Digite Cero si no tiene). ","")</f>
        <v/>
      </c>
      <c r="CC14" s="1361" t="str">
        <f>IF(CI14=1,"*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4" s="1361" t="e">
        <f>IF(CJ14=1,"* La suma de Pacientes, Familiares/Cuidadores de los pacientes y Funcionarios debe ser mayor o igual al Total. ","")</f>
        <v>#VALUE!</v>
      </c>
      <c r="CE14" s="1361"/>
      <c r="CF14" s="1361"/>
      <c r="CG14" s="1361"/>
      <c r="CH14" s="1362">
        <f>IF(AND(D14&lt;&gt;0,OR(AP14="",AQ14="",AR14="",AS14="")),1,0)</f>
        <v>0</v>
      </c>
      <c r="CI14" s="1362">
        <f>IF(OR(D14&lt;AP14,D14&lt;AQ14,D14&lt;AR14,D14&lt;AS14),1,0)</f>
        <v>1</v>
      </c>
      <c r="CJ14" s="1362" t="e">
        <f>IF(D14&gt;(AV14+AW14+AX14),1,0)</f>
        <v>#VALUE!</v>
      </c>
      <c r="CK14" s="1347"/>
      <c r="CL14" s="1347"/>
      <c r="CM14" s="1347"/>
      <c r="CN14" s="1347"/>
      <c r="CO14" s="1347"/>
      <c r="CP14" s="1347"/>
      <c r="CQ14" s="1348"/>
      <c r="CR14" s="1348"/>
      <c r="CS14" s="1348"/>
      <c r="CT14" s="1348"/>
      <c r="CU14" s="1348"/>
      <c r="CV14" s="1348"/>
      <c r="CW14" s="1348"/>
      <c r="CX14" s="1348"/>
      <c r="CY14" s="1348"/>
      <c r="CZ14" s="1348"/>
      <c r="DA14" s="1348"/>
    </row>
    <row r="15" spans="1:105" s="1349" customFormat="1" ht="16.350000000000001" customHeight="1" x14ac:dyDescent="0.2">
      <c r="A15" s="7263">
        <v>31000001</v>
      </c>
      <c r="B15" s="11186"/>
      <c r="C15" s="1363" t="s">
        <v>371</v>
      </c>
      <c r="D15" s="109" t="s">
        <v>5369</v>
      </c>
      <c r="E15" s="1849" t="s">
        <v>5370</v>
      </c>
      <c r="F15" s="145" t="s">
        <v>5371</v>
      </c>
      <c r="G15" s="137" t="s">
        <v>5372</v>
      </c>
      <c r="H15" s="138" t="s">
        <v>5373</v>
      </c>
      <c r="I15" s="113" t="s">
        <v>5374</v>
      </c>
      <c r="J15" s="138" t="s">
        <v>5375</v>
      </c>
      <c r="K15" s="113" t="s">
        <v>5376</v>
      </c>
      <c r="L15" s="138" t="s">
        <v>5377</v>
      </c>
      <c r="M15" s="113" t="s">
        <v>5378</v>
      </c>
      <c r="N15" s="138" t="s">
        <v>5379</v>
      </c>
      <c r="O15" s="113" t="s">
        <v>5380</v>
      </c>
      <c r="P15" s="138" t="s">
        <v>5381</v>
      </c>
      <c r="Q15" s="113" t="s">
        <v>5382</v>
      </c>
      <c r="R15" s="138" t="s">
        <v>5383</v>
      </c>
      <c r="S15" s="113" t="s">
        <v>5384</v>
      </c>
      <c r="T15" s="138" t="s">
        <v>5385</v>
      </c>
      <c r="U15" s="113" t="s">
        <v>5386</v>
      </c>
      <c r="V15" s="138" t="s">
        <v>5387</v>
      </c>
      <c r="W15" s="113" t="s">
        <v>5388</v>
      </c>
      <c r="X15" s="138" t="s">
        <v>5389</v>
      </c>
      <c r="Y15" s="113" t="s">
        <v>5390</v>
      </c>
      <c r="Z15" s="138" t="s">
        <v>5391</v>
      </c>
      <c r="AA15" s="113" t="s">
        <v>5392</v>
      </c>
      <c r="AB15" s="138" t="s">
        <v>5393</v>
      </c>
      <c r="AC15" s="113" t="s">
        <v>5394</v>
      </c>
      <c r="AD15" s="138" t="s">
        <v>5395</v>
      </c>
      <c r="AE15" s="113" t="s">
        <v>5396</v>
      </c>
      <c r="AF15" s="138" t="s">
        <v>5397</v>
      </c>
      <c r="AG15" s="113" t="s">
        <v>5398</v>
      </c>
      <c r="AH15" s="138" t="s">
        <v>5399</v>
      </c>
      <c r="AI15" s="113" t="s">
        <v>5400</v>
      </c>
      <c r="AJ15" s="138" t="s">
        <v>5401</v>
      </c>
      <c r="AK15" s="113" t="s">
        <v>5402</v>
      </c>
      <c r="AL15" s="138" t="s">
        <v>5403</v>
      </c>
      <c r="AM15" s="113" t="s">
        <v>5404</v>
      </c>
      <c r="AN15" s="260" t="s">
        <v>5405</v>
      </c>
      <c r="AO15" s="1364" t="s">
        <v>5406</v>
      </c>
      <c r="AP15" s="97" t="s">
        <v>5407</v>
      </c>
      <c r="AQ15" s="164" t="s">
        <v>5408</v>
      </c>
      <c r="AR15" s="97" t="s">
        <v>5409</v>
      </c>
      <c r="AS15" s="242" t="s">
        <v>5410</v>
      </c>
      <c r="AT15" s="164" t="s">
        <v>5411</v>
      </c>
      <c r="AU15" s="242" t="s">
        <v>5412</v>
      </c>
      <c r="AV15" s="164" t="s">
        <v>5413</v>
      </c>
      <c r="AW15" s="97" t="s">
        <v>5414</v>
      </c>
      <c r="AX15" s="97" t="s">
        <v>5415</v>
      </c>
      <c r="AY15" s="1360" t="e">
        <f t="shared" ref="AY15:AY29" si="0">CB15&amp;CC15&amp;CD15</f>
        <v>#VALUE!</v>
      </c>
      <c r="AZ15" s="806"/>
      <c r="BA15" s="806"/>
      <c r="BB15" s="806"/>
      <c r="BC15" s="806"/>
      <c r="BD15" s="806"/>
      <c r="BE15" s="1346"/>
      <c r="BF15" s="1346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1361" t="str">
        <f t="shared" ref="CB15:CB28" si="1">IF(CH15=1,"* No olvide digitar la columna Beneficiarios y/o Pueblos Originario y/o Migrantes y/o Población SENAME (Digite Cero si no tiene). ","")</f>
        <v/>
      </c>
      <c r="CC15" s="1361" t="str">
        <f t="shared" ref="CC15:CC28" si="2">IF(CI15=1,"*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5" s="1361" t="e">
        <f t="shared" ref="CD15:CD29" si="3">IF(CJ15=1,"* La suma de Pacientes, Familiares/Cuidadores de los pacientes y Funcionarios debe ser mayor o igual al Total. ","")</f>
        <v>#VALUE!</v>
      </c>
      <c r="CE15" s="1361"/>
      <c r="CF15" s="1361"/>
      <c r="CG15" s="1361"/>
      <c r="CH15" s="1362">
        <f t="shared" ref="CH15:CH28" si="4">IF(AND(D15&lt;&gt;0,OR(AP15="",AQ15="",AR15="",AS15="")),1,0)</f>
        <v>0</v>
      </c>
      <c r="CI15" s="1362">
        <f t="shared" ref="CI15:CI28" si="5">IF(OR(D15&lt;AP15,D15&lt;AQ15,D15&lt;AR15,D15&lt;AS15),1,0)</f>
        <v>1</v>
      </c>
      <c r="CJ15" s="1362" t="e">
        <f t="shared" ref="CJ15:CJ29" si="6">IF(D15&gt;(AV15+AW15+AX15),1,0)</f>
        <v>#VALUE!</v>
      </c>
      <c r="CK15" s="1347"/>
      <c r="CL15" s="1347"/>
      <c r="CM15" s="1347"/>
      <c r="CN15" s="1347"/>
      <c r="CO15" s="1347"/>
      <c r="CP15" s="1347"/>
      <c r="CQ15" s="1348"/>
      <c r="CR15" s="1348"/>
      <c r="CS15" s="1348"/>
      <c r="CT15" s="1348"/>
      <c r="CU15" s="1348"/>
      <c r="CV15" s="1348"/>
      <c r="CW15" s="1348"/>
      <c r="CX15" s="1348"/>
      <c r="CY15" s="1348"/>
      <c r="CZ15" s="1348"/>
      <c r="DA15" s="1348"/>
    </row>
    <row r="16" spans="1:105" s="1349" customFormat="1" ht="16.350000000000001" customHeight="1" x14ac:dyDescent="0.2">
      <c r="A16" s="7263">
        <v>31000002</v>
      </c>
      <c r="B16" s="11187"/>
      <c r="C16" s="1365" t="s">
        <v>372</v>
      </c>
      <c r="D16" s="81" t="s">
        <v>5369</v>
      </c>
      <c r="E16" s="1658" t="s">
        <v>5370</v>
      </c>
      <c r="F16" s="147" t="s">
        <v>5371</v>
      </c>
      <c r="G16" s="125" t="s">
        <v>5372</v>
      </c>
      <c r="H16" s="101" t="s">
        <v>5373</v>
      </c>
      <c r="I16" s="102" t="s">
        <v>5374</v>
      </c>
      <c r="J16" s="101" t="s">
        <v>5375</v>
      </c>
      <c r="K16" s="102" t="s">
        <v>5376</v>
      </c>
      <c r="L16" s="101" t="s">
        <v>5377</v>
      </c>
      <c r="M16" s="102" t="s">
        <v>5378</v>
      </c>
      <c r="N16" s="101" t="s">
        <v>5379</v>
      </c>
      <c r="O16" s="102" t="s">
        <v>5380</v>
      </c>
      <c r="P16" s="101" t="s">
        <v>5381</v>
      </c>
      <c r="Q16" s="102" t="s">
        <v>5382</v>
      </c>
      <c r="R16" s="101" t="s">
        <v>5383</v>
      </c>
      <c r="S16" s="102" t="s">
        <v>5384</v>
      </c>
      <c r="T16" s="101" t="s">
        <v>5385</v>
      </c>
      <c r="U16" s="102" t="s">
        <v>5386</v>
      </c>
      <c r="V16" s="101" t="s">
        <v>5387</v>
      </c>
      <c r="W16" s="102" t="s">
        <v>5388</v>
      </c>
      <c r="X16" s="101" t="s">
        <v>5389</v>
      </c>
      <c r="Y16" s="102" t="s">
        <v>5390</v>
      </c>
      <c r="Z16" s="101" t="s">
        <v>5391</v>
      </c>
      <c r="AA16" s="102" t="s">
        <v>5392</v>
      </c>
      <c r="AB16" s="101" t="s">
        <v>5393</v>
      </c>
      <c r="AC16" s="102" t="s">
        <v>5394</v>
      </c>
      <c r="AD16" s="101" t="s">
        <v>5395</v>
      </c>
      <c r="AE16" s="102" t="s">
        <v>5396</v>
      </c>
      <c r="AF16" s="101" t="s">
        <v>5397</v>
      </c>
      <c r="AG16" s="102" t="s">
        <v>5398</v>
      </c>
      <c r="AH16" s="101" t="s">
        <v>5399</v>
      </c>
      <c r="AI16" s="102" t="s">
        <v>5400</v>
      </c>
      <c r="AJ16" s="101" t="s">
        <v>5401</v>
      </c>
      <c r="AK16" s="102" t="s">
        <v>5402</v>
      </c>
      <c r="AL16" s="101" t="s">
        <v>5403</v>
      </c>
      <c r="AM16" s="102" t="s">
        <v>5404</v>
      </c>
      <c r="AN16" s="198" t="s">
        <v>5405</v>
      </c>
      <c r="AO16" s="556" t="s">
        <v>5406</v>
      </c>
      <c r="AP16" s="86" t="s">
        <v>5407</v>
      </c>
      <c r="AQ16" s="127" t="s">
        <v>5408</v>
      </c>
      <c r="AR16" s="86" t="s">
        <v>5409</v>
      </c>
      <c r="AS16" s="212" t="s">
        <v>5410</v>
      </c>
      <c r="AT16" s="127" t="s">
        <v>5411</v>
      </c>
      <c r="AU16" s="212" t="s">
        <v>5412</v>
      </c>
      <c r="AV16" s="127" t="s">
        <v>5413</v>
      </c>
      <c r="AW16" s="86" t="s">
        <v>5414</v>
      </c>
      <c r="AX16" s="86" t="s">
        <v>5415</v>
      </c>
      <c r="AY16" s="1360" t="e">
        <f t="shared" si="0"/>
        <v>#VALUE!</v>
      </c>
      <c r="AZ16" s="806"/>
      <c r="BA16" s="806"/>
      <c r="BB16" s="806"/>
      <c r="BC16" s="806"/>
      <c r="BD16" s="806"/>
      <c r="BE16" s="1346"/>
      <c r="BF16" s="1346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1361" t="str">
        <f t="shared" si="1"/>
        <v/>
      </c>
      <c r="CC16" s="1361" t="str">
        <f t="shared" si="2"/>
        <v>* El número de Beneficiarios y/o Pueblos Originarios y/o Migrantes y/o Población SENAME NO DEBE ser mayor que el Total.</v>
      </c>
      <c r="CD16" s="1361" t="e">
        <f t="shared" si="3"/>
        <v>#VALUE!</v>
      </c>
      <c r="CE16" s="1361"/>
      <c r="CF16" s="1361"/>
      <c r="CG16" s="1361"/>
      <c r="CH16" s="1362">
        <f t="shared" si="4"/>
        <v>0</v>
      </c>
      <c r="CI16" s="1362">
        <f t="shared" si="5"/>
        <v>1</v>
      </c>
      <c r="CJ16" s="1362" t="e">
        <f t="shared" si="6"/>
        <v>#VALUE!</v>
      </c>
      <c r="CK16" s="1347"/>
      <c r="CL16" s="1347"/>
      <c r="CM16" s="1347"/>
      <c r="CN16" s="1347"/>
      <c r="CO16" s="1347"/>
      <c r="CP16" s="1347"/>
      <c r="CQ16" s="1348"/>
      <c r="CR16" s="1348"/>
      <c r="CS16" s="1348"/>
      <c r="CT16" s="1348"/>
      <c r="CU16" s="1348"/>
      <c r="CV16" s="1348"/>
      <c r="CW16" s="1348"/>
      <c r="CX16" s="1348"/>
      <c r="CY16" s="1348"/>
      <c r="CZ16" s="1348"/>
      <c r="DA16" s="1348"/>
    </row>
    <row r="17" spans="1:105" s="1349" customFormat="1" ht="16.350000000000001" customHeight="1" x14ac:dyDescent="0.2">
      <c r="A17" s="7263">
        <v>31000039</v>
      </c>
      <c r="B17" s="11160" t="s">
        <v>385</v>
      </c>
      <c r="C17" s="1366" t="s">
        <v>422</v>
      </c>
      <c r="D17" s="1367" t="s">
        <v>5369</v>
      </c>
      <c r="E17" s="1930" t="s">
        <v>5370</v>
      </c>
      <c r="F17" s="1368" t="s">
        <v>5371</v>
      </c>
      <c r="G17" s="129" t="s">
        <v>5372</v>
      </c>
      <c r="H17" s="130" t="s">
        <v>5373</v>
      </c>
      <c r="I17" s="100" t="s">
        <v>5374</v>
      </c>
      <c r="J17" s="130" t="s">
        <v>5375</v>
      </c>
      <c r="K17" s="100" t="s">
        <v>5376</v>
      </c>
      <c r="L17" s="143" t="s">
        <v>5377</v>
      </c>
      <c r="M17" s="100" t="s">
        <v>5378</v>
      </c>
      <c r="N17" s="143" t="s">
        <v>5379</v>
      </c>
      <c r="O17" s="100" t="s">
        <v>5380</v>
      </c>
      <c r="P17" s="143" t="s">
        <v>5381</v>
      </c>
      <c r="Q17" s="100" t="s">
        <v>5382</v>
      </c>
      <c r="R17" s="143" t="s">
        <v>5383</v>
      </c>
      <c r="S17" s="100" t="s">
        <v>5384</v>
      </c>
      <c r="T17" s="143" t="s">
        <v>5385</v>
      </c>
      <c r="U17" s="100" t="s">
        <v>5386</v>
      </c>
      <c r="V17" s="143" t="s">
        <v>5387</v>
      </c>
      <c r="W17" s="100" t="s">
        <v>5388</v>
      </c>
      <c r="X17" s="143" t="s">
        <v>5389</v>
      </c>
      <c r="Y17" s="100" t="s">
        <v>5390</v>
      </c>
      <c r="Z17" s="143" t="s">
        <v>5391</v>
      </c>
      <c r="AA17" s="100" t="s">
        <v>5392</v>
      </c>
      <c r="AB17" s="143" t="s">
        <v>5393</v>
      </c>
      <c r="AC17" s="100" t="s">
        <v>5394</v>
      </c>
      <c r="AD17" s="143" t="s">
        <v>5395</v>
      </c>
      <c r="AE17" s="100" t="s">
        <v>5396</v>
      </c>
      <c r="AF17" s="143" t="s">
        <v>5397</v>
      </c>
      <c r="AG17" s="100" t="s">
        <v>5398</v>
      </c>
      <c r="AH17" s="143" t="s">
        <v>5399</v>
      </c>
      <c r="AI17" s="100" t="s">
        <v>5400</v>
      </c>
      <c r="AJ17" s="143" t="s">
        <v>5401</v>
      </c>
      <c r="AK17" s="100" t="s">
        <v>5402</v>
      </c>
      <c r="AL17" s="143" t="s">
        <v>5403</v>
      </c>
      <c r="AM17" s="100" t="s">
        <v>5404</v>
      </c>
      <c r="AN17" s="237" t="s">
        <v>5405</v>
      </c>
      <c r="AO17" s="1369" t="s">
        <v>5406</v>
      </c>
      <c r="AP17" s="91" t="s">
        <v>5407</v>
      </c>
      <c r="AQ17" s="143" t="s">
        <v>5408</v>
      </c>
      <c r="AR17" s="91" t="s">
        <v>5409</v>
      </c>
      <c r="AS17" s="213" t="s">
        <v>5410</v>
      </c>
      <c r="AT17" s="143" t="s">
        <v>5411</v>
      </c>
      <c r="AU17" s="213" t="s">
        <v>5412</v>
      </c>
      <c r="AV17" s="143" t="s">
        <v>5413</v>
      </c>
      <c r="AW17" s="91" t="s">
        <v>5414</v>
      </c>
      <c r="AX17" s="91" t="s">
        <v>5415</v>
      </c>
      <c r="AY17" s="1360" t="e">
        <f t="shared" si="0"/>
        <v>#VALUE!</v>
      </c>
      <c r="AZ17" s="806"/>
      <c r="BA17" s="806"/>
      <c r="BB17" s="806"/>
      <c r="BC17" s="806"/>
      <c r="BD17" s="806"/>
      <c r="BE17" s="1346"/>
      <c r="BF17" s="1346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1361" t="str">
        <f t="shared" si="1"/>
        <v/>
      </c>
      <c r="CC17" s="1361" t="str">
        <f t="shared" si="2"/>
        <v>* El número de Beneficiarios y/o Pueblos Originarios y/o Migrantes y/o Población SENAME NO DEBE ser mayor que el Total.</v>
      </c>
      <c r="CD17" s="1361" t="e">
        <f t="shared" si="3"/>
        <v>#VALUE!</v>
      </c>
      <c r="CE17" s="1361"/>
      <c r="CF17" s="1361"/>
      <c r="CG17" s="1361"/>
      <c r="CH17" s="1362">
        <f t="shared" si="4"/>
        <v>0</v>
      </c>
      <c r="CI17" s="1362">
        <f t="shared" si="5"/>
        <v>1</v>
      </c>
      <c r="CJ17" s="1362" t="e">
        <f t="shared" si="6"/>
        <v>#VALUE!</v>
      </c>
      <c r="CK17" s="1347"/>
      <c r="CL17" s="1347"/>
      <c r="CM17" s="1347"/>
      <c r="CN17" s="1347"/>
      <c r="CO17" s="1347"/>
      <c r="CP17" s="1347"/>
      <c r="CQ17" s="1348"/>
      <c r="CR17" s="1348"/>
      <c r="CS17" s="1348"/>
      <c r="CT17" s="1348"/>
      <c r="CU17" s="1348"/>
      <c r="CV17" s="1348"/>
      <c r="CW17" s="1348"/>
      <c r="CX17" s="1348"/>
      <c r="CY17" s="1348"/>
      <c r="CZ17" s="1348"/>
      <c r="DA17" s="1348"/>
    </row>
    <row r="18" spans="1:105" s="1349" customFormat="1" ht="16.350000000000001" customHeight="1" x14ac:dyDescent="0.2">
      <c r="A18" s="7263">
        <v>31000040</v>
      </c>
      <c r="B18" s="11160"/>
      <c r="C18" s="1370" t="s">
        <v>423</v>
      </c>
      <c r="D18" s="1367" t="s">
        <v>5369</v>
      </c>
      <c r="E18" s="1930" t="s">
        <v>5370</v>
      </c>
      <c r="F18" s="1371" t="s">
        <v>5371</v>
      </c>
      <c r="G18" s="129" t="s">
        <v>5372</v>
      </c>
      <c r="H18" s="130" t="s">
        <v>5373</v>
      </c>
      <c r="I18" s="100" t="s">
        <v>5374</v>
      </c>
      <c r="J18" s="130" t="s">
        <v>5375</v>
      </c>
      <c r="K18" s="100" t="s">
        <v>5376</v>
      </c>
      <c r="L18" s="143" t="s">
        <v>5377</v>
      </c>
      <c r="M18" s="100" t="s">
        <v>5378</v>
      </c>
      <c r="N18" s="143" t="s">
        <v>5379</v>
      </c>
      <c r="O18" s="100" t="s">
        <v>5380</v>
      </c>
      <c r="P18" s="143" t="s">
        <v>5381</v>
      </c>
      <c r="Q18" s="100" t="s">
        <v>5382</v>
      </c>
      <c r="R18" s="143" t="s">
        <v>5383</v>
      </c>
      <c r="S18" s="100" t="s">
        <v>5384</v>
      </c>
      <c r="T18" s="143" t="s">
        <v>5385</v>
      </c>
      <c r="U18" s="100" t="s">
        <v>5386</v>
      </c>
      <c r="V18" s="143" t="s">
        <v>5387</v>
      </c>
      <c r="W18" s="100" t="s">
        <v>5388</v>
      </c>
      <c r="X18" s="143" t="s">
        <v>5389</v>
      </c>
      <c r="Y18" s="100" t="s">
        <v>5390</v>
      </c>
      <c r="Z18" s="143" t="s">
        <v>5391</v>
      </c>
      <c r="AA18" s="100" t="s">
        <v>5392</v>
      </c>
      <c r="AB18" s="143" t="s">
        <v>5393</v>
      </c>
      <c r="AC18" s="100" t="s">
        <v>5394</v>
      </c>
      <c r="AD18" s="143" t="s">
        <v>5395</v>
      </c>
      <c r="AE18" s="100" t="s">
        <v>5396</v>
      </c>
      <c r="AF18" s="143" t="s">
        <v>5397</v>
      </c>
      <c r="AG18" s="100" t="s">
        <v>5398</v>
      </c>
      <c r="AH18" s="143" t="s">
        <v>5399</v>
      </c>
      <c r="AI18" s="100" t="s">
        <v>5400</v>
      </c>
      <c r="AJ18" s="143" t="s">
        <v>5401</v>
      </c>
      <c r="AK18" s="100" t="s">
        <v>5402</v>
      </c>
      <c r="AL18" s="143" t="s">
        <v>5403</v>
      </c>
      <c r="AM18" s="100" t="s">
        <v>5404</v>
      </c>
      <c r="AN18" s="237" t="s">
        <v>5405</v>
      </c>
      <c r="AO18" s="1369" t="s">
        <v>5406</v>
      </c>
      <c r="AP18" s="91" t="s">
        <v>5407</v>
      </c>
      <c r="AQ18" s="143" t="s">
        <v>5408</v>
      </c>
      <c r="AR18" s="91" t="s">
        <v>5409</v>
      </c>
      <c r="AS18" s="213" t="s">
        <v>5410</v>
      </c>
      <c r="AT18" s="143" t="s">
        <v>5411</v>
      </c>
      <c r="AU18" s="213" t="s">
        <v>5412</v>
      </c>
      <c r="AV18" s="143" t="s">
        <v>5413</v>
      </c>
      <c r="AW18" s="91" t="s">
        <v>5414</v>
      </c>
      <c r="AX18" s="91" t="s">
        <v>5415</v>
      </c>
      <c r="AY18" s="1360" t="e">
        <f t="shared" si="0"/>
        <v>#VALUE!</v>
      </c>
      <c r="AZ18" s="806"/>
      <c r="BA18" s="806"/>
      <c r="BB18" s="806"/>
      <c r="BC18" s="806"/>
      <c r="BD18" s="806"/>
      <c r="BE18" s="1346"/>
      <c r="BF18" s="1346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1361" t="str">
        <f t="shared" si="1"/>
        <v/>
      </c>
      <c r="CC18" s="1361" t="str">
        <f t="shared" si="2"/>
        <v>* El número de Beneficiarios y/o Pueblos Originarios y/o Migrantes y/o Población SENAME NO DEBE ser mayor que el Total.</v>
      </c>
      <c r="CD18" s="1361" t="e">
        <f t="shared" si="3"/>
        <v>#VALUE!</v>
      </c>
      <c r="CE18" s="1361"/>
      <c r="CF18" s="1361"/>
      <c r="CG18" s="1361"/>
      <c r="CH18" s="1362">
        <f t="shared" si="4"/>
        <v>0</v>
      </c>
      <c r="CI18" s="1362">
        <f t="shared" si="5"/>
        <v>1</v>
      </c>
      <c r="CJ18" s="1362" t="e">
        <f t="shared" si="6"/>
        <v>#VALUE!</v>
      </c>
      <c r="CK18" s="1347"/>
      <c r="CL18" s="1347"/>
      <c r="CM18" s="1347"/>
      <c r="CN18" s="1347"/>
      <c r="CO18" s="1347"/>
      <c r="CP18" s="1347"/>
      <c r="CQ18" s="1348"/>
      <c r="CR18" s="1348"/>
      <c r="CS18" s="1348"/>
      <c r="CT18" s="1348"/>
      <c r="CU18" s="1348"/>
      <c r="CV18" s="1348"/>
      <c r="CW18" s="1348"/>
      <c r="CX18" s="1348"/>
      <c r="CY18" s="1348"/>
      <c r="CZ18" s="1348"/>
      <c r="DA18" s="1348"/>
    </row>
    <row r="19" spans="1:105" s="1349" customFormat="1" ht="16.350000000000001" customHeight="1" x14ac:dyDescent="0.2">
      <c r="A19" s="7263">
        <v>31000007</v>
      </c>
      <c r="B19" s="11160"/>
      <c r="C19" s="1370" t="s">
        <v>390</v>
      </c>
      <c r="D19" s="1367" t="s">
        <v>5369</v>
      </c>
      <c r="E19" s="1931" t="s">
        <v>5370</v>
      </c>
      <c r="F19" s="1371" t="s">
        <v>5371</v>
      </c>
      <c r="G19" s="129" t="s">
        <v>5372</v>
      </c>
      <c r="H19" s="130" t="s">
        <v>5373</v>
      </c>
      <c r="I19" s="100" t="s">
        <v>5374</v>
      </c>
      <c r="J19" s="130" t="s">
        <v>5375</v>
      </c>
      <c r="K19" s="100" t="s">
        <v>5376</v>
      </c>
      <c r="L19" s="143" t="s">
        <v>5377</v>
      </c>
      <c r="M19" s="100" t="s">
        <v>5378</v>
      </c>
      <c r="N19" s="143" t="s">
        <v>5379</v>
      </c>
      <c r="O19" s="100" t="s">
        <v>5380</v>
      </c>
      <c r="P19" s="143" t="s">
        <v>5381</v>
      </c>
      <c r="Q19" s="100" t="s">
        <v>5382</v>
      </c>
      <c r="R19" s="143" t="s">
        <v>5383</v>
      </c>
      <c r="S19" s="100" t="s">
        <v>5384</v>
      </c>
      <c r="T19" s="143" t="s">
        <v>5385</v>
      </c>
      <c r="U19" s="100" t="s">
        <v>5386</v>
      </c>
      <c r="V19" s="143" t="s">
        <v>5387</v>
      </c>
      <c r="W19" s="100" t="s">
        <v>5388</v>
      </c>
      <c r="X19" s="143" t="s">
        <v>5389</v>
      </c>
      <c r="Y19" s="100" t="s">
        <v>5390</v>
      </c>
      <c r="Z19" s="143" t="s">
        <v>5391</v>
      </c>
      <c r="AA19" s="100" t="s">
        <v>5392</v>
      </c>
      <c r="AB19" s="143" t="s">
        <v>5393</v>
      </c>
      <c r="AC19" s="100" t="s">
        <v>5394</v>
      </c>
      <c r="AD19" s="143" t="s">
        <v>5395</v>
      </c>
      <c r="AE19" s="100" t="s">
        <v>5396</v>
      </c>
      <c r="AF19" s="143" t="s">
        <v>5397</v>
      </c>
      <c r="AG19" s="100" t="s">
        <v>5398</v>
      </c>
      <c r="AH19" s="143" t="s">
        <v>5399</v>
      </c>
      <c r="AI19" s="100" t="s">
        <v>5400</v>
      </c>
      <c r="AJ19" s="143" t="s">
        <v>5401</v>
      </c>
      <c r="AK19" s="100" t="s">
        <v>5402</v>
      </c>
      <c r="AL19" s="143" t="s">
        <v>5403</v>
      </c>
      <c r="AM19" s="100" t="s">
        <v>5404</v>
      </c>
      <c r="AN19" s="237" t="s">
        <v>5405</v>
      </c>
      <c r="AO19" s="1369" t="s">
        <v>5406</v>
      </c>
      <c r="AP19" s="91" t="s">
        <v>5407</v>
      </c>
      <c r="AQ19" s="143" t="s">
        <v>5408</v>
      </c>
      <c r="AR19" s="91" t="s">
        <v>5409</v>
      </c>
      <c r="AS19" s="213" t="s">
        <v>5410</v>
      </c>
      <c r="AT19" s="143" t="s">
        <v>5411</v>
      </c>
      <c r="AU19" s="213" t="s">
        <v>5412</v>
      </c>
      <c r="AV19" s="143" t="s">
        <v>5413</v>
      </c>
      <c r="AW19" s="91" t="s">
        <v>5414</v>
      </c>
      <c r="AX19" s="91" t="s">
        <v>5415</v>
      </c>
      <c r="AY19" s="1360" t="e">
        <f t="shared" si="0"/>
        <v>#VALUE!</v>
      </c>
      <c r="AZ19" s="806"/>
      <c r="BA19" s="806"/>
      <c r="BB19" s="806"/>
      <c r="BC19" s="806"/>
      <c r="BD19" s="806"/>
      <c r="BE19" s="1346"/>
      <c r="BF19" s="1346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1361" t="str">
        <f t="shared" si="1"/>
        <v/>
      </c>
      <c r="CC19" s="1361" t="str">
        <f t="shared" si="2"/>
        <v>* El número de Beneficiarios y/o Pueblos Originarios y/o Migrantes y/o Población SENAME NO DEBE ser mayor que el Total.</v>
      </c>
      <c r="CD19" s="1361" t="e">
        <f t="shared" si="3"/>
        <v>#VALUE!</v>
      </c>
      <c r="CE19" s="1361"/>
      <c r="CF19" s="1361"/>
      <c r="CG19" s="1361"/>
      <c r="CH19" s="1362">
        <f t="shared" si="4"/>
        <v>0</v>
      </c>
      <c r="CI19" s="1362">
        <f t="shared" si="5"/>
        <v>1</v>
      </c>
      <c r="CJ19" s="1362" t="e">
        <f t="shared" si="6"/>
        <v>#VALUE!</v>
      </c>
      <c r="CK19" s="1347"/>
      <c r="CL19" s="1347"/>
      <c r="CM19" s="1347"/>
      <c r="CN19" s="1347"/>
      <c r="CO19" s="1347"/>
      <c r="CP19" s="1347"/>
      <c r="CQ19" s="1348"/>
      <c r="CR19" s="1348"/>
      <c r="CS19" s="1348"/>
      <c r="CT19" s="1348"/>
      <c r="CU19" s="1348"/>
      <c r="CV19" s="1348"/>
      <c r="CW19" s="1348"/>
      <c r="CX19" s="1348"/>
      <c r="CY19" s="1348"/>
      <c r="CZ19" s="1348"/>
      <c r="DA19" s="1348"/>
    </row>
    <row r="20" spans="1:105" s="1349" customFormat="1" ht="16.350000000000001" customHeight="1" x14ac:dyDescent="0.2">
      <c r="A20" s="7263">
        <v>31000041</v>
      </c>
      <c r="B20" s="11160"/>
      <c r="C20" s="1370" t="s">
        <v>424</v>
      </c>
      <c r="D20" s="1367" t="s">
        <v>5369</v>
      </c>
      <c r="E20" s="1930" t="s">
        <v>5370</v>
      </c>
      <c r="F20" s="1371" t="s">
        <v>5371</v>
      </c>
      <c r="G20" s="129" t="s">
        <v>5372</v>
      </c>
      <c r="H20" s="130" t="s">
        <v>5373</v>
      </c>
      <c r="I20" s="100" t="s">
        <v>5374</v>
      </c>
      <c r="J20" s="130" t="s">
        <v>5375</v>
      </c>
      <c r="K20" s="100" t="s">
        <v>5376</v>
      </c>
      <c r="L20" s="143" t="s">
        <v>5377</v>
      </c>
      <c r="M20" s="100" t="s">
        <v>5378</v>
      </c>
      <c r="N20" s="143" t="s">
        <v>5379</v>
      </c>
      <c r="O20" s="100" t="s">
        <v>5380</v>
      </c>
      <c r="P20" s="143" t="s">
        <v>5381</v>
      </c>
      <c r="Q20" s="100" t="s">
        <v>5382</v>
      </c>
      <c r="R20" s="143" t="s">
        <v>5383</v>
      </c>
      <c r="S20" s="100" t="s">
        <v>5384</v>
      </c>
      <c r="T20" s="143" t="s">
        <v>5385</v>
      </c>
      <c r="U20" s="100" t="s">
        <v>5386</v>
      </c>
      <c r="V20" s="143" t="s">
        <v>5387</v>
      </c>
      <c r="W20" s="100" t="s">
        <v>5388</v>
      </c>
      <c r="X20" s="143" t="s">
        <v>5389</v>
      </c>
      <c r="Y20" s="100" t="s">
        <v>5390</v>
      </c>
      <c r="Z20" s="143" t="s">
        <v>5391</v>
      </c>
      <c r="AA20" s="100" t="s">
        <v>5392</v>
      </c>
      <c r="AB20" s="143" t="s">
        <v>5393</v>
      </c>
      <c r="AC20" s="100" t="s">
        <v>5394</v>
      </c>
      <c r="AD20" s="143" t="s">
        <v>5395</v>
      </c>
      <c r="AE20" s="100" t="s">
        <v>5396</v>
      </c>
      <c r="AF20" s="143" t="s">
        <v>5397</v>
      </c>
      <c r="AG20" s="100" t="s">
        <v>5398</v>
      </c>
      <c r="AH20" s="143" t="s">
        <v>5399</v>
      </c>
      <c r="AI20" s="100" t="s">
        <v>5400</v>
      </c>
      <c r="AJ20" s="143" t="s">
        <v>5401</v>
      </c>
      <c r="AK20" s="100" t="s">
        <v>5402</v>
      </c>
      <c r="AL20" s="143" t="s">
        <v>5403</v>
      </c>
      <c r="AM20" s="100" t="s">
        <v>5404</v>
      </c>
      <c r="AN20" s="237" t="s">
        <v>5405</v>
      </c>
      <c r="AO20" s="1369" t="s">
        <v>5406</v>
      </c>
      <c r="AP20" s="91" t="s">
        <v>5407</v>
      </c>
      <c r="AQ20" s="143" t="s">
        <v>5408</v>
      </c>
      <c r="AR20" s="91" t="s">
        <v>5409</v>
      </c>
      <c r="AS20" s="213" t="s">
        <v>5410</v>
      </c>
      <c r="AT20" s="143" t="s">
        <v>5411</v>
      </c>
      <c r="AU20" s="213" t="s">
        <v>5412</v>
      </c>
      <c r="AV20" s="143" t="s">
        <v>5413</v>
      </c>
      <c r="AW20" s="91" t="s">
        <v>5414</v>
      </c>
      <c r="AX20" s="91" t="s">
        <v>5415</v>
      </c>
      <c r="AY20" s="1360" t="e">
        <f t="shared" si="0"/>
        <v>#VALUE!</v>
      </c>
      <c r="AZ20" s="806"/>
      <c r="BA20" s="806"/>
      <c r="BB20" s="806"/>
      <c r="BC20" s="806"/>
      <c r="BD20" s="806"/>
      <c r="BE20" s="1346"/>
      <c r="BF20" s="1346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1361" t="str">
        <f t="shared" si="1"/>
        <v/>
      </c>
      <c r="CC20" s="1361" t="str">
        <f t="shared" si="2"/>
        <v>* El número de Beneficiarios y/o Pueblos Originarios y/o Migrantes y/o Población SENAME NO DEBE ser mayor que el Total.</v>
      </c>
      <c r="CD20" s="1361" t="e">
        <f t="shared" si="3"/>
        <v>#VALUE!</v>
      </c>
      <c r="CE20" s="1361"/>
      <c r="CF20" s="1361"/>
      <c r="CG20" s="1361"/>
      <c r="CH20" s="1362">
        <f t="shared" si="4"/>
        <v>0</v>
      </c>
      <c r="CI20" s="1362">
        <f t="shared" si="5"/>
        <v>1</v>
      </c>
      <c r="CJ20" s="1362" t="e">
        <f t="shared" si="6"/>
        <v>#VALUE!</v>
      </c>
      <c r="CK20" s="1347"/>
      <c r="CL20" s="1347"/>
      <c r="CM20" s="1347"/>
      <c r="CN20" s="1347"/>
      <c r="CO20" s="1347"/>
      <c r="CP20" s="1347"/>
      <c r="CQ20" s="1348"/>
      <c r="CR20" s="1348"/>
      <c r="CS20" s="1348"/>
      <c r="CT20" s="1348"/>
      <c r="CU20" s="1348"/>
      <c r="CV20" s="1348"/>
      <c r="CW20" s="1348"/>
      <c r="CX20" s="1348"/>
      <c r="CY20" s="1348"/>
      <c r="CZ20" s="1348"/>
      <c r="DA20" s="1348"/>
    </row>
    <row r="21" spans="1:105" s="1349" customFormat="1" ht="16.350000000000001" customHeight="1" x14ac:dyDescent="0.2">
      <c r="A21" s="7263">
        <v>31000042</v>
      </c>
      <c r="B21" s="11160"/>
      <c r="C21" s="1370" t="s">
        <v>425</v>
      </c>
      <c r="D21" s="1367" t="s">
        <v>5369</v>
      </c>
      <c r="E21" s="1930" t="s">
        <v>5370</v>
      </c>
      <c r="F21" s="1371" t="s">
        <v>5371</v>
      </c>
      <c r="G21" s="129" t="s">
        <v>5372</v>
      </c>
      <c r="H21" s="130" t="s">
        <v>5373</v>
      </c>
      <c r="I21" s="100" t="s">
        <v>5374</v>
      </c>
      <c r="J21" s="130" t="s">
        <v>5375</v>
      </c>
      <c r="K21" s="100" t="s">
        <v>5376</v>
      </c>
      <c r="L21" s="143" t="s">
        <v>5377</v>
      </c>
      <c r="M21" s="100" t="s">
        <v>5378</v>
      </c>
      <c r="N21" s="143" t="s">
        <v>5379</v>
      </c>
      <c r="O21" s="100" t="s">
        <v>5380</v>
      </c>
      <c r="P21" s="143" t="s">
        <v>5381</v>
      </c>
      <c r="Q21" s="100" t="s">
        <v>5382</v>
      </c>
      <c r="R21" s="143" t="s">
        <v>5383</v>
      </c>
      <c r="S21" s="100" t="s">
        <v>5384</v>
      </c>
      <c r="T21" s="143" t="s">
        <v>5385</v>
      </c>
      <c r="U21" s="100" t="s">
        <v>5386</v>
      </c>
      <c r="V21" s="143" t="s">
        <v>5387</v>
      </c>
      <c r="W21" s="100" t="s">
        <v>5388</v>
      </c>
      <c r="X21" s="143" t="s">
        <v>5389</v>
      </c>
      <c r="Y21" s="100" t="s">
        <v>5390</v>
      </c>
      <c r="Z21" s="143" t="s">
        <v>5391</v>
      </c>
      <c r="AA21" s="100" t="s">
        <v>5392</v>
      </c>
      <c r="AB21" s="143" t="s">
        <v>5393</v>
      </c>
      <c r="AC21" s="100" t="s">
        <v>5394</v>
      </c>
      <c r="AD21" s="143" t="s">
        <v>5395</v>
      </c>
      <c r="AE21" s="100" t="s">
        <v>5396</v>
      </c>
      <c r="AF21" s="143" t="s">
        <v>5397</v>
      </c>
      <c r="AG21" s="100" t="s">
        <v>5398</v>
      </c>
      <c r="AH21" s="143" t="s">
        <v>5399</v>
      </c>
      <c r="AI21" s="100" t="s">
        <v>5400</v>
      </c>
      <c r="AJ21" s="143" t="s">
        <v>5401</v>
      </c>
      <c r="AK21" s="100" t="s">
        <v>5402</v>
      </c>
      <c r="AL21" s="143" t="s">
        <v>5403</v>
      </c>
      <c r="AM21" s="100" t="s">
        <v>5404</v>
      </c>
      <c r="AN21" s="237" t="s">
        <v>5405</v>
      </c>
      <c r="AO21" s="1369" t="s">
        <v>5406</v>
      </c>
      <c r="AP21" s="91" t="s">
        <v>5407</v>
      </c>
      <c r="AQ21" s="143" t="s">
        <v>5408</v>
      </c>
      <c r="AR21" s="91" t="s">
        <v>5409</v>
      </c>
      <c r="AS21" s="213" t="s">
        <v>5410</v>
      </c>
      <c r="AT21" s="143" t="s">
        <v>5411</v>
      </c>
      <c r="AU21" s="213" t="s">
        <v>5412</v>
      </c>
      <c r="AV21" s="143" t="s">
        <v>5413</v>
      </c>
      <c r="AW21" s="91" t="s">
        <v>5414</v>
      </c>
      <c r="AX21" s="91" t="s">
        <v>5415</v>
      </c>
      <c r="AY21" s="1360" t="e">
        <f t="shared" si="0"/>
        <v>#VALUE!</v>
      </c>
      <c r="AZ21" s="806"/>
      <c r="BA21" s="806"/>
      <c r="BB21" s="806"/>
      <c r="BC21" s="806"/>
      <c r="BD21" s="806"/>
      <c r="BE21" s="1346"/>
      <c r="BF21" s="1346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1361" t="str">
        <f t="shared" si="1"/>
        <v/>
      </c>
      <c r="CC21" s="1361" t="str">
        <f t="shared" si="2"/>
        <v>* El número de Beneficiarios y/o Pueblos Originarios y/o Migrantes y/o Población SENAME NO DEBE ser mayor que el Total.</v>
      </c>
      <c r="CD21" s="1361" t="e">
        <f t="shared" si="3"/>
        <v>#VALUE!</v>
      </c>
      <c r="CE21" s="1361"/>
      <c r="CF21" s="1361"/>
      <c r="CG21" s="1361"/>
      <c r="CH21" s="1362">
        <f t="shared" si="4"/>
        <v>0</v>
      </c>
      <c r="CI21" s="1362">
        <f t="shared" si="5"/>
        <v>1</v>
      </c>
      <c r="CJ21" s="1362" t="e">
        <f t="shared" si="6"/>
        <v>#VALUE!</v>
      </c>
      <c r="CK21" s="1347"/>
      <c r="CL21" s="1347"/>
      <c r="CM21" s="1347"/>
      <c r="CN21" s="1347"/>
      <c r="CO21" s="1347"/>
      <c r="CP21" s="1347"/>
      <c r="CQ21" s="1348"/>
      <c r="CR21" s="1348"/>
      <c r="CS21" s="1348"/>
      <c r="CT21" s="1348"/>
      <c r="CU21" s="1348"/>
      <c r="CV21" s="1348"/>
      <c r="CW21" s="1348"/>
      <c r="CX21" s="1348"/>
      <c r="CY21" s="1348"/>
      <c r="CZ21" s="1348"/>
      <c r="DA21" s="1348"/>
    </row>
    <row r="22" spans="1:105" s="1349" customFormat="1" ht="24" customHeight="1" x14ac:dyDescent="0.2">
      <c r="A22" s="7263">
        <v>31000043</v>
      </c>
      <c r="B22" s="11160"/>
      <c r="C22" s="1370" t="s">
        <v>426</v>
      </c>
      <c r="D22" s="1367" t="s">
        <v>5369</v>
      </c>
      <c r="E22" s="1930" t="s">
        <v>5370</v>
      </c>
      <c r="F22" s="1371" t="s">
        <v>5371</v>
      </c>
      <c r="G22" s="129" t="s">
        <v>5372</v>
      </c>
      <c r="H22" s="130" t="s">
        <v>5373</v>
      </c>
      <c r="I22" s="100" t="s">
        <v>5374</v>
      </c>
      <c r="J22" s="130" t="s">
        <v>5375</v>
      </c>
      <c r="K22" s="100" t="s">
        <v>5376</v>
      </c>
      <c r="L22" s="143" t="s">
        <v>5377</v>
      </c>
      <c r="M22" s="100" t="s">
        <v>5378</v>
      </c>
      <c r="N22" s="143" t="s">
        <v>5379</v>
      </c>
      <c r="O22" s="100" t="s">
        <v>5380</v>
      </c>
      <c r="P22" s="143" t="s">
        <v>5381</v>
      </c>
      <c r="Q22" s="100" t="s">
        <v>5382</v>
      </c>
      <c r="R22" s="143" t="s">
        <v>5383</v>
      </c>
      <c r="S22" s="100" t="s">
        <v>5384</v>
      </c>
      <c r="T22" s="143" t="s">
        <v>5385</v>
      </c>
      <c r="U22" s="100" t="s">
        <v>5386</v>
      </c>
      <c r="V22" s="143" t="s">
        <v>5387</v>
      </c>
      <c r="W22" s="100" t="s">
        <v>5388</v>
      </c>
      <c r="X22" s="143" t="s">
        <v>5389</v>
      </c>
      <c r="Y22" s="100" t="s">
        <v>5390</v>
      </c>
      <c r="Z22" s="143" t="s">
        <v>5391</v>
      </c>
      <c r="AA22" s="100" t="s">
        <v>5392</v>
      </c>
      <c r="AB22" s="143" t="s">
        <v>5393</v>
      </c>
      <c r="AC22" s="100" t="s">
        <v>5394</v>
      </c>
      <c r="AD22" s="143" t="s">
        <v>5395</v>
      </c>
      <c r="AE22" s="100" t="s">
        <v>5396</v>
      </c>
      <c r="AF22" s="143" t="s">
        <v>5397</v>
      </c>
      <c r="AG22" s="100" t="s">
        <v>5398</v>
      </c>
      <c r="AH22" s="143" t="s">
        <v>5399</v>
      </c>
      <c r="AI22" s="100" t="s">
        <v>5400</v>
      </c>
      <c r="AJ22" s="143" t="s">
        <v>5401</v>
      </c>
      <c r="AK22" s="100" t="s">
        <v>5402</v>
      </c>
      <c r="AL22" s="143" t="s">
        <v>5403</v>
      </c>
      <c r="AM22" s="100" t="s">
        <v>5404</v>
      </c>
      <c r="AN22" s="237" t="s">
        <v>5405</v>
      </c>
      <c r="AO22" s="1369" t="s">
        <v>5406</v>
      </c>
      <c r="AP22" s="91" t="s">
        <v>5407</v>
      </c>
      <c r="AQ22" s="143" t="s">
        <v>5408</v>
      </c>
      <c r="AR22" s="91" t="s">
        <v>5409</v>
      </c>
      <c r="AS22" s="213" t="s">
        <v>5410</v>
      </c>
      <c r="AT22" s="143" t="s">
        <v>5411</v>
      </c>
      <c r="AU22" s="213" t="s">
        <v>5412</v>
      </c>
      <c r="AV22" s="143" t="s">
        <v>5413</v>
      </c>
      <c r="AW22" s="91" t="s">
        <v>5414</v>
      </c>
      <c r="AX22" s="91" t="s">
        <v>5415</v>
      </c>
      <c r="AY22" s="1360" t="e">
        <f t="shared" si="0"/>
        <v>#VALUE!</v>
      </c>
      <c r="AZ22" s="806"/>
      <c r="BA22" s="806"/>
      <c r="BB22" s="806"/>
      <c r="BC22" s="806"/>
      <c r="BD22" s="806"/>
      <c r="BE22" s="1346"/>
      <c r="BF22" s="1346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1361" t="str">
        <f t="shared" si="1"/>
        <v/>
      </c>
      <c r="CC22" s="1361" t="str">
        <f t="shared" si="2"/>
        <v>* El número de Beneficiarios y/o Pueblos Originarios y/o Migrantes y/o Población SENAME NO DEBE ser mayor que el Total.</v>
      </c>
      <c r="CD22" s="1361" t="e">
        <f t="shared" si="3"/>
        <v>#VALUE!</v>
      </c>
      <c r="CE22" s="1361"/>
      <c r="CF22" s="1361"/>
      <c r="CG22" s="1361"/>
      <c r="CH22" s="1362">
        <f t="shared" si="4"/>
        <v>0</v>
      </c>
      <c r="CI22" s="1362">
        <f t="shared" si="5"/>
        <v>1</v>
      </c>
      <c r="CJ22" s="1362" t="e">
        <f t="shared" si="6"/>
        <v>#VALUE!</v>
      </c>
      <c r="CK22" s="1347"/>
      <c r="CL22" s="1347"/>
      <c r="CM22" s="1347"/>
      <c r="CN22" s="1347"/>
      <c r="CO22" s="1347"/>
      <c r="CP22" s="1347"/>
      <c r="CQ22" s="1348"/>
      <c r="CR22" s="1348"/>
      <c r="CS22" s="1348"/>
      <c r="CT22" s="1348"/>
      <c r="CU22" s="1348"/>
      <c r="CV22" s="1348"/>
      <c r="CW22" s="1348"/>
      <c r="CX22" s="1348"/>
      <c r="CY22" s="1348"/>
      <c r="CZ22" s="1348"/>
      <c r="DA22" s="1348"/>
    </row>
    <row r="23" spans="1:105" s="1349" customFormat="1" ht="16.350000000000001" customHeight="1" x14ac:dyDescent="0.2">
      <c r="A23" s="7263">
        <v>31000044</v>
      </c>
      <c r="B23" s="11160"/>
      <c r="C23" s="1370" t="s">
        <v>427</v>
      </c>
      <c r="D23" s="1367" t="s">
        <v>5369</v>
      </c>
      <c r="E23" s="1930" t="s">
        <v>5370</v>
      </c>
      <c r="F23" s="1371" t="s">
        <v>5371</v>
      </c>
      <c r="G23" s="129" t="s">
        <v>5372</v>
      </c>
      <c r="H23" s="130" t="s">
        <v>5373</v>
      </c>
      <c r="I23" s="100" t="s">
        <v>5374</v>
      </c>
      <c r="J23" s="130" t="s">
        <v>5375</v>
      </c>
      <c r="K23" s="100" t="s">
        <v>5376</v>
      </c>
      <c r="L23" s="143" t="s">
        <v>5377</v>
      </c>
      <c r="M23" s="100" t="s">
        <v>5378</v>
      </c>
      <c r="N23" s="143" t="s">
        <v>5379</v>
      </c>
      <c r="O23" s="100" t="s">
        <v>5380</v>
      </c>
      <c r="P23" s="143" t="s">
        <v>5381</v>
      </c>
      <c r="Q23" s="100" t="s">
        <v>5382</v>
      </c>
      <c r="R23" s="143" t="s">
        <v>5383</v>
      </c>
      <c r="S23" s="100" t="s">
        <v>5384</v>
      </c>
      <c r="T23" s="143" t="s">
        <v>5385</v>
      </c>
      <c r="U23" s="100" t="s">
        <v>5386</v>
      </c>
      <c r="V23" s="143" t="s">
        <v>5387</v>
      </c>
      <c r="W23" s="100" t="s">
        <v>5388</v>
      </c>
      <c r="X23" s="143" t="s">
        <v>5389</v>
      </c>
      <c r="Y23" s="100" t="s">
        <v>5390</v>
      </c>
      <c r="Z23" s="143" t="s">
        <v>5391</v>
      </c>
      <c r="AA23" s="100" t="s">
        <v>5392</v>
      </c>
      <c r="AB23" s="143" t="s">
        <v>5393</v>
      </c>
      <c r="AC23" s="100" t="s">
        <v>5394</v>
      </c>
      <c r="AD23" s="143" t="s">
        <v>5395</v>
      </c>
      <c r="AE23" s="100" t="s">
        <v>5396</v>
      </c>
      <c r="AF23" s="143" t="s">
        <v>5397</v>
      </c>
      <c r="AG23" s="100" t="s">
        <v>5398</v>
      </c>
      <c r="AH23" s="143" t="s">
        <v>5399</v>
      </c>
      <c r="AI23" s="100" t="s">
        <v>5400</v>
      </c>
      <c r="AJ23" s="143" t="s">
        <v>5401</v>
      </c>
      <c r="AK23" s="100" t="s">
        <v>5402</v>
      </c>
      <c r="AL23" s="143" t="s">
        <v>5403</v>
      </c>
      <c r="AM23" s="100" t="s">
        <v>5404</v>
      </c>
      <c r="AN23" s="237" t="s">
        <v>5405</v>
      </c>
      <c r="AO23" s="1369" t="s">
        <v>5406</v>
      </c>
      <c r="AP23" s="91" t="s">
        <v>5407</v>
      </c>
      <c r="AQ23" s="143" t="s">
        <v>5408</v>
      </c>
      <c r="AR23" s="91" t="s">
        <v>5409</v>
      </c>
      <c r="AS23" s="213" t="s">
        <v>5410</v>
      </c>
      <c r="AT23" s="143" t="s">
        <v>5411</v>
      </c>
      <c r="AU23" s="213" t="s">
        <v>5412</v>
      </c>
      <c r="AV23" s="143" t="s">
        <v>5413</v>
      </c>
      <c r="AW23" s="91" t="s">
        <v>5414</v>
      </c>
      <c r="AX23" s="91" t="s">
        <v>5415</v>
      </c>
      <c r="AY23" s="1360" t="e">
        <f t="shared" si="0"/>
        <v>#VALUE!</v>
      </c>
      <c r="AZ23" s="806"/>
      <c r="BA23" s="806"/>
      <c r="BB23" s="806"/>
      <c r="BC23" s="806"/>
      <c r="BD23" s="806"/>
      <c r="BE23" s="1346"/>
      <c r="BF23" s="1346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1361" t="str">
        <f t="shared" si="1"/>
        <v/>
      </c>
      <c r="CC23" s="1361" t="str">
        <f t="shared" si="2"/>
        <v>* El número de Beneficiarios y/o Pueblos Originarios y/o Migrantes y/o Población SENAME NO DEBE ser mayor que el Total.</v>
      </c>
      <c r="CD23" s="1361" t="e">
        <f t="shared" si="3"/>
        <v>#VALUE!</v>
      </c>
      <c r="CE23" s="1361"/>
      <c r="CF23" s="1361"/>
      <c r="CG23" s="1361"/>
      <c r="CH23" s="1362">
        <f t="shared" si="4"/>
        <v>0</v>
      </c>
      <c r="CI23" s="1362">
        <f t="shared" si="5"/>
        <v>1</v>
      </c>
      <c r="CJ23" s="1362" t="e">
        <f t="shared" si="6"/>
        <v>#VALUE!</v>
      </c>
      <c r="CK23" s="1347"/>
      <c r="CL23" s="1347"/>
      <c r="CM23" s="1347"/>
      <c r="CN23" s="1347"/>
      <c r="CO23" s="1347"/>
      <c r="CP23" s="1347"/>
      <c r="CQ23" s="1348"/>
      <c r="CR23" s="1348"/>
      <c r="CS23" s="1348"/>
      <c r="CT23" s="1348"/>
      <c r="CU23" s="1348"/>
      <c r="CV23" s="1348"/>
      <c r="CW23" s="1348"/>
      <c r="CX23" s="1348"/>
      <c r="CY23" s="1348"/>
      <c r="CZ23" s="1348"/>
      <c r="DA23" s="1348"/>
    </row>
    <row r="24" spans="1:105" s="1349" customFormat="1" ht="16.350000000000001" customHeight="1" x14ac:dyDescent="0.2">
      <c r="A24" s="7263">
        <v>31000005</v>
      </c>
      <c r="B24" s="11160"/>
      <c r="C24" s="1370" t="s">
        <v>388</v>
      </c>
      <c r="D24" s="1367" t="s">
        <v>5369</v>
      </c>
      <c r="E24" s="1930" t="s">
        <v>5370</v>
      </c>
      <c r="F24" s="1371" t="s">
        <v>5371</v>
      </c>
      <c r="G24" s="129" t="s">
        <v>5372</v>
      </c>
      <c r="H24" s="130" t="s">
        <v>5373</v>
      </c>
      <c r="I24" s="100" t="s">
        <v>5374</v>
      </c>
      <c r="J24" s="130" t="s">
        <v>5375</v>
      </c>
      <c r="K24" s="100" t="s">
        <v>5376</v>
      </c>
      <c r="L24" s="143" t="s">
        <v>5377</v>
      </c>
      <c r="M24" s="100" t="s">
        <v>5378</v>
      </c>
      <c r="N24" s="143" t="s">
        <v>5379</v>
      </c>
      <c r="O24" s="100" t="s">
        <v>5380</v>
      </c>
      <c r="P24" s="143" t="s">
        <v>5381</v>
      </c>
      <c r="Q24" s="100" t="s">
        <v>5382</v>
      </c>
      <c r="R24" s="143" t="s">
        <v>5383</v>
      </c>
      <c r="S24" s="100" t="s">
        <v>5384</v>
      </c>
      <c r="T24" s="143" t="s">
        <v>5385</v>
      </c>
      <c r="U24" s="100" t="s">
        <v>5386</v>
      </c>
      <c r="V24" s="143" t="s">
        <v>5387</v>
      </c>
      <c r="W24" s="100" t="s">
        <v>5388</v>
      </c>
      <c r="X24" s="143" t="s">
        <v>5389</v>
      </c>
      <c r="Y24" s="100" t="s">
        <v>5390</v>
      </c>
      <c r="Z24" s="143" t="s">
        <v>5391</v>
      </c>
      <c r="AA24" s="100" t="s">
        <v>5392</v>
      </c>
      <c r="AB24" s="143" t="s">
        <v>5393</v>
      </c>
      <c r="AC24" s="100" t="s">
        <v>5394</v>
      </c>
      <c r="AD24" s="143" t="s">
        <v>5395</v>
      </c>
      <c r="AE24" s="100" t="s">
        <v>5396</v>
      </c>
      <c r="AF24" s="143" t="s">
        <v>5397</v>
      </c>
      <c r="AG24" s="100" t="s">
        <v>5398</v>
      </c>
      <c r="AH24" s="143" t="s">
        <v>5399</v>
      </c>
      <c r="AI24" s="100" t="s">
        <v>5400</v>
      </c>
      <c r="AJ24" s="143" t="s">
        <v>5401</v>
      </c>
      <c r="AK24" s="100" t="s">
        <v>5402</v>
      </c>
      <c r="AL24" s="143" t="s">
        <v>5403</v>
      </c>
      <c r="AM24" s="100" t="s">
        <v>5404</v>
      </c>
      <c r="AN24" s="237" t="s">
        <v>5405</v>
      </c>
      <c r="AO24" s="1369" t="s">
        <v>5406</v>
      </c>
      <c r="AP24" s="91" t="s">
        <v>5407</v>
      </c>
      <c r="AQ24" s="143" t="s">
        <v>5408</v>
      </c>
      <c r="AR24" s="91" t="s">
        <v>5409</v>
      </c>
      <c r="AS24" s="213" t="s">
        <v>5410</v>
      </c>
      <c r="AT24" s="143" t="s">
        <v>5411</v>
      </c>
      <c r="AU24" s="213" t="s">
        <v>5412</v>
      </c>
      <c r="AV24" s="143" t="s">
        <v>5413</v>
      </c>
      <c r="AW24" s="91" t="s">
        <v>5414</v>
      </c>
      <c r="AX24" s="91" t="s">
        <v>5415</v>
      </c>
      <c r="AY24" s="1360" t="e">
        <f t="shared" si="0"/>
        <v>#VALUE!</v>
      </c>
      <c r="AZ24" s="806"/>
      <c r="BA24" s="806"/>
      <c r="BB24" s="806"/>
      <c r="BC24" s="806"/>
      <c r="BD24" s="806"/>
      <c r="BE24" s="1346"/>
      <c r="BF24" s="1346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1361" t="str">
        <f t="shared" si="1"/>
        <v/>
      </c>
      <c r="CC24" s="1361" t="str">
        <f t="shared" si="2"/>
        <v>* El número de Beneficiarios y/o Pueblos Originarios y/o Migrantes y/o Población SENAME NO DEBE ser mayor que el Total.</v>
      </c>
      <c r="CD24" s="1361" t="e">
        <f t="shared" si="3"/>
        <v>#VALUE!</v>
      </c>
      <c r="CE24" s="1361"/>
      <c r="CF24" s="1361"/>
      <c r="CG24" s="1361"/>
      <c r="CH24" s="1362">
        <f t="shared" si="4"/>
        <v>0</v>
      </c>
      <c r="CI24" s="1362">
        <f t="shared" si="5"/>
        <v>1</v>
      </c>
      <c r="CJ24" s="1362" t="e">
        <f t="shared" si="6"/>
        <v>#VALUE!</v>
      </c>
      <c r="CK24" s="1347"/>
      <c r="CL24" s="1347"/>
      <c r="CM24" s="1347"/>
      <c r="CN24" s="1347"/>
      <c r="CO24" s="1347"/>
      <c r="CP24" s="1347"/>
      <c r="CQ24" s="1348"/>
      <c r="CR24" s="1348"/>
      <c r="CS24" s="1348"/>
      <c r="CT24" s="1348"/>
      <c r="CU24" s="1348"/>
      <c r="CV24" s="1348"/>
      <c r="CW24" s="1348"/>
      <c r="CX24" s="1348"/>
      <c r="CY24" s="1348"/>
      <c r="CZ24" s="1348"/>
      <c r="DA24" s="1348"/>
    </row>
    <row r="25" spans="1:105" s="1349" customFormat="1" ht="16.350000000000001" customHeight="1" x14ac:dyDescent="0.2">
      <c r="A25" s="7263">
        <v>31000045</v>
      </c>
      <c r="B25" s="11160"/>
      <c r="C25" s="1370" t="s">
        <v>453</v>
      </c>
      <c r="D25" s="1367" t="s">
        <v>5369</v>
      </c>
      <c r="E25" s="1932" t="s">
        <v>5370</v>
      </c>
      <c r="F25" s="1373" t="s">
        <v>5371</v>
      </c>
      <c r="G25" s="110" t="s">
        <v>5372</v>
      </c>
      <c r="H25" s="122" t="s">
        <v>5373</v>
      </c>
      <c r="I25" s="136" t="s">
        <v>5374</v>
      </c>
      <c r="J25" s="122" t="s">
        <v>5375</v>
      </c>
      <c r="K25" s="136" t="s">
        <v>5376</v>
      </c>
      <c r="L25" s="144" t="s">
        <v>5377</v>
      </c>
      <c r="M25" s="136" t="s">
        <v>5378</v>
      </c>
      <c r="N25" s="144" t="s">
        <v>5379</v>
      </c>
      <c r="O25" s="136" t="s">
        <v>5380</v>
      </c>
      <c r="P25" s="144" t="s">
        <v>5381</v>
      </c>
      <c r="Q25" s="136" t="s">
        <v>5382</v>
      </c>
      <c r="R25" s="144" t="s">
        <v>5383</v>
      </c>
      <c r="S25" s="136" t="s">
        <v>5384</v>
      </c>
      <c r="T25" s="144" t="s">
        <v>5385</v>
      </c>
      <c r="U25" s="136" t="s">
        <v>5386</v>
      </c>
      <c r="V25" s="144" t="s">
        <v>5387</v>
      </c>
      <c r="W25" s="136" t="s">
        <v>5388</v>
      </c>
      <c r="X25" s="144" t="s">
        <v>5389</v>
      </c>
      <c r="Y25" s="136" t="s">
        <v>5390</v>
      </c>
      <c r="Z25" s="144" t="s">
        <v>5391</v>
      </c>
      <c r="AA25" s="136" t="s">
        <v>5392</v>
      </c>
      <c r="AB25" s="144" t="s">
        <v>5393</v>
      </c>
      <c r="AC25" s="136" t="s">
        <v>5394</v>
      </c>
      <c r="AD25" s="144" t="s">
        <v>5395</v>
      </c>
      <c r="AE25" s="136" t="s">
        <v>5396</v>
      </c>
      <c r="AF25" s="144" t="s">
        <v>5397</v>
      </c>
      <c r="AG25" s="136" t="s">
        <v>5398</v>
      </c>
      <c r="AH25" s="144" t="s">
        <v>5399</v>
      </c>
      <c r="AI25" s="136" t="s">
        <v>5400</v>
      </c>
      <c r="AJ25" s="144" t="s">
        <v>5401</v>
      </c>
      <c r="AK25" s="136" t="s">
        <v>5402</v>
      </c>
      <c r="AL25" s="144" t="s">
        <v>5403</v>
      </c>
      <c r="AM25" s="136" t="s">
        <v>5404</v>
      </c>
      <c r="AN25" s="236" t="s">
        <v>5405</v>
      </c>
      <c r="AO25" s="1374" t="s">
        <v>5406</v>
      </c>
      <c r="AP25" s="123" t="s">
        <v>5407</v>
      </c>
      <c r="AQ25" s="144" t="s">
        <v>5408</v>
      </c>
      <c r="AR25" s="123" t="s">
        <v>5409</v>
      </c>
      <c r="AS25" s="241" t="s">
        <v>5410</v>
      </c>
      <c r="AT25" s="144" t="s">
        <v>5411</v>
      </c>
      <c r="AU25" s="241" t="s">
        <v>5412</v>
      </c>
      <c r="AV25" s="144" t="s">
        <v>5413</v>
      </c>
      <c r="AW25" s="123" t="s">
        <v>5414</v>
      </c>
      <c r="AX25" s="123" t="s">
        <v>5415</v>
      </c>
      <c r="AY25" s="1360" t="e">
        <f t="shared" si="0"/>
        <v>#VALUE!</v>
      </c>
      <c r="AZ25" s="806"/>
      <c r="BA25" s="806"/>
      <c r="BB25" s="806"/>
      <c r="BC25" s="806"/>
      <c r="BD25" s="806"/>
      <c r="BE25" s="1346"/>
      <c r="BF25" s="1346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1361" t="str">
        <f t="shared" si="1"/>
        <v/>
      </c>
      <c r="CC25" s="1361" t="str">
        <f t="shared" si="2"/>
        <v>* El número de Beneficiarios y/o Pueblos Originarios y/o Migrantes y/o Población SENAME NO DEBE ser mayor que el Total.</v>
      </c>
      <c r="CD25" s="1361" t="e">
        <f t="shared" si="3"/>
        <v>#VALUE!</v>
      </c>
      <c r="CE25" s="1361"/>
      <c r="CF25" s="1361"/>
      <c r="CG25" s="1361"/>
      <c r="CH25" s="1362">
        <f t="shared" si="4"/>
        <v>0</v>
      </c>
      <c r="CI25" s="1362">
        <f t="shared" si="5"/>
        <v>1</v>
      </c>
      <c r="CJ25" s="1362" t="e">
        <f t="shared" si="6"/>
        <v>#VALUE!</v>
      </c>
      <c r="CK25" s="1347"/>
      <c r="CL25" s="1347"/>
      <c r="CM25" s="1347"/>
      <c r="CN25" s="1347"/>
      <c r="CO25" s="1347"/>
      <c r="CP25" s="1347"/>
      <c r="CQ25" s="1348"/>
      <c r="CR25" s="1348"/>
      <c r="CS25" s="1348"/>
      <c r="CT25" s="1348"/>
      <c r="CU25" s="1348"/>
      <c r="CV25" s="1348"/>
      <c r="CW25" s="1348"/>
      <c r="CX25" s="1348"/>
      <c r="CY25" s="1348"/>
      <c r="CZ25" s="1348"/>
      <c r="DA25" s="1348"/>
    </row>
    <row r="26" spans="1:105" s="1349" customFormat="1" ht="16.350000000000001" customHeight="1" x14ac:dyDescent="0.2">
      <c r="A26" s="7263">
        <v>31000046</v>
      </c>
      <c r="B26" s="11160"/>
      <c r="C26" s="1375" t="s">
        <v>436</v>
      </c>
      <c r="D26" s="1367" t="s">
        <v>5369</v>
      </c>
      <c r="E26" s="1932" t="s">
        <v>5370</v>
      </c>
      <c r="F26" s="1373" t="s">
        <v>5371</v>
      </c>
      <c r="G26" s="110" t="s">
        <v>5372</v>
      </c>
      <c r="H26" s="122" t="s">
        <v>5373</v>
      </c>
      <c r="I26" s="136" t="s">
        <v>5374</v>
      </c>
      <c r="J26" s="122" t="s">
        <v>5375</v>
      </c>
      <c r="K26" s="136" t="s">
        <v>5376</v>
      </c>
      <c r="L26" s="144" t="s">
        <v>5377</v>
      </c>
      <c r="M26" s="136" t="s">
        <v>5378</v>
      </c>
      <c r="N26" s="144" t="s">
        <v>5379</v>
      </c>
      <c r="O26" s="136" t="s">
        <v>5380</v>
      </c>
      <c r="P26" s="144" t="s">
        <v>5381</v>
      </c>
      <c r="Q26" s="136" t="s">
        <v>5382</v>
      </c>
      <c r="R26" s="144" t="s">
        <v>5383</v>
      </c>
      <c r="S26" s="136" t="s">
        <v>5384</v>
      </c>
      <c r="T26" s="144" t="s">
        <v>5385</v>
      </c>
      <c r="U26" s="136" t="s">
        <v>5386</v>
      </c>
      <c r="V26" s="144" t="s">
        <v>5387</v>
      </c>
      <c r="W26" s="136" t="s">
        <v>5388</v>
      </c>
      <c r="X26" s="144" t="s">
        <v>5389</v>
      </c>
      <c r="Y26" s="136" t="s">
        <v>5390</v>
      </c>
      <c r="Z26" s="144" t="s">
        <v>5391</v>
      </c>
      <c r="AA26" s="136" t="s">
        <v>5392</v>
      </c>
      <c r="AB26" s="144" t="s">
        <v>5393</v>
      </c>
      <c r="AC26" s="136" t="s">
        <v>5394</v>
      </c>
      <c r="AD26" s="144" t="s">
        <v>5395</v>
      </c>
      <c r="AE26" s="136" t="s">
        <v>5396</v>
      </c>
      <c r="AF26" s="144" t="s">
        <v>5397</v>
      </c>
      <c r="AG26" s="136" t="s">
        <v>5398</v>
      </c>
      <c r="AH26" s="144" t="s">
        <v>5399</v>
      </c>
      <c r="AI26" s="136" t="s">
        <v>5400</v>
      </c>
      <c r="AJ26" s="144" t="s">
        <v>5401</v>
      </c>
      <c r="AK26" s="136" t="s">
        <v>5402</v>
      </c>
      <c r="AL26" s="144" t="s">
        <v>5403</v>
      </c>
      <c r="AM26" s="136" t="s">
        <v>5404</v>
      </c>
      <c r="AN26" s="236" t="s">
        <v>5405</v>
      </c>
      <c r="AO26" s="1374" t="s">
        <v>5406</v>
      </c>
      <c r="AP26" s="123" t="s">
        <v>5407</v>
      </c>
      <c r="AQ26" s="144" t="s">
        <v>5408</v>
      </c>
      <c r="AR26" s="123" t="s">
        <v>5409</v>
      </c>
      <c r="AS26" s="241" t="s">
        <v>5410</v>
      </c>
      <c r="AT26" s="144" t="s">
        <v>5411</v>
      </c>
      <c r="AU26" s="241" t="s">
        <v>5412</v>
      </c>
      <c r="AV26" s="144" t="s">
        <v>5413</v>
      </c>
      <c r="AW26" s="123" t="s">
        <v>5414</v>
      </c>
      <c r="AX26" s="123" t="s">
        <v>5415</v>
      </c>
      <c r="AY26" s="1360" t="e">
        <f t="shared" si="0"/>
        <v>#VALUE!</v>
      </c>
      <c r="AZ26" s="806"/>
      <c r="BA26" s="806"/>
      <c r="BB26" s="806"/>
      <c r="BC26" s="806"/>
      <c r="BD26" s="806"/>
      <c r="BE26" s="1346"/>
      <c r="BF26" s="1346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1361" t="str">
        <f t="shared" si="1"/>
        <v/>
      </c>
      <c r="CC26" s="1361" t="str">
        <f t="shared" si="2"/>
        <v>* El número de Beneficiarios y/o Pueblos Originarios y/o Migrantes y/o Población SENAME NO DEBE ser mayor que el Total.</v>
      </c>
      <c r="CD26" s="1361" t="e">
        <f t="shared" si="3"/>
        <v>#VALUE!</v>
      </c>
      <c r="CE26" s="1361"/>
      <c r="CF26" s="1361"/>
      <c r="CG26" s="1361"/>
      <c r="CH26" s="1362">
        <f t="shared" si="4"/>
        <v>0</v>
      </c>
      <c r="CI26" s="1362">
        <f t="shared" si="5"/>
        <v>1</v>
      </c>
      <c r="CJ26" s="1362" t="e">
        <f t="shared" si="6"/>
        <v>#VALUE!</v>
      </c>
      <c r="CK26" s="1347"/>
      <c r="CL26" s="1347"/>
      <c r="CM26" s="1347"/>
      <c r="CN26" s="1347"/>
      <c r="CO26" s="1347"/>
      <c r="CP26" s="1347"/>
      <c r="CQ26" s="1348"/>
      <c r="CR26" s="1348"/>
      <c r="CS26" s="1348"/>
      <c r="CT26" s="1348"/>
      <c r="CU26" s="1348"/>
      <c r="CV26" s="1348"/>
      <c r="CW26" s="1348"/>
      <c r="CX26" s="1348"/>
      <c r="CY26" s="1348"/>
      <c r="CZ26" s="1348"/>
      <c r="DA26" s="1348"/>
    </row>
    <row r="27" spans="1:105" s="1349" customFormat="1" ht="16.350000000000001" customHeight="1" x14ac:dyDescent="0.2">
      <c r="A27" s="7263">
        <v>31000004</v>
      </c>
      <c r="B27" s="11160"/>
      <c r="C27" s="1363" t="s">
        <v>387</v>
      </c>
      <c r="D27" s="1367" t="s">
        <v>5369</v>
      </c>
      <c r="E27" s="1932" t="s">
        <v>5370</v>
      </c>
      <c r="F27" s="1373" t="s">
        <v>5371</v>
      </c>
      <c r="G27" s="110" t="s">
        <v>5372</v>
      </c>
      <c r="H27" s="122" t="s">
        <v>5373</v>
      </c>
      <c r="I27" s="136" t="s">
        <v>5374</v>
      </c>
      <c r="J27" s="122" t="s">
        <v>5375</v>
      </c>
      <c r="K27" s="136" t="s">
        <v>5376</v>
      </c>
      <c r="L27" s="144" t="s">
        <v>5377</v>
      </c>
      <c r="M27" s="136" t="s">
        <v>5378</v>
      </c>
      <c r="N27" s="144" t="s">
        <v>5379</v>
      </c>
      <c r="O27" s="136" t="s">
        <v>5380</v>
      </c>
      <c r="P27" s="144" t="s">
        <v>5381</v>
      </c>
      <c r="Q27" s="136" t="s">
        <v>5382</v>
      </c>
      <c r="R27" s="144" t="s">
        <v>5383</v>
      </c>
      <c r="S27" s="136" t="s">
        <v>5384</v>
      </c>
      <c r="T27" s="144" t="s">
        <v>5385</v>
      </c>
      <c r="U27" s="136" t="s">
        <v>5386</v>
      </c>
      <c r="V27" s="144" t="s">
        <v>5387</v>
      </c>
      <c r="W27" s="136" t="s">
        <v>5388</v>
      </c>
      <c r="X27" s="144" t="s">
        <v>5389</v>
      </c>
      <c r="Y27" s="136" t="s">
        <v>5390</v>
      </c>
      <c r="Z27" s="144" t="s">
        <v>5391</v>
      </c>
      <c r="AA27" s="136" t="s">
        <v>5392</v>
      </c>
      <c r="AB27" s="144" t="s">
        <v>5393</v>
      </c>
      <c r="AC27" s="136" t="s">
        <v>5394</v>
      </c>
      <c r="AD27" s="144" t="s">
        <v>5395</v>
      </c>
      <c r="AE27" s="136" t="s">
        <v>5396</v>
      </c>
      <c r="AF27" s="144" t="s">
        <v>5397</v>
      </c>
      <c r="AG27" s="136" t="s">
        <v>5398</v>
      </c>
      <c r="AH27" s="144" t="s">
        <v>5399</v>
      </c>
      <c r="AI27" s="136" t="s">
        <v>5400</v>
      </c>
      <c r="AJ27" s="144" t="s">
        <v>5401</v>
      </c>
      <c r="AK27" s="136" t="s">
        <v>5402</v>
      </c>
      <c r="AL27" s="144" t="s">
        <v>5403</v>
      </c>
      <c r="AM27" s="136" t="s">
        <v>5404</v>
      </c>
      <c r="AN27" s="236" t="s">
        <v>5405</v>
      </c>
      <c r="AO27" s="1374" t="s">
        <v>5406</v>
      </c>
      <c r="AP27" s="123" t="s">
        <v>5407</v>
      </c>
      <c r="AQ27" s="144" t="s">
        <v>5408</v>
      </c>
      <c r="AR27" s="123" t="s">
        <v>5409</v>
      </c>
      <c r="AS27" s="241" t="s">
        <v>5410</v>
      </c>
      <c r="AT27" s="144" t="s">
        <v>5411</v>
      </c>
      <c r="AU27" s="241" t="s">
        <v>5412</v>
      </c>
      <c r="AV27" s="144" t="s">
        <v>5413</v>
      </c>
      <c r="AW27" s="123" t="s">
        <v>5414</v>
      </c>
      <c r="AX27" s="123" t="s">
        <v>5415</v>
      </c>
      <c r="AY27" s="1360" t="e">
        <f t="shared" si="0"/>
        <v>#VALUE!</v>
      </c>
      <c r="AZ27" s="806"/>
      <c r="BA27" s="806"/>
      <c r="BB27" s="806"/>
      <c r="BC27" s="806"/>
      <c r="BD27" s="806"/>
      <c r="BE27" s="1346"/>
      <c r="BF27" s="1346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1361" t="str">
        <f t="shared" si="1"/>
        <v/>
      </c>
      <c r="CC27" s="1361" t="str">
        <f t="shared" si="2"/>
        <v>* El número de Beneficiarios y/o Pueblos Originarios y/o Migrantes y/o Población SENAME NO DEBE ser mayor que el Total.</v>
      </c>
      <c r="CD27" s="1361" t="e">
        <f t="shared" si="3"/>
        <v>#VALUE!</v>
      </c>
      <c r="CE27" s="1361"/>
      <c r="CF27" s="1361"/>
      <c r="CG27" s="1361"/>
      <c r="CH27" s="1362">
        <f t="shared" si="4"/>
        <v>0</v>
      </c>
      <c r="CI27" s="1362">
        <f t="shared" si="5"/>
        <v>1</v>
      </c>
      <c r="CJ27" s="1362" t="e">
        <f t="shared" si="6"/>
        <v>#VALUE!</v>
      </c>
      <c r="CK27" s="1347"/>
      <c r="CL27" s="1347"/>
      <c r="CM27" s="1347"/>
      <c r="CN27" s="1347"/>
      <c r="CO27" s="1347"/>
      <c r="CP27" s="1347"/>
      <c r="CQ27" s="1348"/>
      <c r="CR27" s="1348"/>
      <c r="CS27" s="1348"/>
      <c r="CT27" s="1348"/>
      <c r="CU27" s="1348"/>
      <c r="CV27" s="1348"/>
      <c r="CW27" s="1348"/>
      <c r="CX27" s="1348"/>
      <c r="CY27" s="1348"/>
      <c r="CZ27" s="1348"/>
      <c r="DA27" s="1348"/>
    </row>
    <row r="28" spans="1:105" s="1349" customFormat="1" ht="16.350000000000001" customHeight="1" x14ac:dyDescent="0.2">
      <c r="A28" s="7263">
        <v>31000003</v>
      </c>
      <c r="B28" s="11160"/>
      <c r="C28" s="1376" t="s">
        <v>386</v>
      </c>
      <c r="D28" s="1367" t="s">
        <v>5369</v>
      </c>
      <c r="E28" s="1932" t="s">
        <v>5370</v>
      </c>
      <c r="F28" s="1373" t="s">
        <v>5371</v>
      </c>
      <c r="G28" s="110" t="s">
        <v>5372</v>
      </c>
      <c r="H28" s="122" t="s">
        <v>5373</v>
      </c>
      <c r="I28" s="136" t="s">
        <v>5374</v>
      </c>
      <c r="J28" s="122" t="s">
        <v>5375</v>
      </c>
      <c r="K28" s="136" t="s">
        <v>5376</v>
      </c>
      <c r="L28" s="144" t="s">
        <v>5377</v>
      </c>
      <c r="M28" s="136" t="s">
        <v>5378</v>
      </c>
      <c r="N28" s="144" t="s">
        <v>5379</v>
      </c>
      <c r="O28" s="136" t="s">
        <v>5380</v>
      </c>
      <c r="P28" s="144" t="s">
        <v>5381</v>
      </c>
      <c r="Q28" s="136" t="s">
        <v>5382</v>
      </c>
      <c r="R28" s="144" t="s">
        <v>5383</v>
      </c>
      <c r="S28" s="136" t="s">
        <v>5384</v>
      </c>
      <c r="T28" s="144" t="s">
        <v>5385</v>
      </c>
      <c r="U28" s="136" t="s">
        <v>5386</v>
      </c>
      <c r="V28" s="144" t="s">
        <v>5387</v>
      </c>
      <c r="W28" s="136" t="s">
        <v>5388</v>
      </c>
      <c r="X28" s="144" t="s">
        <v>5389</v>
      </c>
      <c r="Y28" s="136" t="s">
        <v>5390</v>
      </c>
      <c r="Z28" s="144" t="s">
        <v>5391</v>
      </c>
      <c r="AA28" s="136" t="s">
        <v>5392</v>
      </c>
      <c r="AB28" s="144" t="s">
        <v>5393</v>
      </c>
      <c r="AC28" s="136" t="s">
        <v>5394</v>
      </c>
      <c r="AD28" s="144" t="s">
        <v>5395</v>
      </c>
      <c r="AE28" s="136" t="s">
        <v>5396</v>
      </c>
      <c r="AF28" s="144" t="s">
        <v>5397</v>
      </c>
      <c r="AG28" s="136" t="s">
        <v>5398</v>
      </c>
      <c r="AH28" s="144" t="s">
        <v>5399</v>
      </c>
      <c r="AI28" s="136" t="s">
        <v>5400</v>
      </c>
      <c r="AJ28" s="144" t="s">
        <v>5401</v>
      </c>
      <c r="AK28" s="136" t="s">
        <v>5402</v>
      </c>
      <c r="AL28" s="144" t="s">
        <v>5403</v>
      </c>
      <c r="AM28" s="136" t="s">
        <v>5404</v>
      </c>
      <c r="AN28" s="236" t="s">
        <v>5405</v>
      </c>
      <c r="AO28" s="1374" t="s">
        <v>5406</v>
      </c>
      <c r="AP28" s="123" t="s">
        <v>5407</v>
      </c>
      <c r="AQ28" s="144" t="s">
        <v>5408</v>
      </c>
      <c r="AR28" s="123" t="s">
        <v>5409</v>
      </c>
      <c r="AS28" s="241" t="s">
        <v>5410</v>
      </c>
      <c r="AT28" s="144" t="s">
        <v>5411</v>
      </c>
      <c r="AU28" s="241" t="s">
        <v>5412</v>
      </c>
      <c r="AV28" s="144" t="s">
        <v>5413</v>
      </c>
      <c r="AW28" s="123" t="s">
        <v>5414</v>
      </c>
      <c r="AX28" s="123" t="s">
        <v>5415</v>
      </c>
      <c r="AY28" s="1360" t="e">
        <f t="shared" si="0"/>
        <v>#VALUE!</v>
      </c>
      <c r="AZ28" s="806"/>
      <c r="BA28" s="806"/>
      <c r="BB28" s="806"/>
      <c r="BC28" s="806"/>
      <c r="BD28" s="806"/>
      <c r="BE28" s="1346"/>
      <c r="BF28" s="1346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1361" t="str">
        <f t="shared" si="1"/>
        <v/>
      </c>
      <c r="CC28" s="1361" t="str">
        <f t="shared" si="2"/>
        <v>* El número de Beneficiarios y/o Pueblos Originarios y/o Migrantes y/o Población SENAME NO DEBE ser mayor que el Total.</v>
      </c>
      <c r="CD28" s="1361" t="e">
        <f t="shared" si="3"/>
        <v>#VALUE!</v>
      </c>
      <c r="CE28" s="1361"/>
      <c r="CF28" s="1361"/>
      <c r="CG28" s="1361"/>
      <c r="CH28" s="1362">
        <f t="shared" si="4"/>
        <v>0</v>
      </c>
      <c r="CI28" s="1362">
        <f t="shared" si="5"/>
        <v>1</v>
      </c>
      <c r="CJ28" s="1362" t="e">
        <f t="shared" si="6"/>
        <v>#VALUE!</v>
      </c>
      <c r="CK28" s="1347"/>
      <c r="CL28" s="1347"/>
      <c r="CM28" s="1347"/>
      <c r="CN28" s="1347"/>
      <c r="CO28" s="1347"/>
      <c r="CP28" s="1347"/>
      <c r="CQ28" s="1348"/>
      <c r="CR28" s="1348"/>
      <c r="CS28" s="1348"/>
      <c r="CT28" s="1348"/>
      <c r="CU28" s="1348"/>
      <c r="CV28" s="1348"/>
      <c r="CW28" s="1348"/>
      <c r="CX28" s="1348"/>
      <c r="CY28" s="1348"/>
      <c r="CZ28" s="1348"/>
      <c r="DA28" s="1348"/>
    </row>
    <row r="29" spans="1:105" s="1349" customFormat="1" ht="16.350000000000001" customHeight="1" x14ac:dyDescent="0.2">
      <c r="A29" s="7263">
        <v>31000008</v>
      </c>
      <c r="B29" s="11162"/>
      <c r="C29" s="1363" t="s">
        <v>373</v>
      </c>
      <c r="D29" s="3540" t="s">
        <v>5369</v>
      </c>
      <c r="E29" s="1932" t="s">
        <v>5370</v>
      </c>
      <c r="F29" s="1377" t="s">
        <v>5371</v>
      </c>
      <c r="G29" s="110" t="s">
        <v>5372</v>
      </c>
      <c r="H29" s="122" t="s">
        <v>5373</v>
      </c>
      <c r="I29" s="136" t="s">
        <v>5374</v>
      </c>
      <c r="J29" s="122" t="s">
        <v>5375</v>
      </c>
      <c r="K29" s="136" t="s">
        <v>5376</v>
      </c>
      <c r="L29" s="144" t="s">
        <v>5377</v>
      </c>
      <c r="M29" s="136" t="s">
        <v>5378</v>
      </c>
      <c r="N29" s="144" t="s">
        <v>5379</v>
      </c>
      <c r="O29" s="136" t="s">
        <v>5380</v>
      </c>
      <c r="P29" s="144" t="s">
        <v>5381</v>
      </c>
      <c r="Q29" s="136" t="s">
        <v>5382</v>
      </c>
      <c r="R29" s="144" t="s">
        <v>5383</v>
      </c>
      <c r="S29" s="136" t="s">
        <v>5384</v>
      </c>
      <c r="T29" s="144" t="s">
        <v>5385</v>
      </c>
      <c r="U29" s="136" t="s">
        <v>5386</v>
      </c>
      <c r="V29" s="144" t="s">
        <v>5387</v>
      </c>
      <c r="W29" s="136" t="s">
        <v>5388</v>
      </c>
      <c r="X29" s="144" t="s">
        <v>5389</v>
      </c>
      <c r="Y29" s="136" t="s">
        <v>5390</v>
      </c>
      <c r="Z29" s="144" t="s">
        <v>5391</v>
      </c>
      <c r="AA29" s="136" t="s">
        <v>5392</v>
      </c>
      <c r="AB29" s="144" t="s">
        <v>5393</v>
      </c>
      <c r="AC29" s="136" t="s">
        <v>5394</v>
      </c>
      <c r="AD29" s="144" t="s">
        <v>5395</v>
      </c>
      <c r="AE29" s="136" t="s">
        <v>5396</v>
      </c>
      <c r="AF29" s="144" t="s">
        <v>5397</v>
      </c>
      <c r="AG29" s="136" t="s">
        <v>5398</v>
      </c>
      <c r="AH29" s="144" t="s">
        <v>5399</v>
      </c>
      <c r="AI29" s="136" t="s">
        <v>5400</v>
      </c>
      <c r="AJ29" s="144" t="s">
        <v>5401</v>
      </c>
      <c r="AK29" s="136" t="s">
        <v>5402</v>
      </c>
      <c r="AL29" s="144" t="s">
        <v>5403</v>
      </c>
      <c r="AM29" s="136" t="s">
        <v>5404</v>
      </c>
      <c r="AN29" s="254" t="s">
        <v>5405</v>
      </c>
      <c r="AO29" s="1374" t="s">
        <v>5406</v>
      </c>
      <c r="AP29" s="123" t="s">
        <v>5407</v>
      </c>
      <c r="AQ29" s="144" t="s">
        <v>5408</v>
      </c>
      <c r="AR29" s="123" t="s">
        <v>5409</v>
      </c>
      <c r="AS29" s="241" t="s">
        <v>5410</v>
      </c>
      <c r="AT29" s="144" t="s">
        <v>5411</v>
      </c>
      <c r="AU29" s="241" t="s">
        <v>5412</v>
      </c>
      <c r="AV29" s="144" t="s">
        <v>5413</v>
      </c>
      <c r="AW29" s="123" t="s">
        <v>5414</v>
      </c>
      <c r="AX29" s="123" t="s">
        <v>5415</v>
      </c>
      <c r="AY29" s="1360" t="e">
        <f t="shared" si="0"/>
        <v>#VALUE!</v>
      </c>
      <c r="AZ29" s="806"/>
      <c r="BA29" s="806"/>
      <c r="BB29" s="806"/>
      <c r="BC29" s="806"/>
      <c r="BD29" s="806"/>
      <c r="BE29" s="1346"/>
      <c r="BF29" s="1346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1361" t="str">
        <f>IF(CH29=1,"* No olvide digitar la columna Beneficiarios y/o Pueblos Originario y/o Migrantes y/o Población SENAME (Digite Cero si no tiene). ","")</f>
        <v/>
      </c>
      <c r="CC29" s="1361" t="str">
        <f>IF(CI29=1,"*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29" s="1361" t="e">
        <f t="shared" si="3"/>
        <v>#VALUE!</v>
      </c>
      <c r="CE29" s="1361"/>
      <c r="CF29" s="1361"/>
      <c r="CG29" s="1361"/>
      <c r="CH29" s="1362">
        <f>IF(AND(D29&lt;&gt;0,OR(AP29="",AQ29="",AR29="",AS29="")),1,0)</f>
        <v>0</v>
      </c>
      <c r="CI29" s="1362">
        <f>IF(OR(D29&lt;AP29,D29&lt;AQ29,D29&lt;AR29,D29&lt;AS29),1,0)</f>
        <v>1</v>
      </c>
      <c r="CJ29" s="1362" t="e">
        <f t="shared" si="6"/>
        <v>#VALUE!</v>
      </c>
      <c r="CK29" s="1347"/>
      <c r="CL29" s="1347"/>
      <c r="CM29" s="1347"/>
      <c r="CN29" s="1347"/>
      <c r="CO29" s="1347"/>
      <c r="CP29" s="1347"/>
      <c r="CQ29" s="1348"/>
      <c r="CR29" s="1348"/>
      <c r="CS29" s="1348"/>
      <c r="CT29" s="1348"/>
      <c r="CU29" s="1348"/>
      <c r="CV29" s="1348"/>
      <c r="CW29" s="1348"/>
      <c r="CX29" s="1348"/>
      <c r="CY29" s="1348"/>
      <c r="CZ29" s="1348"/>
      <c r="DA29" s="1348"/>
    </row>
    <row r="30" spans="1:105" s="1349" customFormat="1" ht="21.75" customHeight="1" x14ac:dyDescent="0.2">
      <c r="A30" s="7797"/>
      <c r="B30" s="11163" t="s">
        <v>44</v>
      </c>
      <c r="C30" s="11174"/>
      <c r="D30" s="3541">
        <f t="shared" ref="D30" si="7">+E30+F30</f>
        <v>0</v>
      </c>
      <c r="E30" s="1928">
        <f>+G30+I30+K30+M30+O30+Q30+S30+U30+W30+Y30+AA30+AC30+AE30+AG30+AI30+AK30+AM30</f>
        <v>0</v>
      </c>
      <c r="F30" s="1339">
        <f>+H30+J30+L30+N30+P30+R30+T30+V30+X30+Z30+AB30+AD30+AF30+AH30+AJ30+AL30+AN30</f>
        <v>0</v>
      </c>
      <c r="G30" s="480">
        <f>SUM(G14:G29)</f>
        <v>0</v>
      </c>
      <c r="H30" s="490">
        <f>SUM(H14:H29)</f>
        <v>0</v>
      </c>
      <c r="I30" s="480">
        <f t="shared" ref="I30:AX30" si="8">SUM(I14:I29)</f>
        <v>0</v>
      </c>
      <c r="J30" s="490">
        <f t="shared" si="8"/>
        <v>0</v>
      </c>
      <c r="K30" s="480">
        <f t="shared" si="8"/>
        <v>0</v>
      </c>
      <c r="L30" s="490">
        <f t="shared" si="8"/>
        <v>0</v>
      </c>
      <c r="M30" s="480">
        <f t="shared" si="8"/>
        <v>0</v>
      </c>
      <c r="N30" s="490">
        <f t="shared" si="8"/>
        <v>0</v>
      </c>
      <c r="O30" s="480">
        <f t="shared" si="8"/>
        <v>0</v>
      </c>
      <c r="P30" s="490">
        <f t="shared" si="8"/>
        <v>0</v>
      </c>
      <c r="Q30" s="480">
        <f t="shared" si="8"/>
        <v>0</v>
      </c>
      <c r="R30" s="490">
        <f t="shared" si="8"/>
        <v>0</v>
      </c>
      <c r="S30" s="480">
        <f t="shared" si="8"/>
        <v>0</v>
      </c>
      <c r="T30" s="490">
        <f t="shared" si="8"/>
        <v>0</v>
      </c>
      <c r="U30" s="480">
        <f t="shared" si="8"/>
        <v>0</v>
      </c>
      <c r="V30" s="490">
        <f t="shared" si="8"/>
        <v>0</v>
      </c>
      <c r="W30" s="480">
        <f t="shared" si="8"/>
        <v>0</v>
      </c>
      <c r="X30" s="490">
        <f t="shared" si="8"/>
        <v>0</v>
      </c>
      <c r="Y30" s="480">
        <f t="shared" si="8"/>
        <v>0</v>
      </c>
      <c r="Z30" s="490">
        <f t="shared" si="8"/>
        <v>0</v>
      </c>
      <c r="AA30" s="480">
        <f t="shared" si="8"/>
        <v>0</v>
      </c>
      <c r="AB30" s="490">
        <f t="shared" si="8"/>
        <v>0</v>
      </c>
      <c r="AC30" s="480">
        <f t="shared" si="8"/>
        <v>0</v>
      </c>
      <c r="AD30" s="490">
        <f t="shared" si="8"/>
        <v>0</v>
      </c>
      <c r="AE30" s="480">
        <f t="shared" si="8"/>
        <v>0</v>
      </c>
      <c r="AF30" s="490">
        <f t="shared" si="8"/>
        <v>0</v>
      </c>
      <c r="AG30" s="480">
        <f t="shared" si="8"/>
        <v>0</v>
      </c>
      <c r="AH30" s="490">
        <f t="shared" si="8"/>
        <v>0</v>
      </c>
      <c r="AI30" s="480">
        <f t="shared" si="8"/>
        <v>0</v>
      </c>
      <c r="AJ30" s="490">
        <f t="shared" si="8"/>
        <v>0</v>
      </c>
      <c r="AK30" s="480">
        <f t="shared" si="8"/>
        <v>0</v>
      </c>
      <c r="AL30" s="490">
        <f t="shared" si="8"/>
        <v>0</v>
      </c>
      <c r="AM30" s="480">
        <f>SUM(AM14:AM29)</f>
        <v>0</v>
      </c>
      <c r="AN30" s="246">
        <f t="shared" si="8"/>
        <v>0</v>
      </c>
      <c r="AO30" s="1378">
        <f t="shared" si="8"/>
        <v>0</v>
      </c>
      <c r="AP30" s="478">
        <f t="shared" si="8"/>
        <v>0</v>
      </c>
      <c r="AQ30" s="1339">
        <f t="shared" si="8"/>
        <v>0</v>
      </c>
      <c r="AR30" s="478">
        <f t="shared" si="8"/>
        <v>0</v>
      </c>
      <c r="AS30" s="1379">
        <f t="shared" si="8"/>
        <v>0</v>
      </c>
      <c r="AT30" s="1339">
        <f t="shared" si="8"/>
        <v>0</v>
      </c>
      <c r="AU30" s="1379">
        <f t="shared" si="8"/>
        <v>0</v>
      </c>
      <c r="AV30" s="1339">
        <f t="shared" si="8"/>
        <v>0</v>
      </c>
      <c r="AW30" s="478">
        <f>SUM(AW14:AW29)</f>
        <v>0</v>
      </c>
      <c r="AX30" s="478">
        <f t="shared" si="8"/>
        <v>0</v>
      </c>
      <c r="AY30" s="1346"/>
      <c r="AZ30" s="1346"/>
      <c r="BA30" s="1346"/>
      <c r="BB30" s="1346"/>
      <c r="BC30" s="1346"/>
      <c r="BD30" s="1346"/>
      <c r="BE30" s="1346"/>
      <c r="BF30" s="1346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1347"/>
      <c r="CC30" s="1347"/>
      <c r="CD30" s="1347"/>
      <c r="CE30" s="1347"/>
      <c r="CF30" s="1347"/>
      <c r="CG30" s="1347"/>
      <c r="CH30" s="1356"/>
      <c r="CI30" s="1356"/>
      <c r="CJ30" s="1347"/>
      <c r="CK30" s="1347"/>
      <c r="CL30" s="1347"/>
      <c r="CM30" s="1347"/>
      <c r="CN30" s="1347"/>
      <c r="CO30" s="1347"/>
      <c r="CP30" s="1347"/>
      <c r="CQ30" s="1348"/>
      <c r="CR30" s="1348"/>
      <c r="CS30" s="1348"/>
      <c r="CT30" s="1348"/>
      <c r="CU30" s="1348"/>
      <c r="CV30" s="1348"/>
      <c r="CW30" s="1348"/>
      <c r="CX30" s="1348"/>
      <c r="CY30" s="1348"/>
      <c r="CZ30" s="1348"/>
      <c r="DA30" s="1348"/>
    </row>
    <row r="31" spans="1:105" ht="32.1" customHeight="1" x14ac:dyDescent="0.3">
      <c r="B31" s="1345" t="s">
        <v>2073</v>
      </c>
      <c r="C31" s="1342"/>
      <c r="D31" s="1342"/>
      <c r="E31" s="1342"/>
      <c r="F31" s="1342"/>
      <c r="G31" s="1342"/>
      <c r="H31" s="1342"/>
      <c r="I31" s="1342"/>
      <c r="J31" s="1342"/>
      <c r="K31" s="1342"/>
      <c r="L31" s="1342"/>
      <c r="M31" s="1342"/>
      <c r="N31" s="1342"/>
      <c r="O31" s="1342"/>
      <c r="P31" s="1342"/>
      <c r="Q31" s="1342"/>
      <c r="R31" s="1342"/>
      <c r="S31" s="1342"/>
      <c r="T31" s="1342"/>
      <c r="U31" s="1342"/>
      <c r="V31" s="1342"/>
      <c r="W31" s="1342"/>
      <c r="X31" s="1342"/>
      <c r="Y31" s="1342"/>
      <c r="Z31" s="1342"/>
      <c r="AA31" s="1342"/>
      <c r="AB31" s="1342"/>
      <c r="AC31" s="1342"/>
      <c r="AD31" s="1342"/>
      <c r="AE31" s="1342"/>
      <c r="AF31" s="1342"/>
      <c r="AG31" s="1342"/>
      <c r="AH31" s="1342"/>
      <c r="AI31" s="1342"/>
      <c r="AJ31" s="1342"/>
      <c r="AK31" s="1342"/>
      <c r="AL31" s="1342"/>
      <c r="AM31" s="1342"/>
      <c r="AN31" s="1342"/>
      <c r="AO31" s="1342"/>
      <c r="AP31" s="1342"/>
      <c r="AQ31" s="1380"/>
      <c r="AR31" s="1380"/>
      <c r="AS31" s="1380"/>
      <c r="AT31" s="1380"/>
      <c r="AU31" s="1380"/>
      <c r="AV31" s="1380"/>
      <c r="AW31" s="1380"/>
      <c r="AX31" s="1380"/>
      <c r="AY31" s="1380"/>
      <c r="AZ31" s="1380"/>
      <c r="BA31" s="1380"/>
      <c r="BB31" s="1380"/>
      <c r="BC31" s="1380"/>
      <c r="BD31" s="1380"/>
      <c r="BE31" s="1380"/>
      <c r="BF31" s="1380"/>
      <c r="BG31" s="1342"/>
      <c r="BH31" s="1342"/>
      <c r="BI31" s="1342"/>
      <c r="BJ31" s="1342"/>
      <c r="BK31" s="1342"/>
      <c r="BL31" s="1342"/>
      <c r="BM31" s="1342"/>
      <c r="BN31" s="1342"/>
      <c r="BO31" s="1342"/>
      <c r="BP31" s="1342"/>
      <c r="BQ31" s="1342"/>
      <c r="BR31" s="1342"/>
      <c r="BS31" s="1342"/>
      <c r="BT31" s="1342"/>
      <c r="BU31" s="1342"/>
      <c r="BV31" s="1342"/>
      <c r="BW31" s="1342"/>
      <c r="BX31" s="1342"/>
      <c r="BY31" s="1342"/>
      <c r="BZ31" s="1342"/>
      <c r="CA31" s="1342"/>
      <c r="CB31" s="1341"/>
      <c r="CC31" s="1341"/>
      <c r="CD31" s="1341"/>
      <c r="CE31" s="1341"/>
      <c r="CF31" s="1341"/>
      <c r="CG31" s="1341"/>
      <c r="CH31" s="1381"/>
      <c r="CI31" s="1381"/>
      <c r="CJ31" s="1341"/>
      <c r="CK31" s="1341"/>
      <c r="CL31" s="1341"/>
      <c r="CM31" s="1341"/>
      <c r="CN31" s="1341"/>
      <c r="CO31" s="1341"/>
      <c r="CP31" s="1341"/>
    </row>
    <row r="32" spans="1:105" ht="16.350000000000001" customHeight="1" x14ac:dyDescent="0.3">
      <c r="B32" s="11171" t="s">
        <v>369</v>
      </c>
      <c r="C32" s="11171" t="s">
        <v>44</v>
      </c>
      <c r="D32" s="11183" t="s">
        <v>370</v>
      </c>
      <c r="E32" s="11192" t="s">
        <v>371</v>
      </c>
      <c r="F32" s="11188" t="s">
        <v>372</v>
      </c>
      <c r="G32" s="11190" t="s">
        <v>385</v>
      </c>
      <c r="H32" s="11164"/>
      <c r="I32" s="11164"/>
      <c r="J32" s="11164"/>
      <c r="K32" s="11164"/>
      <c r="L32" s="11164"/>
      <c r="M32" s="11164"/>
      <c r="N32" s="11164"/>
      <c r="O32" s="11164"/>
      <c r="P32" s="11164"/>
      <c r="Q32" s="11164"/>
      <c r="R32" s="11164"/>
      <c r="S32" s="11164"/>
      <c r="T32" s="11164"/>
      <c r="U32" s="11164"/>
      <c r="V32" s="11164"/>
      <c r="W32" s="11164"/>
      <c r="X32" s="11164"/>
      <c r="Y32" s="11164"/>
      <c r="Z32" s="11164"/>
      <c r="AA32" s="11164"/>
      <c r="AB32" s="11164"/>
      <c r="AC32" s="11164"/>
      <c r="AD32" s="11164"/>
      <c r="AE32" s="11164"/>
      <c r="AF32" s="11164"/>
      <c r="AG32" s="11191"/>
      <c r="AH32" s="1380"/>
      <c r="AI32" s="1380"/>
      <c r="AJ32" s="1380"/>
      <c r="AK32" s="1380"/>
      <c r="AL32" s="1380"/>
      <c r="AM32" s="1380"/>
      <c r="AN32" s="1380"/>
      <c r="AO32" s="1380"/>
      <c r="AP32" s="1380"/>
      <c r="AQ32" s="1380"/>
      <c r="AR32" s="1380"/>
      <c r="AS32" s="1380"/>
      <c r="AT32" s="1380"/>
      <c r="AU32" s="1380"/>
      <c r="AV32" s="1380"/>
      <c r="AW32" s="1380"/>
      <c r="AX32" s="1342"/>
      <c r="AY32" s="1342"/>
      <c r="AZ32" s="1342"/>
      <c r="BA32" s="1342"/>
      <c r="BB32" s="1342"/>
      <c r="BC32" s="1342"/>
      <c r="BD32" s="1342"/>
      <c r="BE32" s="1342"/>
      <c r="BF32" s="1342"/>
      <c r="BG32" s="1342"/>
      <c r="BH32" s="1342"/>
      <c r="BI32" s="1342"/>
      <c r="BJ32" s="1342"/>
      <c r="BK32" s="1342"/>
      <c r="BL32" s="1342"/>
      <c r="BM32" s="1342"/>
      <c r="BS32" s="1342"/>
      <c r="BT32" s="1342"/>
      <c r="BU32" s="1342"/>
      <c r="BV32" s="1342"/>
      <c r="BW32" s="1342"/>
      <c r="CB32" s="1341"/>
      <c r="CC32" s="1341"/>
      <c r="CD32" s="1341"/>
      <c r="CE32" s="1341"/>
      <c r="CF32" s="1341"/>
      <c r="CG32" s="1341"/>
      <c r="CH32" s="1381"/>
      <c r="CI32" s="1381"/>
      <c r="CJ32" s="1341"/>
      <c r="CK32" s="1341"/>
      <c r="CL32" s="1341"/>
      <c r="CM32" s="1341"/>
      <c r="CN32" s="1341"/>
      <c r="CO32" s="1341"/>
      <c r="CP32" s="1341"/>
    </row>
    <row r="33" spans="1:94" ht="44.25" customHeight="1" x14ac:dyDescent="0.3">
      <c r="B33" s="11173"/>
      <c r="C33" s="11173"/>
      <c r="D33" s="11184"/>
      <c r="E33" s="11193"/>
      <c r="F33" s="11189"/>
      <c r="G33" s="1382" t="s">
        <v>422</v>
      </c>
      <c r="H33" s="1383" t="s">
        <v>431</v>
      </c>
      <c r="I33" s="1383" t="s">
        <v>423</v>
      </c>
      <c r="J33" s="1383" t="s">
        <v>432</v>
      </c>
      <c r="K33" s="1384" t="s">
        <v>390</v>
      </c>
      <c r="L33" s="1383" t="s">
        <v>601</v>
      </c>
      <c r="M33" s="1385" t="s">
        <v>433</v>
      </c>
      <c r="N33" s="1383" t="s">
        <v>647</v>
      </c>
      <c r="O33" s="1383" t="s">
        <v>425</v>
      </c>
      <c r="P33" s="1383" t="s">
        <v>426</v>
      </c>
      <c r="Q33" s="1386" t="s">
        <v>434</v>
      </c>
      <c r="R33" s="1387" t="s">
        <v>427</v>
      </c>
      <c r="S33" s="1383" t="s">
        <v>388</v>
      </c>
      <c r="T33" s="1385" t="s">
        <v>435</v>
      </c>
      <c r="U33" s="1388" t="s">
        <v>436</v>
      </c>
      <c r="V33" s="1354" t="s">
        <v>437</v>
      </c>
      <c r="W33" s="1388" t="s">
        <v>611</v>
      </c>
      <c r="X33" s="1388" t="s">
        <v>387</v>
      </c>
      <c r="Y33" s="1385" t="s">
        <v>386</v>
      </c>
      <c r="Z33" s="1388" t="s">
        <v>389</v>
      </c>
      <c r="AA33" s="1354" t="s">
        <v>449</v>
      </c>
      <c r="AB33" s="1388" t="s">
        <v>438</v>
      </c>
      <c r="AC33" s="1383" t="s">
        <v>444</v>
      </c>
      <c r="AD33" s="1388" t="s">
        <v>447</v>
      </c>
      <c r="AE33" s="1388" t="s">
        <v>445</v>
      </c>
      <c r="AF33" s="1388" t="s">
        <v>448</v>
      </c>
      <c r="AG33" s="1389" t="s">
        <v>450</v>
      </c>
      <c r="AH33" s="1380"/>
      <c r="AI33" s="1380"/>
      <c r="AJ33" s="1380"/>
      <c r="AK33" s="1380"/>
      <c r="AL33" s="1380"/>
      <c r="AM33" s="1380"/>
      <c r="AN33" s="1380"/>
      <c r="AO33" s="1380"/>
      <c r="AP33" s="1380"/>
      <c r="AQ33" s="1380"/>
      <c r="AR33" s="1380"/>
      <c r="AS33" s="1380"/>
      <c r="AT33" s="1380"/>
      <c r="AU33" s="1380"/>
      <c r="AV33" s="1380"/>
      <c r="AW33" s="1380"/>
      <c r="AX33" s="1342"/>
      <c r="AY33" s="1342"/>
      <c r="AZ33" s="1342"/>
      <c r="BA33" s="1342"/>
      <c r="BB33" s="1342"/>
      <c r="BC33" s="1342"/>
      <c r="BD33" s="1342"/>
      <c r="BE33" s="1342"/>
      <c r="BF33" s="1342"/>
      <c r="BG33" s="1342"/>
      <c r="BH33" s="1342"/>
      <c r="BI33" s="1342"/>
      <c r="BJ33" s="1342"/>
      <c r="BK33" s="1342"/>
      <c r="BL33" s="1342"/>
      <c r="BM33" s="1342"/>
      <c r="BS33" s="1342"/>
      <c r="BT33" s="1342"/>
      <c r="BU33" s="1342"/>
      <c r="BV33" s="1342"/>
      <c r="BW33" s="1342"/>
      <c r="CB33" s="1341"/>
      <c r="CC33" s="1341"/>
      <c r="CD33" s="1341"/>
      <c r="CE33" s="1341"/>
      <c r="CF33" s="1341"/>
      <c r="CG33" s="1341"/>
      <c r="CH33" s="1381"/>
      <c r="CI33" s="1381"/>
      <c r="CJ33" s="1341"/>
      <c r="CK33" s="1341"/>
      <c r="CL33" s="1341"/>
      <c r="CM33" s="1341"/>
      <c r="CN33" s="1341"/>
      <c r="CO33" s="1341"/>
      <c r="CP33" s="1341"/>
    </row>
    <row r="34" spans="1:94" ht="19.5" customHeight="1" x14ac:dyDescent="0.3">
      <c r="A34" s="7263">
        <v>31000012</v>
      </c>
      <c r="B34" s="1366" t="s">
        <v>66</v>
      </c>
      <c r="C34" s="466" t="s">
        <v>5369</v>
      </c>
      <c r="D34" s="178" t="s">
        <v>5370</v>
      </c>
      <c r="E34" s="178" t="s">
        <v>5371</v>
      </c>
      <c r="F34" s="179" t="s">
        <v>5372</v>
      </c>
      <c r="G34" s="1282" t="s">
        <v>5373</v>
      </c>
      <c r="H34" s="78" t="s">
        <v>5374</v>
      </c>
      <c r="I34" s="78" t="s">
        <v>5375</v>
      </c>
      <c r="J34" s="78" t="s">
        <v>5376</v>
      </c>
      <c r="K34" s="166" t="s">
        <v>5377</v>
      </c>
      <c r="L34" s="1390" t="s">
        <v>5378</v>
      </c>
      <c r="M34" s="1390" t="s">
        <v>5379</v>
      </c>
      <c r="N34" s="1390" t="s">
        <v>5380</v>
      </c>
      <c r="O34" s="1390" t="s">
        <v>5381</v>
      </c>
      <c r="P34" s="1390" t="s">
        <v>5382</v>
      </c>
      <c r="Q34" s="1390" t="s">
        <v>5383</v>
      </c>
      <c r="R34" s="1390" t="s">
        <v>5384</v>
      </c>
      <c r="S34" s="1390" t="s">
        <v>5385</v>
      </c>
      <c r="T34" s="1390" t="s">
        <v>5386</v>
      </c>
      <c r="U34" s="1176" t="s">
        <v>5387</v>
      </c>
      <c r="V34" s="1390" t="s">
        <v>5388</v>
      </c>
      <c r="W34" s="1390" t="s">
        <v>5389</v>
      </c>
      <c r="X34" s="1390" t="s">
        <v>5390</v>
      </c>
      <c r="Y34" s="1390" t="s">
        <v>5391</v>
      </c>
      <c r="Z34" s="1390" t="s">
        <v>5392</v>
      </c>
      <c r="AA34" s="1390" t="s">
        <v>5393</v>
      </c>
      <c r="AB34" s="1390" t="s">
        <v>5394</v>
      </c>
      <c r="AC34" s="1390" t="s">
        <v>5395</v>
      </c>
      <c r="AD34" s="1390" t="s">
        <v>5396</v>
      </c>
      <c r="AE34" s="1390" t="s">
        <v>5397</v>
      </c>
      <c r="AF34" s="1390" t="s">
        <v>5398</v>
      </c>
      <c r="AG34" s="1307" t="s">
        <v>5399</v>
      </c>
      <c r="AH34" s="1360"/>
      <c r="AI34" s="1380"/>
      <c r="AJ34" s="1380"/>
      <c r="AK34" s="1380"/>
      <c r="AL34" s="1380"/>
      <c r="AM34" s="1380"/>
      <c r="AN34" s="1380"/>
      <c r="AO34" s="1380"/>
      <c r="AP34" s="1380"/>
      <c r="AQ34" s="1380"/>
      <c r="AR34" s="1380"/>
      <c r="AS34" s="1380"/>
      <c r="AT34" s="1380"/>
      <c r="AU34" s="1380"/>
      <c r="AV34" s="1380"/>
      <c r="AW34" s="1380"/>
      <c r="AX34" s="1342"/>
      <c r="AY34" s="1342"/>
      <c r="AZ34" s="1342"/>
      <c r="BA34" s="1342"/>
      <c r="BB34" s="1342"/>
      <c r="BC34" s="1342"/>
      <c r="BD34" s="1342"/>
      <c r="BE34" s="1342"/>
      <c r="BF34" s="1342"/>
      <c r="BG34" s="1342"/>
      <c r="BH34" s="1342"/>
      <c r="BI34" s="1342"/>
      <c r="BJ34" s="1342"/>
      <c r="BK34" s="1342"/>
      <c r="BL34" s="1342"/>
      <c r="BM34" s="1342"/>
      <c r="BS34" s="1342"/>
      <c r="BT34" s="1342"/>
      <c r="BU34" s="1342"/>
      <c r="BV34" s="1342"/>
      <c r="BW34" s="1342"/>
      <c r="CB34" s="1361"/>
      <c r="CC34" s="1361"/>
      <c r="CD34" s="1361"/>
      <c r="CE34" s="1361"/>
      <c r="CF34" s="1361"/>
      <c r="CG34" s="1361"/>
      <c r="CH34" s="1362"/>
      <c r="CI34" s="1362"/>
      <c r="CJ34" s="1341"/>
      <c r="CK34" s="1341"/>
      <c r="CL34" s="1341"/>
      <c r="CM34" s="1341"/>
      <c r="CN34" s="1341"/>
      <c r="CO34" s="1341"/>
      <c r="CP34" s="1341"/>
    </row>
    <row r="35" spans="1:94" ht="19.5" customHeight="1" x14ac:dyDescent="0.3">
      <c r="A35" s="7263">
        <v>31000013</v>
      </c>
      <c r="B35" s="1370" t="s">
        <v>376</v>
      </c>
      <c r="C35" s="109" t="s">
        <v>5369</v>
      </c>
      <c r="D35" s="113" t="s">
        <v>5370</v>
      </c>
      <c r="E35" s="113" t="s">
        <v>5371</v>
      </c>
      <c r="F35" s="138" t="s">
        <v>5372</v>
      </c>
      <c r="G35" s="1285" t="s">
        <v>5373</v>
      </c>
      <c r="H35" s="1297" t="s">
        <v>5374</v>
      </c>
      <c r="I35" s="1297" t="s">
        <v>5375</v>
      </c>
      <c r="J35" s="1297" t="s">
        <v>5376</v>
      </c>
      <c r="K35" s="116" t="s">
        <v>5377</v>
      </c>
      <c r="L35" s="1391" t="s">
        <v>5378</v>
      </c>
      <c r="M35" s="1391" t="s">
        <v>5379</v>
      </c>
      <c r="N35" s="1391" t="s">
        <v>5380</v>
      </c>
      <c r="O35" s="1391" t="s">
        <v>5381</v>
      </c>
      <c r="P35" s="1391" t="s">
        <v>5382</v>
      </c>
      <c r="Q35" s="1391" t="s">
        <v>5383</v>
      </c>
      <c r="R35" s="1391" t="s">
        <v>5384</v>
      </c>
      <c r="S35" s="1391" t="s">
        <v>5385</v>
      </c>
      <c r="T35" s="1391" t="s">
        <v>5386</v>
      </c>
      <c r="U35" s="1315" t="s">
        <v>5387</v>
      </c>
      <c r="V35" s="1391" t="s">
        <v>5388</v>
      </c>
      <c r="W35" s="1391" t="s">
        <v>5389</v>
      </c>
      <c r="X35" s="1391" t="s">
        <v>5390</v>
      </c>
      <c r="Y35" s="1391" t="s">
        <v>5391</v>
      </c>
      <c r="Z35" s="1391" t="s">
        <v>5392</v>
      </c>
      <c r="AA35" s="1391" t="s">
        <v>5393</v>
      </c>
      <c r="AB35" s="1391" t="s">
        <v>5394</v>
      </c>
      <c r="AC35" s="1391" t="s">
        <v>5395</v>
      </c>
      <c r="AD35" s="1391" t="s">
        <v>5396</v>
      </c>
      <c r="AE35" s="1391" t="s">
        <v>5397</v>
      </c>
      <c r="AF35" s="1391" t="s">
        <v>5398</v>
      </c>
      <c r="AG35" s="1289" t="s">
        <v>5399</v>
      </c>
      <c r="AH35" s="1360"/>
      <c r="AI35" s="1380"/>
      <c r="AJ35" s="1380"/>
      <c r="AK35" s="1380"/>
      <c r="AL35" s="1380"/>
      <c r="AM35" s="1380"/>
      <c r="AN35" s="1380"/>
      <c r="AO35" s="1380"/>
      <c r="AP35" s="1380"/>
      <c r="AQ35" s="1380"/>
      <c r="AR35" s="1380"/>
      <c r="AS35" s="1380"/>
      <c r="AT35" s="1380"/>
      <c r="AU35" s="1380"/>
      <c r="AV35" s="1380"/>
      <c r="AW35" s="1380"/>
      <c r="AX35" s="1342"/>
      <c r="AY35" s="1342"/>
      <c r="AZ35" s="1342"/>
      <c r="BA35" s="1342"/>
      <c r="BB35" s="1342"/>
      <c r="BC35" s="1342"/>
      <c r="BD35" s="1342"/>
      <c r="BE35" s="1342"/>
      <c r="BF35" s="1342"/>
      <c r="BG35" s="1342"/>
      <c r="BH35" s="1342"/>
      <c r="BI35" s="1342"/>
      <c r="BJ35" s="1342"/>
      <c r="BK35" s="1342"/>
      <c r="BL35" s="1342"/>
      <c r="BM35" s="1342"/>
      <c r="BS35" s="1342"/>
      <c r="BT35" s="1342"/>
      <c r="BU35" s="1342"/>
      <c r="BV35" s="1342"/>
      <c r="BW35" s="1342"/>
      <c r="CB35" s="1361"/>
      <c r="CC35" s="1361"/>
      <c r="CD35" s="1361"/>
      <c r="CE35" s="1361"/>
      <c r="CF35" s="1361"/>
      <c r="CG35" s="1361"/>
      <c r="CH35" s="1362"/>
      <c r="CI35" s="1362"/>
      <c r="CJ35" s="1341"/>
      <c r="CK35" s="1341"/>
      <c r="CL35" s="1341"/>
      <c r="CM35" s="1341"/>
      <c r="CN35" s="1341"/>
      <c r="CO35" s="1341"/>
      <c r="CP35" s="1341"/>
    </row>
    <row r="36" spans="1:94" ht="19.5" customHeight="1" x14ac:dyDescent="0.3">
      <c r="A36" s="7263">
        <v>31000014</v>
      </c>
      <c r="B36" s="1370" t="s">
        <v>392</v>
      </c>
      <c r="C36" s="109" t="s">
        <v>5369</v>
      </c>
      <c r="D36" s="113" t="s">
        <v>5370</v>
      </c>
      <c r="E36" s="113" t="s">
        <v>5371</v>
      </c>
      <c r="F36" s="138" t="s">
        <v>5372</v>
      </c>
      <c r="G36" s="1285" t="s">
        <v>5373</v>
      </c>
      <c r="H36" s="1297" t="s">
        <v>5374</v>
      </c>
      <c r="I36" s="1297" t="s">
        <v>5375</v>
      </c>
      <c r="J36" s="1297" t="s">
        <v>5376</v>
      </c>
      <c r="K36" s="116" t="s">
        <v>5377</v>
      </c>
      <c r="L36" s="1391" t="s">
        <v>5378</v>
      </c>
      <c r="M36" s="1391" t="s">
        <v>5379</v>
      </c>
      <c r="N36" s="1391" t="s">
        <v>5380</v>
      </c>
      <c r="O36" s="1391" t="s">
        <v>5381</v>
      </c>
      <c r="P36" s="1391" t="s">
        <v>5382</v>
      </c>
      <c r="Q36" s="1391" t="s">
        <v>5383</v>
      </c>
      <c r="R36" s="1391" t="s">
        <v>5384</v>
      </c>
      <c r="S36" s="1391" t="s">
        <v>5385</v>
      </c>
      <c r="T36" s="1391" t="s">
        <v>5386</v>
      </c>
      <c r="U36" s="1315" t="s">
        <v>5387</v>
      </c>
      <c r="V36" s="1391" t="s">
        <v>5388</v>
      </c>
      <c r="W36" s="1391" t="s">
        <v>5389</v>
      </c>
      <c r="X36" s="1391" t="s">
        <v>5390</v>
      </c>
      <c r="Y36" s="1391" t="s">
        <v>5391</v>
      </c>
      <c r="Z36" s="1391" t="s">
        <v>5392</v>
      </c>
      <c r="AA36" s="1391" t="s">
        <v>5393</v>
      </c>
      <c r="AB36" s="1391" t="s">
        <v>5394</v>
      </c>
      <c r="AC36" s="1391" t="s">
        <v>5395</v>
      </c>
      <c r="AD36" s="1391" t="s">
        <v>5396</v>
      </c>
      <c r="AE36" s="1391" t="s">
        <v>5397</v>
      </c>
      <c r="AF36" s="1391" t="s">
        <v>5398</v>
      </c>
      <c r="AG36" s="1289" t="s">
        <v>5399</v>
      </c>
      <c r="AH36" s="1360"/>
      <c r="AI36" s="1342"/>
      <c r="AJ36" s="1342"/>
      <c r="AK36" s="1342"/>
      <c r="AL36" s="1342"/>
      <c r="AM36" s="1342"/>
      <c r="AN36" s="1342"/>
      <c r="AO36" s="1342"/>
      <c r="AP36" s="1342"/>
      <c r="AQ36" s="1342"/>
      <c r="AR36" s="1342"/>
      <c r="AS36" s="1342"/>
      <c r="AT36" s="1342"/>
      <c r="AU36" s="1342"/>
      <c r="AV36" s="1342"/>
      <c r="AW36" s="1342"/>
      <c r="AX36" s="1342"/>
      <c r="AY36" s="1342"/>
      <c r="AZ36" s="1342"/>
      <c r="BA36" s="1342"/>
      <c r="BB36" s="1342"/>
      <c r="BC36" s="1342"/>
      <c r="BD36" s="1342"/>
      <c r="BE36" s="1342"/>
      <c r="BF36" s="1342"/>
      <c r="BG36" s="1342"/>
      <c r="BH36" s="1342"/>
      <c r="BI36" s="1342"/>
      <c r="BJ36" s="1342"/>
      <c r="BK36" s="1342"/>
      <c r="BL36" s="1342"/>
      <c r="BM36" s="1342"/>
      <c r="BS36" s="1342"/>
      <c r="BT36" s="1342"/>
      <c r="BU36" s="1342"/>
      <c r="BV36" s="1342"/>
      <c r="BW36" s="1342"/>
      <c r="CB36" s="1361"/>
      <c r="CC36" s="1361"/>
      <c r="CD36" s="1361"/>
      <c r="CE36" s="1361"/>
      <c r="CF36" s="1361"/>
      <c r="CG36" s="1361"/>
      <c r="CH36" s="1362"/>
      <c r="CI36" s="1362"/>
      <c r="CJ36" s="1341"/>
      <c r="CK36" s="1341"/>
      <c r="CL36" s="1341"/>
      <c r="CM36" s="1341"/>
      <c r="CN36" s="1341"/>
      <c r="CO36" s="1341"/>
      <c r="CP36" s="1341"/>
    </row>
    <row r="37" spans="1:94" ht="19.5" customHeight="1" x14ac:dyDescent="0.3">
      <c r="A37" s="7263">
        <v>31000015</v>
      </c>
      <c r="B37" s="1370" t="s">
        <v>391</v>
      </c>
      <c r="C37" s="109" t="s">
        <v>5369</v>
      </c>
      <c r="D37" s="113" t="s">
        <v>5370</v>
      </c>
      <c r="E37" s="113" t="s">
        <v>5371</v>
      </c>
      <c r="F37" s="138" t="s">
        <v>5372</v>
      </c>
      <c r="G37" s="1285" t="s">
        <v>5373</v>
      </c>
      <c r="H37" s="1297" t="s">
        <v>5374</v>
      </c>
      <c r="I37" s="1297" t="s">
        <v>5375</v>
      </c>
      <c r="J37" s="1297" t="s">
        <v>5376</v>
      </c>
      <c r="K37" s="116" t="s">
        <v>5377</v>
      </c>
      <c r="L37" s="1391" t="s">
        <v>5378</v>
      </c>
      <c r="M37" s="1391" t="s">
        <v>5379</v>
      </c>
      <c r="N37" s="1391" t="s">
        <v>5380</v>
      </c>
      <c r="O37" s="1391" t="s">
        <v>5381</v>
      </c>
      <c r="P37" s="1391" t="s">
        <v>5382</v>
      </c>
      <c r="Q37" s="1391" t="s">
        <v>5383</v>
      </c>
      <c r="R37" s="1391" t="s">
        <v>5384</v>
      </c>
      <c r="S37" s="1391" t="s">
        <v>5385</v>
      </c>
      <c r="T37" s="1391" t="s">
        <v>5386</v>
      </c>
      <c r="U37" s="1315" t="s">
        <v>5387</v>
      </c>
      <c r="V37" s="1391" t="s">
        <v>5388</v>
      </c>
      <c r="W37" s="1391" t="s">
        <v>5389</v>
      </c>
      <c r="X37" s="1391" t="s">
        <v>5390</v>
      </c>
      <c r="Y37" s="1391" t="s">
        <v>5391</v>
      </c>
      <c r="Z37" s="1391" t="s">
        <v>5392</v>
      </c>
      <c r="AA37" s="1391" t="s">
        <v>5393</v>
      </c>
      <c r="AB37" s="1391" t="s">
        <v>5394</v>
      </c>
      <c r="AC37" s="1391" t="s">
        <v>5395</v>
      </c>
      <c r="AD37" s="1391" t="s">
        <v>5396</v>
      </c>
      <c r="AE37" s="1391" t="s">
        <v>5397</v>
      </c>
      <c r="AF37" s="1391" t="s">
        <v>5398</v>
      </c>
      <c r="AG37" s="1289" t="s">
        <v>5399</v>
      </c>
      <c r="AH37" s="1360"/>
      <c r="AI37" s="1342"/>
      <c r="AJ37" s="1342"/>
      <c r="AK37" s="1342"/>
      <c r="AL37" s="1342"/>
      <c r="AM37" s="1342"/>
      <c r="AN37" s="1342"/>
      <c r="AO37" s="1342"/>
      <c r="AP37" s="1342"/>
      <c r="AQ37" s="1342"/>
      <c r="AR37" s="1342"/>
      <c r="AS37" s="1342"/>
      <c r="AT37" s="1342"/>
      <c r="AU37" s="1342"/>
      <c r="AV37" s="1342"/>
      <c r="AW37" s="1342"/>
      <c r="AX37" s="1342"/>
      <c r="AY37" s="1342"/>
      <c r="AZ37" s="1342"/>
      <c r="BA37" s="1342"/>
      <c r="BB37" s="1342"/>
      <c r="BC37" s="1342"/>
      <c r="BD37" s="1342"/>
      <c r="BE37" s="1342"/>
      <c r="BF37" s="1342"/>
      <c r="BG37" s="1342"/>
      <c r="BH37" s="1342"/>
      <c r="BI37" s="1342"/>
      <c r="BJ37" s="1342"/>
      <c r="BK37" s="1342"/>
      <c r="BL37" s="1342"/>
      <c r="BM37" s="1342"/>
      <c r="BS37" s="1342"/>
      <c r="BT37" s="1342"/>
      <c r="BU37" s="1342"/>
      <c r="BV37" s="1342"/>
      <c r="BW37" s="1342"/>
      <c r="CB37" s="1361"/>
      <c r="CC37" s="1361"/>
      <c r="CD37" s="1361"/>
      <c r="CE37" s="1361"/>
      <c r="CF37" s="1361"/>
      <c r="CG37" s="1361"/>
      <c r="CH37" s="1362"/>
      <c r="CI37" s="1362"/>
      <c r="CJ37" s="1341"/>
      <c r="CK37" s="1341"/>
      <c r="CL37" s="1341"/>
      <c r="CM37" s="1341"/>
      <c r="CN37" s="1341"/>
      <c r="CO37" s="1341"/>
      <c r="CP37" s="1341"/>
    </row>
    <row r="38" spans="1:94" ht="19.5" customHeight="1" x14ac:dyDescent="0.3">
      <c r="A38" s="7263">
        <v>31000016</v>
      </c>
      <c r="B38" s="1370" t="s">
        <v>67</v>
      </c>
      <c r="C38" s="109" t="s">
        <v>5369</v>
      </c>
      <c r="D38" s="113" t="s">
        <v>5370</v>
      </c>
      <c r="E38" s="113" t="s">
        <v>5371</v>
      </c>
      <c r="F38" s="138" t="s">
        <v>5372</v>
      </c>
      <c r="G38" s="1285" t="s">
        <v>5373</v>
      </c>
      <c r="H38" s="1297" t="s">
        <v>5374</v>
      </c>
      <c r="I38" s="1297" t="s">
        <v>5375</v>
      </c>
      <c r="J38" s="1297" t="s">
        <v>5376</v>
      </c>
      <c r="K38" s="116" t="s">
        <v>5377</v>
      </c>
      <c r="L38" s="1391" t="s">
        <v>5378</v>
      </c>
      <c r="M38" s="1391" t="s">
        <v>5379</v>
      </c>
      <c r="N38" s="1391" t="s">
        <v>5380</v>
      </c>
      <c r="O38" s="1391" t="s">
        <v>5381</v>
      </c>
      <c r="P38" s="1391" t="s">
        <v>5382</v>
      </c>
      <c r="Q38" s="1391" t="s">
        <v>5383</v>
      </c>
      <c r="R38" s="1391" t="s">
        <v>5384</v>
      </c>
      <c r="S38" s="1391" t="s">
        <v>5385</v>
      </c>
      <c r="T38" s="1391" t="s">
        <v>5386</v>
      </c>
      <c r="U38" s="1315" t="s">
        <v>5387</v>
      </c>
      <c r="V38" s="1391" t="s">
        <v>5388</v>
      </c>
      <c r="W38" s="1391" t="s">
        <v>5389</v>
      </c>
      <c r="X38" s="1391" t="s">
        <v>5390</v>
      </c>
      <c r="Y38" s="1391" t="s">
        <v>5391</v>
      </c>
      <c r="Z38" s="1391" t="s">
        <v>5392</v>
      </c>
      <c r="AA38" s="1391" t="s">
        <v>5393</v>
      </c>
      <c r="AB38" s="1391" t="s">
        <v>5394</v>
      </c>
      <c r="AC38" s="1391" t="s">
        <v>5395</v>
      </c>
      <c r="AD38" s="1391" t="s">
        <v>5396</v>
      </c>
      <c r="AE38" s="1391" t="s">
        <v>5397</v>
      </c>
      <c r="AF38" s="1391" t="s">
        <v>5398</v>
      </c>
      <c r="AG38" s="1289" t="s">
        <v>5399</v>
      </c>
      <c r="AH38" s="1360"/>
      <c r="AI38" s="1342"/>
      <c r="AJ38" s="1342"/>
      <c r="AK38" s="1342"/>
      <c r="AL38" s="1342"/>
      <c r="AM38" s="1342"/>
      <c r="AN38" s="1342"/>
      <c r="AO38" s="1342"/>
      <c r="AP38" s="1342"/>
      <c r="AQ38" s="1342"/>
      <c r="AR38" s="1342"/>
      <c r="AS38" s="1342"/>
      <c r="AT38" s="1342"/>
      <c r="AU38" s="1342"/>
      <c r="AV38" s="1342"/>
      <c r="AW38" s="1342"/>
      <c r="AX38" s="1342"/>
      <c r="AY38" s="1342"/>
      <c r="AZ38" s="1342"/>
      <c r="BA38" s="1342"/>
      <c r="BB38" s="1342"/>
      <c r="BC38" s="1342"/>
      <c r="BD38" s="1342"/>
      <c r="BE38" s="1342"/>
      <c r="BF38" s="1342"/>
      <c r="BG38" s="1342"/>
      <c r="BH38" s="1342"/>
      <c r="BI38" s="1342"/>
      <c r="BJ38" s="1342"/>
      <c r="BK38" s="1342"/>
      <c r="BL38" s="1342"/>
      <c r="BM38" s="1342"/>
      <c r="BS38" s="1342"/>
      <c r="BT38" s="1342"/>
      <c r="BU38" s="1342"/>
      <c r="BV38" s="1342"/>
      <c r="BW38" s="1342"/>
      <c r="CB38" s="1361"/>
      <c r="CC38" s="1361"/>
      <c r="CD38" s="1361"/>
      <c r="CE38" s="1361"/>
      <c r="CF38" s="1361"/>
      <c r="CG38" s="1361"/>
      <c r="CH38" s="1362"/>
      <c r="CI38" s="1362"/>
      <c r="CJ38" s="1341"/>
      <c r="CK38" s="1341"/>
      <c r="CL38" s="1341"/>
      <c r="CM38" s="1341"/>
      <c r="CN38" s="1341"/>
      <c r="CO38" s="1341"/>
      <c r="CP38" s="1341"/>
    </row>
    <row r="39" spans="1:94" ht="19.5" customHeight="1" x14ac:dyDescent="0.3">
      <c r="A39" s="7263">
        <v>31000017</v>
      </c>
      <c r="B39" s="1370" t="s">
        <v>393</v>
      </c>
      <c r="C39" s="109" t="s">
        <v>5369</v>
      </c>
      <c r="D39" s="113" t="s">
        <v>5370</v>
      </c>
      <c r="E39" s="113" t="s">
        <v>5371</v>
      </c>
      <c r="F39" s="138" t="s">
        <v>5372</v>
      </c>
      <c r="G39" s="1285" t="s">
        <v>5373</v>
      </c>
      <c r="H39" s="1297" t="s">
        <v>5374</v>
      </c>
      <c r="I39" s="1297" t="s">
        <v>5375</v>
      </c>
      <c r="J39" s="1297" t="s">
        <v>5376</v>
      </c>
      <c r="K39" s="116" t="s">
        <v>5377</v>
      </c>
      <c r="L39" s="1391" t="s">
        <v>5378</v>
      </c>
      <c r="M39" s="1391" t="s">
        <v>5379</v>
      </c>
      <c r="N39" s="1391" t="s">
        <v>5380</v>
      </c>
      <c r="O39" s="1391" t="s">
        <v>5381</v>
      </c>
      <c r="P39" s="1391" t="s">
        <v>5382</v>
      </c>
      <c r="Q39" s="1391" t="s">
        <v>5383</v>
      </c>
      <c r="R39" s="1391" t="s">
        <v>5384</v>
      </c>
      <c r="S39" s="1391" t="s">
        <v>5385</v>
      </c>
      <c r="T39" s="1391" t="s">
        <v>5386</v>
      </c>
      <c r="U39" s="1315" t="s">
        <v>5387</v>
      </c>
      <c r="V39" s="1391" t="s">
        <v>5388</v>
      </c>
      <c r="W39" s="1391" t="s">
        <v>5389</v>
      </c>
      <c r="X39" s="1391" t="s">
        <v>5390</v>
      </c>
      <c r="Y39" s="1391" t="s">
        <v>5391</v>
      </c>
      <c r="Z39" s="1391" t="s">
        <v>5392</v>
      </c>
      <c r="AA39" s="1391" t="s">
        <v>5393</v>
      </c>
      <c r="AB39" s="1391" t="s">
        <v>5394</v>
      </c>
      <c r="AC39" s="1391" t="s">
        <v>5395</v>
      </c>
      <c r="AD39" s="1391" t="s">
        <v>5396</v>
      </c>
      <c r="AE39" s="1391" t="s">
        <v>5397</v>
      </c>
      <c r="AF39" s="1391" t="s">
        <v>5398</v>
      </c>
      <c r="AG39" s="1289" t="s">
        <v>5399</v>
      </c>
      <c r="AH39" s="1360"/>
      <c r="AI39" s="1342"/>
      <c r="AJ39" s="1342"/>
      <c r="AK39" s="1342"/>
      <c r="AL39" s="1342"/>
      <c r="AM39" s="1342"/>
      <c r="AN39" s="1342"/>
      <c r="AO39" s="1342"/>
      <c r="AP39" s="1342"/>
      <c r="AQ39" s="1342"/>
      <c r="AR39" s="1342"/>
      <c r="AS39" s="1342"/>
      <c r="AT39" s="1342"/>
      <c r="AU39" s="1342"/>
      <c r="AV39" s="1342"/>
      <c r="AW39" s="1342"/>
      <c r="AX39" s="1342"/>
      <c r="AY39" s="1342"/>
      <c r="AZ39" s="1342"/>
      <c r="BA39" s="1342"/>
      <c r="BB39" s="1342"/>
      <c r="BC39" s="1342"/>
      <c r="BD39" s="1342"/>
      <c r="BE39" s="1342"/>
      <c r="BF39" s="1342"/>
      <c r="BG39" s="1342"/>
      <c r="BH39" s="1342"/>
      <c r="BI39" s="1342"/>
      <c r="BJ39" s="1342"/>
      <c r="BK39" s="1342"/>
      <c r="BL39" s="1342"/>
      <c r="BM39" s="1342"/>
      <c r="BS39" s="1342"/>
      <c r="BT39" s="1342"/>
      <c r="BU39" s="1342"/>
      <c r="BV39" s="1342"/>
      <c r="BW39" s="1342"/>
      <c r="CB39" s="1361"/>
      <c r="CC39" s="1361"/>
      <c r="CD39" s="1361"/>
      <c r="CE39" s="1361"/>
      <c r="CF39" s="1361"/>
      <c r="CG39" s="1361"/>
      <c r="CH39" s="1362"/>
      <c r="CI39" s="1362"/>
      <c r="CJ39" s="1341"/>
      <c r="CK39" s="1341"/>
      <c r="CL39" s="1341"/>
      <c r="CM39" s="1341"/>
      <c r="CN39" s="1341"/>
      <c r="CO39" s="1341"/>
      <c r="CP39" s="1341"/>
    </row>
    <row r="40" spans="1:94" ht="19.5" customHeight="1" x14ac:dyDescent="0.3">
      <c r="A40" s="7263">
        <v>31000018</v>
      </c>
      <c r="B40" s="1370" t="s">
        <v>379</v>
      </c>
      <c r="C40" s="109" t="s">
        <v>5369</v>
      </c>
      <c r="D40" s="113" t="s">
        <v>5370</v>
      </c>
      <c r="E40" s="113" t="s">
        <v>5371</v>
      </c>
      <c r="F40" s="138" t="s">
        <v>5372</v>
      </c>
      <c r="G40" s="1285" t="s">
        <v>5373</v>
      </c>
      <c r="H40" s="1297" t="s">
        <v>5374</v>
      </c>
      <c r="I40" s="1297" t="s">
        <v>5375</v>
      </c>
      <c r="J40" s="1297" t="s">
        <v>5376</v>
      </c>
      <c r="K40" s="116" t="s">
        <v>5377</v>
      </c>
      <c r="L40" s="1391" t="s">
        <v>5378</v>
      </c>
      <c r="M40" s="1391" t="s">
        <v>5379</v>
      </c>
      <c r="N40" s="1391" t="s">
        <v>5380</v>
      </c>
      <c r="O40" s="1391" t="s">
        <v>5381</v>
      </c>
      <c r="P40" s="1391" t="s">
        <v>5382</v>
      </c>
      <c r="Q40" s="1391" t="s">
        <v>5383</v>
      </c>
      <c r="R40" s="1391" t="s">
        <v>5384</v>
      </c>
      <c r="S40" s="1391" t="s">
        <v>5385</v>
      </c>
      <c r="T40" s="1391" t="s">
        <v>5386</v>
      </c>
      <c r="U40" s="1315" t="s">
        <v>5387</v>
      </c>
      <c r="V40" s="1391" t="s">
        <v>5388</v>
      </c>
      <c r="W40" s="1391" t="s">
        <v>5389</v>
      </c>
      <c r="X40" s="1391" t="s">
        <v>5390</v>
      </c>
      <c r="Y40" s="1391" t="s">
        <v>5391</v>
      </c>
      <c r="Z40" s="1391" t="s">
        <v>5392</v>
      </c>
      <c r="AA40" s="1391" t="s">
        <v>5393</v>
      </c>
      <c r="AB40" s="1391" t="s">
        <v>5394</v>
      </c>
      <c r="AC40" s="1391" t="s">
        <v>5395</v>
      </c>
      <c r="AD40" s="1391" t="s">
        <v>5396</v>
      </c>
      <c r="AE40" s="1391" t="s">
        <v>5397</v>
      </c>
      <c r="AF40" s="1391" t="s">
        <v>5398</v>
      </c>
      <c r="AG40" s="1289" t="s">
        <v>5399</v>
      </c>
      <c r="AH40" s="1360"/>
      <c r="AI40" s="1342"/>
      <c r="AJ40" s="1342"/>
      <c r="AK40" s="1342"/>
      <c r="AL40" s="1342"/>
      <c r="AM40" s="1342"/>
      <c r="AN40" s="1342"/>
      <c r="AO40" s="1342"/>
      <c r="AP40" s="1342"/>
      <c r="AQ40" s="1342"/>
      <c r="AR40" s="1342"/>
      <c r="AS40" s="1342"/>
      <c r="AT40" s="1342"/>
      <c r="AU40" s="1342"/>
      <c r="AV40" s="1342"/>
      <c r="AW40" s="1342"/>
      <c r="AX40" s="1342"/>
      <c r="AY40" s="1342"/>
      <c r="AZ40" s="1342"/>
      <c r="BA40" s="1342"/>
      <c r="BB40" s="1342"/>
      <c r="BC40" s="1342"/>
      <c r="BD40" s="1342"/>
      <c r="BE40" s="1342"/>
      <c r="BF40" s="1342"/>
      <c r="BG40" s="1342"/>
      <c r="BH40" s="1342"/>
      <c r="BI40" s="1342"/>
      <c r="BJ40" s="1342"/>
      <c r="BK40" s="1342"/>
      <c r="BL40" s="1342"/>
      <c r="BM40" s="1342"/>
      <c r="BS40" s="1342"/>
      <c r="BT40" s="1342"/>
      <c r="BU40" s="1342"/>
      <c r="BV40" s="1342"/>
      <c r="BW40" s="1342"/>
      <c r="CB40" s="1361"/>
      <c r="CC40" s="1361"/>
      <c r="CD40" s="1361"/>
      <c r="CE40" s="1361"/>
      <c r="CF40" s="1361"/>
      <c r="CG40" s="1361"/>
      <c r="CH40" s="1362"/>
      <c r="CI40" s="1362"/>
      <c r="CJ40" s="1341"/>
      <c r="CK40" s="1341"/>
      <c r="CL40" s="1341"/>
      <c r="CM40" s="1341"/>
      <c r="CN40" s="1341"/>
      <c r="CO40" s="1341"/>
      <c r="CP40" s="1341"/>
    </row>
    <row r="41" spans="1:94" ht="19.5" customHeight="1" x14ac:dyDescent="0.3">
      <c r="A41" s="7263">
        <v>31000019</v>
      </c>
      <c r="B41" s="1370" t="s">
        <v>2074</v>
      </c>
      <c r="C41" s="109" t="s">
        <v>5369</v>
      </c>
      <c r="D41" s="113" t="s">
        <v>5370</v>
      </c>
      <c r="E41" s="113" t="s">
        <v>5371</v>
      </c>
      <c r="F41" s="138" t="s">
        <v>5372</v>
      </c>
      <c r="G41" s="1285" t="s">
        <v>5373</v>
      </c>
      <c r="H41" s="1297" t="s">
        <v>5374</v>
      </c>
      <c r="I41" s="1297" t="s">
        <v>5375</v>
      </c>
      <c r="J41" s="1297" t="s">
        <v>5376</v>
      </c>
      <c r="K41" s="116" t="s">
        <v>5377</v>
      </c>
      <c r="L41" s="1391" t="s">
        <v>5378</v>
      </c>
      <c r="M41" s="1391" t="s">
        <v>5379</v>
      </c>
      <c r="N41" s="1391" t="s">
        <v>5380</v>
      </c>
      <c r="O41" s="1391" t="s">
        <v>5381</v>
      </c>
      <c r="P41" s="1391" t="s">
        <v>5382</v>
      </c>
      <c r="Q41" s="1391" t="s">
        <v>5383</v>
      </c>
      <c r="R41" s="1391" t="s">
        <v>5384</v>
      </c>
      <c r="S41" s="1391" t="s">
        <v>5385</v>
      </c>
      <c r="T41" s="1391" t="s">
        <v>5386</v>
      </c>
      <c r="U41" s="1315" t="s">
        <v>5387</v>
      </c>
      <c r="V41" s="1391" t="s">
        <v>5388</v>
      </c>
      <c r="W41" s="1391" t="s">
        <v>5389</v>
      </c>
      <c r="X41" s="1391" t="s">
        <v>5390</v>
      </c>
      <c r="Y41" s="1391" t="s">
        <v>5391</v>
      </c>
      <c r="Z41" s="1391" t="s">
        <v>5392</v>
      </c>
      <c r="AA41" s="1391" t="s">
        <v>5393</v>
      </c>
      <c r="AB41" s="1391" t="s">
        <v>5394</v>
      </c>
      <c r="AC41" s="1391" t="s">
        <v>5395</v>
      </c>
      <c r="AD41" s="1391" t="s">
        <v>5396</v>
      </c>
      <c r="AE41" s="1391" t="s">
        <v>5397</v>
      </c>
      <c r="AF41" s="1391" t="s">
        <v>5398</v>
      </c>
      <c r="AG41" s="1289" t="s">
        <v>5399</v>
      </c>
      <c r="AH41" s="1360"/>
      <c r="AI41" s="1342"/>
      <c r="AJ41" s="1342"/>
      <c r="AK41" s="1342"/>
      <c r="AL41" s="1342"/>
      <c r="AM41" s="1342"/>
      <c r="AN41" s="1342"/>
      <c r="AO41" s="1342"/>
      <c r="AP41" s="1342"/>
      <c r="AQ41" s="1342"/>
      <c r="AR41" s="1342"/>
      <c r="AS41" s="1342"/>
      <c r="AT41" s="1342"/>
      <c r="AU41" s="1342"/>
      <c r="AV41" s="1342"/>
      <c r="AW41" s="1342"/>
      <c r="AX41" s="1342"/>
      <c r="AY41" s="1342"/>
      <c r="AZ41" s="1342"/>
      <c r="BA41" s="1342"/>
      <c r="BB41" s="1342"/>
      <c r="BC41" s="1342"/>
      <c r="BD41" s="1342"/>
      <c r="BE41" s="1342"/>
      <c r="BF41" s="1342"/>
      <c r="BG41" s="1342"/>
      <c r="BH41" s="1342"/>
      <c r="BI41" s="1342"/>
      <c r="BJ41" s="1342"/>
      <c r="BK41" s="1342"/>
      <c r="BL41" s="1342"/>
      <c r="BM41" s="1342"/>
      <c r="BS41" s="1342"/>
      <c r="BT41" s="1342"/>
      <c r="BU41" s="1342"/>
      <c r="BV41" s="1342"/>
      <c r="BW41" s="1342"/>
      <c r="CB41" s="1361"/>
      <c r="CC41" s="1361"/>
      <c r="CD41" s="1361"/>
      <c r="CE41" s="1361"/>
      <c r="CF41" s="1361"/>
      <c r="CG41" s="1361"/>
      <c r="CH41" s="1362"/>
      <c r="CI41" s="1362"/>
      <c r="CJ41" s="1341"/>
      <c r="CK41" s="1341"/>
      <c r="CL41" s="1341"/>
      <c r="CM41" s="1341"/>
      <c r="CN41" s="1341"/>
      <c r="CO41" s="1341"/>
      <c r="CP41" s="1341"/>
    </row>
    <row r="42" spans="1:94" ht="19.5" customHeight="1" x14ac:dyDescent="0.3">
      <c r="A42" s="7263">
        <v>31000020</v>
      </c>
      <c r="B42" s="1370" t="s">
        <v>377</v>
      </c>
      <c r="C42" s="109" t="s">
        <v>5369</v>
      </c>
      <c r="D42" s="113" t="s">
        <v>5370</v>
      </c>
      <c r="E42" s="113" t="s">
        <v>5371</v>
      </c>
      <c r="F42" s="138" t="s">
        <v>5372</v>
      </c>
      <c r="G42" s="1285" t="s">
        <v>5373</v>
      </c>
      <c r="H42" s="1297" t="s">
        <v>5374</v>
      </c>
      <c r="I42" s="1297" t="s">
        <v>5375</v>
      </c>
      <c r="J42" s="1297" t="s">
        <v>5376</v>
      </c>
      <c r="K42" s="116" t="s">
        <v>5377</v>
      </c>
      <c r="L42" s="1391" t="s">
        <v>5378</v>
      </c>
      <c r="M42" s="1391" t="s">
        <v>5379</v>
      </c>
      <c r="N42" s="1391" t="s">
        <v>5380</v>
      </c>
      <c r="O42" s="1391" t="s">
        <v>5381</v>
      </c>
      <c r="P42" s="1391" t="s">
        <v>5382</v>
      </c>
      <c r="Q42" s="1391" t="s">
        <v>5383</v>
      </c>
      <c r="R42" s="1391" t="s">
        <v>5384</v>
      </c>
      <c r="S42" s="1391" t="s">
        <v>5385</v>
      </c>
      <c r="T42" s="1391" t="s">
        <v>5386</v>
      </c>
      <c r="U42" s="1315" t="s">
        <v>5387</v>
      </c>
      <c r="V42" s="1391" t="s">
        <v>5388</v>
      </c>
      <c r="W42" s="1391" t="s">
        <v>5389</v>
      </c>
      <c r="X42" s="1391" t="s">
        <v>5390</v>
      </c>
      <c r="Y42" s="1391" t="s">
        <v>5391</v>
      </c>
      <c r="Z42" s="1391" t="s">
        <v>5392</v>
      </c>
      <c r="AA42" s="1391" t="s">
        <v>5393</v>
      </c>
      <c r="AB42" s="1391" t="s">
        <v>5394</v>
      </c>
      <c r="AC42" s="1391" t="s">
        <v>5395</v>
      </c>
      <c r="AD42" s="1391" t="s">
        <v>5396</v>
      </c>
      <c r="AE42" s="1391" t="s">
        <v>5397</v>
      </c>
      <c r="AF42" s="1391" t="s">
        <v>5398</v>
      </c>
      <c r="AG42" s="1289" t="s">
        <v>5399</v>
      </c>
      <c r="AH42" s="1360"/>
      <c r="AI42" s="1342"/>
      <c r="AJ42" s="1342"/>
      <c r="AK42" s="1342"/>
      <c r="AL42" s="1342"/>
      <c r="AM42" s="1342"/>
      <c r="AN42" s="1342"/>
      <c r="AO42" s="1342"/>
      <c r="AP42" s="1342"/>
      <c r="AQ42" s="1342"/>
      <c r="AR42" s="1342"/>
      <c r="AS42" s="1342"/>
      <c r="AT42" s="1342"/>
      <c r="AU42" s="1342"/>
      <c r="AV42" s="1342"/>
      <c r="AW42" s="1342"/>
      <c r="AX42" s="1342"/>
      <c r="AY42" s="1342"/>
      <c r="AZ42" s="1342"/>
      <c r="BA42" s="1342"/>
      <c r="BB42" s="1342"/>
      <c r="BC42" s="1342"/>
      <c r="BD42" s="1342"/>
      <c r="BE42" s="1342"/>
      <c r="BF42" s="1342"/>
      <c r="BG42" s="1342"/>
      <c r="BH42" s="1342"/>
      <c r="BI42" s="1342"/>
      <c r="BJ42" s="1342"/>
      <c r="BK42" s="1342"/>
      <c r="BL42" s="1342"/>
      <c r="BM42" s="1342"/>
      <c r="BS42" s="1342"/>
      <c r="BT42" s="1342"/>
      <c r="BU42" s="1342"/>
      <c r="BV42" s="1342"/>
      <c r="BW42" s="1342"/>
      <c r="CB42" s="1361"/>
      <c r="CC42" s="1361"/>
      <c r="CD42" s="1361"/>
      <c r="CE42" s="1361"/>
      <c r="CF42" s="1361"/>
      <c r="CG42" s="1361"/>
      <c r="CH42" s="1362"/>
      <c r="CI42" s="1362"/>
      <c r="CJ42" s="1341"/>
      <c r="CK42" s="1341"/>
      <c r="CL42" s="1341"/>
      <c r="CM42" s="1341"/>
      <c r="CN42" s="1341"/>
      <c r="CO42" s="1341"/>
      <c r="CP42" s="1341"/>
    </row>
    <row r="43" spans="1:94" ht="19.5" customHeight="1" x14ac:dyDescent="0.3">
      <c r="A43" s="7263">
        <v>31000021</v>
      </c>
      <c r="B43" s="1370" t="s">
        <v>46</v>
      </c>
      <c r="C43" s="109" t="s">
        <v>5369</v>
      </c>
      <c r="D43" s="113" t="s">
        <v>5370</v>
      </c>
      <c r="E43" s="113" t="s">
        <v>5371</v>
      </c>
      <c r="F43" s="138" t="s">
        <v>5372</v>
      </c>
      <c r="G43" s="1285" t="s">
        <v>5373</v>
      </c>
      <c r="H43" s="1297" t="s">
        <v>5374</v>
      </c>
      <c r="I43" s="1297" t="s">
        <v>5375</v>
      </c>
      <c r="J43" s="1297" t="s">
        <v>5376</v>
      </c>
      <c r="K43" s="116" t="s">
        <v>5377</v>
      </c>
      <c r="L43" s="1391" t="s">
        <v>5378</v>
      </c>
      <c r="M43" s="1391" t="s">
        <v>5379</v>
      </c>
      <c r="N43" s="1391" t="s">
        <v>5380</v>
      </c>
      <c r="O43" s="1391" t="s">
        <v>5381</v>
      </c>
      <c r="P43" s="1391" t="s">
        <v>5382</v>
      </c>
      <c r="Q43" s="1391" t="s">
        <v>5383</v>
      </c>
      <c r="R43" s="1391" t="s">
        <v>5384</v>
      </c>
      <c r="S43" s="1391" t="s">
        <v>5385</v>
      </c>
      <c r="T43" s="1391" t="s">
        <v>5386</v>
      </c>
      <c r="U43" s="1315" t="s">
        <v>5387</v>
      </c>
      <c r="V43" s="1391" t="s">
        <v>5388</v>
      </c>
      <c r="W43" s="1391" t="s">
        <v>5389</v>
      </c>
      <c r="X43" s="1391" t="s">
        <v>5390</v>
      </c>
      <c r="Y43" s="1391" t="s">
        <v>5391</v>
      </c>
      <c r="Z43" s="1391" t="s">
        <v>5392</v>
      </c>
      <c r="AA43" s="1391" t="s">
        <v>5393</v>
      </c>
      <c r="AB43" s="1391" t="s">
        <v>5394</v>
      </c>
      <c r="AC43" s="1391" t="s">
        <v>5395</v>
      </c>
      <c r="AD43" s="1391" t="s">
        <v>5396</v>
      </c>
      <c r="AE43" s="1391" t="s">
        <v>5397</v>
      </c>
      <c r="AF43" s="1391" t="s">
        <v>5398</v>
      </c>
      <c r="AG43" s="1289" t="s">
        <v>5399</v>
      </c>
      <c r="AH43" s="1360"/>
      <c r="AI43" s="1342"/>
      <c r="AJ43" s="1342"/>
      <c r="AK43" s="1342"/>
      <c r="AL43" s="1342"/>
      <c r="AM43" s="1342"/>
      <c r="AN43" s="1342"/>
      <c r="AO43" s="1342"/>
      <c r="AP43" s="1342"/>
      <c r="AQ43" s="1342"/>
      <c r="AR43" s="1342"/>
      <c r="AS43" s="1342"/>
      <c r="AT43" s="1342"/>
      <c r="AU43" s="1342"/>
      <c r="AV43" s="1342"/>
      <c r="AW43" s="1342"/>
      <c r="AX43" s="1342"/>
      <c r="AY43" s="1342"/>
      <c r="AZ43" s="1342"/>
      <c r="BA43" s="1342"/>
      <c r="BB43" s="1342"/>
      <c r="BC43" s="1342"/>
      <c r="BD43" s="1342"/>
      <c r="BE43" s="1342"/>
      <c r="BF43" s="1342"/>
      <c r="BG43" s="1342"/>
      <c r="BH43" s="1342"/>
      <c r="BI43" s="1342"/>
      <c r="BJ43" s="1342"/>
      <c r="BK43" s="1342"/>
      <c r="BL43" s="1342"/>
      <c r="BM43" s="1342"/>
      <c r="BS43" s="1342"/>
      <c r="BT43" s="1342"/>
      <c r="BU43" s="1342"/>
      <c r="BV43" s="1342"/>
      <c r="BW43" s="1342"/>
      <c r="CB43" s="1361"/>
      <c r="CC43" s="1361"/>
      <c r="CD43" s="1361"/>
      <c r="CE43" s="1361"/>
      <c r="CF43" s="1361"/>
      <c r="CG43" s="1361"/>
      <c r="CH43" s="1362"/>
      <c r="CI43" s="1362"/>
      <c r="CJ43" s="1341"/>
      <c r="CK43" s="1341"/>
      <c r="CL43" s="1341"/>
      <c r="CM43" s="1341"/>
      <c r="CN43" s="1341"/>
      <c r="CO43" s="1341"/>
      <c r="CP43" s="1341"/>
    </row>
    <row r="44" spans="1:94" ht="19.5" customHeight="1" x14ac:dyDescent="0.3">
      <c r="A44" s="7263">
        <v>31000022</v>
      </c>
      <c r="B44" s="1370" t="s">
        <v>395</v>
      </c>
      <c r="C44" s="109" t="s">
        <v>5369</v>
      </c>
      <c r="D44" s="113" t="s">
        <v>5370</v>
      </c>
      <c r="E44" s="113" t="s">
        <v>5371</v>
      </c>
      <c r="F44" s="138" t="s">
        <v>5372</v>
      </c>
      <c r="G44" s="1285" t="s">
        <v>5373</v>
      </c>
      <c r="H44" s="1297" t="s">
        <v>5374</v>
      </c>
      <c r="I44" s="1297" t="s">
        <v>5375</v>
      </c>
      <c r="J44" s="1297" t="s">
        <v>5376</v>
      </c>
      <c r="K44" s="116" t="s">
        <v>5377</v>
      </c>
      <c r="L44" s="1391" t="s">
        <v>5378</v>
      </c>
      <c r="M44" s="1391" t="s">
        <v>5379</v>
      </c>
      <c r="N44" s="1391" t="s">
        <v>5380</v>
      </c>
      <c r="O44" s="1391" t="s">
        <v>5381</v>
      </c>
      <c r="P44" s="1391" t="s">
        <v>5382</v>
      </c>
      <c r="Q44" s="1391" t="s">
        <v>5383</v>
      </c>
      <c r="R44" s="1391" t="s">
        <v>5384</v>
      </c>
      <c r="S44" s="1391" t="s">
        <v>5385</v>
      </c>
      <c r="T44" s="1391" t="s">
        <v>5386</v>
      </c>
      <c r="U44" s="1315" t="s">
        <v>5387</v>
      </c>
      <c r="V44" s="1391" t="s">
        <v>5388</v>
      </c>
      <c r="W44" s="1391" t="s">
        <v>5389</v>
      </c>
      <c r="X44" s="1391" t="s">
        <v>5390</v>
      </c>
      <c r="Y44" s="1391" t="s">
        <v>5391</v>
      </c>
      <c r="Z44" s="1391" t="s">
        <v>5392</v>
      </c>
      <c r="AA44" s="1391" t="s">
        <v>5393</v>
      </c>
      <c r="AB44" s="1391" t="s">
        <v>5394</v>
      </c>
      <c r="AC44" s="1391" t="s">
        <v>5395</v>
      </c>
      <c r="AD44" s="1391" t="s">
        <v>5396</v>
      </c>
      <c r="AE44" s="1391" t="s">
        <v>5397</v>
      </c>
      <c r="AF44" s="1391" t="s">
        <v>5398</v>
      </c>
      <c r="AG44" s="1289" t="s">
        <v>5399</v>
      </c>
      <c r="AH44" s="1360"/>
      <c r="AI44" s="1342"/>
      <c r="AJ44" s="1342"/>
      <c r="AK44" s="1342"/>
      <c r="AL44" s="1342"/>
      <c r="AM44" s="1342"/>
      <c r="AN44" s="1342"/>
      <c r="AO44" s="1342"/>
      <c r="AP44" s="1342"/>
      <c r="AQ44" s="1342"/>
      <c r="AR44" s="1342"/>
      <c r="AS44" s="1342"/>
      <c r="AT44" s="1342"/>
      <c r="AU44" s="1342"/>
      <c r="AV44" s="1342"/>
      <c r="AW44" s="1342"/>
      <c r="AX44" s="1342"/>
      <c r="AY44" s="1342"/>
      <c r="AZ44" s="1342"/>
      <c r="BA44" s="1342"/>
      <c r="BB44" s="1342"/>
      <c r="BC44" s="1342"/>
      <c r="BD44" s="1342"/>
      <c r="BE44" s="1342"/>
      <c r="BF44" s="1342"/>
      <c r="BG44" s="1342"/>
      <c r="BH44" s="1342"/>
      <c r="BI44" s="1342"/>
      <c r="BJ44" s="1342"/>
      <c r="BK44" s="1342"/>
      <c r="BL44" s="1342"/>
      <c r="BM44" s="1342"/>
      <c r="BS44" s="1342"/>
      <c r="BT44" s="1342"/>
      <c r="BU44" s="1342"/>
      <c r="BV44" s="1342"/>
      <c r="BW44" s="1342"/>
      <c r="CB44" s="1361"/>
      <c r="CC44" s="1361"/>
      <c r="CD44" s="1361"/>
      <c r="CE44" s="1361"/>
      <c r="CF44" s="1361"/>
      <c r="CG44" s="1361"/>
      <c r="CH44" s="1362"/>
      <c r="CI44" s="1362"/>
      <c r="CJ44" s="1341"/>
      <c r="CK44" s="1341"/>
      <c r="CL44" s="1341"/>
      <c r="CM44" s="1341"/>
      <c r="CN44" s="1341"/>
      <c r="CO44" s="1341"/>
      <c r="CP44" s="1341"/>
    </row>
    <row r="45" spans="1:94" ht="19.5" customHeight="1" x14ac:dyDescent="0.3">
      <c r="A45" s="7263">
        <v>31000023</v>
      </c>
      <c r="B45" s="1370" t="s">
        <v>378</v>
      </c>
      <c r="C45" s="109" t="s">
        <v>5369</v>
      </c>
      <c r="D45" s="113" t="s">
        <v>5370</v>
      </c>
      <c r="E45" s="113" t="s">
        <v>5371</v>
      </c>
      <c r="F45" s="138" t="s">
        <v>5372</v>
      </c>
      <c r="G45" s="1285" t="s">
        <v>5373</v>
      </c>
      <c r="H45" s="1297" t="s">
        <v>5374</v>
      </c>
      <c r="I45" s="1297" t="s">
        <v>5375</v>
      </c>
      <c r="J45" s="1297" t="s">
        <v>5376</v>
      </c>
      <c r="K45" s="116" t="s">
        <v>5377</v>
      </c>
      <c r="L45" s="1391" t="s">
        <v>5378</v>
      </c>
      <c r="M45" s="1391" t="s">
        <v>5379</v>
      </c>
      <c r="N45" s="1391" t="s">
        <v>5380</v>
      </c>
      <c r="O45" s="1391" t="s">
        <v>5381</v>
      </c>
      <c r="P45" s="1391" t="s">
        <v>5382</v>
      </c>
      <c r="Q45" s="1391" t="s">
        <v>5383</v>
      </c>
      <c r="R45" s="1391" t="s">
        <v>5384</v>
      </c>
      <c r="S45" s="1391" t="s">
        <v>5385</v>
      </c>
      <c r="T45" s="1391" t="s">
        <v>5386</v>
      </c>
      <c r="U45" s="1315" t="s">
        <v>5387</v>
      </c>
      <c r="V45" s="1391" t="s">
        <v>5388</v>
      </c>
      <c r="W45" s="1391" t="s">
        <v>5389</v>
      </c>
      <c r="X45" s="1391" t="s">
        <v>5390</v>
      </c>
      <c r="Y45" s="1391" t="s">
        <v>5391</v>
      </c>
      <c r="Z45" s="1391" t="s">
        <v>5392</v>
      </c>
      <c r="AA45" s="1391" t="s">
        <v>5393</v>
      </c>
      <c r="AB45" s="1391" t="s">
        <v>5394</v>
      </c>
      <c r="AC45" s="1391" t="s">
        <v>5395</v>
      </c>
      <c r="AD45" s="1391" t="s">
        <v>5396</v>
      </c>
      <c r="AE45" s="1391" t="s">
        <v>5397</v>
      </c>
      <c r="AF45" s="1391" t="s">
        <v>5398</v>
      </c>
      <c r="AG45" s="1289" t="s">
        <v>5399</v>
      </c>
      <c r="AH45" s="1360"/>
      <c r="AI45" s="1342"/>
      <c r="AJ45" s="1342"/>
      <c r="AK45" s="1342"/>
      <c r="AL45" s="1342"/>
      <c r="AM45" s="1342"/>
      <c r="AN45" s="1342"/>
      <c r="AO45" s="1342"/>
      <c r="AP45" s="1342"/>
      <c r="AQ45" s="1342"/>
      <c r="AR45" s="1342"/>
      <c r="AS45" s="1342"/>
      <c r="AT45" s="1342"/>
      <c r="AU45" s="1342"/>
      <c r="AV45" s="1342"/>
      <c r="AW45" s="1342"/>
      <c r="AX45" s="1342"/>
      <c r="AY45" s="1342"/>
      <c r="AZ45" s="1342"/>
      <c r="BA45" s="1342"/>
      <c r="BB45" s="1342"/>
      <c r="BC45" s="1342"/>
      <c r="BD45" s="1342"/>
      <c r="BE45" s="1342"/>
      <c r="BF45" s="1342"/>
      <c r="BG45" s="1342"/>
      <c r="BH45" s="1342"/>
      <c r="BI45" s="1342"/>
      <c r="BJ45" s="1342"/>
      <c r="BK45" s="1342"/>
      <c r="BL45" s="1342"/>
      <c r="BM45" s="1342"/>
      <c r="BS45" s="1342"/>
      <c r="BT45" s="1342"/>
      <c r="BU45" s="1342"/>
      <c r="BV45" s="1342"/>
      <c r="BW45" s="1342"/>
      <c r="CB45" s="1361"/>
      <c r="CC45" s="1361"/>
      <c r="CD45" s="1361"/>
      <c r="CE45" s="1361"/>
      <c r="CF45" s="1361"/>
      <c r="CG45" s="1361"/>
      <c r="CH45" s="1362"/>
      <c r="CI45" s="1362"/>
      <c r="CJ45" s="1341"/>
      <c r="CK45" s="1341"/>
      <c r="CL45" s="1341"/>
      <c r="CM45" s="1341"/>
      <c r="CN45" s="1341"/>
      <c r="CO45" s="1341"/>
      <c r="CP45" s="1341"/>
    </row>
    <row r="46" spans="1:94" ht="19.5" customHeight="1" x14ac:dyDescent="0.3">
      <c r="A46" s="7263">
        <v>31000024</v>
      </c>
      <c r="B46" s="1392" t="s">
        <v>394</v>
      </c>
      <c r="C46" s="145" t="s">
        <v>5369</v>
      </c>
      <c r="D46" s="113" t="s">
        <v>5370</v>
      </c>
      <c r="E46" s="113" t="s">
        <v>5371</v>
      </c>
      <c r="F46" s="138" t="s">
        <v>5372</v>
      </c>
      <c r="G46" s="1285" t="s">
        <v>5373</v>
      </c>
      <c r="H46" s="1297" t="s">
        <v>5374</v>
      </c>
      <c r="I46" s="1297" t="s">
        <v>5375</v>
      </c>
      <c r="J46" s="1297" t="s">
        <v>5376</v>
      </c>
      <c r="K46" s="116" t="s">
        <v>5377</v>
      </c>
      <c r="L46" s="1391" t="s">
        <v>5378</v>
      </c>
      <c r="M46" s="1391" t="s">
        <v>5379</v>
      </c>
      <c r="N46" s="1391" t="s">
        <v>5380</v>
      </c>
      <c r="O46" s="1391" t="s">
        <v>5381</v>
      </c>
      <c r="P46" s="1391" t="s">
        <v>5382</v>
      </c>
      <c r="Q46" s="1391" t="s">
        <v>5383</v>
      </c>
      <c r="R46" s="1391" t="s">
        <v>5384</v>
      </c>
      <c r="S46" s="1391" t="s">
        <v>5385</v>
      </c>
      <c r="T46" s="1391" t="s">
        <v>5386</v>
      </c>
      <c r="U46" s="1315" t="s">
        <v>5387</v>
      </c>
      <c r="V46" s="1391" t="s">
        <v>5388</v>
      </c>
      <c r="W46" s="1391" t="s">
        <v>5389</v>
      </c>
      <c r="X46" s="1391" t="s">
        <v>5390</v>
      </c>
      <c r="Y46" s="1391" t="s">
        <v>5391</v>
      </c>
      <c r="Z46" s="1391" t="s">
        <v>5392</v>
      </c>
      <c r="AA46" s="1391" t="s">
        <v>5393</v>
      </c>
      <c r="AB46" s="1391" t="s">
        <v>5394</v>
      </c>
      <c r="AC46" s="1391" t="s">
        <v>5395</v>
      </c>
      <c r="AD46" s="1391" t="s">
        <v>5396</v>
      </c>
      <c r="AE46" s="1391" t="s">
        <v>5397</v>
      </c>
      <c r="AF46" s="1391" t="s">
        <v>5398</v>
      </c>
      <c r="AG46" s="1289" t="s">
        <v>5399</v>
      </c>
      <c r="AH46" s="1360"/>
      <c r="AI46" s="1342"/>
      <c r="AJ46" s="1342"/>
      <c r="AK46" s="1342"/>
      <c r="AL46" s="1342"/>
      <c r="AM46" s="1342"/>
      <c r="AN46" s="1342"/>
      <c r="AO46" s="1342"/>
      <c r="AP46" s="1342"/>
      <c r="AQ46" s="1342"/>
      <c r="AR46" s="1342"/>
      <c r="AS46" s="1342"/>
      <c r="AT46" s="1342"/>
      <c r="AU46" s="1342"/>
      <c r="AV46" s="1342"/>
      <c r="AW46" s="1342"/>
      <c r="AX46" s="1342"/>
      <c r="AY46" s="1342"/>
      <c r="AZ46" s="1342"/>
      <c r="BA46" s="1342"/>
      <c r="BB46" s="1342"/>
      <c r="BC46" s="1342"/>
      <c r="BD46" s="1342"/>
      <c r="BE46" s="1342"/>
      <c r="BF46" s="1342"/>
      <c r="BG46" s="1342"/>
      <c r="BH46" s="1342"/>
      <c r="BI46" s="1342"/>
      <c r="BJ46" s="1342"/>
      <c r="BK46" s="1342"/>
      <c r="BL46" s="1342"/>
      <c r="BM46" s="1342"/>
      <c r="BS46" s="1342"/>
      <c r="BT46" s="1342"/>
      <c r="BU46" s="1342"/>
      <c r="BV46" s="1342"/>
      <c r="BW46" s="1342"/>
      <c r="CB46" s="1361"/>
      <c r="CC46" s="1361"/>
      <c r="CD46" s="1361"/>
      <c r="CE46" s="1361"/>
      <c r="CF46" s="1361"/>
      <c r="CG46" s="1361"/>
      <c r="CH46" s="1362"/>
      <c r="CI46" s="1362"/>
      <c r="CJ46" s="1341"/>
      <c r="CK46" s="1341"/>
      <c r="CL46" s="1341"/>
      <c r="CM46" s="1341"/>
      <c r="CN46" s="1341"/>
      <c r="CO46" s="1341"/>
      <c r="CP46" s="1341"/>
    </row>
    <row r="47" spans="1:94" ht="19.5" customHeight="1" x14ac:dyDescent="0.3">
      <c r="A47" s="7263">
        <v>31000025</v>
      </c>
      <c r="B47" s="1393" t="s">
        <v>380</v>
      </c>
      <c r="C47" s="147" t="s">
        <v>5369</v>
      </c>
      <c r="D47" s="102" t="s">
        <v>5370</v>
      </c>
      <c r="E47" s="102" t="s">
        <v>5371</v>
      </c>
      <c r="F47" s="101" t="s">
        <v>5372</v>
      </c>
      <c r="G47" s="1290" t="s">
        <v>5373</v>
      </c>
      <c r="H47" s="1320" t="s">
        <v>5374</v>
      </c>
      <c r="I47" s="1320" t="s">
        <v>5375</v>
      </c>
      <c r="J47" s="1320" t="s">
        <v>5376</v>
      </c>
      <c r="K47" s="175" t="s">
        <v>5377</v>
      </c>
      <c r="L47" s="1320" t="s">
        <v>5378</v>
      </c>
      <c r="M47" s="1320" t="s">
        <v>5379</v>
      </c>
      <c r="N47" s="1320" t="s">
        <v>5380</v>
      </c>
      <c r="O47" s="1320" t="s">
        <v>5381</v>
      </c>
      <c r="P47" s="1320" t="s">
        <v>5382</v>
      </c>
      <c r="Q47" s="1320" t="s">
        <v>5383</v>
      </c>
      <c r="R47" s="1320" t="s">
        <v>5384</v>
      </c>
      <c r="S47" s="1320" t="s">
        <v>5385</v>
      </c>
      <c r="T47" s="1320" t="s">
        <v>5386</v>
      </c>
      <c r="U47" s="102" t="s">
        <v>5387</v>
      </c>
      <c r="V47" s="1320" t="s">
        <v>5388</v>
      </c>
      <c r="W47" s="1320" t="s">
        <v>5389</v>
      </c>
      <c r="X47" s="1320" t="s">
        <v>5390</v>
      </c>
      <c r="Y47" s="1320" t="s">
        <v>5391</v>
      </c>
      <c r="Z47" s="1320" t="s">
        <v>5392</v>
      </c>
      <c r="AA47" s="1320" t="s">
        <v>5393</v>
      </c>
      <c r="AB47" s="1320" t="s">
        <v>5394</v>
      </c>
      <c r="AC47" s="1320" t="s">
        <v>5395</v>
      </c>
      <c r="AD47" s="1320" t="s">
        <v>5396</v>
      </c>
      <c r="AE47" s="1320" t="s">
        <v>5397</v>
      </c>
      <c r="AF47" s="1320" t="s">
        <v>5398</v>
      </c>
      <c r="AG47" s="1283" t="s">
        <v>5399</v>
      </c>
      <c r="AH47" s="1360"/>
      <c r="AI47" s="1342"/>
      <c r="AJ47" s="1342"/>
      <c r="AK47" s="1342"/>
      <c r="AL47" s="1342"/>
      <c r="AM47" s="1342"/>
      <c r="AN47" s="1342"/>
      <c r="AO47" s="1342"/>
      <c r="AP47" s="1342"/>
      <c r="AQ47" s="1342"/>
      <c r="AR47" s="1342"/>
      <c r="AS47" s="1342"/>
      <c r="AT47" s="1342"/>
      <c r="AU47" s="1342"/>
      <c r="AV47" s="1342"/>
      <c r="AW47" s="1342"/>
      <c r="AX47" s="1342"/>
      <c r="AY47" s="1342"/>
      <c r="AZ47" s="1342"/>
      <c r="BA47" s="1342"/>
      <c r="BB47" s="1342"/>
      <c r="BC47" s="1342"/>
      <c r="BD47" s="1342"/>
      <c r="BE47" s="1342"/>
      <c r="BF47" s="1342"/>
      <c r="BG47" s="1342"/>
      <c r="BH47" s="1342"/>
      <c r="BI47" s="1342"/>
      <c r="BJ47" s="1342"/>
      <c r="BK47" s="1342"/>
      <c r="BL47" s="1342"/>
      <c r="BM47" s="1342"/>
      <c r="BS47" s="1342"/>
      <c r="BT47" s="1342"/>
      <c r="BU47" s="1342"/>
      <c r="BV47" s="1342"/>
      <c r="BW47" s="1342"/>
      <c r="CB47" s="1361"/>
      <c r="CC47" s="1361"/>
      <c r="CD47" s="1361"/>
      <c r="CE47" s="1361"/>
      <c r="CF47" s="1361"/>
      <c r="CG47" s="1361"/>
      <c r="CH47" s="1362"/>
      <c r="CI47" s="1362"/>
      <c r="CJ47" s="1341"/>
      <c r="CK47" s="1341"/>
      <c r="CL47" s="1341"/>
      <c r="CM47" s="1341"/>
      <c r="CN47" s="1341"/>
      <c r="CO47" s="1341"/>
      <c r="CP47" s="1341"/>
    </row>
    <row r="48" spans="1:94" ht="18.75" customHeight="1" x14ac:dyDescent="0.3">
      <c r="A48" s="7519"/>
      <c r="B48" s="1394" t="s">
        <v>44</v>
      </c>
      <c r="C48" s="1326">
        <f>SUM(C34:C47)</f>
        <v>0</v>
      </c>
      <c r="D48" s="490">
        <f>SUM(D34:D47)</f>
        <v>0</v>
      </c>
      <c r="E48" s="490">
        <f t="shared" ref="E48:AF48" si="9">SUM(E34:E47)</f>
        <v>0</v>
      </c>
      <c r="F48" s="473">
        <f t="shared" si="9"/>
        <v>0</v>
      </c>
      <c r="G48" s="568">
        <f t="shared" si="9"/>
        <v>0</v>
      </c>
      <c r="H48" s="490">
        <f t="shared" si="9"/>
        <v>0</v>
      </c>
      <c r="I48" s="490">
        <f t="shared" si="9"/>
        <v>0</v>
      </c>
      <c r="J48" s="490">
        <f>SUM(J34:J47)</f>
        <v>0</v>
      </c>
      <c r="K48" s="567">
        <f t="shared" si="9"/>
        <v>0</v>
      </c>
      <c r="L48" s="567">
        <f t="shared" si="9"/>
        <v>0</v>
      </c>
      <c r="M48" s="567">
        <f t="shared" si="9"/>
        <v>0</v>
      </c>
      <c r="N48" s="567">
        <f t="shared" si="9"/>
        <v>0</v>
      </c>
      <c r="O48" s="567">
        <f t="shared" si="9"/>
        <v>0</v>
      </c>
      <c r="P48" s="567">
        <f t="shared" si="9"/>
        <v>0</v>
      </c>
      <c r="Q48" s="567">
        <f t="shared" si="9"/>
        <v>0</v>
      </c>
      <c r="R48" s="567">
        <f t="shared" si="9"/>
        <v>0</v>
      </c>
      <c r="S48" s="567">
        <f t="shared" si="9"/>
        <v>0</v>
      </c>
      <c r="T48" s="567">
        <f t="shared" si="9"/>
        <v>0</v>
      </c>
      <c r="U48" s="567">
        <f t="shared" si="9"/>
        <v>0</v>
      </c>
      <c r="V48" s="567">
        <f t="shared" si="9"/>
        <v>0</v>
      </c>
      <c r="W48" s="567">
        <f t="shared" si="9"/>
        <v>0</v>
      </c>
      <c r="X48" s="567">
        <f t="shared" si="9"/>
        <v>0</v>
      </c>
      <c r="Y48" s="567">
        <f t="shared" si="9"/>
        <v>0</v>
      </c>
      <c r="Z48" s="567">
        <f t="shared" si="9"/>
        <v>0</v>
      </c>
      <c r="AA48" s="567">
        <f t="shared" si="9"/>
        <v>0</v>
      </c>
      <c r="AB48" s="567">
        <f t="shared" si="9"/>
        <v>0</v>
      </c>
      <c r="AC48" s="567">
        <f t="shared" si="9"/>
        <v>0</v>
      </c>
      <c r="AD48" s="567">
        <f t="shared" si="9"/>
        <v>0</v>
      </c>
      <c r="AE48" s="567">
        <f t="shared" si="9"/>
        <v>0</v>
      </c>
      <c r="AF48" s="567">
        <f t="shared" si="9"/>
        <v>0</v>
      </c>
      <c r="AG48" s="1395">
        <f>SUM(AG34:AG47)</f>
        <v>0</v>
      </c>
      <c r="AH48" s="1342"/>
      <c r="AI48" s="1342"/>
      <c r="AJ48" s="1342"/>
      <c r="AK48" s="1342"/>
      <c r="AL48" s="1342"/>
      <c r="AM48" s="1342"/>
      <c r="AN48" s="1342"/>
      <c r="AO48" s="1342"/>
      <c r="AP48" s="1342"/>
      <c r="AQ48" s="1342"/>
      <c r="AR48" s="1342"/>
      <c r="AS48" s="1342"/>
      <c r="AT48" s="1342"/>
      <c r="AU48" s="1342"/>
      <c r="AV48" s="1342"/>
      <c r="AW48" s="1342"/>
      <c r="AX48" s="1342"/>
      <c r="AY48" s="1342"/>
      <c r="AZ48" s="1342"/>
      <c r="BA48" s="1342"/>
      <c r="BB48" s="1342"/>
      <c r="BC48" s="1342"/>
      <c r="BD48" s="1342"/>
      <c r="BE48" s="1342"/>
      <c r="BF48" s="1342"/>
      <c r="BG48" s="1342"/>
      <c r="BH48" s="1342"/>
      <c r="BI48" s="1342"/>
      <c r="BJ48" s="1342"/>
      <c r="BK48" s="1342"/>
      <c r="BL48" s="1342"/>
      <c r="BM48" s="1342"/>
      <c r="BS48" s="1342"/>
      <c r="BT48" s="1342"/>
      <c r="BU48" s="1342"/>
      <c r="BV48" s="1342"/>
      <c r="BW48" s="1342"/>
      <c r="CB48" s="1341"/>
      <c r="CC48" s="1341"/>
      <c r="CD48" s="1341"/>
      <c r="CE48" s="1341"/>
      <c r="CF48" s="1341"/>
      <c r="CG48" s="1341"/>
      <c r="CH48" s="1381"/>
      <c r="CI48" s="1381"/>
      <c r="CJ48" s="1341"/>
      <c r="CK48" s="1341"/>
      <c r="CL48" s="1341"/>
      <c r="CM48" s="1341"/>
      <c r="CN48" s="1341"/>
      <c r="CO48" s="1341"/>
      <c r="CP48" s="1341"/>
    </row>
    <row r="49" spans="1:105" ht="32.1" customHeight="1" x14ac:dyDescent="0.3">
      <c r="B49" s="1345" t="s">
        <v>2075</v>
      </c>
      <c r="C49" s="1342"/>
      <c r="D49" s="1342"/>
      <c r="E49" s="1342"/>
      <c r="F49" s="1342"/>
      <c r="G49" s="1342"/>
      <c r="H49" s="1342"/>
      <c r="I49" s="1342"/>
      <c r="J49" s="1342"/>
      <c r="K49" s="1342"/>
      <c r="L49" s="1342"/>
      <c r="M49" s="1342"/>
      <c r="N49" s="1342"/>
      <c r="O49" s="1342"/>
      <c r="P49" s="1342"/>
      <c r="Q49" s="1342"/>
      <c r="R49" s="1342"/>
      <c r="S49" s="1342"/>
      <c r="T49" s="1342"/>
      <c r="U49" s="1342"/>
      <c r="V49" s="1342"/>
      <c r="W49" s="1342"/>
      <c r="X49" s="1342"/>
      <c r="Y49" s="1342"/>
      <c r="Z49" s="1342"/>
      <c r="AA49" s="1342"/>
      <c r="AB49" s="1342"/>
      <c r="AC49" s="1342"/>
      <c r="AD49" s="1342"/>
      <c r="AE49" s="1342"/>
      <c r="AF49" s="1342"/>
      <c r="AG49" s="1342"/>
      <c r="AH49" s="1342"/>
      <c r="AI49" s="1342"/>
      <c r="AJ49" s="1342"/>
      <c r="AK49" s="1342"/>
      <c r="AL49" s="1342"/>
      <c r="AM49" s="1342"/>
      <c r="AN49" s="1342"/>
      <c r="AO49" s="1342"/>
      <c r="AP49" s="1342"/>
      <c r="AQ49" s="1342"/>
      <c r="AR49" s="1342"/>
      <c r="AS49" s="1342"/>
      <c r="AT49" s="1342"/>
      <c r="AU49" s="1342"/>
      <c r="AV49" s="1342"/>
      <c r="AW49" s="1342"/>
      <c r="AX49" s="1342"/>
      <c r="AY49" s="1342"/>
      <c r="AZ49" s="1342"/>
      <c r="BA49" s="1342"/>
      <c r="BB49" s="1342"/>
      <c r="BC49" s="1342"/>
      <c r="BD49" s="1342"/>
      <c r="BE49" s="1342"/>
      <c r="BF49" s="1342"/>
      <c r="BG49" s="1342"/>
      <c r="BH49" s="1342"/>
      <c r="BI49" s="1342"/>
      <c r="BJ49" s="1342"/>
      <c r="BK49" s="1342"/>
      <c r="BL49" s="1342"/>
      <c r="BM49" s="1342"/>
      <c r="BN49" s="1342"/>
      <c r="BO49" s="1342"/>
      <c r="BP49" s="1342"/>
      <c r="BQ49" s="1342"/>
      <c r="BR49" s="1342"/>
      <c r="BS49" s="1342"/>
      <c r="BT49" s="1342"/>
      <c r="BU49" s="1342"/>
      <c r="BV49" s="1342"/>
      <c r="BW49" s="1342"/>
      <c r="BX49" s="1342"/>
      <c r="BY49" s="1342"/>
      <c r="BZ49" s="1342"/>
      <c r="CA49" s="1342"/>
      <c r="CB49" s="1341"/>
      <c r="CC49" s="1341"/>
      <c r="CD49" s="1341"/>
      <c r="CE49" s="1341"/>
      <c r="CF49" s="1341"/>
      <c r="CG49" s="1341"/>
      <c r="CH49" s="1381"/>
      <c r="CI49" s="1381"/>
      <c r="CJ49" s="1341"/>
      <c r="CK49" s="1341"/>
      <c r="CL49" s="1341"/>
      <c r="CM49" s="1341"/>
      <c r="CN49" s="1341"/>
      <c r="CO49" s="1341"/>
      <c r="CP49" s="1341"/>
    </row>
    <row r="50" spans="1:105" s="1349" customFormat="1" ht="21" customHeight="1" x14ac:dyDescent="0.2">
      <c r="A50" s="7798"/>
      <c r="B50" s="11157" t="s">
        <v>439</v>
      </c>
      <c r="C50" s="11158"/>
      <c r="D50" s="11171" t="s">
        <v>44</v>
      </c>
      <c r="E50" s="11183" t="s">
        <v>370</v>
      </c>
      <c r="F50" s="11192" t="s">
        <v>371</v>
      </c>
      <c r="G50" s="11188" t="s">
        <v>372</v>
      </c>
      <c r="H50" s="11190" t="s">
        <v>385</v>
      </c>
      <c r="I50" s="11164"/>
      <c r="J50" s="11164"/>
      <c r="K50" s="11164"/>
      <c r="L50" s="11164"/>
      <c r="M50" s="11164"/>
      <c r="N50" s="11164"/>
      <c r="O50" s="11164"/>
      <c r="P50" s="11164"/>
      <c r="Q50" s="11164"/>
      <c r="R50" s="11164"/>
      <c r="S50" s="11164"/>
      <c r="T50" s="11164"/>
      <c r="U50" s="11164"/>
      <c r="V50" s="11164"/>
      <c r="W50" s="11164"/>
      <c r="X50" s="11164"/>
      <c r="Y50" s="11164"/>
      <c r="Z50" s="11164"/>
      <c r="AA50" s="11164"/>
      <c r="AB50" s="11164"/>
      <c r="AC50" s="11164"/>
      <c r="AD50" s="11164"/>
      <c r="AE50" s="11164"/>
      <c r="AF50" s="11164"/>
      <c r="AG50" s="11164"/>
      <c r="AH50" s="11191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CB50" s="1347"/>
      <c r="CC50" s="1347"/>
      <c r="CD50" s="1347"/>
      <c r="CE50" s="1347"/>
      <c r="CF50" s="1347"/>
      <c r="CG50" s="1347"/>
      <c r="CH50" s="1356"/>
      <c r="CI50" s="1356"/>
      <c r="CJ50" s="1347"/>
      <c r="CK50" s="1347"/>
      <c r="CL50" s="1347"/>
      <c r="CM50" s="1347"/>
      <c r="CN50" s="1347"/>
      <c r="CO50" s="1347"/>
      <c r="CP50" s="1347"/>
      <c r="CQ50" s="1348"/>
      <c r="CR50" s="1348"/>
      <c r="CS50" s="1348"/>
      <c r="CT50" s="1348"/>
      <c r="CU50" s="1348"/>
      <c r="CV50" s="1348"/>
      <c r="CW50" s="1348"/>
      <c r="CX50" s="1348"/>
      <c r="CY50" s="1348"/>
      <c r="CZ50" s="1348"/>
      <c r="DA50" s="1348"/>
    </row>
    <row r="51" spans="1:105" s="1349" customFormat="1" ht="66.75" customHeight="1" x14ac:dyDescent="0.2">
      <c r="A51" s="7798"/>
      <c r="B51" s="11161"/>
      <c r="C51" s="11162"/>
      <c r="D51" s="11173"/>
      <c r="E51" s="11184"/>
      <c r="F51" s="11193"/>
      <c r="G51" s="11189"/>
      <c r="H51" s="1382" t="s">
        <v>422</v>
      </c>
      <c r="I51" s="1383" t="s">
        <v>431</v>
      </c>
      <c r="J51" s="1383" t="s">
        <v>423</v>
      </c>
      <c r="K51" s="1383" t="s">
        <v>432</v>
      </c>
      <c r="L51" s="1384" t="s">
        <v>390</v>
      </c>
      <c r="M51" s="1383" t="s">
        <v>601</v>
      </c>
      <c r="N51" s="1385" t="s">
        <v>433</v>
      </c>
      <c r="O51" s="1383" t="s">
        <v>440</v>
      </c>
      <c r="P51" s="1383" t="s">
        <v>425</v>
      </c>
      <c r="Q51" s="1383" t="s">
        <v>426</v>
      </c>
      <c r="R51" s="1388" t="s">
        <v>434</v>
      </c>
      <c r="S51" s="1387" t="s">
        <v>427</v>
      </c>
      <c r="T51" s="1383" t="s">
        <v>388</v>
      </c>
      <c r="U51" s="1385" t="s">
        <v>435</v>
      </c>
      <c r="V51" s="1396" t="s">
        <v>436</v>
      </c>
      <c r="W51" s="1354" t="s">
        <v>437</v>
      </c>
      <c r="X51" s="1396" t="s">
        <v>611</v>
      </c>
      <c r="Y51" s="1396" t="s">
        <v>387</v>
      </c>
      <c r="Z51" s="1385" t="s">
        <v>386</v>
      </c>
      <c r="AA51" s="1396" t="s">
        <v>389</v>
      </c>
      <c r="AB51" s="1354" t="s">
        <v>449</v>
      </c>
      <c r="AC51" s="1396" t="s">
        <v>438</v>
      </c>
      <c r="AD51" s="1383" t="s">
        <v>444</v>
      </c>
      <c r="AE51" s="1396" t="s">
        <v>447</v>
      </c>
      <c r="AF51" s="1396" t="s">
        <v>445</v>
      </c>
      <c r="AG51" s="1396" t="s">
        <v>448</v>
      </c>
      <c r="AH51" s="1397" t="s">
        <v>450</v>
      </c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CB51" s="1347"/>
      <c r="CC51" s="1347"/>
      <c r="CD51" s="1347"/>
      <c r="CE51" s="1347"/>
      <c r="CF51" s="1347"/>
      <c r="CG51" s="1347"/>
      <c r="CH51" s="1356"/>
      <c r="CI51" s="1356"/>
      <c r="CJ51" s="1347"/>
      <c r="CK51" s="1347"/>
      <c r="CL51" s="1347"/>
      <c r="CM51" s="1347"/>
      <c r="CN51" s="1347"/>
      <c r="CO51" s="1347"/>
      <c r="CP51" s="1347"/>
      <c r="CQ51" s="1348"/>
      <c r="CR51" s="1348"/>
      <c r="CS51" s="1348"/>
      <c r="CT51" s="1348"/>
      <c r="CU51" s="1348"/>
      <c r="CV51" s="1348"/>
      <c r="CW51" s="1348"/>
      <c r="CX51" s="1348"/>
      <c r="CY51" s="1348"/>
      <c r="CZ51" s="1348"/>
      <c r="DA51" s="1348"/>
    </row>
    <row r="52" spans="1:105" s="1349" customFormat="1" ht="18.75" customHeight="1" x14ac:dyDescent="0.2">
      <c r="A52" s="7263">
        <v>31000035</v>
      </c>
      <c r="B52" s="11194" t="s">
        <v>382</v>
      </c>
      <c r="C52" s="11195"/>
      <c r="D52" s="1398" t="s">
        <v>5369</v>
      </c>
      <c r="E52" s="110" t="s">
        <v>5370</v>
      </c>
      <c r="F52" s="89" t="s">
        <v>5371</v>
      </c>
      <c r="G52" s="144" t="s">
        <v>5372</v>
      </c>
      <c r="H52" s="1399" t="s">
        <v>5373</v>
      </c>
      <c r="I52" s="1400" t="s">
        <v>5374</v>
      </c>
      <c r="J52" s="1400" t="s">
        <v>5375</v>
      </c>
      <c r="K52" s="1400" t="s">
        <v>5376</v>
      </c>
      <c r="L52" s="1401" t="s">
        <v>5377</v>
      </c>
      <c r="M52" s="1402" t="s">
        <v>5378</v>
      </c>
      <c r="N52" s="1402" t="s">
        <v>5379</v>
      </c>
      <c r="O52" s="1402" t="s">
        <v>5380</v>
      </c>
      <c r="P52" s="1403" t="s">
        <v>5381</v>
      </c>
      <c r="Q52" s="1400" t="s">
        <v>5382</v>
      </c>
      <c r="R52" s="1400" t="s">
        <v>5383</v>
      </c>
      <c r="S52" s="1400" t="s">
        <v>5384</v>
      </c>
      <c r="T52" s="1400" t="s">
        <v>5385</v>
      </c>
      <c r="U52" s="1400" t="s">
        <v>5386</v>
      </c>
      <c r="V52" s="1400" t="s">
        <v>5387</v>
      </c>
      <c r="W52" s="1400" t="s">
        <v>5388</v>
      </c>
      <c r="X52" s="1400" t="s">
        <v>5389</v>
      </c>
      <c r="Y52" s="1400" t="s">
        <v>5390</v>
      </c>
      <c r="Z52" s="1400" t="s">
        <v>5391</v>
      </c>
      <c r="AA52" s="1400" t="s">
        <v>5392</v>
      </c>
      <c r="AB52" s="1401" t="s">
        <v>5393</v>
      </c>
      <c r="AC52" s="1401" t="s">
        <v>5394</v>
      </c>
      <c r="AD52" s="1401" t="s">
        <v>5395</v>
      </c>
      <c r="AE52" s="1401" t="s">
        <v>5396</v>
      </c>
      <c r="AF52" s="1402" t="s">
        <v>5397</v>
      </c>
      <c r="AG52" s="1404" t="s">
        <v>5398</v>
      </c>
      <c r="AH52" s="842" t="s">
        <v>5399</v>
      </c>
      <c r="AI52" s="1360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CB52" s="1361"/>
      <c r="CC52" s="1361"/>
      <c r="CD52" s="1361"/>
      <c r="CE52" s="1361"/>
      <c r="CF52" s="1361"/>
      <c r="CG52" s="1361"/>
      <c r="CH52" s="1362"/>
      <c r="CI52" s="1362"/>
      <c r="CJ52" s="1347"/>
      <c r="CK52" s="1347"/>
      <c r="CL52" s="1347"/>
      <c r="CM52" s="1347"/>
      <c r="CN52" s="1347"/>
      <c r="CO52" s="1347"/>
      <c r="CP52" s="1347"/>
      <c r="CQ52" s="1348"/>
      <c r="CR52" s="1348"/>
      <c r="CS52" s="1348"/>
      <c r="CT52" s="1348"/>
      <c r="CU52" s="1348"/>
      <c r="CV52" s="1348"/>
      <c r="CW52" s="1348"/>
      <c r="CX52" s="1348"/>
      <c r="CY52" s="1348"/>
      <c r="CZ52" s="1348"/>
      <c r="DA52" s="1348"/>
    </row>
    <row r="53" spans="1:105" s="1349" customFormat="1" ht="18.75" customHeight="1" x14ac:dyDescent="0.2">
      <c r="A53" s="7263">
        <v>31000036</v>
      </c>
      <c r="B53" s="11181" t="s">
        <v>383</v>
      </c>
      <c r="C53" s="11182"/>
      <c r="D53" s="258" t="s">
        <v>5369</v>
      </c>
      <c r="E53" s="110" t="s">
        <v>5370</v>
      </c>
      <c r="F53" s="111" t="s">
        <v>5371</v>
      </c>
      <c r="G53" s="144" t="s">
        <v>5372</v>
      </c>
      <c r="H53" s="1285" t="s">
        <v>5373</v>
      </c>
      <c r="I53" s="1297" t="s">
        <v>5374</v>
      </c>
      <c r="J53" s="1297" t="s">
        <v>5375</v>
      </c>
      <c r="K53" s="1297" t="s">
        <v>5376</v>
      </c>
      <c r="L53" s="116" t="s">
        <v>5377</v>
      </c>
      <c r="M53" s="1297" t="s">
        <v>5378</v>
      </c>
      <c r="N53" s="1297" t="s">
        <v>5379</v>
      </c>
      <c r="O53" s="1297" t="s">
        <v>5380</v>
      </c>
      <c r="P53" s="113" t="s">
        <v>5381</v>
      </c>
      <c r="Q53" s="1297" t="s">
        <v>5382</v>
      </c>
      <c r="R53" s="1297" t="s">
        <v>5383</v>
      </c>
      <c r="S53" s="1297" t="s">
        <v>5384</v>
      </c>
      <c r="T53" s="1297" t="s">
        <v>5385</v>
      </c>
      <c r="U53" s="1297" t="s">
        <v>5386</v>
      </c>
      <c r="V53" s="1297" t="s">
        <v>5387</v>
      </c>
      <c r="W53" s="1297" t="s">
        <v>5388</v>
      </c>
      <c r="X53" s="1297" t="s">
        <v>5389</v>
      </c>
      <c r="Y53" s="1297" t="s">
        <v>5390</v>
      </c>
      <c r="Z53" s="1297" t="s">
        <v>5391</v>
      </c>
      <c r="AA53" s="1297" t="s">
        <v>5392</v>
      </c>
      <c r="AB53" s="116" t="s">
        <v>5393</v>
      </c>
      <c r="AC53" s="116" t="s">
        <v>5394</v>
      </c>
      <c r="AD53" s="116" t="s">
        <v>5395</v>
      </c>
      <c r="AE53" s="116" t="s">
        <v>5396</v>
      </c>
      <c r="AF53" s="1297" t="s">
        <v>5397</v>
      </c>
      <c r="AG53" s="113" t="s">
        <v>5398</v>
      </c>
      <c r="AH53" s="138" t="s">
        <v>5399</v>
      </c>
      <c r="AI53" s="1360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CB53" s="1361"/>
      <c r="CC53" s="1361"/>
      <c r="CD53" s="1361"/>
      <c r="CE53" s="1361"/>
      <c r="CF53" s="1361"/>
      <c r="CG53" s="1361"/>
      <c r="CH53" s="1362"/>
      <c r="CI53" s="1362"/>
      <c r="CJ53" s="1347"/>
      <c r="CK53" s="1347"/>
      <c r="CL53" s="1347"/>
      <c r="CM53" s="1347"/>
      <c r="CN53" s="1347"/>
      <c r="CO53" s="1347"/>
      <c r="CP53" s="1347"/>
      <c r="CQ53" s="1348"/>
      <c r="CR53" s="1348"/>
      <c r="CS53" s="1348"/>
      <c r="CT53" s="1348"/>
      <c r="CU53" s="1348"/>
      <c r="CV53" s="1348"/>
      <c r="CW53" s="1348"/>
      <c r="CX53" s="1348"/>
      <c r="CY53" s="1348"/>
      <c r="CZ53" s="1348"/>
      <c r="DA53" s="1348"/>
    </row>
    <row r="54" spans="1:105" s="1349" customFormat="1" ht="18.75" customHeight="1" x14ac:dyDescent="0.2">
      <c r="A54" s="7263">
        <v>31000037</v>
      </c>
      <c r="B54" s="11181" t="s">
        <v>384</v>
      </c>
      <c r="C54" s="11182"/>
      <c r="D54" s="258" t="s">
        <v>5369</v>
      </c>
      <c r="E54" s="110" t="s">
        <v>5370</v>
      </c>
      <c r="F54" s="111" t="s">
        <v>5371</v>
      </c>
      <c r="G54" s="144" t="s">
        <v>5372</v>
      </c>
      <c r="H54" s="1288" t="s">
        <v>5373</v>
      </c>
      <c r="I54" s="1391" t="s">
        <v>5374</v>
      </c>
      <c r="J54" s="1391" t="s">
        <v>5375</v>
      </c>
      <c r="K54" s="1391" t="s">
        <v>5376</v>
      </c>
      <c r="L54" s="1405" t="s">
        <v>5377</v>
      </c>
      <c r="M54" s="1391" t="s">
        <v>5378</v>
      </c>
      <c r="N54" s="1391" t="s">
        <v>5379</v>
      </c>
      <c r="O54" s="1391" t="s">
        <v>5380</v>
      </c>
      <c r="P54" s="1315" t="s">
        <v>5381</v>
      </c>
      <c r="Q54" s="1391" t="s">
        <v>5382</v>
      </c>
      <c r="R54" s="1391" t="s">
        <v>5383</v>
      </c>
      <c r="S54" s="1391" t="s">
        <v>5384</v>
      </c>
      <c r="T54" s="1391" t="s">
        <v>5385</v>
      </c>
      <c r="U54" s="1391" t="s">
        <v>5386</v>
      </c>
      <c r="V54" s="1391" t="s">
        <v>5387</v>
      </c>
      <c r="W54" s="1391" t="s">
        <v>5388</v>
      </c>
      <c r="X54" s="1391" t="s">
        <v>5389</v>
      </c>
      <c r="Y54" s="1391" t="s">
        <v>5390</v>
      </c>
      <c r="Z54" s="1391" t="s">
        <v>5391</v>
      </c>
      <c r="AA54" s="1391" t="s">
        <v>5392</v>
      </c>
      <c r="AB54" s="1405" t="s">
        <v>5393</v>
      </c>
      <c r="AC54" s="1405" t="s">
        <v>5394</v>
      </c>
      <c r="AD54" s="1405" t="s">
        <v>5395</v>
      </c>
      <c r="AE54" s="1405" t="s">
        <v>5396</v>
      </c>
      <c r="AF54" s="1391" t="s">
        <v>5397</v>
      </c>
      <c r="AG54" s="1315" t="s">
        <v>5398</v>
      </c>
      <c r="AH54" s="1308" t="s">
        <v>5399</v>
      </c>
      <c r="AI54" s="1360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CB54" s="1361"/>
      <c r="CC54" s="1361"/>
      <c r="CD54" s="1361"/>
      <c r="CE54" s="1361"/>
      <c r="CF54" s="1361"/>
      <c r="CG54" s="1361"/>
      <c r="CH54" s="1362"/>
      <c r="CI54" s="1362"/>
      <c r="CJ54" s="1347"/>
      <c r="CK54" s="1347"/>
      <c r="CL54" s="1347"/>
      <c r="CM54" s="1347"/>
      <c r="CN54" s="1347"/>
      <c r="CO54" s="1347"/>
      <c r="CP54" s="1347"/>
      <c r="CQ54" s="1348"/>
      <c r="CR54" s="1348"/>
      <c r="CS54" s="1348"/>
      <c r="CT54" s="1348"/>
      <c r="CU54" s="1348"/>
      <c r="CV54" s="1348"/>
      <c r="CW54" s="1348"/>
      <c r="CX54" s="1348"/>
      <c r="CY54" s="1348"/>
      <c r="CZ54" s="1348"/>
      <c r="DA54" s="1348"/>
    </row>
    <row r="55" spans="1:105" s="1349" customFormat="1" ht="18.75" customHeight="1" x14ac:dyDescent="0.2">
      <c r="A55" s="7263">
        <v>31000038</v>
      </c>
      <c r="B55" s="11181" t="s">
        <v>381</v>
      </c>
      <c r="C55" s="11182"/>
      <c r="D55" s="258" t="s">
        <v>5369</v>
      </c>
      <c r="E55" s="110" t="s">
        <v>5370</v>
      </c>
      <c r="F55" s="111" t="s">
        <v>5371</v>
      </c>
      <c r="G55" s="144" t="s">
        <v>5372</v>
      </c>
      <c r="H55" s="1288" t="s">
        <v>5373</v>
      </c>
      <c r="I55" s="1391" t="s">
        <v>5374</v>
      </c>
      <c r="J55" s="1391" t="s">
        <v>5375</v>
      </c>
      <c r="K55" s="1391" t="s">
        <v>5376</v>
      </c>
      <c r="L55" s="1405" t="s">
        <v>5377</v>
      </c>
      <c r="M55" s="1391" t="s">
        <v>5378</v>
      </c>
      <c r="N55" s="1391" t="s">
        <v>5379</v>
      </c>
      <c r="O55" s="1391" t="s">
        <v>5380</v>
      </c>
      <c r="P55" s="1315" t="s">
        <v>5381</v>
      </c>
      <c r="Q55" s="1391" t="s">
        <v>5382</v>
      </c>
      <c r="R55" s="1391" t="s">
        <v>5383</v>
      </c>
      <c r="S55" s="1391" t="s">
        <v>5384</v>
      </c>
      <c r="T55" s="1391" t="s">
        <v>5385</v>
      </c>
      <c r="U55" s="1391" t="s">
        <v>5386</v>
      </c>
      <c r="V55" s="1391" t="s">
        <v>5387</v>
      </c>
      <c r="W55" s="1391" t="s">
        <v>5388</v>
      </c>
      <c r="X55" s="1391" t="s">
        <v>5389</v>
      </c>
      <c r="Y55" s="1391" t="s">
        <v>5390</v>
      </c>
      <c r="Z55" s="1391" t="s">
        <v>5391</v>
      </c>
      <c r="AA55" s="1391" t="s">
        <v>5392</v>
      </c>
      <c r="AB55" s="1405" t="s">
        <v>5393</v>
      </c>
      <c r="AC55" s="1405" t="s">
        <v>5394</v>
      </c>
      <c r="AD55" s="1405" t="s">
        <v>5395</v>
      </c>
      <c r="AE55" s="1405" t="s">
        <v>5396</v>
      </c>
      <c r="AF55" s="1391" t="s">
        <v>5397</v>
      </c>
      <c r="AG55" s="1315" t="s">
        <v>5398</v>
      </c>
      <c r="AH55" s="1308" t="s">
        <v>5399</v>
      </c>
      <c r="AI55" s="1360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CB55" s="1361"/>
      <c r="CC55" s="1361"/>
      <c r="CD55" s="1361"/>
      <c r="CE55" s="1361"/>
      <c r="CF55" s="1361"/>
      <c r="CG55" s="1361"/>
      <c r="CH55" s="1362"/>
      <c r="CI55" s="1362"/>
      <c r="CJ55" s="1347"/>
      <c r="CK55" s="1347"/>
      <c r="CL55" s="1347"/>
      <c r="CM55" s="1347"/>
      <c r="CN55" s="1347"/>
      <c r="CO55" s="1347"/>
      <c r="CP55" s="1347"/>
      <c r="CQ55" s="1348"/>
      <c r="CR55" s="1348"/>
      <c r="CS55" s="1348"/>
      <c r="CT55" s="1348"/>
      <c r="CU55" s="1348"/>
      <c r="CV55" s="1348"/>
      <c r="CW55" s="1348"/>
      <c r="CX55" s="1348"/>
      <c r="CY55" s="1348"/>
      <c r="CZ55" s="1348"/>
      <c r="DA55" s="1348"/>
    </row>
    <row r="56" spans="1:105" s="1349" customFormat="1" ht="18.75" customHeight="1" x14ac:dyDescent="0.2">
      <c r="A56" s="7263">
        <v>31000026</v>
      </c>
      <c r="B56" s="1363" t="s">
        <v>2076</v>
      </c>
      <c r="C56" s="1406"/>
      <c r="D56" s="258" t="s">
        <v>5369</v>
      </c>
      <c r="E56" s="110" t="s">
        <v>5370</v>
      </c>
      <c r="F56" s="111" t="s">
        <v>5371</v>
      </c>
      <c r="G56" s="144" t="s">
        <v>5372</v>
      </c>
      <c r="H56" s="1282" t="s">
        <v>5373</v>
      </c>
      <c r="I56" s="78" t="s">
        <v>5374</v>
      </c>
      <c r="J56" s="78" t="s">
        <v>5375</v>
      </c>
      <c r="K56" s="78" t="s">
        <v>5376</v>
      </c>
      <c r="L56" s="166" t="s">
        <v>5377</v>
      </c>
      <c r="M56" s="78" t="s">
        <v>5378</v>
      </c>
      <c r="N56" s="78" t="s">
        <v>5379</v>
      </c>
      <c r="O56" s="78" t="s">
        <v>5380</v>
      </c>
      <c r="P56" s="1183" t="s">
        <v>5381</v>
      </c>
      <c r="Q56" s="78" t="s">
        <v>5382</v>
      </c>
      <c r="R56" s="78" t="s">
        <v>5383</v>
      </c>
      <c r="S56" s="78" t="s">
        <v>5384</v>
      </c>
      <c r="T56" s="78" t="s">
        <v>5385</v>
      </c>
      <c r="U56" s="78" t="s">
        <v>5386</v>
      </c>
      <c r="V56" s="78" t="s">
        <v>5387</v>
      </c>
      <c r="W56" s="78" t="s">
        <v>5388</v>
      </c>
      <c r="X56" s="78" t="s">
        <v>5389</v>
      </c>
      <c r="Y56" s="78" t="s">
        <v>5390</v>
      </c>
      <c r="Z56" s="78" t="s">
        <v>5391</v>
      </c>
      <c r="AA56" s="78" t="s">
        <v>5392</v>
      </c>
      <c r="AB56" s="166" t="s">
        <v>5393</v>
      </c>
      <c r="AC56" s="166" t="s">
        <v>5394</v>
      </c>
      <c r="AD56" s="166" t="s">
        <v>5395</v>
      </c>
      <c r="AE56" s="166" t="s">
        <v>5396</v>
      </c>
      <c r="AF56" s="78" t="s">
        <v>5397</v>
      </c>
      <c r="AG56" s="1183" t="s">
        <v>5398</v>
      </c>
      <c r="AH56" s="130" t="s">
        <v>5399</v>
      </c>
      <c r="AI56" s="1360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CB56" s="1361"/>
      <c r="CC56" s="1361"/>
      <c r="CD56" s="1361"/>
      <c r="CE56" s="1361"/>
      <c r="CF56" s="1361"/>
      <c r="CG56" s="1361"/>
      <c r="CH56" s="1362"/>
      <c r="CI56" s="1362"/>
      <c r="CJ56" s="1347"/>
      <c r="CK56" s="1347"/>
      <c r="CL56" s="1347"/>
      <c r="CM56" s="1347"/>
      <c r="CN56" s="1347"/>
      <c r="CO56" s="1347"/>
      <c r="CP56" s="1347"/>
      <c r="CQ56" s="1348"/>
      <c r="CR56" s="1348"/>
      <c r="CS56" s="1348"/>
      <c r="CT56" s="1348"/>
      <c r="CU56" s="1348"/>
      <c r="CV56" s="1348"/>
      <c r="CW56" s="1348"/>
      <c r="CX56" s="1348"/>
      <c r="CY56" s="1348"/>
      <c r="CZ56" s="1348"/>
      <c r="DA56" s="1348"/>
    </row>
    <row r="57" spans="1:105" s="1349" customFormat="1" ht="18.75" customHeight="1" x14ac:dyDescent="0.2">
      <c r="A57" s="7263">
        <v>31000047</v>
      </c>
      <c r="B57" s="1363" t="s">
        <v>610</v>
      </c>
      <c r="C57" s="1406"/>
      <c r="D57" s="258" t="s">
        <v>5369</v>
      </c>
      <c r="E57" s="110" t="s">
        <v>5370</v>
      </c>
      <c r="F57" s="111" t="s">
        <v>5371</v>
      </c>
      <c r="G57" s="144" t="s">
        <v>5372</v>
      </c>
      <c r="H57" s="1282" t="s">
        <v>5373</v>
      </c>
      <c r="I57" s="78" t="s">
        <v>5374</v>
      </c>
      <c r="J57" s="78" t="s">
        <v>5375</v>
      </c>
      <c r="K57" s="78" t="s">
        <v>5376</v>
      </c>
      <c r="L57" s="166" t="s">
        <v>5377</v>
      </c>
      <c r="M57" s="78" t="s">
        <v>5378</v>
      </c>
      <c r="N57" s="1391" t="s">
        <v>5379</v>
      </c>
      <c r="O57" s="1391" t="s">
        <v>5380</v>
      </c>
      <c r="P57" s="1183" t="s">
        <v>5381</v>
      </c>
      <c r="Q57" s="78" t="s">
        <v>5382</v>
      </c>
      <c r="R57" s="78" t="s">
        <v>5383</v>
      </c>
      <c r="S57" s="78" t="s">
        <v>5384</v>
      </c>
      <c r="T57" s="78" t="s">
        <v>5385</v>
      </c>
      <c r="U57" s="78" t="s">
        <v>5386</v>
      </c>
      <c r="V57" s="78" t="s">
        <v>5387</v>
      </c>
      <c r="W57" s="78" t="s">
        <v>5388</v>
      </c>
      <c r="X57" s="78" t="s">
        <v>5389</v>
      </c>
      <c r="Y57" s="78" t="s">
        <v>5390</v>
      </c>
      <c r="Z57" s="78" t="s">
        <v>5391</v>
      </c>
      <c r="AA57" s="78" t="s">
        <v>5392</v>
      </c>
      <c r="AB57" s="166" t="s">
        <v>5393</v>
      </c>
      <c r="AC57" s="166" t="s">
        <v>5394</v>
      </c>
      <c r="AD57" s="166" t="s">
        <v>5395</v>
      </c>
      <c r="AE57" s="166" t="s">
        <v>5396</v>
      </c>
      <c r="AF57" s="78" t="s">
        <v>5397</v>
      </c>
      <c r="AG57" s="1315" t="s">
        <v>5398</v>
      </c>
      <c r="AH57" s="1308" t="s">
        <v>5399</v>
      </c>
      <c r="AI57" s="1360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CB57" s="1361"/>
      <c r="CC57" s="1361"/>
      <c r="CD57" s="1361"/>
      <c r="CE57" s="1361"/>
      <c r="CF57" s="1361"/>
      <c r="CG57" s="1361"/>
      <c r="CH57" s="1362"/>
      <c r="CI57" s="1362"/>
      <c r="CJ57" s="1347"/>
      <c r="CK57" s="1347"/>
      <c r="CL57" s="1347"/>
      <c r="CM57" s="1347"/>
      <c r="CN57" s="1347"/>
      <c r="CO57" s="1347"/>
      <c r="CP57" s="1347"/>
      <c r="CQ57" s="1348"/>
      <c r="CR57" s="1348"/>
      <c r="CS57" s="1348"/>
      <c r="CT57" s="1348"/>
      <c r="CU57" s="1348"/>
      <c r="CV57" s="1348"/>
      <c r="CW57" s="1348"/>
      <c r="CX57" s="1348"/>
      <c r="CY57" s="1348"/>
      <c r="CZ57" s="1348"/>
      <c r="DA57" s="1348"/>
    </row>
    <row r="58" spans="1:105" s="1349" customFormat="1" ht="18.75" customHeight="1" x14ac:dyDescent="0.2">
      <c r="A58" s="7263">
        <v>31000027</v>
      </c>
      <c r="B58" s="1363" t="s">
        <v>609</v>
      </c>
      <c r="C58" s="1406"/>
      <c r="D58" s="258" t="s">
        <v>5369</v>
      </c>
      <c r="E58" s="110" t="s">
        <v>5370</v>
      </c>
      <c r="F58" s="111" t="s">
        <v>5371</v>
      </c>
      <c r="G58" s="144" t="s">
        <v>5372</v>
      </c>
      <c r="H58" s="1288" t="s">
        <v>5373</v>
      </c>
      <c r="I58" s="1391" t="s">
        <v>5374</v>
      </c>
      <c r="J58" s="1391" t="s">
        <v>5375</v>
      </c>
      <c r="K58" s="1391" t="s">
        <v>5376</v>
      </c>
      <c r="L58" s="1405" t="s">
        <v>5377</v>
      </c>
      <c r="M58" s="1391" t="s">
        <v>5378</v>
      </c>
      <c r="N58" s="1391" t="s">
        <v>5379</v>
      </c>
      <c r="O58" s="1391" t="s">
        <v>5380</v>
      </c>
      <c r="P58" s="1315" t="s">
        <v>5381</v>
      </c>
      <c r="Q58" s="1391" t="s">
        <v>5382</v>
      </c>
      <c r="R58" s="1391" t="s">
        <v>5383</v>
      </c>
      <c r="S58" s="1391" t="s">
        <v>5384</v>
      </c>
      <c r="T58" s="1391" t="s">
        <v>5385</v>
      </c>
      <c r="U58" s="1391" t="s">
        <v>5386</v>
      </c>
      <c r="V58" s="1391" t="s">
        <v>5387</v>
      </c>
      <c r="W58" s="1391" t="s">
        <v>5388</v>
      </c>
      <c r="X58" s="1391" t="s">
        <v>5389</v>
      </c>
      <c r="Y58" s="1391" t="s">
        <v>5390</v>
      </c>
      <c r="Z58" s="1391" t="s">
        <v>5391</v>
      </c>
      <c r="AA58" s="1391" t="s">
        <v>5392</v>
      </c>
      <c r="AB58" s="1405" t="s">
        <v>5393</v>
      </c>
      <c r="AC58" s="1405" t="s">
        <v>5394</v>
      </c>
      <c r="AD58" s="1405" t="s">
        <v>5395</v>
      </c>
      <c r="AE58" s="1405" t="s">
        <v>5396</v>
      </c>
      <c r="AF58" s="1391" t="s">
        <v>5397</v>
      </c>
      <c r="AG58" s="1315" t="s">
        <v>5398</v>
      </c>
      <c r="AH58" s="1308" t="s">
        <v>5399</v>
      </c>
      <c r="AI58" s="1360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CB58" s="1361"/>
      <c r="CC58" s="1361"/>
      <c r="CD58" s="1361"/>
      <c r="CE58" s="1361"/>
      <c r="CF58" s="1361"/>
      <c r="CG58" s="1361"/>
      <c r="CH58" s="1362"/>
      <c r="CI58" s="1362"/>
      <c r="CJ58" s="1347"/>
      <c r="CK58" s="1347"/>
      <c r="CL58" s="1347"/>
      <c r="CM58" s="1347"/>
      <c r="CN58" s="1347"/>
      <c r="CO58" s="1347"/>
      <c r="CP58" s="1347"/>
      <c r="CQ58" s="1348"/>
      <c r="CR58" s="1348"/>
      <c r="CS58" s="1348"/>
      <c r="CT58" s="1348"/>
      <c r="CU58" s="1348"/>
      <c r="CV58" s="1348"/>
      <c r="CW58" s="1348"/>
      <c r="CX58" s="1348"/>
      <c r="CY58" s="1348"/>
      <c r="CZ58" s="1348"/>
      <c r="DA58" s="1348"/>
    </row>
    <row r="59" spans="1:105" s="1349" customFormat="1" ht="18.75" customHeight="1" x14ac:dyDescent="0.2">
      <c r="A59" s="7263">
        <v>31000028</v>
      </c>
      <c r="B59" s="1363" t="s">
        <v>608</v>
      </c>
      <c r="C59" s="1406"/>
      <c r="D59" s="258" t="s">
        <v>5369</v>
      </c>
      <c r="E59" s="110" t="s">
        <v>5370</v>
      </c>
      <c r="F59" s="111" t="s">
        <v>5371</v>
      </c>
      <c r="G59" s="144" t="s">
        <v>5372</v>
      </c>
      <c r="H59" s="1288" t="s">
        <v>5373</v>
      </c>
      <c r="I59" s="1391" t="s">
        <v>5374</v>
      </c>
      <c r="J59" s="1391" t="s">
        <v>5375</v>
      </c>
      <c r="K59" s="1391" t="s">
        <v>5376</v>
      </c>
      <c r="L59" s="1405" t="s">
        <v>5377</v>
      </c>
      <c r="M59" s="1391" t="s">
        <v>5378</v>
      </c>
      <c r="N59" s="1391" t="s">
        <v>5379</v>
      </c>
      <c r="O59" s="1391" t="s">
        <v>5380</v>
      </c>
      <c r="P59" s="1315" t="s">
        <v>5381</v>
      </c>
      <c r="Q59" s="1391" t="s">
        <v>5382</v>
      </c>
      <c r="R59" s="1391" t="s">
        <v>5383</v>
      </c>
      <c r="S59" s="1391" t="s">
        <v>5384</v>
      </c>
      <c r="T59" s="1391" t="s">
        <v>5385</v>
      </c>
      <c r="U59" s="1391" t="s">
        <v>5386</v>
      </c>
      <c r="V59" s="1391" t="s">
        <v>5387</v>
      </c>
      <c r="W59" s="1391" t="s">
        <v>5388</v>
      </c>
      <c r="X59" s="1391" t="s">
        <v>5389</v>
      </c>
      <c r="Y59" s="1391" t="s">
        <v>5390</v>
      </c>
      <c r="Z59" s="1391" t="s">
        <v>5391</v>
      </c>
      <c r="AA59" s="1391" t="s">
        <v>5392</v>
      </c>
      <c r="AB59" s="1405" t="s">
        <v>5393</v>
      </c>
      <c r="AC59" s="1405" t="s">
        <v>5394</v>
      </c>
      <c r="AD59" s="1405" t="s">
        <v>5395</v>
      </c>
      <c r="AE59" s="1405" t="s">
        <v>5396</v>
      </c>
      <c r="AF59" s="1391" t="s">
        <v>5397</v>
      </c>
      <c r="AG59" s="1315" t="s">
        <v>5398</v>
      </c>
      <c r="AH59" s="1308" t="s">
        <v>5399</v>
      </c>
      <c r="AI59" s="1360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CB59" s="1361"/>
      <c r="CC59" s="1361"/>
      <c r="CD59" s="1361"/>
      <c r="CE59" s="1361"/>
      <c r="CF59" s="1361"/>
      <c r="CG59" s="1361"/>
      <c r="CH59" s="1362"/>
      <c r="CI59" s="1362"/>
      <c r="CJ59" s="1347"/>
      <c r="CK59" s="1347"/>
      <c r="CL59" s="1347"/>
      <c r="CM59" s="1347"/>
      <c r="CN59" s="1347"/>
      <c r="CO59" s="1347"/>
      <c r="CP59" s="1347"/>
      <c r="CQ59" s="1348"/>
      <c r="CR59" s="1348"/>
      <c r="CS59" s="1348"/>
      <c r="CT59" s="1348"/>
      <c r="CU59" s="1348"/>
      <c r="CV59" s="1348"/>
      <c r="CW59" s="1348"/>
      <c r="CX59" s="1348"/>
      <c r="CY59" s="1348"/>
      <c r="CZ59" s="1348"/>
      <c r="DA59" s="1348"/>
    </row>
    <row r="60" spans="1:105" s="1349" customFormat="1" ht="22.5" customHeight="1" x14ac:dyDescent="0.2">
      <c r="A60" s="7263">
        <v>31000048</v>
      </c>
      <c r="B60" s="1363" t="s">
        <v>2077</v>
      </c>
      <c r="C60" s="1406"/>
      <c r="D60" s="258" t="s">
        <v>5369</v>
      </c>
      <c r="E60" s="110" t="s">
        <v>5370</v>
      </c>
      <c r="F60" s="111" t="s">
        <v>5371</v>
      </c>
      <c r="G60" s="144" t="s">
        <v>5372</v>
      </c>
      <c r="H60" s="1285" t="s">
        <v>5373</v>
      </c>
      <c r="I60" s="1297" t="s">
        <v>5374</v>
      </c>
      <c r="J60" s="1297" t="s">
        <v>5375</v>
      </c>
      <c r="K60" s="1297" t="s">
        <v>5376</v>
      </c>
      <c r="L60" s="1297" t="s">
        <v>5377</v>
      </c>
      <c r="M60" s="113" t="s">
        <v>5378</v>
      </c>
      <c r="N60" s="113" t="s">
        <v>5379</v>
      </c>
      <c r="O60" s="113" t="s">
        <v>5380</v>
      </c>
      <c r="P60" s="113" t="s">
        <v>5381</v>
      </c>
      <c r="Q60" s="1297" t="s">
        <v>5382</v>
      </c>
      <c r="R60" s="113" t="s">
        <v>5383</v>
      </c>
      <c r="S60" s="1297" t="s">
        <v>5384</v>
      </c>
      <c r="T60" s="113" t="s">
        <v>5385</v>
      </c>
      <c r="U60" s="1297" t="s">
        <v>5386</v>
      </c>
      <c r="V60" s="113" t="s">
        <v>5387</v>
      </c>
      <c r="W60" s="1297" t="s">
        <v>5388</v>
      </c>
      <c r="X60" s="113" t="s">
        <v>5389</v>
      </c>
      <c r="Y60" s="1297" t="s">
        <v>5390</v>
      </c>
      <c r="Z60" s="113" t="s">
        <v>5391</v>
      </c>
      <c r="AA60" s="1297" t="s">
        <v>5392</v>
      </c>
      <c r="AB60" s="113" t="s">
        <v>5393</v>
      </c>
      <c r="AC60" s="1297" t="s">
        <v>5394</v>
      </c>
      <c r="AD60" s="113" t="s">
        <v>5395</v>
      </c>
      <c r="AE60" s="1297" t="s">
        <v>5396</v>
      </c>
      <c r="AF60" s="1297" t="s">
        <v>5397</v>
      </c>
      <c r="AG60" s="113" t="s">
        <v>5398</v>
      </c>
      <c r="AH60" s="138" t="s">
        <v>5399</v>
      </c>
      <c r="AI60" s="1360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CB60" s="1361"/>
      <c r="CC60" s="1361"/>
      <c r="CD60" s="1361"/>
      <c r="CE60" s="1361"/>
      <c r="CF60" s="1361"/>
      <c r="CG60" s="1361"/>
      <c r="CH60" s="1362"/>
      <c r="CI60" s="1362"/>
      <c r="CJ60" s="1347"/>
      <c r="CK60" s="1347"/>
      <c r="CL60" s="1347"/>
      <c r="CM60" s="1347"/>
      <c r="CN60" s="1347"/>
      <c r="CO60" s="1347"/>
      <c r="CP60" s="1347"/>
      <c r="CQ60" s="1348"/>
      <c r="CR60" s="1348"/>
      <c r="CS60" s="1348"/>
      <c r="CT60" s="1348"/>
      <c r="CU60" s="1348"/>
      <c r="CV60" s="1348"/>
      <c r="CW60" s="1348"/>
      <c r="CX60" s="1348"/>
      <c r="CY60" s="1348"/>
      <c r="CZ60" s="1348"/>
      <c r="DA60" s="1348"/>
    </row>
    <row r="61" spans="1:105" s="1349" customFormat="1" ht="18.75" customHeight="1" x14ac:dyDescent="0.2">
      <c r="A61" s="7263">
        <v>31000049</v>
      </c>
      <c r="B61" s="11181" t="s">
        <v>454</v>
      </c>
      <c r="C61" s="11182"/>
      <c r="D61" s="1372" t="s">
        <v>5369</v>
      </c>
      <c r="E61" s="129" t="s">
        <v>5370</v>
      </c>
      <c r="F61" s="78" t="s">
        <v>5371</v>
      </c>
      <c r="G61" s="143" t="s">
        <v>5372</v>
      </c>
      <c r="H61" s="1285" t="s">
        <v>5373</v>
      </c>
      <c r="I61" s="1297" t="s">
        <v>5374</v>
      </c>
      <c r="J61" s="1297" t="s">
        <v>5375</v>
      </c>
      <c r="K61" s="1297" t="s">
        <v>5376</v>
      </c>
      <c r="L61" s="1391" t="s">
        <v>5377</v>
      </c>
      <c r="M61" s="1315" t="s">
        <v>5378</v>
      </c>
      <c r="N61" s="113" t="s">
        <v>5379</v>
      </c>
      <c r="O61" s="1315" t="s">
        <v>5380</v>
      </c>
      <c r="P61" s="113" t="s">
        <v>5381</v>
      </c>
      <c r="Q61" s="1391" t="s">
        <v>5382</v>
      </c>
      <c r="R61" s="113" t="s">
        <v>5383</v>
      </c>
      <c r="S61" s="1391" t="s">
        <v>5384</v>
      </c>
      <c r="T61" s="113" t="s">
        <v>5385</v>
      </c>
      <c r="U61" s="1391" t="s">
        <v>5386</v>
      </c>
      <c r="V61" s="113" t="s">
        <v>5387</v>
      </c>
      <c r="W61" s="1297" t="s">
        <v>5388</v>
      </c>
      <c r="X61" s="113" t="s">
        <v>5389</v>
      </c>
      <c r="Y61" s="1391" t="s">
        <v>5390</v>
      </c>
      <c r="Z61" s="113" t="s">
        <v>5391</v>
      </c>
      <c r="AA61" s="1391" t="s">
        <v>5392</v>
      </c>
      <c r="AB61" s="113" t="s">
        <v>5393</v>
      </c>
      <c r="AC61" s="1297" t="s">
        <v>5394</v>
      </c>
      <c r="AD61" s="113" t="s">
        <v>5395</v>
      </c>
      <c r="AE61" s="1391" t="s">
        <v>5396</v>
      </c>
      <c r="AF61" s="1391" t="s">
        <v>5397</v>
      </c>
      <c r="AG61" s="1315" t="s">
        <v>5398</v>
      </c>
      <c r="AH61" s="1308" t="s">
        <v>5399</v>
      </c>
      <c r="AI61" s="1360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CB61" s="1361"/>
      <c r="CC61" s="1361"/>
      <c r="CD61" s="1361"/>
      <c r="CE61" s="1361"/>
      <c r="CF61" s="1361"/>
      <c r="CG61" s="1361"/>
      <c r="CH61" s="1362"/>
      <c r="CI61" s="1362"/>
      <c r="CJ61" s="1347"/>
      <c r="CK61" s="1347"/>
      <c r="CL61" s="1347"/>
      <c r="CM61" s="1347"/>
      <c r="CN61" s="1347"/>
      <c r="CO61" s="1347"/>
      <c r="CP61" s="1347"/>
      <c r="CQ61" s="1348"/>
      <c r="CR61" s="1348"/>
      <c r="CS61" s="1348"/>
      <c r="CT61" s="1348"/>
      <c r="CU61" s="1348"/>
      <c r="CV61" s="1348"/>
      <c r="CW61" s="1348"/>
      <c r="CX61" s="1348"/>
      <c r="CY61" s="1348"/>
      <c r="CZ61" s="1348"/>
      <c r="DA61" s="1348"/>
    </row>
    <row r="62" spans="1:105" s="1349" customFormat="1" ht="18.75" customHeight="1" x14ac:dyDescent="0.2">
      <c r="A62" s="7263">
        <v>31000029</v>
      </c>
      <c r="B62" s="1363" t="s">
        <v>2078</v>
      </c>
      <c r="C62" s="1406"/>
      <c r="D62" s="258" t="s">
        <v>5369</v>
      </c>
      <c r="E62" s="137" t="s">
        <v>5370</v>
      </c>
      <c r="F62" s="115" t="s">
        <v>5371</v>
      </c>
      <c r="G62" s="164" t="s">
        <v>5372</v>
      </c>
      <c r="H62" s="1288" t="s">
        <v>5373</v>
      </c>
      <c r="I62" s="1391" t="s">
        <v>5374</v>
      </c>
      <c r="J62" s="1391" t="s">
        <v>5375</v>
      </c>
      <c r="K62" s="1391" t="s">
        <v>5376</v>
      </c>
      <c r="L62" s="1405" t="s">
        <v>5377</v>
      </c>
      <c r="M62" s="1391" t="s">
        <v>5378</v>
      </c>
      <c r="N62" s="1391" t="s">
        <v>5379</v>
      </c>
      <c r="O62" s="1391" t="s">
        <v>5380</v>
      </c>
      <c r="P62" s="1315" t="s">
        <v>5381</v>
      </c>
      <c r="Q62" s="1391" t="s">
        <v>5382</v>
      </c>
      <c r="R62" s="1391" t="s">
        <v>5383</v>
      </c>
      <c r="S62" s="1391" t="s">
        <v>5384</v>
      </c>
      <c r="T62" s="1391" t="s">
        <v>5385</v>
      </c>
      <c r="U62" s="1391" t="s">
        <v>5386</v>
      </c>
      <c r="V62" s="1391" t="s">
        <v>5387</v>
      </c>
      <c r="W62" s="1391" t="s">
        <v>5388</v>
      </c>
      <c r="X62" s="1315" t="s">
        <v>5389</v>
      </c>
      <c r="Y62" s="1391" t="s">
        <v>5390</v>
      </c>
      <c r="Z62" s="1391" t="s">
        <v>5391</v>
      </c>
      <c r="AA62" s="1391" t="s">
        <v>5392</v>
      </c>
      <c r="AB62" s="1405" t="s">
        <v>5393</v>
      </c>
      <c r="AC62" s="1391" t="s">
        <v>5394</v>
      </c>
      <c r="AD62" s="1292" t="s">
        <v>5395</v>
      </c>
      <c r="AE62" s="1405" t="s">
        <v>5396</v>
      </c>
      <c r="AF62" s="1391" t="s">
        <v>5397</v>
      </c>
      <c r="AG62" s="1315" t="s">
        <v>5398</v>
      </c>
      <c r="AH62" s="1308" t="s">
        <v>5399</v>
      </c>
      <c r="AI62" s="1360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CB62" s="1361"/>
      <c r="CC62" s="1361"/>
      <c r="CD62" s="1361"/>
      <c r="CE62" s="1361"/>
      <c r="CF62" s="1361"/>
      <c r="CG62" s="1361"/>
      <c r="CH62" s="1362"/>
      <c r="CI62" s="1362"/>
      <c r="CJ62" s="1347"/>
      <c r="CK62" s="1347"/>
      <c r="CL62" s="1347"/>
      <c r="CM62" s="1347"/>
      <c r="CN62" s="1347"/>
      <c r="CO62" s="1347"/>
      <c r="CP62" s="1347"/>
      <c r="CQ62" s="1348"/>
      <c r="CR62" s="1348"/>
      <c r="CS62" s="1348"/>
      <c r="CT62" s="1348"/>
      <c r="CU62" s="1348"/>
      <c r="CV62" s="1348"/>
      <c r="CW62" s="1348"/>
      <c r="CX62" s="1348"/>
      <c r="CY62" s="1348"/>
      <c r="CZ62" s="1348"/>
      <c r="DA62" s="1348"/>
    </row>
    <row r="63" spans="1:105" s="1349" customFormat="1" ht="20.25" customHeight="1" x14ac:dyDescent="0.2">
      <c r="A63" s="7263">
        <v>31000050</v>
      </c>
      <c r="B63" s="1363" t="s">
        <v>2079</v>
      </c>
      <c r="C63" s="1406"/>
      <c r="D63" s="258" t="s">
        <v>5369</v>
      </c>
      <c r="E63" s="110" t="s">
        <v>5370</v>
      </c>
      <c r="F63" s="111" t="s">
        <v>5371</v>
      </c>
      <c r="G63" s="144" t="s">
        <v>5372</v>
      </c>
      <c r="H63" s="1288" t="s">
        <v>5373</v>
      </c>
      <c r="I63" s="1391" t="s">
        <v>5374</v>
      </c>
      <c r="J63" s="1391" t="s">
        <v>5375</v>
      </c>
      <c r="K63" s="1391" t="s">
        <v>5376</v>
      </c>
      <c r="L63" s="1405" t="s">
        <v>5377</v>
      </c>
      <c r="M63" s="1391" t="s">
        <v>5378</v>
      </c>
      <c r="N63" s="1391" t="s">
        <v>5379</v>
      </c>
      <c r="O63" s="1391" t="s">
        <v>5380</v>
      </c>
      <c r="P63" s="1315" t="s">
        <v>5381</v>
      </c>
      <c r="Q63" s="1391" t="s">
        <v>5382</v>
      </c>
      <c r="R63" s="1391" t="s">
        <v>5383</v>
      </c>
      <c r="S63" s="1391" t="s">
        <v>5384</v>
      </c>
      <c r="T63" s="1391" t="s">
        <v>5385</v>
      </c>
      <c r="U63" s="1391" t="s">
        <v>5386</v>
      </c>
      <c r="V63" s="1391" t="s">
        <v>5387</v>
      </c>
      <c r="W63" s="1391" t="s">
        <v>5388</v>
      </c>
      <c r="X63" s="1391" t="s">
        <v>5389</v>
      </c>
      <c r="Y63" s="1391" t="s">
        <v>5390</v>
      </c>
      <c r="Z63" s="1391" t="s">
        <v>5391</v>
      </c>
      <c r="AA63" s="1391" t="s">
        <v>5392</v>
      </c>
      <c r="AB63" s="1405" t="s">
        <v>5393</v>
      </c>
      <c r="AC63" s="1405" t="s">
        <v>5394</v>
      </c>
      <c r="AD63" s="1405" t="s">
        <v>5395</v>
      </c>
      <c r="AE63" s="1405" t="s">
        <v>5396</v>
      </c>
      <c r="AF63" s="1391" t="s">
        <v>5397</v>
      </c>
      <c r="AG63" s="1315" t="s">
        <v>5398</v>
      </c>
      <c r="AH63" s="1308" t="s">
        <v>5399</v>
      </c>
      <c r="AI63" s="1360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CB63" s="1361"/>
      <c r="CC63" s="1361"/>
      <c r="CD63" s="1361"/>
      <c r="CE63" s="1361"/>
      <c r="CF63" s="1361"/>
      <c r="CG63" s="1361"/>
      <c r="CH63" s="1362"/>
      <c r="CI63" s="1362"/>
      <c r="CJ63" s="1347"/>
      <c r="CK63" s="1347"/>
      <c r="CL63" s="1347"/>
      <c r="CM63" s="1347"/>
      <c r="CN63" s="1347"/>
      <c r="CO63" s="1347"/>
      <c r="CP63" s="1347"/>
      <c r="CQ63" s="1348"/>
      <c r="CR63" s="1348"/>
      <c r="CS63" s="1348"/>
      <c r="CT63" s="1348"/>
      <c r="CU63" s="1348"/>
      <c r="CV63" s="1348"/>
      <c r="CW63" s="1348"/>
      <c r="CX63" s="1348"/>
      <c r="CY63" s="1348"/>
      <c r="CZ63" s="1348"/>
      <c r="DA63" s="1348"/>
    </row>
    <row r="64" spans="1:105" s="1349" customFormat="1" ht="22.5" customHeight="1" x14ac:dyDescent="0.2">
      <c r="A64" s="7263">
        <v>31000031</v>
      </c>
      <c r="B64" s="1363" t="s">
        <v>2080</v>
      </c>
      <c r="C64" s="1406"/>
      <c r="D64" s="258" t="s">
        <v>5369</v>
      </c>
      <c r="E64" s="110" t="s">
        <v>5370</v>
      </c>
      <c r="F64" s="111" t="s">
        <v>5371</v>
      </c>
      <c r="G64" s="144" t="s">
        <v>5372</v>
      </c>
      <c r="H64" s="1288" t="s">
        <v>5373</v>
      </c>
      <c r="I64" s="1391" t="s">
        <v>5374</v>
      </c>
      <c r="J64" s="1391" t="s">
        <v>5375</v>
      </c>
      <c r="K64" s="1391" t="s">
        <v>5376</v>
      </c>
      <c r="L64" s="1405" t="s">
        <v>5377</v>
      </c>
      <c r="M64" s="1391" t="s">
        <v>5378</v>
      </c>
      <c r="N64" s="1391" t="s">
        <v>5379</v>
      </c>
      <c r="O64" s="1391" t="s">
        <v>5380</v>
      </c>
      <c r="P64" s="1315" t="s">
        <v>5381</v>
      </c>
      <c r="Q64" s="1391" t="s">
        <v>5382</v>
      </c>
      <c r="R64" s="1391" t="s">
        <v>5383</v>
      </c>
      <c r="S64" s="1391" t="s">
        <v>5384</v>
      </c>
      <c r="T64" s="1391" t="s">
        <v>5385</v>
      </c>
      <c r="U64" s="1391" t="s">
        <v>5386</v>
      </c>
      <c r="V64" s="1391" t="s">
        <v>5387</v>
      </c>
      <c r="W64" s="1391" t="s">
        <v>5388</v>
      </c>
      <c r="X64" s="1391" t="s">
        <v>5389</v>
      </c>
      <c r="Y64" s="1391" t="s">
        <v>5390</v>
      </c>
      <c r="Z64" s="1391" t="s">
        <v>5391</v>
      </c>
      <c r="AA64" s="1391" t="s">
        <v>5392</v>
      </c>
      <c r="AB64" s="1405" t="s">
        <v>5393</v>
      </c>
      <c r="AC64" s="1405" t="s">
        <v>5394</v>
      </c>
      <c r="AD64" s="1405" t="s">
        <v>5395</v>
      </c>
      <c r="AE64" s="1405" t="s">
        <v>5396</v>
      </c>
      <c r="AF64" s="1391" t="s">
        <v>5397</v>
      </c>
      <c r="AG64" s="1315" t="s">
        <v>5398</v>
      </c>
      <c r="AH64" s="1308" t="s">
        <v>5399</v>
      </c>
      <c r="AI64" s="1360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CB64" s="1361"/>
      <c r="CC64" s="1361"/>
      <c r="CD64" s="1361"/>
      <c r="CE64" s="1361"/>
      <c r="CF64" s="1361"/>
      <c r="CG64" s="1361"/>
      <c r="CH64" s="1362"/>
      <c r="CI64" s="1362"/>
      <c r="CJ64" s="1347"/>
      <c r="CK64" s="1347"/>
      <c r="CL64" s="1347"/>
      <c r="CM64" s="1347"/>
      <c r="CN64" s="1347"/>
      <c r="CO64" s="1347"/>
      <c r="CP64" s="1347"/>
      <c r="CQ64" s="1348"/>
      <c r="CR64" s="1348"/>
      <c r="CS64" s="1348"/>
      <c r="CT64" s="1348"/>
      <c r="CU64" s="1348"/>
      <c r="CV64" s="1348"/>
      <c r="CW64" s="1348"/>
      <c r="CX64" s="1348"/>
      <c r="CY64" s="1348"/>
      <c r="CZ64" s="1348"/>
      <c r="DA64" s="1348"/>
    </row>
    <row r="65" spans="1:105" s="1349" customFormat="1" ht="18.75" customHeight="1" x14ac:dyDescent="0.2">
      <c r="A65" s="7263">
        <v>31000032</v>
      </c>
      <c r="B65" s="1363" t="s">
        <v>2081</v>
      </c>
      <c r="C65" s="1406"/>
      <c r="D65" s="258" t="s">
        <v>5369</v>
      </c>
      <c r="E65" s="110" t="s">
        <v>5370</v>
      </c>
      <c r="F65" s="111" t="s">
        <v>5371</v>
      </c>
      <c r="G65" s="144" t="s">
        <v>5372</v>
      </c>
      <c r="H65" s="1288" t="s">
        <v>5373</v>
      </c>
      <c r="I65" s="1391" t="s">
        <v>5374</v>
      </c>
      <c r="J65" s="1391" t="s">
        <v>5375</v>
      </c>
      <c r="K65" s="1391" t="s">
        <v>5376</v>
      </c>
      <c r="L65" s="1405" t="s">
        <v>5377</v>
      </c>
      <c r="M65" s="1391" t="s">
        <v>5378</v>
      </c>
      <c r="N65" s="1391" t="s">
        <v>5379</v>
      </c>
      <c r="O65" s="1391" t="s">
        <v>5380</v>
      </c>
      <c r="P65" s="1315" t="s">
        <v>5381</v>
      </c>
      <c r="Q65" s="1391" t="s">
        <v>5382</v>
      </c>
      <c r="R65" s="1391" t="s">
        <v>5383</v>
      </c>
      <c r="S65" s="1391" t="s">
        <v>5384</v>
      </c>
      <c r="T65" s="1391" t="s">
        <v>5385</v>
      </c>
      <c r="U65" s="1391" t="s">
        <v>5386</v>
      </c>
      <c r="V65" s="1391" t="s">
        <v>5387</v>
      </c>
      <c r="W65" s="1391" t="s">
        <v>5388</v>
      </c>
      <c r="X65" s="1391" t="s">
        <v>5389</v>
      </c>
      <c r="Y65" s="1391" t="s">
        <v>5390</v>
      </c>
      <c r="Z65" s="1391" t="s">
        <v>5391</v>
      </c>
      <c r="AA65" s="1391" t="s">
        <v>5392</v>
      </c>
      <c r="AB65" s="1405" t="s">
        <v>5393</v>
      </c>
      <c r="AC65" s="1405" t="s">
        <v>5394</v>
      </c>
      <c r="AD65" s="1405" t="s">
        <v>5395</v>
      </c>
      <c r="AE65" s="1405" t="s">
        <v>5396</v>
      </c>
      <c r="AF65" s="1391" t="s">
        <v>5397</v>
      </c>
      <c r="AG65" s="1315" t="s">
        <v>5398</v>
      </c>
      <c r="AH65" s="1308" t="s">
        <v>5399</v>
      </c>
      <c r="AI65" s="1360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CB65" s="1361"/>
      <c r="CC65" s="1361"/>
      <c r="CD65" s="1361"/>
      <c r="CE65" s="1361"/>
      <c r="CF65" s="1361"/>
      <c r="CG65" s="1361"/>
      <c r="CH65" s="1362"/>
      <c r="CI65" s="1362"/>
      <c r="CJ65" s="1347"/>
      <c r="CK65" s="1347"/>
      <c r="CL65" s="1347"/>
      <c r="CM65" s="1347"/>
      <c r="CN65" s="1347"/>
      <c r="CO65" s="1347"/>
      <c r="CP65" s="1347"/>
      <c r="CQ65" s="1348"/>
      <c r="CR65" s="1348"/>
      <c r="CS65" s="1348"/>
      <c r="CT65" s="1348"/>
      <c r="CU65" s="1348"/>
      <c r="CV65" s="1348"/>
      <c r="CW65" s="1348"/>
      <c r="CX65" s="1348"/>
      <c r="CY65" s="1348"/>
      <c r="CZ65" s="1348"/>
      <c r="DA65" s="1348"/>
    </row>
    <row r="66" spans="1:105" s="1349" customFormat="1" ht="21" customHeight="1" x14ac:dyDescent="0.2">
      <c r="A66" s="7263">
        <v>31000033</v>
      </c>
      <c r="B66" s="11181" t="s">
        <v>607</v>
      </c>
      <c r="C66" s="11182"/>
      <c r="D66" s="258" t="s">
        <v>5369</v>
      </c>
      <c r="E66" s="110" t="s">
        <v>5370</v>
      </c>
      <c r="F66" s="111" t="s">
        <v>5371</v>
      </c>
      <c r="G66" s="144" t="s">
        <v>5372</v>
      </c>
      <c r="H66" s="1288" t="s">
        <v>5373</v>
      </c>
      <c r="I66" s="1391" t="s">
        <v>5374</v>
      </c>
      <c r="J66" s="1391" t="s">
        <v>5375</v>
      </c>
      <c r="K66" s="1391" t="s">
        <v>5376</v>
      </c>
      <c r="L66" s="1405" t="s">
        <v>5377</v>
      </c>
      <c r="M66" s="1391" t="s">
        <v>5378</v>
      </c>
      <c r="N66" s="1391" t="s">
        <v>5379</v>
      </c>
      <c r="O66" s="1391" t="s">
        <v>5380</v>
      </c>
      <c r="P66" s="1315" t="s">
        <v>5381</v>
      </c>
      <c r="Q66" s="1391" t="s">
        <v>5382</v>
      </c>
      <c r="R66" s="1391" t="s">
        <v>5383</v>
      </c>
      <c r="S66" s="1391" t="s">
        <v>5384</v>
      </c>
      <c r="T66" s="1391" t="s">
        <v>5385</v>
      </c>
      <c r="U66" s="1391" t="s">
        <v>5386</v>
      </c>
      <c r="V66" s="1391" t="s">
        <v>5387</v>
      </c>
      <c r="W66" s="1391" t="s">
        <v>5388</v>
      </c>
      <c r="X66" s="1391" t="s">
        <v>5389</v>
      </c>
      <c r="Y66" s="1391" t="s">
        <v>5390</v>
      </c>
      <c r="Z66" s="1391" t="s">
        <v>5391</v>
      </c>
      <c r="AA66" s="1391" t="s">
        <v>5392</v>
      </c>
      <c r="AB66" s="1405" t="s">
        <v>5393</v>
      </c>
      <c r="AC66" s="1405" t="s">
        <v>5394</v>
      </c>
      <c r="AD66" s="1405" t="s">
        <v>5395</v>
      </c>
      <c r="AE66" s="1405" t="s">
        <v>5396</v>
      </c>
      <c r="AF66" s="1391" t="s">
        <v>5397</v>
      </c>
      <c r="AG66" s="1315" t="s">
        <v>5398</v>
      </c>
      <c r="AH66" s="1308" t="s">
        <v>5399</v>
      </c>
      <c r="AI66" s="1360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CB66" s="1361"/>
      <c r="CC66" s="1361"/>
      <c r="CD66" s="1361"/>
      <c r="CE66" s="1361"/>
      <c r="CF66" s="1361"/>
      <c r="CG66" s="1361"/>
      <c r="CH66" s="1362"/>
      <c r="CI66" s="1362"/>
      <c r="CJ66" s="1347"/>
      <c r="CK66" s="1347"/>
      <c r="CL66" s="1347"/>
      <c r="CM66" s="1347"/>
      <c r="CN66" s="1347"/>
      <c r="CO66" s="1347"/>
      <c r="CP66" s="1347"/>
      <c r="CQ66" s="1348"/>
      <c r="CR66" s="1348"/>
      <c r="CS66" s="1348"/>
      <c r="CT66" s="1348"/>
      <c r="CU66" s="1348"/>
      <c r="CV66" s="1348"/>
      <c r="CW66" s="1348"/>
      <c r="CX66" s="1348"/>
      <c r="CY66" s="1348"/>
      <c r="CZ66" s="1348"/>
      <c r="DA66" s="1348"/>
    </row>
    <row r="67" spans="1:105" s="1349" customFormat="1" ht="18.75" customHeight="1" x14ac:dyDescent="0.2">
      <c r="A67" s="7263">
        <v>31000034</v>
      </c>
      <c r="B67" s="1407" t="s">
        <v>2082</v>
      </c>
      <c r="D67" s="1408" t="s">
        <v>5369</v>
      </c>
      <c r="E67" s="148" t="s">
        <v>5370</v>
      </c>
      <c r="F67" s="95" t="s">
        <v>5371</v>
      </c>
      <c r="G67" s="1409" t="s">
        <v>5372</v>
      </c>
      <c r="H67" s="1290" t="s">
        <v>5373</v>
      </c>
      <c r="I67" s="1320" t="s">
        <v>5374</v>
      </c>
      <c r="J67" s="1320" t="s">
        <v>5375</v>
      </c>
      <c r="K67" s="1320" t="s">
        <v>5376</v>
      </c>
      <c r="L67" s="175" t="s">
        <v>5377</v>
      </c>
      <c r="M67" s="1320" t="s">
        <v>5378</v>
      </c>
      <c r="N67" s="1320" t="s">
        <v>5379</v>
      </c>
      <c r="O67" s="1320" t="s">
        <v>5380</v>
      </c>
      <c r="P67" s="102" t="s">
        <v>5381</v>
      </c>
      <c r="Q67" s="1320" t="s">
        <v>5382</v>
      </c>
      <c r="R67" s="1320" t="s">
        <v>5383</v>
      </c>
      <c r="S67" s="1320" t="s">
        <v>5384</v>
      </c>
      <c r="T67" s="1320" t="s">
        <v>5385</v>
      </c>
      <c r="U67" s="1320" t="s">
        <v>5386</v>
      </c>
      <c r="V67" s="1320" t="s">
        <v>5387</v>
      </c>
      <c r="W67" s="1320" t="s">
        <v>5388</v>
      </c>
      <c r="X67" s="1320" t="s">
        <v>5389</v>
      </c>
      <c r="Y67" s="1320" t="s">
        <v>5390</v>
      </c>
      <c r="Z67" s="1320" t="s">
        <v>5391</v>
      </c>
      <c r="AA67" s="1320" t="s">
        <v>5392</v>
      </c>
      <c r="AB67" s="175" t="s">
        <v>5393</v>
      </c>
      <c r="AC67" s="175" t="s">
        <v>5394</v>
      </c>
      <c r="AD67" s="175" t="s">
        <v>5395</v>
      </c>
      <c r="AE67" s="175" t="s">
        <v>5396</v>
      </c>
      <c r="AF67" s="1320" t="s">
        <v>5397</v>
      </c>
      <c r="AG67" s="102" t="s">
        <v>5398</v>
      </c>
      <c r="AH67" s="1316" t="s">
        <v>5399</v>
      </c>
      <c r="AI67" s="1360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CB67" s="1361"/>
      <c r="CC67" s="1361"/>
      <c r="CD67" s="1361"/>
      <c r="CE67" s="1361"/>
      <c r="CF67" s="1361"/>
      <c r="CG67" s="1361"/>
      <c r="CH67" s="1362"/>
      <c r="CI67" s="1362"/>
      <c r="CJ67" s="1347"/>
      <c r="CK67" s="1347"/>
      <c r="CL67" s="1347"/>
      <c r="CM67" s="1347"/>
      <c r="CN67" s="1347"/>
      <c r="CO67" s="1347"/>
      <c r="CP67" s="1347"/>
      <c r="CQ67" s="1348"/>
      <c r="CR67" s="1348"/>
      <c r="CS67" s="1348"/>
      <c r="CT67" s="1348"/>
      <c r="CU67" s="1348"/>
      <c r="CV67" s="1348"/>
      <c r="CW67" s="1348"/>
      <c r="CX67" s="1348"/>
      <c r="CY67" s="1348"/>
      <c r="CZ67" s="1348"/>
      <c r="DA67" s="1348"/>
    </row>
    <row r="68" spans="1:105" ht="21" customHeight="1" x14ac:dyDescent="0.3">
      <c r="A68" s="7519"/>
      <c r="B68" s="11200" t="s">
        <v>44</v>
      </c>
      <c r="C68" s="11201"/>
      <c r="D68" s="476">
        <f>SUM(D52:D67)</f>
        <v>0</v>
      </c>
      <c r="E68" s="480">
        <f>SUM(E52:E67)</f>
        <v>0</v>
      </c>
      <c r="F68" s="489">
        <f>SUM(F52:F67)</f>
        <v>0</v>
      </c>
      <c r="G68" s="1339">
        <f t="shared" ref="G68:AG68" si="10">SUM(G52:G67)</f>
        <v>0</v>
      </c>
      <c r="H68" s="568">
        <f t="shared" si="10"/>
        <v>0</v>
      </c>
      <c r="I68" s="1410">
        <f t="shared" si="10"/>
        <v>0</v>
      </c>
      <c r="J68" s="1410">
        <f t="shared" si="10"/>
        <v>0</v>
      </c>
      <c r="K68" s="1410">
        <f t="shared" si="10"/>
        <v>0</v>
      </c>
      <c r="L68" s="680">
        <f t="shared" si="10"/>
        <v>0</v>
      </c>
      <c r="M68" s="1410">
        <f t="shared" si="10"/>
        <v>0</v>
      </c>
      <c r="N68" s="1410">
        <f t="shared" si="10"/>
        <v>0</v>
      </c>
      <c r="O68" s="1410">
        <f t="shared" si="10"/>
        <v>0</v>
      </c>
      <c r="P68" s="490">
        <f t="shared" si="10"/>
        <v>0</v>
      </c>
      <c r="Q68" s="1410">
        <f t="shared" si="10"/>
        <v>0</v>
      </c>
      <c r="R68" s="1410">
        <f t="shared" si="10"/>
        <v>0</v>
      </c>
      <c r="S68" s="1410">
        <f t="shared" si="10"/>
        <v>0</v>
      </c>
      <c r="T68" s="1410">
        <f t="shared" si="10"/>
        <v>0</v>
      </c>
      <c r="U68" s="1410">
        <f t="shared" si="10"/>
        <v>0</v>
      </c>
      <c r="V68" s="1410">
        <f t="shared" si="10"/>
        <v>0</v>
      </c>
      <c r="W68" s="1410">
        <f t="shared" si="10"/>
        <v>0</v>
      </c>
      <c r="X68" s="1410">
        <f t="shared" si="10"/>
        <v>0</v>
      </c>
      <c r="Y68" s="1410">
        <f t="shared" si="10"/>
        <v>0</v>
      </c>
      <c r="Z68" s="1410">
        <f t="shared" si="10"/>
        <v>0</v>
      </c>
      <c r="AA68" s="1410">
        <f t="shared" si="10"/>
        <v>0</v>
      </c>
      <c r="AB68" s="680">
        <f t="shared" si="10"/>
        <v>0</v>
      </c>
      <c r="AC68" s="680">
        <f t="shared" si="10"/>
        <v>0</v>
      </c>
      <c r="AD68" s="680">
        <f t="shared" si="10"/>
        <v>0</v>
      </c>
      <c r="AE68" s="680">
        <f>SUM(AE52:AE67)</f>
        <v>0</v>
      </c>
      <c r="AF68" s="1410">
        <f t="shared" si="10"/>
        <v>0</v>
      </c>
      <c r="AG68" s="490">
        <f t="shared" si="10"/>
        <v>0</v>
      </c>
      <c r="AH68" s="679">
        <f>SUM(AH52:AH67)</f>
        <v>0</v>
      </c>
      <c r="CH68" s="1362"/>
      <c r="CI68" s="1362"/>
    </row>
    <row r="69" spans="1:105" ht="25.5" customHeight="1" x14ac:dyDescent="0.3">
      <c r="B69" s="1345" t="s">
        <v>2083</v>
      </c>
      <c r="C69" s="1342"/>
      <c r="D69" s="1342"/>
      <c r="E69" s="1342"/>
      <c r="F69" s="1342"/>
      <c r="G69" s="1342"/>
      <c r="H69" s="1342"/>
      <c r="I69" s="1342"/>
      <c r="J69" s="1342"/>
      <c r="K69" s="1342"/>
      <c r="L69" s="1342"/>
      <c r="M69" s="1342"/>
      <c r="N69" s="1342"/>
      <c r="O69" s="1342"/>
      <c r="P69" s="1342"/>
      <c r="Q69" s="1342"/>
      <c r="R69" s="1342"/>
      <c r="S69" s="1342"/>
      <c r="T69" s="1342"/>
      <c r="U69" s="1342"/>
      <c r="V69" s="1342"/>
      <c r="W69" s="1342"/>
      <c r="X69" s="1342"/>
      <c r="Y69" s="1342"/>
      <c r="Z69" s="1342"/>
      <c r="AA69" s="1342"/>
      <c r="AB69" s="1342"/>
      <c r="AC69" s="1342"/>
      <c r="AD69" s="1342"/>
      <c r="AE69" s="1342"/>
      <c r="AF69" s="1342"/>
      <c r="AG69" s="1342"/>
      <c r="AH69" s="1342"/>
      <c r="AI69" s="1342"/>
      <c r="AJ69" s="1342"/>
      <c r="AK69" s="1342"/>
      <c r="AL69" s="1342"/>
      <c r="AM69" s="1342"/>
      <c r="AN69" s="1342"/>
      <c r="AO69" s="1342"/>
      <c r="AP69" s="1342"/>
      <c r="AQ69" s="1342"/>
      <c r="AR69" s="1342"/>
      <c r="AS69" s="1342"/>
      <c r="CH69" s="1362"/>
      <c r="CI69" s="1362"/>
    </row>
    <row r="70" spans="1:105" ht="21" customHeight="1" x14ac:dyDescent="0.3">
      <c r="A70" s="7311"/>
      <c r="B70" s="11157" t="s">
        <v>2059</v>
      </c>
      <c r="C70" s="11158"/>
      <c r="D70" s="11178" t="s">
        <v>2367</v>
      </c>
      <c r="E70" s="11157" t="s">
        <v>606</v>
      </c>
      <c r="F70" s="11157"/>
      <c r="G70" s="11158"/>
      <c r="H70" s="11202" t="s">
        <v>605</v>
      </c>
      <c r="I70" s="11203"/>
      <c r="J70" s="11203"/>
      <c r="K70" s="11203"/>
      <c r="L70" s="11203"/>
      <c r="M70" s="11203"/>
      <c r="N70" s="11203"/>
      <c r="O70" s="11204"/>
      <c r="P70" s="11205" t="s">
        <v>374</v>
      </c>
      <c r="Q70" s="11158" t="s">
        <v>430</v>
      </c>
      <c r="R70" s="11171" t="s">
        <v>375</v>
      </c>
      <c r="S70" s="11171" t="s">
        <v>360</v>
      </c>
      <c r="T70" s="11158" t="s">
        <v>362</v>
      </c>
      <c r="U70" s="11171" t="s">
        <v>361</v>
      </c>
      <c r="V70" s="11171" t="s">
        <v>429</v>
      </c>
      <c r="CH70" s="1362"/>
      <c r="CI70" s="1362"/>
    </row>
    <row r="71" spans="1:105" ht="18.75" customHeight="1" x14ac:dyDescent="0.3">
      <c r="A71" s="7311"/>
      <c r="B71" s="11159"/>
      <c r="C71" s="11160"/>
      <c r="D71" s="11179"/>
      <c r="E71" s="11159"/>
      <c r="F71" s="11159"/>
      <c r="G71" s="11160"/>
      <c r="H71" s="11202" t="s">
        <v>604</v>
      </c>
      <c r="I71" s="11207"/>
      <c r="J71" s="11202" t="s">
        <v>603</v>
      </c>
      <c r="K71" s="11207"/>
      <c r="L71" s="11202" t="s">
        <v>114</v>
      </c>
      <c r="M71" s="11207"/>
      <c r="N71" s="11202" t="s">
        <v>602</v>
      </c>
      <c r="O71" s="11204"/>
      <c r="P71" s="11206"/>
      <c r="Q71" s="11160"/>
      <c r="R71" s="11172"/>
      <c r="S71" s="11172"/>
      <c r="T71" s="11160"/>
      <c r="U71" s="11172"/>
      <c r="V71" s="11172"/>
      <c r="CH71" s="1362"/>
      <c r="CI71" s="1362"/>
    </row>
    <row r="72" spans="1:105" ht="22.5" customHeight="1" x14ac:dyDescent="0.3">
      <c r="A72" s="7311"/>
      <c r="B72" s="11161"/>
      <c r="C72" s="11162"/>
      <c r="D72" s="11180"/>
      <c r="E72" s="1411" t="s">
        <v>42</v>
      </c>
      <c r="F72" s="1927" t="s">
        <v>17</v>
      </c>
      <c r="G72" s="1925" t="s">
        <v>18</v>
      </c>
      <c r="H72" s="2052" t="s">
        <v>17</v>
      </c>
      <c r="I72" s="2053" t="s">
        <v>18</v>
      </c>
      <c r="J72" s="2052" t="s">
        <v>17</v>
      </c>
      <c r="K72" s="2053" t="s">
        <v>18</v>
      </c>
      <c r="L72" s="2052" t="s">
        <v>17</v>
      </c>
      <c r="M72" s="2053" t="s">
        <v>18</v>
      </c>
      <c r="N72" s="2052" t="s">
        <v>17</v>
      </c>
      <c r="O72" s="2054" t="s">
        <v>18</v>
      </c>
      <c r="P72" s="10109"/>
      <c r="Q72" s="11162"/>
      <c r="R72" s="11173"/>
      <c r="S72" s="11173"/>
      <c r="T72" s="11162"/>
      <c r="U72" s="11173"/>
      <c r="V72" s="11173"/>
      <c r="CH72" s="1362"/>
      <c r="CI72" s="1362"/>
    </row>
    <row r="73" spans="1:105" ht="20.25" customHeight="1" x14ac:dyDescent="0.3">
      <c r="A73" s="7263">
        <v>31000051</v>
      </c>
      <c r="B73" s="11208" t="s">
        <v>431</v>
      </c>
      <c r="C73" s="11209"/>
      <c r="D73" s="7965" t="s">
        <v>5369</v>
      </c>
      <c r="E73" s="7269" t="s">
        <v>5370</v>
      </c>
      <c r="F73" s="7966" t="s">
        <v>5371</v>
      </c>
      <c r="G73" s="7967" t="s">
        <v>5372</v>
      </c>
      <c r="H73" s="7968" t="s">
        <v>5373</v>
      </c>
      <c r="I73" s="7969" t="s">
        <v>5374</v>
      </c>
      <c r="J73" s="7970" t="s">
        <v>5375</v>
      </c>
      <c r="K73" s="7969" t="s">
        <v>5376</v>
      </c>
      <c r="L73" s="7970" t="s">
        <v>5377</v>
      </c>
      <c r="M73" s="7969" t="s">
        <v>5378</v>
      </c>
      <c r="N73" s="7970" t="s">
        <v>5379</v>
      </c>
      <c r="O73" s="7971" t="s">
        <v>5380</v>
      </c>
      <c r="P73" s="7972" t="s">
        <v>5381</v>
      </c>
      <c r="Q73" s="7973" t="s">
        <v>5382</v>
      </c>
      <c r="R73" s="7974" t="s">
        <v>5383</v>
      </c>
      <c r="S73" s="7974" t="s">
        <v>5384</v>
      </c>
      <c r="T73" s="7974" t="s">
        <v>5385</v>
      </c>
      <c r="U73" s="7974" t="s">
        <v>5386</v>
      </c>
      <c r="V73" s="7974" t="s">
        <v>5387</v>
      </c>
      <c r="W73" s="1360" t="e">
        <f>CB73&amp;CD73&amp;CC73</f>
        <v>#VALUE!</v>
      </c>
      <c r="CB73" s="1361" t="str">
        <f>IF(CH73=1,"* No olvide digitar la columna Pacientes y/o Familiares y/o Funcionarios y/o Beneficiarios y/o Pueblos Originario y/o Migrantes y/o Población SENAME (Digite Cero si no tiene). ","")</f>
        <v/>
      </c>
      <c r="CC73" s="1361" t="str">
        <f>IF(CI73=1,"*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3" s="1361" t="e">
        <f>IF(CJ73=1,"* La suma de Pacientes, Familiares/Cuidadores de los pacientes y Funcionarios debe ser mayor o igual al Total de Participantes.","")</f>
        <v>#VALUE!</v>
      </c>
      <c r="CE73" s="1361"/>
      <c r="CF73" s="1361"/>
      <c r="CG73" s="1361"/>
      <c r="CH73" s="1362">
        <f>IF(AND(E73&lt;&gt;0,OR(S73="",P73="",Q73="",R73="",S73="",T73="",U73="")),1,0)</f>
        <v>0</v>
      </c>
      <c r="CI73" s="1362">
        <f>IF(OR(E73&lt;S73,E73&lt;T73,E73&lt;U73),1,0)</f>
        <v>1</v>
      </c>
      <c r="CJ73" s="1362" t="e">
        <f>IF(E73&gt;(P73+Q73+R73),1,0)</f>
        <v>#VALUE!</v>
      </c>
    </row>
    <row r="74" spans="1:105" ht="20.25" customHeight="1" x14ac:dyDescent="0.3">
      <c r="A74" s="7263">
        <v>31000052</v>
      </c>
      <c r="B74" s="11196" t="s">
        <v>432</v>
      </c>
      <c r="C74" s="11197"/>
      <c r="D74" s="7975" t="s">
        <v>5369</v>
      </c>
      <c r="E74" s="7269" t="s">
        <v>5370</v>
      </c>
      <c r="F74" s="7966" t="s">
        <v>5371</v>
      </c>
      <c r="G74" s="7967" t="s">
        <v>5372</v>
      </c>
      <c r="H74" s="7968" t="s">
        <v>5373</v>
      </c>
      <c r="I74" s="7969" t="s">
        <v>5374</v>
      </c>
      <c r="J74" s="7970" t="s">
        <v>5375</v>
      </c>
      <c r="K74" s="7969" t="s">
        <v>5376</v>
      </c>
      <c r="L74" s="7970" t="s">
        <v>5377</v>
      </c>
      <c r="M74" s="7969" t="s">
        <v>5378</v>
      </c>
      <c r="N74" s="7970" t="s">
        <v>5379</v>
      </c>
      <c r="O74" s="7971" t="s">
        <v>5380</v>
      </c>
      <c r="P74" s="7976" t="s">
        <v>5381</v>
      </c>
      <c r="Q74" s="7977" t="s">
        <v>5382</v>
      </c>
      <c r="R74" s="7978" t="s">
        <v>5383</v>
      </c>
      <c r="S74" s="7978" t="s">
        <v>5384</v>
      </c>
      <c r="T74" s="7978" t="s">
        <v>5385</v>
      </c>
      <c r="U74" s="7978" t="s">
        <v>5386</v>
      </c>
      <c r="V74" s="7978" t="s">
        <v>5387</v>
      </c>
      <c r="W74" s="1360" t="e">
        <f t="shared" ref="W74:W86" si="11">CB74&amp;CD74&amp;CC74</f>
        <v>#VALUE!</v>
      </c>
      <c r="CB74" s="1361" t="str">
        <f>IF(CH74=1,"* No olvide digitar la columna Pacientes y/o Familiares y/o Funcionarios y/o Beneficiarios y/o Pueblos Originario y/o Migrantes y/o Población SENAME (Digite Cero si no tiene). ","")</f>
        <v/>
      </c>
      <c r="CC74" s="1361" t="str">
        <f>IF(CI74=1,"*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4" s="1361" t="e">
        <f t="shared" ref="CD74:CD86" si="12">IF(CJ74=1,"* La suma de Pacientes, Familiares/Cuidadores de los pacientes y Funcionarios debe ser mayor o igual al Total de Participantes.","")</f>
        <v>#VALUE!</v>
      </c>
      <c r="CE74" s="1361"/>
      <c r="CF74" s="1361"/>
      <c r="CG74" s="1361"/>
      <c r="CH74" s="1362">
        <f t="shared" ref="CH74:CH86" si="13">IF(AND(E74&lt;&gt;0,OR(S74="",P74="",Q74="",R74="",S74="",T74="",U74="")),1,0)</f>
        <v>0</v>
      </c>
      <c r="CI74" s="1362">
        <f t="shared" ref="CI74:CI86" si="14">IF(OR(E74&lt;S74,E74&lt;T74,E74&lt;U74),1,0)</f>
        <v>1</v>
      </c>
      <c r="CJ74" s="1362" t="e">
        <f t="shared" ref="CJ74:CJ86" si="15">IF(E74&gt;(P74+Q74+R74),1,0)</f>
        <v>#VALUE!</v>
      </c>
    </row>
    <row r="75" spans="1:105" ht="20.25" customHeight="1" x14ac:dyDescent="0.3">
      <c r="A75" s="7263">
        <v>31000054</v>
      </c>
      <c r="B75" s="11196" t="s">
        <v>440</v>
      </c>
      <c r="C75" s="11197"/>
      <c r="D75" s="7975" t="s">
        <v>5369</v>
      </c>
      <c r="E75" s="7269" t="s">
        <v>5370</v>
      </c>
      <c r="F75" s="7966" t="s">
        <v>5371</v>
      </c>
      <c r="G75" s="7967" t="s">
        <v>5372</v>
      </c>
      <c r="H75" s="7968" t="s">
        <v>5373</v>
      </c>
      <c r="I75" s="7969" t="s">
        <v>5374</v>
      </c>
      <c r="J75" s="7970" t="s">
        <v>5375</v>
      </c>
      <c r="K75" s="7969" t="s">
        <v>5376</v>
      </c>
      <c r="L75" s="7970" t="s">
        <v>5377</v>
      </c>
      <c r="M75" s="7969" t="s">
        <v>5378</v>
      </c>
      <c r="N75" s="7970" t="s">
        <v>5379</v>
      </c>
      <c r="O75" s="7971" t="s">
        <v>5380</v>
      </c>
      <c r="P75" s="7976" t="s">
        <v>5381</v>
      </c>
      <c r="Q75" s="7977" t="s">
        <v>5382</v>
      </c>
      <c r="R75" s="7978" t="s">
        <v>5383</v>
      </c>
      <c r="S75" s="7978" t="s">
        <v>5384</v>
      </c>
      <c r="T75" s="7978" t="s">
        <v>5385</v>
      </c>
      <c r="U75" s="7978" t="s">
        <v>5386</v>
      </c>
      <c r="V75" s="7978" t="s">
        <v>5387</v>
      </c>
      <c r="W75" s="1360" t="e">
        <f t="shared" si="11"/>
        <v>#VALUE!</v>
      </c>
      <c r="CB75" s="1361" t="str">
        <f t="shared" ref="CB75:CB86" si="16">IF(CH75=1,"* No olvide digitar la columna Pacientes y/o Familiares y/o Funcionarios y/o Beneficiarios y/o Pueblos Originario y/o Migrantes y/o Población SENAME (Digite Cero si no tiene). ","")</f>
        <v/>
      </c>
      <c r="CC75" s="1361" t="str">
        <f t="shared" ref="CC75:CC86" si="17">IF(CI75=1,"*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5" s="1361" t="e">
        <f t="shared" si="12"/>
        <v>#VALUE!</v>
      </c>
      <c r="CE75" s="1361"/>
      <c r="CF75" s="1361"/>
      <c r="CG75" s="1361"/>
      <c r="CH75" s="1362">
        <f t="shared" si="13"/>
        <v>0</v>
      </c>
      <c r="CI75" s="1362">
        <f t="shared" si="14"/>
        <v>1</v>
      </c>
      <c r="CJ75" s="1362" t="e">
        <f t="shared" si="15"/>
        <v>#VALUE!</v>
      </c>
    </row>
    <row r="76" spans="1:105" ht="20.25" customHeight="1" x14ac:dyDescent="0.3">
      <c r="A76" s="7263">
        <v>31000055</v>
      </c>
      <c r="B76" s="11196" t="s">
        <v>441</v>
      </c>
      <c r="C76" s="11197"/>
      <c r="D76" s="7975" t="s">
        <v>5369</v>
      </c>
      <c r="E76" s="7269" t="s">
        <v>5370</v>
      </c>
      <c r="F76" s="7966" t="s">
        <v>5371</v>
      </c>
      <c r="G76" s="7967" t="s">
        <v>5372</v>
      </c>
      <c r="H76" s="7968" t="s">
        <v>5373</v>
      </c>
      <c r="I76" s="7969" t="s">
        <v>5374</v>
      </c>
      <c r="J76" s="7970" t="s">
        <v>5375</v>
      </c>
      <c r="K76" s="7969" t="s">
        <v>5376</v>
      </c>
      <c r="L76" s="7970" t="s">
        <v>5377</v>
      </c>
      <c r="M76" s="7969" t="s">
        <v>5378</v>
      </c>
      <c r="N76" s="7970" t="s">
        <v>5379</v>
      </c>
      <c r="O76" s="7971" t="s">
        <v>5380</v>
      </c>
      <c r="P76" s="7976" t="s">
        <v>5381</v>
      </c>
      <c r="Q76" s="7977" t="s">
        <v>5382</v>
      </c>
      <c r="R76" s="7978" t="s">
        <v>5383</v>
      </c>
      <c r="S76" s="7978" t="s">
        <v>5384</v>
      </c>
      <c r="T76" s="7978" t="s">
        <v>5385</v>
      </c>
      <c r="U76" s="7978" t="s">
        <v>5386</v>
      </c>
      <c r="V76" s="7978" t="s">
        <v>5387</v>
      </c>
      <c r="W76" s="1360" t="e">
        <f t="shared" si="11"/>
        <v>#VALUE!</v>
      </c>
      <c r="CB76" s="1361" t="str">
        <f t="shared" si="16"/>
        <v/>
      </c>
      <c r="CC76" s="1361" t="str">
        <f t="shared" si="17"/>
        <v xml:space="preserve">* El número de Beneficiarios y/o Pueblos Originarios y/o Migrantes y/o Población SENAME NO DEBE ser mayor que el Total. </v>
      </c>
      <c r="CD76" s="1361" t="e">
        <f t="shared" si="12"/>
        <v>#VALUE!</v>
      </c>
      <c r="CE76" s="1361"/>
      <c r="CF76" s="1361"/>
      <c r="CG76" s="1361"/>
      <c r="CH76" s="1362">
        <f t="shared" si="13"/>
        <v>0</v>
      </c>
      <c r="CI76" s="1362">
        <f t="shared" si="14"/>
        <v>1</v>
      </c>
      <c r="CJ76" s="1362" t="e">
        <f t="shared" si="15"/>
        <v>#VALUE!</v>
      </c>
    </row>
    <row r="77" spans="1:105" ht="20.25" customHeight="1" x14ac:dyDescent="0.3">
      <c r="A77" s="7263">
        <v>31000056</v>
      </c>
      <c r="B77" s="11196" t="s">
        <v>437</v>
      </c>
      <c r="C77" s="11197"/>
      <c r="D77" s="7975" t="s">
        <v>5369</v>
      </c>
      <c r="E77" s="7269" t="s">
        <v>5370</v>
      </c>
      <c r="F77" s="7966" t="s">
        <v>5371</v>
      </c>
      <c r="G77" s="7967" t="s">
        <v>5372</v>
      </c>
      <c r="H77" s="7968" t="s">
        <v>5373</v>
      </c>
      <c r="I77" s="7969" t="s">
        <v>5374</v>
      </c>
      <c r="J77" s="7970" t="s">
        <v>5375</v>
      </c>
      <c r="K77" s="7969" t="s">
        <v>5376</v>
      </c>
      <c r="L77" s="7970" t="s">
        <v>5377</v>
      </c>
      <c r="M77" s="7969" t="s">
        <v>5378</v>
      </c>
      <c r="N77" s="7970" t="s">
        <v>5379</v>
      </c>
      <c r="O77" s="7971" t="s">
        <v>5380</v>
      </c>
      <c r="P77" s="7976" t="s">
        <v>5381</v>
      </c>
      <c r="Q77" s="7977" t="s">
        <v>5382</v>
      </c>
      <c r="R77" s="7978" t="s">
        <v>5383</v>
      </c>
      <c r="S77" s="7978" t="s">
        <v>5384</v>
      </c>
      <c r="T77" s="7978" t="s">
        <v>5385</v>
      </c>
      <c r="U77" s="7978" t="s">
        <v>5386</v>
      </c>
      <c r="V77" s="7978" t="s">
        <v>5387</v>
      </c>
      <c r="W77" s="1360" t="e">
        <f t="shared" si="11"/>
        <v>#VALUE!</v>
      </c>
      <c r="CB77" s="1361" t="str">
        <f t="shared" si="16"/>
        <v/>
      </c>
      <c r="CC77" s="1361" t="str">
        <f t="shared" si="17"/>
        <v xml:space="preserve">* El número de Beneficiarios y/o Pueblos Originarios y/o Migrantes y/o Población SENAME NO DEBE ser mayor que el Total. </v>
      </c>
      <c r="CD77" s="1361" t="e">
        <f t="shared" si="12"/>
        <v>#VALUE!</v>
      </c>
      <c r="CE77" s="1361"/>
      <c r="CF77" s="1361"/>
      <c r="CG77" s="1361"/>
      <c r="CH77" s="1362">
        <f t="shared" si="13"/>
        <v>0</v>
      </c>
      <c r="CI77" s="1362">
        <f t="shared" si="14"/>
        <v>1</v>
      </c>
      <c r="CJ77" s="1362" t="e">
        <f t="shared" si="15"/>
        <v>#VALUE!</v>
      </c>
    </row>
    <row r="78" spans="1:105" ht="20.25" customHeight="1" x14ac:dyDescent="0.3">
      <c r="A78" s="7263">
        <v>31000057</v>
      </c>
      <c r="B78" s="11196" t="s">
        <v>442</v>
      </c>
      <c r="C78" s="11197"/>
      <c r="D78" s="7975" t="s">
        <v>5369</v>
      </c>
      <c r="E78" s="7979" t="s">
        <v>5370</v>
      </c>
      <c r="F78" s="7966" t="s">
        <v>5371</v>
      </c>
      <c r="G78" s="7967" t="s">
        <v>5372</v>
      </c>
      <c r="H78" s="7968" t="s">
        <v>5373</v>
      </c>
      <c r="I78" s="7969" t="s">
        <v>5374</v>
      </c>
      <c r="J78" s="7970" t="s">
        <v>5375</v>
      </c>
      <c r="K78" s="7969" t="s">
        <v>5376</v>
      </c>
      <c r="L78" s="7970" t="s">
        <v>5377</v>
      </c>
      <c r="M78" s="7969" t="s">
        <v>5378</v>
      </c>
      <c r="N78" s="7970" t="s">
        <v>5379</v>
      </c>
      <c r="O78" s="7971" t="s">
        <v>5380</v>
      </c>
      <c r="P78" s="7976" t="s">
        <v>5381</v>
      </c>
      <c r="Q78" s="7977" t="s">
        <v>5382</v>
      </c>
      <c r="R78" s="7978" t="s">
        <v>5383</v>
      </c>
      <c r="S78" s="7978" t="s">
        <v>5384</v>
      </c>
      <c r="T78" s="7978" t="s">
        <v>5385</v>
      </c>
      <c r="U78" s="7978" t="s">
        <v>5386</v>
      </c>
      <c r="V78" s="7978" t="s">
        <v>5387</v>
      </c>
      <c r="W78" s="1360" t="e">
        <f t="shared" si="11"/>
        <v>#VALUE!</v>
      </c>
      <c r="CB78" s="1361" t="str">
        <f t="shared" si="16"/>
        <v/>
      </c>
      <c r="CC78" s="1361" t="str">
        <f t="shared" si="17"/>
        <v xml:space="preserve">* El número de Beneficiarios y/o Pueblos Originarios y/o Migrantes y/o Población SENAME NO DEBE ser mayor que el Total. </v>
      </c>
      <c r="CD78" s="1361" t="e">
        <f t="shared" si="12"/>
        <v>#VALUE!</v>
      </c>
      <c r="CE78" s="1361"/>
      <c r="CF78" s="1361"/>
      <c r="CG78" s="1361"/>
      <c r="CH78" s="1362">
        <f t="shared" si="13"/>
        <v>0</v>
      </c>
      <c r="CI78" s="1362">
        <f t="shared" si="14"/>
        <v>1</v>
      </c>
      <c r="CJ78" s="1362" t="e">
        <f t="shared" si="15"/>
        <v>#VALUE!</v>
      </c>
    </row>
    <row r="79" spans="1:105" ht="20.25" customHeight="1" x14ac:dyDescent="0.3">
      <c r="A79" s="7263">
        <v>31000058</v>
      </c>
      <c r="B79" s="11198" t="s">
        <v>389</v>
      </c>
      <c r="C79" s="11199"/>
      <c r="D79" s="7975" t="s">
        <v>5369</v>
      </c>
      <c r="E79" s="7269" t="s">
        <v>5370</v>
      </c>
      <c r="F79" s="7966" t="s">
        <v>5371</v>
      </c>
      <c r="G79" s="7967" t="s">
        <v>5372</v>
      </c>
      <c r="H79" s="7968" t="s">
        <v>5373</v>
      </c>
      <c r="I79" s="7969" t="s">
        <v>5374</v>
      </c>
      <c r="J79" s="7970" t="s">
        <v>5375</v>
      </c>
      <c r="K79" s="7969" t="s">
        <v>5376</v>
      </c>
      <c r="L79" s="7970" t="s">
        <v>5377</v>
      </c>
      <c r="M79" s="7969" t="s">
        <v>5378</v>
      </c>
      <c r="N79" s="7970" t="s">
        <v>5379</v>
      </c>
      <c r="O79" s="7971" t="s">
        <v>5380</v>
      </c>
      <c r="P79" s="7976" t="s">
        <v>5381</v>
      </c>
      <c r="Q79" s="7977" t="s">
        <v>5382</v>
      </c>
      <c r="R79" s="7978" t="s">
        <v>5383</v>
      </c>
      <c r="S79" s="7978" t="s">
        <v>5384</v>
      </c>
      <c r="T79" s="7978" t="s">
        <v>5385</v>
      </c>
      <c r="U79" s="7978" t="s">
        <v>5386</v>
      </c>
      <c r="V79" s="7978" t="s">
        <v>5387</v>
      </c>
      <c r="W79" s="1360" t="e">
        <f t="shared" si="11"/>
        <v>#VALUE!</v>
      </c>
      <c r="CB79" s="1361" t="str">
        <f t="shared" si="16"/>
        <v/>
      </c>
      <c r="CC79" s="1361" t="str">
        <f t="shared" si="17"/>
        <v xml:space="preserve">* El número de Beneficiarios y/o Pueblos Originarios y/o Migrantes y/o Población SENAME NO DEBE ser mayor que el Total. </v>
      </c>
      <c r="CD79" s="1361" t="e">
        <f t="shared" si="12"/>
        <v>#VALUE!</v>
      </c>
      <c r="CE79" s="1361"/>
      <c r="CF79" s="1361"/>
      <c r="CG79" s="1361"/>
      <c r="CH79" s="1362">
        <f t="shared" si="13"/>
        <v>0</v>
      </c>
      <c r="CI79" s="1362">
        <f t="shared" si="14"/>
        <v>1</v>
      </c>
      <c r="CJ79" s="1362" t="e">
        <f t="shared" si="15"/>
        <v>#VALUE!</v>
      </c>
    </row>
    <row r="80" spans="1:105" ht="20.25" customHeight="1" x14ac:dyDescent="0.3">
      <c r="A80" s="7263">
        <v>31000059</v>
      </c>
      <c r="B80" s="11198" t="s">
        <v>443</v>
      </c>
      <c r="C80" s="11199"/>
      <c r="D80" s="7975" t="s">
        <v>5369</v>
      </c>
      <c r="E80" s="7269" t="s">
        <v>5370</v>
      </c>
      <c r="F80" s="7966" t="s">
        <v>5371</v>
      </c>
      <c r="G80" s="7967" t="s">
        <v>5372</v>
      </c>
      <c r="H80" s="7968" t="s">
        <v>5373</v>
      </c>
      <c r="I80" s="7969" t="s">
        <v>5374</v>
      </c>
      <c r="J80" s="7970" t="s">
        <v>5375</v>
      </c>
      <c r="K80" s="7969" t="s">
        <v>5376</v>
      </c>
      <c r="L80" s="7970" t="s">
        <v>5377</v>
      </c>
      <c r="M80" s="7969" t="s">
        <v>5378</v>
      </c>
      <c r="N80" s="7970" t="s">
        <v>5379</v>
      </c>
      <c r="O80" s="7971" t="s">
        <v>5380</v>
      </c>
      <c r="P80" s="7976" t="s">
        <v>5381</v>
      </c>
      <c r="Q80" s="7977" t="s">
        <v>5382</v>
      </c>
      <c r="R80" s="7978" t="s">
        <v>5383</v>
      </c>
      <c r="S80" s="7978" t="s">
        <v>5384</v>
      </c>
      <c r="T80" s="7978" t="s">
        <v>5385</v>
      </c>
      <c r="U80" s="7978" t="s">
        <v>5386</v>
      </c>
      <c r="V80" s="7978" t="s">
        <v>5387</v>
      </c>
      <c r="W80" s="1360" t="e">
        <f t="shared" si="11"/>
        <v>#VALUE!</v>
      </c>
      <c r="CB80" s="1361" t="str">
        <f t="shared" si="16"/>
        <v/>
      </c>
      <c r="CC80" s="1361" t="str">
        <f t="shared" si="17"/>
        <v xml:space="preserve">* El número de Beneficiarios y/o Pueblos Originarios y/o Migrantes y/o Población SENAME NO DEBE ser mayor que el Total. </v>
      </c>
      <c r="CD80" s="1361" t="e">
        <f t="shared" si="12"/>
        <v>#VALUE!</v>
      </c>
      <c r="CE80" s="1361"/>
      <c r="CF80" s="1361"/>
      <c r="CG80" s="1361"/>
      <c r="CH80" s="1362">
        <f t="shared" si="13"/>
        <v>0</v>
      </c>
      <c r="CI80" s="1362">
        <f t="shared" si="14"/>
        <v>1</v>
      </c>
      <c r="CJ80" s="1362" t="e">
        <f t="shared" si="15"/>
        <v>#VALUE!</v>
      </c>
    </row>
    <row r="81" spans="1:103" ht="20.25" customHeight="1" x14ac:dyDescent="0.3">
      <c r="A81" s="7263">
        <v>31000060</v>
      </c>
      <c r="B81" s="1412" t="s">
        <v>2069</v>
      </c>
      <c r="C81" s="1413"/>
      <c r="D81" s="7975" t="s">
        <v>5369</v>
      </c>
      <c r="E81" s="7979" t="s">
        <v>5370</v>
      </c>
      <c r="F81" s="7966" t="s">
        <v>5371</v>
      </c>
      <c r="G81" s="7967" t="s">
        <v>5372</v>
      </c>
      <c r="H81" s="7968" t="s">
        <v>5373</v>
      </c>
      <c r="I81" s="7969" t="s">
        <v>5374</v>
      </c>
      <c r="J81" s="7970" t="s">
        <v>5375</v>
      </c>
      <c r="K81" s="7969" t="s">
        <v>5376</v>
      </c>
      <c r="L81" s="7970" t="s">
        <v>5377</v>
      </c>
      <c r="M81" s="7969" t="s">
        <v>5378</v>
      </c>
      <c r="N81" s="7970" t="s">
        <v>5379</v>
      </c>
      <c r="O81" s="7971" t="s">
        <v>5380</v>
      </c>
      <c r="P81" s="7976" t="s">
        <v>5381</v>
      </c>
      <c r="Q81" s="7977" t="s">
        <v>5382</v>
      </c>
      <c r="R81" s="7978" t="s">
        <v>5383</v>
      </c>
      <c r="S81" s="7978" t="s">
        <v>5384</v>
      </c>
      <c r="T81" s="7978" t="s">
        <v>5385</v>
      </c>
      <c r="U81" s="7978" t="s">
        <v>5386</v>
      </c>
      <c r="V81" s="7978" t="s">
        <v>5387</v>
      </c>
      <c r="W81" s="1360" t="e">
        <f t="shared" si="11"/>
        <v>#VALUE!</v>
      </c>
      <c r="CB81" s="1361" t="str">
        <f t="shared" si="16"/>
        <v/>
      </c>
      <c r="CC81" s="1361" t="str">
        <f t="shared" si="17"/>
        <v xml:space="preserve">* El número de Beneficiarios y/o Pueblos Originarios y/o Migrantes y/o Población SENAME NO DEBE ser mayor que el Total. </v>
      </c>
      <c r="CD81" s="1361" t="e">
        <f t="shared" si="12"/>
        <v>#VALUE!</v>
      </c>
      <c r="CE81" s="1361"/>
      <c r="CF81" s="1361"/>
      <c r="CG81" s="1361"/>
      <c r="CH81" s="1362">
        <f t="shared" si="13"/>
        <v>0</v>
      </c>
      <c r="CI81" s="1362">
        <f t="shared" si="14"/>
        <v>1</v>
      </c>
      <c r="CJ81" s="1362" t="e">
        <f t="shared" si="15"/>
        <v>#VALUE!</v>
      </c>
    </row>
    <row r="82" spans="1:103" ht="20.25" customHeight="1" x14ac:dyDescent="0.3">
      <c r="A82" s="7263">
        <v>31000064</v>
      </c>
      <c r="B82" s="11196" t="s">
        <v>601</v>
      </c>
      <c r="C82" s="11197"/>
      <c r="D82" s="7975" t="s">
        <v>5369</v>
      </c>
      <c r="E82" s="7269" t="s">
        <v>5370</v>
      </c>
      <c r="F82" s="7966" t="s">
        <v>5371</v>
      </c>
      <c r="G82" s="7967" t="s">
        <v>5372</v>
      </c>
      <c r="H82" s="7968" t="s">
        <v>5373</v>
      </c>
      <c r="I82" s="7969" t="s">
        <v>5374</v>
      </c>
      <c r="J82" s="7970" t="s">
        <v>5375</v>
      </c>
      <c r="K82" s="7969" t="s">
        <v>5376</v>
      </c>
      <c r="L82" s="7970" t="s">
        <v>5377</v>
      </c>
      <c r="M82" s="7969" t="s">
        <v>5378</v>
      </c>
      <c r="N82" s="7970" t="s">
        <v>5379</v>
      </c>
      <c r="O82" s="7971" t="s">
        <v>5380</v>
      </c>
      <c r="P82" s="7976" t="s">
        <v>5381</v>
      </c>
      <c r="Q82" s="7977" t="s">
        <v>5382</v>
      </c>
      <c r="R82" s="7978" t="s">
        <v>5383</v>
      </c>
      <c r="S82" s="7978" t="s">
        <v>5384</v>
      </c>
      <c r="T82" s="7978" t="s">
        <v>5385</v>
      </c>
      <c r="U82" s="7978" t="s">
        <v>5386</v>
      </c>
      <c r="V82" s="7978" t="s">
        <v>5387</v>
      </c>
      <c r="W82" s="1360" t="e">
        <f t="shared" si="11"/>
        <v>#VALUE!</v>
      </c>
      <c r="CB82" s="1361" t="str">
        <f t="shared" si="16"/>
        <v/>
      </c>
      <c r="CC82" s="1361" t="str">
        <f t="shared" si="17"/>
        <v xml:space="preserve">* El número de Beneficiarios y/o Pueblos Originarios y/o Migrantes y/o Población SENAME NO DEBE ser mayor que el Total. </v>
      </c>
      <c r="CD82" s="1361" t="e">
        <f t="shared" si="12"/>
        <v>#VALUE!</v>
      </c>
      <c r="CE82" s="1361"/>
      <c r="CF82" s="1361"/>
      <c r="CG82" s="1361"/>
      <c r="CH82" s="1362">
        <f t="shared" si="13"/>
        <v>0</v>
      </c>
      <c r="CI82" s="1362">
        <f t="shared" si="14"/>
        <v>1</v>
      </c>
      <c r="CJ82" s="1362" t="e">
        <f t="shared" si="15"/>
        <v>#VALUE!</v>
      </c>
    </row>
    <row r="83" spans="1:103" ht="20.25" customHeight="1" x14ac:dyDescent="0.3">
      <c r="A83" s="7263">
        <v>31000065</v>
      </c>
      <c r="B83" s="11196" t="s">
        <v>447</v>
      </c>
      <c r="C83" s="11197"/>
      <c r="D83" s="7975" t="s">
        <v>5369</v>
      </c>
      <c r="E83" s="7269" t="s">
        <v>5370</v>
      </c>
      <c r="F83" s="7966" t="s">
        <v>5371</v>
      </c>
      <c r="G83" s="7967" t="s">
        <v>5372</v>
      </c>
      <c r="H83" s="7968" t="s">
        <v>5373</v>
      </c>
      <c r="I83" s="7969" t="s">
        <v>5374</v>
      </c>
      <c r="J83" s="7970" t="s">
        <v>5375</v>
      </c>
      <c r="K83" s="7969" t="s">
        <v>5376</v>
      </c>
      <c r="L83" s="7970" t="s">
        <v>5377</v>
      </c>
      <c r="M83" s="7969" t="s">
        <v>5378</v>
      </c>
      <c r="N83" s="7970" t="s">
        <v>5379</v>
      </c>
      <c r="O83" s="7971" t="s">
        <v>5380</v>
      </c>
      <c r="P83" s="7976" t="s">
        <v>5381</v>
      </c>
      <c r="Q83" s="7977" t="s">
        <v>5382</v>
      </c>
      <c r="R83" s="7978" t="s">
        <v>5383</v>
      </c>
      <c r="S83" s="7978" t="s">
        <v>5384</v>
      </c>
      <c r="T83" s="7978" t="s">
        <v>5385</v>
      </c>
      <c r="U83" s="7978" t="s">
        <v>5386</v>
      </c>
      <c r="V83" s="7978" t="s">
        <v>5387</v>
      </c>
      <c r="W83" s="1360" t="e">
        <f t="shared" si="11"/>
        <v>#VALUE!</v>
      </c>
      <c r="CB83" s="1361" t="str">
        <f t="shared" si="16"/>
        <v/>
      </c>
      <c r="CC83" s="1361" t="str">
        <f t="shared" si="17"/>
        <v xml:space="preserve">* El número de Beneficiarios y/o Pueblos Originarios y/o Migrantes y/o Población SENAME NO DEBE ser mayor que el Total. </v>
      </c>
      <c r="CD83" s="1361" t="e">
        <f t="shared" si="12"/>
        <v>#VALUE!</v>
      </c>
      <c r="CE83" s="1361"/>
      <c r="CF83" s="1361"/>
      <c r="CG83" s="1361"/>
      <c r="CH83" s="1362">
        <f t="shared" si="13"/>
        <v>0</v>
      </c>
      <c r="CI83" s="1362">
        <f t="shared" si="14"/>
        <v>1</v>
      </c>
      <c r="CJ83" s="1362" t="e">
        <f t="shared" si="15"/>
        <v>#VALUE!</v>
      </c>
    </row>
    <row r="84" spans="1:103" ht="20.25" customHeight="1" x14ac:dyDescent="0.3">
      <c r="A84" s="7263">
        <v>31000061</v>
      </c>
      <c r="B84" s="11198" t="s">
        <v>444</v>
      </c>
      <c r="C84" s="11199"/>
      <c r="D84" s="7975" t="s">
        <v>5369</v>
      </c>
      <c r="E84" s="7268" t="s">
        <v>5370</v>
      </c>
      <c r="F84" s="7966" t="s">
        <v>5371</v>
      </c>
      <c r="G84" s="7967" t="s">
        <v>5372</v>
      </c>
      <c r="H84" s="7968" t="s">
        <v>5373</v>
      </c>
      <c r="I84" s="7969" t="s">
        <v>5374</v>
      </c>
      <c r="J84" s="7970" t="s">
        <v>5375</v>
      </c>
      <c r="K84" s="7969" t="s">
        <v>5376</v>
      </c>
      <c r="L84" s="7970" t="s">
        <v>5377</v>
      </c>
      <c r="M84" s="7969" t="s">
        <v>5378</v>
      </c>
      <c r="N84" s="7970" t="s">
        <v>5379</v>
      </c>
      <c r="O84" s="7971" t="s">
        <v>5380</v>
      </c>
      <c r="P84" s="7976" t="s">
        <v>5381</v>
      </c>
      <c r="Q84" s="7977" t="s">
        <v>5382</v>
      </c>
      <c r="R84" s="7978" t="s">
        <v>5383</v>
      </c>
      <c r="S84" s="7978" t="s">
        <v>5384</v>
      </c>
      <c r="T84" s="7978" t="s">
        <v>5385</v>
      </c>
      <c r="U84" s="7978" t="s">
        <v>5386</v>
      </c>
      <c r="V84" s="7978" t="s">
        <v>5387</v>
      </c>
      <c r="W84" s="1360" t="e">
        <f t="shared" si="11"/>
        <v>#VALUE!</v>
      </c>
      <c r="CB84" s="1361" t="str">
        <f t="shared" si="16"/>
        <v/>
      </c>
      <c r="CC84" s="1361" t="str">
        <f t="shared" si="17"/>
        <v xml:space="preserve">* El número de Beneficiarios y/o Pueblos Originarios y/o Migrantes y/o Población SENAME NO DEBE ser mayor que el Total. </v>
      </c>
      <c r="CD84" s="1361" t="e">
        <f t="shared" si="12"/>
        <v>#VALUE!</v>
      </c>
      <c r="CE84" s="1361"/>
      <c r="CF84" s="1361"/>
      <c r="CG84" s="1361"/>
      <c r="CH84" s="1362">
        <f t="shared" si="13"/>
        <v>0</v>
      </c>
      <c r="CI84" s="1362">
        <f t="shared" si="14"/>
        <v>1</v>
      </c>
      <c r="CJ84" s="1362" t="e">
        <f t="shared" si="15"/>
        <v>#VALUE!</v>
      </c>
    </row>
    <row r="85" spans="1:103" ht="20.25" customHeight="1" x14ac:dyDescent="0.3">
      <c r="A85" s="7263">
        <v>31000062</v>
      </c>
      <c r="B85" s="11198" t="s">
        <v>445</v>
      </c>
      <c r="C85" s="11199"/>
      <c r="D85" s="7975" t="s">
        <v>5369</v>
      </c>
      <c r="E85" s="7979" t="s">
        <v>5370</v>
      </c>
      <c r="F85" s="7966" t="s">
        <v>5371</v>
      </c>
      <c r="G85" s="7967" t="s">
        <v>5372</v>
      </c>
      <c r="H85" s="7980" t="s">
        <v>5373</v>
      </c>
      <c r="I85" s="7981" t="s">
        <v>5374</v>
      </c>
      <c r="J85" s="7982" t="s">
        <v>5375</v>
      </c>
      <c r="K85" s="7981" t="s">
        <v>5376</v>
      </c>
      <c r="L85" s="7982" t="s">
        <v>5377</v>
      </c>
      <c r="M85" s="7981" t="s">
        <v>5378</v>
      </c>
      <c r="N85" s="7970" t="s">
        <v>5379</v>
      </c>
      <c r="O85" s="7971" t="s">
        <v>5380</v>
      </c>
      <c r="P85" s="7983" t="s">
        <v>5381</v>
      </c>
      <c r="Q85" s="7984" t="s">
        <v>5382</v>
      </c>
      <c r="R85" s="7985" t="s">
        <v>5383</v>
      </c>
      <c r="S85" s="7985" t="s">
        <v>5384</v>
      </c>
      <c r="T85" s="7985" t="s">
        <v>5385</v>
      </c>
      <c r="U85" s="7985" t="s">
        <v>5386</v>
      </c>
      <c r="V85" s="7985" t="s">
        <v>5387</v>
      </c>
      <c r="W85" s="1360" t="e">
        <f t="shared" si="11"/>
        <v>#VALUE!</v>
      </c>
      <c r="CB85" s="1361" t="str">
        <f t="shared" si="16"/>
        <v/>
      </c>
      <c r="CC85" s="1361" t="str">
        <f t="shared" si="17"/>
        <v xml:space="preserve">* El número de Beneficiarios y/o Pueblos Originarios y/o Migrantes y/o Población SENAME NO DEBE ser mayor que el Total. </v>
      </c>
      <c r="CD85" s="1361" t="e">
        <f t="shared" si="12"/>
        <v>#VALUE!</v>
      </c>
      <c r="CE85" s="1361"/>
      <c r="CF85" s="1361"/>
      <c r="CG85" s="1361"/>
      <c r="CH85" s="1362">
        <f t="shared" si="13"/>
        <v>0</v>
      </c>
      <c r="CI85" s="1362">
        <f t="shared" si="14"/>
        <v>1</v>
      </c>
      <c r="CJ85" s="1362" t="e">
        <f t="shared" si="15"/>
        <v>#VALUE!</v>
      </c>
    </row>
    <row r="86" spans="1:103" ht="20.25" customHeight="1" x14ac:dyDescent="0.3">
      <c r="A86" s="7263">
        <v>31000063</v>
      </c>
      <c r="B86" s="11217" t="s">
        <v>373</v>
      </c>
      <c r="C86" s="11218"/>
      <c r="D86" s="7975" t="s">
        <v>5369</v>
      </c>
      <c r="E86" s="7979" t="s">
        <v>5370</v>
      </c>
      <c r="F86" s="7966" t="s">
        <v>5371</v>
      </c>
      <c r="G86" s="7967" t="s">
        <v>5372</v>
      </c>
      <c r="H86" s="7968" t="s">
        <v>5373</v>
      </c>
      <c r="I86" s="7969" t="s">
        <v>5374</v>
      </c>
      <c r="J86" s="7970" t="s">
        <v>5375</v>
      </c>
      <c r="K86" s="7969" t="s">
        <v>5376</v>
      </c>
      <c r="L86" s="7970" t="s">
        <v>5377</v>
      </c>
      <c r="M86" s="7969" t="s">
        <v>5378</v>
      </c>
      <c r="N86" s="7982" t="s">
        <v>5379</v>
      </c>
      <c r="O86" s="7986" t="s">
        <v>5380</v>
      </c>
      <c r="P86" s="7983" t="s">
        <v>5381</v>
      </c>
      <c r="Q86" s="7984" t="s">
        <v>5382</v>
      </c>
      <c r="R86" s="7985" t="s">
        <v>5383</v>
      </c>
      <c r="S86" s="7985" t="s">
        <v>5384</v>
      </c>
      <c r="T86" s="7985" t="s">
        <v>5385</v>
      </c>
      <c r="U86" s="7985" t="s">
        <v>5386</v>
      </c>
      <c r="V86" s="7985" t="s">
        <v>5387</v>
      </c>
      <c r="W86" s="1360" t="e">
        <f t="shared" si="11"/>
        <v>#VALUE!</v>
      </c>
      <c r="CB86" s="1361" t="str">
        <f t="shared" si="16"/>
        <v/>
      </c>
      <c r="CC86" s="1361" t="str">
        <f t="shared" si="17"/>
        <v xml:space="preserve">* El número de Beneficiarios y/o Pueblos Originarios y/o Migrantes y/o Población SENAME NO DEBE ser mayor que el Total. </v>
      </c>
      <c r="CD86" s="1361" t="e">
        <f t="shared" si="12"/>
        <v>#VALUE!</v>
      </c>
      <c r="CE86" s="1361"/>
      <c r="CF86" s="1361"/>
      <c r="CG86" s="1361"/>
      <c r="CH86" s="1362">
        <f t="shared" si="13"/>
        <v>0</v>
      </c>
      <c r="CI86" s="1362">
        <f t="shared" si="14"/>
        <v>1</v>
      </c>
      <c r="CJ86" s="1362" t="e">
        <f t="shared" si="15"/>
        <v>#VALUE!</v>
      </c>
    </row>
    <row r="87" spans="1:103" ht="20.25" customHeight="1" x14ac:dyDescent="0.3">
      <c r="A87" s="7519"/>
      <c r="B87" s="1414" t="s">
        <v>44</v>
      </c>
      <c r="C87" s="1415"/>
      <c r="D87" s="1416">
        <f>SUM(D73:D86)</f>
        <v>0</v>
      </c>
      <c r="E87" s="1339">
        <f>SUM(F87:G87)</f>
        <v>0</v>
      </c>
      <c r="F87" s="1928">
        <f t="shared" ref="F87:U87" si="18">SUM(F73:F86)</f>
        <v>0</v>
      </c>
      <c r="G87" s="1926">
        <f t="shared" si="18"/>
        <v>0</v>
      </c>
      <c r="H87" s="2056">
        <f>SUM(H73:H86)</f>
        <v>0</v>
      </c>
      <c r="I87" s="1961">
        <f t="shared" si="18"/>
        <v>0</v>
      </c>
      <c r="J87" s="2018">
        <f t="shared" si="18"/>
        <v>0</v>
      </c>
      <c r="K87" s="1961">
        <f t="shared" si="18"/>
        <v>0</v>
      </c>
      <c r="L87" s="2018">
        <f t="shared" si="18"/>
        <v>0</v>
      </c>
      <c r="M87" s="1961">
        <f t="shared" si="18"/>
        <v>0</v>
      </c>
      <c r="N87" s="2018">
        <f t="shared" si="18"/>
        <v>0</v>
      </c>
      <c r="O87" s="2019">
        <f t="shared" si="18"/>
        <v>0</v>
      </c>
      <c r="P87" s="2016">
        <f t="shared" si="18"/>
        <v>0</v>
      </c>
      <c r="Q87" s="1417">
        <f t="shared" si="18"/>
        <v>0</v>
      </c>
      <c r="R87" s="1417">
        <f t="shared" si="18"/>
        <v>0</v>
      </c>
      <c r="S87" s="1417">
        <f t="shared" si="18"/>
        <v>0</v>
      </c>
      <c r="T87" s="1417">
        <f t="shared" si="18"/>
        <v>0</v>
      </c>
      <c r="U87" s="1417">
        <f t="shared" si="18"/>
        <v>0</v>
      </c>
      <c r="V87" s="1417">
        <f>SUM(V73:V86)</f>
        <v>0</v>
      </c>
    </row>
    <row r="88" spans="1:103" s="1942" customFormat="1" ht="24" customHeight="1" x14ac:dyDescent="0.3">
      <c r="B88" s="1345" t="s">
        <v>3955</v>
      </c>
      <c r="C88" s="1971"/>
      <c r="AH88" s="1943"/>
      <c r="AI88" s="1943"/>
      <c r="AJ88" s="1943"/>
      <c r="AK88" s="1943"/>
      <c r="AL88" s="1943"/>
      <c r="AM88" s="1943"/>
      <c r="AN88" s="1943"/>
      <c r="AO88" s="1943"/>
      <c r="AP88" s="1943"/>
      <c r="AQ88" s="1943"/>
      <c r="AR88" s="1943"/>
      <c r="AS88" s="1943"/>
      <c r="AT88" s="1943"/>
      <c r="AU88" s="1943"/>
      <c r="AV88" s="1943"/>
      <c r="AW88" s="1943"/>
      <c r="AX88" s="1943"/>
      <c r="AY88" s="1943"/>
      <c r="AZ88" s="1943"/>
      <c r="BA88" s="1943"/>
      <c r="BB88" s="1944"/>
      <c r="BC88" s="1944"/>
      <c r="BD88" s="1944"/>
      <c r="BE88" s="1944"/>
      <c r="BF88" s="1944"/>
      <c r="BG88" s="1944"/>
      <c r="BH88" s="1944"/>
      <c r="BI88" s="1944"/>
      <c r="BJ88" s="1944"/>
      <c r="BK88" s="1944"/>
      <c r="BL88" s="1944"/>
      <c r="BM88" s="1944"/>
      <c r="BN88" s="1944"/>
      <c r="BO88" s="1944"/>
      <c r="BP88" s="1944"/>
      <c r="BQ88" s="1944"/>
      <c r="BR88" s="1944"/>
      <c r="BS88" s="1944"/>
      <c r="BT88" s="1944"/>
      <c r="BU88" s="1944"/>
      <c r="BV88" s="1944"/>
      <c r="BW88" s="1944"/>
      <c r="BX88" s="1944"/>
      <c r="BY88" s="1944"/>
      <c r="BZ88" s="1944"/>
      <c r="CA88" s="1944"/>
      <c r="CB88" s="1944"/>
      <c r="CC88" s="1944"/>
      <c r="CD88" s="1944"/>
      <c r="CE88" s="1944"/>
      <c r="CF88" s="1944"/>
      <c r="CG88" s="1944"/>
      <c r="CH88" s="1944"/>
      <c r="CI88" s="1944"/>
      <c r="CJ88" s="1944"/>
      <c r="CK88" s="1944"/>
      <c r="CL88" s="1944"/>
      <c r="CM88" s="1943"/>
      <c r="CN88" s="1943"/>
      <c r="CO88" s="1943"/>
      <c r="CP88" s="1943"/>
      <c r="CQ88" s="1943"/>
      <c r="CR88" s="1943"/>
      <c r="CS88" s="1943"/>
      <c r="CT88" s="1943"/>
      <c r="CU88" s="1943"/>
      <c r="CV88" s="1943"/>
      <c r="CW88" s="1943"/>
      <c r="CX88" s="1943"/>
      <c r="CY88" s="1943"/>
    </row>
    <row r="89" spans="1:103" s="1942" customFormat="1" ht="13.8" x14ac:dyDescent="0.25">
      <c r="A89" s="7799"/>
      <c r="B89" s="11210" t="s">
        <v>170</v>
      </c>
      <c r="C89" s="11212" t="s">
        <v>39</v>
      </c>
      <c r="D89" s="11214" t="s">
        <v>2420</v>
      </c>
      <c r="E89" s="11215"/>
      <c r="F89" s="11215"/>
      <c r="G89" s="11215"/>
      <c r="H89" s="11215"/>
      <c r="I89" s="11215"/>
      <c r="J89" s="11215"/>
      <c r="K89" s="11215"/>
      <c r="L89" s="11215"/>
      <c r="M89" s="11215"/>
      <c r="N89" s="11215"/>
      <c r="O89" s="11215"/>
      <c r="P89" s="11215"/>
      <c r="Q89" s="11215"/>
      <c r="R89" s="11215"/>
      <c r="S89" s="11215"/>
      <c r="T89" s="11216"/>
      <c r="AH89" s="1943"/>
      <c r="AI89" s="1943"/>
      <c r="AJ89" s="1943"/>
      <c r="AK89" s="1943"/>
      <c r="AL89" s="1943"/>
      <c r="AM89" s="1943"/>
      <c r="AN89" s="1943"/>
      <c r="AO89" s="1943"/>
      <c r="AP89" s="1943"/>
      <c r="AQ89" s="1943"/>
      <c r="AR89" s="1943"/>
      <c r="AS89" s="1943"/>
      <c r="AT89" s="1943"/>
      <c r="AU89" s="1943"/>
      <c r="AV89" s="1943"/>
      <c r="AW89" s="1943"/>
      <c r="AX89" s="1943"/>
      <c r="AY89" s="1943"/>
      <c r="AZ89" s="1943"/>
      <c r="BA89" s="1943"/>
      <c r="BB89" s="1944"/>
      <c r="BC89" s="1944"/>
      <c r="BD89" s="1944"/>
      <c r="BE89" s="1944"/>
      <c r="BF89" s="1944"/>
      <c r="BG89" s="1944"/>
      <c r="BH89" s="1944"/>
      <c r="BI89" s="1944"/>
      <c r="BJ89" s="1944"/>
      <c r="BK89" s="1944"/>
      <c r="BL89" s="1944"/>
      <c r="BM89" s="1944"/>
      <c r="BN89" s="1944"/>
      <c r="BO89" s="1944"/>
      <c r="BP89" s="1944"/>
      <c r="BQ89" s="1944"/>
      <c r="BR89" s="1944"/>
      <c r="BS89" s="1944"/>
      <c r="BT89" s="1944"/>
      <c r="BU89" s="1944"/>
      <c r="BV89" s="1944"/>
      <c r="BW89" s="1944"/>
      <c r="BX89" s="1944"/>
      <c r="BY89" s="1944"/>
      <c r="BZ89" s="1944"/>
      <c r="CA89" s="1944"/>
      <c r="CB89" s="1944"/>
      <c r="CC89" s="1944"/>
      <c r="CD89" s="1944"/>
      <c r="CE89" s="1944"/>
      <c r="CF89" s="1944"/>
      <c r="CG89" s="1944"/>
      <c r="CH89" s="1944"/>
      <c r="CI89" s="1944"/>
      <c r="CJ89" s="1944"/>
      <c r="CK89" s="1944"/>
      <c r="CL89" s="1944"/>
      <c r="CM89" s="1943"/>
      <c r="CN89" s="1943"/>
      <c r="CO89" s="1943"/>
      <c r="CP89" s="1943"/>
      <c r="CQ89" s="1943"/>
      <c r="CR89" s="1943"/>
      <c r="CS89" s="1943"/>
      <c r="CT89" s="1943"/>
      <c r="CU89" s="1943"/>
      <c r="CV89" s="1943"/>
      <c r="CW89" s="1943"/>
      <c r="CX89" s="1943"/>
      <c r="CY89" s="1943"/>
    </row>
    <row r="90" spans="1:103" s="1942" customFormat="1" ht="37.950000000000003" customHeight="1" x14ac:dyDescent="0.25">
      <c r="A90" s="7799"/>
      <c r="B90" s="11211"/>
      <c r="C90" s="11213"/>
      <c r="D90" s="1947" t="s">
        <v>399</v>
      </c>
      <c r="E90" s="1969" t="s">
        <v>54</v>
      </c>
      <c r="F90" s="1969" t="s">
        <v>79</v>
      </c>
      <c r="G90" s="1969" t="s">
        <v>80</v>
      </c>
      <c r="H90" s="1969" t="s">
        <v>81</v>
      </c>
      <c r="I90" s="1969" t="s">
        <v>82</v>
      </c>
      <c r="J90" s="1969" t="s">
        <v>83</v>
      </c>
      <c r="K90" s="1969" t="s">
        <v>400</v>
      </c>
      <c r="L90" s="1969" t="s">
        <v>124</v>
      </c>
      <c r="M90" s="1969" t="s">
        <v>125</v>
      </c>
      <c r="N90" s="1969" t="s">
        <v>126</v>
      </c>
      <c r="O90" s="1969" t="s">
        <v>127</v>
      </c>
      <c r="P90" s="1969" t="s">
        <v>128</v>
      </c>
      <c r="Q90" s="1969" t="s">
        <v>129</v>
      </c>
      <c r="R90" s="1969" t="s">
        <v>130</v>
      </c>
      <c r="S90" s="1969" t="s">
        <v>131</v>
      </c>
      <c r="T90" s="3294" t="s">
        <v>1919</v>
      </c>
      <c r="AH90" s="1943"/>
      <c r="AI90" s="1943"/>
      <c r="AJ90" s="1943"/>
      <c r="AK90" s="1943"/>
      <c r="AL90" s="1943"/>
      <c r="AM90" s="1943"/>
      <c r="AN90" s="1943"/>
      <c r="AO90" s="1943"/>
      <c r="AP90" s="1943"/>
      <c r="AQ90" s="1943"/>
      <c r="AR90" s="1943"/>
      <c r="AS90" s="1943"/>
      <c r="AT90" s="1943"/>
      <c r="AU90" s="1943"/>
      <c r="AV90" s="1943"/>
      <c r="AW90" s="1943"/>
      <c r="AX90" s="1943"/>
      <c r="AY90" s="1943"/>
      <c r="AZ90" s="1943"/>
      <c r="BA90" s="1943"/>
      <c r="BB90" s="1944"/>
      <c r="BC90" s="1944"/>
      <c r="BD90" s="1944"/>
      <c r="BE90" s="1944"/>
      <c r="BF90" s="1944"/>
      <c r="BG90" s="1944"/>
      <c r="BH90" s="1944"/>
      <c r="BI90" s="1944"/>
      <c r="BJ90" s="1944"/>
      <c r="BK90" s="1944"/>
      <c r="BL90" s="1944"/>
      <c r="BM90" s="1944"/>
      <c r="BN90" s="1944"/>
      <c r="BO90" s="1944"/>
      <c r="BP90" s="1944"/>
      <c r="BQ90" s="1944"/>
      <c r="BR90" s="1944"/>
      <c r="BS90" s="1944"/>
      <c r="BT90" s="1944"/>
      <c r="BU90" s="1944"/>
      <c r="BV90" s="1944"/>
      <c r="BW90" s="1944"/>
      <c r="BX90" s="1944"/>
      <c r="BY90" s="1944"/>
      <c r="BZ90" s="1944"/>
      <c r="CA90" s="1944"/>
      <c r="CB90" s="1944"/>
      <c r="CC90" s="1944"/>
      <c r="CD90" s="1944"/>
      <c r="CE90" s="1944"/>
      <c r="CF90" s="1944"/>
      <c r="CG90" s="1944"/>
      <c r="CH90" s="1944"/>
      <c r="CI90" s="1944"/>
      <c r="CJ90" s="1944"/>
      <c r="CK90" s="1944"/>
      <c r="CL90" s="1944"/>
      <c r="CM90" s="1943"/>
      <c r="CN90" s="1943"/>
      <c r="CO90" s="1943"/>
      <c r="CP90" s="1943"/>
      <c r="CQ90" s="1943"/>
      <c r="CR90" s="1943"/>
      <c r="CS90" s="1943"/>
      <c r="CT90" s="1943"/>
      <c r="CU90" s="1943"/>
      <c r="CV90" s="1943"/>
      <c r="CW90" s="1943"/>
      <c r="CX90" s="1943"/>
      <c r="CY90" s="1943"/>
    </row>
    <row r="91" spans="1:103" s="1942" customFormat="1" ht="19.95" customHeight="1" x14ac:dyDescent="0.25">
      <c r="A91" s="7320">
        <v>32101527</v>
      </c>
      <c r="B91" s="3293" t="s">
        <v>374</v>
      </c>
      <c r="C91" s="1840" t="s">
        <v>5369</v>
      </c>
      <c r="D91" s="1854" t="s">
        <v>5370</v>
      </c>
      <c r="E91" s="1964" t="s">
        <v>5371</v>
      </c>
      <c r="F91" s="1964" t="s">
        <v>5372</v>
      </c>
      <c r="G91" s="1964" t="s">
        <v>5373</v>
      </c>
      <c r="H91" s="1964" t="s">
        <v>5374</v>
      </c>
      <c r="I91" s="1964" t="s">
        <v>5375</v>
      </c>
      <c r="J91" s="1964" t="s">
        <v>5376</v>
      </c>
      <c r="K91" s="1964" t="s">
        <v>5377</v>
      </c>
      <c r="L91" s="1964" t="s">
        <v>5378</v>
      </c>
      <c r="M91" s="1964" t="s">
        <v>5379</v>
      </c>
      <c r="N91" s="1964" t="s">
        <v>5380</v>
      </c>
      <c r="O91" s="1964" t="s">
        <v>5381</v>
      </c>
      <c r="P91" s="1964" t="s">
        <v>5382</v>
      </c>
      <c r="Q91" s="1964" t="s">
        <v>5383</v>
      </c>
      <c r="R91" s="1964" t="s">
        <v>5384</v>
      </c>
      <c r="S91" s="1964" t="s">
        <v>5385</v>
      </c>
      <c r="T91" s="1965" t="s">
        <v>5386</v>
      </c>
      <c r="AH91" s="1943"/>
      <c r="AI91" s="1943"/>
      <c r="AJ91" s="1943"/>
      <c r="AK91" s="1943"/>
      <c r="AL91" s="1943"/>
      <c r="AM91" s="1943"/>
      <c r="AN91" s="1943"/>
      <c r="AO91" s="1943"/>
      <c r="AP91" s="1943"/>
      <c r="AQ91" s="1943"/>
      <c r="AR91" s="1943"/>
      <c r="AS91" s="1943"/>
      <c r="AT91" s="1943"/>
      <c r="AU91" s="1943"/>
      <c r="AV91" s="1943"/>
      <c r="AW91" s="1943"/>
      <c r="AX91" s="1943"/>
      <c r="AY91" s="1943"/>
      <c r="AZ91" s="1943"/>
      <c r="BA91" s="1943"/>
      <c r="BB91" s="1944"/>
      <c r="BC91" s="1944"/>
      <c r="BD91" s="1944"/>
      <c r="BE91" s="1944"/>
      <c r="BF91" s="1944"/>
      <c r="BG91" s="1944"/>
      <c r="BH91" s="1944"/>
      <c r="BI91" s="1944"/>
      <c r="BJ91" s="1944"/>
      <c r="BK91" s="1944"/>
      <c r="BL91" s="1944"/>
      <c r="BM91" s="1944"/>
      <c r="BN91" s="1944"/>
      <c r="BO91" s="1944"/>
      <c r="BP91" s="1944"/>
      <c r="BQ91" s="1944"/>
      <c r="BR91" s="1944"/>
      <c r="BS91" s="1944"/>
      <c r="BT91" s="1944"/>
      <c r="BU91" s="1944"/>
      <c r="BV91" s="1944"/>
      <c r="BW91" s="1944"/>
      <c r="BX91" s="1944"/>
      <c r="BY91" s="1944"/>
      <c r="BZ91" s="1944"/>
      <c r="CA91" s="1944"/>
      <c r="CB91" s="1944"/>
      <c r="CC91" s="1944"/>
      <c r="CD91" s="1944"/>
      <c r="CE91" s="1944"/>
      <c r="CF91" s="1944"/>
      <c r="CG91" s="1944"/>
      <c r="CH91" s="1944"/>
      <c r="CI91" s="1944"/>
      <c r="CJ91" s="1944"/>
      <c r="CK91" s="1944"/>
      <c r="CL91" s="1944"/>
      <c r="CM91" s="1943"/>
      <c r="CN91" s="1943"/>
      <c r="CO91" s="1943"/>
      <c r="CP91" s="1943"/>
      <c r="CQ91" s="1943"/>
      <c r="CR91" s="1943"/>
      <c r="CS91" s="1943"/>
      <c r="CT91" s="1943"/>
      <c r="CU91" s="1943"/>
      <c r="CV91" s="1943"/>
      <c r="CW91" s="1943"/>
      <c r="CX91" s="1943"/>
      <c r="CY91" s="1943"/>
    </row>
    <row r="92" spans="1:103" s="1942" customFormat="1" ht="24.6" customHeight="1" x14ac:dyDescent="0.25">
      <c r="A92" s="7320">
        <v>32101528</v>
      </c>
      <c r="B92" s="3293" t="s">
        <v>2433</v>
      </c>
      <c r="C92" s="1840" t="s">
        <v>5369</v>
      </c>
      <c r="D92" s="1854" t="s">
        <v>5370</v>
      </c>
      <c r="E92" s="1964" t="s">
        <v>5371</v>
      </c>
      <c r="F92" s="1964" t="s">
        <v>5372</v>
      </c>
      <c r="G92" s="1964" t="s">
        <v>5373</v>
      </c>
      <c r="H92" s="1964" t="s">
        <v>5374</v>
      </c>
      <c r="I92" s="1964" t="s">
        <v>5375</v>
      </c>
      <c r="J92" s="1964" t="s">
        <v>5376</v>
      </c>
      <c r="K92" s="1964" t="s">
        <v>5377</v>
      </c>
      <c r="L92" s="1964" t="s">
        <v>5378</v>
      </c>
      <c r="M92" s="1964" t="s">
        <v>5379</v>
      </c>
      <c r="N92" s="1964" t="s">
        <v>5380</v>
      </c>
      <c r="O92" s="1964" t="s">
        <v>5381</v>
      </c>
      <c r="P92" s="1964" t="s">
        <v>5382</v>
      </c>
      <c r="Q92" s="1964" t="s">
        <v>5383</v>
      </c>
      <c r="R92" s="1964" t="s">
        <v>5384</v>
      </c>
      <c r="S92" s="1964" t="s">
        <v>5385</v>
      </c>
      <c r="T92" s="1965" t="s">
        <v>5386</v>
      </c>
      <c r="U92" s="1970"/>
      <c r="AH92" s="1943"/>
      <c r="AI92" s="1943"/>
      <c r="AJ92" s="1943"/>
      <c r="AK92" s="1943"/>
      <c r="AL92" s="1943"/>
      <c r="AM92" s="1943"/>
      <c r="AN92" s="1943"/>
      <c r="AO92" s="1943"/>
      <c r="AP92" s="1943"/>
      <c r="AQ92" s="1943"/>
      <c r="AR92" s="1943"/>
      <c r="AS92" s="1943"/>
      <c r="AT92" s="1943"/>
      <c r="AU92" s="1943"/>
      <c r="AV92" s="1943"/>
      <c r="AW92" s="1943"/>
      <c r="AX92" s="1943"/>
      <c r="AY92" s="1943"/>
      <c r="AZ92" s="1943"/>
      <c r="BA92" s="1943"/>
      <c r="BB92" s="1944"/>
      <c r="BC92" s="1944"/>
      <c r="BD92" s="1944"/>
      <c r="BE92" s="1944"/>
      <c r="BF92" s="1944"/>
      <c r="BG92" s="1944"/>
      <c r="BH92" s="1944"/>
      <c r="BI92" s="1944"/>
      <c r="BJ92" s="1944"/>
      <c r="BK92" s="1944"/>
      <c r="BL92" s="1944"/>
      <c r="BM92" s="1944"/>
      <c r="BN92" s="1944"/>
      <c r="BO92" s="1944"/>
      <c r="BP92" s="1944"/>
      <c r="BQ92" s="1944"/>
      <c r="BR92" s="1944"/>
      <c r="BS92" s="1944"/>
      <c r="BT92" s="1944"/>
      <c r="BU92" s="1944"/>
      <c r="BV92" s="1944"/>
      <c r="BW92" s="1944"/>
      <c r="BX92" s="1944"/>
      <c r="BY92" s="1944"/>
      <c r="BZ92" s="1944"/>
      <c r="CA92" s="1944"/>
      <c r="CB92" s="1944"/>
      <c r="CC92" s="1944"/>
      <c r="CD92" s="1944"/>
      <c r="CE92" s="1944"/>
      <c r="CF92" s="1944"/>
      <c r="CG92" s="1944"/>
      <c r="CH92" s="1944"/>
      <c r="CI92" s="1944"/>
      <c r="CJ92" s="1944"/>
      <c r="CK92" s="1944"/>
      <c r="CL92" s="1944"/>
      <c r="CM92" s="1943"/>
      <c r="CN92" s="1943"/>
      <c r="CO92" s="1943"/>
      <c r="CP92" s="1943"/>
      <c r="CQ92" s="1943"/>
      <c r="CR92" s="1943"/>
      <c r="CS92" s="1943"/>
      <c r="CT92" s="1943"/>
      <c r="CU92" s="1943"/>
      <c r="CV92" s="1943"/>
      <c r="CW92" s="1943"/>
      <c r="CX92" s="1943"/>
      <c r="CY92" s="1943"/>
    </row>
    <row r="93" spans="1:103" s="1942" customFormat="1" ht="19.95" customHeight="1" x14ac:dyDescent="0.25">
      <c r="A93" s="7320">
        <v>32101529</v>
      </c>
      <c r="B93" s="3539" t="s">
        <v>375</v>
      </c>
      <c r="C93" s="1962" t="s">
        <v>5369</v>
      </c>
      <c r="D93" s="1966" t="s">
        <v>5370</v>
      </c>
      <c r="E93" s="1967" t="s">
        <v>5371</v>
      </c>
      <c r="F93" s="1967" t="s">
        <v>5372</v>
      </c>
      <c r="G93" s="1967" t="s">
        <v>5373</v>
      </c>
      <c r="H93" s="1967" t="s">
        <v>5374</v>
      </c>
      <c r="I93" s="1967" t="s">
        <v>5375</v>
      </c>
      <c r="J93" s="1967" t="s">
        <v>5376</v>
      </c>
      <c r="K93" s="1967" t="s">
        <v>5377</v>
      </c>
      <c r="L93" s="1967" t="s">
        <v>5378</v>
      </c>
      <c r="M93" s="1967" t="s">
        <v>5379</v>
      </c>
      <c r="N93" s="1967" t="s">
        <v>5380</v>
      </c>
      <c r="O93" s="1967" t="s">
        <v>5381</v>
      </c>
      <c r="P93" s="1967" t="s">
        <v>5382</v>
      </c>
      <c r="Q93" s="1967" t="s">
        <v>5383</v>
      </c>
      <c r="R93" s="1967" t="s">
        <v>5384</v>
      </c>
      <c r="S93" s="1967" t="s">
        <v>5385</v>
      </c>
      <c r="T93" s="1968" t="s">
        <v>5386</v>
      </c>
      <c r="U93" s="72"/>
      <c r="V93" s="72"/>
      <c r="W93" s="72"/>
      <c r="X93" s="72"/>
      <c r="Y93" s="72"/>
      <c r="Z93" s="140"/>
      <c r="AA93" s="140"/>
      <c r="AB93" s="140"/>
      <c r="AC93" s="140"/>
      <c r="AD93" s="140"/>
      <c r="AE93" s="140"/>
      <c r="AF93" s="140"/>
      <c r="AG93" s="140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99"/>
      <c r="AU93" s="1943"/>
      <c r="AV93" s="1943"/>
      <c r="AW93" s="1943"/>
      <c r="AX93" s="1943"/>
      <c r="AY93" s="1943"/>
      <c r="AZ93" s="1943"/>
      <c r="BA93" s="1943"/>
      <c r="BB93" s="1944"/>
      <c r="BC93" s="1944"/>
      <c r="BD93" s="1944"/>
      <c r="BE93" s="1944"/>
      <c r="BF93" s="1944"/>
      <c r="BG93" s="1944"/>
      <c r="BH93" s="1944"/>
      <c r="BI93" s="1944"/>
      <c r="BJ93" s="1944"/>
      <c r="BK93" s="1944"/>
      <c r="BL93" s="1944"/>
      <c r="BM93" s="1944"/>
      <c r="BN93" s="1944"/>
      <c r="BO93" s="1944"/>
      <c r="BP93" s="1944"/>
      <c r="BQ93" s="1944"/>
      <c r="BR93" s="1944"/>
      <c r="BS93" s="1944"/>
      <c r="BT93" s="1944"/>
      <c r="BU93" s="1944"/>
      <c r="BV93" s="1944"/>
      <c r="BW93" s="1944"/>
      <c r="BX93" s="1944"/>
      <c r="BY93" s="1944"/>
      <c r="BZ93" s="1944"/>
      <c r="CA93" s="1944"/>
      <c r="CB93" s="1944"/>
      <c r="CC93" s="1944"/>
      <c r="CD93" s="1944"/>
      <c r="CE93" s="1944"/>
      <c r="CF93" s="1944"/>
      <c r="CG93" s="1944"/>
      <c r="CH93" s="1944"/>
      <c r="CI93" s="1944"/>
      <c r="CJ93" s="1944"/>
      <c r="CK93" s="1944"/>
      <c r="CL93" s="1944"/>
      <c r="CM93" s="1943"/>
      <c r="CN93" s="1943"/>
      <c r="CO93" s="1943"/>
      <c r="CP93" s="1943"/>
      <c r="CQ93" s="1943"/>
      <c r="CR93" s="1943"/>
      <c r="CS93" s="1943"/>
      <c r="CT93" s="1943"/>
      <c r="CU93" s="1943"/>
      <c r="CV93" s="1943"/>
      <c r="CW93" s="1943"/>
      <c r="CX93" s="1943"/>
      <c r="CY93" s="1943"/>
    </row>
    <row r="95" spans="1:103" x14ac:dyDescent="0.3">
      <c r="A95" s="1192" t="s">
        <v>4068</v>
      </c>
    </row>
    <row r="96" spans="1:103" x14ac:dyDescent="0.3">
      <c r="A96" s="7320">
        <v>32101527</v>
      </c>
    </row>
    <row r="97" spans="1:1" x14ac:dyDescent="0.3">
      <c r="A97" s="7320">
        <v>32101528</v>
      </c>
    </row>
    <row r="98" spans="1:1" x14ac:dyDescent="0.3">
      <c r="A98" s="7320">
        <v>32101529</v>
      </c>
    </row>
    <row r="175" spans="2:100" ht="11.25" customHeight="1" x14ac:dyDescent="0.3"/>
    <row r="176" spans="2:100" s="1418" customFormat="1" ht="13.8" hidden="1" x14ac:dyDescent="0.25">
      <c r="B176" s="1418">
        <f>SUM(D30:AR30,C34:C48, D52:D68,E73:E87,D87,C91:C93)</f>
        <v>0</v>
      </c>
      <c r="C176" s="1418">
        <f>SUM(CH13:CI69)</f>
        <v>16</v>
      </c>
      <c r="CD176" s="1419"/>
      <c r="CE176" s="1419"/>
      <c r="CF176" s="1419"/>
      <c r="CG176" s="1419"/>
      <c r="CH176" s="1419"/>
      <c r="CI176" s="1419"/>
      <c r="CJ176" s="1419"/>
      <c r="CK176" s="1419"/>
      <c r="CL176" s="1419"/>
      <c r="CM176" s="1419"/>
      <c r="CN176" s="1419"/>
      <c r="CO176" s="1419"/>
      <c r="CP176" s="1419"/>
      <c r="CQ176" s="1419"/>
      <c r="CR176" s="1419"/>
      <c r="CS176" s="1419"/>
      <c r="CT176" s="1419"/>
      <c r="CU176" s="1419"/>
      <c r="CV176" s="1419"/>
    </row>
  </sheetData>
  <mergeCells count="84">
    <mergeCell ref="B89:B90"/>
    <mergeCell ref="C89:C90"/>
    <mergeCell ref="D89:T89"/>
    <mergeCell ref="B82:C82"/>
    <mergeCell ref="B83:C83"/>
    <mergeCell ref="B84:C84"/>
    <mergeCell ref="B85:C85"/>
    <mergeCell ref="B86:C86"/>
    <mergeCell ref="B73:C73"/>
    <mergeCell ref="B74:C74"/>
    <mergeCell ref="B76:C76"/>
    <mergeCell ref="B77:C77"/>
    <mergeCell ref="B75:C75"/>
    <mergeCell ref="B78:C78"/>
    <mergeCell ref="B79:C79"/>
    <mergeCell ref="B80:C80"/>
    <mergeCell ref="V70:V72"/>
    <mergeCell ref="B68:C68"/>
    <mergeCell ref="B70:C72"/>
    <mergeCell ref="D70:D72"/>
    <mergeCell ref="E70:G71"/>
    <mergeCell ref="H70:O70"/>
    <mergeCell ref="P70:P72"/>
    <mergeCell ref="H71:I71"/>
    <mergeCell ref="J71:K71"/>
    <mergeCell ref="L71:M71"/>
    <mergeCell ref="N71:O71"/>
    <mergeCell ref="Q70:Q72"/>
    <mergeCell ref="R70:R72"/>
    <mergeCell ref="S70:S72"/>
    <mergeCell ref="T70:T72"/>
    <mergeCell ref="U70:U72"/>
    <mergeCell ref="B66:C66"/>
    <mergeCell ref="F32:F33"/>
    <mergeCell ref="G32:AG32"/>
    <mergeCell ref="B50:C51"/>
    <mergeCell ref="D50:D51"/>
    <mergeCell ref="E50:E51"/>
    <mergeCell ref="F50:F51"/>
    <mergeCell ref="G50:G51"/>
    <mergeCell ref="H50:AH50"/>
    <mergeCell ref="E32:E33"/>
    <mergeCell ref="B52:C52"/>
    <mergeCell ref="B53:C53"/>
    <mergeCell ref="B54:C54"/>
    <mergeCell ref="AT11:AT13"/>
    <mergeCell ref="B55:C55"/>
    <mergeCell ref="B61:C61"/>
    <mergeCell ref="B17:B29"/>
    <mergeCell ref="B30:C30"/>
    <mergeCell ref="B32:B33"/>
    <mergeCell ref="C32:C33"/>
    <mergeCell ref="AK12:AL12"/>
    <mergeCell ref="D32:D33"/>
    <mergeCell ref="B14:B16"/>
    <mergeCell ref="AP11:AP13"/>
    <mergeCell ref="AW11:AW13"/>
    <mergeCell ref="AX11:AX13"/>
    <mergeCell ref="G12:H12"/>
    <mergeCell ref="I12:J12"/>
    <mergeCell ref="K12:L12"/>
    <mergeCell ref="M12:N12"/>
    <mergeCell ref="O12:P12"/>
    <mergeCell ref="Q12:R12"/>
    <mergeCell ref="S12:T12"/>
    <mergeCell ref="U12:V12"/>
    <mergeCell ref="AQ11:AQ13"/>
    <mergeCell ref="AR11:AR13"/>
    <mergeCell ref="AS11:AS13"/>
    <mergeCell ref="AM12:AN12"/>
    <mergeCell ref="AU11:AU13"/>
    <mergeCell ref="AV11:AV13"/>
    <mergeCell ref="B7:U7"/>
    <mergeCell ref="B11:C13"/>
    <mergeCell ref="D11:F12"/>
    <mergeCell ref="G11:AN11"/>
    <mergeCell ref="AO11:AO13"/>
    <mergeCell ref="W12:X12"/>
    <mergeCell ref="Y12:Z12"/>
    <mergeCell ref="AA12:AB12"/>
    <mergeCell ref="AC12:AD12"/>
    <mergeCell ref="AE12:AF12"/>
    <mergeCell ref="AG12:AH12"/>
    <mergeCell ref="AI12:AJ12"/>
  </mergeCells>
  <dataValidations count="2">
    <dataValidation allowBlank="1" showInputMessage="1" showErrorMessage="1" error="Valor no Permitido" sqref="B1:XFD1048576 A1:A13 A69:A72 A31:A33 A49:A51 A88:A98 A100:A1048576" xr:uid="{D6CE8A9F-173C-4E55-94EB-51880AEC41F8}"/>
    <dataValidation operator="greaterThanOrEqual" allowBlank="1" showInputMessage="1" showErrorMessage="1" error="Valor no Permitido" sqref="A14:A30 A34:A47 A52:A67 A73:A86" xr:uid="{CD8B8BCF-035A-42F8-978E-B73AE00B3B33}"/>
  </dataValidations>
  <pageMargins left="0.7" right="0.7" top="0.75" bottom="0.75" header="0.3" footer="0.3"/>
  <ignoredErrors>
    <ignoredError sqref="E87" formula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8"/>
  <dimension ref="A1:DC333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5.6640625" style="3810" customWidth="1"/>
    <col min="2" max="2" width="67.33203125" style="3810" customWidth="1"/>
    <col min="3" max="3" width="25.44140625" style="3810" customWidth="1"/>
    <col min="4" max="4" width="16" style="3810" customWidth="1"/>
    <col min="5" max="5" width="14.5546875" style="3810" customWidth="1"/>
    <col min="6" max="6" width="14.44140625" style="3810" bestFit="1" customWidth="1"/>
    <col min="7" max="7" width="12.6640625" style="3810" customWidth="1"/>
    <col min="8" max="8" width="12.109375" style="3810" customWidth="1"/>
    <col min="9" max="10" width="11.44140625" style="3810"/>
    <col min="11" max="11" width="12.88671875" style="3810" customWidth="1"/>
    <col min="12" max="13" width="11.44140625" style="3810"/>
    <col min="14" max="14" width="12.88671875" style="3810" customWidth="1"/>
    <col min="15" max="15" width="12.6640625" style="3810" customWidth="1"/>
    <col min="16" max="16" width="11.44140625" style="3810"/>
    <col min="17" max="17" width="12.33203125" style="3810" customWidth="1"/>
    <col min="18" max="18" width="16.6640625" style="3810" customWidth="1"/>
    <col min="19" max="19" width="15.5546875" style="3810" customWidth="1"/>
    <col min="20" max="20" width="14.5546875" style="3810" customWidth="1"/>
    <col min="21" max="21" width="13.109375" style="3810" customWidth="1"/>
    <col min="22" max="22" width="12.88671875" style="3810" customWidth="1"/>
    <col min="23" max="27" width="12.5546875" style="3810" customWidth="1"/>
    <col min="28" max="28" width="11.44140625" style="3810" customWidth="1"/>
    <col min="29" max="29" width="13.109375" style="3810" customWidth="1"/>
    <col min="30" max="30" width="11.109375" style="3810" customWidth="1"/>
    <col min="31" max="31" width="16.33203125" style="3810" customWidth="1"/>
    <col min="32" max="33" width="11.109375" style="3810" customWidth="1"/>
    <col min="34" max="34" width="12.6640625" style="3811" customWidth="1"/>
    <col min="35" max="35" width="13.33203125" style="3811" customWidth="1"/>
    <col min="36" max="36" width="16.5546875" style="3811" customWidth="1"/>
    <col min="37" max="41" width="16.109375" style="3811" customWidth="1"/>
    <col min="42" max="42" width="14.33203125" style="3811" customWidth="1"/>
    <col min="43" max="43" width="16.109375" style="3811" customWidth="1"/>
    <col min="44" max="44" width="14.88671875" style="3811" customWidth="1"/>
    <col min="45" max="45" width="15.109375" style="3811" customWidth="1"/>
    <col min="46" max="46" width="16.109375" style="3811" customWidth="1"/>
    <col min="47" max="47" width="15.6640625" style="3811" customWidth="1"/>
    <col min="48" max="53" width="11.44140625" style="3811" customWidth="1"/>
    <col min="54" max="54" width="30.44140625" style="3811" customWidth="1"/>
    <col min="55" max="55" width="22.6640625" style="3811" customWidth="1"/>
    <col min="56" max="57" width="11.44140625" style="3811" customWidth="1"/>
    <col min="58" max="58" width="16.6640625" style="3811" customWidth="1"/>
    <col min="59" max="60" width="11.44140625" style="3811" customWidth="1"/>
    <col min="61" max="61" width="21.44140625" style="3811" customWidth="1"/>
    <col min="62" max="62" width="37" style="3811" customWidth="1"/>
    <col min="63" max="63" width="30.88671875" style="3811" customWidth="1"/>
    <col min="64" max="65" width="11.44140625" style="3811" customWidth="1"/>
    <col min="66" max="66" width="13.6640625" style="3811" customWidth="1"/>
    <col min="67" max="67" width="22.33203125" style="3811" customWidth="1"/>
    <col min="68" max="79" width="11.44140625" style="3811" customWidth="1"/>
    <col min="80" max="97" width="11.44140625" style="3811" hidden="1" customWidth="1"/>
    <col min="98" max="104" width="11.44140625" style="3811" customWidth="1"/>
    <col min="105" max="106" width="11.44140625" style="3810" customWidth="1"/>
    <col min="107" max="16384" width="11.44140625" style="3810"/>
  </cols>
  <sheetData>
    <row r="1" spans="1:94" s="3811" customFormat="1" ht="15.6" customHeight="1" x14ac:dyDescent="0.2">
      <c r="B1" s="3807" t="s">
        <v>207</v>
      </c>
      <c r="C1" s="3808"/>
      <c r="D1" s="3809"/>
      <c r="E1" s="3809"/>
      <c r="F1" s="3809"/>
      <c r="G1" s="3809"/>
      <c r="H1" s="3809"/>
      <c r="I1" s="3809"/>
      <c r="J1" s="3809"/>
      <c r="K1" s="3809"/>
      <c r="L1" s="3810"/>
      <c r="M1" s="3810"/>
      <c r="N1" s="3810"/>
      <c r="O1" s="3810"/>
      <c r="P1" s="3810"/>
      <c r="Q1" s="3810"/>
      <c r="R1" s="3810"/>
      <c r="S1" s="3810"/>
      <c r="T1" s="3810"/>
      <c r="U1" s="3810"/>
      <c r="V1" s="3810"/>
      <c r="W1" s="3810"/>
      <c r="X1" s="3810"/>
      <c r="Y1" s="3810"/>
      <c r="Z1" s="3810"/>
      <c r="AA1" s="3810"/>
      <c r="AB1" s="3810"/>
      <c r="AC1" s="3810"/>
      <c r="AD1" s="3810"/>
      <c r="AE1" s="3810"/>
      <c r="AF1" s="3810"/>
      <c r="AG1" s="3810"/>
    </row>
    <row r="2" spans="1:94" s="3811" customFormat="1" ht="15" customHeight="1" x14ac:dyDescent="0.2">
      <c r="B2" s="3807" t="str">
        <f>CONCATENATE("COMUNA: ",NOMBRE!B2," - ","( ",NOMBRE!C2,NOMBRE!D2,NOMBRE!E2,NOMBRE!F2,NOMBRE!G2," )")</f>
        <v>COMUNA:  - (  )</v>
      </c>
      <c r="C2" s="3808"/>
      <c r="D2" s="3809"/>
      <c r="E2" s="3809"/>
      <c r="F2" s="3809"/>
      <c r="G2" s="3809"/>
      <c r="H2" s="3809"/>
      <c r="I2" s="3809"/>
      <c r="J2" s="3809"/>
      <c r="K2" s="3809"/>
      <c r="L2" s="3810"/>
      <c r="M2" s="3810"/>
      <c r="N2" s="3810"/>
      <c r="O2" s="3810"/>
      <c r="P2" s="3810"/>
      <c r="Q2" s="3810"/>
      <c r="R2" s="3810"/>
      <c r="S2" s="3810"/>
      <c r="T2" s="3810"/>
      <c r="U2" s="3810"/>
      <c r="V2" s="3810"/>
      <c r="W2" s="3810"/>
      <c r="X2" s="3810"/>
      <c r="Y2" s="3810"/>
      <c r="Z2" s="3810"/>
      <c r="AA2" s="3810"/>
      <c r="AB2" s="3810"/>
      <c r="AC2" s="3810"/>
      <c r="AD2" s="3810"/>
      <c r="AE2" s="3810"/>
      <c r="AF2" s="3810"/>
      <c r="AG2" s="3810"/>
    </row>
    <row r="3" spans="1:94" s="3811" customFormat="1" ht="13.95" customHeight="1" x14ac:dyDescent="0.2">
      <c r="B3" s="3807" t="str">
        <f>CONCATENATE("ESTABLECIMIENTO/ESTRATEGIA: ",NOMBRE!B3," - ","( ",NOMBRE!C3,NOMBRE!D3,NOMBRE!E3,NOMBRE!F3,NOMBRE!G3,NOMBRE!H3," )")</f>
        <v>ESTABLECIMIENTO/ESTRATEGIA:  - (  )</v>
      </c>
      <c r="C3" s="3812"/>
      <c r="D3" s="3813"/>
      <c r="E3" s="3813"/>
      <c r="F3" s="3813"/>
      <c r="G3" s="3813"/>
      <c r="H3" s="3813"/>
      <c r="I3" s="3813"/>
      <c r="J3" s="3813"/>
      <c r="K3" s="3813"/>
      <c r="L3" s="3810"/>
      <c r="M3" s="3810"/>
      <c r="N3" s="3810"/>
      <c r="O3" s="3810"/>
      <c r="P3" s="3810"/>
      <c r="Q3" s="3810"/>
      <c r="R3" s="3810"/>
      <c r="S3" s="3810"/>
      <c r="T3" s="3810"/>
      <c r="U3" s="3810"/>
      <c r="V3" s="3810"/>
      <c r="W3" s="3810"/>
      <c r="X3" s="3810"/>
      <c r="Y3" s="3810"/>
      <c r="Z3" s="3810"/>
      <c r="AA3" s="3810"/>
      <c r="AB3" s="3810"/>
      <c r="AC3" s="3810"/>
      <c r="AD3" s="3810"/>
      <c r="AE3" s="3810"/>
      <c r="AF3" s="3810"/>
      <c r="AG3" s="3810"/>
    </row>
    <row r="4" spans="1:94" s="3811" customFormat="1" ht="12" customHeight="1" x14ac:dyDescent="0.2">
      <c r="B4" s="3807" t="str">
        <f>CONCATENATE("MES: ",NOMBRE!B6," - ","( ",NOMBRE!C6,NOMBRE!D6," )")</f>
        <v>MES:  - (  )</v>
      </c>
      <c r="C4" s="3812"/>
      <c r="D4" s="3809"/>
      <c r="E4" s="3814"/>
      <c r="F4" s="3809"/>
      <c r="G4" s="3809"/>
      <c r="H4" s="3809"/>
      <c r="I4" s="3809"/>
      <c r="J4" s="3809"/>
      <c r="K4" s="3809"/>
      <c r="L4" s="3810"/>
      <c r="M4" s="3810"/>
      <c r="N4" s="3810"/>
      <c r="O4" s="3810"/>
      <c r="P4" s="3810"/>
      <c r="Q4" s="3810"/>
      <c r="R4" s="3810"/>
      <c r="S4" s="3810"/>
      <c r="T4" s="3810"/>
      <c r="U4" s="3810"/>
      <c r="V4" s="3810"/>
      <c r="W4" s="3810"/>
      <c r="X4" s="3810"/>
      <c r="Y4" s="3810"/>
      <c r="Z4" s="3810"/>
      <c r="AA4" s="3810"/>
      <c r="AB4" s="3810"/>
      <c r="AC4" s="3810"/>
      <c r="AD4" s="3810"/>
      <c r="AE4" s="3810"/>
      <c r="AF4" s="3810"/>
      <c r="AG4" s="3810"/>
    </row>
    <row r="5" spans="1:94" s="3811" customFormat="1" ht="12.6" customHeight="1" x14ac:dyDescent="0.2">
      <c r="B5" s="3807" t="str">
        <f>CONCATENATE("AÑO: ",NOMBRE!B7)</f>
        <v>AÑO: 2023</v>
      </c>
      <c r="C5" s="3812"/>
      <c r="D5" s="3809"/>
      <c r="E5" s="3809"/>
      <c r="F5" s="3809"/>
      <c r="G5" s="3809"/>
      <c r="H5" s="3809"/>
      <c r="I5" s="3809"/>
      <c r="J5" s="3809"/>
      <c r="K5" s="3809"/>
      <c r="L5" s="3810"/>
      <c r="M5" s="3810"/>
      <c r="N5" s="3810"/>
      <c r="O5" s="3810"/>
      <c r="P5" s="3810"/>
      <c r="Q5" s="3810"/>
      <c r="R5" s="3810"/>
      <c r="S5" s="3810"/>
      <c r="T5" s="3810"/>
      <c r="U5" s="3810"/>
      <c r="V5" s="3810"/>
      <c r="W5" s="3810"/>
      <c r="X5" s="3810"/>
      <c r="Y5" s="3810"/>
      <c r="Z5" s="3810"/>
      <c r="AA5" s="3810"/>
      <c r="AB5" s="3810"/>
      <c r="AC5" s="3810"/>
      <c r="AD5" s="3810"/>
      <c r="AE5" s="3810"/>
      <c r="AF5" s="3810"/>
      <c r="AG5" s="3810"/>
    </row>
    <row r="6" spans="1:94" s="3811" customFormat="1" x14ac:dyDescent="0.2">
      <c r="B6" s="3812"/>
      <c r="C6" s="3812"/>
      <c r="D6" s="3809"/>
      <c r="E6" s="3809"/>
      <c r="F6" s="3809"/>
      <c r="G6" s="3809"/>
      <c r="H6" s="3809"/>
      <c r="I6" s="3809"/>
      <c r="J6" s="3809"/>
      <c r="K6" s="3809"/>
      <c r="L6" s="3810"/>
      <c r="M6" s="3810"/>
      <c r="N6" s="3810"/>
      <c r="O6" s="3810"/>
      <c r="P6" s="3810"/>
      <c r="Q6" s="3810"/>
      <c r="R6" s="3810"/>
      <c r="S6" s="3810"/>
      <c r="T6" s="3810"/>
      <c r="U6" s="3810"/>
      <c r="V6" s="3810"/>
      <c r="W6" s="3810"/>
      <c r="X6" s="3810"/>
      <c r="Y6" s="3810"/>
      <c r="Z6" s="3810"/>
      <c r="AA6" s="3810"/>
      <c r="AB6" s="3810"/>
      <c r="AC6" s="3810"/>
      <c r="AD6" s="3810"/>
      <c r="AE6" s="3810"/>
      <c r="AF6" s="3810"/>
      <c r="AG6" s="3810"/>
    </row>
    <row r="7" spans="1:94" s="3811" customFormat="1" ht="15.75" customHeight="1" x14ac:dyDescent="0.2">
      <c r="B7" s="9268" t="s">
        <v>2692</v>
      </c>
      <c r="C7" s="9268"/>
      <c r="D7" s="9268"/>
      <c r="E7" s="9268"/>
      <c r="F7" s="9268"/>
      <c r="G7" s="9268"/>
      <c r="H7" s="9268"/>
      <c r="I7" s="9268"/>
      <c r="J7" s="9268"/>
      <c r="K7" s="9268"/>
      <c r="L7" s="9268"/>
      <c r="M7" s="9268"/>
      <c r="N7" s="9268"/>
      <c r="O7" s="9268"/>
      <c r="P7" s="9268"/>
      <c r="Q7" s="9268"/>
      <c r="R7" s="9268"/>
      <c r="S7" s="9268"/>
      <c r="T7" s="9268"/>
      <c r="U7" s="3810"/>
      <c r="V7" s="3810"/>
      <c r="W7" s="3810"/>
      <c r="X7" s="3810"/>
      <c r="Y7" s="3810"/>
      <c r="Z7" s="3810"/>
      <c r="AA7" s="3810"/>
      <c r="AB7" s="3810"/>
      <c r="AC7" s="3810"/>
      <c r="AD7" s="3810"/>
      <c r="AE7" s="3810"/>
      <c r="AF7" s="3810"/>
      <c r="AG7" s="3810"/>
    </row>
    <row r="8" spans="1:94" s="3811" customFormat="1" x14ac:dyDescent="0.2">
      <c r="B8" s="3810"/>
      <c r="C8" s="11358" t="s">
        <v>2693</v>
      </c>
      <c r="D8" s="11358"/>
      <c r="E8" s="11358"/>
      <c r="F8" s="11358"/>
      <c r="G8" s="11358"/>
      <c r="H8" s="11358"/>
      <c r="I8" s="11358"/>
      <c r="J8" s="11358"/>
      <c r="K8" s="11358"/>
      <c r="L8" s="3816"/>
      <c r="M8" s="3816"/>
      <c r="N8" s="3816"/>
      <c r="O8" s="3815"/>
      <c r="P8" s="3810"/>
      <c r="Q8" s="3810"/>
      <c r="R8" s="3810"/>
      <c r="S8" s="3810"/>
      <c r="T8" s="3810"/>
      <c r="U8" s="3810"/>
      <c r="V8" s="3810"/>
      <c r="W8" s="3810"/>
      <c r="X8" s="3810"/>
      <c r="Y8" s="3810"/>
      <c r="Z8" s="3810"/>
      <c r="AA8" s="3810"/>
      <c r="AB8" s="3810"/>
      <c r="AC8" s="3810"/>
      <c r="AD8" s="3810"/>
      <c r="AE8" s="3810"/>
      <c r="AF8" s="3810"/>
      <c r="AG8" s="3810"/>
    </row>
    <row r="9" spans="1:94" s="3811" customFormat="1" x14ac:dyDescent="0.2">
      <c r="B9" s="3810"/>
      <c r="C9" s="3817"/>
      <c r="D9" s="3817"/>
      <c r="E9" s="3817"/>
      <c r="F9" s="3817"/>
      <c r="G9" s="3817"/>
      <c r="H9" s="3817"/>
      <c r="I9" s="3817"/>
      <c r="J9" s="3817"/>
      <c r="K9" s="3817"/>
      <c r="L9" s="3817"/>
      <c r="M9" s="3817"/>
      <c r="N9" s="3817"/>
      <c r="O9" s="3815"/>
      <c r="P9" s="3810"/>
      <c r="Q9" s="3810"/>
      <c r="R9" s="3810"/>
      <c r="S9" s="3810"/>
      <c r="T9" s="3810"/>
      <c r="U9" s="3810"/>
      <c r="V9" s="3810"/>
      <c r="W9" s="3810"/>
      <c r="X9" s="3810"/>
      <c r="Y9" s="3810"/>
      <c r="Z9" s="3810"/>
      <c r="AA9" s="3810"/>
      <c r="AB9" s="3810"/>
      <c r="AC9" s="3810"/>
      <c r="AD9" s="3810"/>
      <c r="AE9" s="3810"/>
      <c r="AF9" s="3810"/>
      <c r="AG9" s="3810"/>
    </row>
    <row r="10" spans="1:94" s="3811" customFormat="1" x14ac:dyDescent="0.2">
      <c r="B10" s="11242"/>
      <c r="C10" s="11242"/>
      <c r="D10" s="11242"/>
      <c r="E10" s="11242"/>
      <c r="F10" s="11242"/>
      <c r="G10" s="11242"/>
      <c r="H10" s="11242"/>
      <c r="I10" s="11242"/>
      <c r="J10" s="11242"/>
      <c r="K10" s="3818"/>
      <c r="L10" s="3810"/>
      <c r="M10" s="3810"/>
      <c r="N10" s="3810"/>
      <c r="O10" s="3810"/>
      <c r="P10" s="3810"/>
      <c r="Q10" s="3810"/>
      <c r="R10" s="3810"/>
      <c r="S10" s="3810"/>
      <c r="T10" s="3810"/>
      <c r="U10" s="3810"/>
      <c r="V10" s="3810"/>
      <c r="W10" s="3810"/>
      <c r="X10" s="3810"/>
      <c r="Y10" s="3810"/>
      <c r="Z10" s="3810"/>
      <c r="AA10" s="3810"/>
      <c r="AB10" s="3810"/>
      <c r="AC10" s="3810"/>
      <c r="AD10" s="3810"/>
      <c r="AE10" s="3810"/>
      <c r="AF10" s="3810"/>
      <c r="AG10" s="3810"/>
    </row>
    <row r="11" spans="1:94" s="3811" customFormat="1" ht="35.25" customHeight="1" x14ac:dyDescent="0.25">
      <c r="B11" s="3819" t="s">
        <v>3503</v>
      </c>
      <c r="C11" s="3812"/>
      <c r="D11" s="3820"/>
      <c r="E11" s="3820"/>
      <c r="F11" s="3820"/>
      <c r="G11" s="3820"/>
      <c r="H11" s="3820"/>
      <c r="I11" s="3820"/>
      <c r="J11" s="3820"/>
      <c r="K11" s="3820"/>
      <c r="L11" s="3810"/>
      <c r="M11" s="3810"/>
      <c r="N11" s="3810"/>
      <c r="O11" s="3810"/>
      <c r="P11" s="3810"/>
      <c r="Q11" s="3810"/>
      <c r="R11" s="3810"/>
      <c r="S11" s="3810"/>
      <c r="T11" s="3810"/>
      <c r="U11" s="3810"/>
      <c r="V11" s="3810"/>
      <c r="W11" s="3810"/>
      <c r="X11" s="3810"/>
      <c r="Y11" s="3810"/>
      <c r="Z11" s="3810"/>
      <c r="AA11" s="3810"/>
      <c r="AB11" s="3810"/>
      <c r="AC11" s="3810"/>
      <c r="AD11" s="3810"/>
      <c r="AE11" s="3810"/>
      <c r="AF11" s="3810"/>
      <c r="AG11" s="3810"/>
    </row>
    <row r="12" spans="1:94" s="3811" customFormat="1" ht="24" customHeight="1" x14ac:dyDescent="0.2">
      <c r="B12" s="11243" t="s">
        <v>0</v>
      </c>
      <c r="C12" s="11244" t="s">
        <v>24</v>
      </c>
      <c r="D12" s="11246" t="s">
        <v>477</v>
      </c>
      <c r="E12" s="11247"/>
      <c r="F12" s="11247"/>
      <c r="G12" s="11247"/>
      <c r="H12" s="11247"/>
      <c r="I12" s="11247"/>
      <c r="J12" s="11247"/>
      <c r="K12" s="11247"/>
      <c r="L12" s="11247"/>
      <c r="M12" s="11247"/>
      <c r="N12" s="11247"/>
      <c r="O12" s="11247"/>
      <c r="P12" s="11247"/>
      <c r="Q12" s="11247"/>
      <c r="R12" s="11247"/>
      <c r="S12" s="11247"/>
      <c r="T12" s="11248"/>
      <c r="U12" s="11256" t="s">
        <v>2372</v>
      </c>
      <c r="V12" s="11257"/>
      <c r="W12" s="8636" t="s">
        <v>2958</v>
      </c>
      <c r="X12" s="8636" t="s">
        <v>2669</v>
      </c>
      <c r="Y12" s="11259" t="s">
        <v>362</v>
      </c>
      <c r="Z12" s="11259" t="s">
        <v>361</v>
      </c>
      <c r="AA12" s="11259" t="s">
        <v>3696</v>
      </c>
      <c r="AB12" s="3810"/>
      <c r="AC12" s="3810"/>
      <c r="AD12" s="3810"/>
      <c r="AE12" s="3810"/>
      <c r="AF12" s="3810"/>
      <c r="AG12" s="3810"/>
      <c r="CB12" s="11255"/>
      <c r="CC12" s="11220"/>
      <c r="CD12" s="11220"/>
      <c r="CE12" s="11220"/>
      <c r="CF12" s="11220"/>
      <c r="CG12" s="11219"/>
      <c r="CL12" s="11255"/>
      <c r="CM12" s="11220"/>
      <c r="CN12" s="11220"/>
      <c r="CO12" s="11220"/>
      <c r="CP12" s="11220"/>
    </row>
    <row r="13" spans="1:94" s="3811" customFormat="1" ht="24" customHeight="1" x14ac:dyDescent="0.2">
      <c r="B13" s="11243"/>
      <c r="C13" s="11245"/>
      <c r="D13" s="3821" t="s">
        <v>75</v>
      </c>
      <c r="E13" s="3822" t="s">
        <v>76</v>
      </c>
      <c r="F13" s="3823" t="s">
        <v>702</v>
      </c>
      <c r="G13" s="3822" t="s">
        <v>3</v>
      </c>
      <c r="H13" s="3824" t="s">
        <v>4</v>
      </c>
      <c r="I13" s="3824" t="s">
        <v>5</v>
      </c>
      <c r="J13" s="3824" t="s">
        <v>6</v>
      </c>
      <c r="K13" s="3824" t="s">
        <v>7</v>
      </c>
      <c r="L13" s="3824" t="s">
        <v>8</v>
      </c>
      <c r="M13" s="3824" t="s">
        <v>9</v>
      </c>
      <c r="N13" s="3824" t="s">
        <v>10</v>
      </c>
      <c r="O13" s="3824" t="s">
        <v>11</v>
      </c>
      <c r="P13" s="3824" t="s">
        <v>12</v>
      </c>
      <c r="Q13" s="3824" t="s">
        <v>13</v>
      </c>
      <c r="R13" s="3824" t="s">
        <v>14</v>
      </c>
      <c r="S13" s="3824" t="s">
        <v>15</v>
      </c>
      <c r="T13" s="3825" t="s">
        <v>16</v>
      </c>
      <c r="U13" s="3826" t="s">
        <v>17</v>
      </c>
      <c r="V13" s="3827" t="s">
        <v>18</v>
      </c>
      <c r="W13" s="11258"/>
      <c r="X13" s="11258"/>
      <c r="Y13" s="9228"/>
      <c r="Z13" s="9228"/>
      <c r="AA13" s="9228"/>
      <c r="AB13" s="3810"/>
      <c r="AC13" s="3810"/>
      <c r="AD13" s="3810"/>
      <c r="AE13" s="3810"/>
      <c r="AF13" s="3810"/>
      <c r="AG13" s="3810"/>
      <c r="CB13" s="11255"/>
      <c r="CC13" s="11220"/>
      <c r="CD13" s="11220"/>
      <c r="CE13" s="11220"/>
      <c r="CF13" s="11220"/>
      <c r="CG13" s="11219"/>
      <c r="CL13" s="11255"/>
      <c r="CM13" s="11220"/>
      <c r="CN13" s="11220"/>
      <c r="CO13" s="11220"/>
      <c r="CP13" s="11220"/>
    </row>
    <row r="14" spans="1:94" s="3811" customFormat="1" ht="13.5" customHeight="1" x14ac:dyDescent="0.2">
      <c r="A14" s="7258">
        <v>32100100</v>
      </c>
      <c r="B14" s="3828" t="s">
        <v>2446</v>
      </c>
      <c r="C14" s="3829" t="s">
        <v>5369</v>
      </c>
      <c r="D14" s="3830" t="s">
        <v>5370</v>
      </c>
      <c r="E14" s="3831" t="s">
        <v>5371</v>
      </c>
      <c r="F14" s="3832" t="s">
        <v>5372</v>
      </c>
      <c r="G14" s="3833" t="s">
        <v>5373</v>
      </c>
      <c r="H14" s="3833" t="s">
        <v>5374</v>
      </c>
      <c r="I14" s="3833" t="s">
        <v>5375</v>
      </c>
      <c r="J14" s="3833" t="s">
        <v>5376</v>
      </c>
      <c r="K14" s="3833" t="s">
        <v>5377</v>
      </c>
      <c r="L14" s="3833" t="s">
        <v>5378</v>
      </c>
      <c r="M14" s="3833" t="s">
        <v>5379</v>
      </c>
      <c r="N14" s="3833" t="s">
        <v>5380</v>
      </c>
      <c r="O14" s="3833" t="s">
        <v>5381</v>
      </c>
      <c r="P14" s="3833" t="s">
        <v>5382</v>
      </c>
      <c r="Q14" s="3833" t="s">
        <v>5383</v>
      </c>
      <c r="R14" s="3833" t="s">
        <v>5384</v>
      </c>
      <c r="S14" s="3833" t="s">
        <v>5385</v>
      </c>
      <c r="T14" s="3834" t="s">
        <v>5386</v>
      </c>
      <c r="U14" s="3835" t="s">
        <v>5387</v>
      </c>
      <c r="V14" s="3836" t="s">
        <v>5388</v>
      </c>
      <c r="W14" s="3837" t="s">
        <v>5389</v>
      </c>
      <c r="X14" s="3837" t="s">
        <v>5390</v>
      </c>
      <c r="Y14" s="3838" t="s">
        <v>5391</v>
      </c>
      <c r="Z14" s="3838" t="s">
        <v>5392</v>
      </c>
      <c r="AA14" s="3838" t="s">
        <v>5393</v>
      </c>
      <c r="AB14" s="3810" t="e">
        <f>CB14&amp;CC14&amp;CD14&amp;CE14&amp;CF14&amp;CG14</f>
        <v>#VALUE!</v>
      </c>
      <c r="AC14" s="3810"/>
      <c r="AD14" s="3810"/>
      <c r="AE14" s="3810"/>
      <c r="AF14" s="3810"/>
      <c r="AG14" s="3810"/>
      <c r="CB14" s="3811" t="e">
        <f>IF(CL14=1," *Los controles según sexo deben ser iguales  al total de Controles. ","")</f>
        <v>#VALUE!</v>
      </c>
      <c r="CC14" s="3811" t="str">
        <f>IF(CM14=1," *Las Atenciones de NNA SENAME no pueden superar el total de Atenciones entre los 0 Y 24 años.","")</f>
        <v xml:space="preserve"> *Las Atenciones de NNA SENAME no pueden superar el total de Atenciones entre los 0 Y 24 años.</v>
      </c>
      <c r="CD14" s="3811" t="str">
        <f>IF(CN14=1," *Las Atenciones de NNA Mejor Niñez no pueden superar el total de Atenciones entre los 0 Y 24 años.","")</f>
        <v xml:space="preserve"> *Las Atenciones de NNA Mejor Niñez no pueden superar el total de Atenciones entre los 0 Y 24 años.</v>
      </c>
      <c r="CE14" s="3811" t="str">
        <f>IF(CO14=1," *Las Atenciones de Pueblos Originarios no pueden superar el total de Atenciones .","")</f>
        <v xml:space="preserve"> *Las Atenciones de Pueblos Originarios no pueden superar el total de Atenciones .</v>
      </c>
      <c r="CF14" s="3811" t="str">
        <f>IF(CP14=1," *Las Atenciones de Migrantes no pueden superar el total de Atenciones .","")</f>
        <v xml:space="preserve"> *Las Atenciones de Migrantes no pueden superar el total de Atenciones .</v>
      </c>
      <c r="CG14" s="3811" t="str">
        <f>IF(OR(AND($C14&lt;&gt;0,W14=""),AND($C14&lt;&gt;0,X14=""),AND($C14&lt;&gt;0,Y14=""),AND($C14&lt;&gt;0,Z14=""),AND($C14&lt;&gt;0,AA14="")),"* No olvide digitar Migrantes y/o Pueblos Originarios, Espacios Amigables, Niños, Niñas, Adolescentes y Jóvenes SENAME, Niños, Niñas, Adolescentes y Jóvenes Mejor Niñez (Digite CERO si no tiene). ","")</f>
        <v/>
      </c>
      <c r="CL14" s="3811" t="e">
        <f>IF(U14+V14&lt;&gt;C14,1,0)</f>
        <v>#VALUE!</v>
      </c>
      <c r="CM14" s="3811">
        <f t="shared" ref="CM14:CN18" si="0">IF(SUM($D14:$H14)&lt;W14,1,0)</f>
        <v>1</v>
      </c>
      <c r="CN14" s="3811">
        <f t="shared" si="0"/>
        <v>1</v>
      </c>
      <c r="CO14" s="3811">
        <f t="shared" ref="CO14:CP18" si="1">IF($C14&lt;Y14,1,0)</f>
        <v>1</v>
      </c>
      <c r="CP14" s="3811">
        <f t="shared" si="1"/>
        <v>1</v>
      </c>
    </row>
    <row r="15" spans="1:94" s="3811" customFormat="1" ht="13.5" customHeight="1" x14ac:dyDescent="0.2">
      <c r="A15" s="7258">
        <v>32100110</v>
      </c>
      <c r="B15" s="3839" t="s">
        <v>2426</v>
      </c>
      <c r="C15" s="3829" t="s">
        <v>5369</v>
      </c>
      <c r="D15" s="3830" t="s">
        <v>5370</v>
      </c>
      <c r="E15" s="3831" t="s">
        <v>5371</v>
      </c>
      <c r="F15" s="3840" t="s">
        <v>5372</v>
      </c>
      <c r="G15" s="3831" t="s">
        <v>5373</v>
      </c>
      <c r="H15" s="3831" t="s">
        <v>5374</v>
      </c>
      <c r="I15" s="3831" t="s">
        <v>5375</v>
      </c>
      <c r="J15" s="3831" t="s">
        <v>5376</v>
      </c>
      <c r="K15" s="3831" t="s">
        <v>5377</v>
      </c>
      <c r="L15" s="3831" t="s">
        <v>5378</v>
      </c>
      <c r="M15" s="3831" t="s">
        <v>5379</v>
      </c>
      <c r="N15" s="3831" t="s">
        <v>5380</v>
      </c>
      <c r="O15" s="3831" t="s">
        <v>5381</v>
      </c>
      <c r="P15" s="3831" t="s">
        <v>5382</v>
      </c>
      <c r="Q15" s="3831" t="s">
        <v>5383</v>
      </c>
      <c r="R15" s="3831" t="s">
        <v>5384</v>
      </c>
      <c r="S15" s="3831" t="s">
        <v>5385</v>
      </c>
      <c r="T15" s="3841" t="s">
        <v>5386</v>
      </c>
      <c r="U15" s="3842" t="s">
        <v>5387</v>
      </c>
      <c r="V15" s="3843" t="s">
        <v>5388</v>
      </c>
      <c r="W15" s="3844" t="s">
        <v>5389</v>
      </c>
      <c r="X15" s="3844" t="s">
        <v>5390</v>
      </c>
      <c r="Y15" s="3845" t="s">
        <v>5391</v>
      </c>
      <c r="Z15" s="3845" t="s">
        <v>5392</v>
      </c>
      <c r="AA15" s="3845" t="s">
        <v>5393</v>
      </c>
      <c r="AB15" s="3810" t="e">
        <f>CB15&amp;CC15&amp;CD15&amp;CE15&amp;CF15</f>
        <v>#VALUE!</v>
      </c>
      <c r="AC15" s="3810"/>
      <c r="AD15" s="3810"/>
      <c r="AE15" s="3810"/>
      <c r="AF15" s="3810"/>
      <c r="AG15" s="3810"/>
      <c r="CB15" s="3811" t="e">
        <f>IF(CL15=1," *Los controles según sexo deben ser iguales  al total de Controles. ","")</f>
        <v>#VALUE!</v>
      </c>
      <c r="CC15" s="3811" t="str">
        <f>IF(CM15=1," *Las Atenciones de NNA SENAME no pueden superar el total de Atenciones entre los 0 Y 24 años.","")</f>
        <v xml:space="preserve"> *Las Atenciones de NNA SENAME no pueden superar el total de Atenciones entre los 0 Y 24 años.</v>
      </c>
      <c r="CD15" s="3811" t="str">
        <f>IF(CN15=1," *Las Atenciones de NNA Mejor Niñez no pueden superar el total de Atenciones entre los 0 Y 24 años.","")</f>
        <v xml:space="preserve"> *Las Atenciones de NNA Mejor Niñez no pueden superar el total de Atenciones entre los 0 Y 24 años.</v>
      </c>
      <c r="CE15" s="3811" t="str">
        <f>IF(CO15=1," *Las Atenciones de Pueblos Originarios no pueden superar el total de Atenciones .","")</f>
        <v xml:space="preserve"> *Las Atenciones de Pueblos Originarios no pueden superar el total de Atenciones .</v>
      </c>
      <c r="CF15" s="3811" t="str">
        <f>IF(CP15=1," *Las Atenciones de Migrantes no pueden superar el total de Atenciones .","")</f>
        <v xml:space="preserve"> *Las Atenciones de Migrantes no pueden superar el total de Atenciones .</v>
      </c>
      <c r="CG15" s="3811" t="str">
        <f t="shared" ref="CG15:CG18" si="2">IF(OR(AND($C15&lt;&gt;0,W15=""),AND($C15&lt;&gt;0,X15=""),AND($C15&lt;&gt;0,Y15=""),AND($C15&lt;&gt;0,Z15=""),AND($C15&lt;&gt;0,AA15="")),"* No olvide digitar Migrantes y/o Pueblos Originarios, Espacios Amigables, Niños, Niñas, Adolescentes y Jóvenes SENAME, Niños, Niñas, Adolescentes y Jóvenes Mejor Niñez (Digite CERO si no tiene). ","")</f>
        <v/>
      </c>
      <c r="CL15" s="3811" t="e">
        <f>IF(U15+V15&lt;&gt;C15,1,0)</f>
        <v>#VALUE!</v>
      </c>
      <c r="CM15" s="3811">
        <f t="shared" si="0"/>
        <v>1</v>
      </c>
      <c r="CN15" s="3811">
        <f t="shared" si="0"/>
        <v>1</v>
      </c>
      <c r="CO15" s="3811">
        <f t="shared" si="1"/>
        <v>1</v>
      </c>
      <c r="CP15" s="3811">
        <f t="shared" si="1"/>
        <v>1</v>
      </c>
    </row>
    <row r="16" spans="1:94" s="3811" customFormat="1" ht="13.5" customHeight="1" x14ac:dyDescent="0.2">
      <c r="A16" s="7736">
        <v>32101530</v>
      </c>
      <c r="B16" s="3846" t="s">
        <v>2427</v>
      </c>
      <c r="C16" s="3829" t="s">
        <v>5369</v>
      </c>
      <c r="D16" s="6957" t="s">
        <v>5370</v>
      </c>
      <c r="E16" s="6958" t="s">
        <v>5371</v>
      </c>
      <c r="F16" s="3840" t="s">
        <v>5372</v>
      </c>
      <c r="G16" s="3831" t="s">
        <v>5373</v>
      </c>
      <c r="H16" s="3831" t="s">
        <v>5374</v>
      </c>
      <c r="I16" s="3831" t="s">
        <v>5375</v>
      </c>
      <c r="J16" s="3831" t="s">
        <v>5376</v>
      </c>
      <c r="K16" s="3831" t="s">
        <v>5377</v>
      </c>
      <c r="L16" s="3831" t="s">
        <v>5378</v>
      </c>
      <c r="M16" s="3831" t="s">
        <v>5379</v>
      </c>
      <c r="N16" s="3831" t="s">
        <v>5380</v>
      </c>
      <c r="O16" s="3831" t="s">
        <v>5381</v>
      </c>
      <c r="P16" s="3831" t="s">
        <v>5382</v>
      </c>
      <c r="Q16" s="3831" t="s">
        <v>5383</v>
      </c>
      <c r="R16" s="3831" t="s">
        <v>5384</v>
      </c>
      <c r="S16" s="3831" t="s">
        <v>5385</v>
      </c>
      <c r="T16" s="3841" t="s">
        <v>5386</v>
      </c>
      <c r="U16" s="3842" t="s">
        <v>5387</v>
      </c>
      <c r="V16" s="3843" t="s">
        <v>5388</v>
      </c>
      <c r="W16" s="3844" t="s">
        <v>5389</v>
      </c>
      <c r="X16" s="3844" t="s">
        <v>5390</v>
      </c>
      <c r="Y16" s="3845" t="s">
        <v>5391</v>
      </c>
      <c r="Z16" s="3845" t="s">
        <v>5392</v>
      </c>
      <c r="AA16" s="3845" t="s">
        <v>5393</v>
      </c>
      <c r="AB16" s="3810" t="e">
        <f>CB16&amp;CC16&amp;CD16&amp;CE16&amp;CF16</f>
        <v>#VALUE!</v>
      </c>
      <c r="AC16" s="3810"/>
      <c r="AD16" s="3810"/>
      <c r="AE16" s="3810"/>
      <c r="AF16" s="3810"/>
      <c r="AG16" s="3810"/>
      <c r="CB16" s="3811" t="e">
        <f>IF(CL16=1," *Los controles según sexo deben ser iguales  al total de Controles. ","")</f>
        <v>#VALUE!</v>
      </c>
      <c r="CC16" s="3811" t="str">
        <f>IF(CM16=1," *Las Atenciones de NNA SENAME no pueden superar el total de Atenciones entre los 0 Y 24 años.","")</f>
        <v xml:space="preserve"> *Las Atenciones de NNA SENAME no pueden superar el total de Atenciones entre los 0 Y 24 años.</v>
      </c>
      <c r="CD16" s="3811" t="str">
        <f>IF(CN16=1," *Las Atenciones de NNA Mejor Niñez no pueden superar el total de Atenciones entre los 0 Y 24 años.","")</f>
        <v xml:space="preserve"> *Las Atenciones de NNA Mejor Niñez no pueden superar el total de Atenciones entre los 0 Y 24 años.</v>
      </c>
      <c r="CE16" s="3811" t="str">
        <f>IF(CO16=1," *Las Atenciones de Pueblos Originarios no pueden superar el total de Atenciones .","")</f>
        <v xml:space="preserve"> *Las Atenciones de Pueblos Originarios no pueden superar el total de Atenciones .</v>
      </c>
      <c r="CF16" s="3811" t="str">
        <f>IF(CP16=1," *Las Atenciones de Migrantes no pueden superar el total de Atenciones .","")</f>
        <v xml:space="preserve"> *Las Atenciones de Migrantes no pueden superar el total de Atenciones .</v>
      </c>
      <c r="CG16" s="3811" t="str">
        <f t="shared" si="2"/>
        <v/>
      </c>
      <c r="CL16" s="3811" t="e">
        <f>IF(U16+V16&lt;&gt;C16,1,0)</f>
        <v>#VALUE!</v>
      </c>
      <c r="CM16" s="3811">
        <f t="shared" si="0"/>
        <v>1</v>
      </c>
      <c r="CN16" s="3811">
        <f t="shared" si="0"/>
        <v>1</v>
      </c>
      <c r="CO16" s="3811">
        <f t="shared" si="1"/>
        <v>1</v>
      </c>
      <c r="CP16" s="3811">
        <f t="shared" si="1"/>
        <v>1</v>
      </c>
    </row>
    <row r="17" spans="1:104" ht="13.5" customHeight="1" x14ac:dyDescent="0.2">
      <c r="A17" s="7320">
        <v>32101531</v>
      </c>
      <c r="B17" s="3839" t="s">
        <v>46</v>
      </c>
      <c r="C17" s="3829" t="s">
        <v>5369</v>
      </c>
      <c r="D17" s="3830" t="s">
        <v>5370</v>
      </c>
      <c r="E17" s="3831" t="s">
        <v>5371</v>
      </c>
      <c r="F17" s="3840" t="s">
        <v>5372</v>
      </c>
      <c r="G17" s="3831" t="s">
        <v>5373</v>
      </c>
      <c r="H17" s="3831" t="s">
        <v>5374</v>
      </c>
      <c r="I17" s="3831" t="s">
        <v>5375</v>
      </c>
      <c r="J17" s="3831" t="s">
        <v>5376</v>
      </c>
      <c r="K17" s="3831" t="s">
        <v>5377</v>
      </c>
      <c r="L17" s="3831" t="s">
        <v>5378</v>
      </c>
      <c r="M17" s="3831" t="s">
        <v>5379</v>
      </c>
      <c r="N17" s="3831" t="s">
        <v>5380</v>
      </c>
      <c r="O17" s="3831" t="s">
        <v>5381</v>
      </c>
      <c r="P17" s="3831" t="s">
        <v>5382</v>
      </c>
      <c r="Q17" s="3831" t="s">
        <v>5383</v>
      </c>
      <c r="R17" s="3831" t="s">
        <v>5384</v>
      </c>
      <c r="S17" s="3831" t="s">
        <v>5385</v>
      </c>
      <c r="T17" s="3841" t="s">
        <v>5386</v>
      </c>
      <c r="U17" s="3842" t="s">
        <v>5387</v>
      </c>
      <c r="V17" s="3843" t="s">
        <v>5388</v>
      </c>
      <c r="W17" s="3844" t="s">
        <v>5389</v>
      </c>
      <c r="X17" s="3844" t="s">
        <v>5390</v>
      </c>
      <c r="Y17" s="3845" t="s">
        <v>5391</v>
      </c>
      <c r="Z17" s="3845" t="s">
        <v>5392</v>
      </c>
      <c r="AA17" s="3845" t="s">
        <v>5393</v>
      </c>
      <c r="AB17" s="3810" t="e">
        <f>CB17&amp;CC17&amp;CD17&amp;CE17&amp;CF17</f>
        <v>#VALUE!</v>
      </c>
      <c r="CB17" s="3811" t="e">
        <f>IF(CL17=1," *Los controles según sexo deben ser iguales  al total de Controles. ","")</f>
        <v>#VALUE!</v>
      </c>
      <c r="CC17" s="3811" t="str">
        <f>IF(CM17=1," *Las Atenciones de NNA SENAME no pueden superar el total de Atenciones entre los 0 Y 24 años.","")</f>
        <v xml:space="preserve"> *Las Atenciones de NNA SENAME no pueden superar el total de Atenciones entre los 0 Y 24 años.</v>
      </c>
      <c r="CD17" s="3811" t="str">
        <f>IF(CN17=1," *Las Atenciones de NNA Mejor Niñez no pueden superar el total de Atenciones entre los 0 Y 24 años.","")</f>
        <v xml:space="preserve"> *Las Atenciones de NNA Mejor Niñez no pueden superar el total de Atenciones entre los 0 Y 24 años.</v>
      </c>
      <c r="CE17" s="3811" t="str">
        <f>IF(CO17=1," *Las Atenciones de Pueblos Originarios no pueden superar el total de Atenciones .","")</f>
        <v xml:space="preserve"> *Las Atenciones de Pueblos Originarios no pueden superar el total de Atenciones .</v>
      </c>
      <c r="CF17" s="3811" t="str">
        <f>IF(CP17=1," *Las Atenciones de Migrantes no pueden superar el total de Atenciones .","")</f>
        <v xml:space="preserve"> *Las Atenciones de Migrantes no pueden superar el total de Atenciones .</v>
      </c>
      <c r="CG17" s="3811" t="str">
        <f t="shared" si="2"/>
        <v/>
      </c>
      <c r="CL17" s="3811" t="e">
        <f>IF(U17+V17&lt;&gt;C17,1,0)</f>
        <v>#VALUE!</v>
      </c>
      <c r="CM17" s="3811">
        <f t="shared" si="0"/>
        <v>1</v>
      </c>
      <c r="CN17" s="3811">
        <f t="shared" si="0"/>
        <v>1</v>
      </c>
      <c r="CO17" s="3811">
        <f t="shared" si="1"/>
        <v>1</v>
      </c>
      <c r="CP17" s="3811">
        <f t="shared" si="1"/>
        <v>1</v>
      </c>
    </row>
    <row r="18" spans="1:104" ht="13.5" customHeight="1" x14ac:dyDescent="0.2">
      <c r="A18" s="7258">
        <v>32100150</v>
      </c>
      <c r="B18" s="3847" t="s">
        <v>2375</v>
      </c>
      <c r="C18" s="3829" t="s">
        <v>5369</v>
      </c>
      <c r="D18" s="3830" t="s">
        <v>5370</v>
      </c>
      <c r="E18" s="3831" t="s">
        <v>5371</v>
      </c>
      <c r="F18" s="3840" t="s">
        <v>5372</v>
      </c>
      <c r="G18" s="3831" t="s">
        <v>5373</v>
      </c>
      <c r="H18" s="3831" t="s">
        <v>5374</v>
      </c>
      <c r="I18" s="3831" t="s">
        <v>5375</v>
      </c>
      <c r="J18" s="3831" t="s">
        <v>5376</v>
      </c>
      <c r="K18" s="3831" t="s">
        <v>5377</v>
      </c>
      <c r="L18" s="3831" t="s">
        <v>5378</v>
      </c>
      <c r="M18" s="3831" t="s">
        <v>5379</v>
      </c>
      <c r="N18" s="3831" t="s">
        <v>5380</v>
      </c>
      <c r="O18" s="3831" t="s">
        <v>5381</v>
      </c>
      <c r="P18" s="3831" t="s">
        <v>5382</v>
      </c>
      <c r="Q18" s="3831" t="s">
        <v>5383</v>
      </c>
      <c r="R18" s="3831" t="s">
        <v>5384</v>
      </c>
      <c r="S18" s="3831" t="s">
        <v>5385</v>
      </c>
      <c r="T18" s="3841" t="s">
        <v>5386</v>
      </c>
      <c r="U18" s="3842" t="s">
        <v>5387</v>
      </c>
      <c r="V18" s="3843" t="s">
        <v>5388</v>
      </c>
      <c r="W18" s="3844" t="s">
        <v>5389</v>
      </c>
      <c r="X18" s="3844" t="s">
        <v>5390</v>
      </c>
      <c r="Y18" s="3845" t="s">
        <v>5391</v>
      </c>
      <c r="Z18" s="3845" t="s">
        <v>5392</v>
      </c>
      <c r="AA18" s="3845" t="s">
        <v>5393</v>
      </c>
      <c r="AB18" s="3810" t="e">
        <f>CB18&amp;CC18&amp;CD18&amp;CE18&amp;CF18</f>
        <v>#VALUE!</v>
      </c>
      <c r="CB18" s="3811" t="e">
        <f>IF(CL18=1," *Los controles según sexo deben ser iguales  al total de Controles. ","")</f>
        <v>#VALUE!</v>
      </c>
      <c r="CC18" s="3811" t="str">
        <f>IF(CM18=1," *Las Atenciones de NNA SENAME no pueden superar el total de Atenciones entre los 0 Y 24 años.","")</f>
        <v xml:space="preserve"> *Las Atenciones de NNA SENAME no pueden superar el total de Atenciones entre los 0 Y 24 años.</v>
      </c>
      <c r="CD18" s="3811" t="str">
        <f>IF(CN18=1," *Las Atenciones de NNA Mejor Niñez no pueden superar el total de Atenciones entre los 0 Y 24 años.","")</f>
        <v xml:space="preserve"> *Las Atenciones de NNA Mejor Niñez no pueden superar el total de Atenciones entre los 0 Y 24 años.</v>
      </c>
      <c r="CE18" s="3811" t="str">
        <f>IF(CO18=1," *Las Atenciones de Pueblos Originarios no pueden superar el total de Atenciones .","")</f>
        <v xml:space="preserve"> *Las Atenciones de Pueblos Originarios no pueden superar el total de Atenciones .</v>
      </c>
      <c r="CF18" s="3811" t="str">
        <f>IF(CP18=1," *Las Atenciones de Migrantes no pueden superar el total de Atenciones .","")</f>
        <v xml:space="preserve"> *Las Atenciones de Migrantes no pueden superar el total de Atenciones .</v>
      </c>
      <c r="CG18" s="3811" t="str">
        <f t="shared" si="2"/>
        <v/>
      </c>
      <c r="CL18" s="3811" t="e">
        <f>IF(U18+V18&lt;&gt;C18,1,0)</f>
        <v>#VALUE!</v>
      </c>
      <c r="CM18" s="3811">
        <f t="shared" si="0"/>
        <v>1</v>
      </c>
      <c r="CN18" s="3811">
        <f t="shared" si="0"/>
        <v>1</v>
      </c>
      <c r="CO18" s="3811">
        <f t="shared" si="1"/>
        <v>1</v>
      </c>
      <c r="CP18" s="3811">
        <f t="shared" si="1"/>
        <v>1</v>
      </c>
    </row>
    <row r="19" spans="1:104" ht="15.6" customHeight="1" x14ac:dyDescent="0.2">
      <c r="A19" s="7800"/>
      <c r="B19" s="3848" t="s">
        <v>39</v>
      </c>
      <c r="C19" s="3849">
        <f t="shared" ref="C19" si="3">SUM(D19:T19)</f>
        <v>0</v>
      </c>
      <c r="D19" s="3850">
        <f t="shared" ref="D19:T19" si="4">SUM(D14:D18)</f>
        <v>0</v>
      </c>
      <c r="E19" s="3851">
        <f t="shared" si="4"/>
        <v>0</v>
      </c>
      <c r="F19" s="3851">
        <f t="shared" si="4"/>
        <v>0</v>
      </c>
      <c r="G19" s="3852">
        <f t="shared" si="4"/>
        <v>0</v>
      </c>
      <c r="H19" s="3852">
        <f t="shared" si="4"/>
        <v>0</v>
      </c>
      <c r="I19" s="3852">
        <f t="shared" si="4"/>
        <v>0</v>
      </c>
      <c r="J19" s="3852">
        <f t="shared" si="4"/>
        <v>0</v>
      </c>
      <c r="K19" s="3852">
        <f t="shared" si="4"/>
        <v>0</v>
      </c>
      <c r="L19" s="3852">
        <f t="shared" si="4"/>
        <v>0</v>
      </c>
      <c r="M19" s="3852">
        <f t="shared" si="4"/>
        <v>0</v>
      </c>
      <c r="N19" s="3852">
        <f t="shared" si="4"/>
        <v>0</v>
      </c>
      <c r="O19" s="3852">
        <f t="shared" si="4"/>
        <v>0</v>
      </c>
      <c r="P19" s="3852">
        <f t="shared" si="4"/>
        <v>0</v>
      </c>
      <c r="Q19" s="3852">
        <f t="shared" si="4"/>
        <v>0</v>
      </c>
      <c r="R19" s="3852">
        <f t="shared" si="4"/>
        <v>0</v>
      </c>
      <c r="S19" s="3852">
        <f t="shared" si="4"/>
        <v>0</v>
      </c>
      <c r="T19" s="3853">
        <f t="shared" si="4"/>
        <v>0</v>
      </c>
      <c r="U19" s="3854">
        <f>SUM(U14:U18)</f>
        <v>0</v>
      </c>
      <c r="V19" s="3855">
        <f t="shared" ref="V19:AA19" si="5">SUM(V14:V18)</f>
        <v>0</v>
      </c>
      <c r="W19" s="3856">
        <f t="shared" si="5"/>
        <v>0</v>
      </c>
      <c r="X19" s="3856">
        <f t="shared" si="5"/>
        <v>0</v>
      </c>
      <c r="Y19" s="3857">
        <f t="shared" si="5"/>
        <v>0</v>
      </c>
      <c r="Z19" s="3857">
        <f t="shared" si="5"/>
        <v>0</v>
      </c>
      <c r="AA19" s="3857">
        <f t="shared" si="5"/>
        <v>0</v>
      </c>
    </row>
    <row r="20" spans="1:104" ht="25.95" customHeight="1" x14ac:dyDescent="0.25">
      <c r="B20" s="11261" t="s">
        <v>3103</v>
      </c>
      <c r="C20" s="11262"/>
      <c r="D20" s="11262"/>
      <c r="E20" s="11262"/>
      <c r="F20" s="11262"/>
      <c r="G20" s="11262"/>
      <c r="H20" s="11262"/>
      <c r="I20" s="11262"/>
      <c r="J20" s="11262"/>
      <c r="K20" s="11262"/>
      <c r="L20" s="11262"/>
      <c r="M20" s="11262"/>
      <c r="N20" s="3858"/>
      <c r="O20" s="3858"/>
      <c r="P20" s="3858"/>
      <c r="Q20" s="3858"/>
      <c r="R20" s="3858"/>
      <c r="S20" s="3858"/>
      <c r="T20" s="3858"/>
      <c r="U20" s="3858"/>
      <c r="V20" s="3858"/>
      <c r="W20" s="3858"/>
      <c r="X20" s="3858"/>
      <c r="Y20" s="3858"/>
      <c r="Z20" s="3858"/>
      <c r="AG20" s="3811"/>
      <c r="CZ20" s="3810"/>
    </row>
    <row r="21" spans="1:104" ht="15.6" customHeight="1" x14ac:dyDescent="0.2">
      <c r="B21" s="11268" t="s">
        <v>1049</v>
      </c>
      <c r="C21" s="11260" t="s">
        <v>24</v>
      </c>
      <c r="D21" s="11260"/>
      <c r="E21" s="11260"/>
      <c r="F21" s="11263" t="s">
        <v>2151</v>
      </c>
      <c r="G21" s="11264"/>
      <c r="H21" s="11264"/>
      <c r="I21" s="11265"/>
      <c r="J21" s="11266" t="s">
        <v>2446</v>
      </c>
      <c r="K21" s="11267" t="s">
        <v>3098</v>
      </c>
      <c r="L21" s="11260" t="s">
        <v>362</v>
      </c>
      <c r="M21" s="11260" t="s">
        <v>361</v>
      </c>
      <c r="N21" s="3858"/>
      <c r="O21" s="3858"/>
      <c r="P21" s="3858"/>
      <c r="Q21" s="3858"/>
      <c r="R21" s="3858"/>
      <c r="S21" s="3858"/>
      <c r="T21" s="3858"/>
      <c r="U21" s="3858"/>
      <c r="V21" s="3858"/>
      <c r="W21" s="3858"/>
      <c r="X21" s="3858"/>
      <c r="Y21" s="3858"/>
      <c r="Z21" s="3858"/>
      <c r="AG21" s="3811"/>
      <c r="CZ21" s="3810"/>
    </row>
    <row r="22" spans="1:104" ht="15.6" customHeight="1" x14ac:dyDescent="0.2">
      <c r="B22" s="11268"/>
      <c r="C22" s="11260"/>
      <c r="D22" s="11260"/>
      <c r="E22" s="11260"/>
      <c r="F22" s="11268" t="s">
        <v>3099</v>
      </c>
      <c r="G22" s="11268"/>
      <c r="H22" s="11268" t="s">
        <v>1604</v>
      </c>
      <c r="I22" s="11269"/>
      <c r="J22" s="11266"/>
      <c r="K22" s="11267"/>
      <c r="L22" s="11260"/>
      <c r="M22" s="11260"/>
      <c r="N22" s="3858"/>
      <c r="O22" s="3858"/>
      <c r="P22" s="3858"/>
      <c r="Q22" s="3858"/>
      <c r="R22" s="3858"/>
      <c r="S22" s="3858"/>
      <c r="T22" s="3858"/>
      <c r="U22" s="3858"/>
      <c r="V22" s="3858"/>
      <c r="W22" s="3858"/>
      <c r="X22" s="3858"/>
      <c r="Y22" s="3858"/>
      <c r="Z22" s="3858"/>
      <c r="AG22" s="3811"/>
      <c r="CB22" s="11220"/>
      <c r="CC22" s="11220"/>
      <c r="CD22" s="11220"/>
      <c r="CE22" s="11220"/>
      <c r="CF22" s="11220"/>
      <c r="CL22" s="11220"/>
      <c r="CM22" s="11220"/>
      <c r="CN22" s="11220"/>
      <c r="CO22" s="11220"/>
      <c r="CZ22" s="3810"/>
    </row>
    <row r="23" spans="1:104" ht="15.6" customHeight="1" x14ac:dyDescent="0.2">
      <c r="B23" s="11268"/>
      <c r="C23" s="7803" t="s">
        <v>42</v>
      </c>
      <c r="D23" s="7804" t="s">
        <v>17</v>
      </c>
      <c r="E23" s="7804" t="s">
        <v>18</v>
      </c>
      <c r="F23" s="7804" t="s">
        <v>17</v>
      </c>
      <c r="G23" s="7804" t="s">
        <v>18</v>
      </c>
      <c r="H23" s="7804" t="s">
        <v>17</v>
      </c>
      <c r="I23" s="7805" t="s">
        <v>18</v>
      </c>
      <c r="J23" s="11266"/>
      <c r="K23" s="11267"/>
      <c r="L23" s="11260"/>
      <c r="M23" s="11260"/>
      <c r="N23" s="3858"/>
      <c r="O23" s="3858"/>
      <c r="P23" s="3858"/>
      <c r="Q23" s="3858"/>
      <c r="R23" s="3858"/>
      <c r="S23" s="3858"/>
      <c r="T23" s="3858"/>
      <c r="U23" s="3858"/>
      <c r="V23" s="3858"/>
      <c r="W23" s="3858"/>
      <c r="X23" s="3858"/>
      <c r="Y23" s="3858"/>
      <c r="Z23" s="3858"/>
      <c r="AG23" s="3811"/>
      <c r="CB23" s="11220"/>
      <c r="CC23" s="11220"/>
      <c r="CD23" s="11220"/>
      <c r="CE23" s="11220"/>
      <c r="CF23" s="11220"/>
      <c r="CL23" s="11220"/>
      <c r="CM23" s="11220"/>
      <c r="CN23" s="11220"/>
      <c r="CO23" s="11220"/>
      <c r="CZ23" s="3810"/>
    </row>
    <row r="24" spans="1:104" ht="15.6" customHeight="1" x14ac:dyDescent="0.2">
      <c r="A24" s="7320">
        <v>32101532</v>
      </c>
      <c r="B24" s="7806" t="s">
        <v>3100</v>
      </c>
      <c r="C24" s="7807" t="s">
        <v>5369</v>
      </c>
      <c r="D24" s="7807" t="s">
        <v>5370</v>
      </c>
      <c r="E24" s="7807" t="s">
        <v>5371</v>
      </c>
      <c r="F24" s="7808" t="s">
        <v>5372</v>
      </c>
      <c r="G24" s="7808" t="s">
        <v>5373</v>
      </c>
      <c r="H24" s="7808" t="s">
        <v>5374</v>
      </c>
      <c r="I24" s="7809" t="s">
        <v>5375</v>
      </c>
      <c r="J24" s="7810" t="s">
        <v>5376</v>
      </c>
      <c r="K24" s="7811" t="s">
        <v>5377</v>
      </c>
      <c r="L24" s="7808" t="s">
        <v>5378</v>
      </c>
      <c r="M24" s="7808" t="s">
        <v>5379</v>
      </c>
      <c r="N24" s="3810" t="str">
        <f>CB24&amp;CC24&amp;CD24&amp;CE24&amp;CF24</f>
        <v xml:space="preserve"> *Las Consultas de Medicos no pueden superar el total de Consultas.  *Las Consultas de Otros Profesionales no pueden superar el total de Consultas. *Las Consultas de Pueblos Originarios no pueden superar el total de Consultas. *Las Consultas de Migrantes no pueden superar el total de Consultas.</v>
      </c>
      <c r="O24" s="3858"/>
      <c r="P24" s="3858"/>
      <c r="Q24" s="3858"/>
      <c r="R24" s="3858"/>
      <c r="S24" s="3858"/>
      <c r="T24" s="3858"/>
      <c r="U24" s="3858"/>
      <c r="V24" s="3858"/>
      <c r="W24" s="3858"/>
      <c r="X24" s="3858"/>
      <c r="Y24" s="3858"/>
      <c r="Z24" s="3858"/>
      <c r="AG24" s="3811"/>
      <c r="CB24" s="3811" t="str">
        <f>IF(CL24=1," *Las Consultas de Medicos no pueden superar el total de Consultas. ","")</f>
        <v xml:space="preserve"> *Las Consultas de Medicos no pueden superar el total de Consultas. </v>
      </c>
      <c r="CC24" s="3811" t="str">
        <f>IF(CM24=1," *Las Consultas de Otros Profesionales no pueden superar el total de Consultas.","")</f>
        <v xml:space="preserve"> *Las Consultas de Otros Profesionales no pueden superar el total de Consultas.</v>
      </c>
      <c r="CD24" s="3811" t="str">
        <f>IF(CN24=1," *Las Consultas de Pueblos Originarios no pueden superar el total de Consultas.","")</f>
        <v xml:space="preserve"> *Las Consultas de Pueblos Originarios no pueden superar el total de Consultas.</v>
      </c>
      <c r="CE24" s="3811" t="str">
        <f>IF(CO24=1," *Las Consultas de Migrantes no pueden superar el total de Consultas.","")</f>
        <v xml:space="preserve"> *Las Consultas de Migrantes no pueden superar el total de Consultas.</v>
      </c>
      <c r="CF24" s="3811" t="str">
        <f>IF(OR(AND(M24="",C24&lt;&gt;0),AND(L24="",L24&lt;&gt;0)),"* No olvide digitar Migrantes y/o Pueblos Originarios (Digite CERO si no tiene). ","")</f>
        <v/>
      </c>
      <c r="CL24" s="3811">
        <f t="shared" ref="CL24:CO26" si="6">IF($C24&lt;J24,1,0)</f>
        <v>1</v>
      </c>
      <c r="CM24" s="3811">
        <f t="shared" si="6"/>
        <v>1</v>
      </c>
      <c r="CN24" s="3811">
        <f t="shared" si="6"/>
        <v>1</v>
      </c>
      <c r="CO24" s="3811">
        <f t="shared" si="6"/>
        <v>1</v>
      </c>
      <c r="CZ24" s="3810"/>
    </row>
    <row r="25" spans="1:104" ht="15.6" customHeight="1" x14ac:dyDescent="0.2">
      <c r="A25" s="7320">
        <v>32101533</v>
      </c>
      <c r="B25" s="7812" t="s">
        <v>3101</v>
      </c>
      <c r="C25" s="7813" t="s">
        <v>5369</v>
      </c>
      <c r="D25" s="7813" t="s">
        <v>5370</v>
      </c>
      <c r="E25" s="7813" t="s">
        <v>5371</v>
      </c>
      <c r="F25" s="7814" t="s">
        <v>5372</v>
      </c>
      <c r="G25" s="7814" t="s">
        <v>5373</v>
      </c>
      <c r="H25" s="7814" t="s">
        <v>5374</v>
      </c>
      <c r="I25" s="7815" t="s">
        <v>5375</v>
      </c>
      <c r="J25" s="7816" t="s">
        <v>5376</v>
      </c>
      <c r="K25" s="7817" t="s">
        <v>5377</v>
      </c>
      <c r="L25" s="7814" t="s">
        <v>5378</v>
      </c>
      <c r="M25" s="7814" t="s">
        <v>5379</v>
      </c>
      <c r="N25" s="3810" t="str">
        <f>CB25&amp;CC25&amp;CD25&amp;CE25&amp;CF25</f>
        <v xml:space="preserve"> *Las Consultas de Medicos no pueden superar el total de Consultas.  *Las Consultas de Otros Profesionales no pueden superar el total de Consultas. *Las Consultas de Pueblos Originarios no pueden superar el total de Consultas. *Las Consultas de Migrantes no pueden superar el total de Consultas.</v>
      </c>
      <c r="O25" s="3858"/>
      <c r="P25" s="3858"/>
      <c r="Q25" s="3858"/>
      <c r="R25" s="3858"/>
      <c r="S25" s="3858"/>
      <c r="T25" s="3858"/>
      <c r="U25" s="3858"/>
      <c r="V25" s="3858"/>
      <c r="W25" s="3858"/>
      <c r="X25" s="3858"/>
      <c r="Y25" s="3858"/>
      <c r="Z25" s="3858"/>
      <c r="AG25" s="3811"/>
      <c r="CB25" s="3811" t="str">
        <f>IF(CL25=1," *Las Consultas de Medicos no pueden superar el total de Consultas. ","")</f>
        <v xml:space="preserve"> *Las Consultas de Medicos no pueden superar el total de Consultas. </v>
      </c>
      <c r="CC25" s="3811" t="str">
        <f>IF(CM25=1," *Las Consultas de Otros Profesionales no pueden superar el total de Consultas.","")</f>
        <v xml:space="preserve"> *Las Consultas de Otros Profesionales no pueden superar el total de Consultas.</v>
      </c>
      <c r="CD25" s="3811" t="str">
        <f>IF(CN25=1," *Las Consultas de Pueblos Originarios no pueden superar el total de Consultas.","")</f>
        <v xml:space="preserve"> *Las Consultas de Pueblos Originarios no pueden superar el total de Consultas.</v>
      </c>
      <c r="CE25" s="3811" t="str">
        <f>IF(CO25=1," *Las Consultas de Migrantes no pueden superar el total de Consultas.","")</f>
        <v xml:space="preserve"> *Las Consultas de Migrantes no pueden superar el total de Consultas.</v>
      </c>
      <c r="CF25" s="3811" t="str">
        <f t="shared" ref="CF25:CF26" si="7">IF(OR(AND(M25="",C25&lt;&gt;0),AND(L25="",L25&lt;&gt;0)),"* No olvide digitar Migrantes y/o Pueblos Originarios (Digite CERO si no tiene). ","")</f>
        <v/>
      </c>
      <c r="CL25" s="3811">
        <f t="shared" si="6"/>
        <v>1</v>
      </c>
      <c r="CM25" s="3811">
        <f t="shared" si="6"/>
        <v>1</v>
      </c>
      <c r="CN25" s="3811">
        <f t="shared" si="6"/>
        <v>1</v>
      </c>
      <c r="CO25" s="3811">
        <f t="shared" si="6"/>
        <v>1</v>
      </c>
      <c r="CZ25" s="3810"/>
    </row>
    <row r="26" spans="1:104" ht="15.6" customHeight="1" x14ac:dyDescent="0.2">
      <c r="A26" s="7320">
        <v>32101534</v>
      </c>
      <c r="B26" s="7818" t="s">
        <v>3102</v>
      </c>
      <c r="C26" s="7819" t="s">
        <v>5369</v>
      </c>
      <c r="D26" s="7819" t="s">
        <v>5370</v>
      </c>
      <c r="E26" s="7819" t="s">
        <v>5371</v>
      </c>
      <c r="F26" s="7820" t="s">
        <v>5372</v>
      </c>
      <c r="G26" s="7820" t="s">
        <v>5373</v>
      </c>
      <c r="H26" s="7820" t="s">
        <v>5374</v>
      </c>
      <c r="I26" s="7821" t="s">
        <v>5375</v>
      </c>
      <c r="J26" s="7822" t="s">
        <v>5376</v>
      </c>
      <c r="K26" s="7823" t="s">
        <v>5377</v>
      </c>
      <c r="L26" s="7820" t="s">
        <v>5378</v>
      </c>
      <c r="M26" s="7820" t="s">
        <v>5379</v>
      </c>
      <c r="N26" s="3810" t="str">
        <f>CB26&amp;CC26&amp;CD26&amp;CE26&amp;CF26</f>
        <v xml:space="preserve"> *Las Consultas de Medicos no pueden superar el total de Consultas.  *Las Consultas de Otros Profesionales no pueden superar el total de Consultas. *Las Consultas de Pueblos Originarios no pueden superar el total de Consultas. *Las Consultas de Migrantes no pueden superar el total de Consultas.</v>
      </c>
      <c r="O26" s="3858"/>
      <c r="P26" s="3858"/>
      <c r="Q26" s="3858"/>
      <c r="R26" s="3858"/>
      <c r="S26" s="3858"/>
      <c r="T26" s="3858"/>
      <c r="U26" s="3858"/>
      <c r="V26" s="3858"/>
      <c r="W26" s="3858"/>
      <c r="X26" s="3858"/>
      <c r="Y26" s="3858"/>
      <c r="Z26" s="3858"/>
      <c r="AG26" s="3811"/>
      <c r="CB26" s="3811" t="str">
        <f>IF(CL26=1," *Las Consultas de Medicos no pueden superar el total de Consultas. ","")</f>
        <v xml:space="preserve"> *Las Consultas de Medicos no pueden superar el total de Consultas. </v>
      </c>
      <c r="CC26" s="3811" t="str">
        <f>IF(CM26=1," *Las Consultas de Otros Profesionales no pueden superar el total de Consultas.","")</f>
        <v xml:space="preserve"> *Las Consultas de Otros Profesionales no pueden superar el total de Consultas.</v>
      </c>
      <c r="CD26" s="3811" t="str">
        <f>IF(CN26=1," *Las Consultas de Pueblos Originarios no pueden superar el total de Consultas.","")</f>
        <v xml:space="preserve"> *Las Consultas de Pueblos Originarios no pueden superar el total de Consultas.</v>
      </c>
      <c r="CE26" s="3811" t="str">
        <f>IF(CO26=1," *Las Consultas de Migrantes no pueden superar el total de Consultas.","")</f>
        <v xml:space="preserve"> *Las Consultas de Migrantes no pueden superar el total de Consultas.</v>
      </c>
      <c r="CF26" s="3811" t="str">
        <f t="shared" si="7"/>
        <v/>
      </c>
      <c r="CL26" s="3811">
        <f t="shared" si="6"/>
        <v>1</v>
      </c>
      <c r="CM26" s="3811">
        <f t="shared" si="6"/>
        <v>1</v>
      </c>
      <c r="CN26" s="3811">
        <f t="shared" si="6"/>
        <v>1</v>
      </c>
      <c r="CO26" s="3811">
        <f t="shared" si="6"/>
        <v>1</v>
      </c>
      <c r="CZ26" s="3810"/>
    </row>
    <row r="27" spans="1:104" ht="15.6" customHeight="1" x14ac:dyDescent="0.2">
      <c r="A27" s="7800"/>
      <c r="B27" s="7824" t="s">
        <v>24</v>
      </c>
      <c r="C27" s="7804">
        <f>SUM(C24:C26)</f>
        <v>0</v>
      </c>
      <c r="D27" s="7804">
        <f>SUM(D24:D26)</f>
        <v>0</v>
      </c>
      <c r="E27" s="7804">
        <f>SUM(E24:E26)</f>
        <v>0</v>
      </c>
      <c r="F27" s="7804">
        <f>SUM(F24:F26)</f>
        <v>0</v>
      </c>
      <c r="G27" s="7804">
        <f t="shared" ref="G27:M27" si="8">SUM(G24:G26)</f>
        <v>0</v>
      </c>
      <c r="H27" s="7804">
        <f t="shared" si="8"/>
        <v>0</v>
      </c>
      <c r="I27" s="7805">
        <f t="shared" si="8"/>
        <v>0</v>
      </c>
      <c r="J27" s="7825">
        <f t="shared" si="8"/>
        <v>0</v>
      </c>
      <c r="K27" s="7804">
        <f t="shared" si="8"/>
        <v>0</v>
      </c>
      <c r="L27" s="7804">
        <f t="shared" si="8"/>
        <v>0</v>
      </c>
      <c r="M27" s="7804">
        <f t="shared" si="8"/>
        <v>0</v>
      </c>
      <c r="N27" s="3858"/>
      <c r="O27" s="3858"/>
      <c r="P27" s="3858"/>
      <c r="Q27" s="3858"/>
      <c r="R27" s="3858"/>
      <c r="S27" s="3858"/>
      <c r="T27" s="3858"/>
      <c r="U27" s="3858"/>
      <c r="V27" s="3858"/>
      <c r="W27" s="3858"/>
      <c r="X27" s="3858"/>
      <c r="Y27" s="3858"/>
      <c r="Z27" s="3858"/>
      <c r="AG27" s="3811"/>
      <c r="CZ27" s="3810"/>
    </row>
    <row r="28" spans="1:104" ht="30.75" customHeight="1" x14ac:dyDescent="0.25">
      <c r="B28" s="3819" t="s">
        <v>3504</v>
      </c>
      <c r="C28" s="3859"/>
      <c r="D28" s="3860"/>
      <c r="E28" s="3860"/>
      <c r="F28" s="3860"/>
      <c r="G28" s="3860"/>
      <c r="H28" s="3860"/>
      <c r="I28" s="3860"/>
      <c r="J28" s="3860"/>
      <c r="K28" s="3860"/>
      <c r="BB28" s="3810"/>
      <c r="BC28" s="3810"/>
      <c r="BD28" s="3810"/>
      <c r="BE28" s="3810"/>
      <c r="BF28" s="3810"/>
      <c r="BG28" s="3810"/>
      <c r="BH28" s="3810"/>
      <c r="BI28" s="3810"/>
      <c r="BJ28" s="3810"/>
      <c r="BK28" s="3810"/>
      <c r="BL28" s="3810"/>
      <c r="BM28" s="3810"/>
    </row>
    <row r="29" spans="1:104" ht="21.75" customHeight="1" x14ac:dyDescent="0.2">
      <c r="B29" s="11249"/>
      <c r="C29" s="11249" t="s">
        <v>24</v>
      </c>
      <c r="D29" s="11250" t="s">
        <v>477</v>
      </c>
      <c r="E29" s="11251"/>
      <c r="F29" s="11251"/>
      <c r="G29" s="11251"/>
      <c r="H29" s="11251"/>
      <c r="I29" s="11251"/>
      <c r="J29" s="11251"/>
      <c r="K29" s="11251"/>
      <c r="L29" s="11251"/>
      <c r="M29" s="11251"/>
      <c r="N29" s="11251"/>
      <c r="O29" s="11251"/>
      <c r="P29" s="11251"/>
      <c r="Q29" s="11251"/>
      <c r="R29" s="11251"/>
      <c r="S29" s="11251"/>
      <c r="T29" s="11252"/>
      <c r="U29" s="11253" t="s">
        <v>22</v>
      </c>
      <c r="V29" s="11254"/>
      <c r="W29" s="9180" t="s">
        <v>362</v>
      </c>
      <c r="X29" s="11367" t="s">
        <v>361</v>
      </c>
      <c r="BB29" s="3810"/>
      <c r="BC29" s="3810"/>
      <c r="BD29" s="3810"/>
      <c r="BE29" s="3810"/>
      <c r="BF29" s="3810"/>
      <c r="BG29" s="3810"/>
      <c r="BH29" s="3810"/>
      <c r="BI29" s="3810"/>
      <c r="BJ29" s="3810"/>
      <c r="BO29" s="3810"/>
      <c r="BP29" s="3810"/>
      <c r="BQ29" s="3810"/>
      <c r="BR29" s="3810"/>
      <c r="BS29" s="3810"/>
      <c r="BT29" s="3810"/>
      <c r="BU29" s="3810"/>
      <c r="BV29" s="3810"/>
      <c r="BW29" s="3810"/>
      <c r="CB29" s="11255"/>
      <c r="CC29" s="11220"/>
      <c r="CD29" s="11220"/>
      <c r="CE29" s="11220"/>
      <c r="CL29" s="11255"/>
      <c r="CM29" s="11220"/>
      <c r="CN29" s="11220"/>
    </row>
    <row r="30" spans="1:104" ht="20.25" customHeight="1" x14ac:dyDescent="0.2">
      <c r="B30" s="11245"/>
      <c r="C30" s="11245"/>
      <c r="D30" s="3861" t="s">
        <v>75</v>
      </c>
      <c r="E30" s="3862" t="s">
        <v>76</v>
      </c>
      <c r="F30" s="3862" t="s">
        <v>77</v>
      </c>
      <c r="G30" s="3863" t="s">
        <v>71</v>
      </c>
      <c r="H30" s="3862" t="s">
        <v>4</v>
      </c>
      <c r="I30" s="3862" t="s">
        <v>5</v>
      </c>
      <c r="J30" s="3862" t="s">
        <v>6</v>
      </c>
      <c r="K30" s="3862" t="s">
        <v>7</v>
      </c>
      <c r="L30" s="3862" t="s">
        <v>8</v>
      </c>
      <c r="M30" s="3862" t="s">
        <v>9</v>
      </c>
      <c r="N30" s="3862" t="s">
        <v>10</v>
      </c>
      <c r="O30" s="3862" t="s">
        <v>11</v>
      </c>
      <c r="P30" s="3862" t="s">
        <v>12</v>
      </c>
      <c r="Q30" s="3862" t="s">
        <v>13</v>
      </c>
      <c r="R30" s="3862" t="s">
        <v>14</v>
      </c>
      <c r="S30" s="3864" t="s">
        <v>15</v>
      </c>
      <c r="T30" s="3865" t="s">
        <v>16</v>
      </c>
      <c r="U30" s="3826" t="s">
        <v>17</v>
      </c>
      <c r="V30" s="3827" t="s">
        <v>18</v>
      </c>
      <c r="W30" s="9180"/>
      <c r="X30" s="11367"/>
      <c r="BB30" s="3810"/>
      <c r="BC30" s="3810"/>
      <c r="BD30" s="3810"/>
      <c r="BE30" s="3810"/>
      <c r="BF30" s="3810"/>
      <c r="BG30" s="3810"/>
      <c r="BH30" s="3810"/>
      <c r="BI30" s="3810"/>
      <c r="BJ30" s="3810"/>
      <c r="BO30" s="3810"/>
      <c r="BP30" s="3810"/>
      <c r="BQ30" s="3810"/>
      <c r="BR30" s="3810"/>
      <c r="BS30" s="3810"/>
      <c r="BT30" s="3810"/>
      <c r="BU30" s="3810"/>
      <c r="BV30" s="3810"/>
      <c r="BW30" s="3810"/>
      <c r="CB30" s="11255"/>
      <c r="CC30" s="11220"/>
      <c r="CD30" s="11220"/>
      <c r="CE30" s="11220"/>
      <c r="CL30" s="11255"/>
      <c r="CM30" s="11220"/>
      <c r="CN30" s="11220"/>
    </row>
    <row r="31" spans="1:104" ht="20.25" customHeight="1" x14ac:dyDescent="0.2">
      <c r="A31" s="7263">
        <v>32100160</v>
      </c>
      <c r="B31" s="3866" t="s">
        <v>2376</v>
      </c>
      <c r="C31" s="3867" t="s">
        <v>5369</v>
      </c>
      <c r="D31" s="3868" t="s">
        <v>5370</v>
      </c>
      <c r="E31" s="3869" t="s">
        <v>5371</v>
      </c>
      <c r="F31" s="3869" t="s">
        <v>5372</v>
      </c>
      <c r="G31" s="3869" t="s">
        <v>5373</v>
      </c>
      <c r="H31" s="3869" t="s">
        <v>5374</v>
      </c>
      <c r="I31" s="3869" t="s">
        <v>5375</v>
      </c>
      <c r="J31" s="3869" t="s">
        <v>5376</v>
      </c>
      <c r="K31" s="3869" t="s">
        <v>5377</v>
      </c>
      <c r="L31" s="3869" t="s">
        <v>5378</v>
      </c>
      <c r="M31" s="3869" t="s">
        <v>5379</v>
      </c>
      <c r="N31" s="3869" t="s">
        <v>5380</v>
      </c>
      <c r="O31" s="3869" t="s">
        <v>5381</v>
      </c>
      <c r="P31" s="3869" t="s">
        <v>5382</v>
      </c>
      <c r="Q31" s="3869" t="s">
        <v>5383</v>
      </c>
      <c r="R31" s="3869" t="s">
        <v>5384</v>
      </c>
      <c r="S31" s="3869" t="s">
        <v>5385</v>
      </c>
      <c r="T31" s="3870" t="s">
        <v>5386</v>
      </c>
      <c r="U31" s="3871" t="s">
        <v>5387</v>
      </c>
      <c r="V31" s="3872" t="s">
        <v>5388</v>
      </c>
      <c r="W31" s="3873" t="s">
        <v>5389</v>
      </c>
      <c r="X31" s="3871" t="s">
        <v>5390</v>
      </c>
      <c r="Y31" s="3810" t="e">
        <f>CB31&amp;CC31&amp;CD31&amp;CE31&amp;CF31</f>
        <v>#VALUE!</v>
      </c>
      <c r="CB31" s="3811" t="e">
        <f>IF(CL31=1," *Las consultas según sexo deben ser iguales  al total de Consultas. ","")</f>
        <v>#VALUE!</v>
      </c>
      <c r="CC31" s="3811" t="str">
        <f>IF(CM31=1," *Las Consultas de Pueblos Originarios no pueden superar el total de Consultas.","")</f>
        <v xml:space="preserve"> *Las Consultas de Pueblos Originarios no pueden superar el total de Consultas.</v>
      </c>
      <c r="CD31" s="3811" t="str">
        <f>IF(CN31=1," *Las Consultas de Migrantes no pueden superar el total de Consultas.","")</f>
        <v xml:space="preserve"> *Las Consultas de Migrantes no pueden superar el total de Consultas.</v>
      </c>
      <c r="CE31" s="3811" t="str">
        <f>IF(OR(AND(X31="",C31&lt;&gt;0),AND(W31="",C31&lt;&gt;0)),"* No olvide digitar Migrantes y/o Pueblos Originarios (Digite CERO si no tiene). ","")</f>
        <v/>
      </c>
      <c r="CL31" s="3811" t="e">
        <f>IF(V31+U31&lt;&gt;C31,1,0)</f>
        <v>#VALUE!</v>
      </c>
      <c r="CM31" s="3811">
        <f>IF($C31&lt;W31,1,0)</f>
        <v>1</v>
      </c>
      <c r="CN31" s="3811">
        <f>IF($C31&lt;X31,1,0)</f>
        <v>1</v>
      </c>
    </row>
    <row r="32" spans="1:104" ht="25.5" customHeight="1" x14ac:dyDescent="0.25">
      <c r="B32" s="3874" t="s">
        <v>3105</v>
      </c>
      <c r="C32" s="3875"/>
      <c r="D32" s="3876"/>
      <c r="E32" s="3876"/>
      <c r="F32" s="3820"/>
      <c r="G32" s="3820"/>
      <c r="H32" s="3820"/>
      <c r="I32" s="3820"/>
      <c r="J32" s="3820"/>
      <c r="K32" s="3820"/>
      <c r="L32" s="3820"/>
      <c r="M32" s="3820"/>
      <c r="N32" s="3820"/>
      <c r="O32" s="3820"/>
      <c r="P32" s="3820"/>
      <c r="Q32" s="3820"/>
      <c r="R32" s="3820"/>
      <c r="S32" s="3820"/>
      <c r="T32" s="3820"/>
      <c r="U32" s="3820"/>
      <c r="V32" s="3820"/>
    </row>
    <row r="33" spans="1:107" ht="25.5" customHeight="1" x14ac:dyDescent="0.25">
      <c r="B33" s="4954" t="s">
        <v>3104</v>
      </c>
      <c r="C33" s="3820"/>
      <c r="D33" s="3820"/>
      <c r="E33" s="3820"/>
      <c r="F33" s="3820"/>
      <c r="G33" s="3820"/>
      <c r="H33" s="3820"/>
      <c r="I33" s="3820"/>
      <c r="J33" s="3820"/>
      <c r="K33" s="3820"/>
      <c r="AF33" s="3877"/>
      <c r="AG33" s="3877"/>
      <c r="AH33" s="3877"/>
      <c r="AI33" s="3877"/>
      <c r="AJ33" s="3877"/>
      <c r="AK33" s="3877"/>
      <c r="AL33" s="3877"/>
    </row>
    <row r="34" spans="1:107" ht="22.2" customHeight="1" x14ac:dyDescent="0.2">
      <c r="B34" s="10769" t="s">
        <v>1236</v>
      </c>
      <c r="C34" s="11403" t="s">
        <v>44</v>
      </c>
      <c r="D34" s="11406" t="s">
        <v>2377</v>
      </c>
      <c r="E34" s="11407"/>
      <c r="F34" s="11407"/>
      <c r="G34" s="11407"/>
      <c r="H34" s="11407"/>
      <c r="I34" s="11407"/>
      <c r="J34" s="11407"/>
      <c r="K34" s="11407"/>
      <c r="L34" s="11407"/>
      <c r="M34" s="11407"/>
      <c r="N34" s="11407"/>
      <c r="O34" s="11407"/>
      <c r="P34" s="11407"/>
      <c r="Q34" s="11407"/>
      <c r="R34" s="11407"/>
      <c r="S34" s="11407"/>
      <c r="T34" s="11407"/>
      <c r="U34" s="11407"/>
      <c r="V34" s="11408"/>
      <c r="W34" s="11399" t="s">
        <v>2378</v>
      </c>
      <c r="X34" s="11400"/>
      <c r="Y34" s="11270" t="s">
        <v>2789</v>
      </c>
      <c r="Z34" s="8636"/>
      <c r="AA34" s="11271" t="s">
        <v>2788</v>
      </c>
      <c r="AB34" s="11272"/>
      <c r="AC34" s="11272"/>
      <c r="AD34" s="11272"/>
      <c r="AE34" s="11272"/>
      <c r="AF34" s="11272"/>
      <c r="AG34" s="11272"/>
      <c r="AH34" s="11272"/>
      <c r="AI34" s="11272"/>
      <c r="AJ34" s="11273"/>
      <c r="AK34" s="11281" t="s">
        <v>3737</v>
      </c>
      <c r="AL34" s="11282"/>
      <c r="AM34" s="11283"/>
      <c r="AN34" s="11274" t="s">
        <v>2787</v>
      </c>
      <c r="AO34" s="8636" t="s">
        <v>2786</v>
      </c>
      <c r="AP34" s="11276" t="s">
        <v>362</v>
      </c>
      <c r="AQ34" s="8636" t="s">
        <v>361</v>
      </c>
      <c r="AR34" s="8636" t="s">
        <v>3727</v>
      </c>
      <c r="BE34" s="3810"/>
      <c r="BF34" s="3810"/>
      <c r="BG34" s="3810"/>
      <c r="BH34" s="3810"/>
      <c r="BI34" s="3810"/>
      <c r="BJ34" s="3810"/>
      <c r="BK34" s="3810"/>
      <c r="BL34" s="3810"/>
      <c r="BM34" s="3810"/>
      <c r="BN34" s="3810"/>
      <c r="BO34" s="3810"/>
      <c r="CC34" s="11220"/>
      <c r="CD34" s="11221"/>
      <c r="CE34" s="11221"/>
      <c r="CF34" s="11221"/>
      <c r="CG34" s="11221"/>
      <c r="CM34" s="11220"/>
      <c r="CN34" s="11221"/>
      <c r="CO34" s="11221"/>
      <c r="CP34" s="11221"/>
      <c r="CQ34" s="11221"/>
      <c r="DA34" s="3811"/>
      <c r="DB34" s="3811"/>
      <c r="DC34" s="3811"/>
    </row>
    <row r="35" spans="1:107" ht="48" customHeight="1" x14ac:dyDescent="0.2">
      <c r="B35" s="10769"/>
      <c r="C35" s="11404"/>
      <c r="D35" s="11409" t="s">
        <v>477</v>
      </c>
      <c r="E35" s="11409"/>
      <c r="F35" s="11409"/>
      <c r="G35" s="11409"/>
      <c r="H35" s="11409"/>
      <c r="I35" s="11409"/>
      <c r="J35" s="11409"/>
      <c r="K35" s="11409"/>
      <c r="L35" s="11409"/>
      <c r="M35" s="11409"/>
      <c r="N35" s="11409"/>
      <c r="O35" s="11409"/>
      <c r="P35" s="11409"/>
      <c r="Q35" s="11409"/>
      <c r="R35" s="11409"/>
      <c r="S35" s="11409"/>
      <c r="T35" s="11409"/>
      <c r="U35" s="11410" t="s">
        <v>22</v>
      </c>
      <c r="V35" s="11411"/>
      <c r="W35" s="11401"/>
      <c r="X35" s="11402"/>
      <c r="Y35" s="10988"/>
      <c r="Z35" s="9156"/>
      <c r="AA35" s="11278" t="s">
        <v>91</v>
      </c>
      <c r="AB35" s="11279"/>
      <c r="AC35" s="11279"/>
      <c r="AD35" s="11279"/>
      <c r="AE35" s="11280"/>
      <c r="AF35" s="11278" t="s">
        <v>92</v>
      </c>
      <c r="AG35" s="11279"/>
      <c r="AH35" s="11279"/>
      <c r="AI35" s="11279"/>
      <c r="AJ35" s="11280"/>
      <c r="AK35" s="11284"/>
      <c r="AL35" s="9181"/>
      <c r="AM35" s="9116"/>
      <c r="AN35" s="9116"/>
      <c r="AO35" s="9116"/>
      <c r="AP35" s="9104"/>
      <c r="AQ35" s="9116"/>
      <c r="AR35" s="9116"/>
      <c r="AS35" s="3810"/>
      <c r="BE35" s="3810"/>
      <c r="BF35" s="3810"/>
      <c r="BG35" s="3810"/>
      <c r="BH35" s="3810"/>
      <c r="BI35" s="3810"/>
      <c r="BJ35" s="3810"/>
      <c r="BK35" s="3810"/>
      <c r="BL35" s="3810"/>
      <c r="BM35" s="3810"/>
      <c r="BN35" s="3810"/>
      <c r="BO35" s="3810"/>
      <c r="CC35" s="11220"/>
      <c r="CD35" s="11221"/>
      <c r="CE35" s="11221"/>
      <c r="CF35" s="11221"/>
      <c r="CG35" s="11221"/>
      <c r="CH35" s="11220"/>
      <c r="CI35" s="11220"/>
      <c r="CM35" s="11220"/>
      <c r="CN35" s="11221"/>
      <c r="CO35" s="11221"/>
      <c r="CP35" s="11221"/>
      <c r="CQ35" s="11221"/>
      <c r="CR35" s="11220"/>
      <c r="CS35" s="11220"/>
      <c r="DA35" s="3811"/>
      <c r="DB35" s="3811"/>
      <c r="DC35" s="3811"/>
    </row>
    <row r="36" spans="1:107" ht="90" customHeight="1" x14ac:dyDescent="0.2">
      <c r="B36" s="10769"/>
      <c r="C36" s="11405"/>
      <c r="D36" s="3878" t="s">
        <v>75</v>
      </c>
      <c r="E36" s="3879" t="s">
        <v>76</v>
      </c>
      <c r="F36" s="3879" t="s">
        <v>77</v>
      </c>
      <c r="G36" s="3879" t="s">
        <v>71</v>
      </c>
      <c r="H36" s="3879" t="s">
        <v>4</v>
      </c>
      <c r="I36" s="3879" t="s">
        <v>5</v>
      </c>
      <c r="J36" s="3879" t="s">
        <v>6</v>
      </c>
      <c r="K36" s="3879" t="s">
        <v>7</v>
      </c>
      <c r="L36" s="3879" t="s">
        <v>8</v>
      </c>
      <c r="M36" s="3879" t="s">
        <v>9</v>
      </c>
      <c r="N36" s="3879" t="s">
        <v>10</v>
      </c>
      <c r="O36" s="3879" t="s">
        <v>11</v>
      </c>
      <c r="P36" s="3879" t="s">
        <v>12</v>
      </c>
      <c r="Q36" s="3879" t="s">
        <v>13</v>
      </c>
      <c r="R36" s="3879" t="s">
        <v>14</v>
      </c>
      <c r="S36" s="3879" t="s">
        <v>15</v>
      </c>
      <c r="T36" s="3880" t="s">
        <v>16</v>
      </c>
      <c r="U36" s="3881" t="s">
        <v>17</v>
      </c>
      <c r="V36" s="3882" t="s">
        <v>18</v>
      </c>
      <c r="W36" s="3883" t="s">
        <v>402</v>
      </c>
      <c r="X36" s="3884" t="s">
        <v>403</v>
      </c>
      <c r="Y36" s="3878" t="s">
        <v>93</v>
      </c>
      <c r="Z36" s="3880" t="s">
        <v>94</v>
      </c>
      <c r="AA36" s="3885" t="s">
        <v>24</v>
      </c>
      <c r="AB36" s="3886" t="s">
        <v>95</v>
      </c>
      <c r="AC36" s="3887" t="s">
        <v>2380</v>
      </c>
      <c r="AD36" s="3888" t="s">
        <v>1642</v>
      </c>
      <c r="AE36" s="3889" t="s">
        <v>1641</v>
      </c>
      <c r="AF36" s="3890" t="s">
        <v>44</v>
      </c>
      <c r="AG36" s="3886" t="s">
        <v>95</v>
      </c>
      <c r="AH36" s="3888" t="s">
        <v>2380</v>
      </c>
      <c r="AI36" s="3888" t="s">
        <v>1642</v>
      </c>
      <c r="AJ36" s="3889" t="s">
        <v>1641</v>
      </c>
      <c r="AK36" s="4953" t="s">
        <v>3057</v>
      </c>
      <c r="AL36" s="4952" t="s">
        <v>3058</v>
      </c>
      <c r="AM36" s="4952" t="s">
        <v>3736</v>
      </c>
      <c r="AN36" s="11275"/>
      <c r="AO36" s="11258"/>
      <c r="AP36" s="11277"/>
      <c r="AQ36" s="11258"/>
      <c r="AR36" s="11258"/>
      <c r="AS36" s="3810"/>
      <c r="BE36" s="3810"/>
      <c r="BF36" s="3810"/>
      <c r="BG36" s="3810"/>
      <c r="BH36" s="3810"/>
      <c r="BI36" s="3810"/>
      <c r="BJ36" s="3810"/>
      <c r="BK36" s="3810"/>
      <c r="BL36" s="3810"/>
      <c r="BM36" s="3810"/>
      <c r="BN36" s="3810"/>
      <c r="BO36" s="3810"/>
      <c r="CC36" s="11220"/>
      <c r="CD36" s="3891"/>
      <c r="CE36" s="3891"/>
      <c r="CF36" s="3891"/>
      <c r="CG36" s="3891"/>
      <c r="CH36" s="11220"/>
      <c r="CI36" s="11220"/>
      <c r="CM36" s="11220"/>
      <c r="CN36" s="3891"/>
      <c r="CO36" s="3891"/>
      <c r="CP36" s="3891"/>
      <c r="CQ36" s="3891"/>
      <c r="CR36" s="11220"/>
      <c r="CS36" s="11220"/>
      <c r="DA36" s="3811"/>
      <c r="DB36" s="3811"/>
      <c r="DC36" s="3811"/>
    </row>
    <row r="37" spans="1:107" ht="15.6" customHeight="1" x14ac:dyDescent="0.2">
      <c r="A37" s="7320">
        <v>32101535</v>
      </c>
      <c r="B37" s="3892" t="s">
        <v>111</v>
      </c>
      <c r="C37" s="3829" t="s">
        <v>5369</v>
      </c>
      <c r="D37" s="3893" t="s">
        <v>5370</v>
      </c>
      <c r="E37" s="3894" t="s">
        <v>5371</v>
      </c>
      <c r="F37" s="3894" t="s">
        <v>5372</v>
      </c>
      <c r="G37" s="3894" t="s">
        <v>5373</v>
      </c>
      <c r="H37" s="3895" t="s">
        <v>5374</v>
      </c>
      <c r="I37" s="3895" t="s">
        <v>5375</v>
      </c>
      <c r="J37" s="3895" t="s">
        <v>5376</v>
      </c>
      <c r="K37" s="3895" t="s">
        <v>5377</v>
      </c>
      <c r="L37" s="3895" t="s">
        <v>5378</v>
      </c>
      <c r="M37" s="3895" t="s">
        <v>5379</v>
      </c>
      <c r="N37" s="3895" t="s">
        <v>5380</v>
      </c>
      <c r="O37" s="3895" t="s">
        <v>5381</v>
      </c>
      <c r="P37" s="3895" t="s">
        <v>5382</v>
      </c>
      <c r="Q37" s="3895" t="s">
        <v>5383</v>
      </c>
      <c r="R37" s="3895" t="s">
        <v>5384</v>
      </c>
      <c r="S37" s="3895" t="s">
        <v>5385</v>
      </c>
      <c r="T37" s="3896" t="s">
        <v>5386</v>
      </c>
      <c r="U37" s="3897" t="s">
        <v>5387</v>
      </c>
      <c r="V37" s="3834" t="s">
        <v>5388</v>
      </c>
      <c r="W37" s="3897" t="s">
        <v>5389</v>
      </c>
      <c r="X37" s="3834" t="s">
        <v>5390</v>
      </c>
      <c r="Y37" s="3897" t="s">
        <v>5391</v>
      </c>
      <c r="Z37" s="3834" t="s">
        <v>5392</v>
      </c>
      <c r="AA37" s="3898" t="s">
        <v>5393</v>
      </c>
      <c r="AB37" s="3897" t="s">
        <v>5394</v>
      </c>
      <c r="AC37" s="3833" t="s">
        <v>5395</v>
      </c>
      <c r="AD37" s="3833" t="s">
        <v>5396</v>
      </c>
      <c r="AE37" s="3834" t="s">
        <v>5397</v>
      </c>
      <c r="AF37" s="3898" t="s">
        <v>5398</v>
      </c>
      <c r="AG37" s="3897" t="s">
        <v>5399</v>
      </c>
      <c r="AH37" s="3833" t="s">
        <v>5400</v>
      </c>
      <c r="AI37" s="3833" t="s">
        <v>5401</v>
      </c>
      <c r="AJ37" s="3899" t="s">
        <v>5402</v>
      </c>
      <c r="AK37" s="3900" t="s">
        <v>5403</v>
      </c>
      <c r="AL37" s="3900" t="s">
        <v>5404</v>
      </c>
      <c r="AM37" s="3908" t="s">
        <v>5405</v>
      </c>
      <c r="AN37" s="3900" t="s">
        <v>5406</v>
      </c>
      <c r="AO37" s="3900" t="s">
        <v>5407</v>
      </c>
      <c r="AP37" s="3900" t="s">
        <v>5408</v>
      </c>
      <c r="AQ37" s="3900" t="s">
        <v>5409</v>
      </c>
      <c r="AR37" s="3900" t="s">
        <v>5410</v>
      </c>
      <c r="AS37" s="3810" t="e">
        <f>CC37&amp;CD37&amp;CE37&amp;CF37&amp;CG37&amp;CH37&amp;CI37</f>
        <v>#VALUE!</v>
      </c>
      <c r="BE37" s="3810"/>
      <c r="BF37" s="3810"/>
      <c r="BG37" s="3810"/>
      <c r="BH37" s="3810"/>
      <c r="BI37" s="3810"/>
      <c r="BJ37" s="3810"/>
      <c r="BK37" s="3810"/>
      <c r="BL37" s="3810"/>
      <c r="BM37" s="3810"/>
      <c r="BN37" s="3810"/>
      <c r="BO37" s="3810"/>
      <c r="CC37" s="3811" t="e">
        <f t="shared" ref="CC37:CC68" si="9">IF(CM37=1," *Atenciones según sexo deben ser iguales  al total de Atenciones. ","")</f>
        <v>#VALUE!</v>
      </c>
      <c r="CD37" s="3811" t="str">
        <f t="shared" ref="CD37:CD68" si="10">IF(CN37=1,"*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E37" s="3811" t="str">
        <f t="shared" ref="CE37:CE68" si="11">IF(CO37=1,"*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F37" s="3811" t="str">
        <f t="shared" ref="CF37:CF68" si="12">IF(CP37=1,"*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G37" s="3811" t="str">
        <f t="shared" ref="CG37:CG68" si="13">IF(CQ37=1,"*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H37" s="3811" t="str">
        <f t="shared" ref="CH37:CH68" si="14">IF(CR37=1," *Las Atenciones de Pueblos Originarios no pueden superar el total de Atenciones.","")</f>
        <v xml:space="preserve"> *Las Atenciones de Pueblos Originarios no pueden superar el total de Atenciones.</v>
      </c>
      <c r="CI37" s="3811" t="str">
        <f t="shared" ref="CI37:CI68" si="15">IF(CS37=1," *Las Atenciones de Migrantes no pueden superar el total de Atenciones.","")</f>
        <v xml:space="preserve"> *Las Atenciones de Migrantes no pueden superar el total de Atenciones.</v>
      </c>
      <c r="CM37" s="3811" t="e">
        <f t="shared" ref="CM37:CM68" si="16">IF(U37+V37&lt;&gt;C37,1,0)</f>
        <v>#VALUE!</v>
      </c>
      <c r="CN37" s="3811">
        <f t="shared" ref="CN37:CN68" si="17">IF(AA37&gt;SUM($D37:$F37),1,0)</f>
        <v>1</v>
      </c>
      <c r="CO37" s="3811">
        <f t="shared" ref="CO37:CO68" si="18">IF(AF37&gt;SUM($G37:$T37),1,0)</f>
        <v>1</v>
      </c>
      <c r="CP37" s="3811">
        <f t="shared" ref="CP37:CP68" si="19">IF(Y37&gt;SUM($D37:$F37),1,0)</f>
        <v>1</v>
      </c>
      <c r="CQ37" s="3811">
        <f t="shared" ref="CQ37:CQ68" si="20">IF(Z37&gt;SUM($G37:$T37),1,0)</f>
        <v>1</v>
      </c>
      <c r="CR37" s="3811">
        <f t="shared" ref="CR37:CR68" si="21">IF($C37&lt;AP37,1,0)</f>
        <v>1</v>
      </c>
      <c r="CS37" s="3811">
        <f t="shared" ref="CS37:CS68" si="22">IF($C37&lt;AQ37,1,0)</f>
        <v>1</v>
      </c>
      <c r="DA37" s="3811"/>
      <c r="DB37" s="3811"/>
      <c r="DC37" s="3811"/>
    </row>
    <row r="38" spans="1:107" ht="15.6" customHeight="1" x14ac:dyDescent="0.2">
      <c r="A38" s="7258">
        <v>32100180</v>
      </c>
      <c r="B38" s="3901" t="s">
        <v>110</v>
      </c>
      <c r="C38" s="3902" t="s">
        <v>5369</v>
      </c>
      <c r="D38" s="3830" t="s">
        <v>5370</v>
      </c>
      <c r="E38" s="3903" t="s">
        <v>5371</v>
      </c>
      <c r="F38" s="3903" t="s">
        <v>5372</v>
      </c>
      <c r="G38" s="3903" t="s">
        <v>5373</v>
      </c>
      <c r="H38" s="3903" t="s">
        <v>5374</v>
      </c>
      <c r="I38" s="3903" t="s">
        <v>5375</v>
      </c>
      <c r="J38" s="3903" t="s">
        <v>5376</v>
      </c>
      <c r="K38" s="3903" t="s">
        <v>5377</v>
      </c>
      <c r="L38" s="3903" t="s">
        <v>5378</v>
      </c>
      <c r="M38" s="3903" t="s">
        <v>5379</v>
      </c>
      <c r="N38" s="3903" t="s">
        <v>5380</v>
      </c>
      <c r="O38" s="3903" t="s">
        <v>5381</v>
      </c>
      <c r="P38" s="3903" t="s">
        <v>5382</v>
      </c>
      <c r="Q38" s="3903" t="s">
        <v>5383</v>
      </c>
      <c r="R38" s="3903" t="s">
        <v>5384</v>
      </c>
      <c r="S38" s="3903" t="s">
        <v>5385</v>
      </c>
      <c r="T38" s="3841" t="s">
        <v>5386</v>
      </c>
      <c r="U38" s="3904" t="s">
        <v>5387</v>
      </c>
      <c r="V38" s="3905" t="s">
        <v>5388</v>
      </c>
      <c r="W38" s="3904" t="s">
        <v>5389</v>
      </c>
      <c r="X38" s="3905" t="s">
        <v>5390</v>
      </c>
      <c r="Y38" s="3904" t="s">
        <v>5391</v>
      </c>
      <c r="Z38" s="3905" t="s">
        <v>5392</v>
      </c>
      <c r="AA38" s="3901" t="s">
        <v>5393</v>
      </c>
      <c r="AB38" s="3904" t="s">
        <v>5394</v>
      </c>
      <c r="AC38" s="3906" t="s">
        <v>5395</v>
      </c>
      <c r="AD38" s="3906" t="s">
        <v>5396</v>
      </c>
      <c r="AE38" s="3905" t="s">
        <v>5397</v>
      </c>
      <c r="AF38" s="3901" t="s">
        <v>5398</v>
      </c>
      <c r="AG38" s="3904" t="s">
        <v>5399</v>
      </c>
      <c r="AH38" s="3906" t="s">
        <v>5400</v>
      </c>
      <c r="AI38" s="3906" t="s">
        <v>5401</v>
      </c>
      <c r="AJ38" s="3907" t="s">
        <v>5402</v>
      </c>
      <c r="AK38" s="3908" t="s">
        <v>5403</v>
      </c>
      <c r="AL38" s="3908" t="s">
        <v>5404</v>
      </c>
      <c r="AM38" s="3908" t="s">
        <v>5405</v>
      </c>
      <c r="AN38" s="3908" t="s">
        <v>5406</v>
      </c>
      <c r="AO38" s="3908" t="s">
        <v>5407</v>
      </c>
      <c r="AP38" s="3908" t="s">
        <v>5408</v>
      </c>
      <c r="AQ38" s="3908" t="s">
        <v>5409</v>
      </c>
      <c r="AR38" s="3908" t="s">
        <v>5410</v>
      </c>
      <c r="AS38" s="3810" t="e">
        <f t="shared" ref="AS38:AS96" si="23">CC38&amp;CD38&amp;CE38&amp;CF38&amp;CG38&amp;CH38&amp;CI38</f>
        <v>#VALUE!</v>
      </c>
      <c r="BE38" s="3810"/>
      <c r="BF38" s="3810"/>
      <c r="BG38" s="3810"/>
      <c r="BH38" s="3810"/>
      <c r="BI38" s="3810"/>
      <c r="BJ38" s="3810"/>
      <c r="BK38" s="3810"/>
      <c r="BL38" s="3810"/>
      <c r="BM38" s="3810"/>
      <c r="BN38" s="3810"/>
      <c r="BO38" s="3810"/>
      <c r="CC38" s="3811" t="e">
        <f t="shared" si="9"/>
        <v>#VALUE!</v>
      </c>
      <c r="CD38" s="3811" t="str">
        <f t="shared" si="10"/>
        <v xml:space="preserve">* El total de atenciones remotas de consultas nuevas según origen de menores de 15 años NO DEBE superar el total de atenciones del grupo indicado. </v>
      </c>
      <c r="CE38" s="3811" t="str">
        <f t="shared" si="11"/>
        <v xml:space="preserve">* El total de atenciones remotas de consultas nuevas según origen de pacientes de 15 y más años NO DEBE superar el total de atenciones del grupo indicado. </v>
      </c>
      <c r="CF38" s="3811" t="str">
        <f t="shared" si="12"/>
        <v xml:space="preserve">* El total de altas de consultas nuevas según origen de menores de 15 años NO DEBE superar el total de atenciones del grupo indicado. </v>
      </c>
      <c r="CG38" s="3811" t="str">
        <f t="shared" si="13"/>
        <v xml:space="preserve">* El total de altas de consultas nuevas según origen de pacientes de 15 y más años NO DEBE superar el total de atenciones del grupo indicado. </v>
      </c>
      <c r="CH38" s="3811" t="str">
        <f t="shared" si="14"/>
        <v xml:space="preserve"> *Las Atenciones de Pueblos Originarios no pueden superar el total de Atenciones.</v>
      </c>
      <c r="CI38" s="3811" t="str">
        <f t="shared" si="15"/>
        <v xml:space="preserve"> *Las Atenciones de Migrantes no pueden superar el total de Atenciones.</v>
      </c>
      <c r="CM38" s="3811" t="e">
        <f t="shared" si="16"/>
        <v>#VALUE!</v>
      </c>
      <c r="CN38" s="3811">
        <f t="shared" si="17"/>
        <v>1</v>
      </c>
      <c r="CO38" s="3811">
        <f t="shared" si="18"/>
        <v>1</v>
      </c>
      <c r="CP38" s="3811">
        <f t="shared" si="19"/>
        <v>1</v>
      </c>
      <c r="CQ38" s="3811">
        <f t="shared" si="20"/>
        <v>1</v>
      </c>
      <c r="CR38" s="3811">
        <f t="shared" si="21"/>
        <v>1</v>
      </c>
      <c r="CS38" s="3811">
        <f t="shared" si="22"/>
        <v>1</v>
      </c>
      <c r="DA38" s="3811"/>
      <c r="DB38" s="3811"/>
      <c r="DC38" s="3811"/>
    </row>
    <row r="39" spans="1:107" ht="15.6" customHeight="1" x14ac:dyDescent="0.2">
      <c r="A39" s="7320">
        <v>32101536</v>
      </c>
      <c r="B39" s="3901" t="s">
        <v>134</v>
      </c>
      <c r="C39" s="3902" t="s">
        <v>5369</v>
      </c>
      <c r="D39" s="3830" t="s">
        <v>5370</v>
      </c>
      <c r="E39" s="3909" t="s">
        <v>5371</v>
      </c>
      <c r="F39" s="3909" t="s">
        <v>5372</v>
      </c>
      <c r="G39" s="3909" t="s">
        <v>5373</v>
      </c>
      <c r="H39" s="3909" t="s">
        <v>5374</v>
      </c>
      <c r="I39" s="3909" t="s">
        <v>5375</v>
      </c>
      <c r="J39" s="3909" t="s">
        <v>5376</v>
      </c>
      <c r="K39" s="3909" t="s">
        <v>5377</v>
      </c>
      <c r="L39" s="3909" t="s">
        <v>5378</v>
      </c>
      <c r="M39" s="3909" t="s">
        <v>5379</v>
      </c>
      <c r="N39" s="3909" t="s">
        <v>5380</v>
      </c>
      <c r="O39" s="3909" t="s">
        <v>5381</v>
      </c>
      <c r="P39" s="3909" t="s">
        <v>5382</v>
      </c>
      <c r="Q39" s="3909" t="s">
        <v>5383</v>
      </c>
      <c r="R39" s="3909" t="s">
        <v>5384</v>
      </c>
      <c r="S39" s="3909" t="s">
        <v>5385</v>
      </c>
      <c r="T39" s="3910" t="s">
        <v>5386</v>
      </c>
      <c r="U39" s="3904" t="s">
        <v>5387</v>
      </c>
      <c r="V39" s="3905" t="s">
        <v>5388</v>
      </c>
      <c r="W39" s="3904" t="s">
        <v>5389</v>
      </c>
      <c r="X39" s="3905" t="s">
        <v>5390</v>
      </c>
      <c r="Y39" s="3904" t="s">
        <v>5391</v>
      </c>
      <c r="Z39" s="3905" t="s">
        <v>5392</v>
      </c>
      <c r="AA39" s="3901" t="s">
        <v>5393</v>
      </c>
      <c r="AB39" s="3904" t="s">
        <v>5394</v>
      </c>
      <c r="AC39" s="3906" t="s">
        <v>5395</v>
      </c>
      <c r="AD39" s="3906" t="s">
        <v>5396</v>
      </c>
      <c r="AE39" s="3905" t="s">
        <v>5397</v>
      </c>
      <c r="AF39" s="3901" t="s">
        <v>5398</v>
      </c>
      <c r="AG39" s="3904" t="s">
        <v>5399</v>
      </c>
      <c r="AH39" s="3906" t="s">
        <v>5400</v>
      </c>
      <c r="AI39" s="3906" t="s">
        <v>5401</v>
      </c>
      <c r="AJ39" s="3907" t="s">
        <v>5402</v>
      </c>
      <c r="AK39" s="3908" t="s">
        <v>5403</v>
      </c>
      <c r="AL39" s="3908" t="s">
        <v>5404</v>
      </c>
      <c r="AM39" s="3908" t="s">
        <v>5405</v>
      </c>
      <c r="AN39" s="3908" t="s">
        <v>5406</v>
      </c>
      <c r="AO39" s="3908" t="s">
        <v>5407</v>
      </c>
      <c r="AP39" s="3908" t="s">
        <v>5408</v>
      </c>
      <c r="AQ39" s="3908" t="s">
        <v>5409</v>
      </c>
      <c r="AR39" s="3908" t="s">
        <v>5410</v>
      </c>
      <c r="AS39" s="3810" t="e">
        <f t="shared" si="23"/>
        <v>#VALUE!</v>
      </c>
      <c r="BE39" s="3810"/>
      <c r="BF39" s="3810"/>
      <c r="BG39" s="3810"/>
      <c r="BH39" s="3810"/>
      <c r="BI39" s="3810"/>
      <c r="BJ39" s="3810"/>
      <c r="BK39" s="3810"/>
      <c r="BL39" s="3810"/>
      <c r="BM39" s="3810"/>
      <c r="BN39" s="3810"/>
      <c r="BO39" s="3810"/>
      <c r="CC39" s="3811" t="e">
        <f t="shared" si="9"/>
        <v>#VALUE!</v>
      </c>
      <c r="CD39" s="3811" t="str">
        <f t="shared" si="10"/>
        <v xml:space="preserve">* El total de atenciones remotas de consultas nuevas según origen de menores de 15 años NO DEBE superar el total de atenciones del grupo indicado. </v>
      </c>
      <c r="CE39" s="3811" t="str">
        <f t="shared" si="11"/>
        <v xml:space="preserve">* El total de atenciones remotas de consultas nuevas según origen de pacientes de 15 y más años NO DEBE superar el total de atenciones del grupo indicado. </v>
      </c>
      <c r="CF39" s="3811" t="str">
        <f t="shared" si="12"/>
        <v xml:space="preserve">* El total de altas de consultas nuevas según origen de menores de 15 años NO DEBE superar el total de atenciones del grupo indicado. </v>
      </c>
      <c r="CG39" s="3811" t="str">
        <f>IF(CQ39=1,"*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H39" s="3811" t="str">
        <f t="shared" si="14"/>
        <v xml:space="preserve"> *Las Atenciones de Pueblos Originarios no pueden superar el total de Atenciones.</v>
      </c>
      <c r="CI39" s="3811" t="str">
        <f t="shared" si="15"/>
        <v xml:space="preserve"> *Las Atenciones de Migrantes no pueden superar el total de Atenciones.</v>
      </c>
      <c r="CM39" s="3811" t="e">
        <f t="shared" si="16"/>
        <v>#VALUE!</v>
      </c>
      <c r="CN39" s="3811">
        <f t="shared" si="17"/>
        <v>1</v>
      </c>
      <c r="CO39" s="3811">
        <f t="shared" si="18"/>
        <v>1</v>
      </c>
      <c r="CP39" s="3811">
        <f t="shared" si="19"/>
        <v>1</v>
      </c>
      <c r="CQ39" s="3811">
        <f>IF(Z39&gt;SUM($D39),1,0)</f>
        <v>1</v>
      </c>
      <c r="CR39" s="3811">
        <f t="shared" si="21"/>
        <v>1</v>
      </c>
      <c r="CS39" s="3811">
        <f t="shared" si="22"/>
        <v>1</v>
      </c>
      <c r="DA39" s="3811"/>
      <c r="DB39" s="3811"/>
      <c r="DC39" s="3811"/>
    </row>
    <row r="40" spans="1:107" ht="15.6" customHeight="1" x14ac:dyDescent="0.2">
      <c r="A40" s="7320">
        <v>32101537</v>
      </c>
      <c r="B40" s="3901" t="s">
        <v>256</v>
      </c>
      <c r="C40" s="3902" t="s">
        <v>5369</v>
      </c>
      <c r="D40" s="3830" t="s">
        <v>5370</v>
      </c>
      <c r="E40" s="3903" t="s">
        <v>5371</v>
      </c>
      <c r="F40" s="3903" t="s">
        <v>5372</v>
      </c>
      <c r="G40" s="3903" t="s">
        <v>5373</v>
      </c>
      <c r="H40" s="3903" t="s">
        <v>5374</v>
      </c>
      <c r="I40" s="3903" t="s">
        <v>5375</v>
      </c>
      <c r="J40" s="3903" t="s">
        <v>5376</v>
      </c>
      <c r="K40" s="3903" t="s">
        <v>5377</v>
      </c>
      <c r="L40" s="3903" t="s">
        <v>5378</v>
      </c>
      <c r="M40" s="3903" t="s">
        <v>5379</v>
      </c>
      <c r="N40" s="3903" t="s">
        <v>5380</v>
      </c>
      <c r="O40" s="3903" t="s">
        <v>5381</v>
      </c>
      <c r="P40" s="3903" t="s">
        <v>5382</v>
      </c>
      <c r="Q40" s="3903" t="s">
        <v>5383</v>
      </c>
      <c r="R40" s="3903" t="s">
        <v>5384</v>
      </c>
      <c r="S40" s="3903" t="s">
        <v>5385</v>
      </c>
      <c r="T40" s="3841" t="s">
        <v>5386</v>
      </c>
      <c r="U40" s="3904" t="s">
        <v>5387</v>
      </c>
      <c r="V40" s="3905" t="s">
        <v>5388</v>
      </c>
      <c r="W40" s="3904" t="s">
        <v>5389</v>
      </c>
      <c r="X40" s="3905" t="s">
        <v>5390</v>
      </c>
      <c r="Y40" s="3904" t="s">
        <v>5391</v>
      </c>
      <c r="Z40" s="3905" t="s">
        <v>5392</v>
      </c>
      <c r="AA40" s="3901" t="s">
        <v>5393</v>
      </c>
      <c r="AB40" s="3904" t="s">
        <v>5394</v>
      </c>
      <c r="AC40" s="3906" t="s">
        <v>5395</v>
      </c>
      <c r="AD40" s="3906" t="s">
        <v>5396</v>
      </c>
      <c r="AE40" s="3905" t="s">
        <v>5397</v>
      </c>
      <c r="AF40" s="3901" t="s">
        <v>5398</v>
      </c>
      <c r="AG40" s="3904" t="s">
        <v>5399</v>
      </c>
      <c r="AH40" s="3906" t="s">
        <v>5400</v>
      </c>
      <c r="AI40" s="3906" t="s">
        <v>5401</v>
      </c>
      <c r="AJ40" s="3907" t="s">
        <v>5402</v>
      </c>
      <c r="AK40" s="3908" t="s">
        <v>5403</v>
      </c>
      <c r="AL40" s="3908" t="s">
        <v>5404</v>
      </c>
      <c r="AM40" s="3908" t="s">
        <v>5405</v>
      </c>
      <c r="AN40" s="3908" t="s">
        <v>5406</v>
      </c>
      <c r="AO40" s="3908" t="s">
        <v>5407</v>
      </c>
      <c r="AP40" s="3908" t="s">
        <v>5408</v>
      </c>
      <c r="AQ40" s="3908" t="s">
        <v>5409</v>
      </c>
      <c r="AR40" s="3908" t="s">
        <v>5410</v>
      </c>
      <c r="AS40" s="3810" t="e">
        <f t="shared" si="23"/>
        <v>#VALUE!</v>
      </c>
      <c r="BE40" s="3810"/>
      <c r="BF40" s="3810"/>
      <c r="BG40" s="3810"/>
      <c r="BH40" s="3810"/>
      <c r="BI40" s="3810"/>
      <c r="BJ40" s="3810"/>
      <c r="BK40" s="3810"/>
      <c r="BL40" s="3810"/>
      <c r="BM40" s="3810"/>
      <c r="BN40" s="3810"/>
      <c r="BO40" s="3810"/>
      <c r="CC40" s="3811" t="e">
        <f t="shared" si="9"/>
        <v>#VALUE!</v>
      </c>
      <c r="CD40" s="3811" t="str">
        <f t="shared" si="10"/>
        <v xml:space="preserve">* El total de atenciones remotas de consultas nuevas según origen de menores de 15 años NO DEBE superar el total de atenciones del grupo indicado. </v>
      </c>
      <c r="CE40" s="3811" t="str">
        <f t="shared" si="11"/>
        <v xml:space="preserve">* El total de atenciones remotas de consultas nuevas según origen de pacientes de 15 y más años NO DEBE superar el total de atenciones del grupo indicado. </v>
      </c>
      <c r="CF40" s="3811" t="str">
        <f t="shared" si="12"/>
        <v xml:space="preserve">* El total de altas de consultas nuevas según origen de menores de 15 años NO DEBE superar el total de atenciones del grupo indicado. </v>
      </c>
      <c r="CG40" s="3811" t="str">
        <f t="shared" si="13"/>
        <v xml:space="preserve">* El total de altas de consultas nuevas según origen de pacientes de 15 y más años NO DEBE superar el total de atenciones del grupo indicado. </v>
      </c>
      <c r="CH40" s="3811" t="str">
        <f t="shared" si="14"/>
        <v xml:space="preserve"> *Las Atenciones de Pueblos Originarios no pueden superar el total de Atenciones.</v>
      </c>
      <c r="CI40" s="3811" t="str">
        <f t="shared" si="15"/>
        <v xml:space="preserve"> *Las Atenciones de Migrantes no pueden superar el total de Atenciones.</v>
      </c>
      <c r="CM40" s="3811" t="e">
        <f t="shared" si="16"/>
        <v>#VALUE!</v>
      </c>
      <c r="CN40" s="3811">
        <f t="shared" si="17"/>
        <v>1</v>
      </c>
      <c r="CO40" s="3811">
        <f t="shared" si="18"/>
        <v>1</v>
      </c>
      <c r="CP40" s="3811">
        <f t="shared" si="19"/>
        <v>1</v>
      </c>
      <c r="CQ40" s="3811">
        <f t="shared" si="20"/>
        <v>1</v>
      </c>
      <c r="CR40" s="3811">
        <f t="shared" si="21"/>
        <v>1</v>
      </c>
      <c r="CS40" s="3811">
        <f t="shared" si="22"/>
        <v>1</v>
      </c>
      <c r="DA40" s="3811"/>
      <c r="DB40" s="3811"/>
      <c r="DC40" s="3811"/>
    </row>
    <row r="41" spans="1:107" ht="15.6" customHeight="1" x14ac:dyDescent="0.2">
      <c r="A41" s="7258">
        <v>32100200</v>
      </c>
      <c r="B41" s="3901" t="s">
        <v>257</v>
      </c>
      <c r="C41" s="3902" t="s">
        <v>5369</v>
      </c>
      <c r="D41" s="3830" t="s">
        <v>5370</v>
      </c>
      <c r="E41" s="3903" t="s">
        <v>5371</v>
      </c>
      <c r="F41" s="3903" t="s">
        <v>5372</v>
      </c>
      <c r="G41" s="3903" t="s">
        <v>5373</v>
      </c>
      <c r="H41" s="3903" t="s">
        <v>5374</v>
      </c>
      <c r="I41" s="3903" t="s">
        <v>5375</v>
      </c>
      <c r="J41" s="3903" t="s">
        <v>5376</v>
      </c>
      <c r="K41" s="3903" t="s">
        <v>5377</v>
      </c>
      <c r="L41" s="3903" t="s">
        <v>5378</v>
      </c>
      <c r="M41" s="3903" t="s">
        <v>5379</v>
      </c>
      <c r="N41" s="3903" t="s">
        <v>5380</v>
      </c>
      <c r="O41" s="3903" t="s">
        <v>5381</v>
      </c>
      <c r="P41" s="3903" t="s">
        <v>5382</v>
      </c>
      <c r="Q41" s="3903" t="s">
        <v>5383</v>
      </c>
      <c r="R41" s="3903" t="s">
        <v>5384</v>
      </c>
      <c r="S41" s="3903" t="s">
        <v>5385</v>
      </c>
      <c r="T41" s="3841" t="s">
        <v>5386</v>
      </c>
      <c r="U41" s="3904" t="s">
        <v>5387</v>
      </c>
      <c r="V41" s="3905" t="s">
        <v>5388</v>
      </c>
      <c r="W41" s="3904" t="s">
        <v>5389</v>
      </c>
      <c r="X41" s="3905" t="s">
        <v>5390</v>
      </c>
      <c r="Y41" s="3904" t="s">
        <v>5391</v>
      </c>
      <c r="Z41" s="3905" t="s">
        <v>5392</v>
      </c>
      <c r="AA41" s="3901" t="s">
        <v>5393</v>
      </c>
      <c r="AB41" s="3904" t="s">
        <v>5394</v>
      </c>
      <c r="AC41" s="3906" t="s">
        <v>5395</v>
      </c>
      <c r="AD41" s="3906" t="s">
        <v>5396</v>
      </c>
      <c r="AE41" s="3905" t="s">
        <v>5397</v>
      </c>
      <c r="AF41" s="3901" t="s">
        <v>5398</v>
      </c>
      <c r="AG41" s="3904" t="s">
        <v>5399</v>
      </c>
      <c r="AH41" s="3906" t="s">
        <v>5400</v>
      </c>
      <c r="AI41" s="3906" t="s">
        <v>5401</v>
      </c>
      <c r="AJ41" s="3907" t="s">
        <v>5402</v>
      </c>
      <c r="AK41" s="3908" t="s">
        <v>5403</v>
      </c>
      <c r="AL41" s="3908" t="s">
        <v>5404</v>
      </c>
      <c r="AM41" s="3908" t="s">
        <v>5405</v>
      </c>
      <c r="AN41" s="3908" t="s">
        <v>5406</v>
      </c>
      <c r="AO41" s="3908" t="s">
        <v>5407</v>
      </c>
      <c r="AP41" s="3908" t="s">
        <v>5408</v>
      </c>
      <c r="AQ41" s="3908" t="s">
        <v>5409</v>
      </c>
      <c r="AR41" s="3908" t="s">
        <v>5410</v>
      </c>
      <c r="AS41" s="3810" t="e">
        <f t="shared" si="23"/>
        <v>#VALUE!</v>
      </c>
      <c r="BE41" s="3810"/>
      <c r="BF41" s="3810"/>
      <c r="BG41" s="3810"/>
      <c r="BH41" s="3810"/>
      <c r="BI41" s="3810"/>
      <c r="BJ41" s="3810"/>
      <c r="BK41" s="3810"/>
      <c r="BL41" s="3810"/>
      <c r="BM41" s="3810"/>
      <c r="BN41" s="3810"/>
      <c r="BO41" s="3810"/>
      <c r="CC41" s="3811" t="e">
        <f t="shared" si="9"/>
        <v>#VALUE!</v>
      </c>
      <c r="CD41" s="3811" t="str">
        <f t="shared" si="10"/>
        <v xml:space="preserve">* El total de atenciones remotas de consultas nuevas según origen de menores de 15 años NO DEBE superar el total de atenciones del grupo indicado. </v>
      </c>
      <c r="CE41" s="3811" t="str">
        <f t="shared" si="11"/>
        <v xml:space="preserve">* El total de atenciones remotas de consultas nuevas según origen de pacientes de 15 y más años NO DEBE superar el total de atenciones del grupo indicado. </v>
      </c>
      <c r="CF41" s="3811" t="str">
        <f t="shared" si="12"/>
        <v xml:space="preserve">* El total de altas de consultas nuevas según origen de menores de 15 años NO DEBE superar el total de atenciones del grupo indicado. </v>
      </c>
      <c r="CG41" s="3811" t="str">
        <f t="shared" si="13"/>
        <v xml:space="preserve">* El total de altas de consultas nuevas según origen de pacientes de 15 y más años NO DEBE superar el total de atenciones del grupo indicado. </v>
      </c>
      <c r="CH41" s="3811" t="str">
        <f t="shared" si="14"/>
        <v xml:space="preserve"> *Las Atenciones de Pueblos Originarios no pueden superar el total de Atenciones.</v>
      </c>
      <c r="CI41" s="3811" t="str">
        <f t="shared" si="15"/>
        <v xml:space="preserve"> *Las Atenciones de Migrantes no pueden superar el total de Atenciones.</v>
      </c>
      <c r="CM41" s="3811" t="e">
        <f t="shared" si="16"/>
        <v>#VALUE!</v>
      </c>
      <c r="CN41" s="3811">
        <f t="shared" si="17"/>
        <v>1</v>
      </c>
      <c r="CO41" s="3811">
        <f t="shared" si="18"/>
        <v>1</v>
      </c>
      <c r="CP41" s="3811">
        <f t="shared" si="19"/>
        <v>1</v>
      </c>
      <c r="CQ41" s="3811">
        <f t="shared" si="20"/>
        <v>1</v>
      </c>
      <c r="CR41" s="3811">
        <f t="shared" si="21"/>
        <v>1</v>
      </c>
      <c r="CS41" s="3811">
        <f t="shared" si="22"/>
        <v>1</v>
      </c>
      <c r="DA41" s="3811"/>
      <c r="DB41" s="3811"/>
      <c r="DC41" s="3811"/>
    </row>
    <row r="42" spans="1:107" ht="15.6" customHeight="1" x14ac:dyDescent="0.2">
      <c r="A42" s="7320">
        <v>32101538</v>
      </c>
      <c r="B42" s="3901" t="s">
        <v>258</v>
      </c>
      <c r="C42" s="3902" t="s">
        <v>5369</v>
      </c>
      <c r="D42" s="3830" t="s">
        <v>5370</v>
      </c>
      <c r="E42" s="3903" t="s">
        <v>5371</v>
      </c>
      <c r="F42" s="3903" t="s">
        <v>5372</v>
      </c>
      <c r="G42" s="3903" t="s">
        <v>5373</v>
      </c>
      <c r="H42" s="3903" t="s">
        <v>5374</v>
      </c>
      <c r="I42" s="3903" t="s">
        <v>5375</v>
      </c>
      <c r="J42" s="3903" t="s">
        <v>5376</v>
      </c>
      <c r="K42" s="3903" t="s">
        <v>5377</v>
      </c>
      <c r="L42" s="3903" t="s">
        <v>5378</v>
      </c>
      <c r="M42" s="3903" t="s">
        <v>5379</v>
      </c>
      <c r="N42" s="3903" t="s">
        <v>5380</v>
      </c>
      <c r="O42" s="3903" t="s">
        <v>5381</v>
      </c>
      <c r="P42" s="3903" t="s">
        <v>5382</v>
      </c>
      <c r="Q42" s="3903" t="s">
        <v>5383</v>
      </c>
      <c r="R42" s="3903" t="s">
        <v>5384</v>
      </c>
      <c r="S42" s="3903" t="s">
        <v>5385</v>
      </c>
      <c r="T42" s="3841" t="s">
        <v>5386</v>
      </c>
      <c r="U42" s="3904" t="s">
        <v>5387</v>
      </c>
      <c r="V42" s="3905" t="s">
        <v>5388</v>
      </c>
      <c r="W42" s="3904" t="s">
        <v>5389</v>
      </c>
      <c r="X42" s="3905" t="s">
        <v>5390</v>
      </c>
      <c r="Y42" s="3904" t="s">
        <v>5391</v>
      </c>
      <c r="Z42" s="3905" t="s">
        <v>5392</v>
      </c>
      <c r="AA42" s="3901" t="s">
        <v>5393</v>
      </c>
      <c r="AB42" s="3904" t="s">
        <v>5394</v>
      </c>
      <c r="AC42" s="3906" t="s">
        <v>5395</v>
      </c>
      <c r="AD42" s="3906" t="s">
        <v>5396</v>
      </c>
      <c r="AE42" s="3905" t="s">
        <v>5397</v>
      </c>
      <c r="AF42" s="3901" t="s">
        <v>5398</v>
      </c>
      <c r="AG42" s="3904" t="s">
        <v>5399</v>
      </c>
      <c r="AH42" s="3906" t="s">
        <v>5400</v>
      </c>
      <c r="AI42" s="3906" t="s">
        <v>5401</v>
      </c>
      <c r="AJ42" s="3907" t="s">
        <v>5402</v>
      </c>
      <c r="AK42" s="3908" t="s">
        <v>5403</v>
      </c>
      <c r="AL42" s="3908" t="s">
        <v>5404</v>
      </c>
      <c r="AM42" s="3908" t="s">
        <v>5405</v>
      </c>
      <c r="AN42" s="3908" t="s">
        <v>5406</v>
      </c>
      <c r="AO42" s="3908" t="s">
        <v>5407</v>
      </c>
      <c r="AP42" s="3908" t="s">
        <v>5408</v>
      </c>
      <c r="AQ42" s="3908" t="s">
        <v>5409</v>
      </c>
      <c r="AR42" s="3908" t="s">
        <v>5410</v>
      </c>
      <c r="AS42" s="3810" t="e">
        <f t="shared" si="23"/>
        <v>#VALUE!</v>
      </c>
      <c r="BE42" s="3810"/>
      <c r="BF42" s="3810"/>
      <c r="BG42" s="3810"/>
      <c r="BH42" s="3810"/>
      <c r="BI42" s="3810"/>
      <c r="BJ42" s="3810"/>
      <c r="BK42" s="3810"/>
      <c r="BL42" s="3810"/>
      <c r="BM42" s="3810"/>
      <c r="BN42" s="3810"/>
      <c r="BO42" s="3810"/>
      <c r="CC42" s="3811" t="e">
        <f t="shared" si="9"/>
        <v>#VALUE!</v>
      </c>
      <c r="CD42" s="3811" t="str">
        <f t="shared" si="10"/>
        <v xml:space="preserve">* El total de atenciones remotas de consultas nuevas según origen de menores de 15 años NO DEBE superar el total de atenciones del grupo indicado. </v>
      </c>
      <c r="CE42" s="3811" t="str">
        <f t="shared" si="11"/>
        <v xml:space="preserve">* El total de atenciones remotas de consultas nuevas según origen de pacientes de 15 y más años NO DEBE superar el total de atenciones del grupo indicado. </v>
      </c>
      <c r="CF42" s="3811" t="str">
        <f t="shared" si="12"/>
        <v xml:space="preserve">* El total de altas de consultas nuevas según origen de menores de 15 años NO DEBE superar el total de atenciones del grupo indicado. </v>
      </c>
      <c r="CG42" s="3811" t="str">
        <f t="shared" si="13"/>
        <v xml:space="preserve">* El total de altas de consultas nuevas según origen de pacientes de 15 y más años NO DEBE superar el total de atenciones del grupo indicado. </v>
      </c>
      <c r="CH42" s="3811" t="str">
        <f t="shared" si="14"/>
        <v xml:space="preserve"> *Las Atenciones de Pueblos Originarios no pueden superar el total de Atenciones.</v>
      </c>
      <c r="CI42" s="3811" t="str">
        <f t="shared" si="15"/>
        <v xml:space="preserve"> *Las Atenciones de Migrantes no pueden superar el total de Atenciones.</v>
      </c>
      <c r="CM42" s="3811" t="e">
        <f t="shared" si="16"/>
        <v>#VALUE!</v>
      </c>
      <c r="CN42" s="3811">
        <f t="shared" si="17"/>
        <v>1</v>
      </c>
      <c r="CO42" s="3811">
        <f t="shared" si="18"/>
        <v>1</v>
      </c>
      <c r="CP42" s="3811">
        <f t="shared" si="19"/>
        <v>1</v>
      </c>
      <c r="CQ42" s="3811">
        <f t="shared" si="20"/>
        <v>1</v>
      </c>
      <c r="CR42" s="3811">
        <f t="shared" si="21"/>
        <v>1</v>
      </c>
      <c r="CS42" s="3811">
        <f t="shared" si="22"/>
        <v>1</v>
      </c>
      <c r="DA42" s="3811"/>
      <c r="DB42" s="3811"/>
      <c r="DC42" s="3811"/>
    </row>
    <row r="43" spans="1:107" ht="15.6" customHeight="1" x14ac:dyDescent="0.2">
      <c r="A43" s="7258">
        <v>32100210</v>
      </c>
      <c r="B43" s="3901" t="s">
        <v>455</v>
      </c>
      <c r="C43" s="3902" t="s">
        <v>5369</v>
      </c>
      <c r="D43" s="3830" t="s">
        <v>5370</v>
      </c>
      <c r="E43" s="3903" t="s">
        <v>5371</v>
      </c>
      <c r="F43" s="3903" t="s">
        <v>5372</v>
      </c>
      <c r="G43" s="3903" t="s">
        <v>5373</v>
      </c>
      <c r="H43" s="3903" t="s">
        <v>5374</v>
      </c>
      <c r="I43" s="3903" t="s">
        <v>5375</v>
      </c>
      <c r="J43" s="3903" t="s">
        <v>5376</v>
      </c>
      <c r="K43" s="3903" t="s">
        <v>5377</v>
      </c>
      <c r="L43" s="3903" t="s">
        <v>5378</v>
      </c>
      <c r="M43" s="3903" t="s">
        <v>5379</v>
      </c>
      <c r="N43" s="3903" t="s">
        <v>5380</v>
      </c>
      <c r="O43" s="3903" t="s">
        <v>5381</v>
      </c>
      <c r="P43" s="3903" t="s">
        <v>5382</v>
      </c>
      <c r="Q43" s="3903" t="s">
        <v>5383</v>
      </c>
      <c r="R43" s="3903" t="s">
        <v>5384</v>
      </c>
      <c r="S43" s="3903" t="s">
        <v>5385</v>
      </c>
      <c r="T43" s="3841" t="s">
        <v>5386</v>
      </c>
      <c r="U43" s="3904" t="s">
        <v>5387</v>
      </c>
      <c r="V43" s="3905" t="s">
        <v>5388</v>
      </c>
      <c r="W43" s="3904" t="s">
        <v>5389</v>
      </c>
      <c r="X43" s="3905" t="s">
        <v>5390</v>
      </c>
      <c r="Y43" s="3904" t="s">
        <v>5391</v>
      </c>
      <c r="Z43" s="3905" t="s">
        <v>5392</v>
      </c>
      <c r="AA43" s="3901" t="s">
        <v>5393</v>
      </c>
      <c r="AB43" s="3904" t="s">
        <v>5394</v>
      </c>
      <c r="AC43" s="3906" t="s">
        <v>5395</v>
      </c>
      <c r="AD43" s="3906" t="s">
        <v>5396</v>
      </c>
      <c r="AE43" s="3905" t="s">
        <v>5397</v>
      </c>
      <c r="AF43" s="3901" t="s">
        <v>5398</v>
      </c>
      <c r="AG43" s="3904" t="s">
        <v>5399</v>
      </c>
      <c r="AH43" s="3906" t="s">
        <v>5400</v>
      </c>
      <c r="AI43" s="3906" t="s">
        <v>5401</v>
      </c>
      <c r="AJ43" s="3907" t="s">
        <v>5402</v>
      </c>
      <c r="AK43" s="3908" t="s">
        <v>5403</v>
      </c>
      <c r="AL43" s="3908" t="s">
        <v>5404</v>
      </c>
      <c r="AM43" s="3908" t="s">
        <v>5405</v>
      </c>
      <c r="AN43" s="3908" t="s">
        <v>5406</v>
      </c>
      <c r="AO43" s="3908" t="s">
        <v>5407</v>
      </c>
      <c r="AP43" s="3908" t="s">
        <v>5408</v>
      </c>
      <c r="AQ43" s="3908" t="s">
        <v>5409</v>
      </c>
      <c r="AR43" s="3908" t="s">
        <v>5410</v>
      </c>
      <c r="AS43" s="3810" t="e">
        <f t="shared" si="23"/>
        <v>#VALUE!</v>
      </c>
      <c r="BE43" s="3810"/>
      <c r="BF43" s="3810"/>
      <c r="BG43" s="3810"/>
      <c r="BH43" s="3810"/>
      <c r="BI43" s="3810"/>
      <c r="BJ43" s="3810"/>
      <c r="BK43" s="3810"/>
      <c r="BL43" s="3810"/>
      <c r="BM43" s="3810"/>
      <c r="BN43" s="3810"/>
      <c r="BO43" s="3810"/>
      <c r="CC43" s="3811" t="e">
        <f t="shared" si="9"/>
        <v>#VALUE!</v>
      </c>
      <c r="CD43" s="3811" t="str">
        <f t="shared" si="10"/>
        <v xml:space="preserve">* El total de atenciones remotas de consultas nuevas según origen de menores de 15 años NO DEBE superar el total de atenciones del grupo indicado. </v>
      </c>
      <c r="CE43" s="3811" t="str">
        <f t="shared" si="11"/>
        <v xml:space="preserve">* El total de atenciones remotas de consultas nuevas según origen de pacientes de 15 y más años NO DEBE superar el total de atenciones del grupo indicado. </v>
      </c>
      <c r="CF43" s="3811" t="str">
        <f t="shared" si="12"/>
        <v xml:space="preserve">* El total de altas de consultas nuevas según origen de menores de 15 años NO DEBE superar el total de atenciones del grupo indicado. </v>
      </c>
      <c r="CG43" s="3811" t="str">
        <f t="shared" si="13"/>
        <v xml:space="preserve">* El total de altas de consultas nuevas según origen de pacientes de 15 y más años NO DEBE superar el total de atenciones del grupo indicado. </v>
      </c>
      <c r="CH43" s="3811" t="str">
        <f t="shared" si="14"/>
        <v xml:space="preserve"> *Las Atenciones de Pueblos Originarios no pueden superar el total de Atenciones.</v>
      </c>
      <c r="CI43" s="3811" t="str">
        <f t="shared" si="15"/>
        <v xml:space="preserve"> *Las Atenciones de Migrantes no pueden superar el total de Atenciones.</v>
      </c>
      <c r="CM43" s="3811" t="e">
        <f t="shared" si="16"/>
        <v>#VALUE!</v>
      </c>
      <c r="CN43" s="3811">
        <f t="shared" si="17"/>
        <v>1</v>
      </c>
      <c r="CO43" s="3811">
        <f t="shared" si="18"/>
        <v>1</v>
      </c>
      <c r="CP43" s="3811">
        <f t="shared" si="19"/>
        <v>1</v>
      </c>
      <c r="CQ43" s="3811">
        <f t="shared" si="20"/>
        <v>1</v>
      </c>
      <c r="CR43" s="3811">
        <f t="shared" si="21"/>
        <v>1</v>
      </c>
      <c r="CS43" s="3811">
        <f t="shared" si="22"/>
        <v>1</v>
      </c>
      <c r="DA43" s="3811"/>
      <c r="DB43" s="3811"/>
      <c r="DC43" s="3811"/>
    </row>
    <row r="44" spans="1:107" ht="15.6" customHeight="1" x14ac:dyDescent="0.2">
      <c r="A44" s="7320">
        <v>32101539</v>
      </c>
      <c r="B44" s="3901" t="s">
        <v>259</v>
      </c>
      <c r="C44" s="3902" t="s">
        <v>5369</v>
      </c>
      <c r="D44" s="3830" t="s">
        <v>5370</v>
      </c>
      <c r="E44" s="3903" t="s">
        <v>5371</v>
      </c>
      <c r="F44" s="3903" t="s">
        <v>5372</v>
      </c>
      <c r="G44" s="3903" t="s">
        <v>5373</v>
      </c>
      <c r="H44" s="3903" t="s">
        <v>5374</v>
      </c>
      <c r="I44" s="3903" t="s">
        <v>5375</v>
      </c>
      <c r="J44" s="3903" t="s">
        <v>5376</v>
      </c>
      <c r="K44" s="3903" t="s">
        <v>5377</v>
      </c>
      <c r="L44" s="3903" t="s">
        <v>5378</v>
      </c>
      <c r="M44" s="3903" t="s">
        <v>5379</v>
      </c>
      <c r="N44" s="3903" t="s">
        <v>5380</v>
      </c>
      <c r="O44" s="3903" t="s">
        <v>5381</v>
      </c>
      <c r="P44" s="3903" t="s">
        <v>5382</v>
      </c>
      <c r="Q44" s="3903" t="s">
        <v>5383</v>
      </c>
      <c r="R44" s="3903" t="s">
        <v>5384</v>
      </c>
      <c r="S44" s="3903" t="s">
        <v>5385</v>
      </c>
      <c r="T44" s="3841" t="s">
        <v>5386</v>
      </c>
      <c r="U44" s="3904" t="s">
        <v>5387</v>
      </c>
      <c r="V44" s="3905" t="s">
        <v>5388</v>
      </c>
      <c r="W44" s="3904" t="s">
        <v>5389</v>
      </c>
      <c r="X44" s="3905" t="s">
        <v>5390</v>
      </c>
      <c r="Y44" s="3904" t="s">
        <v>5391</v>
      </c>
      <c r="Z44" s="3905" t="s">
        <v>5392</v>
      </c>
      <c r="AA44" s="3901" t="s">
        <v>5393</v>
      </c>
      <c r="AB44" s="3904" t="s">
        <v>5394</v>
      </c>
      <c r="AC44" s="3906" t="s">
        <v>5395</v>
      </c>
      <c r="AD44" s="3906" t="s">
        <v>5396</v>
      </c>
      <c r="AE44" s="3905" t="s">
        <v>5397</v>
      </c>
      <c r="AF44" s="3901" t="s">
        <v>5398</v>
      </c>
      <c r="AG44" s="3904" t="s">
        <v>5399</v>
      </c>
      <c r="AH44" s="3906" t="s">
        <v>5400</v>
      </c>
      <c r="AI44" s="3906" t="s">
        <v>5401</v>
      </c>
      <c r="AJ44" s="3907" t="s">
        <v>5402</v>
      </c>
      <c r="AK44" s="3908" t="s">
        <v>5403</v>
      </c>
      <c r="AL44" s="3908" t="s">
        <v>5404</v>
      </c>
      <c r="AM44" s="3908" t="s">
        <v>5405</v>
      </c>
      <c r="AN44" s="3908" t="s">
        <v>5406</v>
      </c>
      <c r="AO44" s="3908" t="s">
        <v>5407</v>
      </c>
      <c r="AP44" s="3908" t="s">
        <v>5408</v>
      </c>
      <c r="AQ44" s="3908" t="s">
        <v>5409</v>
      </c>
      <c r="AR44" s="3908" t="s">
        <v>5410</v>
      </c>
      <c r="AS44" s="3810" t="e">
        <f t="shared" si="23"/>
        <v>#VALUE!</v>
      </c>
      <c r="BE44" s="3810"/>
      <c r="BF44" s="3810"/>
      <c r="BG44" s="3810"/>
      <c r="BH44" s="3810"/>
      <c r="BI44" s="3810"/>
      <c r="BJ44" s="3810"/>
      <c r="BK44" s="3810"/>
      <c r="BL44" s="3810"/>
      <c r="BM44" s="3810"/>
      <c r="BN44" s="3810"/>
      <c r="BO44" s="3810"/>
      <c r="CC44" s="3811" t="e">
        <f t="shared" si="9"/>
        <v>#VALUE!</v>
      </c>
      <c r="CD44" s="3811" t="str">
        <f t="shared" si="10"/>
        <v xml:space="preserve">* El total de atenciones remotas de consultas nuevas según origen de menores de 15 años NO DEBE superar el total de atenciones del grupo indicado. </v>
      </c>
      <c r="CE44" s="3811" t="str">
        <f t="shared" si="11"/>
        <v xml:space="preserve">* El total de atenciones remotas de consultas nuevas según origen de pacientes de 15 y más años NO DEBE superar el total de atenciones del grupo indicado. </v>
      </c>
      <c r="CF44" s="3811" t="str">
        <f t="shared" si="12"/>
        <v xml:space="preserve">* El total de altas de consultas nuevas según origen de menores de 15 años NO DEBE superar el total de atenciones del grupo indicado. </v>
      </c>
      <c r="CG44" s="3811" t="str">
        <f t="shared" si="13"/>
        <v xml:space="preserve">* El total de altas de consultas nuevas según origen de pacientes de 15 y más años NO DEBE superar el total de atenciones del grupo indicado. </v>
      </c>
      <c r="CH44" s="3811" t="str">
        <f t="shared" si="14"/>
        <v xml:space="preserve"> *Las Atenciones de Pueblos Originarios no pueden superar el total de Atenciones.</v>
      </c>
      <c r="CI44" s="3811" t="str">
        <f t="shared" si="15"/>
        <v xml:space="preserve"> *Las Atenciones de Migrantes no pueden superar el total de Atenciones.</v>
      </c>
      <c r="CM44" s="3811" t="e">
        <f t="shared" si="16"/>
        <v>#VALUE!</v>
      </c>
      <c r="CN44" s="3811">
        <f t="shared" si="17"/>
        <v>1</v>
      </c>
      <c r="CO44" s="3811">
        <f t="shared" si="18"/>
        <v>1</v>
      </c>
      <c r="CP44" s="3811">
        <f t="shared" si="19"/>
        <v>1</v>
      </c>
      <c r="CQ44" s="3811">
        <f t="shared" si="20"/>
        <v>1</v>
      </c>
      <c r="CR44" s="3811">
        <f t="shared" si="21"/>
        <v>1</v>
      </c>
      <c r="CS44" s="3811">
        <f t="shared" si="22"/>
        <v>1</v>
      </c>
      <c r="DA44" s="3811"/>
      <c r="DB44" s="3811"/>
      <c r="DC44" s="3811"/>
    </row>
    <row r="45" spans="1:107" ht="15.6" customHeight="1" x14ac:dyDescent="0.2">
      <c r="A45" s="7258">
        <v>32100220</v>
      </c>
      <c r="B45" s="3901" t="s">
        <v>260</v>
      </c>
      <c r="C45" s="3902" t="s">
        <v>5369</v>
      </c>
      <c r="D45" s="3830" t="s">
        <v>5370</v>
      </c>
      <c r="E45" s="3903" t="s">
        <v>5371</v>
      </c>
      <c r="F45" s="3903" t="s">
        <v>5372</v>
      </c>
      <c r="G45" s="3903" t="s">
        <v>5373</v>
      </c>
      <c r="H45" s="3903" t="s">
        <v>5374</v>
      </c>
      <c r="I45" s="3903" t="s">
        <v>5375</v>
      </c>
      <c r="J45" s="3903" t="s">
        <v>5376</v>
      </c>
      <c r="K45" s="3903" t="s">
        <v>5377</v>
      </c>
      <c r="L45" s="3903" t="s">
        <v>5378</v>
      </c>
      <c r="M45" s="3903" t="s">
        <v>5379</v>
      </c>
      <c r="N45" s="3903" t="s">
        <v>5380</v>
      </c>
      <c r="O45" s="3903" t="s">
        <v>5381</v>
      </c>
      <c r="P45" s="3903" t="s">
        <v>5382</v>
      </c>
      <c r="Q45" s="3903" t="s">
        <v>5383</v>
      </c>
      <c r="R45" s="3903" t="s">
        <v>5384</v>
      </c>
      <c r="S45" s="3903" t="s">
        <v>5385</v>
      </c>
      <c r="T45" s="3841" t="s">
        <v>5386</v>
      </c>
      <c r="U45" s="3904" t="s">
        <v>5387</v>
      </c>
      <c r="V45" s="3905" t="s">
        <v>5388</v>
      </c>
      <c r="W45" s="3904" t="s">
        <v>5389</v>
      </c>
      <c r="X45" s="3905" t="s">
        <v>5390</v>
      </c>
      <c r="Y45" s="3904" t="s">
        <v>5391</v>
      </c>
      <c r="Z45" s="3905" t="s">
        <v>5392</v>
      </c>
      <c r="AA45" s="3901" t="s">
        <v>5393</v>
      </c>
      <c r="AB45" s="3904" t="s">
        <v>5394</v>
      </c>
      <c r="AC45" s="3906" t="s">
        <v>5395</v>
      </c>
      <c r="AD45" s="3906" t="s">
        <v>5396</v>
      </c>
      <c r="AE45" s="3905" t="s">
        <v>5397</v>
      </c>
      <c r="AF45" s="3901" t="s">
        <v>5398</v>
      </c>
      <c r="AG45" s="3904" t="s">
        <v>5399</v>
      </c>
      <c r="AH45" s="3906" t="s">
        <v>5400</v>
      </c>
      <c r="AI45" s="3906" t="s">
        <v>5401</v>
      </c>
      <c r="AJ45" s="3907" t="s">
        <v>5402</v>
      </c>
      <c r="AK45" s="3908" t="s">
        <v>5403</v>
      </c>
      <c r="AL45" s="3908" t="s">
        <v>5404</v>
      </c>
      <c r="AM45" s="3908" t="s">
        <v>5405</v>
      </c>
      <c r="AN45" s="3908" t="s">
        <v>5406</v>
      </c>
      <c r="AO45" s="3908" t="s">
        <v>5407</v>
      </c>
      <c r="AP45" s="3908" t="s">
        <v>5408</v>
      </c>
      <c r="AQ45" s="3908" t="s">
        <v>5409</v>
      </c>
      <c r="AR45" s="3908" t="s">
        <v>5410</v>
      </c>
      <c r="AS45" s="3810" t="e">
        <f t="shared" si="23"/>
        <v>#VALUE!</v>
      </c>
      <c r="BE45" s="3810"/>
      <c r="BF45" s="3810"/>
      <c r="BG45" s="3810"/>
      <c r="BH45" s="3810"/>
      <c r="BI45" s="3810"/>
      <c r="BJ45" s="3810"/>
      <c r="BK45" s="3810"/>
      <c r="BL45" s="3810"/>
      <c r="BM45" s="3810"/>
      <c r="BN45" s="3810"/>
      <c r="BO45" s="3810"/>
      <c r="CC45" s="3811" t="e">
        <f t="shared" si="9"/>
        <v>#VALUE!</v>
      </c>
      <c r="CD45" s="3811" t="str">
        <f t="shared" si="10"/>
        <v xml:space="preserve">* El total de atenciones remotas de consultas nuevas según origen de menores de 15 años NO DEBE superar el total de atenciones del grupo indicado. </v>
      </c>
      <c r="CE45" s="3811" t="str">
        <f t="shared" si="11"/>
        <v xml:space="preserve">* El total de atenciones remotas de consultas nuevas según origen de pacientes de 15 y más años NO DEBE superar el total de atenciones del grupo indicado. </v>
      </c>
      <c r="CF45" s="3811" t="str">
        <f t="shared" si="12"/>
        <v xml:space="preserve">* El total de altas de consultas nuevas según origen de menores de 15 años NO DEBE superar el total de atenciones del grupo indicado. </v>
      </c>
      <c r="CG45" s="3811" t="str">
        <f t="shared" si="13"/>
        <v xml:space="preserve">* El total de altas de consultas nuevas según origen de pacientes de 15 y más años NO DEBE superar el total de atenciones del grupo indicado. </v>
      </c>
      <c r="CH45" s="3811" t="str">
        <f t="shared" si="14"/>
        <v xml:space="preserve"> *Las Atenciones de Pueblos Originarios no pueden superar el total de Atenciones.</v>
      </c>
      <c r="CI45" s="3811" t="str">
        <f t="shared" si="15"/>
        <v xml:space="preserve"> *Las Atenciones de Migrantes no pueden superar el total de Atenciones.</v>
      </c>
      <c r="CM45" s="3811" t="e">
        <f t="shared" si="16"/>
        <v>#VALUE!</v>
      </c>
      <c r="CN45" s="3811">
        <f t="shared" si="17"/>
        <v>1</v>
      </c>
      <c r="CO45" s="3811">
        <f t="shared" si="18"/>
        <v>1</v>
      </c>
      <c r="CP45" s="3811">
        <f t="shared" si="19"/>
        <v>1</v>
      </c>
      <c r="CQ45" s="3811">
        <f t="shared" si="20"/>
        <v>1</v>
      </c>
      <c r="CR45" s="3811">
        <f t="shared" si="21"/>
        <v>1</v>
      </c>
      <c r="CS45" s="3811">
        <f t="shared" si="22"/>
        <v>1</v>
      </c>
      <c r="DA45" s="3811"/>
      <c r="DB45" s="3811"/>
      <c r="DC45" s="3811"/>
    </row>
    <row r="46" spans="1:107" ht="15.6" customHeight="1" x14ac:dyDescent="0.2">
      <c r="A46" s="7320">
        <v>32101540</v>
      </c>
      <c r="B46" s="3901" t="s">
        <v>261</v>
      </c>
      <c r="C46" s="3902" t="s">
        <v>5369</v>
      </c>
      <c r="D46" s="3830" t="s">
        <v>5370</v>
      </c>
      <c r="E46" s="3903" t="s">
        <v>5371</v>
      </c>
      <c r="F46" s="3903" t="s">
        <v>5372</v>
      </c>
      <c r="G46" s="3903" t="s">
        <v>5373</v>
      </c>
      <c r="H46" s="3903" t="s">
        <v>5374</v>
      </c>
      <c r="I46" s="3903" t="s">
        <v>5375</v>
      </c>
      <c r="J46" s="3903" t="s">
        <v>5376</v>
      </c>
      <c r="K46" s="3903" t="s">
        <v>5377</v>
      </c>
      <c r="L46" s="3903" t="s">
        <v>5378</v>
      </c>
      <c r="M46" s="3903" t="s">
        <v>5379</v>
      </c>
      <c r="N46" s="3903" t="s">
        <v>5380</v>
      </c>
      <c r="O46" s="3903" t="s">
        <v>5381</v>
      </c>
      <c r="P46" s="3903" t="s">
        <v>5382</v>
      </c>
      <c r="Q46" s="3903" t="s">
        <v>5383</v>
      </c>
      <c r="R46" s="3903" t="s">
        <v>5384</v>
      </c>
      <c r="S46" s="3903" t="s">
        <v>5385</v>
      </c>
      <c r="T46" s="3841" t="s">
        <v>5386</v>
      </c>
      <c r="U46" s="3904" t="s">
        <v>5387</v>
      </c>
      <c r="V46" s="3905" t="s">
        <v>5388</v>
      </c>
      <c r="W46" s="3904" t="s">
        <v>5389</v>
      </c>
      <c r="X46" s="3905" t="s">
        <v>5390</v>
      </c>
      <c r="Y46" s="3904" t="s">
        <v>5391</v>
      </c>
      <c r="Z46" s="3905" t="s">
        <v>5392</v>
      </c>
      <c r="AA46" s="3901" t="s">
        <v>5393</v>
      </c>
      <c r="AB46" s="3904" t="s">
        <v>5394</v>
      </c>
      <c r="AC46" s="3906" t="s">
        <v>5395</v>
      </c>
      <c r="AD46" s="3906" t="s">
        <v>5396</v>
      </c>
      <c r="AE46" s="3905" t="s">
        <v>5397</v>
      </c>
      <c r="AF46" s="3901" t="s">
        <v>5398</v>
      </c>
      <c r="AG46" s="3904" t="s">
        <v>5399</v>
      </c>
      <c r="AH46" s="3906" t="s">
        <v>5400</v>
      </c>
      <c r="AI46" s="3906" t="s">
        <v>5401</v>
      </c>
      <c r="AJ46" s="3907" t="s">
        <v>5402</v>
      </c>
      <c r="AK46" s="3908" t="s">
        <v>5403</v>
      </c>
      <c r="AL46" s="3908" t="s">
        <v>5404</v>
      </c>
      <c r="AM46" s="3908" t="s">
        <v>5405</v>
      </c>
      <c r="AN46" s="3908" t="s">
        <v>5406</v>
      </c>
      <c r="AO46" s="3908" t="s">
        <v>5407</v>
      </c>
      <c r="AP46" s="3908" t="s">
        <v>5408</v>
      </c>
      <c r="AQ46" s="3908" t="s">
        <v>5409</v>
      </c>
      <c r="AR46" s="3908" t="s">
        <v>5410</v>
      </c>
      <c r="AS46" s="3810" t="e">
        <f t="shared" si="23"/>
        <v>#VALUE!</v>
      </c>
      <c r="BE46" s="3810"/>
      <c r="BF46" s="3810"/>
      <c r="BG46" s="3810"/>
      <c r="BH46" s="3810"/>
      <c r="BI46" s="3810"/>
      <c r="BJ46" s="3810"/>
      <c r="BK46" s="3810"/>
      <c r="BL46" s="3810"/>
      <c r="BM46" s="3810"/>
      <c r="BN46" s="3810"/>
      <c r="BO46" s="3810"/>
      <c r="CC46" s="3811" t="e">
        <f t="shared" si="9"/>
        <v>#VALUE!</v>
      </c>
      <c r="CD46" s="3811" t="str">
        <f t="shared" si="10"/>
        <v xml:space="preserve">* El total de atenciones remotas de consultas nuevas según origen de menores de 15 años NO DEBE superar el total de atenciones del grupo indicado. </v>
      </c>
      <c r="CE46" s="3811" t="str">
        <f t="shared" si="11"/>
        <v xml:space="preserve">* El total de atenciones remotas de consultas nuevas según origen de pacientes de 15 y más años NO DEBE superar el total de atenciones del grupo indicado. </v>
      </c>
      <c r="CF46" s="3811" t="str">
        <f t="shared" si="12"/>
        <v xml:space="preserve">* El total de altas de consultas nuevas según origen de menores de 15 años NO DEBE superar el total de atenciones del grupo indicado. </v>
      </c>
      <c r="CG46" s="3811" t="str">
        <f t="shared" si="13"/>
        <v xml:space="preserve">* El total de altas de consultas nuevas según origen de pacientes de 15 y más años NO DEBE superar el total de atenciones del grupo indicado. </v>
      </c>
      <c r="CH46" s="3811" t="str">
        <f t="shared" si="14"/>
        <v xml:space="preserve"> *Las Atenciones de Pueblos Originarios no pueden superar el total de Atenciones.</v>
      </c>
      <c r="CI46" s="3811" t="str">
        <f t="shared" si="15"/>
        <v xml:space="preserve"> *Las Atenciones de Migrantes no pueden superar el total de Atenciones.</v>
      </c>
      <c r="CM46" s="3811" t="e">
        <f t="shared" si="16"/>
        <v>#VALUE!</v>
      </c>
      <c r="CN46" s="3811">
        <f t="shared" si="17"/>
        <v>1</v>
      </c>
      <c r="CO46" s="3811">
        <f t="shared" si="18"/>
        <v>1</v>
      </c>
      <c r="CP46" s="3811">
        <f t="shared" si="19"/>
        <v>1</v>
      </c>
      <c r="CQ46" s="3811">
        <f t="shared" si="20"/>
        <v>1</v>
      </c>
      <c r="CR46" s="3811">
        <f t="shared" si="21"/>
        <v>1</v>
      </c>
      <c r="CS46" s="3811">
        <f t="shared" si="22"/>
        <v>1</v>
      </c>
      <c r="DA46" s="3811"/>
      <c r="DB46" s="3811"/>
      <c r="DC46" s="3811"/>
    </row>
    <row r="47" spans="1:107" ht="15.6" customHeight="1" x14ac:dyDescent="0.2">
      <c r="A47" s="7320">
        <v>32101541</v>
      </c>
      <c r="B47" s="3901" t="s">
        <v>262</v>
      </c>
      <c r="C47" s="3902" t="s">
        <v>5369</v>
      </c>
      <c r="D47" s="3830" t="s">
        <v>5370</v>
      </c>
      <c r="E47" s="3903" t="s">
        <v>5371</v>
      </c>
      <c r="F47" s="3903" t="s">
        <v>5372</v>
      </c>
      <c r="G47" s="3903" t="s">
        <v>5373</v>
      </c>
      <c r="H47" s="3903" t="s">
        <v>5374</v>
      </c>
      <c r="I47" s="3903" t="s">
        <v>5375</v>
      </c>
      <c r="J47" s="3903" t="s">
        <v>5376</v>
      </c>
      <c r="K47" s="3903" t="s">
        <v>5377</v>
      </c>
      <c r="L47" s="3903" t="s">
        <v>5378</v>
      </c>
      <c r="M47" s="3903" t="s">
        <v>5379</v>
      </c>
      <c r="N47" s="3903" t="s">
        <v>5380</v>
      </c>
      <c r="O47" s="3903" t="s">
        <v>5381</v>
      </c>
      <c r="P47" s="3903" t="s">
        <v>5382</v>
      </c>
      <c r="Q47" s="3903" t="s">
        <v>5383</v>
      </c>
      <c r="R47" s="3903" t="s">
        <v>5384</v>
      </c>
      <c r="S47" s="3903" t="s">
        <v>5385</v>
      </c>
      <c r="T47" s="3841" t="s">
        <v>5386</v>
      </c>
      <c r="U47" s="3904" t="s">
        <v>5387</v>
      </c>
      <c r="V47" s="3905" t="s">
        <v>5388</v>
      </c>
      <c r="W47" s="3904" t="s">
        <v>5389</v>
      </c>
      <c r="X47" s="3905" t="s">
        <v>5390</v>
      </c>
      <c r="Y47" s="3904" t="s">
        <v>5391</v>
      </c>
      <c r="Z47" s="3905" t="s">
        <v>5392</v>
      </c>
      <c r="AA47" s="3901" t="s">
        <v>5393</v>
      </c>
      <c r="AB47" s="3904" t="s">
        <v>5394</v>
      </c>
      <c r="AC47" s="3906" t="s">
        <v>5395</v>
      </c>
      <c r="AD47" s="3906" t="s">
        <v>5396</v>
      </c>
      <c r="AE47" s="3905" t="s">
        <v>5397</v>
      </c>
      <c r="AF47" s="3901" t="s">
        <v>5398</v>
      </c>
      <c r="AG47" s="3904" t="s">
        <v>5399</v>
      </c>
      <c r="AH47" s="3906" t="s">
        <v>5400</v>
      </c>
      <c r="AI47" s="3906" t="s">
        <v>5401</v>
      </c>
      <c r="AJ47" s="3907" t="s">
        <v>5402</v>
      </c>
      <c r="AK47" s="3908" t="s">
        <v>5403</v>
      </c>
      <c r="AL47" s="3908" t="s">
        <v>5404</v>
      </c>
      <c r="AM47" s="3908" t="s">
        <v>5405</v>
      </c>
      <c r="AN47" s="3908" t="s">
        <v>5406</v>
      </c>
      <c r="AO47" s="3908" t="s">
        <v>5407</v>
      </c>
      <c r="AP47" s="3908" t="s">
        <v>5408</v>
      </c>
      <c r="AQ47" s="3908" t="s">
        <v>5409</v>
      </c>
      <c r="AR47" s="3908" t="s">
        <v>5410</v>
      </c>
      <c r="AS47" s="3810" t="e">
        <f t="shared" si="23"/>
        <v>#VALUE!</v>
      </c>
      <c r="BE47" s="3810"/>
      <c r="BF47" s="3810"/>
      <c r="BG47" s="3810"/>
      <c r="BH47" s="3810"/>
      <c r="BI47" s="3810"/>
      <c r="BJ47" s="3810"/>
      <c r="BK47" s="3810"/>
      <c r="BL47" s="3810"/>
      <c r="BM47" s="3810"/>
      <c r="BN47" s="3810"/>
      <c r="BO47" s="3810"/>
      <c r="CC47" s="3811" t="e">
        <f t="shared" si="9"/>
        <v>#VALUE!</v>
      </c>
      <c r="CD47" s="3811" t="str">
        <f t="shared" si="10"/>
        <v xml:space="preserve">* El total de atenciones remotas de consultas nuevas según origen de menores de 15 años NO DEBE superar el total de atenciones del grupo indicado. </v>
      </c>
      <c r="CE47" s="3811" t="str">
        <f t="shared" si="11"/>
        <v xml:space="preserve">* El total de atenciones remotas de consultas nuevas según origen de pacientes de 15 y más años NO DEBE superar el total de atenciones del grupo indicado. </v>
      </c>
      <c r="CF47" s="3811" t="str">
        <f t="shared" si="12"/>
        <v xml:space="preserve">* El total de altas de consultas nuevas según origen de menores de 15 años NO DEBE superar el total de atenciones del grupo indicado. </v>
      </c>
      <c r="CG47" s="3811" t="str">
        <f t="shared" si="13"/>
        <v xml:space="preserve">* El total de altas de consultas nuevas según origen de pacientes de 15 y más años NO DEBE superar el total de atenciones del grupo indicado. </v>
      </c>
      <c r="CH47" s="3811" t="str">
        <f t="shared" si="14"/>
        <v xml:space="preserve"> *Las Atenciones de Pueblos Originarios no pueden superar el total de Atenciones.</v>
      </c>
      <c r="CI47" s="3811" t="str">
        <f t="shared" si="15"/>
        <v xml:space="preserve"> *Las Atenciones de Migrantes no pueden superar el total de Atenciones.</v>
      </c>
      <c r="CM47" s="3811" t="e">
        <f t="shared" si="16"/>
        <v>#VALUE!</v>
      </c>
      <c r="CN47" s="3811">
        <f t="shared" si="17"/>
        <v>1</v>
      </c>
      <c r="CO47" s="3811">
        <f t="shared" si="18"/>
        <v>1</v>
      </c>
      <c r="CP47" s="3811">
        <f t="shared" si="19"/>
        <v>1</v>
      </c>
      <c r="CQ47" s="3811">
        <f t="shared" si="20"/>
        <v>1</v>
      </c>
      <c r="CR47" s="3811">
        <f t="shared" si="21"/>
        <v>1</v>
      </c>
      <c r="CS47" s="3811">
        <f t="shared" si="22"/>
        <v>1</v>
      </c>
      <c r="DA47" s="3811"/>
      <c r="DB47" s="3811"/>
      <c r="DC47" s="3811"/>
    </row>
    <row r="48" spans="1:107" ht="15.6" customHeight="1" x14ac:dyDescent="0.2">
      <c r="A48" s="7320">
        <v>32101542</v>
      </c>
      <c r="B48" s="3901" t="s">
        <v>263</v>
      </c>
      <c r="C48" s="3902" t="s">
        <v>5369</v>
      </c>
      <c r="D48" s="3830" t="s">
        <v>5370</v>
      </c>
      <c r="E48" s="3903" t="s">
        <v>5371</v>
      </c>
      <c r="F48" s="3903" t="s">
        <v>5372</v>
      </c>
      <c r="G48" s="3903" t="s">
        <v>5373</v>
      </c>
      <c r="H48" s="3903" t="s">
        <v>5374</v>
      </c>
      <c r="I48" s="3903" t="s">
        <v>5375</v>
      </c>
      <c r="J48" s="3903" t="s">
        <v>5376</v>
      </c>
      <c r="K48" s="3903" t="s">
        <v>5377</v>
      </c>
      <c r="L48" s="3903" t="s">
        <v>5378</v>
      </c>
      <c r="M48" s="3903" t="s">
        <v>5379</v>
      </c>
      <c r="N48" s="3903" t="s">
        <v>5380</v>
      </c>
      <c r="O48" s="3903" t="s">
        <v>5381</v>
      </c>
      <c r="P48" s="3903" t="s">
        <v>5382</v>
      </c>
      <c r="Q48" s="3903" t="s">
        <v>5383</v>
      </c>
      <c r="R48" s="3903" t="s">
        <v>5384</v>
      </c>
      <c r="S48" s="3903" t="s">
        <v>5385</v>
      </c>
      <c r="T48" s="3841" t="s">
        <v>5386</v>
      </c>
      <c r="U48" s="3904" t="s">
        <v>5387</v>
      </c>
      <c r="V48" s="3905" t="s">
        <v>5388</v>
      </c>
      <c r="W48" s="3904" t="s">
        <v>5389</v>
      </c>
      <c r="X48" s="3905" t="s">
        <v>5390</v>
      </c>
      <c r="Y48" s="3904" t="s">
        <v>5391</v>
      </c>
      <c r="Z48" s="3905" t="s">
        <v>5392</v>
      </c>
      <c r="AA48" s="3901" t="s">
        <v>5393</v>
      </c>
      <c r="AB48" s="3904" t="s">
        <v>5394</v>
      </c>
      <c r="AC48" s="3906" t="s">
        <v>5395</v>
      </c>
      <c r="AD48" s="3906" t="s">
        <v>5396</v>
      </c>
      <c r="AE48" s="3905" t="s">
        <v>5397</v>
      </c>
      <c r="AF48" s="3901" t="s">
        <v>5398</v>
      </c>
      <c r="AG48" s="3904" t="s">
        <v>5399</v>
      </c>
      <c r="AH48" s="3906" t="s">
        <v>5400</v>
      </c>
      <c r="AI48" s="3906" t="s">
        <v>5401</v>
      </c>
      <c r="AJ48" s="3907" t="s">
        <v>5402</v>
      </c>
      <c r="AK48" s="3908" t="s">
        <v>5403</v>
      </c>
      <c r="AL48" s="3908" t="s">
        <v>5404</v>
      </c>
      <c r="AM48" s="3908" t="s">
        <v>5405</v>
      </c>
      <c r="AN48" s="3908" t="s">
        <v>5406</v>
      </c>
      <c r="AO48" s="3908" t="s">
        <v>5407</v>
      </c>
      <c r="AP48" s="3908" t="s">
        <v>5408</v>
      </c>
      <c r="AQ48" s="3908" t="s">
        <v>5409</v>
      </c>
      <c r="AR48" s="3908" t="s">
        <v>5410</v>
      </c>
      <c r="AS48" s="3810" t="e">
        <f t="shared" si="23"/>
        <v>#VALUE!</v>
      </c>
      <c r="BE48" s="3810"/>
      <c r="BF48" s="3810"/>
      <c r="BG48" s="3810"/>
      <c r="BH48" s="3810"/>
      <c r="BI48" s="3810"/>
      <c r="BJ48" s="3810"/>
      <c r="BK48" s="3810"/>
      <c r="BL48" s="3810"/>
      <c r="BM48" s="3810"/>
      <c r="BN48" s="3810"/>
      <c r="BO48" s="3810"/>
      <c r="CC48" s="3811" t="e">
        <f t="shared" si="9"/>
        <v>#VALUE!</v>
      </c>
      <c r="CD48" s="3811" t="str">
        <f t="shared" si="10"/>
        <v xml:space="preserve">* El total de atenciones remotas de consultas nuevas según origen de menores de 15 años NO DEBE superar el total de atenciones del grupo indicado. </v>
      </c>
      <c r="CE48" s="3811" t="str">
        <f t="shared" si="11"/>
        <v xml:space="preserve">* El total de atenciones remotas de consultas nuevas según origen de pacientes de 15 y más años NO DEBE superar el total de atenciones del grupo indicado. </v>
      </c>
      <c r="CF48" s="3811" t="str">
        <f t="shared" si="12"/>
        <v xml:space="preserve">* El total de altas de consultas nuevas según origen de menores de 15 años NO DEBE superar el total de atenciones del grupo indicado. </v>
      </c>
      <c r="CG48" s="3811" t="str">
        <f t="shared" si="13"/>
        <v xml:space="preserve">* El total de altas de consultas nuevas según origen de pacientes de 15 y más años NO DEBE superar el total de atenciones del grupo indicado. </v>
      </c>
      <c r="CH48" s="3811" t="str">
        <f t="shared" si="14"/>
        <v xml:space="preserve"> *Las Atenciones de Pueblos Originarios no pueden superar el total de Atenciones.</v>
      </c>
      <c r="CI48" s="3811" t="str">
        <f t="shared" si="15"/>
        <v xml:space="preserve"> *Las Atenciones de Migrantes no pueden superar el total de Atenciones.</v>
      </c>
      <c r="CM48" s="3811" t="e">
        <f t="shared" si="16"/>
        <v>#VALUE!</v>
      </c>
      <c r="CN48" s="3811">
        <f t="shared" si="17"/>
        <v>1</v>
      </c>
      <c r="CO48" s="3811">
        <f t="shared" si="18"/>
        <v>1</v>
      </c>
      <c r="CP48" s="3811">
        <f t="shared" si="19"/>
        <v>1</v>
      </c>
      <c r="CQ48" s="3811">
        <f t="shared" si="20"/>
        <v>1</v>
      </c>
      <c r="CR48" s="3811">
        <f t="shared" si="21"/>
        <v>1</v>
      </c>
      <c r="CS48" s="3811">
        <f t="shared" si="22"/>
        <v>1</v>
      </c>
      <c r="DA48" s="3811"/>
      <c r="DB48" s="3811"/>
      <c r="DC48" s="3811"/>
    </row>
    <row r="49" spans="1:107" ht="15.6" customHeight="1" x14ac:dyDescent="0.2">
      <c r="A49" s="7320">
        <v>32101543</v>
      </c>
      <c r="B49" s="3901" t="s">
        <v>264</v>
      </c>
      <c r="C49" s="3902" t="s">
        <v>5369</v>
      </c>
      <c r="D49" s="3830" t="s">
        <v>5370</v>
      </c>
      <c r="E49" s="3903" t="s">
        <v>5371</v>
      </c>
      <c r="F49" s="3903" t="s">
        <v>5372</v>
      </c>
      <c r="G49" s="3903" t="s">
        <v>5373</v>
      </c>
      <c r="H49" s="3903" t="s">
        <v>5374</v>
      </c>
      <c r="I49" s="3903" t="s">
        <v>5375</v>
      </c>
      <c r="J49" s="3903" t="s">
        <v>5376</v>
      </c>
      <c r="K49" s="3903" t="s">
        <v>5377</v>
      </c>
      <c r="L49" s="3903" t="s">
        <v>5378</v>
      </c>
      <c r="M49" s="3903" t="s">
        <v>5379</v>
      </c>
      <c r="N49" s="3903" t="s">
        <v>5380</v>
      </c>
      <c r="O49" s="3903" t="s">
        <v>5381</v>
      </c>
      <c r="P49" s="3903" t="s">
        <v>5382</v>
      </c>
      <c r="Q49" s="3903" t="s">
        <v>5383</v>
      </c>
      <c r="R49" s="3903" t="s">
        <v>5384</v>
      </c>
      <c r="S49" s="3903" t="s">
        <v>5385</v>
      </c>
      <c r="T49" s="3841" t="s">
        <v>5386</v>
      </c>
      <c r="U49" s="3904" t="s">
        <v>5387</v>
      </c>
      <c r="V49" s="3905" t="s">
        <v>5388</v>
      </c>
      <c r="W49" s="3904" t="s">
        <v>5389</v>
      </c>
      <c r="X49" s="3905" t="s">
        <v>5390</v>
      </c>
      <c r="Y49" s="3904" t="s">
        <v>5391</v>
      </c>
      <c r="Z49" s="3905" t="s">
        <v>5392</v>
      </c>
      <c r="AA49" s="3901" t="s">
        <v>5393</v>
      </c>
      <c r="AB49" s="3904" t="s">
        <v>5394</v>
      </c>
      <c r="AC49" s="3906" t="s">
        <v>5395</v>
      </c>
      <c r="AD49" s="3906" t="s">
        <v>5396</v>
      </c>
      <c r="AE49" s="3905" t="s">
        <v>5397</v>
      </c>
      <c r="AF49" s="3901" t="s">
        <v>5398</v>
      </c>
      <c r="AG49" s="3904" t="s">
        <v>5399</v>
      </c>
      <c r="AH49" s="3906" t="s">
        <v>5400</v>
      </c>
      <c r="AI49" s="3906" t="s">
        <v>5401</v>
      </c>
      <c r="AJ49" s="3907" t="s">
        <v>5402</v>
      </c>
      <c r="AK49" s="3908" t="s">
        <v>5403</v>
      </c>
      <c r="AL49" s="3908" t="s">
        <v>5404</v>
      </c>
      <c r="AM49" s="3908" t="s">
        <v>5405</v>
      </c>
      <c r="AN49" s="3908" t="s">
        <v>5406</v>
      </c>
      <c r="AO49" s="3908" t="s">
        <v>5407</v>
      </c>
      <c r="AP49" s="3908" t="s">
        <v>5408</v>
      </c>
      <c r="AQ49" s="3908" t="s">
        <v>5409</v>
      </c>
      <c r="AR49" s="3908" t="s">
        <v>5410</v>
      </c>
      <c r="AS49" s="3810" t="e">
        <f t="shared" si="23"/>
        <v>#VALUE!</v>
      </c>
      <c r="BE49" s="3810"/>
      <c r="BF49" s="3810"/>
      <c r="BG49" s="3810"/>
      <c r="BH49" s="3810"/>
      <c r="BI49" s="3810"/>
      <c r="BJ49" s="3810"/>
      <c r="BK49" s="3810"/>
      <c r="BL49" s="3810"/>
      <c r="BM49" s="3810"/>
      <c r="BN49" s="3810"/>
      <c r="BO49" s="3810"/>
      <c r="CC49" s="3811" t="e">
        <f t="shared" si="9"/>
        <v>#VALUE!</v>
      </c>
      <c r="CD49" s="3811" t="str">
        <f t="shared" si="10"/>
        <v xml:space="preserve">* El total de atenciones remotas de consultas nuevas según origen de menores de 15 años NO DEBE superar el total de atenciones del grupo indicado. </v>
      </c>
      <c r="CE49" s="3811" t="str">
        <f t="shared" si="11"/>
        <v xml:space="preserve">* El total de atenciones remotas de consultas nuevas según origen de pacientes de 15 y más años NO DEBE superar el total de atenciones del grupo indicado. </v>
      </c>
      <c r="CF49" s="3811" t="str">
        <f t="shared" si="12"/>
        <v xml:space="preserve">* El total de altas de consultas nuevas según origen de menores de 15 años NO DEBE superar el total de atenciones del grupo indicado. </v>
      </c>
      <c r="CG49" s="3811" t="str">
        <f t="shared" si="13"/>
        <v xml:space="preserve">* El total de altas de consultas nuevas según origen de pacientes de 15 y más años NO DEBE superar el total de atenciones del grupo indicado. </v>
      </c>
      <c r="CH49" s="3811" t="str">
        <f t="shared" si="14"/>
        <v xml:space="preserve"> *Las Atenciones de Pueblos Originarios no pueden superar el total de Atenciones.</v>
      </c>
      <c r="CI49" s="3811" t="str">
        <f t="shared" si="15"/>
        <v xml:space="preserve"> *Las Atenciones de Migrantes no pueden superar el total de Atenciones.</v>
      </c>
      <c r="CM49" s="3811" t="e">
        <f t="shared" si="16"/>
        <v>#VALUE!</v>
      </c>
      <c r="CN49" s="3811">
        <f t="shared" si="17"/>
        <v>1</v>
      </c>
      <c r="CO49" s="3811">
        <f t="shared" si="18"/>
        <v>1</v>
      </c>
      <c r="CP49" s="3811">
        <f t="shared" si="19"/>
        <v>1</v>
      </c>
      <c r="CQ49" s="3811">
        <f t="shared" si="20"/>
        <v>1</v>
      </c>
      <c r="CR49" s="3811">
        <f t="shared" si="21"/>
        <v>1</v>
      </c>
      <c r="CS49" s="3811">
        <f t="shared" si="22"/>
        <v>1</v>
      </c>
      <c r="DA49" s="3811"/>
      <c r="DB49" s="3811"/>
      <c r="DC49" s="3811"/>
    </row>
    <row r="50" spans="1:107" ht="15.6" customHeight="1" x14ac:dyDescent="0.2">
      <c r="A50" s="7320">
        <v>32101544</v>
      </c>
      <c r="B50" s="3901" t="s">
        <v>456</v>
      </c>
      <c r="C50" s="3902" t="s">
        <v>5369</v>
      </c>
      <c r="D50" s="3830" t="s">
        <v>5370</v>
      </c>
      <c r="E50" s="3903" t="s">
        <v>5371</v>
      </c>
      <c r="F50" s="3903" t="s">
        <v>5372</v>
      </c>
      <c r="G50" s="3903" t="s">
        <v>5373</v>
      </c>
      <c r="H50" s="3903" t="s">
        <v>5374</v>
      </c>
      <c r="I50" s="3903" t="s">
        <v>5375</v>
      </c>
      <c r="J50" s="3903" t="s">
        <v>5376</v>
      </c>
      <c r="K50" s="3903" t="s">
        <v>5377</v>
      </c>
      <c r="L50" s="3903" t="s">
        <v>5378</v>
      </c>
      <c r="M50" s="3903" t="s">
        <v>5379</v>
      </c>
      <c r="N50" s="3903" t="s">
        <v>5380</v>
      </c>
      <c r="O50" s="3903" t="s">
        <v>5381</v>
      </c>
      <c r="P50" s="3903" t="s">
        <v>5382</v>
      </c>
      <c r="Q50" s="3903" t="s">
        <v>5383</v>
      </c>
      <c r="R50" s="3903" t="s">
        <v>5384</v>
      </c>
      <c r="S50" s="3903" t="s">
        <v>5385</v>
      </c>
      <c r="T50" s="3841" t="s">
        <v>5386</v>
      </c>
      <c r="U50" s="3904" t="s">
        <v>5387</v>
      </c>
      <c r="V50" s="3905" t="s">
        <v>5388</v>
      </c>
      <c r="W50" s="3904" t="s">
        <v>5389</v>
      </c>
      <c r="X50" s="3905" t="s">
        <v>5390</v>
      </c>
      <c r="Y50" s="3904" t="s">
        <v>5391</v>
      </c>
      <c r="Z50" s="3905" t="s">
        <v>5392</v>
      </c>
      <c r="AA50" s="3901" t="s">
        <v>5393</v>
      </c>
      <c r="AB50" s="3904" t="s">
        <v>5394</v>
      </c>
      <c r="AC50" s="3906" t="s">
        <v>5395</v>
      </c>
      <c r="AD50" s="3906" t="s">
        <v>5396</v>
      </c>
      <c r="AE50" s="3905" t="s">
        <v>5397</v>
      </c>
      <c r="AF50" s="3901" t="s">
        <v>5398</v>
      </c>
      <c r="AG50" s="3904" t="s">
        <v>5399</v>
      </c>
      <c r="AH50" s="3906" t="s">
        <v>5400</v>
      </c>
      <c r="AI50" s="3906" t="s">
        <v>5401</v>
      </c>
      <c r="AJ50" s="3907" t="s">
        <v>5402</v>
      </c>
      <c r="AK50" s="3908" t="s">
        <v>5403</v>
      </c>
      <c r="AL50" s="3908" t="s">
        <v>5404</v>
      </c>
      <c r="AM50" s="3908" t="s">
        <v>5405</v>
      </c>
      <c r="AN50" s="3908" t="s">
        <v>5406</v>
      </c>
      <c r="AO50" s="3908" t="s">
        <v>5407</v>
      </c>
      <c r="AP50" s="3908" t="s">
        <v>5408</v>
      </c>
      <c r="AQ50" s="3908" t="s">
        <v>5409</v>
      </c>
      <c r="AR50" s="3908" t="s">
        <v>5410</v>
      </c>
      <c r="AS50" s="3810" t="e">
        <f t="shared" si="23"/>
        <v>#VALUE!</v>
      </c>
      <c r="BE50" s="3810"/>
      <c r="BF50" s="3810"/>
      <c r="BG50" s="3810"/>
      <c r="BH50" s="3810"/>
      <c r="BI50" s="3810"/>
      <c r="BJ50" s="3810"/>
      <c r="BK50" s="3810"/>
      <c r="BL50" s="3810"/>
      <c r="BM50" s="3810"/>
      <c r="BN50" s="3810"/>
      <c r="BO50" s="3810"/>
      <c r="CC50" s="3811" t="e">
        <f t="shared" si="9"/>
        <v>#VALUE!</v>
      </c>
      <c r="CD50" s="3811" t="str">
        <f t="shared" si="10"/>
        <v xml:space="preserve">* El total de atenciones remotas de consultas nuevas según origen de menores de 15 años NO DEBE superar el total de atenciones del grupo indicado. </v>
      </c>
      <c r="CE50" s="3811" t="str">
        <f t="shared" si="11"/>
        <v xml:space="preserve">* El total de atenciones remotas de consultas nuevas según origen de pacientes de 15 y más años NO DEBE superar el total de atenciones del grupo indicado. </v>
      </c>
      <c r="CF50" s="3811" t="str">
        <f t="shared" si="12"/>
        <v xml:space="preserve">* El total de altas de consultas nuevas según origen de menores de 15 años NO DEBE superar el total de atenciones del grupo indicado. </v>
      </c>
      <c r="CG50" s="3811" t="str">
        <f t="shared" si="13"/>
        <v xml:space="preserve">* El total de altas de consultas nuevas según origen de pacientes de 15 y más años NO DEBE superar el total de atenciones del grupo indicado. </v>
      </c>
      <c r="CH50" s="3811" t="str">
        <f t="shared" si="14"/>
        <v xml:space="preserve"> *Las Atenciones de Pueblos Originarios no pueden superar el total de Atenciones.</v>
      </c>
      <c r="CI50" s="3811" t="str">
        <f t="shared" si="15"/>
        <v xml:space="preserve"> *Las Atenciones de Migrantes no pueden superar el total de Atenciones.</v>
      </c>
      <c r="CM50" s="3811" t="e">
        <f t="shared" si="16"/>
        <v>#VALUE!</v>
      </c>
      <c r="CN50" s="3811">
        <f t="shared" si="17"/>
        <v>1</v>
      </c>
      <c r="CO50" s="3811">
        <f t="shared" si="18"/>
        <v>1</v>
      </c>
      <c r="CP50" s="3811">
        <f t="shared" si="19"/>
        <v>1</v>
      </c>
      <c r="CQ50" s="3811">
        <f t="shared" si="20"/>
        <v>1</v>
      </c>
      <c r="CR50" s="3811">
        <f t="shared" si="21"/>
        <v>1</v>
      </c>
      <c r="CS50" s="3811">
        <f t="shared" si="22"/>
        <v>1</v>
      </c>
      <c r="DA50" s="3811"/>
      <c r="DB50" s="3811"/>
      <c r="DC50" s="3811"/>
    </row>
    <row r="51" spans="1:107" ht="15.6" customHeight="1" x14ac:dyDescent="0.2">
      <c r="A51" s="7320">
        <v>32101545</v>
      </c>
      <c r="B51" s="3901" t="s">
        <v>265</v>
      </c>
      <c r="C51" s="3902" t="s">
        <v>5369</v>
      </c>
      <c r="D51" s="3830" t="s">
        <v>5370</v>
      </c>
      <c r="E51" s="3903" t="s">
        <v>5371</v>
      </c>
      <c r="F51" s="3903" t="s">
        <v>5372</v>
      </c>
      <c r="G51" s="3903" t="s">
        <v>5373</v>
      </c>
      <c r="H51" s="3903" t="s">
        <v>5374</v>
      </c>
      <c r="I51" s="3903" t="s">
        <v>5375</v>
      </c>
      <c r="J51" s="3903" t="s">
        <v>5376</v>
      </c>
      <c r="K51" s="3903" t="s">
        <v>5377</v>
      </c>
      <c r="L51" s="3903" t="s">
        <v>5378</v>
      </c>
      <c r="M51" s="3903" t="s">
        <v>5379</v>
      </c>
      <c r="N51" s="3903" t="s">
        <v>5380</v>
      </c>
      <c r="O51" s="3903" t="s">
        <v>5381</v>
      </c>
      <c r="P51" s="3903" t="s">
        <v>5382</v>
      </c>
      <c r="Q51" s="3903" t="s">
        <v>5383</v>
      </c>
      <c r="R51" s="3903" t="s">
        <v>5384</v>
      </c>
      <c r="S51" s="3903" t="s">
        <v>5385</v>
      </c>
      <c r="T51" s="3841" t="s">
        <v>5386</v>
      </c>
      <c r="U51" s="3904" t="s">
        <v>5387</v>
      </c>
      <c r="V51" s="3905" t="s">
        <v>5388</v>
      </c>
      <c r="W51" s="3904" t="s">
        <v>5389</v>
      </c>
      <c r="X51" s="3905" t="s">
        <v>5390</v>
      </c>
      <c r="Y51" s="3904" t="s">
        <v>5391</v>
      </c>
      <c r="Z51" s="3905" t="s">
        <v>5392</v>
      </c>
      <c r="AA51" s="3901" t="s">
        <v>5393</v>
      </c>
      <c r="AB51" s="3904" t="s">
        <v>5394</v>
      </c>
      <c r="AC51" s="3906" t="s">
        <v>5395</v>
      </c>
      <c r="AD51" s="3906" t="s">
        <v>5396</v>
      </c>
      <c r="AE51" s="3905" t="s">
        <v>5397</v>
      </c>
      <c r="AF51" s="3901" t="s">
        <v>5398</v>
      </c>
      <c r="AG51" s="3904" t="s">
        <v>5399</v>
      </c>
      <c r="AH51" s="3906" t="s">
        <v>5400</v>
      </c>
      <c r="AI51" s="3906" t="s">
        <v>5401</v>
      </c>
      <c r="AJ51" s="3907" t="s">
        <v>5402</v>
      </c>
      <c r="AK51" s="3908" t="s">
        <v>5403</v>
      </c>
      <c r="AL51" s="3908" t="s">
        <v>5404</v>
      </c>
      <c r="AM51" s="3908" t="s">
        <v>5405</v>
      </c>
      <c r="AN51" s="3908" t="s">
        <v>5406</v>
      </c>
      <c r="AO51" s="3908" t="s">
        <v>5407</v>
      </c>
      <c r="AP51" s="3908" t="s">
        <v>5408</v>
      </c>
      <c r="AQ51" s="3908" t="s">
        <v>5409</v>
      </c>
      <c r="AR51" s="3908" t="s">
        <v>5410</v>
      </c>
      <c r="AS51" s="3810" t="e">
        <f t="shared" si="23"/>
        <v>#VALUE!</v>
      </c>
      <c r="BE51" s="3810"/>
      <c r="BF51" s="3810"/>
      <c r="BG51" s="3810"/>
      <c r="BH51" s="3810"/>
      <c r="BI51" s="3810"/>
      <c r="BJ51" s="3810"/>
      <c r="BK51" s="3810"/>
      <c r="BL51" s="3810"/>
      <c r="BM51" s="3810"/>
      <c r="BN51" s="3810"/>
      <c r="BO51" s="3810"/>
      <c r="CC51" s="3811" t="e">
        <f t="shared" si="9"/>
        <v>#VALUE!</v>
      </c>
      <c r="CD51" s="3811" t="str">
        <f t="shared" si="10"/>
        <v xml:space="preserve">* El total de atenciones remotas de consultas nuevas según origen de menores de 15 años NO DEBE superar el total de atenciones del grupo indicado. </v>
      </c>
      <c r="CE51" s="3811" t="str">
        <f t="shared" si="11"/>
        <v xml:space="preserve">* El total de atenciones remotas de consultas nuevas según origen de pacientes de 15 y más años NO DEBE superar el total de atenciones del grupo indicado. </v>
      </c>
      <c r="CF51" s="3811" t="str">
        <f t="shared" si="12"/>
        <v xml:space="preserve">* El total de altas de consultas nuevas según origen de menores de 15 años NO DEBE superar el total de atenciones del grupo indicado. </v>
      </c>
      <c r="CG51" s="3811" t="str">
        <f t="shared" si="13"/>
        <v xml:space="preserve">* El total de altas de consultas nuevas según origen de pacientes de 15 y más años NO DEBE superar el total de atenciones del grupo indicado. </v>
      </c>
      <c r="CH51" s="3811" t="str">
        <f t="shared" si="14"/>
        <v xml:space="preserve"> *Las Atenciones de Pueblos Originarios no pueden superar el total de Atenciones.</v>
      </c>
      <c r="CI51" s="3811" t="str">
        <f t="shared" si="15"/>
        <v xml:space="preserve"> *Las Atenciones de Migrantes no pueden superar el total de Atenciones.</v>
      </c>
      <c r="CM51" s="3811" t="e">
        <f t="shared" si="16"/>
        <v>#VALUE!</v>
      </c>
      <c r="CN51" s="3811">
        <f t="shared" si="17"/>
        <v>1</v>
      </c>
      <c r="CO51" s="3811">
        <f t="shared" si="18"/>
        <v>1</v>
      </c>
      <c r="CP51" s="3811">
        <f t="shared" si="19"/>
        <v>1</v>
      </c>
      <c r="CQ51" s="3811">
        <f t="shared" si="20"/>
        <v>1</v>
      </c>
      <c r="CR51" s="3811">
        <f t="shared" si="21"/>
        <v>1</v>
      </c>
      <c r="CS51" s="3811">
        <f t="shared" si="22"/>
        <v>1</v>
      </c>
      <c r="DA51" s="3811"/>
      <c r="DB51" s="3811"/>
      <c r="DC51" s="3811"/>
    </row>
    <row r="52" spans="1:107" ht="15.6" customHeight="1" x14ac:dyDescent="0.2">
      <c r="A52" s="7320">
        <v>32101546</v>
      </c>
      <c r="B52" s="3901" t="s">
        <v>266</v>
      </c>
      <c r="C52" s="3902" t="s">
        <v>5369</v>
      </c>
      <c r="D52" s="3830" t="s">
        <v>5370</v>
      </c>
      <c r="E52" s="3903" t="s">
        <v>5371</v>
      </c>
      <c r="F52" s="3903" t="s">
        <v>5372</v>
      </c>
      <c r="G52" s="3903" t="s">
        <v>5373</v>
      </c>
      <c r="H52" s="3903" t="s">
        <v>5374</v>
      </c>
      <c r="I52" s="3903" t="s">
        <v>5375</v>
      </c>
      <c r="J52" s="3903" t="s">
        <v>5376</v>
      </c>
      <c r="K52" s="3903" t="s">
        <v>5377</v>
      </c>
      <c r="L52" s="3903" t="s">
        <v>5378</v>
      </c>
      <c r="M52" s="3903" t="s">
        <v>5379</v>
      </c>
      <c r="N52" s="3903" t="s">
        <v>5380</v>
      </c>
      <c r="O52" s="3903" t="s">
        <v>5381</v>
      </c>
      <c r="P52" s="3903" t="s">
        <v>5382</v>
      </c>
      <c r="Q52" s="3903" t="s">
        <v>5383</v>
      </c>
      <c r="R52" s="3903" t="s">
        <v>5384</v>
      </c>
      <c r="S52" s="3903" t="s">
        <v>5385</v>
      </c>
      <c r="T52" s="3841" t="s">
        <v>5386</v>
      </c>
      <c r="U52" s="3904" t="s">
        <v>5387</v>
      </c>
      <c r="V52" s="3905" t="s">
        <v>5388</v>
      </c>
      <c r="W52" s="3904" t="s">
        <v>5389</v>
      </c>
      <c r="X52" s="3905" t="s">
        <v>5390</v>
      </c>
      <c r="Y52" s="3904" t="s">
        <v>5391</v>
      </c>
      <c r="Z52" s="3905" t="s">
        <v>5392</v>
      </c>
      <c r="AA52" s="3901" t="s">
        <v>5393</v>
      </c>
      <c r="AB52" s="3904" t="s">
        <v>5394</v>
      </c>
      <c r="AC52" s="3906" t="s">
        <v>5395</v>
      </c>
      <c r="AD52" s="3906" t="s">
        <v>5396</v>
      </c>
      <c r="AE52" s="3905" t="s">
        <v>5397</v>
      </c>
      <c r="AF52" s="3901" t="s">
        <v>5398</v>
      </c>
      <c r="AG52" s="3904" t="s">
        <v>5399</v>
      </c>
      <c r="AH52" s="3906" t="s">
        <v>5400</v>
      </c>
      <c r="AI52" s="3906" t="s">
        <v>5401</v>
      </c>
      <c r="AJ52" s="3907" t="s">
        <v>5402</v>
      </c>
      <c r="AK52" s="3908" t="s">
        <v>5403</v>
      </c>
      <c r="AL52" s="3908" t="s">
        <v>5404</v>
      </c>
      <c r="AM52" s="3908" t="s">
        <v>5405</v>
      </c>
      <c r="AN52" s="3908" t="s">
        <v>5406</v>
      </c>
      <c r="AO52" s="3908" t="s">
        <v>5407</v>
      </c>
      <c r="AP52" s="3908" t="s">
        <v>5408</v>
      </c>
      <c r="AQ52" s="3908" t="s">
        <v>5409</v>
      </c>
      <c r="AR52" s="3908" t="s">
        <v>5410</v>
      </c>
      <c r="AS52" s="3810" t="e">
        <f t="shared" si="23"/>
        <v>#VALUE!</v>
      </c>
      <c r="BE52" s="3810"/>
      <c r="BF52" s="3810"/>
      <c r="BG52" s="3810"/>
      <c r="BH52" s="3810"/>
      <c r="BI52" s="3810"/>
      <c r="BJ52" s="3810"/>
      <c r="BK52" s="3810"/>
      <c r="BL52" s="3810"/>
      <c r="BM52" s="3810"/>
      <c r="BN52" s="3810"/>
      <c r="BO52" s="3810"/>
      <c r="CC52" s="3811" t="e">
        <f t="shared" si="9"/>
        <v>#VALUE!</v>
      </c>
      <c r="CD52" s="3811" t="str">
        <f t="shared" si="10"/>
        <v xml:space="preserve">* El total de atenciones remotas de consultas nuevas según origen de menores de 15 años NO DEBE superar el total de atenciones del grupo indicado. </v>
      </c>
      <c r="CE52" s="3811" t="str">
        <f t="shared" si="11"/>
        <v xml:space="preserve">* El total de atenciones remotas de consultas nuevas según origen de pacientes de 15 y más años NO DEBE superar el total de atenciones del grupo indicado. </v>
      </c>
      <c r="CF52" s="3811" t="str">
        <f t="shared" si="12"/>
        <v xml:space="preserve">* El total de altas de consultas nuevas según origen de menores de 15 años NO DEBE superar el total de atenciones del grupo indicado. </v>
      </c>
      <c r="CG52" s="3811" t="str">
        <f t="shared" si="13"/>
        <v xml:space="preserve">* El total de altas de consultas nuevas según origen de pacientes de 15 y más años NO DEBE superar el total de atenciones del grupo indicado. </v>
      </c>
      <c r="CH52" s="3811" t="str">
        <f t="shared" si="14"/>
        <v xml:space="preserve"> *Las Atenciones de Pueblos Originarios no pueden superar el total de Atenciones.</v>
      </c>
      <c r="CI52" s="3811" t="str">
        <f t="shared" si="15"/>
        <v xml:space="preserve"> *Las Atenciones de Migrantes no pueden superar el total de Atenciones.</v>
      </c>
      <c r="CM52" s="3811" t="e">
        <f t="shared" si="16"/>
        <v>#VALUE!</v>
      </c>
      <c r="CN52" s="3811">
        <f t="shared" si="17"/>
        <v>1</v>
      </c>
      <c r="CO52" s="3811">
        <f t="shared" si="18"/>
        <v>1</v>
      </c>
      <c r="CP52" s="3811">
        <f t="shared" si="19"/>
        <v>1</v>
      </c>
      <c r="CQ52" s="3811">
        <f t="shared" si="20"/>
        <v>1</v>
      </c>
      <c r="CR52" s="3811">
        <f t="shared" si="21"/>
        <v>1</v>
      </c>
      <c r="CS52" s="3811">
        <f t="shared" si="22"/>
        <v>1</v>
      </c>
      <c r="DA52" s="3811"/>
      <c r="DB52" s="3811"/>
      <c r="DC52" s="3811"/>
    </row>
    <row r="53" spans="1:107" ht="15.6" customHeight="1" x14ac:dyDescent="0.2">
      <c r="A53" s="7320">
        <v>32101547</v>
      </c>
      <c r="B53" s="3901" t="s">
        <v>267</v>
      </c>
      <c r="C53" s="3902" t="s">
        <v>5369</v>
      </c>
      <c r="D53" s="3830" t="s">
        <v>5370</v>
      </c>
      <c r="E53" s="3903" t="s">
        <v>5371</v>
      </c>
      <c r="F53" s="3903" t="s">
        <v>5372</v>
      </c>
      <c r="G53" s="3903" t="s">
        <v>5373</v>
      </c>
      <c r="H53" s="3903" t="s">
        <v>5374</v>
      </c>
      <c r="I53" s="3903" t="s">
        <v>5375</v>
      </c>
      <c r="J53" s="3903" t="s">
        <v>5376</v>
      </c>
      <c r="K53" s="3903" t="s">
        <v>5377</v>
      </c>
      <c r="L53" s="3903" t="s">
        <v>5378</v>
      </c>
      <c r="M53" s="3903" t="s">
        <v>5379</v>
      </c>
      <c r="N53" s="3903" t="s">
        <v>5380</v>
      </c>
      <c r="O53" s="3903" t="s">
        <v>5381</v>
      </c>
      <c r="P53" s="3903" t="s">
        <v>5382</v>
      </c>
      <c r="Q53" s="3903" t="s">
        <v>5383</v>
      </c>
      <c r="R53" s="3903" t="s">
        <v>5384</v>
      </c>
      <c r="S53" s="3903" t="s">
        <v>5385</v>
      </c>
      <c r="T53" s="3841" t="s">
        <v>5386</v>
      </c>
      <c r="U53" s="3904" t="s">
        <v>5387</v>
      </c>
      <c r="V53" s="3905" t="s">
        <v>5388</v>
      </c>
      <c r="W53" s="3904" t="s">
        <v>5389</v>
      </c>
      <c r="X53" s="3905" t="s">
        <v>5390</v>
      </c>
      <c r="Y53" s="3904" t="s">
        <v>5391</v>
      </c>
      <c r="Z53" s="3905" t="s">
        <v>5392</v>
      </c>
      <c r="AA53" s="3901" t="s">
        <v>5393</v>
      </c>
      <c r="AB53" s="3904" t="s">
        <v>5394</v>
      </c>
      <c r="AC53" s="3906" t="s">
        <v>5395</v>
      </c>
      <c r="AD53" s="3906" t="s">
        <v>5396</v>
      </c>
      <c r="AE53" s="3905" t="s">
        <v>5397</v>
      </c>
      <c r="AF53" s="3901" t="s">
        <v>5398</v>
      </c>
      <c r="AG53" s="3904" t="s">
        <v>5399</v>
      </c>
      <c r="AH53" s="3906" t="s">
        <v>5400</v>
      </c>
      <c r="AI53" s="3906" t="s">
        <v>5401</v>
      </c>
      <c r="AJ53" s="3907" t="s">
        <v>5402</v>
      </c>
      <c r="AK53" s="3908" t="s">
        <v>5403</v>
      </c>
      <c r="AL53" s="3908" t="s">
        <v>5404</v>
      </c>
      <c r="AM53" s="3908" t="s">
        <v>5405</v>
      </c>
      <c r="AN53" s="3908" t="s">
        <v>5406</v>
      </c>
      <c r="AO53" s="3908" t="s">
        <v>5407</v>
      </c>
      <c r="AP53" s="3908" t="s">
        <v>5408</v>
      </c>
      <c r="AQ53" s="3908" t="s">
        <v>5409</v>
      </c>
      <c r="AR53" s="3908" t="s">
        <v>5410</v>
      </c>
      <c r="AS53" s="3810" t="e">
        <f t="shared" si="23"/>
        <v>#VALUE!</v>
      </c>
      <c r="BE53" s="3810"/>
      <c r="BF53" s="3810"/>
      <c r="BG53" s="3810"/>
      <c r="BH53" s="3810"/>
      <c r="BI53" s="3810"/>
      <c r="BJ53" s="3810"/>
      <c r="BK53" s="3810"/>
      <c r="BL53" s="3810"/>
      <c r="BM53" s="3810"/>
      <c r="BN53" s="3810"/>
      <c r="BO53" s="3810"/>
      <c r="CC53" s="3811" t="e">
        <f t="shared" si="9"/>
        <v>#VALUE!</v>
      </c>
      <c r="CD53" s="3811" t="str">
        <f t="shared" si="10"/>
        <v xml:space="preserve">* El total de atenciones remotas de consultas nuevas según origen de menores de 15 años NO DEBE superar el total de atenciones del grupo indicado. </v>
      </c>
      <c r="CE53" s="3811" t="str">
        <f t="shared" si="11"/>
        <v xml:space="preserve">* El total de atenciones remotas de consultas nuevas según origen de pacientes de 15 y más años NO DEBE superar el total de atenciones del grupo indicado. </v>
      </c>
      <c r="CF53" s="3811" t="str">
        <f t="shared" si="12"/>
        <v xml:space="preserve">* El total de altas de consultas nuevas según origen de menores de 15 años NO DEBE superar el total de atenciones del grupo indicado. </v>
      </c>
      <c r="CG53" s="3811" t="str">
        <f t="shared" si="13"/>
        <v xml:space="preserve">* El total de altas de consultas nuevas según origen de pacientes de 15 y más años NO DEBE superar el total de atenciones del grupo indicado. </v>
      </c>
      <c r="CH53" s="3811" t="str">
        <f t="shared" si="14"/>
        <v xml:space="preserve"> *Las Atenciones de Pueblos Originarios no pueden superar el total de Atenciones.</v>
      </c>
      <c r="CI53" s="3811" t="str">
        <f t="shared" si="15"/>
        <v xml:space="preserve"> *Las Atenciones de Migrantes no pueden superar el total de Atenciones.</v>
      </c>
      <c r="CM53" s="3811" t="e">
        <f t="shared" si="16"/>
        <v>#VALUE!</v>
      </c>
      <c r="CN53" s="3811">
        <f t="shared" si="17"/>
        <v>1</v>
      </c>
      <c r="CO53" s="3811">
        <f t="shared" si="18"/>
        <v>1</v>
      </c>
      <c r="CP53" s="3811">
        <f t="shared" si="19"/>
        <v>1</v>
      </c>
      <c r="CQ53" s="3811">
        <f t="shared" si="20"/>
        <v>1</v>
      </c>
      <c r="CR53" s="3811">
        <f t="shared" si="21"/>
        <v>1</v>
      </c>
      <c r="CS53" s="3811">
        <f t="shared" si="22"/>
        <v>1</v>
      </c>
      <c r="DA53" s="3811"/>
      <c r="DB53" s="3811"/>
      <c r="DC53" s="3811"/>
    </row>
    <row r="54" spans="1:107" ht="15.6" customHeight="1" x14ac:dyDescent="0.2">
      <c r="A54" s="7320">
        <v>32101548</v>
      </c>
      <c r="B54" s="3901" t="s">
        <v>457</v>
      </c>
      <c r="C54" s="3902" t="s">
        <v>5369</v>
      </c>
      <c r="D54" s="3830" t="s">
        <v>5370</v>
      </c>
      <c r="E54" s="3903" t="s">
        <v>5371</v>
      </c>
      <c r="F54" s="3903" t="s">
        <v>5372</v>
      </c>
      <c r="G54" s="3903" t="s">
        <v>5373</v>
      </c>
      <c r="H54" s="3903" t="s">
        <v>5374</v>
      </c>
      <c r="I54" s="3903" t="s">
        <v>5375</v>
      </c>
      <c r="J54" s="3903" t="s">
        <v>5376</v>
      </c>
      <c r="K54" s="3903" t="s">
        <v>5377</v>
      </c>
      <c r="L54" s="3903" t="s">
        <v>5378</v>
      </c>
      <c r="M54" s="3903" t="s">
        <v>5379</v>
      </c>
      <c r="N54" s="3903" t="s">
        <v>5380</v>
      </c>
      <c r="O54" s="3903" t="s">
        <v>5381</v>
      </c>
      <c r="P54" s="3903" t="s">
        <v>5382</v>
      </c>
      <c r="Q54" s="3903" t="s">
        <v>5383</v>
      </c>
      <c r="R54" s="3903" t="s">
        <v>5384</v>
      </c>
      <c r="S54" s="3903" t="s">
        <v>5385</v>
      </c>
      <c r="T54" s="3841" t="s">
        <v>5386</v>
      </c>
      <c r="U54" s="3904" t="s">
        <v>5387</v>
      </c>
      <c r="V54" s="3905" t="s">
        <v>5388</v>
      </c>
      <c r="W54" s="3904" t="s">
        <v>5389</v>
      </c>
      <c r="X54" s="3905" t="s">
        <v>5390</v>
      </c>
      <c r="Y54" s="3904" t="s">
        <v>5391</v>
      </c>
      <c r="Z54" s="3905" t="s">
        <v>5392</v>
      </c>
      <c r="AA54" s="3901" t="s">
        <v>5393</v>
      </c>
      <c r="AB54" s="3904" t="s">
        <v>5394</v>
      </c>
      <c r="AC54" s="3906" t="s">
        <v>5395</v>
      </c>
      <c r="AD54" s="3906" t="s">
        <v>5396</v>
      </c>
      <c r="AE54" s="3905" t="s">
        <v>5397</v>
      </c>
      <c r="AF54" s="3901" t="s">
        <v>5398</v>
      </c>
      <c r="AG54" s="3904" t="s">
        <v>5399</v>
      </c>
      <c r="AH54" s="3906" t="s">
        <v>5400</v>
      </c>
      <c r="AI54" s="3906" t="s">
        <v>5401</v>
      </c>
      <c r="AJ54" s="3907" t="s">
        <v>5402</v>
      </c>
      <c r="AK54" s="3908" t="s">
        <v>5403</v>
      </c>
      <c r="AL54" s="3908" t="s">
        <v>5404</v>
      </c>
      <c r="AM54" s="3908" t="s">
        <v>5405</v>
      </c>
      <c r="AN54" s="3908" t="s">
        <v>5406</v>
      </c>
      <c r="AO54" s="3908" t="s">
        <v>5407</v>
      </c>
      <c r="AP54" s="3908" t="s">
        <v>5408</v>
      </c>
      <c r="AQ54" s="3908" t="s">
        <v>5409</v>
      </c>
      <c r="AR54" s="3908" t="s">
        <v>5410</v>
      </c>
      <c r="AS54" s="3810" t="e">
        <f t="shared" si="23"/>
        <v>#VALUE!</v>
      </c>
      <c r="BE54" s="3810"/>
      <c r="BF54" s="3810"/>
      <c r="BG54" s="3810"/>
      <c r="BH54" s="3810"/>
      <c r="BI54" s="3810"/>
      <c r="BJ54" s="3810"/>
      <c r="BK54" s="3810"/>
      <c r="BL54" s="3810"/>
      <c r="BM54" s="3810"/>
      <c r="BN54" s="3810"/>
      <c r="BO54" s="3810"/>
      <c r="CC54" s="3811" t="e">
        <f t="shared" si="9"/>
        <v>#VALUE!</v>
      </c>
      <c r="CD54" s="3811" t="str">
        <f t="shared" si="10"/>
        <v xml:space="preserve">* El total de atenciones remotas de consultas nuevas según origen de menores de 15 años NO DEBE superar el total de atenciones del grupo indicado. </v>
      </c>
      <c r="CE54" s="3811" t="str">
        <f t="shared" si="11"/>
        <v xml:space="preserve">* El total de atenciones remotas de consultas nuevas según origen de pacientes de 15 y más años NO DEBE superar el total de atenciones del grupo indicado. </v>
      </c>
      <c r="CF54" s="3811" t="str">
        <f t="shared" si="12"/>
        <v xml:space="preserve">* El total de altas de consultas nuevas según origen de menores de 15 años NO DEBE superar el total de atenciones del grupo indicado. </v>
      </c>
      <c r="CG54" s="3811" t="str">
        <f t="shared" si="13"/>
        <v xml:space="preserve">* El total de altas de consultas nuevas según origen de pacientes de 15 y más años NO DEBE superar el total de atenciones del grupo indicado. </v>
      </c>
      <c r="CH54" s="3811" t="str">
        <f t="shared" si="14"/>
        <v xml:space="preserve"> *Las Atenciones de Pueblos Originarios no pueden superar el total de Atenciones.</v>
      </c>
      <c r="CI54" s="3811" t="str">
        <f t="shared" si="15"/>
        <v xml:space="preserve"> *Las Atenciones de Migrantes no pueden superar el total de Atenciones.</v>
      </c>
      <c r="CM54" s="3811" t="e">
        <f t="shared" si="16"/>
        <v>#VALUE!</v>
      </c>
      <c r="CN54" s="3811">
        <f t="shared" si="17"/>
        <v>1</v>
      </c>
      <c r="CO54" s="3811">
        <f t="shared" si="18"/>
        <v>1</v>
      </c>
      <c r="CP54" s="3811">
        <f t="shared" si="19"/>
        <v>1</v>
      </c>
      <c r="CQ54" s="3811">
        <f t="shared" si="20"/>
        <v>1</v>
      </c>
      <c r="CR54" s="3811">
        <f t="shared" si="21"/>
        <v>1</v>
      </c>
      <c r="CS54" s="3811">
        <f t="shared" si="22"/>
        <v>1</v>
      </c>
      <c r="DA54" s="3811"/>
      <c r="DB54" s="3811"/>
      <c r="DC54" s="3811"/>
    </row>
    <row r="55" spans="1:107" ht="15.6" customHeight="1" x14ac:dyDescent="0.2">
      <c r="A55" s="7320">
        <v>32101549</v>
      </c>
      <c r="B55" s="3901" t="s">
        <v>268</v>
      </c>
      <c r="C55" s="3902" t="s">
        <v>5369</v>
      </c>
      <c r="D55" s="3830" t="s">
        <v>5370</v>
      </c>
      <c r="E55" s="3903" t="s">
        <v>5371</v>
      </c>
      <c r="F55" s="3903" t="s">
        <v>5372</v>
      </c>
      <c r="G55" s="3903" t="s">
        <v>5373</v>
      </c>
      <c r="H55" s="3903" t="s">
        <v>5374</v>
      </c>
      <c r="I55" s="3903" t="s">
        <v>5375</v>
      </c>
      <c r="J55" s="3903" t="s">
        <v>5376</v>
      </c>
      <c r="K55" s="3903" t="s">
        <v>5377</v>
      </c>
      <c r="L55" s="3903" t="s">
        <v>5378</v>
      </c>
      <c r="M55" s="3903" t="s">
        <v>5379</v>
      </c>
      <c r="N55" s="3903" t="s">
        <v>5380</v>
      </c>
      <c r="O55" s="3903" t="s">
        <v>5381</v>
      </c>
      <c r="P55" s="3903" t="s">
        <v>5382</v>
      </c>
      <c r="Q55" s="3903" t="s">
        <v>5383</v>
      </c>
      <c r="R55" s="3903" t="s">
        <v>5384</v>
      </c>
      <c r="S55" s="3903" t="s">
        <v>5385</v>
      </c>
      <c r="T55" s="3841" t="s">
        <v>5386</v>
      </c>
      <c r="U55" s="3904" t="s">
        <v>5387</v>
      </c>
      <c r="V55" s="3905" t="s">
        <v>5388</v>
      </c>
      <c r="W55" s="3904" t="s">
        <v>5389</v>
      </c>
      <c r="X55" s="3905" t="s">
        <v>5390</v>
      </c>
      <c r="Y55" s="3904" t="s">
        <v>5391</v>
      </c>
      <c r="Z55" s="3905" t="s">
        <v>5392</v>
      </c>
      <c r="AA55" s="3901" t="s">
        <v>5393</v>
      </c>
      <c r="AB55" s="3904" t="s">
        <v>5394</v>
      </c>
      <c r="AC55" s="3906" t="s">
        <v>5395</v>
      </c>
      <c r="AD55" s="3906" t="s">
        <v>5396</v>
      </c>
      <c r="AE55" s="3905" t="s">
        <v>5397</v>
      </c>
      <c r="AF55" s="3901" t="s">
        <v>5398</v>
      </c>
      <c r="AG55" s="3904" t="s">
        <v>5399</v>
      </c>
      <c r="AH55" s="3906" t="s">
        <v>5400</v>
      </c>
      <c r="AI55" s="3906" t="s">
        <v>5401</v>
      </c>
      <c r="AJ55" s="3907" t="s">
        <v>5402</v>
      </c>
      <c r="AK55" s="3908" t="s">
        <v>5403</v>
      </c>
      <c r="AL55" s="3908" t="s">
        <v>5404</v>
      </c>
      <c r="AM55" s="3908" t="s">
        <v>5405</v>
      </c>
      <c r="AN55" s="3908" t="s">
        <v>5406</v>
      </c>
      <c r="AO55" s="3908" t="s">
        <v>5407</v>
      </c>
      <c r="AP55" s="3908" t="s">
        <v>5408</v>
      </c>
      <c r="AQ55" s="3908" t="s">
        <v>5409</v>
      </c>
      <c r="AR55" s="3908" t="s">
        <v>5410</v>
      </c>
      <c r="AS55" s="3810" t="e">
        <f t="shared" si="23"/>
        <v>#VALUE!</v>
      </c>
      <c r="BE55" s="3810"/>
      <c r="BF55" s="3810"/>
      <c r="BG55" s="3810"/>
      <c r="BH55" s="3810"/>
      <c r="BI55" s="3810"/>
      <c r="BJ55" s="3810"/>
      <c r="BK55" s="3810"/>
      <c r="BL55" s="3810"/>
      <c r="BM55" s="3810"/>
      <c r="BN55" s="3810"/>
      <c r="BO55" s="3810"/>
      <c r="CC55" s="3811" t="e">
        <f t="shared" si="9"/>
        <v>#VALUE!</v>
      </c>
      <c r="CD55" s="3811" t="str">
        <f t="shared" si="10"/>
        <v xml:space="preserve">* El total de atenciones remotas de consultas nuevas según origen de menores de 15 años NO DEBE superar el total de atenciones del grupo indicado. </v>
      </c>
      <c r="CE55" s="3811" t="str">
        <f t="shared" si="11"/>
        <v xml:space="preserve">* El total de atenciones remotas de consultas nuevas según origen de pacientes de 15 y más años NO DEBE superar el total de atenciones del grupo indicado. </v>
      </c>
      <c r="CF55" s="3811" t="str">
        <f t="shared" si="12"/>
        <v xml:space="preserve">* El total de altas de consultas nuevas según origen de menores de 15 años NO DEBE superar el total de atenciones del grupo indicado. </v>
      </c>
      <c r="CG55" s="3811" t="str">
        <f t="shared" si="13"/>
        <v xml:space="preserve">* El total de altas de consultas nuevas según origen de pacientes de 15 y más años NO DEBE superar el total de atenciones del grupo indicado. </v>
      </c>
      <c r="CH55" s="3811" t="str">
        <f t="shared" si="14"/>
        <v xml:space="preserve"> *Las Atenciones de Pueblos Originarios no pueden superar el total de Atenciones.</v>
      </c>
      <c r="CI55" s="3811" t="str">
        <f t="shared" si="15"/>
        <v xml:space="preserve"> *Las Atenciones de Migrantes no pueden superar el total de Atenciones.</v>
      </c>
      <c r="CM55" s="3811" t="e">
        <f t="shared" si="16"/>
        <v>#VALUE!</v>
      </c>
      <c r="CN55" s="3811">
        <f t="shared" si="17"/>
        <v>1</v>
      </c>
      <c r="CO55" s="3811">
        <f t="shared" si="18"/>
        <v>1</v>
      </c>
      <c r="CP55" s="3811">
        <f t="shared" si="19"/>
        <v>1</v>
      </c>
      <c r="CQ55" s="3811">
        <f t="shared" si="20"/>
        <v>1</v>
      </c>
      <c r="CR55" s="3811">
        <f t="shared" si="21"/>
        <v>1</v>
      </c>
      <c r="CS55" s="3811">
        <f t="shared" si="22"/>
        <v>1</v>
      </c>
      <c r="DA55" s="3811"/>
      <c r="DB55" s="3811"/>
      <c r="DC55" s="3811"/>
    </row>
    <row r="56" spans="1:107" ht="15.6" customHeight="1" x14ac:dyDescent="0.2">
      <c r="A56" s="7258">
        <v>32100230</v>
      </c>
      <c r="B56" s="3901" t="s">
        <v>458</v>
      </c>
      <c r="C56" s="3902" t="s">
        <v>5369</v>
      </c>
      <c r="D56" s="3830" t="s">
        <v>5370</v>
      </c>
      <c r="E56" s="3903" t="s">
        <v>5371</v>
      </c>
      <c r="F56" s="3903" t="s">
        <v>5372</v>
      </c>
      <c r="G56" s="3903" t="s">
        <v>5373</v>
      </c>
      <c r="H56" s="3903" t="s">
        <v>5374</v>
      </c>
      <c r="I56" s="3903" t="s">
        <v>5375</v>
      </c>
      <c r="J56" s="3903" t="s">
        <v>5376</v>
      </c>
      <c r="K56" s="3903" t="s">
        <v>5377</v>
      </c>
      <c r="L56" s="3903" t="s">
        <v>5378</v>
      </c>
      <c r="M56" s="3903" t="s">
        <v>5379</v>
      </c>
      <c r="N56" s="3903" t="s">
        <v>5380</v>
      </c>
      <c r="O56" s="3903" t="s">
        <v>5381</v>
      </c>
      <c r="P56" s="3903" t="s">
        <v>5382</v>
      </c>
      <c r="Q56" s="3903" t="s">
        <v>5383</v>
      </c>
      <c r="R56" s="3903" t="s">
        <v>5384</v>
      </c>
      <c r="S56" s="3903" t="s">
        <v>5385</v>
      </c>
      <c r="T56" s="3841" t="s">
        <v>5386</v>
      </c>
      <c r="U56" s="3904" t="s">
        <v>5387</v>
      </c>
      <c r="V56" s="3905" t="s">
        <v>5388</v>
      </c>
      <c r="W56" s="3904" t="s">
        <v>5389</v>
      </c>
      <c r="X56" s="3905" t="s">
        <v>5390</v>
      </c>
      <c r="Y56" s="3904" t="s">
        <v>5391</v>
      </c>
      <c r="Z56" s="3905" t="s">
        <v>5392</v>
      </c>
      <c r="AA56" s="3901" t="s">
        <v>5393</v>
      </c>
      <c r="AB56" s="3904" t="s">
        <v>5394</v>
      </c>
      <c r="AC56" s="3906" t="s">
        <v>5395</v>
      </c>
      <c r="AD56" s="3906" t="s">
        <v>5396</v>
      </c>
      <c r="AE56" s="3905" t="s">
        <v>5397</v>
      </c>
      <c r="AF56" s="3901" t="s">
        <v>5398</v>
      </c>
      <c r="AG56" s="3904" t="s">
        <v>5399</v>
      </c>
      <c r="AH56" s="3906" t="s">
        <v>5400</v>
      </c>
      <c r="AI56" s="3906" t="s">
        <v>5401</v>
      </c>
      <c r="AJ56" s="3907" t="s">
        <v>5402</v>
      </c>
      <c r="AK56" s="3908" t="s">
        <v>5403</v>
      </c>
      <c r="AL56" s="3908" t="s">
        <v>5404</v>
      </c>
      <c r="AM56" s="3908" t="s">
        <v>5405</v>
      </c>
      <c r="AN56" s="3908" t="s">
        <v>5406</v>
      </c>
      <c r="AO56" s="3908" t="s">
        <v>5407</v>
      </c>
      <c r="AP56" s="3908" t="s">
        <v>5408</v>
      </c>
      <c r="AQ56" s="3908" t="s">
        <v>5409</v>
      </c>
      <c r="AR56" s="3908" t="s">
        <v>5410</v>
      </c>
      <c r="AS56" s="3810" t="e">
        <f t="shared" si="23"/>
        <v>#VALUE!</v>
      </c>
      <c r="BE56" s="3810"/>
      <c r="BF56" s="3810"/>
      <c r="BG56" s="3810"/>
      <c r="BH56" s="3810"/>
      <c r="BI56" s="3810"/>
      <c r="BJ56" s="3810"/>
      <c r="BK56" s="3810"/>
      <c r="BL56" s="3810"/>
      <c r="BM56" s="3810"/>
      <c r="BN56" s="3810"/>
      <c r="BO56" s="3810"/>
      <c r="CC56" s="3811" t="e">
        <f t="shared" si="9"/>
        <v>#VALUE!</v>
      </c>
      <c r="CD56" s="3811" t="str">
        <f t="shared" si="10"/>
        <v xml:space="preserve">* El total de atenciones remotas de consultas nuevas según origen de menores de 15 años NO DEBE superar el total de atenciones del grupo indicado. </v>
      </c>
      <c r="CE56" s="3811" t="str">
        <f t="shared" si="11"/>
        <v xml:space="preserve">* El total de atenciones remotas de consultas nuevas según origen de pacientes de 15 y más años NO DEBE superar el total de atenciones del grupo indicado. </v>
      </c>
      <c r="CF56" s="3811" t="str">
        <f t="shared" si="12"/>
        <v xml:space="preserve">* El total de altas de consultas nuevas según origen de menores de 15 años NO DEBE superar el total de atenciones del grupo indicado. </v>
      </c>
      <c r="CG56" s="3811" t="str">
        <f t="shared" si="13"/>
        <v xml:space="preserve">* El total de altas de consultas nuevas según origen de pacientes de 15 y más años NO DEBE superar el total de atenciones del grupo indicado. </v>
      </c>
      <c r="CH56" s="3811" t="str">
        <f t="shared" si="14"/>
        <v xml:space="preserve"> *Las Atenciones de Pueblos Originarios no pueden superar el total de Atenciones.</v>
      </c>
      <c r="CI56" s="3811" t="str">
        <f t="shared" si="15"/>
        <v xml:space="preserve"> *Las Atenciones de Migrantes no pueden superar el total de Atenciones.</v>
      </c>
      <c r="CM56" s="3811" t="e">
        <f t="shared" si="16"/>
        <v>#VALUE!</v>
      </c>
      <c r="CN56" s="3811">
        <f t="shared" si="17"/>
        <v>1</v>
      </c>
      <c r="CO56" s="3811">
        <f t="shared" si="18"/>
        <v>1</v>
      </c>
      <c r="CP56" s="3811">
        <f t="shared" si="19"/>
        <v>1</v>
      </c>
      <c r="CQ56" s="3811">
        <f t="shared" si="20"/>
        <v>1</v>
      </c>
      <c r="CR56" s="3811">
        <f t="shared" si="21"/>
        <v>1</v>
      </c>
      <c r="CS56" s="3811">
        <f t="shared" si="22"/>
        <v>1</v>
      </c>
      <c r="DA56" s="3811"/>
      <c r="DB56" s="3811"/>
      <c r="DC56" s="3811"/>
    </row>
    <row r="57" spans="1:107" ht="15.6" customHeight="1" x14ac:dyDescent="0.2">
      <c r="A57" s="7320">
        <v>32101550</v>
      </c>
      <c r="B57" s="3901" t="s">
        <v>269</v>
      </c>
      <c r="C57" s="3902" t="s">
        <v>5369</v>
      </c>
      <c r="D57" s="3830" t="s">
        <v>5370</v>
      </c>
      <c r="E57" s="3903" t="s">
        <v>5371</v>
      </c>
      <c r="F57" s="3903" t="s">
        <v>5372</v>
      </c>
      <c r="G57" s="3903" t="s">
        <v>5373</v>
      </c>
      <c r="H57" s="3903" t="s">
        <v>5374</v>
      </c>
      <c r="I57" s="3903" t="s">
        <v>5375</v>
      </c>
      <c r="J57" s="3903" t="s">
        <v>5376</v>
      </c>
      <c r="K57" s="3903" t="s">
        <v>5377</v>
      </c>
      <c r="L57" s="3903" t="s">
        <v>5378</v>
      </c>
      <c r="M57" s="3903" t="s">
        <v>5379</v>
      </c>
      <c r="N57" s="3903" t="s">
        <v>5380</v>
      </c>
      <c r="O57" s="3903" t="s">
        <v>5381</v>
      </c>
      <c r="P57" s="3903" t="s">
        <v>5382</v>
      </c>
      <c r="Q57" s="3903" t="s">
        <v>5383</v>
      </c>
      <c r="R57" s="3903" t="s">
        <v>5384</v>
      </c>
      <c r="S57" s="3903" t="s">
        <v>5385</v>
      </c>
      <c r="T57" s="3841" t="s">
        <v>5386</v>
      </c>
      <c r="U57" s="3904" t="s">
        <v>5387</v>
      </c>
      <c r="V57" s="3905" t="s">
        <v>5388</v>
      </c>
      <c r="W57" s="3904" t="s">
        <v>5389</v>
      </c>
      <c r="X57" s="3905" t="s">
        <v>5390</v>
      </c>
      <c r="Y57" s="3904" t="s">
        <v>5391</v>
      </c>
      <c r="Z57" s="3905" t="s">
        <v>5392</v>
      </c>
      <c r="AA57" s="3901" t="s">
        <v>5393</v>
      </c>
      <c r="AB57" s="3904" t="s">
        <v>5394</v>
      </c>
      <c r="AC57" s="3906" t="s">
        <v>5395</v>
      </c>
      <c r="AD57" s="3906" t="s">
        <v>5396</v>
      </c>
      <c r="AE57" s="3905" t="s">
        <v>5397</v>
      </c>
      <c r="AF57" s="3901" t="s">
        <v>5398</v>
      </c>
      <c r="AG57" s="3904" t="s">
        <v>5399</v>
      </c>
      <c r="AH57" s="3906" t="s">
        <v>5400</v>
      </c>
      <c r="AI57" s="3906" t="s">
        <v>5401</v>
      </c>
      <c r="AJ57" s="3907" t="s">
        <v>5402</v>
      </c>
      <c r="AK57" s="3908" t="s">
        <v>5403</v>
      </c>
      <c r="AL57" s="3908" t="s">
        <v>5404</v>
      </c>
      <c r="AM57" s="3908" t="s">
        <v>5405</v>
      </c>
      <c r="AN57" s="3908" t="s">
        <v>5406</v>
      </c>
      <c r="AO57" s="3908" t="s">
        <v>5407</v>
      </c>
      <c r="AP57" s="3908" t="s">
        <v>5408</v>
      </c>
      <c r="AQ57" s="3908" t="s">
        <v>5409</v>
      </c>
      <c r="AR57" s="3908" t="s">
        <v>5410</v>
      </c>
      <c r="AS57" s="3810" t="e">
        <f t="shared" si="23"/>
        <v>#VALUE!</v>
      </c>
      <c r="BE57" s="3810"/>
      <c r="BF57" s="3810"/>
      <c r="BG57" s="3810"/>
      <c r="BH57" s="3810"/>
      <c r="BI57" s="3810"/>
      <c r="BJ57" s="3810"/>
      <c r="BK57" s="3810"/>
      <c r="BL57" s="3810"/>
      <c r="BM57" s="3810"/>
      <c r="BN57" s="3810"/>
      <c r="BO57" s="3810"/>
      <c r="CC57" s="3811" t="e">
        <f t="shared" si="9"/>
        <v>#VALUE!</v>
      </c>
      <c r="CD57" s="3811" t="str">
        <f t="shared" si="10"/>
        <v xml:space="preserve">* El total de atenciones remotas de consultas nuevas según origen de menores de 15 años NO DEBE superar el total de atenciones del grupo indicado. </v>
      </c>
      <c r="CE57" s="3811" t="str">
        <f t="shared" si="11"/>
        <v xml:space="preserve">* El total de atenciones remotas de consultas nuevas según origen de pacientes de 15 y más años NO DEBE superar el total de atenciones del grupo indicado. </v>
      </c>
      <c r="CF57" s="3811" t="str">
        <f t="shared" si="12"/>
        <v xml:space="preserve">* El total de altas de consultas nuevas según origen de menores de 15 años NO DEBE superar el total de atenciones del grupo indicado. </v>
      </c>
      <c r="CG57" s="3811" t="str">
        <f t="shared" si="13"/>
        <v xml:space="preserve">* El total de altas de consultas nuevas según origen de pacientes de 15 y más años NO DEBE superar el total de atenciones del grupo indicado. </v>
      </c>
      <c r="CH57" s="3811" t="str">
        <f t="shared" si="14"/>
        <v xml:space="preserve"> *Las Atenciones de Pueblos Originarios no pueden superar el total de Atenciones.</v>
      </c>
      <c r="CI57" s="3811" t="str">
        <f t="shared" si="15"/>
        <v xml:space="preserve"> *Las Atenciones de Migrantes no pueden superar el total de Atenciones.</v>
      </c>
      <c r="CM57" s="3811" t="e">
        <f t="shared" si="16"/>
        <v>#VALUE!</v>
      </c>
      <c r="CN57" s="3811">
        <f t="shared" si="17"/>
        <v>1</v>
      </c>
      <c r="CO57" s="3811">
        <f t="shared" si="18"/>
        <v>1</v>
      </c>
      <c r="CP57" s="3811">
        <f t="shared" si="19"/>
        <v>1</v>
      </c>
      <c r="CQ57" s="3811">
        <f t="shared" si="20"/>
        <v>1</v>
      </c>
      <c r="CR57" s="3811">
        <f t="shared" si="21"/>
        <v>1</v>
      </c>
      <c r="CS57" s="3811">
        <f t="shared" si="22"/>
        <v>1</v>
      </c>
      <c r="DA57" s="3811"/>
      <c r="DB57" s="3811"/>
      <c r="DC57" s="3811"/>
    </row>
    <row r="58" spans="1:107" ht="15.6" customHeight="1" x14ac:dyDescent="0.2">
      <c r="A58" s="7320">
        <v>32101551</v>
      </c>
      <c r="B58" s="3901" t="s">
        <v>270</v>
      </c>
      <c r="C58" s="3902" t="s">
        <v>5369</v>
      </c>
      <c r="D58" s="3830" t="s">
        <v>5370</v>
      </c>
      <c r="E58" s="3903" t="s">
        <v>5371</v>
      </c>
      <c r="F58" s="3903" t="s">
        <v>5372</v>
      </c>
      <c r="G58" s="3903" t="s">
        <v>5373</v>
      </c>
      <c r="H58" s="3903" t="s">
        <v>5374</v>
      </c>
      <c r="I58" s="3903" t="s">
        <v>5375</v>
      </c>
      <c r="J58" s="3903" t="s">
        <v>5376</v>
      </c>
      <c r="K58" s="3903" t="s">
        <v>5377</v>
      </c>
      <c r="L58" s="3903" t="s">
        <v>5378</v>
      </c>
      <c r="M58" s="3903" t="s">
        <v>5379</v>
      </c>
      <c r="N58" s="3903" t="s">
        <v>5380</v>
      </c>
      <c r="O58" s="3903" t="s">
        <v>5381</v>
      </c>
      <c r="P58" s="3903" t="s">
        <v>5382</v>
      </c>
      <c r="Q58" s="3903" t="s">
        <v>5383</v>
      </c>
      <c r="R58" s="3903" t="s">
        <v>5384</v>
      </c>
      <c r="S58" s="3903" t="s">
        <v>5385</v>
      </c>
      <c r="T58" s="3841" t="s">
        <v>5386</v>
      </c>
      <c r="U58" s="3904" t="s">
        <v>5387</v>
      </c>
      <c r="V58" s="3905" t="s">
        <v>5388</v>
      </c>
      <c r="W58" s="3904" t="s">
        <v>5389</v>
      </c>
      <c r="X58" s="3905" t="s">
        <v>5390</v>
      </c>
      <c r="Y58" s="3904" t="s">
        <v>5391</v>
      </c>
      <c r="Z58" s="3905" t="s">
        <v>5392</v>
      </c>
      <c r="AA58" s="3901" t="s">
        <v>5393</v>
      </c>
      <c r="AB58" s="3904" t="s">
        <v>5394</v>
      </c>
      <c r="AC58" s="3906" t="s">
        <v>5395</v>
      </c>
      <c r="AD58" s="3906" t="s">
        <v>5396</v>
      </c>
      <c r="AE58" s="3905" t="s">
        <v>5397</v>
      </c>
      <c r="AF58" s="3901" t="s">
        <v>5398</v>
      </c>
      <c r="AG58" s="3904" t="s">
        <v>5399</v>
      </c>
      <c r="AH58" s="3906" t="s">
        <v>5400</v>
      </c>
      <c r="AI58" s="3906" t="s">
        <v>5401</v>
      </c>
      <c r="AJ58" s="3907" t="s">
        <v>5402</v>
      </c>
      <c r="AK58" s="3908" t="s">
        <v>5403</v>
      </c>
      <c r="AL58" s="3908" t="s">
        <v>5404</v>
      </c>
      <c r="AM58" s="3908" t="s">
        <v>5405</v>
      </c>
      <c r="AN58" s="3908" t="s">
        <v>5406</v>
      </c>
      <c r="AO58" s="3908" t="s">
        <v>5407</v>
      </c>
      <c r="AP58" s="3908" t="s">
        <v>5408</v>
      </c>
      <c r="AQ58" s="3908" t="s">
        <v>5409</v>
      </c>
      <c r="AR58" s="3908" t="s">
        <v>5410</v>
      </c>
      <c r="AS58" s="3810" t="e">
        <f t="shared" si="23"/>
        <v>#VALUE!</v>
      </c>
      <c r="BE58" s="3810"/>
      <c r="BF58" s="3810"/>
      <c r="BG58" s="3810"/>
      <c r="BH58" s="3810"/>
      <c r="BI58" s="3810"/>
      <c r="BJ58" s="3810"/>
      <c r="BK58" s="3810"/>
      <c r="BL58" s="3810"/>
      <c r="BM58" s="3810"/>
      <c r="BN58" s="3810"/>
      <c r="BO58" s="3810"/>
      <c r="CC58" s="3811" t="e">
        <f t="shared" si="9"/>
        <v>#VALUE!</v>
      </c>
      <c r="CD58" s="3811" t="str">
        <f t="shared" si="10"/>
        <v xml:space="preserve">* El total de atenciones remotas de consultas nuevas según origen de menores de 15 años NO DEBE superar el total de atenciones del grupo indicado. </v>
      </c>
      <c r="CE58" s="3811" t="str">
        <f t="shared" si="11"/>
        <v xml:space="preserve">* El total de atenciones remotas de consultas nuevas según origen de pacientes de 15 y más años NO DEBE superar el total de atenciones del grupo indicado. </v>
      </c>
      <c r="CF58" s="3811" t="str">
        <f t="shared" si="12"/>
        <v xml:space="preserve">* El total de altas de consultas nuevas según origen de menores de 15 años NO DEBE superar el total de atenciones del grupo indicado. </v>
      </c>
      <c r="CG58" s="3811" t="str">
        <f t="shared" si="13"/>
        <v xml:space="preserve">* El total de altas de consultas nuevas según origen de pacientes de 15 y más años NO DEBE superar el total de atenciones del grupo indicado. </v>
      </c>
      <c r="CH58" s="3811" t="str">
        <f t="shared" si="14"/>
        <v xml:space="preserve"> *Las Atenciones de Pueblos Originarios no pueden superar el total de Atenciones.</v>
      </c>
      <c r="CI58" s="3811" t="str">
        <f t="shared" si="15"/>
        <v xml:space="preserve"> *Las Atenciones de Migrantes no pueden superar el total de Atenciones.</v>
      </c>
      <c r="CM58" s="3811" t="e">
        <f t="shared" si="16"/>
        <v>#VALUE!</v>
      </c>
      <c r="CN58" s="3811">
        <f t="shared" si="17"/>
        <v>1</v>
      </c>
      <c r="CO58" s="3811">
        <f t="shared" si="18"/>
        <v>1</v>
      </c>
      <c r="CP58" s="3811">
        <f t="shared" si="19"/>
        <v>1</v>
      </c>
      <c r="CQ58" s="3811">
        <f t="shared" si="20"/>
        <v>1</v>
      </c>
      <c r="CR58" s="3811">
        <f t="shared" si="21"/>
        <v>1</v>
      </c>
      <c r="CS58" s="3811">
        <f t="shared" si="22"/>
        <v>1</v>
      </c>
      <c r="DA58" s="3811"/>
      <c r="DB58" s="3811"/>
      <c r="DC58" s="3811"/>
    </row>
    <row r="59" spans="1:107" ht="15.6" customHeight="1" x14ac:dyDescent="0.2">
      <c r="A59" s="7258">
        <v>32100240</v>
      </c>
      <c r="B59" s="3901" t="s">
        <v>459</v>
      </c>
      <c r="C59" s="3902" t="s">
        <v>5369</v>
      </c>
      <c r="D59" s="3830" t="s">
        <v>5370</v>
      </c>
      <c r="E59" s="3903" t="s">
        <v>5371</v>
      </c>
      <c r="F59" s="3903" t="s">
        <v>5372</v>
      </c>
      <c r="G59" s="3903" t="s">
        <v>5373</v>
      </c>
      <c r="H59" s="3903" t="s">
        <v>5374</v>
      </c>
      <c r="I59" s="3903" t="s">
        <v>5375</v>
      </c>
      <c r="J59" s="3903" t="s">
        <v>5376</v>
      </c>
      <c r="K59" s="3903" t="s">
        <v>5377</v>
      </c>
      <c r="L59" s="3903" t="s">
        <v>5378</v>
      </c>
      <c r="M59" s="3903" t="s">
        <v>5379</v>
      </c>
      <c r="N59" s="3903" t="s">
        <v>5380</v>
      </c>
      <c r="O59" s="3903" t="s">
        <v>5381</v>
      </c>
      <c r="P59" s="3903" t="s">
        <v>5382</v>
      </c>
      <c r="Q59" s="3903" t="s">
        <v>5383</v>
      </c>
      <c r="R59" s="3903" t="s">
        <v>5384</v>
      </c>
      <c r="S59" s="3903" t="s">
        <v>5385</v>
      </c>
      <c r="T59" s="3841" t="s">
        <v>5386</v>
      </c>
      <c r="U59" s="3904" t="s">
        <v>5387</v>
      </c>
      <c r="V59" s="3905" t="s">
        <v>5388</v>
      </c>
      <c r="W59" s="3904" t="s">
        <v>5389</v>
      </c>
      <c r="X59" s="3905" t="s">
        <v>5390</v>
      </c>
      <c r="Y59" s="3904" t="s">
        <v>5391</v>
      </c>
      <c r="Z59" s="3905" t="s">
        <v>5392</v>
      </c>
      <c r="AA59" s="3901" t="s">
        <v>5393</v>
      </c>
      <c r="AB59" s="3904" t="s">
        <v>5394</v>
      </c>
      <c r="AC59" s="3906" t="s">
        <v>5395</v>
      </c>
      <c r="AD59" s="3906" t="s">
        <v>5396</v>
      </c>
      <c r="AE59" s="3905" t="s">
        <v>5397</v>
      </c>
      <c r="AF59" s="3901" t="s">
        <v>5398</v>
      </c>
      <c r="AG59" s="3904" t="s">
        <v>5399</v>
      </c>
      <c r="AH59" s="3906" t="s">
        <v>5400</v>
      </c>
      <c r="AI59" s="3906" t="s">
        <v>5401</v>
      </c>
      <c r="AJ59" s="3907" t="s">
        <v>5402</v>
      </c>
      <c r="AK59" s="3908" t="s">
        <v>5403</v>
      </c>
      <c r="AL59" s="3908" t="s">
        <v>5404</v>
      </c>
      <c r="AM59" s="3908" t="s">
        <v>5405</v>
      </c>
      <c r="AN59" s="3908" t="s">
        <v>5406</v>
      </c>
      <c r="AO59" s="3908" t="s">
        <v>5407</v>
      </c>
      <c r="AP59" s="3908" t="s">
        <v>5408</v>
      </c>
      <c r="AQ59" s="3908" t="s">
        <v>5409</v>
      </c>
      <c r="AR59" s="3908" t="s">
        <v>5410</v>
      </c>
      <c r="AS59" s="3810" t="e">
        <f t="shared" si="23"/>
        <v>#VALUE!</v>
      </c>
      <c r="BE59" s="3810"/>
      <c r="BF59" s="3810"/>
      <c r="BG59" s="3810"/>
      <c r="BH59" s="3810"/>
      <c r="BI59" s="3810"/>
      <c r="BJ59" s="3810"/>
      <c r="BK59" s="3810"/>
      <c r="BL59" s="3810"/>
      <c r="BM59" s="3810"/>
      <c r="BN59" s="3810"/>
      <c r="BO59" s="3810"/>
      <c r="CC59" s="3811" t="e">
        <f t="shared" si="9"/>
        <v>#VALUE!</v>
      </c>
      <c r="CD59" s="3811" t="str">
        <f t="shared" si="10"/>
        <v xml:space="preserve">* El total de atenciones remotas de consultas nuevas según origen de menores de 15 años NO DEBE superar el total de atenciones del grupo indicado. </v>
      </c>
      <c r="CE59" s="3811" t="str">
        <f t="shared" si="11"/>
        <v xml:space="preserve">* El total de atenciones remotas de consultas nuevas según origen de pacientes de 15 y más años NO DEBE superar el total de atenciones del grupo indicado. </v>
      </c>
      <c r="CF59" s="3811" t="str">
        <f t="shared" si="12"/>
        <v xml:space="preserve">* El total de altas de consultas nuevas según origen de menores de 15 años NO DEBE superar el total de atenciones del grupo indicado. </v>
      </c>
      <c r="CG59" s="3811" t="str">
        <f t="shared" si="13"/>
        <v xml:space="preserve">* El total de altas de consultas nuevas según origen de pacientes de 15 y más años NO DEBE superar el total de atenciones del grupo indicado. </v>
      </c>
      <c r="CH59" s="3811" t="str">
        <f t="shared" si="14"/>
        <v xml:space="preserve"> *Las Atenciones de Pueblos Originarios no pueden superar el total de Atenciones.</v>
      </c>
      <c r="CI59" s="3811" t="str">
        <f t="shared" si="15"/>
        <v xml:space="preserve"> *Las Atenciones de Migrantes no pueden superar el total de Atenciones.</v>
      </c>
      <c r="CM59" s="3811" t="e">
        <f t="shared" si="16"/>
        <v>#VALUE!</v>
      </c>
      <c r="CN59" s="3811">
        <f t="shared" si="17"/>
        <v>1</v>
      </c>
      <c r="CO59" s="3811">
        <f t="shared" si="18"/>
        <v>1</v>
      </c>
      <c r="CP59" s="3811">
        <f t="shared" si="19"/>
        <v>1</v>
      </c>
      <c r="CQ59" s="3811">
        <f t="shared" si="20"/>
        <v>1</v>
      </c>
      <c r="CR59" s="3811">
        <f t="shared" si="21"/>
        <v>1</v>
      </c>
      <c r="CS59" s="3811">
        <f t="shared" si="22"/>
        <v>1</v>
      </c>
      <c r="DA59" s="3811"/>
      <c r="DB59" s="3811"/>
      <c r="DC59" s="3811"/>
    </row>
    <row r="60" spans="1:107" ht="15.6" customHeight="1" x14ac:dyDescent="0.2">
      <c r="A60" s="7320">
        <v>32101552</v>
      </c>
      <c r="B60" s="3901" t="s">
        <v>271</v>
      </c>
      <c r="C60" s="3902" t="s">
        <v>5369</v>
      </c>
      <c r="D60" s="3830" t="s">
        <v>5370</v>
      </c>
      <c r="E60" s="3903" t="s">
        <v>5371</v>
      </c>
      <c r="F60" s="3903" t="s">
        <v>5372</v>
      </c>
      <c r="G60" s="3903" t="s">
        <v>5373</v>
      </c>
      <c r="H60" s="3903" t="s">
        <v>5374</v>
      </c>
      <c r="I60" s="3903" t="s">
        <v>5375</v>
      </c>
      <c r="J60" s="3903" t="s">
        <v>5376</v>
      </c>
      <c r="K60" s="3903" t="s">
        <v>5377</v>
      </c>
      <c r="L60" s="3903" t="s">
        <v>5378</v>
      </c>
      <c r="M60" s="3903" t="s">
        <v>5379</v>
      </c>
      <c r="N60" s="3903" t="s">
        <v>5380</v>
      </c>
      <c r="O60" s="3903" t="s">
        <v>5381</v>
      </c>
      <c r="P60" s="3903" t="s">
        <v>5382</v>
      </c>
      <c r="Q60" s="3903" t="s">
        <v>5383</v>
      </c>
      <c r="R60" s="3903" t="s">
        <v>5384</v>
      </c>
      <c r="S60" s="3903" t="s">
        <v>5385</v>
      </c>
      <c r="T60" s="3841" t="s">
        <v>5386</v>
      </c>
      <c r="U60" s="3904" t="s">
        <v>5387</v>
      </c>
      <c r="V60" s="3905" t="s">
        <v>5388</v>
      </c>
      <c r="W60" s="3904" t="s">
        <v>5389</v>
      </c>
      <c r="X60" s="3905" t="s">
        <v>5390</v>
      </c>
      <c r="Y60" s="3904" t="s">
        <v>5391</v>
      </c>
      <c r="Z60" s="3905" t="s">
        <v>5392</v>
      </c>
      <c r="AA60" s="3901" t="s">
        <v>5393</v>
      </c>
      <c r="AB60" s="3904" t="s">
        <v>5394</v>
      </c>
      <c r="AC60" s="3906" t="s">
        <v>5395</v>
      </c>
      <c r="AD60" s="3906" t="s">
        <v>5396</v>
      </c>
      <c r="AE60" s="3905" t="s">
        <v>5397</v>
      </c>
      <c r="AF60" s="3901" t="s">
        <v>5398</v>
      </c>
      <c r="AG60" s="3904" t="s">
        <v>5399</v>
      </c>
      <c r="AH60" s="3906" t="s">
        <v>5400</v>
      </c>
      <c r="AI60" s="3906" t="s">
        <v>5401</v>
      </c>
      <c r="AJ60" s="3907" t="s">
        <v>5402</v>
      </c>
      <c r="AK60" s="3908" t="s">
        <v>5403</v>
      </c>
      <c r="AL60" s="3908" t="s">
        <v>5404</v>
      </c>
      <c r="AM60" s="3908" t="s">
        <v>5405</v>
      </c>
      <c r="AN60" s="3908" t="s">
        <v>5406</v>
      </c>
      <c r="AO60" s="3908" t="s">
        <v>5407</v>
      </c>
      <c r="AP60" s="3908" t="s">
        <v>5408</v>
      </c>
      <c r="AQ60" s="3908" t="s">
        <v>5409</v>
      </c>
      <c r="AR60" s="3908" t="s">
        <v>5410</v>
      </c>
      <c r="AS60" s="3810" t="e">
        <f t="shared" si="23"/>
        <v>#VALUE!</v>
      </c>
      <c r="BE60" s="3810"/>
      <c r="BF60" s="3810"/>
      <c r="BG60" s="3810"/>
      <c r="BH60" s="3810"/>
      <c r="BI60" s="3810"/>
      <c r="BJ60" s="3810"/>
      <c r="BK60" s="3810"/>
      <c r="BL60" s="3810"/>
      <c r="BM60" s="3810"/>
      <c r="BN60" s="3810"/>
      <c r="BO60" s="3810"/>
      <c r="CC60" s="3811" t="e">
        <f t="shared" si="9"/>
        <v>#VALUE!</v>
      </c>
      <c r="CD60" s="3811" t="str">
        <f t="shared" si="10"/>
        <v xml:space="preserve">* El total de atenciones remotas de consultas nuevas según origen de menores de 15 años NO DEBE superar el total de atenciones del grupo indicado. </v>
      </c>
      <c r="CE60" s="3811" t="str">
        <f t="shared" si="11"/>
        <v xml:space="preserve">* El total de atenciones remotas de consultas nuevas según origen de pacientes de 15 y más años NO DEBE superar el total de atenciones del grupo indicado. </v>
      </c>
      <c r="CF60" s="3811" t="str">
        <f t="shared" si="12"/>
        <v xml:space="preserve">* El total de altas de consultas nuevas según origen de menores de 15 años NO DEBE superar el total de atenciones del grupo indicado. </v>
      </c>
      <c r="CG60" s="3811" t="str">
        <f t="shared" si="13"/>
        <v xml:space="preserve">* El total de altas de consultas nuevas según origen de pacientes de 15 y más años NO DEBE superar el total de atenciones del grupo indicado. </v>
      </c>
      <c r="CH60" s="3811" t="str">
        <f t="shared" si="14"/>
        <v xml:space="preserve"> *Las Atenciones de Pueblos Originarios no pueden superar el total de Atenciones.</v>
      </c>
      <c r="CI60" s="3811" t="str">
        <f t="shared" si="15"/>
        <v xml:space="preserve"> *Las Atenciones de Migrantes no pueden superar el total de Atenciones.</v>
      </c>
      <c r="CM60" s="3811" t="e">
        <f t="shared" si="16"/>
        <v>#VALUE!</v>
      </c>
      <c r="CN60" s="3811">
        <f t="shared" si="17"/>
        <v>1</v>
      </c>
      <c r="CO60" s="3811">
        <f t="shared" si="18"/>
        <v>1</v>
      </c>
      <c r="CP60" s="3811">
        <f t="shared" si="19"/>
        <v>1</v>
      </c>
      <c r="CQ60" s="3811">
        <f t="shared" si="20"/>
        <v>1</v>
      </c>
      <c r="CR60" s="3811">
        <f t="shared" si="21"/>
        <v>1</v>
      </c>
      <c r="CS60" s="3811">
        <f t="shared" si="22"/>
        <v>1</v>
      </c>
      <c r="DA60" s="3811"/>
      <c r="DB60" s="3811"/>
      <c r="DC60" s="3811"/>
    </row>
    <row r="61" spans="1:107" ht="15.6" customHeight="1" x14ac:dyDescent="0.2">
      <c r="A61" s="7320">
        <v>32101553</v>
      </c>
      <c r="B61" s="3901" t="s">
        <v>272</v>
      </c>
      <c r="C61" s="3902" t="s">
        <v>5369</v>
      </c>
      <c r="D61" s="3911" t="s">
        <v>5370</v>
      </c>
      <c r="E61" s="3909" t="s">
        <v>5371</v>
      </c>
      <c r="F61" s="3909" t="s">
        <v>5372</v>
      </c>
      <c r="G61" s="3909" t="s">
        <v>5373</v>
      </c>
      <c r="H61" s="3909" t="s">
        <v>5374</v>
      </c>
      <c r="I61" s="3909" t="s">
        <v>5375</v>
      </c>
      <c r="J61" s="3909" t="s">
        <v>5376</v>
      </c>
      <c r="K61" s="3909" t="s">
        <v>5377</v>
      </c>
      <c r="L61" s="3909" t="s">
        <v>5378</v>
      </c>
      <c r="M61" s="3909" t="s">
        <v>5379</v>
      </c>
      <c r="N61" s="3909" t="s">
        <v>5380</v>
      </c>
      <c r="O61" s="3909" t="s">
        <v>5381</v>
      </c>
      <c r="P61" s="3903" t="s">
        <v>5382</v>
      </c>
      <c r="Q61" s="3903" t="s">
        <v>5383</v>
      </c>
      <c r="R61" s="3903" t="s">
        <v>5384</v>
      </c>
      <c r="S61" s="3903" t="s">
        <v>5385</v>
      </c>
      <c r="T61" s="3841" t="s">
        <v>5386</v>
      </c>
      <c r="U61" s="3904" t="s">
        <v>5387</v>
      </c>
      <c r="V61" s="3905" t="s">
        <v>5388</v>
      </c>
      <c r="W61" s="3904" t="s">
        <v>5389</v>
      </c>
      <c r="X61" s="3905" t="s">
        <v>5390</v>
      </c>
      <c r="Y61" s="3904" t="s">
        <v>5391</v>
      </c>
      <c r="Z61" s="3905" t="s">
        <v>5392</v>
      </c>
      <c r="AA61" s="3901" t="s">
        <v>5393</v>
      </c>
      <c r="AB61" s="3904" t="s">
        <v>5394</v>
      </c>
      <c r="AC61" s="3906" t="s">
        <v>5395</v>
      </c>
      <c r="AD61" s="3906" t="s">
        <v>5396</v>
      </c>
      <c r="AE61" s="3905" t="s">
        <v>5397</v>
      </c>
      <c r="AF61" s="3901" t="s">
        <v>5398</v>
      </c>
      <c r="AG61" s="3904" t="s">
        <v>5399</v>
      </c>
      <c r="AH61" s="3906" t="s">
        <v>5400</v>
      </c>
      <c r="AI61" s="3906" t="s">
        <v>5401</v>
      </c>
      <c r="AJ61" s="3907" t="s">
        <v>5402</v>
      </c>
      <c r="AK61" s="3908" t="s">
        <v>5403</v>
      </c>
      <c r="AL61" s="3908" t="s">
        <v>5404</v>
      </c>
      <c r="AM61" s="3908" t="s">
        <v>5405</v>
      </c>
      <c r="AN61" s="3908" t="s">
        <v>5406</v>
      </c>
      <c r="AO61" s="3908" t="s">
        <v>5407</v>
      </c>
      <c r="AP61" s="3908" t="s">
        <v>5408</v>
      </c>
      <c r="AQ61" s="3908" t="s">
        <v>5409</v>
      </c>
      <c r="AR61" s="3908" t="s">
        <v>5410</v>
      </c>
      <c r="AS61" s="3810" t="e">
        <f t="shared" si="23"/>
        <v>#VALUE!</v>
      </c>
      <c r="BE61" s="3810"/>
      <c r="BF61" s="3810"/>
      <c r="BG61" s="3810"/>
      <c r="BH61" s="3810"/>
      <c r="BI61" s="3810"/>
      <c r="BJ61" s="3810"/>
      <c r="BK61" s="3810"/>
      <c r="BL61" s="3810"/>
      <c r="BM61" s="3810"/>
      <c r="BN61" s="3810"/>
      <c r="BO61" s="3810"/>
      <c r="CC61" s="3811" t="e">
        <f t="shared" si="9"/>
        <v>#VALUE!</v>
      </c>
      <c r="CD61" s="3811" t="str">
        <f t="shared" si="10"/>
        <v xml:space="preserve">* El total de atenciones remotas de consultas nuevas según origen de menores de 15 años NO DEBE superar el total de atenciones del grupo indicado. </v>
      </c>
      <c r="CE61" s="3811" t="str">
        <f t="shared" si="11"/>
        <v xml:space="preserve">* El total de atenciones remotas de consultas nuevas según origen de pacientes de 15 y más años NO DEBE superar el total de atenciones del grupo indicado. </v>
      </c>
      <c r="CF61" s="3811" t="str">
        <f t="shared" si="12"/>
        <v xml:space="preserve">* El total de altas de consultas nuevas según origen de menores de 15 años NO DEBE superar el total de atenciones del grupo indicado. </v>
      </c>
      <c r="CG61" s="3811" t="str">
        <f t="shared" si="13"/>
        <v xml:space="preserve">* El total de altas de consultas nuevas según origen de pacientes de 15 y más años NO DEBE superar el total de atenciones del grupo indicado. </v>
      </c>
      <c r="CH61" s="3811" t="str">
        <f t="shared" si="14"/>
        <v xml:space="preserve"> *Las Atenciones de Pueblos Originarios no pueden superar el total de Atenciones.</v>
      </c>
      <c r="CI61" s="3811" t="str">
        <f t="shared" si="15"/>
        <v xml:space="preserve"> *Las Atenciones de Migrantes no pueden superar el total de Atenciones.</v>
      </c>
      <c r="CM61" s="3811" t="e">
        <f t="shared" si="16"/>
        <v>#VALUE!</v>
      </c>
      <c r="CN61" s="3811">
        <f t="shared" si="17"/>
        <v>1</v>
      </c>
      <c r="CO61" s="3811">
        <f t="shared" si="18"/>
        <v>1</v>
      </c>
      <c r="CP61" s="3811">
        <f>IF(Y61&gt;SUM($D61:$T61),1,0)</f>
        <v>1</v>
      </c>
      <c r="CQ61" s="3811">
        <f t="shared" si="20"/>
        <v>1</v>
      </c>
      <c r="CR61" s="3811">
        <f t="shared" si="21"/>
        <v>1</v>
      </c>
      <c r="CS61" s="3811">
        <f t="shared" si="22"/>
        <v>1</v>
      </c>
      <c r="DA61" s="3811"/>
      <c r="DB61" s="3811"/>
      <c r="DC61" s="3811"/>
    </row>
    <row r="62" spans="1:107" ht="15.6" customHeight="1" x14ac:dyDescent="0.2">
      <c r="A62" s="7320">
        <v>32101554</v>
      </c>
      <c r="B62" s="3901" t="s">
        <v>273</v>
      </c>
      <c r="C62" s="3902" t="s">
        <v>5369</v>
      </c>
      <c r="D62" s="3830" t="s">
        <v>5370</v>
      </c>
      <c r="E62" s="3903" t="s">
        <v>5371</v>
      </c>
      <c r="F62" s="3903" t="s">
        <v>5372</v>
      </c>
      <c r="G62" s="3912" t="s">
        <v>5373</v>
      </c>
      <c r="H62" s="3912" t="s">
        <v>5374</v>
      </c>
      <c r="I62" s="3912" t="s">
        <v>5375</v>
      </c>
      <c r="J62" s="3912" t="s">
        <v>5376</v>
      </c>
      <c r="K62" s="3912" t="s">
        <v>5377</v>
      </c>
      <c r="L62" s="3912" t="s">
        <v>5378</v>
      </c>
      <c r="M62" s="3903" t="s">
        <v>5379</v>
      </c>
      <c r="N62" s="3903" t="s">
        <v>5380</v>
      </c>
      <c r="O62" s="3903" t="s">
        <v>5381</v>
      </c>
      <c r="P62" s="3903" t="s">
        <v>5382</v>
      </c>
      <c r="Q62" s="3903" t="s">
        <v>5383</v>
      </c>
      <c r="R62" s="3903" t="s">
        <v>5384</v>
      </c>
      <c r="S62" s="3903" t="s">
        <v>5385</v>
      </c>
      <c r="T62" s="3841" t="s">
        <v>5386</v>
      </c>
      <c r="U62" s="3904" t="s">
        <v>5387</v>
      </c>
      <c r="V62" s="3905" t="s">
        <v>5388</v>
      </c>
      <c r="W62" s="3904" t="s">
        <v>5389</v>
      </c>
      <c r="X62" s="3905" t="s">
        <v>5390</v>
      </c>
      <c r="Y62" s="3904" t="s">
        <v>5391</v>
      </c>
      <c r="Z62" s="3905" t="s">
        <v>5392</v>
      </c>
      <c r="AA62" s="3901" t="s">
        <v>5393</v>
      </c>
      <c r="AB62" s="3904" t="s">
        <v>5394</v>
      </c>
      <c r="AC62" s="3906" t="s">
        <v>5395</v>
      </c>
      <c r="AD62" s="3906" t="s">
        <v>5396</v>
      </c>
      <c r="AE62" s="3905" t="s">
        <v>5397</v>
      </c>
      <c r="AF62" s="3901" t="s">
        <v>5398</v>
      </c>
      <c r="AG62" s="3904" t="s">
        <v>5399</v>
      </c>
      <c r="AH62" s="3906" t="s">
        <v>5400</v>
      </c>
      <c r="AI62" s="3906" t="s">
        <v>5401</v>
      </c>
      <c r="AJ62" s="3907" t="s">
        <v>5402</v>
      </c>
      <c r="AK62" s="3908" t="s">
        <v>5403</v>
      </c>
      <c r="AL62" s="3908" t="s">
        <v>5404</v>
      </c>
      <c r="AM62" s="3908" t="s">
        <v>5405</v>
      </c>
      <c r="AN62" s="3908" t="s">
        <v>5406</v>
      </c>
      <c r="AO62" s="3908" t="s">
        <v>5407</v>
      </c>
      <c r="AP62" s="3908" t="s">
        <v>5408</v>
      </c>
      <c r="AQ62" s="3908" t="s">
        <v>5409</v>
      </c>
      <c r="AR62" s="3908" t="s">
        <v>5410</v>
      </c>
      <c r="AS62" s="3810" t="e">
        <f t="shared" si="23"/>
        <v>#VALUE!</v>
      </c>
      <c r="BE62" s="3810"/>
      <c r="BF62" s="3810"/>
      <c r="BG62" s="3810"/>
      <c r="BH62" s="3810"/>
      <c r="BI62" s="3810"/>
      <c r="BJ62" s="3810"/>
      <c r="BK62" s="3810"/>
      <c r="BL62" s="3810"/>
      <c r="BM62" s="3810"/>
      <c r="BN62" s="3810"/>
      <c r="BO62" s="3810"/>
      <c r="CC62" s="3811" t="e">
        <f t="shared" si="9"/>
        <v>#VALUE!</v>
      </c>
      <c r="CD62" s="3811" t="str">
        <f t="shared" si="10"/>
        <v xml:space="preserve">* El total de atenciones remotas de consultas nuevas según origen de menores de 15 años NO DEBE superar el total de atenciones del grupo indicado. </v>
      </c>
      <c r="CE62" s="3811" t="str">
        <f t="shared" si="11"/>
        <v xml:space="preserve">* El total de atenciones remotas de consultas nuevas según origen de pacientes de 15 y más años NO DEBE superar el total de atenciones del grupo indicado. </v>
      </c>
      <c r="CF62" s="3811" t="str">
        <f t="shared" si="12"/>
        <v xml:space="preserve">* El total de altas de consultas nuevas según origen de menores de 15 años NO DEBE superar el total de atenciones del grupo indicado. </v>
      </c>
      <c r="CG62" s="3811" t="str">
        <f t="shared" si="13"/>
        <v xml:space="preserve">* El total de altas de consultas nuevas según origen de pacientes de 15 y más años NO DEBE superar el total de atenciones del grupo indicado. </v>
      </c>
      <c r="CH62" s="3811" t="str">
        <f t="shared" si="14"/>
        <v xml:space="preserve"> *Las Atenciones de Pueblos Originarios no pueden superar el total de Atenciones.</v>
      </c>
      <c r="CI62" s="3811" t="str">
        <f t="shared" si="15"/>
        <v xml:space="preserve"> *Las Atenciones de Migrantes no pueden superar el total de Atenciones.</v>
      </c>
      <c r="CM62" s="3811" t="e">
        <f t="shared" si="16"/>
        <v>#VALUE!</v>
      </c>
      <c r="CN62" s="3811">
        <f t="shared" si="17"/>
        <v>1</v>
      </c>
      <c r="CO62" s="3811">
        <f t="shared" si="18"/>
        <v>1</v>
      </c>
      <c r="CP62" s="3811">
        <f t="shared" si="19"/>
        <v>1</v>
      </c>
      <c r="CQ62" s="3811">
        <f t="shared" si="20"/>
        <v>1</v>
      </c>
      <c r="CR62" s="3811">
        <f t="shared" si="21"/>
        <v>1</v>
      </c>
      <c r="CS62" s="3811">
        <f t="shared" si="22"/>
        <v>1</v>
      </c>
      <c r="DA62" s="3811"/>
      <c r="DB62" s="3811"/>
      <c r="DC62" s="3811"/>
    </row>
    <row r="63" spans="1:107" ht="15.6" customHeight="1" x14ac:dyDescent="0.2">
      <c r="A63" s="7320">
        <v>32101555</v>
      </c>
      <c r="B63" s="3901" t="s">
        <v>274</v>
      </c>
      <c r="C63" s="3902" t="s">
        <v>5369</v>
      </c>
      <c r="D63" s="3913" t="s">
        <v>5370</v>
      </c>
      <c r="E63" s="3912" t="s">
        <v>5371</v>
      </c>
      <c r="F63" s="3912" t="s">
        <v>5372</v>
      </c>
      <c r="G63" s="3912" t="s">
        <v>5373</v>
      </c>
      <c r="H63" s="3903" t="s">
        <v>5374</v>
      </c>
      <c r="I63" s="3903" t="s">
        <v>5375</v>
      </c>
      <c r="J63" s="3903" t="s">
        <v>5376</v>
      </c>
      <c r="K63" s="3903" t="s">
        <v>5377</v>
      </c>
      <c r="L63" s="3903" t="s">
        <v>5378</v>
      </c>
      <c r="M63" s="3903" t="s">
        <v>5379</v>
      </c>
      <c r="N63" s="3903" t="s">
        <v>5380</v>
      </c>
      <c r="O63" s="3903" t="s">
        <v>5381</v>
      </c>
      <c r="P63" s="3903" t="s">
        <v>5382</v>
      </c>
      <c r="Q63" s="3903" t="s">
        <v>5383</v>
      </c>
      <c r="R63" s="3903" t="s">
        <v>5384</v>
      </c>
      <c r="S63" s="3903" t="s">
        <v>5385</v>
      </c>
      <c r="T63" s="3841" t="s">
        <v>5386</v>
      </c>
      <c r="U63" s="3904" t="s">
        <v>5387</v>
      </c>
      <c r="V63" s="3905" t="s">
        <v>5388</v>
      </c>
      <c r="W63" s="3904" t="s">
        <v>5389</v>
      </c>
      <c r="X63" s="3905" t="s">
        <v>5390</v>
      </c>
      <c r="Y63" s="3904" t="s">
        <v>5391</v>
      </c>
      <c r="Z63" s="3905" t="s">
        <v>5392</v>
      </c>
      <c r="AA63" s="3901" t="s">
        <v>5393</v>
      </c>
      <c r="AB63" s="3904" t="s">
        <v>5394</v>
      </c>
      <c r="AC63" s="3906" t="s">
        <v>5395</v>
      </c>
      <c r="AD63" s="3906" t="s">
        <v>5396</v>
      </c>
      <c r="AE63" s="3905" t="s">
        <v>5397</v>
      </c>
      <c r="AF63" s="3901" t="s">
        <v>5398</v>
      </c>
      <c r="AG63" s="3904" t="s">
        <v>5399</v>
      </c>
      <c r="AH63" s="3906" t="s">
        <v>5400</v>
      </c>
      <c r="AI63" s="3906" t="s">
        <v>5401</v>
      </c>
      <c r="AJ63" s="3907" t="s">
        <v>5402</v>
      </c>
      <c r="AK63" s="3908" t="s">
        <v>5403</v>
      </c>
      <c r="AL63" s="3908" t="s">
        <v>5404</v>
      </c>
      <c r="AM63" s="3908" t="s">
        <v>5405</v>
      </c>
      <c r="AN63" s="3908" t="s">
        <v>5406</v>
      </c>
      <c r="AO63" s="3908" t="s">
        <v>5407</v>
      </c>
      <c r="AP63" s="3908" t="s">
        <v>5408</v>
      </c>
      <c r="AQ63" s="3908" t="s">
        <v>5409</v>
      </c>
      <c r="AR63" s="3908" t="s">
        <v>5410</v>
      </c>
      <c r="AS63" s="3810" t="e">
        <f t="shared" si="23"/>
        <v>#VALUE!</v>
      </c>
      <c r="BE63" s="3810"/>
      <c r="BF63" s="3810"/>
      <c r="BG63" s="3810"/>
      <c r="BH63" s="3810"/>
      <c r="BI63" s="3810"/>
      <c r="BJ63" s="3810"/>
      <c r="BK63" s="3810"/>
      <c r="BL63" s="3810"/>
      <c r="BM63" s="3810"/>
      <c r="BN63" s="3810"/>
      <c r="BO63" s="3810"/>
      <c r="CC63" s="3811" t="e">
        <f t="shared" si="9"/>
        <v>#VALUE!</v>
      </c>
      <c r="CD63" s="3811" t="str">
        <f t="shared" si="10"/>
        <v xml:space="preserve">* El total de atenciones remotas de consultas nuevas según origen de menores de 15 años NO DEBE superar el total de atenciones del grupo indicado. </v>
      </c>
      <c r="CE63" s="3811" t="str">
        <f t="shared" si="11"/>
        <v xml:space="preserve">* El total de atenciones remotas de consultas nuevas según origen de pacientes de 15 y más años NO DEBE superar el total de atenciones del grupo indicado. </v>
      </c>
      <c r="CF63" s="3811" t="str">
        <f t="shared" si="12"/>
        <v xml:space="preserve">* El total de altas de consultas nuevas según origen de menores de 15 años NO DEBE superar el total de atenciones del grupo indicado. </v>
      </c>
      <c r="CG63" s="3811" t="str">
        <f t="shared" si="13"/>
        <v xml:space="preserve">* El total de altas de consultas nuevas según origen de pacientes de 15 y más años NO DEBE superar el total de atenciones del grupo indicado. </v>
      </c>
      <c r="CH63" s="3811" t="str">
        <f t="shared" si="14"/>
        <v xml:space="preserve"> *Las Atenciones de Pueblos Originarios no pueden superar el total de Atenciones.</v>
      </c>
      <c r="CI63" s="3811" t="str">
        <f t="shared" si="15"/>
        <v xml:space="preserve"> *Las Atenciones de Migrantes no pueden superar el total de Atenciones.</v>
      </c>
      <c r="CM63" s="3811" t="e">
        <f t="shared" si="16"/>
        <v>#VALUE!</v>
      </c>
      <c r="CN63" s="3811">
        <f t="shared" si="17"/>
        <v>1</v>
      </c>
      <c r="CO63" s="3811">
        <f t="shared" si="18"/>
        <v>1</v>
      </c>
      <c r="CP63" s="3811">
        <f t="shared" si="19"/>
        <v>1</v>
      </c>
      <c r="CQ63" s="3811">
        <f t="shared" si="20"/>
        <v>1</v>
      </c>
      <c r="CR63" s="3811">
        <f t="shared" si="21"/>
        <v>1</v>
      </c>
      <c r="CS63" s="3811">
        <f t="shared" si="22"/>
        <v>1</v>
      </c>
      <c r="DA63" s="3811"/>
      <c r="DB63" s="3811"/>
      <c r="DC63" s="3811"/>
    </row>
    <row r="64" spans="1:107" ht="15.6" customHeight="1" x14ac:dyDescent="0.2">
      <c r="A64" s="7320">
        <v>32101556</v>
      </c>
      <c r="B64" s="3901" t="s">
        <v>275</v>
      </c>
      <c r="C64" s="3902" t="s">
        <v>5369</v>
      </c>
      <c r="D64" s="3913" t="s">
        <v>5370</v>
      </c>
      <c r="E64" s="3912" t="s">
        <v>5371</v>
      </c>
      <c r="F64" s="3912" t="s">
        <v>5372</v>
      </c>
      <c r="G64" s="3912" t="s">
        <v>5373</v>
      </c>
      <c r="H64" s="3912" t="s">
        <v>5374</v>
      </c>
      <c r="I64" s="3912" t="s">
        <v>5375</v>
      </c>
      <c r="J64" s="3912" t="s">
        <v>5376</v>
      </c>
      <c r="K64" s="3912" t="s">
        <v>5377</v>
      </c>
      <c r="L64" s="3912" t="s">
        <v>5378</v>
      </c>
      <c r="M64" s="3903" t="s">
        <v>5379</v>
      </c>
      <c r="N64" s="3903" t="s">
        <v>5380</v>
      </c>
      <c r="O64" s="3903" t="s">
        <v>5381</v>
      </c>
      <c r="P64" s="3903" t="s">
        <v>5382</v>
      </c>
      <c r="Q64" s="3903" t="s">
        <v>5383</v>
      </c>
      <c r="R64" s="3903" t="s">
        <v>5384</v>
      </c>
      <c r="S64" s="3903" t="s">
        <v>5385</v>
      </c>
      <c r="T64" s="3841" t="s">
        <v>5386</v>
      </c>
      <c r="U64" s="3904" t="s">
        <v>5387</v>
      </c>
      <c r="V64" s="3905" t="s">
        <v>5388</v>
      </c>
      <c r="W64" s="3904" t="s">
        <v>5389</v>
      </c>
      <c r="X64" s="3905" t="s">
        <v>5390</v>
      </c>
      <c r="Y64" s="3904" t="s">
        <v>5391</v>
      </c>
      <c r="Z64" s="3905" t="s">
        <v>5392</v>
      </c>
      <c r="AA64" s="3901" t="s">
        <v>5393</v>
      </c>
      <c r="AB64" s="3904" t="s">
        <v>5394</v>
      </c>
      <c r="AC64" s="3906" t="s">
        <v>5395</v>
      </c>
      <c r="AD64" s="3906" t="s">
        <v>5396</v>
      </c>
      <c r="AE64" s="3905" t="s">
        <v>5397</v>
      </c>
      <c r="AF64" s="3901" t="s">
        <v>5398</v>
      </c>
      <c r="AG64" s="3904" t="s">
        <v>5399</v>
      </c>
      <c r="AH64" s="3906" t="s">
        <v>5400</v>
      </c>
      <c r="AI64" s="3906" t="s">
        <v>5401</v>
      </c>
      <c r="AJ64" s="3907" t="s">
        <v>5402</v>
      </c>
      <c r="AK64" s="3908" t="s">
        <v>5403</v>
      </c>
      <c r="AL64" s="3908" t="s">
        <v>5404</v>
      </c>
      <c r="AM64" s="3908" t="s">
        <v>5405</v>
      </c>
      <c r="AN64" s="3908" t="s">
        <v>5406</v>
      </c>
      <c r="AO64" s="3908" t="s">
        <v>5407</v>
      </c>
      <c r="AP64" s="3908" t="s">
        <v>5408</v>
      </c>
      <c r="AQ64" s="3908" t="s">
        <v>5409</v>
      </c>
      <c r="AR64" s="3908" t="s">
        <v>5410</v>
      </c>
      <c r="AS64" s="3810" t="e">
        <f t="shared" si="23"/>
        <v>#VALUE!</v>
      </c>
      <c r="BE64" s="3810"/>
      <c r="BF64" s="3810"/>
      <c r="BG64" s="3810"/>
      <c r="BH64" s="3810"/>
      <c r="BI64" s="3810"/>
      <c r="BJ64" s="3810"/>
      <c r="BK64" s="3810"/>
      <c r="BL64" s="3810"/>
      <c r="BM64" s="3810"/>
      <c r="BN64" s="3810"/>
      <c r="BO64" s="3810"/>
      <c r="CC64" s="3811" t="e">
        <f t="shared" si="9"/>
        <v>#VALUE!</v>
      </c>
      <c r="CD64" s="3811" t="str">
        <f t="shared" si="10"/>
        <v xml:space="preserve">* El total de atenciones remotas de consultas nuevas según origen de menores de 15 años NO DEBE superar el total de atenciones del grupo indicado. </v>
      </c>
      <c r="CE64" s="3811" t="str">
        <f t="shared" si="11"/>
        <v xml:space="preserve">* El total de atenciones remotas de consultas nuevas según origen de pacientes de 15 y más años NO DEBE superar el total de atenciones del grupo indicado. </v>
      </c>
      <c r="CF64" s="3811" t="str">
        <f t="shared" si="12"/>
        <v xml:space="preserve">* El total de altas de consultas nuevas según origen de menores de 15 años NO DEBE superar el total de atenciones del grupo indicado. </v>
      </c>
      <c r="CG64" s="3811" t="str">
        <f t="shared" si="13"/>
        <v xml:space="preserve">* El total de altas de consultas nuevas según origen de pacientes de 15 y más años NO DEBE superar el total de atenciones del grupo indicado. </v>
      </c>
      <c r="CH64" s="3811" t="str">
        <f t="shared" si="14"/>
        <v xml:space="preserve"> *Las Atenciones de Pueblos Originarios no pueden superar el total de Atenciones.</v>
      </c>
      <c r="CI64" s="3811" t="str">
        <f t="shared" si="15"/>
        <v xml:space="preserve"> *Las Atenciones de Migrantes no pueden superar el total de Atenciones.</v>
      </c>
      <c r="CM64" s="3811" t="e">
        <f t="shared" si="16"/>
        <v>#VALUE!</v>
      </c>
      <c r="CN64" s="3811">
        <f t="shared" si="17"/>
        <v>1</v>
      </c>
      <c r="CO64" s="3811">
        <f t="shared" si="18"/>
        <v>1</v>
      </c>
      <c r="CP64" s="3811">
        <f t="shared" si="19"/>
        <v>1</v>
      </c>
      <c r="CQ64" s="3811">
        <f t="shared" si="20"/>
        <v>1</v>
      </c>
      <c r="CR64" s="3811">
        <f t="shared" si="21"/>
        <v>1</v>
      </c>
      <c r="CS64" s="3811">
        <f t="shared" si="22"/>
        <v>1</v>
      </c>
      <c r="DA64" s="3811"/>
      <c r="DB64" s="3811"/>
      <c r="DC64" s="3811"/>
    </row>
    <row r="65" spans="1:107" ht="15.6" customHeight="1" x14ac:dyDescent="0.2">
      <c r="A65" s="7320">
        <v>32101557</v>
      </c>
      <c r="B65" s="3901" t="s">
        <v>460</v>
      </c>
      <c r="C65" s="3902" t="s">
        <v>5369</v>
      </c>
      <c r="D65" s="3913" t="s">
        <v>5370</v>
      </c>
      <c r="E65" s="3912" t="s">
        <v>5371</v>
      </c>
      <c r="F65" s="3912" t="s">
        <v>5372</v>
      </c>
      <c r="G65" s="3903" t="s">
        <v>5373</v>
      </c>
      <c r="H65" s="3903" t="s">
        <v>5374</v>
      </c>
      <c r="I65" s="3903" t="s">
        <v>5375</v>
      </c>
      <c r="J65" s="3903" t="s">
        <v>5376</v>
      </c>
      <c r="K65" s="3903" t="s">
        <v>5377</v>
      </c>
      <c r="L65" s="3903" t="s">
        <v>5378</v>
      </c>
      <c r="M65" s="3903" t="s">
        <v>5379</v>
      </c>
      <c r="N65" s="3903" t="s">
        <v>5380</v>
      </c>
      <c r="O65" s="3903" t="s">
        <v>5381</v>
      </c>
      <c r="P65" s="3903" t="s">
        <v>5382</v>
      </c>
      <c r="Q65" s="3903" t="s">
        <v>5383</v>
      </c>
      <c r="R65" s="3903" t="s">
        <v>5384</v>
      </c>
      <c r="S65" s="3903" t="s">
        <v>5385</v>
      </c>
      <c r="T65" s="3841" t="s">
        <v>5386</v>
      </c>
      <c r="U65" s="3904" t="s">
        <v>5387</v>
      </c>
      <c r="V65" s="3905" t="s">
        <v>5388</v>
      </c>
      <c r="W65" s="3904" t="s">
        <v>5389</v>
      </c>
      <c r="X65" s="3905" t="s">
        <v>5390</v>
      </c>
      <c r="Y65" s="3904" t="s">
        <v>5391</v>
      </c>
      <c r="Z65" s="3905" t="s">
        <v>5392</v>
      </c>
      <c r="AA65" s="3901" t="s">
        <v>5393</v>
      </c>
      <c r="AB65" s="3904" t="s">
        <v>5394</v>
      </c>
      <c r="AC65" s="3906" t="s">
        <v>5395</v>
      </c>
      <c r="AD65" s="3906" t="s">
        <v>5396</v>
      </c>
      <c r="AE65" s="3905" t="s">
        <v>5397</v>
      </c>
      <c r="AF65" s="3901" t="s">
        <v>5398</v>
      </c>
      <c r="AG65" s="3904" t="s">
        <v>5399</v>
      </c>
      <c r="AH65" s="3906" t="s">
        <v>5400</v>
      </c>
      <c r="AI65" s="3906" t="s">
        <v>5401</v>
      </c>
      <c r="AJ65" s="3907" t="s">
        <v>5402</v>
      </c>
      <c r="AK65" s="3908" t="s">
        <v>5403</v>
      </c>
      <c r="AL65" s="3908" t="s">
        <v>5404</v>
      </c>
      <c r="AM65" s="3908" t="s">
        <v>5405</v>
      </c>
      <c r="AN65" s="3908" t="s">
        <v>5406</v>
      </c>
      <c r="AO65" s="3908" t="s">
        <v>5407</v>
      </c>
      <c r="AP65" s="3908" t="s">
        <v>5408</v>
      </c>
      <c r="AQ65" s="3908" t="s">
        <v>5409</v>
      </c>
      <c r="AR65" s="3908" t="s">
        <v>5410</v>
      </c>
      <c r="AS65" s="3810" t="e">
        <f t="shared" si="23"/>
        <v>#VALUE!</v>
      </c>
      <c r="BE65" s="3810"/>
      <c r="BF65" s="3810"/>
      <c r="BG65" s="3810"/>
      <c r="BH65" s="3810"/>
      <c r="BI65" s="3810"/>
      <c r="BJ65" s="3810"/>
      <c r="BK65" s="3810"/>
      <c r="BL65" s="3810"/>
      <c r="BM65" s="3810"/>
      <c r="BN65" s="3810"/>
      <c r="BO65" s="3810"/>
      <c r="CC65" s="3811" t="e">
        <f t="shared" si="9"/>
        <v>#VALUE!</v>
      </c>
      <c r="CD65" s="3811" t="str">
        <f t="shared" si="10"/>
        <v xml:space="preserve">* El total de atenciones remotas de consultas nuevas según origen de menores de 15 años NO DEBE superar el total de atenciones del grupo indicado. </v>
      </c>
      <c r="CE65" s="3811" t="str">
        <f t="shared" si="11"/>
        <v xml:space="preserve">* El total de atenciones remotas de consultas nuevas según origen de pacientes de 15 y más años NO DEBE superar el total de atenciones del grupo indicado. </v>
      </c>
      <c r="CF65" s="3811" t="str">
        <f t="shared" si="12"/>
        <v xml:space="preserve">* El total de altas de consultas nuevas según origen de menores de 15 años NO DEBE superar el total de atenciones del grupo indicado. </v>
      </c>
      <c r="CG65" s="3811" t="str">
        <f t="shared" si="13"/>
        <v xml:space="preserve">* El total de altas de consultas nuevas según origen de pacientes de 15 y más años NO DEBE superar el total de atenciones del grupo indicado. </v>
      </c>
      <c r="CH65" s="3811" t="str">
        <f t="shared" si="14"/>
        <v xml:space="preserve"> *Las Atenciones de Pueblos Originarios no pueden superar el total de Atenciones.</v>
      </c>
      <c r="CI65" s="3811" t="str">
        <f t="shared" si="15"/>
        <v xml:space="preserve"> *Las Atenciones de Migrantes no pueden superar el total de Atenciones.</v>
      </c>
      <c r="CM65" s="3811" t="e">
        <f t="shared" si="16"/>
        <v>#VALUE!</v>
      </c>
      <c r="CN65" s="3811">
        <f t="shared" si="17"/>
        <v>1</v>
      </c>
      <c r="CO65" s="3811">
        <f t="shared" si="18"/>
        <v>1</v>
      </c>
      <c r="CP65" s="3811">
        <f t="shared" si="19"/>
        <v>1</v>
      </c>
      <c r="CQ65" s="3811">
        <f t="shared" si="20"/>
        <v>1</v>
      </c>
      <c r="CR65" s="3811">
        <f t="shared" si="21"/>
        <v>1</v>
      </c>
      <c r="CS65" s="3811">
        <f t="shared" si="22"/>
        <v>1</v>
      </c>
      <c r="DA65" s="3811"/>
      <c r="DB65" s="3811"/>
      <c r="DC65" s="3811"/>
    </row>
    <row r="66" spans="1:107" ht="15.6" customHeight="1" x14ac:dyDescent="0.2">
      <c r="A66" s="7320">
        <v>32101558</v>
      </c>
      <c r="B66" s="3901" t="s">
        <v>276</v>
      </c>
      <c r="C66" s="3902" t="s">
        <v>5369</v>
      </c>
      <c r="D66" s="3913" t="s">
        <v>5370</v>
      </c>
      <c r="E66" s="3912" t="s">
        <v>5371</v>
      </c>
      <c r="F66" s="3912" t="s">
        <v>5372</v>
      </c>
      <c r="G66" s="3903" t="s">
        <v>5373</v>
      </c>
      <c r="H66" s="3903" t="s">
        <v>5374</v>
      </c>
      <c r="I66" s="3903" t="s">
        <v>5375</v>
      </c>
      <c r="J66" s="3903" t="s">
        <v>5376</v>
      </c>
      <c r="K66" s="3903" t="s">
        <v>5377</v>
      </c>
      <c r="L66" s="3903" t="s">
        <v>5378</v>
      </c>
      <c r="M66" s="3903" t="s">
        <v>5379</v>
      </c>
      <c r="N66" s="3903" t="s">
        <v>5380</v>
      </c>
      <c r="O66" s="3903" t="s">
        <v>5381</v>
      </c>
      <c r="P66" s="3903" t="s">
        <v>5382</v>
      </c>
      <c r="Q66" s="3903" t="s">
        <v>5383</v>
      </c>
      <c r="R66" s="3903" t="s">
        <v>5384</v>
      </c>
      <c r="S66" s="3903" t="s">
        <v>5385</v>
      </c>
      <c r="T66" s="3841" t="s">
        <v>5386</v>
      </c>
      <c r="U66" s="3904" t="s">
        <v>5387</v>
      </c>
      <c r="V66" s="3905" t="s">
        <v>5388</v>
      </c>
      <c r="W66" s="3904" t="s">
        <v>5389</v>
      </c>
      <c r="X66" s="3905" t="s">
        <v>5390</v>
      </c>
      <c r="Y66" s="3904" t="s">
        <v>5391</v>
      </c>
      <c r="Z66" s="3905" t="s">
        <v>5392</v>
      </c>
      <c r="AA66" s="3901" t="s">
        <v>5393</v>
      </c>
      <c r="AB66" s="3904" t="s">
        <v>5394</v>
      </c>
      <c r="AC66" s="3906" t="s">
        <v>5395</v>
      </c>
      <c r="AD66" s="3906" t="s">
        <v>5396</v>
      </c>
      <c r="AE66" s="3905" t="s">
        <v>5397</v>
      </c>
      <c r="AF66" s="3901" t="s">
        <v>5398</v>
      </c>
      <c r="AG66" s="3904" t="s">
        <v>5399</v>
      </c>
      <c r="AH66" s="3906" t="s">
        <v>5400</v>
      </c>
      <c r="AI66" s="3906" t="s">
        <v>5401</v>
      </c>
      <c r="AJ66" s="3907" t="s">
        <v>5402</v>
      </c>
      <c r="AK66" s="3908" t="s">
        <v>5403</v>
      </c>
      <c r="AL66" s="3908" t="s">
        <v>5404</v>
      </c>
      <c r="AM66" s="3908" t="s">
        <v>5405</v>
      </c>
      <c r="AN66" s="3908" t="s">
        <v>5406</v>
      </c>
      <c r="AO66" s="3908" t="s">
        <v>5407</v>
      </c>
      <c r="AP66" s="3908" t="s">
        <v>5408</v>
      </c>
      <c r="AQ66" s="3908" t="s">
        <v>5409</v>
      </c>
      <c r="AR66" s="3908" t="s">
        <v>5410</v>
      </c>
      <c r="AS66" s="3810" t="e">
        <f t="shared" si="23"/>
        <v>#VALUE!</v>
      </c>
      <c r="BE66" s="3810"/>
      <c r="BF66" s="3810"/>
      <c r="BG66" s="3810"/>
      <c r="BH66" s="3810"/>
      <c r="BI66" s="3810"/>
      <c r="BJ66" s="3810"/>
      <c r="BK66" s="3810"/>
      <c r="BL66" s="3810"/>
      <c r="BM66" s="3810"/>
      <c r="BN66" s="3810"/>
      <c r="BO66" s="3810"/>
      <c r="CC66" s="3811" t="e">
        <f t="shared" si="9"/>
        <v>#VALUE!</v>
      </c>
      <c r="CD66" s="3811" t="str">
        <f t="shared" si="10"/>
        <v xml:space="preserve">* El total de atenciones remotas de consultas nuevas según origen de menores de 15 años NO DEBE superar el total de atenciones del grupo indicado. </v>
      </c>
      <c r="CE66" s="3811" t="str">
        <f t="shared" si="11"/>
        <v xml:space="preserve">* El total de atenciones remotas de consultas nuevas según origen de pacientes de 15 y más años NO DEBE superar el total de atenciones del grupo indicado. </v>
      </c>
      <c r="CF66" s="3811" t="str">
        <f t="shared" si="12"/>
        <v xml:space="preserve">* El total de altas de consultas nuevas según origen de menores de 15 años NO DEBE superar el total de atenciones del grupo indicado. </v>
      </c>
      <c r="CG66" s="3811" t="str">
        <f t="shared" si="13"/>
        <v xml:space="preserve">* El total de altas de consultas nuevas según origen de pacientes de 15 y más años NO DEBE superar el total de atenciones del grupo indicado. </v>
      </c>
      <c r="CH66" s="3811" t="str">
        <f t="shared" si="14"/>
        <v xml:space="preserve"> *Las Atenciones de Pueblos Originarios no pueden superar el total de Atenciones.</v>
      </c>
      <c r="CI66" s="3811" t="str">
        <f t="shared" si="15"/>
        <v xml:space="preserve"> *Las Atenciones de Migrantes no pueden superar el total de Atenciones.</v>
      </c>
      <c r="CM66" s="3811" t="e">
        <f t="shared" si="16"/>
        <v>#VALUE!</v>
      </c>
      <c r="CN66" s="3811">
        <f t="shared" si="17"/>
        <v>1</v>
      </c>
      <c r="CO66" s="3811">
        <f t="shared" si="18"/>
        <v>1</v>
      </c>
      <c r="CP66" s="3811">
        <f t="shared" si="19"/>
        <v>1</v>
      </c>
      <c r="CQ66" s="3811">
        <f t="shared" si="20"/>
        <v>1</v>
      </c>
      <c r="CR66" s="3811">
        <f t="shared" si="21"/>
        <v>1</v>
      </c>
      <c r="CS66" s="3811">
        <f t="shared" si="22"/>
        <v>1</v>
      </c>
      <c r="DA66" s="3811"/>
      <c r="DB66" s="3811"/>
      <c r="DC66" s="3811"/>
    </row>
    <row r="67" spans="1:107" ht="15.6" customHeight="1" x14ac:dyDescent="0.2">
      <c r="A67" s="7320">
        <v>32101559</v>
      </c>
      <c r="B67" s="3901" t="s">
        <v>277</v>
      </c>
      <c r="C67" s="3902" t="s">
        <v>5369</v>
      </c>
      <c r="D67" s="3913" t="s">
        <v>5370</v>
      </c>
      <c r="E67" s="3912" t="s">
        <v>5371</v>
      </c>
      <c r="F67" s="3912" t="s">
        <v>5372</v>
      </c>
      <c r="G67" s="3903" t="s">
        <v>5373</v>
      </c>
      <c r="H67" s="3903" t="s">
        <v>5374</v>
      </c>
      <c r="I67" s="3903" t="s">
        <v>5375</v>
      </c>
      <c r="J67" s="3903" t="s">
        <v>5376</v>
      </c>
      <c r="K67" s="3903" t="s">
        <v>5377</v>
      </c>
      <c r="L67" s="3903" t="s">
        <v>5378</v>
      </c>
      <c r="M67" s="3903" t="s">
        <v>5379</v>
      </c>
      <c r="N67" s="3903" t="s">
        <v>5380</v>
      </c>
      <c r="O67" s="3903" t="s">
        <v>5381</v>
      </c>
      <c r="P67" s="3903" t="s">
        <v>5382</v>
      </c>
      <c r="Q67" s="3903" t="s">
        <v>5383</v>
      </c>
      <c r="R67" s="3903" t="s">
        <v>5384</v>
      </c>
      <c r="S67" s="3903" t="s">
        <v>5385</v>
      </c>
      <c r="T67" s="3841" t="s">
        <v>5386</v>
      </c>
      <c r="U67" s="3904" t="s">
        <v>5387</v>
      </c>
      <c r="V67" s="3905" t="s">
        <v>5388</v>
      </c>
      <c r="W67" s="3904" t="s">
        <v>5389</v>
      </c>
      <c r="X67" s="3905" t="s">
        <v>5390</v>
      </c>
      <c r="Y67" s="3904" t="s">
        <v>5391</v>
      </c>
      <c r="Z67" s="3905" t="s">
        <v>5392</v>
      </c>
      <c r="AA67" s="3901" t="s">
        <v>5393</v>
      </c>
      <c r="AB67" s="3904" t="s">
        <v>5394</v>
      </c>
      <c r="AC67" s="3906" t="s">
        <v>5395</v>
      </c>
      <c r="AD67" s="3906" t="s">
        <v>5396</v>
      </c>
      <c r="AE67" s="3905" t="s">
        <v>5397</v>
      </c>
      <c r="AF67" s="3901" t="s">
        <v>5398</v>
      </c>
      <c r="AG67" s="3904" t="s">
        <v>5399</v>
      </c>
      <c r="AH67" s="3906" t="s">
        <v>5400</v>
      </c>
      <c r="AI67" s="3906" t="s">
        <v>5401</v>
      </c>
      <c r="AJ67" s="3907" t="s">
        <v>5402</v>
      </c>
      <c r="AK67" s="3908" t="s">
        <v>5403</v>
      </c>
      <c r="AL67" s="3908" t="s">
        <v>5404</v>
      </c>
      <c r="AM67" s="3908" t="s">
        <v>5405</v>
      </c>
      <c r="AN67" s="3908" t="s">
        <v>5406</v>
      </c>
      <c r="AO67" s="3908" t="s">
        <v>5407</v>
      </c>
      <c r="AP67" s="3908" t="s">
        <v>5408</v>
      </c>
      <c r="AQ67" s="3908" t="s">
        <v>5409</v>
      </c>
      <c r="AR67" s="3908" t="s">
        <v>5410</v>
      </c>
      <c r="AS67" s="3810" t="e">
        <f t="shared" si="23"/>
        <v>#VALUE!</v>
      </c>
      <c r="BE67" s="3810"/>
      <c r="BF67" s="3810"/>
      <c r="BG67" s="3810"/>
      <c r="BH67" s="3810"/>
      <c r="BI67" s="3810"/>
      <c r="BJ67" s="3810"/>
      <c r="BK67" s="3810"/>
      <c r="BL67" s="3810"/>
      <c r="BM67" s="3810"/>
      <c r="BN67" s="3810"/>
      <c r="BO67" s="3810"/>
      <c r="CC67" s="3811" t="e">
        <f t="shared" si="9"/>
        <v>#VALUE!</v>
      </c>
      <c r="CD67" s="3811" t="str">
        <f t="shared" si="10"/>
        <v xml:space="preserve">* El total de atenciones remotas de consultas nuevas según origen de menores de 15 años NO DEBE superar el total de atenciones del grupo indicado. </v>
      </c>
      <c r="CE67" s="3811" t="str">
        <f t="shared" si="11"/>
        <v xml:space="preserve">* El total de atenciones remotas de consultas nuevas según origen de pacientes de 15 y más años NO DEBE superar el total de atenciones del grupo indicado. </v>
      </c>
      <c r="CF67" s="3811" t="str">
        <f t="shared" si="12"/>
        <v xml:space="preserve">* El total de altas de consultas nuevas según origen de menores de 15 años NO DEBE superar el total de atenciones del grupo indicado. </v>
      </c>
      <c r="CG67" s="3811" t="str">
        <f t="shared" si="13"/>
        <v xml:space="preserve">* El total de altas de consultas nuevas según origen de pacientes de 15 y más años NO DEBE superar el total de atenciones del grupo indicado. </v>
      </c>
      <c r="CH67" s="3811" t="str">
        <f t="shared" si="14"/>
        <v xml:space="preserve"> *Las Atenciones de Pueblos Originarios no pueden superar el total de Atenciones.</v>
      </c>
      <c r="CI67" s="3811" t="str">
        <f t="shared" si="15"/>
        <v xml:space="preserve"> *Las Atenciones de Migrantes no pueden superar el total de Atenciones.</v>
      </c>
      <c r="CM67" s="3811" t="e">
        <f t="shared" si="16"/>
        <v>#VALUE!</v>
      </c>
      <c r="CN67" s="3811">
        <f t="shared" si="17"/>
        <v>1</v>
      </c>
      <c r="CO67" s="3811">
        <f t="shared" si="18"/>
        <v>1</v>
      </c>
      <c r="CP67" s="3811">
        <f t="shared" si="19"/>
        <v>1</v>
      </c>
      <c r="CQ67" s="3811">
        <f t="shared" si="20"/>
        <v>1</v>
      </c>
      <c r="CR67" s="3811">
        <f t="shared" si="21"/>
        <v>1</v>
      </c>
      <c r="CS67" s="3811">
        <f t="shared" si="22"/>
        <v>1</v>
      </c>
      <c r="DA67" s="3811"/>
      <c r="DB67" s="3811"/>
      <c r="DC67" s="3811"/>
    </row>
    <row r="68" spans="1:107" ht="15.6" customHeight="1" x14ac:dyDescent="0.2">
      <c r="A68" s="7320">
        <v>32101560</v>
      </c>
      <c r="B68" s="3901" t="s">
        <v>461</v>
      </c>
      <c r="C68" s="3902" t="s">
        <v>5369</v>
      </c>
      <c r="D68" s="3830" t="s">
        <v>5370</v>
      </c>
      <c r="E68" s="3903" t="s">
        <v>5371</v>
      </c>
      <c r="F68" s="3903" t="s">
        <v>5372</v>
      </c>
      <c r="G68" s="3903" t="s">
        <v>5373</v>
      </c>
      <c r="H68" s="3903" t="s">
        <v>5374</v>
      </c>
      <c r="I68" s="3903" t="s">
        <v>5375</v>
      </c>
      <c r="J68" s="3903" t="s">
        <v>5376</v>
      </c>
      <c r="K68" s="3903" t="s">
        <v>5377</v>
      </c>
      <c r="L68" s="3903" t="s">
        <v>5378</v>
      </c>
      <c r="M68" s="3903" t="s">
        <v>5379</v>
      </c>
      <c r="N68" s="3903" t="s">
        <v>5380</v>
      </c>
      <c r="O68" s="3903" t="s">
        <v>5381</v>
      </c>
      <c r="P68" s="3903" t="s">
        <v>5382</v>
      </c>
      <c r="Q68" s="3903" t="s">
        <v>5383</v>
      </c>
      <c r="R68" s="3903" t="s">
        <v>5384</v>
      </c>
      <c r="S68" s="3903" t="s">
        <v>5385</v>
      </c>
      <c r="T68" s="3841" t="s">
        <v>5386</v>
      </c>
      <c r="U68" s="3904" t="s">
        <v>5387</v>
      </c>
      <c r="V68" s="3905" t="s">
        <v>5388</v>
      </c>
      <c r="W68" s="3904" t="s">
        <v>5389</v>
      </c>
      <c r="X68" s="3905" t="s">
        <v>5390</v>
      </c>
      <c r="Y68" s="3904" t="s">
        <v>5391</v>
      </c>
      <c r="Z68" s="3905" t="s">
        <v>5392</v>
      </c>
      <c r="AA68" s="3901" t="s">
        <v>5393</v>
      </c>
      <c r="AB68" s="3904" t="s">
        <v>5394</v>
      </c>
      <c r="AC68" s="3906" t="s">
        <v>5395</v>
      </c>
      <c r="AD68" s="3906" t="s">
        <v>5396</v>
      </c>
      <c r="AE68" s="3905" t="s">
        <v>5397</v>
      </c>
      <c r="AF68" s="3901" t="s">
        <v>5398</v>
      </c>
      <c r="AG68" s="3904" t="s">
        <v>5399</v>
      </c>
      <c r="AH68" s="3906" t="s">
        <v>5400</v>
      </c>
      <c r="AI68" s="3906" t="s">
        <v>5401</v>
      </c>
      <c r="AJ68" s="3907" t="s">
        <v>5402</v>
      </c>
      <c r="AK68" s="3908" t="s">
        <v>5403</v>
      </c>
      <c r="AL68" s="3908" t="s">
        <v>5404</v>
      </c>
      <c r="AM68" s="3908" t="s">
        <v>5405</v>
      </c>
      <c r="AN68" s="3908" t="s">
        <v>5406</v>
      </c>
      <c r="AO68" s="3908" t="s">
        <v>5407</v>
      </c>
      <c r="AP68" s="3908" t="s">
        <v>5408</v>
      </c>
      <c r="AQ68" s="3908" t="s">
        <v>5409</v>
      </c>
      <c r="AR68" s="3908" t="s">
        <v>5410</v>
      </c>
      <c r="AS68" s="3810" t="e">
        <f t="shared" si="23"/>
        <v>#VALUE!</v>
      </c>
      <c r="BE68" s="3810"/>
      <c r="BF68" s="3810"/>
      <c r="BG68" s="3810"/>
      <c r="BH68" s="3810"/>
      <c r="BI68" s="3810"/>
      <c r="BJ68" s="3810"/>
      <c r="BK68" s="3810"/>
      <c r="BL68" s="3810"/>
      <c r="BM68" s="3810"/>
      <c r="BN68" s="3810"/>
      <c r="BO68" s="3810"/>
      <c r="CC68" s="3811" t="e">
        <f t="shared" si="9"/>
        <v>#VALUE!</v>
      </c>
      <c r="CD68" s="3811" t="str">
        <f t="shared" si="10"/>
        <v xml:space="preserve">* El total de atenciones remotas de consultas nuevas según origen de menores de 15 años NO DEBE superar el total de atenciones del grupo indicado. </v>
      </c>
      <c r="CE68" s="3811" t="str">
        <f t="shared" si="11"/>
        <v xml:space="preserve">* El total de atenciones remotas de consultas nuevas según origen de pacientes de 15 y más años NO DEBE superar el total de atenciones del grupo indicado. </v>
      </c>
      <c r="CF68" s="3811" t="str">
        <f t="shared" si="12"/>
        <v xml:space="preserve">* El total de altas de consultas nuevas según origen de menores de 15 años NO DEBE superar el total de atenciones del grupo indicado. </v>
      </c>
      <c r="CG68" s="3811" t="str">
        <f t="shared" si="13"/>
        <v xml:space="preserve">* El total de altas de consultas nuevas según origen de pacientes de 15 y más años NO DEBE superar el total de atenciones del grupo indicado. </v>
      </c>
      <c r="CH68" s="3811" t="str">
        <f t="shared" si="14"/>
        <v xml:space="preserve"> *Las Atenciones de Pueblos Originarios no pueden superar el total de Atenciones.</v>
      </c>
      <c r="CI68" s="3811" t="str">
        <f t="shared" si="15"/>
        <v xml:space="preserve"> *Las Atenciones de Migrantes no pueden superar el total de Atenciones.</v>
      </c>
      <c r="CM68" s="3811" t="e">
        <f t="shared" si="16"/>
        <v>#VALUE!</v>
      </c>
      <c r="CN68" s="3811">
        <f t="shared" si="17"/>
        <v>1</v>
      </c>
      <c r="CO68" s="3811">
        <f t="shared" si="18"/>
        <v>1</v>
      </c>
      <c r="CP68" s="3811">
        <f t="shared" si="19"/>
        <v>1</v>
      </c>
      <c r="CQ68" s="3811">
        <f t="shared" si="20"/>
        <v>1</v>
      </c>
      <c r="CR68" s="3811">
        <f t="shared" si="21"/>
        <v>1</v>
      </c>
      <c r="CS68" s="3811">
        <f t="shared" si="22"/>
        <v>1</v>
      </c>
      <c r="DA68" s="3811"/>
      <c r="DB68" s="3811"/>
      <c r="DC68" s="3811"/>
    </row>
    <row r="69" spans="1:107" ht="15.6" customHeight="1" x14ac:dyDescent="0.2">
      <c r="A69" s="7320">
        <v>32101561</v>
      </c>
      <c r="B69" s="3901" t="s">
        <v>278</v>
      </c>
      <c r="C69" s="3902" t="s">
        <v>5369</v>
      </c>
      <c r="D69" s="3830" t="s">
        <v>5370</v>
      </c>
      <c r="E69" s="3903" t="s">
        <v>5371</v>
      </c>
      <c r="F69" s="3903" t="s">
        <v>5372</v>
      </c>
      <c r="G69" s="3903" t="s">
        <v>5373</v>
      </c>
      <c r="H69" s="3903" t="s">
        <v>5374</v>
      </c>
      <c r="I69" s="3903" t="s">
        <v>5375</v>
      </c>
      <c r="J69" s="3903" t="s">
        <v>5376</v>
      </c>
      <c r="K69" s="3903" t="s">
        <v>5377</v>
      </c>
      <c r="L69" s="3903" t="s">
        <v>5378</v>
      </c>
      <c r="M69" s="3903" t="s">
        <v>5379</v>
      </c>
      <c r="N69" s="3903" t="s">
        <v>5380</v>
      </c>
      <c r="O69" s="3903" t="s">
        <v>5381</v>
      </c>
      <c r="P69" s="3903" t="s">
        <v>5382</v>
      </c>
      <c r="Q69" s="3903" t="s">
        <v>5383</v>
      </c>
      <c r="R69" s="3903" t="s">
        <v>5384</v>
      </c>
      <c r="S69" s="3903" t="s">
        <v>5385</v>
      </c>
      <c r="T69" s="3841" t="s">
        <v>5386</v>
      </c>
      <c r="U69" s="3904" t="s">
        <v>5387</v>
      </c>
      <c r="V69" s="3905" t="s">
        <v>5388</v>
      </c>
      <c r="W69" s="3904" t="s">
        <v>5389</v>
      </c>
      <c r="X69" s="3905" t="s">
        <v>5390</v>
      </c>
      <c r="Y69" s="3904" t="s">
        <v>5391</v>
      </c>
      <c r="Z69" s="3905" t="s">
        <v>5392</v>
      </c>
      <c r="AA69" s="3901" t="s">
        <v>5393</v>
      </c>
      <c r="AB69" s="3904" t="s">
        <v>5394</v>
      </c>
      <c r="AC69" s="3906" t="s">
        <v>5395</v>
      </c>
      <c r="AD69" s="3906" t="s">
        <v>5396</v>
      </c>
      <c r="AE69" s="3905" t="s">
        <v>5397</v>
      </c>
      <c r="AF69" s="3901" t="s">
        <v>5398</v>
      </c>
      <c r="AG69" s="3904" t="s">
        <v>5399</v>
      </c>
      <c r="AH69" s="3906" t="s">
        <v>5400</v>
      </c>
      <c r="AI69" s="3906" t="s">
        <v>5401</v>
      </c>
      <c r="AJ69" s="3907" t="s">
        <v>5402</v>
      </c>
      <c r="AK69" s="3908" t="s">
        <v>5403</v>
      </c>
      <c r="AL69" s="3908" t="s">
        <v>5404</v>
      </c>
      <c r="AM69" s="3908" t="s">
        <v>5405</v>
      </c>
      <c r="AN69" s="3908" t="s">
        <v>5406</v>
      </c>
      <c r="AO69" s="3908" t="s">
        <v>5407</v>
      </c>
      <c r="AP69" s="3908" t="s">
        <v>5408</v>
      </c>
      <c r="AQ69" s="3908" t="s">
        <v>5409</v>
      </c>
      <c r="AR69" s="3908" t="s">
        <v>5410</v>
      </c>
      <c r="AS69" s="3810" t="e">
        <f t="shared" si="23"/>
        <v>#VALUE!</v>
      </c>
      <c r="BE69" s="3810"/>
      <c r="BF69" s="3810"/>
      <c r="BG69" s="3810"/>
      <c r="BH69" s="3810"/>
      <c r="BI69" s="3810"/>
      <c r="BJ69" s="3810"/>
      <c r="BK69" s="3810"/>
      <c r="BL69" s="3810"/>
      <c r="BM69" s="3810"/>
      <c r="BN69" s="3810"/>
      <c r="BO69" s="3810"/>
      <c r="CC69" s="3811" t="e">
        <f t="shared" ref="CC69:CC96" si="24">IF(CM69=1," *Atenciones según sexo deben ser iguales  al total de Atenciones. ","")</f>
        <v>#VALUE!</v>
      </c>
      <c r="CD69" s="3811" t="str">
        <f t="shared" ref="CD69:CD96" si="25">IF(CN69=1,"*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E69" s="3811" t="str">
        <f t="shared" ref="CE69:CE96" si="26">IF(CO69=1,"*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F69" s="3811" t="str">
        <f t="shared" ref="CF69:CF96" si="27">IF(CP69=1,"*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G69" s="3811" t="str">
        <f t="shared" ref="CG69:CG96" si="28">IF(CQ69=1,"*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H69" s="3811" t="str">
        <f t="shared" ref="CH69:CH96" si="29">IF(CR69=1," *Las Atenciones de Pueblos Originarios no pueden superar el total de Atenciones.","")</f>
        <v xml:space="preserve"> *Las Atenciones de Pueblos Originarios no pueden superar el total de Atenciones.</v>
      </c>
      <c r="CI69" s="3811" t="str">
        <f t="shared" ref="CI69:CI96" si="30">IF(CS69=1," *Las Atenciones de Migrantes no pueden superar el total de Atenciones.","")</f>
        <v xml:space="preserve"> *Las Atenciones de Migrantes no pueden superar el total de Atenciones.</v>
      </c>
      <c r="CM69" s="3811" t="e">
        <f t="shared" ref="CM69:CM96" si="31">IF(U69+V69&lt;&gt;C69,1,0)</f>
        <v>#VALUE!</v>
      </c>
      <c r="CN69" s="3811">
        <f t="shared" ref="CN69:CN96" si="32">IF(AA69&gt;SUM($D69:$F69),1,0)</f>
        <v>1</v>
      </c>
      <c r="CO69" s="3811">
        <f t="shared" ref="CO69:CO96" si="33">IF(AF69&gt;SUM($G69:$T69),1,0)</f>
        <v>1</v>
      </c>
      <c r="CP69" s="3811">
        <f t="shared" ref="CP69:CP96" si="34">IF(Y69&gt;SUM($D69:$F69),1,0)</f>
        <v>1</v>
      </c>
      <c r="CQ69" s="3811">
        <f t="shared" ref="CQ69:CQ96" si="35">IF(Z69&gt;SUM($G69:$T69),1,0)</f>
        <v>1</v>
      </c>
      <c r="CR69" s="3811">
        <f t="shared" ref="CR69:CR96" si="36">IF($C69&lt;AP69,1,0)</f>
        <v>1</v>
      </c>
      <c r="CS69" s="3811">
        <f t="shared" ref="CS69:CS96" si="37">IF($C69&lt;AQ69,1,0)</f>
        <v>1</v>
      </c>
      <c r="DA69" s="3811"/>
      <c r="DB69" s="3811"/>
      <c r="DC69" s="3811"/>
    </row>
    <row r="70" spans="1:107" ht="15.6" customHeight="1" x14ac:dyDescent="0.2">
      <c r="A70" s="7320">
        <v>32101562</v>
      </c>
      <c r="B70" s="3901" t="s">
        <v>462</v>
      </c>
      <c r="C70" s="3902" t="s">
        <v>5369</v>
      </c>
      <c r="D70" s="3830" t="s">
        <v>5370</v>
      </c>
      <c r="E70" s="3903" t="s">
        <v>5371</v>
      </c>
      <c r="F70" s="3903" t="s">
        <v>5372</v>
      </c>
      <c r="G70" s="3903" t="s">
        <v>5373</v>
      </c>
      <c r="H70" s="3903" t="s">
        <v>5374</v>
      </c>
      <c r="I70" s="3903" t="s">
        <v>5375</v>
      </c>
      <c r="J70" s="3903" t="s">
        <v>5376</v>
      </c>
      <c r="K70" s="3903" t="s">
        <v>5377</v>
      </c>
      <c r="L70" s="3903" t="s">
        <v>5378</v>
      </c>
      <c r="M70" s="3903" t="s">
        <v>5379</v>
      </c>
      <c r="N70" s="3903" t="s">
        <v>5380</v>
      </c>
      <c r="O70" s="3903" t="s">
        <v>5381</v>
      </c>
      <c r="P70" s="3903" t="s">
        <v>5382</v>
      </c>
      <c r="Q70" s="3903" t="s">
        <v>5383</v>
      </c>
      <c r="R70" s="3903" t="s">
        <v>5384</v>
      </c>
      <c r="S70" s="3903" t="s">
        <v>5385</v>
      </c>
      <c r="T70" s="3841" t="s">
        <v>5386</v>
      </c>
      <c r="U70" s="3904" t="s">
        <v>5387</v>
      </c>
      <c r="V70" s="3905" t="s">
        <v>5388</v>
      </c>
      <c r="W70" s="3904" t="s">
        <v>5389</v>
      </c>
      <c r="X70" s="3905" t="s">
        <v>5390</v>
      </c>
      <c r="Y70" s="3904" t="s">
        <v>5391</v>
      </c>
      <c r="Z70" s="3905" t="s">
        <v>5392</v>
      </c>
      <c r="AA70" s="3901" t="s">
        <v>5393</v>
      </c>
      <c r="AB70" s="3904" t="s">
        <v>5394</v>
      </c>
      <c r="AC70" s="3906" t="s">
        <v>5395</v>
      </c>
      <c r="AD70" s="3906" t="s">
        <v>5396</v>
      </c>
      <c r="AE70" s="3905" t="s">
        <v>5397</v>
      </c>
      <c r="AF70" s="3901" t="s">
        <v>5398</v>
      </c>
      <c r="AG70" s="3904" t="s">
        <v>5399</v>
      </c>
      <c r="AH70" s="3906" t="s">
        <v>5400</v>
      </c>
      <c r="AI70" s="3906" t="s">
        <v>5401</v>
      </c>
      <c r="AJ70" s="3907" t="s">
        <v>5402</v>
      </c>
      <c r="AK70" s="3908" t="s">
        <v>5403</v>
      </c>
      <c r="AL70" s="3908" t="s">
        <v>5404</v>
      </c>
      <c r="AM70" s="3908" t="s">
        <v>5405</v>
      </c>
      <c r="AN70" s="3908" t="s">
        <v>5406</v>
      </c>
      <c r="AO70" s="3908" t="s">
        <v>5407</v>
      </c>
      <c r="AP70" s="3908" t="s">
        <v>5408</v>
      </c>
      <c r="AQ70" s="3908" t="s">
        <v>5409</v>
      </c>
      <c r="AR70" s="3908" t="s">
        <v>5410</v>
      </c>
      <c r="AS70" s="3810" t="e">
        <f t="shared" si="23"/>
        <v>#VALUE!</v>
      </c>
      <c r="BE70" s="3810"/>
      <c r="BF70" s="3810"/>
      <c r="BG70" s="3810"/>
      <c r="BH70" s="3810"/>
      <c r="BI70" s="3810"/>
      <c r="BJ70" s="3810"/>
      <c r="BK70" s="3810"/>
      <c r="BL70" s="3810"/>
      <c r="BM70" s="3810"/>
      <c r="BN70" s="3810"/>
      <c r="BO70" s="3810"/>
      <c r="CC70" s="3811" t="e">
        <f t="shared" si="24"/>
        <v>#VALUE!</v>
      </c>
      <c r="CD70" s="3811" t="str">
        <f t="shared" si="25"/>
        <v xml:space="preserve">* El total de atenciones remotas de consultas nuevas según origen de menores de 15 años NO DEBE superar el total de atenciones del grupo indicado. </v>
      </c>
      <c r="CE70" s="3811" t="str">
        <f t="shared" si="26"/>
        <v xml:space="preserve">* El total de atenciones remotas de consultas nuevas según origen de pacientes de 15 y más años NO DEBE superar el total de atenciones del grupo indicado. </v>
      </c>
      <c r="CF70" s="3811" t="str">
        <f t="shared" si="27"/>
        <v xml:space="preserve">* El total de altas de consultas nuevas según origen de menores de 15 años NO DEBE superar el total de atenciones del grupo indicado. </v>
      </c>
      <c r="CG70" s="3811" t="str">
        <f t="shared" si="28"/>
        <v xml:space="preserve">* El total de altas de consultas nuevas según origen de pacientes de 15 y más años NO DEBE superar el total de atenciones del grupo indicado. </v>
      </c>
      <c r="CH70" s="3811" t="str">
        <f t="shared" si="29"/>
        <v xml:space="preserve"> *Las Atenciones de Pueblos Originarios no pueden superar el total de Atenciones.</v>
      </c>
      <c r="CI70" s="3811" t="str">
        <f t="shared" si="30"/>
        <v xml:space="preserve"> *Las Atenciones de Migrantes no pueden superar el total de Atenciones.</v>
      </c>
      <c r="CM70" s="3811" t="e">
        <f t="shared" si="31"/>
        <v>#VALUE!</v>
      </c>
      <c r="CN70" s="3811">
        <f t="shared" si="32"/>
        <v>1</v>
      </c>
      <c r="CO70" s="3811">
        <f t="shared" si="33"/>
        <v>1</v>
      </c>
      <c r="CP70" s="3811">
        <f t="shared" si="34"/>
        <v>1</v>
      </c>
      <c r="CQ70" s="3811">
        <f t="shared" si="35"/>
        <v>1</v>
      </c>
      <c r="CR70" s="3811">
        <f t="shared" si="36"/>
        <v>1</v>
      </c>
      <c r="CS70" s="3811">
        <f t="shared" si="37"/>
        <v>1</v>
      </c>
      <c r="DA70" s="3811"/>
      <c r="DB70" s="3811"/>
      <c r="DC70" s="3811"/>
    </row>
    <row r="71" spans="1:107" ht="15.6" customHeight="1" x14ac:dyDescent="0.2">
      <c r="A71" s="7320">
        <v>32101563</v>
      </c>
      <c r="B71" s="3914" t="s">
        <v>3591</v>
      </c>
      <c r="C71" s="3902" t="s">
        <v>5369</v>
      </c>
      <c r="D71" s="3913" t="s">
        <v>5370</v>
      </c>
      <c r="E71" s="3912" t="s">
        <v>5371</v>
      </c>
      <c r="F71" s="3912" t="s">
        <v>5372</v>
      </c>
      <c r="G71" s="3912" t="s">
        <v>5373</v>
      </c>
      <c r="H71" s="3903" t="s">
        <v>5374</v>
      </c>
      <c r="I71" s="3903" t="s">
        <v>5375</v>
      </c>
      <c r="J71" s="3903" t="s">
        <v>5376</v>
      </c>
      <c r="K71" s="3903" t="s">
        <v>5377</v>
      </c>
      <c r="L71" s="3903" t="s">
        <v>5378</v>
      </c>
      <c r="M71" s="3903" t="s">
        <v>5379</v>
      </c>
      <c r="N71" s="3903" t="s">
        <v>5380</v>
      </c>
      <c r="O71" s="3903" t="s">
        <v>5381</v>
      </c>
      <c r="P71" s="3903" t="s">
        <v>5382</v>
      </c>
      <c r="Q71" s="3903" t="s">
        <v>5383</v>
      </c>
      <c r="R71" s="3903" t="s">
        <v>5384</v>
      </c>
      <c r="S71" s="3903" t="s">
        <v>5385</v>
      </c>
      <c r="T71" s="3841" t="s">
        <v>5386</v>
      </c>
      <c r="U71" s="3904" t="s">
        <v>5387</v>
      </c>
      <c r="V71" s="3905" t="s">
        <v>5388</v>
      </c>
      <c r="W71" s="3904" t="s">
        <v>5389</v>
      </c>
      <c r="X71" s="3905" t="s">
        <v>5390</v>
      </c>
      <c r="Y71" s="3904" t="s">
        <v>5391</v>
      </c>
      <c r="Z71" s="3905" t="s">
        <v>5392</v>
      </c>
      <c r="AA71" s="3901" t="s">
        <v>5393</v>
      </c>
      <c r="AB71" s="3904" t="s">
        <v>5394</v>
      </c>
      <c r="AC71" s="3906" t="s">
        <v>5395</v>
      </c>
      <c r="AD71" s="3906" t="s">
        <v>5396</v>
      </c>
      <c r="AE71" s="3905" t="s">
        <v>5397</v>
      </c>
      <c r="AF71" s="3901" t="s">
        <v>5398</v>
      </c>
      <c r="AG71" s="3904" t="s">
        <v>5399</v>
      </c>
      <c r="AH71" s="3906" t="s">
        <v>5400</v>
      </c>
      <c r="AI71" s="3906" t="s">
        <v>5401</v>
      </c>
      <c r="AJ71" s="3907" t="s">
        <v>5402</v>
      </c>
      <c r="AK71" s="3908" t="s">
        <v>5403</v>
      </c>
      <c r="AL71" s="3908" t="s">
        <v>5404</v>
      </c>
      <c r="AM71" s="3908" t="s">
        <v>5405</v>
      </c>
      <c r="AN71" s="3908" t="s">
        <v>5406</v>
      </c>
      <c r="AO71" s="3908" t="s">
        <v>5407</v>
      </c>
      <c r="AP71" s="3908" t="s">
        <v>5408</v>
      </c>
      <c r="AQ71" s="3908" t="s">
        <v>5409</v>
      </c>
      <c r="AR71" s="3908" t="s">
        <v>5410</v>
      </c>
      <c r="AS71" s="3810" t="e">
        <f t="shared" si="23"/>
        <v>#VALUE!</v>
      </c>
      <c r="BE71" s="3810"/>
      <c r="BF71" s="3810"/>
      <c r="BG71" s="3810"/>
      <c r="BH71" s="3810"/>
      <c r="BI71" s="3810"/>
      <c r="BJ71" s="3810"/>
      <c r="BK71" s="3810"/>
      <c r="BL71" s="3810"/>
      <c r="BM71" s="3810"/>
      <c r="BN71" s="3810"/>
      <c r="BO71" s="3810"/>
      <c r="CC71" s="3811" t="e">
        <f t="shared" si="24"/>
        <v>#VALUE!</v>
      </c>
      <c r="CD71" s="3811" t="str">
        <f t="shared" si="25"/>
        <v xml:space="preserve">* El total de atenciones remotas de consultas nuevas según origen de menores de 15 años NO DEBE superar el total de atenciones del grupo indicado. </v>
      </c>
      <c r="CE71" s="3811" t="str">
        <f t="shared" si="26"/>
        <v xml:space="preserve">* El total de atenciones remotas de consultas nuevas según origen de pacientes de 15 y más años NO DEBE superar el total de atenciones del grupo indicado. </v>
      </c>
      <c r="CF71" s="3811" t="str">
        <f t="shared" si="27"/>
        <v xml:space="preserve">* El total de altas de consultas nuevas según origen de menores de 15 años NO DEBE superar el total de atenciones del grupo indicado. </v>
      </c>
      <c r="CG71" s="3811" t="str">
        <f t="shared" si="28"/>
        <v xml:space="preserve">* El total de altas de consultas nuevas según origen de pacientes de 15 y más años NO DEBE superar el total de atenciones del grupo indicado. </v>
      </c>
      <c r="CH71" s="3811" t="str">
        <f t="shared" si="29"/>
        <v xml:space="preserve"> *Las Atenciones de Pueblos Originarios no pueden superar el total de Atenciones.</v>
      </c>
      <c r="CI71" s="3811" t="str">
        <f t="shared" si="30"/>
        <v xml:space="preserve"> *Las Atenciones de Migrantes no pueden superar el total de Atenciones.</v>
      </c>
      <c r="CM71" s="3811" t="e">
        <f t="shared" si="31"/>
        <v>#VALUE!</v>
      </c>
      <c r="CN71" s="3811">
        <f t="shared" si="32"/>
        <v>1</v>
      </c>
      <c r="CO71" s="3811">
        <f t="shared" si="33"/>
        <v>1</v>
      </c>
      <c r="CP71" s="3811">
        <f t="shared" si="34"/>
        <v>1</v>
      </c>
      <c r="CQ71" s="3811">
        <f t="shared" si="35"/>
        <v>1</v>
      </c>
      <c r="CR71" s="3811">
        <f t="shared" si="36"/>
        <v>1</v>
      </c>
      <c r="CS71" s="3811">
        <f t="shared" si="37"/>
        <v>1</v>
      </c>
      <c r="DA71" s="3811"/>
      <c r="DB71" s="3811"/>
      <c r="DC71" s="3811"/>
    </row>
    <row r="72" spans="1:107" ht="15.6" customHeight="1" x14ac:dyDescent="0.2">
      <c r="A72" s="7320">
        <v>32101564</v>
      </c>
      <c r="B72" s="3915" t="s">
        <v>279</v>
      </c>
      <c r="C72" s="3902" t="s">
        <v>5369</v>
      </c>
      <c r="D72" s="3913" t="s">
        <v>5370</v>
      </c>
      <c r="E72" s="3912" t="s">
        <v>5371</v>
      </c>
      <c r="F72" s="3912" t="s">
        <v>5372</v>
      </c>
      <c r="G72" s="3912" t="s">
        <v>5373</v>
      </c>
      <c r="H72" s="3903" t="s">
        <v>5374</v>
      </c>
      <c r="I72" s="3903" t="s">
        <v>5375</v>
      </c>
      <c r="J72" s="3903" t="s">
        <v>5376</v>
      </c>
      <c r="K72" s="3903" t="s">
        <v>5377</v>
      </c>
      <c r="L72" s="3903" t="s">
        <v>5378</v>
      </c>
      <c r="M72" s="3903" t="s">
        <v>5379</v>
      </c>
      <c r="N72" s="3903" t="s">
        <v>5380</v>
      </c>
      <c r="O72" s="3903" t="s">
        <v>5381</v>
      </c>
      <c r="P72" s="3903" t="s">
        <v>5382</v>
      </c>
      <c r="Q72" s="3903" t="s">
        <v>5383</v>
      </c>
      <c r="R72" s="3903" t="s">
        <v>5384</v>
      </c>
      <c r="S72" s="3903" t="s">
        <v>5385</v>
      </c>
      <c r="T72" s="3841" t="s">
        <v>5386</v>
      </c>
      <c r="U72" s="3904" t="s">
        <v>5387</v>
      </c>
      <c r="V72" s="3905" t="s">
        <v>5388</v>
      </c>
      <c r="W72" s="3904" t="s">
        <v>5389</v>
      </c>
      <c r="X72" s="3905" t="s">
        <v>5390</v>
      </c>
      <c r="Y72" s="3904" t="s">
        <v>5391</v>
      </c>
      <c r="Z72" s="3905" t="s">
        <v>5392</v>
      </c>
      <c r="AA72" s="3901" t="s">
        <v>5393</v>
      </c>
      <c r="AB72" s="3904" t="s">
        <v>5394</v>
      </c>
      <c r="AC72" s="3906" t="s">
        <v>5395</v>
      </c>
      <c r="AD72" s="3906" t="s">
        <v>5396</v>
      </c>
      <c r="AE72" s="3905" t="s">
        <v>5397</v>
      </c>
      <c r="AF72" s="3901" t="s">
        <v>5398</v>
      </c>
      <c r="AG72" s="3904" t="s">
        <v>5399</v>
      </c>
      <c r="AH72" s="3906" t="s">
        <v>5400</v>
      </c>
      <c r="AI72" s="3906" t="s">
        <v>5401</v>
      </c>
      <c r="AJ72" s="3907" t="s">
        <v>5402</v>
      </c>
      <c r="AK72" s="3908" t="s">
        <v>5403</v>
      </c>
      <c r="AL72" s="3908" t="s">
        <v>5404</v>
      </c>
      <c r="AM72" s="3908" t="s">
        <v>5405</v>
      </c>
      <c r="AN72" s="3908" t="s">
        <v>5406</v>
      </c>
      <c r="AO72" s="3908" t="s">
        <v>5407</v>
      </c>
      <c r="AP72" s="3908" t="s">
        <v>5408</v>
      </c>
      <c r="AQ72" s="3908" t="s">
        <v>5409</v>
      </c>
      <c r="AR72" s="3908" t="s">
        <v>5410</v>
      </c>
      <c r="AS72" s="3810" t="e">
        <f t="shared" si="23"/>
        <v>#VALUE!</v>
      </c>
      <c r="BE72" s="3810"/>
      <c r="BF72" s="3810"/>
      <c r="BG72" s="3810"/>
      <c r="BH72" s="3810"/>
      <c r="BI72" s="3810"/>
      <c r="BJ72" s="3810"/>
      <c r="BK72" s="3810"/>
      <c r="BL72" s="3810"/>
      <c r="BM72" s="3810"/>
      <c r="BN72" s="3810"/>
      <c r="BO72" s="3810"/>
      <c r="CC72" s="3811" t="e">
        <f t="shared" si="24"/>
        <v>#VALUE!</v>
      </c>
      <c r="CD72" s="3811" t="str">
        <f t="shared" si="25"/>
        <v xml:space="preserve">* El total de atenciones remotas de consultas nuevas según origen de menores de 15 años NO DEBE superar el total de atenciones del grupo indicado. </v>
      </c>
      <c r="CE72" s="3811" t="str">
        <f t="shared" si="26"/>
        <v xml:space="preserve">* El total de atenciones remotas de consultas nuevas según origen de pacientes de 15 y más años NO DEBE superar el total de atenciones del grupo indicado. </v>
      </c>
      <c r="CF72" s="3811" t="str">
        <f t="shared" si="27"/>
        <v xml:space="preserve">* El total de altas de consultas nuevas según origen de menores de 15 años NO DEBE superar el total de atenciones del grupo indicado. </v>
      </c>
      <c r="CG72" s="3811" t="str">
        <f t="shared" si="28"/>
        <v xml:space="preserve">* El total de altas de consultas nuevas según origen de pacientes de 15 y más años NO DEBE superar el total de atenciones del grupo indicado. </v>
      </c>
      <c r="CH72" s="3811" t="str">
        <f t="shared" si="29"/>
        <v xml:space="preserve"> *Las Atenciones de Pueblos Originarios no pueden superar el total de Atenciones.</v>
      </c>
      <c r="CI72" s="3811" t="str">
        <f t="shared" si="30"/>
        <v xml:space="preserve"> *Las Atenciones de Migrantes no pueden superar el total de Atenciones.</v>
      </c>
      <c r="CM72" s="3811" t="e">
        <f t="shared" si="31"/>
        <v>#VALUE!</v>
      </c>
      <c r="CN72" s="3811">
        <f t="shared" si="32"/>
        <v>1</v>
      </c>
      <c r="CO72" s="3811">
        <f t="shared" si="33"/>
        <v>1</v>
      </c>
      <c r="CP72" s="3811">
        <f t="shared" si="34"/>
        <v>1</v>
      </c>
      <c r="CQ72" s="3811">
        <f t="shared" si="35"/>
        <v>1</v>
      </c>
      <c r="CR72" s="3811">
        <f t="shared" si="36"/>
        <v>1</v>
      </c>
      <c r="CS72" s="3811">
        <f t="shared" si="37"/>
        <v>1</v>
      </c>
      <c r="DA72" s="3811"/>
      <c r="DB72" s="3811"/>
      <c r="DC72" s="3811"/>
    </row>
    <row r="73" spans="1:107" ht="15.6" customHeight="1" x14ac:dyDescent="0.2">
      <c r="A73" s="7320">
        <v>32101565</v>
      </c>
      <c r="B73" s="3901" t="s">
        <v>280</v>
      </c>
      <c r="C73" s="3902" t="s">
        <v>5369</v>
      </c>
      <c r="D73" s="3913" t="s">
        <v>5370</v>
      </c>
      <c r="E73" s="3912" t="s">
        <v>5371</v>
      </c>
      <c r="F73" s="3912" t="s">
        <v>5372</v>
      </c>
      <c r="G73" s="3912" t="s">
        <v>5373</v>
      </c>
      <c r="H73" s="3912" t="s">
        <v>5374</v>
      </c>
      <c r="I73" s="3912" t="s">
        <v>5375</v>
      </c>
      <c r="J73" s="3912" t="s">
        <v>5376</v>
      </c>
      <c r="K73" s="3912" t="s">
        <v>5377</v>
      </c>
      <c r="L73" s="3912" t="s">
        <v>5378</v>
      </c>
      <c r="M73" s="3903" t="s">
        <v>5379</v>
      </c>
      <c r="N73" s="3903" t="s">
        <v>5380</v>
      </c>
      <c r="O73" s="3903" t="s">
        <v>5381</v>
      </c>
      <c r="P73" s="3903" t="s">
        <v>5382</v>
      </c>
      <c r="Q73" s="3903" t="s">
        <v>5383</v>
      </c>
      <c r="R73" s="3903" t="s">
        <v>5384</v>
      </c>
      <c r="S73" s="3903" t="s">
        <v>5385</v>
      </c>
      <c r="T73" s="3841" t="s">
        <v>5386</v>
      </c>
      <c r="U73" s="3904" t="s">
        <v>5387</v>
      </c>
      <c r="V73" s="3905" t="s">
        <v>5388</v>
      </c>
      <c r="W73" s="3904" t="s">
        <v>5389</v>
      </c>
      <c r="X73" s="3905" t="s">
        <v>5390</v>
      </c>
      <c r="Y73" s="3904" t="s">
        <v>5391</v>
      </c>
      <c r="Z73" s="3905" t="s">
        <v>5392</v>
      </c>
      <c r="AA73" s="3901" t="s">
        <v>5393</v>
      </c>
      <c r="AB73" s="3904" t="s">
        <v>5394</v>
      </c>
      <c r="AC73" s="3906" t="s">
        <v>5395</v>
      </c>
      <c r="AD73" s="3906" t="s">
        <v>5396</v>
      </c>
      <c r="AE73" s="3905" t="s">
        <v>5397</v>
      </c>
      <c r="AF73" s="3901" t="s">
        <v>5398</v>
      </c>
      <c r="AG73" s="3904" t="s">
        <v>5399</v>
      </c>
      <c r="AH73" s="3906" t="s">
        <v>5400</v>
      </c>
      <c r="AI73" s="3906" t="s">
        <v>5401</v>
      </c>
      <c r="AJ73" s="3907" t="s">
        <v>5402</v>
      </c>
      <c r="AK73" s="3908" t="s">
        <v>5403</v>
      </c>
      <c r="AL73" s="3908" t="s">
        <v>5404</v>
      </c>
      <c r="AM73" s="3908" t="s">
        <v>5405</v>
      </c>
      <c r="AN73" s="3908" t="s">
        <v>5406</v>
      </c>
      <c r="AO73" s="3908" t="s">
        <v>5407</v>
      </c>
      <c r="AP73" s="3908" t="s">
        <v>5408</v>
      </c>
      <c r="AQ73" s="3908" t="s">
        <v>5409</v>
      </c>
      <c r="AR73" s="3908" t="s">
        <v>5410</v>
      </c>
      <c r="AS73" s="3810" t="e">
        <f t="shared" si="23"/>
        <v>#VALUE!</v>
      </c>
      <c r="BE73" s="3810"/>
      <c r="BF73" s="3810"/>
      <c r="BG73" s="3810"/>
      <c r="BH73" s="3810"/>
      <c r="BI73" s="3810"/>
      <c r="BJ73" s="3810"/>
      <c r="BK73" s="3810"/>
      <c r="BL73" s="3810"/>
      <c r="BM73" s="3810"/>
      <c r="BN73" s="3810"/>
      <c r="BO73" s="3810"/>
      <c r="CC73" s="3811" t="e">
        <f t="shared" si="24"/>
        <v>#VALUE!</v>
      </c>
      <c r="CD73" s="3811" t="str">
        <f t="shared" si="25"/>
        <v xml:space="preserve">* El total de atenciones remotas de consultas nuevas según origen de menores de 15 años NO DEBE superar el total de atenciones del grupo indicado. </v>
      </c>
      <c r="CE73" s="3811" t="str">
        <f t="shared" si="26"/>
        <v xml:space="preserve">* El total de atenciones remotas de consultas nuevas según origen de pacientes de 15 y más años NO DEBE superar el total de atenciones del grupo indicado. </v>
      </c>
      <c r="CF73" s="3811" t="str">
        <f t="shared" si="27"/>
        <v xml:space="preserve">* El total de altas de consultas nuevas según origen de menores de 15 años NO DEBE superar el total de atenciones del grupo indicado. </v>
      </c>
      <c r="CG73" s="3811" t="str">
        <f t="shared" si="28"/>
        <v xml:space="preserve">* El total de altas de consultas nuevas según origen de pacientes de 15 y más años NO DEBE superar el total de atenciones del grupo indicado. </v>
      </c>
      <c r="CH73" s="3811" t="str">
        <f t="shared" si="29"/>
        <v xml:space="preserve"> *Las Atenciones de Pueblos Originarios no pueden superar el total de Atenciones.</v>
      </c>
      <c r="CI73" s="3811" t="str">
        <f t="shared" si="30"/>
        <v xml:space="preserve"> *Las Atenciones de Migrantes no pueden superar el total de Atenciones.</v>
      </c>
      <c r="CM73" s="3811" t="e">
        <f t="shared" si="31"/>
        <v>#VALUE!</v>
      </c>
      <c r="CN73" s="3811">
        <f t="shared" si="32"/>
        <v>1</v>
      </c>
      <c r="CO73" s="3811">
        <f t="shared" si="33"/>
        <v>1</v>
      </c>
      <c r="CP73" s="3811">
        <f t="shared" si="34"/>
        <v>1</v>
      </c>
      <c r="CQ73" s="3811">
        <f t="shared" si="35"/>
        <v>1</v>
      </c>
      <c r="CR73" s="3811">
        <f t="shared" si="36"/>
        <v>1</v>
      </c>
      <c r="CS73" s="3811">
        <f t="shared" si="37"/>
        <v>1</v>
      </c>
      <c r="DA73" s="3811"/>
      <c r="DB73" s="3811"/>
      <c r="DC73" s="3811"/>
    </row>
    <row r="74" spans="1:107" ht="15.6" customHeight="1" x14ac:dyDescent="0.2">
      <c r="A74" s="7320">
        <v>32101566</v>
      </c>
      <c r="B74" s="3901" t="s">
        <v>463</v>
      </c>
      <c r="C74" s="3902" t="s">
        <v>5369</v>
      </c>
      <c r="D74" s="3913" t="s">
        <v>5370</v>
      </c>
      <c r="E74" s="3912" t="s">
        <v>5371</v>
      </c>
      <c r="F74" s="3912" t="s">
        <v>5372</v>
      </c>
      <c r="G74" s="3912" t="s">
        <v>5373</v>
      </c>
      <c r="H74" s="3903" t="s">
        <v>5374</v>
      </c>
      <c r="I74" s="3903" t="s">
        <v>5375</v>
      </c>
      <c r="J74" s="3903" t="s">
        <v>5376</v>
      </c>
      <c r="K74" s="3903" t="s">
        <v>5377</v>
      </c>
      <c r="L74" s="3903" t="s">
        <v>5378</v>
      </c>
      <c r="M74" s="3903" t="s">
        <v>5379</v>
      </c>
      <c r="N74" s="3903" t="s">
        <v>5380</v>
      </c>
      <c r="O74" s="3903" t="s">
        <v>5381</v>
      </c>
      <c r="P74" s="3903" t="s">
        <v>5382</v>
      </c>
      <c r="Q74" s="3903" t="s">
        <v>5383</v>
      </c>
      <c r="R74" s="3903" t="s">
        <v>5384</v>
      </c>
      <c r="S74" s="3903" t="s">
        <v>5385</v>
      </c>
      <c r="T74" s="3841" t="s">
        <v>5386</v>
      </c>
      <c r="U74" s="3904" t="s">
        <v>5387</v>
      </c>
      <c r="V74" s="3905" t="s">
        <v>5388</v>
      </c>
      <c r="W74" s="3904" t="s">
        <v>5389</v>
      </c>
      <c r="X74" s="3905" t="s">
        <v>5390</v>
      </c>
      <c r="Y74" s="3904" t="s">
        <v>5391</v>
      </c>
      <c r="Z74" s="3905" t="s">
        <v>5392</v>
      </c>
      <c r="AA74" s="3901" t="s">
        <v>5393</v>
      </c>
      <c r="AB74" s="3904" t="s">
        <v>5394</v>
      </c>
      <c r="AC74" s="3906" t="s">
        <v>5395</v>
      </c>
      <c r="AD74" s="3906" t="s">
        <v>5396</v>
      </c>
      <c r="AE74" s="3905" t="s">
        <v>5397</v>
      </c>
      <c r="AF74" s="3901" t="s">
        <v>5398</v>
      </c>
      <c r="AG74" s="3904" t="s">
        <v>5399</v>
      </c>
      <c r="AH74" s="3906" t="s">
        <v>5400</v>
      </c>
      <c r="AI74" s="3906" t="s">
        <v>5401</v>
      </c>
      <c r="AJ74" s="3907" t="s">
        <v>5402</v>
      </c>
      <c r="AK74" s="3908" t="s">
        <v>5403</v>
      </c>
      <c r="AL74" s="3908" t="s">
        <v>5404</v>
      </c>
      <c r="AM74" s="3908" t="s">
        <v>5405</v>
      </c>
      <c r="AN74" s="3908" t="s">
        <v>5406</v>
      </c>
      <c r="AO74" s="3908" t="s">
        <v>5407</v>
      </c>
      <c r="AP74" s="3908" t="s">
        <v>5408</v>
      </c>
      <c r="AQ74" s="3908" t="s">
        <v>5409</v>
      </c>
      <c r="AR74" s="3908" t="s">
        <v>5410</v>
      </c>
      <c r="AS74" s="3810" t="e">
        <f t="shared" si="23"/>
        <v>#VALUE!</v>
      </c>
      <c r="BE74" s="3810"/>
      <c r="BF74" s="3810"/>
      <c r="BG74" s="3810"/>
      <c r="BH74" s="3810"/>
      <c r="BI74" s="3810"/>
      <c r="BJ74" s="3810"/>
      <c r="BK74" s="3810"/>
      <c r="BL74" s="3810"/>
      <c r="BM74" s="3810"/>
      <c r="BN74" s="3810"/>
      <c r="BO74" s="3810"/>
      <c r="CC74" s="3811" t="e">
        <f t="shared" si="24"/>
        <v>#VALUE!</v>
      </c>
      <c r="CD74" s="3811" t="str">
        <f t="shared" si="25"/>
        <v xml:space="preserve">* El total de atenciones remotas de consultas nuevas según origen de menores de 15 años NO DEBE superar el total de atenciones del grupo indicado. </v>
      </c>
      <c r="CE74" s="3811" t="str">
        <f t="shared" si="26"/>
        <v xml:space="preserve">* El total de atenciones remotas de consultas nuevas según origen de pacientes de 15 y más años NO DEBE superar el total de atenciones del grupo indicado. </v>
      </c>
      <c r="CF74" s="3811" t="str">
        <f t="shared" si="27"/>
        <v xml:space="preserve">* El total de altas de consultas nuevas según origen de menores de 15 años NO DEBE superar el total de atenciones del grupo indicado. </v>
      </c>
      <c r="CG74" s="3811" t="str">
        <f t="shared" si="28"/>
        <v xml:space="preserve">* El total de altas de consultas nuevas según origen de pacientes de 15 y más años NO DEBE superar el total de atenciones del grupo indicado. </v>
      </c>
      <c r="CH74" s="3811" t="str">
        <f t="shared" si="29"/>
        <v xml:space="preserve"> *Las Atenciones de Pueblos Originarios no pueden superar el total de Atenciones.</v>
      </c>
      <c r="CI74" s="3811" t="str">
        <f t="shared" si="30"/>
        <v xml:space="preserve"> *Las Atenciones de Migrantes no pueden superar el total de Atenciones.</v>
      </c>
      <c r="CM74" s="3811" t="e">
        <f t="shared" si="31"/>
        <v>#VALUE!</v>
      </c>
      <c r="CN74" s="3811">
        <f t="shared" si="32"/>
        <v>1</v>
      </c>
      <c r="CO74" s="3811">
        <f t="shared" si="33"/>
        <v>1</v>
      </c>
      <c r="CP74" s="3811">
        <f t="shared" si="34"/>
        <v>1</v>
      </c>
      <c r="CQ74" s="3811">
        <f t="shared" si="35"/>
        <v>1</v>
      </c>
      <c r="CR74" s="3811">
        <f t="shared" si="36"/>
        <v>1</v>
      </c>
      <c r="CS74" s="3811">
        <f t="shared" si="37"/>
        <v>1</v>
      </c>
      <c r="DA74" s="3811"/>
      <c r="DB74" s="3811"/>
      <c r="DC74" s="3811"/>
    </row>
    <row r="75" spans="1:107" ht="15.6" customHeight="1" x14ac:dyDescent="0.2">
      <c r="A75" s="7320">
        <v>32101567</v>
      </c>
      <c r="B75" s="3901" t="s">
        <v>3592</v>
      </c>
      <c r="C75" s="3902" t="s">
        <v>5369</v>
      </c>
      <c r="D75" s="3830" t="s">
        <v>5370</v>
      </c>
      <c r="E75" s="3903" t="s">
        <v>5371</v>
      </c>
      <c r="F75" s="3903" t="s">
        <v>5372</v>
      </c>
      <c r="G75" s="3903" t="s">
        <v>5373</v>
      </c>
      <c r="H75" s="3903" t="s">
        <v>5374</v>
      </c>
      <c r="I75" s="3903" t="s">
        <v>5375</v>
      </c>
      <c r="J75" s="3903" t="s">
        <v>5376</v>
      </c>
      <c r="K75" s="3903" t="s">
        <v>5377</v>
      </c>
      <c r="L75" s="3903" t="s">
        <v>5378</v>
      </c>
      <c r="M75" s="3903" t="s">
        <v>5379</v>
      </c>
      <c r="N75" s="3903" t="s">
        <v>5380</v>
      </c>
      <c r="O75" s="3903" t="s">
        <v>5381</v>
      </c>
      <c r="P75" s="3903" t="s">
        <v>5382</v>
      </c>
      <c r="Q75" s="3903" t="s">
        <v>5383</v>
      </c>
      <c r="R75" s="3903" t="s">
        <v>5384</v>
      </c>
      <c r="S75" s="3903" t="s">
        <v>5385</v>
      </c>
      <c r="T75" s="3841" t="s">
        <v>5386</v>
      </c>
      <c r="U75" s="3904" t="s">
        <v>5387</v>
      </c>
      <c r="V75" s="3905" t="s">
        <v>5388</v>
      </c>
      <c r="W75" s="3904" t="s">
        <v>5389</v>
      </c>
      <c r="X75" s="3905" t="s">
        <v>5390</v>
      </c>
      <c r="Y75" s="3904" t="s">
        <v>5391</v>
      </c>
      <c r="Z75" s="3905" t="s">
        <v>5392</v>
      </c>
      <c r="AA75" s="3901" t="s">
        <v>5393</v>
      </c>
      <c r="AB75" s="3904" t="s">
        <v>5394</v>
      </c>
      <c r="AC75" s="3906" t="s">
        <v>5395</v>
      </c>
      <c r="AD75" s="3906" t="s">
        <v>5396</v>
      </c>
      <c r="AE75" s="3905" t="s">
        <v>5397</v>
      </c>
      <c r="AF75" s="3901" t="s">
        <v>5398</v>
      </c>
      <c r="AG75" s="3904" t="s">
        <v>5399</v>
      </c>
      <c r="AH75" s="3906" t="s">
        <v>5400</v>
      </c>
      <c r="AI75" s="3906" t="s">
        <v>5401</v>
      </c>
      <c r="AJ75" s="3907" t="s">
        <v>5402</v>
      </c>
      <c r="AK75" s="3908" t="s">
        <v>5403</v>
      </c>
      <c r="AL75" s="3908" t="s">
        <v>5404</v>
      </c>
      <c r="AM75" s="3908" t="s">
        <v>5405</v>
      </c>
      <c r="AN75" s="3908" t="s">
        <v>5406</v>
      </c>
      <c r="AO75" s="3908" t="s">
        <v>5407</v>
      </c>
      <c r="AP75" s="3908" t="s">
        <v>5408</v>
      </c>
      <c r="AQ75" s="3908" t="s">
        <v>5409</v>
      </c>
      <c r="AR75" s="3908" t="s">
        <v>5410</v>
      </c>
      <c r="AS75" s="3810" t="e">
        <f t="shared" si="23"/>
        <v>#VALUE!</v>
      </c>
      <c r="BE75" s="3810"/>
      <c r="BF75" s="3810"/>
      <c r="BG75" s="3810"/>
      <c r="BH75" s="3810"/>
      <c r="BI75" s="3810"/>
      <c r="BJ75" s="3810"/>
      <c r="BK75" s="3810"/>
      <c r="BL75" s="3810"/>
      <c r="BM75" s="3810"/>
      <c r="BN75" s="3810"/>
      <c r="BO75" s="3810"/>
      <c r="CC75" s="3811" t="e">
        <f t="shared" si="24"/>
        <v>#VALUE!</v>
      </c>
      <c r="CD75" s="3811" t="str">
        <f t="shared" si="25"/>
        <v xml:space="preserve">* El total de atenciones remotas de consultas nuevas según origen de menores de 15 años NO DEBE superar el total de atenciones del grupo indicado. </v>
      </c>
      <c r="CE75" s="3811" t="str">
        <f t="shared" si="26"/>
        <v xml:space="preserve">* El total de atenciones remotas de consultas nuevas según origen de pacientes de 15 y más años NO DEBE superar el total de atenciones del grupo indicado. </v>
      </c>
      <c r="CF75" s="3811" t="str">
        <f t="shared" si="27"/>
        <v xml:space="preserve">* El total de altas de consultas nuevas según origen de menores de 15 años NO DEBE superar el total de atenciones del grupo indicado. </v>
      </c>
      <c r="CG75" s="3811" t="str">
        <f t="shared" si="28"/>
        <v xml:space="preserve">* El total de altas de consultas nuevas según origen de pacientes de 15 y más años NO DEBE superar el total de atenciones del grupo indicado. </v>
      </c>
      <c r="CH75" s="3811" t="str">
        <f t="shared" si="29"/>
        <v xml:space="preserve"> *Las Atenciones de Pueblos Originarios no pueden superar el total de Atenciones.</v>
      </c>
      <c r="CI75" s="3811" t="str">
        <f t="shared" si="30"/>
        <v xml:space="preserve"> *Las Atenciones de Migrantes no pueden superar el total de Atenciones.</v>
      </c>
      <c r="CM75" s="3811" t="e">
        <f t="shared" si="31"/>
        <v>#VALUE!</v>
      </c>
      <c r="CN75" s="3811">
        <f t="shared" si="32"/>
        <v>1</v>
      </c>
      <c r="CO75" s="3811">
        <f t="shared" si="33"/>
        <v>1</v>
      </c>
      <c r="CP75" s="3811">
        <f t="shared" si="34"/>
        <v>1</v>
      </c>
      <c r="CQ75" s="3811">
        <f t="shared" si="35"/>
        <v>1</v>
      </c>
      <c r="CR75" s="3811">
        <f t="shared" si="36"/>
        <v>1</v>
      </c>
      <c r="CS75" s="3811">
        <f t="shared" si="37"/>
        <v>1</v>
      </c>
      <c r="DA75" s="3811"/>
      <c r="DB75" s="3811"/>
      <c r="DC75" s="3811"/>
    </row>
    <row r="76" spans="1:107" ht="15.6" customHeight="1" x14ac:dyDescent="0.2">
      <c r="A76" s="7320">
        <v>32101568</v>
      </c>
      <c r="B76" s="3901" t="s">
        <v>35</v>
      </c>
      <c r="C76" s="3902" t="s">
        <v>5369</v>
      </c>
      <c r="D76" s="3830" t="s">
        <v>5370</v>
      </c>
      <c r="E76" s="3903" t="s">
        <v>5371</v>
      </c>
      <c r="F76" s="3903" t="s">
        <v>5372</v>
      </c>
      <c r="G76" s="3903" t="s">
        <v>5373</v>
      </c>
      <c r="H76" s="3903" t="s">
        <v>5374</v>
      </c>
      <c r="I76" s="3903" t="s">
        <v>5375</v>
      </c>
      <c r="J76" s="3903" t="s">
        <v>5376</v>
      </c>
      <c r="K76" s="3903" t="s">
        <v>5377</v>
      </c>
      <c r="L76" s="3903" t="s">
        <v>5378</v>
      </c>
      <c r="M76" s="3903" t="s">
        <v>5379</v>
      </c>
      <c r="N76" s="3903" t="s">
        <v>5380</v>
      </c>
      <c r="O76" s="3903" t="s">
        <v>5381</v>
      </c>
      <c r="P76" s="3903" t="s">
        <v>5382</v>
      </c>
      <c r="Q76" s="3903" t="s">
        <v>5383</v>
      </c>
      <c r="R76" s="3903" t="s">
        <v>5384</v>
      </c>
      <c r="S76" s="3903" t="s">
        <v>5385</v>
      </c>
      <c r="T76" s="3841" t="s">
        <v>5386</v>
      </c>
      <c r="U76" s="3904" t="s">
        <v>5387</v>
      </c>
      <c r="V76" s="3905" t="s">
        <v>5388</v>
      </c>
      <c r="W76" s="3904" t="s">
        <v>5389</v>
      </c>
      <c r="X76" s="3905" t="s">
        <v>5390</v>
      </c>
      <c r="Y76" s="3904" t="s">
        <v>5391</v>
      </c>
      <c r="Z76" s="3905" t="s">
        <v>5392</v>
      </c>
      <c r="AA76" s="3901" t="s">
        <v>5393</v>
      </c>
      <c r="AB76" s="3904" t="s">
        <v>5394</v>
      </c>
      <c r="AC76" s="3906" t="s">
        <v>5395</v>
      </c>
      <c r="AD76" s="3906" t="s">
        <v>5396</v>
      </c>
      <c r="AE76" s="3905" t="s">
        <v>5397</v>
      </c>
      <c r="AF76" s="3901" t="s">
        <v>5398</v>
      </c>
      <c r="AG76" s="3904" t="s">
        <v>5399</v>
      </c>
      <c r="AH76" s="3906" t="s">
        <v>5400</v>
      </c>
      <c r="AI76" s="3906" t="s">
        <v>5401</v>
      </c>
      <c r="AJ76" s="3907" t="s">
        <v>5402</v>
      </c>
      <c r="AK76" s="3908" t="s">
        <v>5403</v>
      </c>
      <c r="AL76" s="3908" t="s">
        <v>5404</v>
      </c>
      <c r="AM76" s="3908" t="s">
        <v>5405</v>
      </c>
      <c r="AN76" s="3908" t="s">
        <v>5406</v>
      </c>
      <c r="AO76" s="3908" t="s">
        <v>5407</v>
      </c>
      <c r="AP76" s="3908" t="s">
        <v>5408</v>
      </c>
      <c r="AQ76" s="3908" t="s">
        <v>5409</v>
      </c>
      <c r="AR76" s="3908" t="s">
        <v>5410</v>
      </c>
      <c r="AS76" s="3810" t="e">
        <f t="shared" si="23"/>
        <v>#VALUE!</v>
      </c>
      <c r="BE76" s="3810"/>
      <c r="BF76" s="3810"/>
      <c r="BG76" s="3810"/>
      <c r="BH76" s="3810"/>
      <c r="BI76" s="3810"/>
      <c r="BJ76" s="3810"/>
      <c r="BK76" s="3810"/>
      <c r="BL76" s="3810"/>
      <c r="BM76" s="3810"/>
      <c r="BN76" s="3810"/>
      <c r="BO76" s="3810"/>
      <c r="CC76" s="3811" t="e">
        <f t="shared" si="24"/>
        <v>#VALUE!</v>
      </c>
      <c r="CD76" s="3811" t="str">
        <f t="shared" si="25"/>
        <v xml:space="preserve">* El total de atenciones remotas de consultas nuevas según origen de menores de 15 años NO DEBE superar el total de atenciones del grupo indicado. </v>
      </c>
      <c r="CE76" s="3811" t="str">
        <f t="shared" si="26"/>
        <v xml:space="preserve">* El total de atenciones remotas de consultas nuevas según origen de pacientes de 15 y más años NO DEBE superar el total de atenciones del grupo indicado. </v>
      </c>
      <c r="CF76" s="3811" t="str">
        <f t="shared" si="27"/>
        <v xml:space="preserve">* El total de altas de consultas nuevas según origen de menores de 15 años NO DEBE superar el total de atenciones del grupo indicado. </v>
      </c>
      <c r="CG76" s="3811" t="str">
        <f t="shared" si="28"/>
        <v xml:space="preserve">* El total de altas de consultas nuevas según origen de pacientes de 15 y más años NO DEBE superar el total de atenciones del grupo indicado. </v>
      </c>
      <c r="CH76" s="3811" t="str">
        <f t="shared" si="29"/>
        <v xml:space="preserve"> *Las Atenciones de Pueblos Originarios no pueden superar el total de Atenciones.</v>
      </c>
      <c r="CI76" s="3811" t="str">
        <f t="shared" si="30"/>
        <v xml:space="preserve"> *Las Atenciones de Migrantes no pueden superar el total de Atenciones.</v>
      </c>
      <c r="CM76" s="3811" t="e">
        <f t="shared" si="31"/>
        <v>#VALUE!</v>
      </c>
      <c r="CN76" s="3811">
        <f t="shared" si="32"/>
        <v>1</v>
      </c>
      <c r="CO76" s="3811">
        <f t="shared" si="33"/>
        <v>1</v>
      </c>
      <c r="CP76" s="3811">
        <f t="shared" si="34"/>
        <v>1</v>
      </c>
      <c r="CQ76" s="3811">
        <f t="shared" si="35"/>
        <v>1</v>
      </c>
      <c r="CR76" s="3811">
        <f t="shared" si="36"/>
        <v>1</v>
      </c>
      <c r="CS76" s="3811">
        <f t="shared" si="37"/>
        <v>1</v>
      </c>
      <c r="DA76" s="3811"/>
      <c r="DB76" s="3811"/>
      <c r="DC76" s="3811"/>
    </row>
    <row r="77" spans="1:107" ht="15.6" customHeight="1" x14ac:dyDescent="0.2">
      <c r="A77" s="7320">
        <v>32101569</v>
      </c>
      <c r="B77" s="3901" t="s">
        <v>281</v>
      </c>
      <c r="C77" s="3902" t="s">
        <v>5369</v>
      </c>
      <c r="D77" s="3830" t="s">
        <v>5370</v>
      </c>
      <c r="E77" s="3903" t="s">
        <v>5371</v>
      </c>
      <c r="F77" s="3903" t="s">
        <v>5372</v>
      </c>
      <c r="G77" s="3903" t="s">
        <v>5373</v>
      </c>
      <c r="H77" s="3903" t="s">
        <v>5374</v>
      </c>
      <c r="I77" s="3903" t="s">
        <v>5375</v>
      </c>
      <c r="J77" s="3903" t="s">
        <v>5376</v>
      </c>
      <c r="K77" s="3903" t="s">
        <v>5377</v>
      </c>
      <c r="L77" s="3903" t="s">
        <v>5378</v>
      </c>
      <c r="M77" s="3903" t="s">
        <v>5379</v>
      </c>
      <c r="N77" s="3903" t="s">
        <v>5380</v>
      </c>
      <c r="O77" s="3903" t="s">
        <v>5381</v>
      </c>
      <c r="P77" s="3903" t="s">
        <v>5382</v>
      </c>
      <c r="Q77" s="3903" t="s">
        <v>5383</v>
      </c>
      <c r="R77" s="3903" t="s">
        <v>5384</v>
      </c>
      <c r="S77" s="3903" t="s">
        <v>5385</v>
      </c>
      <c r="T77" s="3841" t="s">
        <v>5386</v>
      </c>
      <c r="U77" s="3904" t="s">
        <v>5387</v>
      </c>
      <c r="V77" s="3905" t="s">
        <v>5388</v>
      </c>
      <c r="W77" s="3904" t="s">
        <v>5389</v>
      </c>
      <c r="X77" s="3905" t="s">
        <v>5390</v>
      </c>
      <c r="Y77" s="3904" t="s">
        <v>5391</v>
      </c>
      <c r="Z77" s="3905" t="s">
        <v>5392</v>
      </c>
      <c r="AA77" s="3901" t="s">
        <v>5393</v>
      </c>
      <c r="AB77" s="3904" t="s">
        <v>5394</v>
      </c>
      <c r="AC77" s="3906" t="s">
        <v>5395</v>
      </c>
      <c r="AD77" s="3906" t="s">
        <v>5396</v>
      </c>
      <c r="AE77" s="3905" t="s">
        <v>5397</v>
      </c>
      <c r="AF77" s="3901" t="s">
        <v>5398</v>
      </c>
      <c r="AG77" s="3904" t="s">
        <v>5399</v>
      </c>
      <c r="AH77" s="3906" t="s">
        <v>5400</v>
      </c>
      <c r="AI77" s="3906" t="s">
        <v>5401</v>
      </c>
      <c r="AJ77" s="3907" t="s">
        <v>5402</v>
      </c>
      <c r="AK77" s="3908" t="s">
        <v>5403</v>
      </c>
      <c r="AL77" s="3908" t="s">
        <v>5404</v>
      </c>
      <c r="AM77" s="3908" t="s">
        <v>5405</v>
      </c>
      <c r="AN77" s="3908" t="s">
        <v>5406</v>
      </c>
      <c r="AO77" s="3908" t="s">
        <v>5407</v>
      </c>
      <c r="AP77" s="3908" t="s">
        <v>5408</v>
      </c>
      <c r="AQ77" s="3908" t="s">
        <v>5409</v>
      </c>
      <c r="AR77" s="3908" t="s">
        <v>5410</v>
      </c>
      <c r="AS77" s="3810" t="e">
        <f t="shared" si="23"/>
        <v>#VALUE!</v>
      </c>
      <c r="BE77" s="3810"/>
      <c r="BF77" s="3810"/>
      <c r="BG77" s="3810"/>
      <c r="BH77" s="3810"/>
      <c r="BI77" s="3810"/>
      <c r="BJ77" s="3810"/>
      <c r="BK77" s="3810"/>
      <c r="BL77" s="3810"/>
      <c r="BM77" s="3810"/>
      <c r="BN77" s="3810"/>
      <c r="BO77" s="3810"/>
      <c r="CC77" s="3811" t="e">
        <f t="shared" si="24"/>
        <v>#VALUE!</v>
      </c>
      <c r="CD77" s="3811" t="str">
        <f t="shared" si="25"/>
        <v xml:space="preserve">* El total de atenciones remotas de consultas nuevas según origen de menores de 15 años NO DEBE superar el total de atenciones del grupo indicado. </v>
      </c>
      <c r="CE77" s="3811" t="str">
        <f t="shared" si="26"/>
        <v xml:space="preserve">* El total de atenciones remotas de consultas nuevas según origen de pacientes de 15 y más años NO DEBE superar el total de atenciones del grupo indicado. </v>
      </c>
      <c r="CF77" s="3811" t="str">
        <f t="shared" si="27"/>
        <v xml:space="preserve">* El total de altas de consultas nuevas según origen de menores de 15 años NO DEBE superar el total de atenciones del grupo indicado. </v>
      </c>
      <c r="CG77" s="3811" t="str">
        <f t="shared" si="28"/>
        <v xml:space="preserve">* El total de altas de consultas nuevas según origen de pacientes de 15 y más años NO DEBE superar el total de atenciones del grupo indicado. </v>
      </c>
      <c r="CH77" s="3811" t="str">
        <f t="shared" si="29"/>
        <v xml:space="preserve"> *Las Atenciones de Pueblos Originarios no pueden superar el total de Atenciones.</v>
      </c>
      <c r="CI77" s="3811" t="str">
        <f t="shared" si="30"/>
        <v xml:space="preserve"> *Las Atenciones de Migrantes no pueden superar el total de Atenciones.</v>
      </c>
      <c r="CM77" s="3811" t="e">
        <f t="shared" si="31"/>
        <v>#VALUE!</v>
      </c>
      <c r="CN77" s="3811">
        <f t="shared" si="32"/>
        <v>1</v>
      </c>
      <c r="CO77" s="3811">
        <f t="shared" si="33"/>
        <v>1</v>
      </c>
      <c r="CP77" s="3811">
        <f t="shared" si="34"/>
        <v>1</v>
      </c>
      <c r="CQ77" s="3811">
        <f t="shared" si="35"/>
        <v>1</v>
      </c>
      <c r="CR77" s="3811">
        <f t="shared" si="36"/>
        <v>1</v>
      </c>
      <c r="CS77" s="3811">
        <f t="shared" si="37"/>
        <v>1</v>
      </c>
      <c r="DA77" s="3811"/>
      <c r="DB77" s="3811"/>
      <c r="DC77" s="3811"/>
    </row>
    <row r="78" spans="1:107" ht="15.6" customHeight="1" x14ac:dyDescent="0.2">
      <c r="A78" s="7320">
        <v>32101570</v>
      </c>
      <c r="B78" s="3901" t="s">
        <v>36</v>
      </c>
      <c r="C78" s="3829" t="s">
        <v>5369</v>
      </c>
      <c r="D78" s="3830" t="s">
        <v>5370</v>
      </c>
      <c r="E78" s="3903" t="s">
        <v>5371</v>
      </c>
      <c r="F78" s="3903" t="s">
        <v>5372</v>
      </c>
      <c r="G78" s="3903" t="s">
        <v>5373</v>
      </c>
      <c r="H78" s="3903" t="s">
        <v>5374</v>
      </c>
      <c r="I78" s="3903" t="s">
        <v>5375</v>
      </c>
      <c r="J78" s="3903" t="s">
        <v>5376</v>
      </c>
      <c r="K78" s="3903" t="s">
        <v>5377</v>
      </c>
      <c r="L78" s="3903" t="s">
        <v>5378</v>
      </c>
      <c r="M78" s="3903" t="s">
        <v>5379</v>
      </c>
      <c r="N78" s="3903" t="s">
        <v>5380</v>
      </c>
      <c r="O78" s="3903" t="s">
        <v>5381</v>
      </c>
      <c r="P78" s="3903" t="s">
        <v>5382</v>
      </c>
      <c r="Q78" s="3903" t="s">
        <v>5383</v>
      </c>
      <c r="R78" s="3903" t="s">
        <v>5384</v>
      </c>
      <c r="S78" s="3903" t="s">
        <v>5385</v>
      </c>
      <c r="T78" s="3841" t="s">
        <v>5386</v>
      </c>
      <c r="U78" s="3830" t="s">
        <v>5387</v>
      </c>
      <c r="V78" s="3841" t="s">
        <v>5388</v>
      </c>
      <c r="W78" s="3830" t="s">
        <v>5389</v>
      </c>
      <c r="X78" s="3841" t="s">
        <v>5390</v>
      </c>
      <c r="Y78" s="3830" t="s">
        <v>5391</v>
      </c>
      <c r="Z78" s="3841" t="s">
        <v>5392</v>
      </c>
      <c r="AA78" s="3898" t="s">
        <v>5393</v>
      </c>
      <c r="AB78" s="3830" t="s">
        <v>5394</v>
      </c>
      <c r="AC78" s="3831" t="s">
        <v>5395</v>
      </c>
      <c r="AD78" s="3831" t="s">
        <v>5396</v>
      </c>
      <c r="AE78" s="3841" t="s">
        <v>5397</v>
      </c>
      <c r="AF78" s="3898" t="s">
        <v>5398</v>
      </c>
      <c r="AG78" s="3830" t="s">
        <v>5399</v>
      </c>
      <c r="AH78" s="3831" t="s">
        <v>5400</v>
      </c>
      <c r="AI78" s="3831" t="s">
        <v>5401</v>
      </c>
      <c r="AJ78" s="3916" t="s">
        <v>5402</v>
      </c>
      <c r="AK78" s="3900" t="s">
        <v>5403</v>
      </c>
      <c r="AL78" s="3900" t="s">
        <v>5404</v>
      </c>
      <c r="AM78" s="3908" t="s">
        <v>5405</v>
      </c>
      <c r="AN78" s="3900" t="s">
        <v>5406</v>
      </c>
      <c r="AO78" s="3900" t="s">
        <v>5407</v>
      </c>
      <c r="AP78" s="3900" t="s">
        <v>5408</v>
      </c>
      <c r="AQ78" s="3900" t="s">
        <v>5409</v>
      </c>
      <c r="AR78" s="3900" t="s">
        <v>5410</v>
      </c>
      <c r="AS78" s="3810" t="e">
        <f t="shared" si="23"/>
        <v>#VALUE!</v>
      </c>
      <c r="BE78" s="3810"/>
      <c r="BF78" s="3810"/>
      <c r="BG78" s="3810"/>
      <c r="BH78" s="3810"/>
      <c r="BI78" s="3810"/>
      <c r="BJ78" s="3810"/>
      <c r="BK78" s="3810"/>
      <c r="BL78" s="3810"/>
      <c r="BM78" s="3810"/>
      <c r="BN78" s="3810"/>
      <c r="BO78" s="3810"/>
      <c r="CC78" s="3811" t="e">
        <f t="shared" si="24"/>
        <v>#VALUE!</v>
      </c>
      <c r="CD78" s="3811" t="str">
        <f t="shared" si="25"/>
        <v xml:space="preserve">* El total de atenciones remotas de consultas nuevas según origen de menores de 15 años NO DEBE superar el total de atenciones del grupo indicado. </v>
      </c>
      <c r="CE78" s="3811" t="str">
        <f t="shared" si="26"/>
        <v xml:space="preserve">* El total de atenciones remotas de consultas nuevas según origen de pacientes de 15 y más años NO DEBE superar el total de atenciones del grupo indicado. </v>
      </c>
      <c r="CF78" s="3811" t="str">
        <f t="shared" si="27"/>
        <v xml:space="preserve">* El total de altas de consultas nuevas según origen de menores de 15 años NO DEBE superar el total de atenciones del grupo indicado. </v>
      </c>
      <c r="CG78" s="3811" t="str">
        <f t="shared" si="28"/>
        <v xml:space="preserve">* El total de altas de consultas nuevas según origen de pacientes de 15 y más años NO DEBE superar el total de atenciones del grupo indicado. </v>
      </c>
      <c r="CH78" s="3811" t="str">
        <f t="shared" si="29"/>
        <v xml:space="preserve"> *Las Atenciones de Pueblos Originarios no pueden superar el total de Atenciones.</v>
      </c>
      <c r="CI78" s="3811" t="str">
        <f t="shared" si="30"/>
        <v xml:space="preserve"> *Las Atenciones de Migrantes no pueden superar el total de Atenciones.</v>
      </c>
      <c r="CJ78" s="3917"/>
      <c r="CK78" s="3917"/>
      <c r="CM78" s="3811" t="e">
        <f t="shared" si="31"/>
        <v>#VALUE!</v>
      </c>
      <c r="CN78" s="3811">
        <f t="shared" si="32"/>
        <v>1</v>
      </c>
      <c r="CO78" s="3811">
        <f t="shared" si="33"/>
        <v>1</v>
      </c>
      <c r="CP78" s="3811">
        <f t="shared" si="34"/>
        <v>1</v>
      </c>
      <c r="CQ78" s="3811">
        <f t="shared" si="35"/>
        <v>1</v>
      </c>
      <c r="CR78" s="3811">
        <f t="shared" si="36"/>
        <v>1</v>
      </c>
      <c r="CS78" s="3811">
        <f t="shared" si="37"/>
        <v>1</v>
      </c>
      <c r="DA78" s="3811"/>
      <c r="DB78" s="3811"/>
      <c r="DC78" s="3811"/>
    </row>
    <row r="79" spans="1:107" ht="15.6" customHeight="1" x14ac:dyDescent="0.2">
      <c r="A79" s="7320">
        <v>32101571</v>
      </c>
      <c r="B79" s="3901" t="s">
        <v>34</v>
      </c>
      <c r="C79" s="3829" t="s">
        <v>5369</v>
      </c>
      <c r="D79" s="3830" t="s">
        <v>5370</v>
      </c>
      <c r="E79" s="3903" t="s">
        <v>5371</v>
      </c>
      <c r="F79" s="3903" t="s">
        <v>5372</v>
      </c>
      <c r="G79" s="3903" t="s">
        <v>5373</v>
      </c>
      <c r="H79" s="3903" t="s">
        <v>5374</v>
      </c>
      <c r="I79" s="3903" t="s">
        <v>5375</v>
      </c>
      <c r="J79" s="3903" t="s">
        <v>5376</v>
      </c>
      <c r="K79" s="3903" t="s">
        <v>5377</v>
      </c>
      <c r="L79" s="3903" t="s">
        <v>5378</v>
      </c>
      <c r="M79" s="3903" t="s">
        <v>5379</v>
      </c>
      <c r="N79" s="3903" t="s">
        <v>5380</v>
      </c>
      <c r="O79" s="3903" t="s">
        <v>5381</v>
      </c>
      <c r="P79" s="3903" t="s">
        <v>5382</v>
      </c>
      <c r="Q79" s="3903" t="s">
        <v>5383</v>
      </c>
      <c r="R79" s="3903" t="s">
        <v>5384</v>
      </c>
      <c r="S79" s="3903" t="s">
        <v>5385</v>
      </c>
      <c r="T79" s="3841" t="s">
        <v>5386</v>
      </c>
      <c r="U79" s="3830" t="s">
        <v>5387</v>
      </c>
      <c r="V79" s="3841" t="s">
        <v>5388</v>
      </c>
      <c r="W79" s="3830" t="s">
        <v>5389</v>
      </c>
      <c r="X79" s="3841" t="s">
        <v>5390</v>
      </c>
      <c r="Y79" s="3830" t="s">
        <v>5391</v>
      </c>
      <c r="Z79" s="3841" t="s">
        <v>5392</v>
      </c>
      <c r="AA79" s="3898" t="s">
        <v>5393</v>
      </c>
      <c r="AB79" s="3830" t="s">
        <v>5394</v>
      </c>
      <c r="AC79" s="3831" t="s">
        <v>5395</v>
      </c>
      <c r="AD79" s="3831" t="s">
        <v>5396</v>
      </c>
      <c r="AE79" s="3841" t="s">
        <v>5397</v>
      </c>
      <c r="AF79" s="3898" t="s">
        <v>5398</v>
      </c>
      <c r="AG79" s="3830" t="s">
        <v>5399</v>
      </c>
      <c r="AH79" s="3831" t="s">
        <v>5400</v>
      </c>
      <c r="AI79" s="3831" t="s">
        <v>5401</v>
      </c>
      <c r="AJ79" s="3916" t="s">
        <v>5402</v>
      </c>
      <c r="AK79" s="3900" t="s">
        <v>5403</v>
      </c>
      <c r="AL79" s="3900" t="s">
        <v>5404</v>
      </c>
      <c r="AM79" s="3908" t="s">
        <v>5405</v>
      </c>
      <c r="AN79" s="3900" t="s">
        <v>5406</v>
      </c>
      <c r="AO79" s="3900" t="s">
        <v>5407</v>
      </c>
      <c r="AP79" s="3900" t="s">
        <v>5408</v>
      </c>
      <c r="AQ79" s="3900" t="s">
        <v>5409</v>
      </c>
      <c r="AR79" s="3900" t="s">
        <v>5410</v>
      </c>
      <c r="AS79" s="3810" t="e">
        <f t="shared" si="23"/>
        <v>#VALUE!</v>
      </c>
      <c r="BE79" s="3810"/>
      <c r="BF79" s="3810"/>
      <c r="BG79" s="3810"/>
      <c r="BH79" s="3810"/>
      <c r="BI79" s="3810"/>
      <c r="BJ79" s="3810"/>
      <c r="BK79" s="3810"/>
      <c r="BL79" s="3810"/>
      <c r="BM79" s="3810"/>
      <c r="BN79" s="3810"/>
      <c r="BO79" s="3810"/>
      <c r="CC79" s="3811" t="e">
        <f t="shared" si="24"/>
        <v>#VALUE!</v>
      </c>
      <c r="CD79" s="3811" t="str">
        <f t="shared" si="25"/>
        <v xml:space="preserve">* El total de atenciones remotas de consultas nuevas según origen de menores de 15 años NO DEBE superar el total de atenciones del grupo indicado. </v>
      </c>
      <c r="CE79" s="3811" t="str">
        <f t="shared" si="26"/>
        <v xml:space="preserve">* El total de atenciones remotas de consultas nuevas según origen de pacientes de 15 y más años NO DEBE superar el total de atenciones del grupo indicado. </v>
      </c>
      <c r="CF79" s="3811" t="str">
        <f t="shared" si="27"/>
        <v xml:space="preserve">* El total de altas de consultas nuevas según origen de menores de 15 años NO DEBE superar el total de atenciones del grupo indicado. </v>
      </c>
      <c r="CG79" s="3811" t="str">
        <f t="shared" si="28"/>
        <v xml:space="preserve">* El total de altas de consultas nuevas según origen de pacientes de 15 y más años NO DEBE superar el total de atenciones del grupo indicado. </v>
      </c>
      <c r="CH79" s="3811" t="str">
        <f t="shared" si="29"/>
        <v xml:space="preserve"> *Las Atenciones de Pueblos Originarios no pueden superar el total de Atenciones.</v>
      </c>
      <c r="CI79" s="3811" t="str">
        <f t="shared" si="30"/>
        <v xml:space="preserve"> *Las Atenciones de Migrantes no pueden superar el total de Atenciones.</v>
      </c>
      <c r="CJ79" s="3917"/>
      <c r="CK79" s="3917"/>
      <c r="CM79" s="3811" t="e">
        <f t="shared" si="31"/>
        <v>#VALUE!</v>
      </c>
      <c r="CN79" s="3811">
        <f t="shared" si="32"/>
        <v>1</v>
      </c>
      <c r="CO79" s="3811">
        <f t="shared" si="33"/>
        <v>1</v>
      </c>
      <c r="CP79" s="3811">
        <f t="shared" si="34"/>
        <v>1</v>
      </c>
      <c r="CQ79" s="3811">
        <f t="shared" si="35"/>
        <v>1</v>
      </c>
      <c r="CR79" s="3811">
        <f t="shared" si="36"/>
        <v>1</v>
      </c>
      <c r="CS79" s="3811">
        <f t="shared" si="37"/>
        <v>1</v>
      </c>
      <c r="DA79" s="3811"/>
      <c r="DB79" s="3811"/>
      <c r="DC79" s="3811"/>
    </row>
    <row r="80" spans="1:107" ht="15.6" customHeight="1" x14ac:dyDescent="0.2">
      <c r="A80" s="7320">
        <v>32101572</v>
      </c>
      <c r="B80" s="3892" t="s">
        <v>282</v>
      </c>
      <c r="C80" s="3829" t="s">
        <v>5369</v>
      </c>
      <c r="D80" s="3830" t="s">
        <v>5370</v>
      </c>
      <c r="E80" s="3903" t="s">
        <v>5371</v>
      </c>
      <c r="F80" s="3903" t="s">
        <v>5372</v>
      </c>
      <c r="G80" s="3903" t="s">
        <v>5373</v>
      </c>
      <c r="H80" s="3903" t="s">
        <v>5374</v>
      </c>
      <c r="I80" s="3903" t="s">
        <v>5375</v>
      </c>
      <c r="J80" s="3903" t="s">
        <v>5376</v>
      </c>
      <c r="K80" s="3903" t="s">
        <v>5377</v>
      </c>
      <c r="L80" s="3903" t="s">
        <v>5378</v>
      </c>
      <c r="M80" s="3903" t="s">
        <v>5379</v>
      </c>
      <c r="N80" s="3903" t="s">
        <v>5380</v>
      </c>
      <c r="O80" s="3903" t="s">
        <v>5381</v>
      </c>
      <c r="P80" s="3903" t="s">
        <v>5382</v>
      </c>
      <c r="Q80" s="3903" t="s">
        <v>5383</v>
      </c>
      <c r="R80" s="3903" t="s">
        <v>5384</v>
      </c>
      <c r="S80" s="3903" t="s">
        <v>5385</v>
      </c>
      <c r="T80" s="3841" t="s">
        <v>5386</v>
      </c>
      <c r="U80" s="3830" t="s">
        <v>5387</v>
      </c>
      <c r="V80" s="3841" t="s">
        <v>5388</v>
      </c>
      <c r="W80" s="3830" t="s">
        <v>5389</v>
      </c>
      <c r="X80" s="3841" t="s">
        <v>5390</v>
      </c>
      <c r="Y80" s="3830" t="s">
        <v>5391</v>
      </c>
      <c r="Z80" s="3841" t="s">
        <v>5392</v>
      </c>
      <c r="AA80" s="3898" t="s">
        <v>5393</v>
      </c>
      <c r="AB80" s="3830" t="s">
        <v>5394</v>
      </c>
      <c r="AC80" s="3831" t="s">
        <v>5395</v>
      </c>
      <c r="AD80" s="3831" t="s">
        <v>5396</v>
      </c>
      <c r="AE80" s="3841" t="s">
        <v>5397</v>
      </c>
      <c r="AF80" s="3898" t="s">
        <v>5398</v>
      </c>
      <c r="AG80" s="3830" t="s">
        <v>5399</v>
      </c>
      <c r="AH80" s="3831" t="s">
        <v>5400</v>
      </c>
      <c r="AI80" s="3831" t="s">
        <v>5401</v>
      </c>
      <c r="AJ80" s="3916" t="s">
        <v>5402</v>
      </c>
      <c r="AK80" s="3900" t="s">
        <v>5403</v>
      </c>
      <c r="AL80" s="3900" t="s">
        <v>5404</v>
      </c>
      <c r="AM80" s="3908" t="s">
        <v>5405</v>
      </c>
      <c r="AN80" s="3900" t="s">
        <v>5406</v>
      </c>
      <c r="AO80" s="3900" t="s">
        <v>5407</v>
      </c>
      <c r="AP80" s="3900" t="s">
        <v>5408</v>
      </c>
      <c r="AQ80" s="3900" t="s">
        <v>5409</v>
      </c>
      <c r="AR80" s="3900" t="s">
        <v>5410</v>
      </c>
      <c r="AS80" s="3810" t="e">
        <f t="shared" si="23"/>
        <v>#VALUE!</v>
      </c>
      <c r="BE80" s="3810"/>
      <c r="BF80" s="3810"/>
      <c r="BG80" s="3810"/>
      <c r="BH80" s="3810"/>
      <c r="BI80" s="3810"/>
      <c r="BJ80" s="3810"/>
      <c r="BK80" s="3810"/>
      <c r="BL80" s="3810"/>
      <c r="BM80" s="3810"/>
      <c r="BN80" s="3810"/>
      <c r="BO80" s="3810"/>
      <c r="CC80" s="3811" t="e">
        <f t="shared" si="24"/>
        <v>#VALUE!</v>
      </c>
      <c r="CD80" s="3811" t="str">
        <f t="shared" si="25"/>
        <v xml:space="preserve">* El total de atenciones remotas de consultas nuevas según origen de menores de 15 años NO DEBE superar el total de atenciones del grupo indicado. </v>
      </c>
      <c r="CE80" s="3811" t="str">
        <f t="shared" si="26"/>
        <v xml:space="preserve">* El total de atenciones remotas de consultas nuevas según origen de pacientes de 15 y más años NO DEBE superar el total de atenciones del grupo indicado. </v>
      </c>
      <c r="CF80" s="3811" t="str">
        <f t="shared" si="27"/>
        <v xml:space="preserve">* El total de altas de consultas nuevas según origen de menores de 15 años NO DEBE superar el total de atenciones del grupo indicado. </v>
      </c>
      <c r="CG80" s="3811" t="str">
        <f t="shared" si="28"/>
        <v xml:space="preserve">* El total de altas de consultas nuevas según origen de pacientes de 15 y más años NO DEBE superar el total de atenciones del grupo indicado. </v>
      </c>
      <c r="CH80" s="3811" t="str">
        <f t="shared" si="29"/>
        <v xml:space="preserve"> *Las Atenciones de Pueblos Originarios no pueden superar el total de Atenciones.</v>
      </c>
      <c r="CI80" s="3811" t="str">
        <f t="shared" si="30"/>
        <v xml:space="preserve"> *Las Atenciones de Migrantes no pueden superar el total de Atenciones.</v>
      </c>
      <c r="CJ80" s="3917"/>
      <c r="CK80" s="3917"/>
      <c r="CM80" s="3811" t="e">
        <f t="shared" si="31"/>
        <v>#VALUE!</v>
      </c>
      <c r="CN80" s="3811">
        <f t="shared" si="32"/>
        <v>1</v>
      </c>
      <c r="CO80" s="3811">
        <f t="shared" si="33"/>
        <v>1</v>
      </c>
      <c r="CP80" s="3811">
        <f t="shared" si="34"/>
        <v>1</v>
      </c>
      <c r="CQ80" s="3811">
        <f t="shared" si="35"/>
        <v>1</v>
      </c>
      <c r="CR80" s="3811">
        <f t="shared" si="36"/>
        <v>1</v>
      </c>
      <c r="CS80" s="3811">
        <f t="shared" si="37"/>
        <v>1</v>
      </c>
      <c r="DA80" s="3811"/>
      <c r="DB80" s="3811"/>
      <c r="DC80" s="3811"/>
    </row>
    <row r="81" spans="1:107" ht="15.6" customHeight="1" x14ac:dyDescent="0.2">
      <c r="A81" s="7320">
        <v>32101573</v>
      </c>
      <c r="B81" s="3915" t="s">
        <v>283</v>
      </c>
      <c r="C81" s="3829" t="s">
        <v>5369</v>
      </c>
      <c r="D81" s="3830" t="s">
        <v>5370</v>
      </c>
      <c r="E81" s="3903" t="s">
        <v>5371</v>
      </c>
      <c r="F81" s="3903" t="s">
        <v>5372</v>
      </c>
      <c r="G81" s="3903" t="s">
        <v>5373</v>
      </c>
      <c r="H81" s="3903" t="s">
        <v>5374</v>
      </c>
      <c r="I81" s="3903" t="s">
        <v>5375</v>
      </c>
      <c r="J81" s="3903" t="s">
        <v>5376</v>
      </c>
      <c r="K81" s="3903" t="s">
        <v>5377</v>
      </c>
      <c r="L81" s="3903" t="s">
        <v>5378</v>
      </c>
      <c r="M81" s="3903" t="s">
        <v>5379</v>
      </c>
      <c r="N81" s="3903" t="s">
        <v>5380</v>
      </c>
      <c r="O81" s="3903" t="s">
        <v>5381</v>
      </c>
      <c r="P81" s="3903" t="s">
        <v>5382</v>
      </c>
      <c r="Q81" s="3903" t="s">
        <v>5383</v>
      </c>
      <c r="R81" s="3903" t="s">
        <v>5384</v>
      </c>
      <c r="S81" s="3903" t="s">
        <v>5385</v>
      </c>
      <c r="T81" s="3841" t="s">
        <v>5386</v>
      </c>
      <c r="U81" s="3830" t="s">
        <v>5387</v>
      </c>
      <c r="V81" s="3841" t="s">
        <v>5388</v>
      </c>
      <c r="W81" s="3830" t="s">
        <v>5389</v>
      </c>
      <c r="X81" s="3841" t="s">
        <v>5390</v>
      </c>
      <c r="Y81" s="3830" t="s">
        <v>5391</v>
      </c>
      <c r="Z81" s="3841" t="s">
        <v>5392</v>
      </c>
      <c r="AA81" s="3898" t="s">
        <v>5393</v>
      </c>
      <c r="AB81" s="3830" t="s">
        <v>5394</v>
      </c>
      <c r="AC81" s="3831" t="s">
        <v>5395</v>
      </c>
      <c r="AD81" s="3831" t="s">
        <v>5396</v>
      </c>
      <c r="AE81" s="3841" t="s">
        <v>5397</v>
      </c>
      <c r="AF81" s="3898" t="s">
        <v>5398</v>
      </c>
      <c r="AG81" s="3830" t="s">
        <v>5399</v>
      </c>
      <c r="AH81" s="3831" t="s">
        <v>5400</v>
      </c>
      <c r="AI81" s="3831" t="s">
        <v>5401</v>
      </c>
      <c r="AJ81" s="3916" t="s">
        <v>5402</v>
      </c>
      <c r="AK81" s="3900" t="s">
        <v>5403</v>
      </c>
      <c r="AL81" s="3900" t="s">
        <v>5404</v>
      </c>
      <c r="AM81" s="3908" t="s">
        <v>5405</v>
      </c>
      <c r="AN81" s="3900" t="s">
        <v>5406</v>
      </c>
      <c r="AO81" s="3900" t="s">
        <v>5407</v>
      </c>
      <c r="AP81" s="3900" t="s">
        <v>5408</v>
      </c>
      <c r="AQ81" s="3900" t="s">
        <v>5409</v>
      </c>
      <c r="AR81" s="3900" t="s">
        <v>5410</v>
      </c>
      <c r="AS81" s="3810" t="e">
        <f t="shared" si="23"/>
        <v>#VALUE!</v>
      </c>
      <c r="BE81" s="3810"/>
      <c r="BF81" s="3810"/>
      <c r="BG81" s="3810"/>
      <c r="BH81" s="3810"/>
      <c r="BI81" s="3810"/>
      <c r="BJ81" s="3810"/>
      <c r="BK81" s="3810"/>
      <c r="BL81" s="3810"/>
      <c r="BM81" s="3810"/>
      <c r="BN81" s="3810"/>
      <c r="BO81" s="3810"/>
      <c r="CC81" s="3811" t="e">
        <f t="shared" si="24"/>
        <v>#VALUE!</v>
      </c>
      <c r="CD81" s="3811" t="str">
        <f t="shared" si="25"/>
        <v xml:space="preserve">* El total de atenciones remotas de consultas nuevas según origen de menores de 15 años NO DEBE superar el total de atenciones del grupo indicado. </v>
      </c>
      <c r="CE81" s="3811" t="str">
        <f t="shared" si="26"/>
        <v xml:space="preserve">* El total de atenciones remotas de consultas nuevas según origen de pacientes de 15 y más años NO DEBE superar el total de atenciones del grupo indicado. </v>
      </c>
      <c r="CF81" s="3811" t="str">
        <f t="shared" si="27"/>
        <v xml:space="preserve">* El total de altas de consultas nuevas según origen de menores de 15 años NO DEBE superar el total de atenciones del grupo indicado. </v>
      </c>
      <c r="CG81" s="3811" t="str">
        <f t="shared" si="28"/>
        <v xml:space="preserve">* El total de altas de consultas nuevas según origen de pacientes de 15 y más años NO DEBE superar el total de atenciones del grupo indicado. </v>
      </c>
      <c r="CH81" s="3811" t="str">
        <f t="shared" si="29"/>
        <v xml:space="preserve"> *Las Atenciones de Pueblos Originarios no pueden superar el total de Atenciones.</v>
      </c>
      <c r="CI81" s="3811" t="str">
        <f t="shared" si="30"/>
        <v xml:space="preserve"> *Las Atenciones de Migrantes no pueden superar el total de Atenciones.</v>
      </c>
      <c r="CJ81" s="3917"/>
      <c r="CK81" s="3917"/>
      <c r="CM81" s="3811" t="e">
        <f t="shared" si="31"/>
        <v>#VALUE!</v>
      </c>
      <c r="CN81" s="3811">
        <f t="shared" si="32"/>
        <v>1</v>
      </c>
      <c r="CO81" s="3811">
        <f t="shared" si="33"/>
        <v>1</v>
      </c>
      <c r="CP81" s="3811">
        <f t="shared" si="34"/>
        <v>1</v>
      </c>
      <c r="CQ81" s="3811">
        <f t="shared" si="35"/>
        <v>1</v>
      </c>
      <c r="CR81" s="3811">
        <f t="shared" si="36"/>
        <v>1</v>
      </c>
      <c r="CS81" s="3811">
        <f t="shared" si="37"/>
        <v>1</v>
      </c>
      <c r="DA81" s="3811"/>
      <c r="DB81" s="3811"/>
      <c r="DC81" s="3811"/>
    </row>
    <row r="82" spans="1:107" ht="15.6" customHeight="1" x14ac:dyDescent="0.2">
      <c r="A82" s="7320">
        <v>32101574</v>
      </c>
      <c r="B82" s="3915" t="s">
        <v>284</v>
      </c>
      <c r="C82" s="3829" t="s">
        <v>5369</v>
      </c>
      <c r="D82" s="3830" t="s">
        <v>5370</v>
      </c>
      <c r="E82" s="3903" t="s">
        <v>5371</v>
      </c>
      <c r="F82" s="3903" t="s">
        <v>5372</v>
      </c>
      <c r="G82" s="3903" t="s">
        <v>5373</v>
      </c>
      <c r="H82" s="3903" t="s">
        <v>5374</v>
      </c>
      <c r="I82" s="3903" t="s">
        <v>5375</v>
      </c>
      <c r="J82" s="3903" t="s">
        <v>5376</v>
      </c>
      <c r="K82" s="3903" t="s">
        <v>5377</v>
      </c>
      <c r="L82" s="3903" t="s">
        <v>5378</v>
      </c>
      <c r="M82" s="3903" t="s">
        <v>5379</v>
      </c>
      <c r="N82" s="3903" t="s">
        <v>5380</v>
      </c>
      <c r="O82" s="3903" t="s">
        <v>5381</v>
      </c>
      <c r="P82" s="3903" t="s">
        <v>5382</v>
      </c>
      <c r="Q82" s="3903" t="s">
        <v>5383</v>
      </c>
      <c r="R82" s="3903" t="s">
        <v>5384</v>
      </c>
      <c r="S82" s="3903" t="s">
        <v>5385</v>
      </c>
      <c r="T82" s="3841" t="s">
        <v>5386</v>
      </c>
      <c r="U82" s="3830" t="s">
        <v>5387</v>
      </c>
      <c r="V82" s="3841" t="s">
        <v>5388</v>
      </c>
      <c r="W82" s="3830" t="s">
        <v>5389</v>
      </c>
      <c r="X82" s="3841" t="s">
        <v>5390</v>
      </c>
      <c r="Y82" s="3830" t="s">
        <v>5391</v>
      </c>
      <c r="Z82" s="3841" t="s">
        <v>5392</v>
      </c>
      <c r="AA82" s="3898" t="s">
        <v>5393</v>
      </c>
      <c r="AB82" s="3830" t="s">
        <v>5394</v>
      </c>
      <c r="AC82" s="3831" t="s">
        <v>5395</v>
      </c>
      <c r="AD82" s="3831" t="s">
        <v>5396</v>
      </c>
      <c r="AE82" s="3841" t="s">
        <v>5397</v>
      </c>
      <c r="AF82" s="3898" t="s">
        <v>5398</v>
      </c>
      <c r="AG82" s="3830" t="s">
        <v>5399</v>
      </c>
      <c r="AH82" s="3831" t="s">
        <v>5400</v>
      </c>
      <c r="AI82" s="3831" t="s">
        <v>5401</v>
      </c>
      <c r="AJ82" s="3916" t="s">
        <v>5402</v>
      </c>
      <c r="AK82" s="3900" t="s">
        <v>5403</v>
      </c>
      <c r="AL82" s="3900" t="s">
        <v>5404</v>
      </c>
      <c r="AM82" s="3908" t="s">
        <v>5405</v>
      </c>
      <c r="AN82" s="3900" t="s">
        <v>5406</v>
      </c>
      <c r="AO82" s="3900" t="s">
        <v>5407</v>
      </c>
      <c r="AP82" s="3900" t="s">
        <v>5408</v>
      </c>
      <c r="AQ82" s="3900" t="s">
        <v>5409</v>
      </c>
      <c r="AR82" s="3900" t="s">
        <v>5410</v>
      </c>
      <c r="AS82" s="3810" t="e">
        <f t="shared" si="23"/>
        <v>#VALUE!</v>
      </c>
      <c r="BE82" s="3810"/>
      <c r="BF82" s="3810"/>
      <c r="BG82" s="3810"/>
      <c r="BH82" s="3810"/>
      <c r="BI82" s="3810"/>
      <c r="BJ82" s="3810"/>
      <c r="BK82" s="3810"/>
      <c r="BL82" s="3810"/>
      <c r="BM82" s="3810"/>
      <c r="BN82" s="3810"/>
      <c r="BO82" s="3810"/>
      <c r="CC82" s="3811" t="e">
        <f t="shared" si="24"/>
        <v>#VALUE!</v>
      </c>
      <c r="CD82" s="3811" t="str">
        <f t="shared" si="25"/>
        <v xml:space="preserve">* El total de atenciones remotas de consultas nuevas según origen de menores de 15 años NO DEBE superar el total de atenciones del grupo indicado. </v>
      </c>
      <c r="CE82" s="3811" t="str">
        <f t="shared" si="26"/>
        <v xml:space="preserve">* El total de atenciones remotas de consultas nuevas según origen de pacientes de 15 y más años NO DEBE superar el total de atenciones del grupo indicado. </v>
      </c>
      <c r="CF82" s="3811" t="str">
        <f t="shared" si="27"/>
        <v xml:space="preserve">* El total de altas de consultas nuevas según origen de menores de 15 años NO DEBE superar el total de atenciones del grupo indicado. </v>
      </c>
      <c r="CG82" s="3811" t="str">
        <f t="shared" si="28"/>
        <v xml:space="preserve">* El total de altas de consultas nuevas según origen de pacientes de 15 y más años NO DEBE superar el total de atenciones del grupo indicado. </v>
      </c>
      <c r="CH82" s="3811" t="str">
        <f t="shared" si="29"/>
        <v xml:space="preserve"> *Las Atenciones de Pueblos Originarios no pueden superar el total de Atenciones.</v>
      </c>
      <c r="CI82" s="3811" t="str">
        <f t="shared" si="30"/>
        <v xml:space="preserve"> *Las Atenciones de Migrantes no pueden superar el total de Atenciones.</v>
      </c>
      <c r="CJ82" s="3917"/>
      <c r="CK82" s="3917"/>
      <c r="CM82" s="3811" t="e">
        <f t="shared" si="31"/>
        <v>#VALUE!</v>
      </c>
      <c r="CN82" s="3811">
        <f t="shared" si="32"/>
        <v>1</v>
      </c>
      <c r="CO82" s="3811">
        <f t="shared" si="33"/>
        <v>1</v>
      </c>
      <c r="CP82" s="3811">
        <f t="shared" si="34"/>
        <v>1</v>
      </c>
      <c r="CQ82" s="3811">
        <f t="shared" si="35"/>
        <v>1</v>
      </c>
      <c r="CR82" s="3811">
        <f t="shared" si="36"/>
        <v>1</v>
      </c>
      <c r="CS82" s="3811">
        <f t="shared" si="37"/>
        <v>1</v>
      </c>
      <c r="DA82" s="3811"/>
      <c r="DB82" s="3811"/>
      <c r="DC82" s="3811"/>
    </row>
    <row r="83" spans="1:107" ht="15.6" customHeight="1" x14ac:dyDescent="0.2">
      <c r="A83" s="7320">
        <v>32101575</v>
      </c>
      <c r="B83" s="3915" t="s">
        <v>464</v>
      </c>
      <c r="C83" s="3829" t="s">
        <v>5369</v>
      </c>
      <c r="D83" s="3830" t="s">
        <v>5370</v>
      </c>
      <c r="E83" s="3903" t="s">
        <v>5371</v>
      </c>
      <c r="F83" s="3903" t="s">
        <v>5372</v>
      </c>
      <c r="G83" s="3903" t="s">
        <v>5373</v>
      </c>
      <c r="H83" s="3903" t="s">
        <v>5374</v>
      </c>
      <c r="I83" s="3903" t="s">
        <v>5375</v>
      </c>
      <c r="J83" s="3903" t="s">
        <v>5376</v>
      </c>
      <c r="K83" s="3903" t="s">
        <v>5377</v>
      </c>
      <c r="L83" s="3903" t="s">
        <v>5378</v>
      </c>
      <c r="M83" s="3903" t="s">
        <v>5379</v>
      </c>
      <c r="N83" s="3903" t="s">
        <v>5380</v>
      </c>
      <c r="O83" s="3903" t="s">
        <v>5381</v>
      </c>
      <c r="P83" s="3903" t="s">
        <v>5382</v>
      </c>
      <c r="Q83" s="3903" t="s">
        <v>5383</v>
      </c>
      <c r="R83" s="3903" t="s">
        <v>5384</v>
      </c>
      <c r="S83" s="3903" t="s">
        <v>5385</v>
      </c>
      <c r="T83" s="3841" t="s">
        <v>5386</v>
      </c>
      <c r="U83" s="3830" t="s">
        <v>5387</v>
      </c>
      <c r="V83" s="3841" t="s">
        <v>5388</v>
      </c>
      <c r="W83" s="3830" t="s">
        <v>5389</v>
      </c>
      <c r="X83" s="3841" t="s">
        <v>5390</v>
      </c>
      <c r="Y83" s="3830" t="s">
        <v>5391</v>
      </c>
      <c r="Z83" s="3841" t="s">
        <v>5392</v>
      </c>
      <c r="AA83" s="3898" t="s">
        <v>5393</v>
      </c>
      <c r="AB83" s="3830" t="s">
        <v>5394</v>
      </c>
      <c r="AC83" s="3831" t="s">
        <v>5395</v>
      </c>
      <c r="AD83" s="3831" t="s">
        <v>5396</v>
      </c>
      <c r="AE83" s="3841" t="s">
        <v>5397</v>
      </c>
      <c r="AF83" s="3898" t="s">
        <v>5398</v>
      </c>
      <c r="AG83" s="3830" t="s">
        <v>5399</v>
      </c>
      <c r="AH83" s="3831" t="s">
        <v>5400</v>
      </c>
      <c r="AI83" s="3831" t="s">
        <v>5401</v>
      </c>
      <c r="AJ83" s="3916" t="s">
        <v>5402</v>
      </c>
      <c r="AK83" s="3900" t="s">
        <v>5403</v>
      </c>
      <c r="AL83" s="3900" t="s">
        <v>5404</v>
      </c>
      <c r="AM83" s="3908" t="s">
        <v>5405</v>
      </c>
      <c r="AN83" s="3900" t="s">
        <v>5406</v>
      </c>
      <c r="AO83" s="3900" t="s">
        <v>5407</v>
      </c>
      <c r="AP83" s="3900" t="s">
        <v>5408</v>
      </c>
      <c r="AQ83" s="3900" t="s">
        <v>5409</v>
      </c>
      <c r="AR83" s="3900" t="s">
        <v>5410</v>
      </c>
      <c r="AS83" s="3810" t="e">
        <f t="shared" si="23"/>
        <v>#VALUE!</v>
      </c>
      <c r="BE83" s="3810"/>
      <c r="BF83" s="3810"/>
      <c r="BG83" s="3810"/>
      <c r="BH83" s="3810"/>
      <c r="BI83" s="3810"/>
      <c r="BJ83" s="3810"/>
      <c r="BK83" s="3810"/>
      <c r="BL83" s="3810"/>
      <c r="BM83" s="3810"/>
      <c r="BN83" s="3810"/>
      <c r="BO83" s="3810"/>
      <c r="CC83" s="3811" t="e">
        <f t="shared" si="24"/>
        <v>#VALUE!</v>
      </c>
      <c r="CD83" s="3811" t="str">
        <f t="shared" si="25"/>
        <v xml:space="preserve">* El total de atenciones remotas de consultas nuevas según origen de menores de 15 años NO DEBE superar el total de atenciones del grupo indicado. </v>
      </c>
      <c r="CE83" s="3811" t="str">
        <f t="shared" si="26"/>
        <v xml:space="preserve">* El total de atenciones remotas de consultas nuevas según origen de pacientes de 15 y más años NO DEBE superar el total de atenciones del grupo indicado. </v>
      </c>
      <c r="CF83" s="3811" t="str">
        <f t="shared" si="27"/>
        <v xml:space="preserve">* El total de altas de consultas nuevas según origen de menores de 15 años NO DEBE superar el total de atenciones del grupo indicado. </v>
      </c>
      <c r="CG83" s="3811" t="str">
        <f t="shared" si="28"/>
        <v xml:space="preserve">* El total de altas de consultas nuevas según origen de pacientes de 15 y más años NO DEBE superar el total de atenciones del grupo indicado. </v>
      </c>
      <c r="CH83" s="3811" t="str">
        <f t="shared" si="29"/>
        <v xml:space="preserve"> *Las Atenciones de Pueblos Originarios no pueden superar el total de Atenciones.</v>
      </c>
      <c r="CI83" s="3811" t="str">
        <f t="shared" si="30"/>
        <v xml:space="preserve"> *Las Atenciones de Migrantes no pueden superar el total de Atenciones.</v>
      </c>
      <c r="CJ83" s="3917"/>
      <c r="CK83" s="3917"/>
      <c r="CM83" s="3811" t="e">
        <f t="shared" si="31"/>
        <v>#VALUE!</v>
      </c>
      <c r="CN83" s="3811">
        <f t="shared" si="32"/>
        <v>1</v>
      </c>
      <c r="CO83" s="3811">
        <f t="shared" si="33"/>
        <v>1</v>
      </c>
      <c r="CP83" s="3811">
        <f t="shared" si="34"/>
        <v>1</v>
      </c>
      <c r="CQ83" s="3811">
        <f t="shared" si="35"/>
        <v>1</v>
      </c>
      <c r="CR83" s="3811">
        <f t="shared" si="36"/>
        <v>1</v>
      </c>
      <c r="CS83" s="3811">
        <f t="shared" si="37"/>
        <v>1</v>
      </c>
      <c r="DA83" s="3811"/>
      <c r="DB83" s="3811"/>
      <c r="DC83" s="3811"/>
    </row>
    <row r="84" spans="1:107" ht="15.6" customHeight="1" x14ac:dyDescent="0.2">
      <c r="A84" s="7258">
        <v>32100270</v>
      </c>
      <c r="B84" s="3901" t="s">
        <v>38</v>
      </c>
      <c r="C84" s="3829" t="s">
        <v>5369</v>
      </c>
      <c r="D84" s="3830" t="s">
        <v>5370</v>
      </c>
      <c r="E84" s="3903" t="s">
        <v>5371</v>
      </c>
      <c r="F84" s="3903" t="s">
        <v>5372</v>
      </c>
      <c r="G84" s="3903" t="s">
        <v>5373</v>
      </c>
      <c r="H84" s="3903" t="s">
        <v>5374</v>
      </c>
      <c r="I84" s="3903" t="s">
        <v>5375</v>
      </c>
      <c r="J84" s="3903" t="s">
        <v>5376</v>
      </c>
      <c r="K84" s="3903" t="s">
        <v>5377</v>
      </c>
      <c r="L84" s="3903" t="s">
        <v>5378</v>
      </c>
      <c r="M84" s="3903" t="s">
        <v>5379</v>
      </c>
      <c r="N84" s="3903" t="s">
        <v>5380</v>
      </c>
      <c r="O84" s="3903" t="s">
        <v>5381</v>
      </c>
      <c r="P84" s="3903" t="s">
        <v>5382</v>
      </c>
      <c r="Q84" s="3903" t="s">
        <v>5383</v>
      </c>
      <c r="R84" s="3903" t="s">
        <v>5384</v>
      </c>
      <c r="S84" s="3903" t="s">
        <v>5385</v>
      </c>
      <c r="T84" s="3841" t="s">
        <v>5386</v>
      </c>
      <c r="U84" s="3830" t="s">
        <v>5387</v>
      </c>
      <c r="V84" s="3841" t="s">
        <v>5388</v>
      </c>
      <c r="W84" s="3830" t="s">
        <v>5389</v>
      </c>
      <c r="X84" s="3841" t="s">
        <v>5390</v>
      </c>
      <c r="Y84" s="3830" t="s">
        <v>5391</v>
      </c>
      <c r="Z84" s="3841" t="s">
        <v>5392</v>
      </c>
      <c r="AA84" s="3898" t="s">
        <v>5393</v>
      </c>
      <c r="AB84" s="3830" t="s">
        <v>5394</v>
      </c>
      <c r="AC84" s="3831" t="s">
        <v>5395</v>
      </c>
      <c r="AD84" s="3831" t="s">
        <v>5396</v>
      </c>
      <c r="AE84" s="3841" t="s">
        <v>5397</v>
      </c>
      <c r="AF84" s="3898" t="s">
        <v>5398</v>
      </c>
      <c r="AG84" s="3830" t="s">
        <v>5399</v>
      </c>
      <c r="AH84" s="3831" t="s">
        <v>5400</v>
      </c>
      <c r="AI84" s="3831" t="s">
        <v>5401</v>
      </c>
      <c r="AJ84" s="3916" t="s">
        <v>5402</v>
      </c>
      <c r="AK84" s="3900" t="s">
        <v>5403</v>
      </c>
      <c r="AL84" s="3900" t="s">
        <v>5404</v>
      </c>
      <c r="AM84" s="3908" t="s">
        <v>5405</v>
      </c>
      <c r="AN84" s="3900" t="s">
        <v>5406</v>
      </c>
      <c r="AO84" s="3900" t="s">
        <v>5407</v>
      </c>
      <c r="AP84" s="3900" t="s">
        <v>5408</v>
      </c>
      <c r="AQ84" s="3900" t="s">
        <v>5409</v>
      </c>
      <c r="AR84" s="3900" t="s">
        <v>5410</v>
      </c>
      <c r="AS84" s="3810" t="e">
        <f t="shared" si="23"/>
        <v>#VALUE!</v>
      </c>
      <c r="BE84" s="3810"/>
      <c r="BF84" s="3810"/>
      <c r="BG84" s="3810"/>
      <c r="BH84" s="3810"/>
      <c r="BI84" s="3810"/>
      <c r="BJ84" s="3810"/>
      <c r="BK84" s="3810"/>
      <c r="BL84" s="3810"/>
      <c r="BM84" s="3810"/>
      <c r="BN84" s="3810"/>
      <c r="BO84" s="3810"/>
      <c r="CC84" s="3811" t="e">
        <f t="shared" si="24"/>
        <v>#VALUE!</v>
      </c>
      <c r="CD84" s="3811" t="str">
        <f t="shared" si="25"/>
        <v xml:space="preserve">* El total de atenciones remotas de consultas nuevas según origen de menores de 15 años NO DEBE superar el total de atenciones del grupo indicado. </v>
      </c>
      <c r="CE84" s="3811" t="str">
        <f t="shared" si="26"/>
        <v xml:space="preserve">* El total de atenciones remotas de consultas nuevas según origen de pacientes de 15 y más años NO DEBE superar el total de atenciones del grupo indicado. </v>
      </c>
      <c r="CF84" s="3811" t="str">
        <f t="shared" si="27"/>
        <v xml:space="preserve">* El total de altas de consultas nuevas según origen de menores de 15 años NO DEBE superar el total de atenciones del grupo indicado. </v>
      </c>
      <c r="CG84" s="3811" t="str">
        <f t="shared" si="28"/>
        <v xml:space="preserve">* El total de altas de consultas nuevas según origen de pacientes de 15 y más años NO DEBE superar el total de atenciones del grupo indicado. </v>
      </c>
      <c r="CH84" s="3811" t="str">
        <f t="shared" si="29"/>
        <v xml:space="preserve"> *Las Atenciones de Pueblos Originarios no pueden superar el total de Atenciones.</v>
      </c>
      <c r="CI84" s="3811" t="str">
        <f t="shared" si="30"/>
        <v xml:space="preserve"> *Las Atenciones de Migrantes no pueden superar el total de Atenciones.</v>
      </c>
      <c r="CJ84" s="3917"/>
      <c r="CK84" s="3917"/>
      <c r="CM84" s="3811" t="e">
        <f t="shared" si="31"/>
        <v>#VALUE!</v>
      </c>
      <c r="CN84" s="3811">
        <f t="shared" si="32"/>
        <v>1</v>
      </c>
      <c r="CO84" s="3811">
        <f t="shared" si="33"/>
        <v>1</v>
      </c>
      <c r="CP84" s="3811">
        <f t="shared" si="34"/>
        <v>1</v>
      </c>
      <c r="CQ84" s="3811">
        <f t="shared" si="35"/>
        <v>1</v>
      </c>
      <c r="CR84" s="3811">
        <f t="shared" si="36"/>
        <v>1</v>
      </c>
      <c r="CS84" s="3811">
        <f t="shared" si="37"/>
        <v>1</v>
      </c>
      <c r="DA84" s="3811"/>
      <c r="DB84" s="3811"/>
      <c r="DC84" s="3811"/>
    </row>
    <row r="85" spans="1:107" ht="15.6" customHeight="1" x14ac:dyDescent="0.2">
      <c r="A85" s="7258">
        <v>32100280</v>
      </c>
      <c r="B85" s="3901" t="s">
        <v>37</v>
      </c>
      <c r="C85" s="3829" t="s">
        <v>5369</v>
      </c>
      <c r="D85" s="3830" t="s">
        <v>5370</v>
      </c>
      <c r="E85" s="3903" t="s">
        <v>5371</v>
      </c>
      <c r="F85" s="3903" t="s">
        <v>5372</v>
      </c>
      <c r="G85" s="3903" t="s">
        <v>5373</v>
      </c>
      <c r="H85" s="3903" t="s">
        <v>5374</v>
      </c>
      <c r="I85" s="3903" t="s">
        <v>5375</v>
      </c>
      <c r="J85" s="3903" t="s">
        <v>5376</v>
      </c>
      <c r="K85" s="3903" t="s">
        <v>5377</v>
      </c>
      <c r="L85" s="3903" t="s">
        <v>5378</v>
      </c>
      <c r="M85" s="3903" t="s">
        <v>5379</v>
      </c>
      <c r="N85" s="3903" t="s">
        <v>5380</v>
      </c>
      <c r="O85" s="3903" t="s">
        <v>5381</v>
      </c>
      <c r="P85" s="3903" t="s">
        <v>5382</v>
      </c>
      <c r="Q85" s="3903" t="s">
        <v>5383</v>
      </c>
      <c r="R85" s="3903" t="s">
        <v>5384</v>
      </c>
      <c r="S85" s="3903" t="s">
        <v>5385</v>
      </c>
      <c r="T85" s="3841" t="s">
        <v>5386</v>
      </c>
      <c r="U85" s="3830" t="s">
        <v>5387</v>
      </c>
      <c r="V85" s="3841" t="s">
        <v>5388</v>
      </c>
      <c r="W85" s="3830" t="s">
        <v>5389</v>
      </c>
      <c r="X85" s="3841" t="s">
        <v>5390</v>
      </c>
      <c r="Y85" s="3830" t="s">
        <v>5391</v>
      </c>
      <c r="Z85" s="3841" t="s">
        <v>5392</v>
      </c>
      <c r="AA85" s="3898" t="s">
        <v>5393</v>
      </c>
      <c r="AB85" s="3830" t="s">
        <v>5394</v>
      </c>
      <c r="AC85" s="3831" t="s">
        <v>5395</v>
      </c>
      <c r="AD85" s="3831" t="s">
        <v>5396</v>
      </c>
      <c r="AE85" s="3841" t="s">
        <v>5397</v>
      </c>
      <c r="AF85" s="3898" t="s">
        <v>5398</v>
      </c>
      <c r="AG85" s="3830" t="s">
        <v>5399</v>
      </c>
      <c r="AH85" s="3831" t="s">
        <v>5400</v>
      </c>
      <c r="AI85" s="3831" t="s">
        <v>5401</v>
      </c>
      <c r="AJ85" s="3916" t="s">
        <v>5402</v>
      </c>
      <c r="AK85" s="3900" t="s">
        <v>5403</v>
      </c>
      <c r="AL85" s="3900" t="s">
        <v>5404</v>
      </c>
      <c r="AM85" s="3908" t="s">
        <v>5405</v>
      </c>
      <c r="AN85" s="3900" t="s">
        <v>5406</v>
      </c>
      <c r="AO85" s="3900" t="s">
        <v>5407</v>
      </c>
      <c r="AP85" s="3900" t="s">
        <v>5408</v>
      </c>
      <c r="AQ85" s="3900" t="s">
        <v>5409</v>
      </c>
      <c r="AR85" s="3900" t="s">
        <v>5410</v>
      </c>
      <c r="AS85" s="3810" t="e">
        <f t="shared" si="23"/>
        <v>#VALUE!</v>
      </c>
      <c r="BE85" s="3810"/>
      <c r="BF85" s="3810"/>
      <c r="BG85" s="3810"/>
      <c r="BH85" s="3810"/>
      <c r="BI85" s="3810"/>
      <c r="BJ85" s="3810"/>
      <c r="BK85" s="3810"/>
      <c r="BL85" s="3810"/>
      <c r="BM85" s="3810"/>
      <c r="BN85" s="3810"/>
      <c r="BO85" s="3810"/>
      <c r="CC85" s="3811" t="e">
        <f t="shared" si="24"/>
        <v>#VALUE!</v>
      </c>
      <c r="CD85" s="3811" t="str">
        <f t="shared" si="25"/>
        <v xml:space="preserve">* El total de atenciones remotas de consultas nuevas según origen de menores de 15 años NO DEBE superar el total de atenciones del grupo indicado. </v>
      </c>
      <c r="CE85" s="3811" t="str">
        <f t="shared" si="26"/>
        <v xml:space="preserve">* El total de atenciones remotas de consultas nuevas según origen de pacientes de 15 y más años NO DEBE superar el total de atenciones del grupo indicado. </v>
      </c>
      <c r="CF85" s="3811" t="str">
        <f t="shared" si="27"/>
        <v xml:space="preserve">* El total de altas de consultas nuevas según origen de menores de 15 años NO DEBE superar el total de atenciones del grupo indicado. </v>
      </c>
      <c r="CG85" s="3811" t="str">
        <f t="shared" si="28"/>
        <v xml:space="preserve">* El total de altas de consultas nuevas según origen de pacientes de 15 y más años NO DEBE superar el total de atenciones del grupo indicado. </v>
      </c>
      <c r="CH85" s="3811" t="str">
        <f t="shared" si="29"/>
        <v xml:space="preserve"> *Las Atenciones de Pueblos Originarios no pueden superar el total de Atenciones.</v>
      </c>
      <c r="CI85" s="3811" t="str">
        <f t="shared" si="30"/>
        <v xml:space="preserve"> *Las Atenciones de Migrantes no pueden superar el total de Atenciones.</v>
      </c>
      <c r="CJ85" s="3917"/>
      <c r="CK85" s="3917"/>
      <c r="CM85" s="3811" t="e">
        <f t="shared" si="31"/>
        <v>#VALUE!</v>
      </c>
      <c r="CN85" s="3811">
        <f t="shared" si="32"/>
        <v>1</v>
      </c>
      <c r="CO85" s="3811">
        <f t="shared" si="33"/>
        <v>1</v>
      </c>
      <c r="CP85" s="3811">
        <f t="shared" si="34"/>
        <v>1</v>
      </c>
      <c r="CQ85" s="3811">
        <f t="shared" si="35"/>
        <v>1</v>
      </c>
      <c r="CR85" s="3811">
        <f t="shared" si="36"/>
        <v>1</v>
      </c>
      <c r="CS85" s="3811">
        <f t="shared" si="37"/>
        <v>1</v>
      </c>
      <c r="DA85" s="3811"/>
      <c r="DB85" s="3811"/>
      <c r="DC85" s="3811"/>
    </row>
    <row r="86" spans="1:107" ht="15.6" customHeight="1" x14ac:dyDescent="0.2">
      <c r="A86" s="7320">
        <v>32101576</v>
      </c>
      <c r="B86" s="3901" t="s">
        <v>285</v>
      </c>
      <c r="C86" s="3829" t="s">
        <v>5369</v>
      </c>
      <c r="D86" s="3830" t="s">
        <v>5370</v>
      </c>
      <c r="E86" s="3903" t="s">
        <v>5371</v>
      </c>
      <c r="F86" s="3903" t="s">
        <v>5372</v>
      </c>
      <c r="G86" s="3903" t="s">
        <v>5373</v>
      </c>
      <c r="H86" s="3903" t="s">
        <v>5374</v>
      </c>
      <c r="I86" s="3903" t="s">
        <v>5375</v>
      </c>
      <c r="J86" s="3903" t="s">
        <v>5376</v>
      </c>
      <c r="K86" s="3903" t="s">
        <v>5377</v>
      </c>
      <c r="L86" s="3903" t="s">
        <v>5378</v>
      </c>
      <c r="M86" s="3903" t="s">
        <v>5379</v>
      </c>
      <c r="N86" s="3903" t="s">
        <v>5380</v>
      </c>
      <c r="O86" s="3903" t="s">
        <v>5381</v>
      </c>
      <c r="P86" s="3903" t="s">
        <v>5382</v>
      </c>
      <c r="Q86" s="3903" t="s">
        <v>5383</v>
      </c>
      <c r="R86" s="3903" t="s">
        <v>5384</v>
      </c>
      <c r="S86" s="3903" t="s">
        <v>5385</v>
      </c>
      <c r="T86" s="3841" t="s">
        <v>5386</v>
      </c>
      <c r="U86" s="3830" t="s">
        <v>5387</v>
      </c>
      <c r="V86" s="3841" t="s">
        <v>5388</v>
      </c>
      <c r="W86" s="3830" t="s">
        <v>5389</v>
      </c>
      <c r="X86" s="3841" t="s">
        <v>5390</v>
      </c>
      <c r="Y86" s="3830" t="s">
        <v>5391</v>
      </c>
      <c r="Z86" s="3841" t="s">
        <v>5392</v>
      </c>
      <c r="AA86" s="3898" t="s">
        <v>5393</v>
      </c>
      <c r="AB86" s="3830" t="s">
        <v>5394</v>
      </c>
      <c r="AC86" s="3831" t="s">
        <v>5395</v>
      </c>
      <c r="AD86" s="3831" t="s">
        <v>5396</v>
      </c>
      <c r="AE86" s="3841" t="s">
        <v>5397</v>
      </c>
      <c r="AF86" s="3898" t="s">
        <v>5398</v>
      </c>
      <c r="AG86" s="3830" t="s">
        <v>5399</v>
      </c>
      <c r="AH86" s="3831" t="s">
        <v>5400</v>
      </c>
      <c r="AI86" s="3831" t="s">
        <v>5401</v>
      </c>
      <c r="AJ86" s="3916" t="s">
        <v>5402</v>
      </c>
      <c r="AK86" s="3900" t="s">
        <v>5403</v>
      </c>
      <c r="AL86" s="3900" t="s">
        <v>5404</v>
      </c>
      <c r="AM86" s="3908" t="s">
        <v>5405</v>
      </c>
      <c r="AN86" s="3900" t="s">
        <v>5406</v>
      </c>
      <c r="AO86" s="3900" t="s">
        <v>5407</v>
      </c>
      <c r="AP86" s="3900" t="s">
        <v>5408</v>
      </c>
      <c r="AQ86" s="3900" t="s">
        <v>5409</v>
      </c>
      <c r="AR86" s="3900" t="s">
        <v>5410</v>
      </c>
      <c r="AS86" s="3810" t="e">
        <f t="shared" si="23"/>
        <v>#VALUE!</v>
      </c>
      <c r="BE86" s="3810"/>
      <c r="BF86" s="3810"/>
      <c r="BG86" s="3810"/>
      <c r="BH86" s="3810"/>
      <c r="BI86" s="3810"/>
      <c r="BJ86" s="3810"/>
      <c r="BK86" s="3810"/>
      <c r="BL86" s="3810"/>
      <c r="BM86" s="3810"/>
      <c r="BN86" s="3810"/>
      <c r="BO86" s="3810"/>
      <c r="CC86" s="3811" t="e">
        <f t="shared" si="24"/>
        <v>#VALUE!</v>
      </c>
      <c r="CD86" s="3811" t="str">
        <f t="shared" si="25"/>
        <v xml:space="preserve">* El total de atenciones remotas de consultas nuevas según origen de menores de 15 años NO DEBE superar el total de atenciones del grupo indicado. </v>
      </c>
      <c r="CE86" s="3811" t="str">
        <f t="shared" si="26"/>
        <v xml:space="preserve">* El total de atenciones remotas de consultas nuevas según origen de pacientes de 15 y más años NO DEBE superar el total de atenciones del grupo indicado. </v>
      </c>
      <c r="CF86" s="3811" t="str">
        <f t="shared" si="27"/>
        <v xml:space="preserve">* El total de altas de consultas nuevas según origen de menores de 15 años NO DEBE superar el total de atenciones del grupo indicado. </v>
      </c>
      <c r="CG86" s="3811" t="str">
        <f t="shared" si="28"/>
        <v xml:space="preserve">* El total de altas de consultas nuevas según origen de pacientes de 15 y más años NO DEBE superar el total de atenciones del grupo indicado. </v>
      </c>
      <c r="CH86" s="3811" t="str">
        <f t="shared" si="29"/>
        <v xml:space="preserve"> *Las Atenciones de Pueblos Originarios no pueden superar el total de Atenciones.</v>
      </c>
      <c r="CI86" s="3811" t="str">
        <f t="shared" si="30"/>
        <v xml:space="preserve"> *Las Atenciones de Migrantes no pueden superar el total de Atenciones.</v>
      </c>
      <c r="CJ86" s="3917"/>
      <c r="CK86" s="3917"/>
      <c r="CM86" s="3811" t="e">
        <f t="shared" si="31"/>
        <v>#VALUE!</v>
      </c>
      <c r="CN86" s="3811">
        <f t="shared" si="32"/>
        <v>1</v>
      </c>
      <c r="CO86" s="3811">
        <f t="shared" si="33"/>
        <v>1</v>
      </c>
      <c r="CP86" s="3811">
        <f t="shared" si="34"/>
        <v>1</v>
      </c>
      <c r="CQ86" s="3811">
        <f t="shared" si="35"/>
        <v>1</v>
      </c>
      <c r="CR86" s="3811">
        <f t="shared" si="36"/>
        <v>1</v>
      </c>
      <c r="CS86" s="3811">
        <f t="shared" si="37"/>
        <v>1</v>
      </c>
      <c r="DA86" s="3811"/>
      <c r="DB86" s="3811"/>
      <c r="DC86" s="3811"/>
    </row>
    <row r="87" spans="1:107" ht="15.6" customHeight="1" x14ac:dyDescent="0.2">
      <c r="A87" s="7320">
        <v>32101577</v>
      </c>
      <c r="B87" s="3901" t="s">
        <v>465</v>
      </c>
      <c r="C87" s="3829" t="s">
        <v>5369</v>
      </c>
      <c r="D87" s="3830" t="s">
        <v>5370</v>
      </c>
      <c r="E87" s="3903" t="s">
        <v>5371</v>
      </c>
      <c r="F87" s="3903" t="s">
        <v>5372</v>
      </c>
      <c r="G87" s="3903" t="s">
        <v>5373</v>
      </c>
      <c r="H87" s="3903" t="s">
        <v>5374</v>
      </c>
      <c r="I87" s="3903" t="s">
        <v>5375</v>
      </c>
      <c r="J87" s="3903" t="s">
        <v>5376</v>
      </c>
      <c r="K87" s="3903" t="s">
        <v>5377</v>
      </c>
      <c r="L87" s="3903" t="s">
        <v>5378</v>
      </c>
      <c r="M87" s="3903" t="s">
        <v>5379</v>
      </c>
      <c r="N87" s="3903" t="s">
        <v>5380</v>
      </c>
      <c r="O87" s="3903" t="s">
        <v>5381</v>
      </c>
      <c r="P87" s="3903" t="s">
        <v>5382</v>
      </c>
      <c r="Q87" s="3903" t="s">
        <v>5383</v>
      </c>
      <c r="R87" s="3903" t="s">
        <v>5384</v>
      </c>
      <c r="S87" s="3903" t="s">
        <v>5385</v>
      </c>
      <c r="T87" s="3841" t="s">
        <v>5386</v>
      </c>
      <c r="U87" s="3830" t="s">
        <v>5387</v>
      </c>
      <c r="V87" s="3841" t="s">
        <v>5388</v>
      </c>
      <c r="W87" s="3830" t="s">
        <v>5389</v>
      </c>
      <c r="X87" s="3841" t="s">
        <v>5390</v>
      </c>
      <c r="Y87" s="3830" t="s">
        <v>5391</v>
      </c>
      <c r="Z87" s="3841" t="s">
        <v>5392</v>
      </c>
      <c r="AA87" s="3898" t="s">
        <v>5393</v>
      </c>
      <c r="AB87" s="3830" t="s">
        <v>5394</v>
      </c>
      <c r="AC87" s="3831" t="s">
        <v>5395</v>
      </c>
      <c r="AD87" s="3831" t="s">
        <v>5396</v>
      </c>
      <c r="AE87" s="3841" t="s">
        <v>5397</v>
      </c>
      <c r="AF87" s="3898" t="s">
        <v>5398</v>
      </c>
      <c r="AG87" s="3830" t="s">
        <v>5399</v>
      </c>
      <c r="AH87" s="3831" t="s">
        <v>5400</v>
      </c>
      <c r="AI87" s="3831" t="s">
        <v>5401</v>
      </c>
      <c r="AJ87" s="3916" t="s">
        <v>5402</v>
      </c>
      <c r="AK87" s="3900" t="s">
        <v>5403</v>
      </c>
      <c r="AL87" s="3900" t="s">
        <v>5404</v>
      </c>
      <c r="AM87" s="3908" t="s">
        <v>5405</v>
      </c>
      <c r="AN87" s="3900" t="s">
        <v>5406</v>
      </c>
      <c r="AO87" s="3900" t="s">
        <v>5407</v>
      </c>
      <c r="AP87" s="3900" t="s">
        <v>5408</v>
      </c>
      <c r="AQ87" s="3900" t="s">
        <v>5409</v>
      </c>
      <c r="AR87" s="3900" t="s">
        <v>5410</v>
      </c>
      <c r="AS87" s="3810" t="e">
        <f t="shared" si="23"/>
        <v>#VALUE!</v>
      </c>
      <c r="BE87" s="3810"/>
      <c r="BF87" s="3810"/>
      <c r="BG87" s="3810"/>
      <c r="BH87" s="3810"/>
      <c r="BI87" s="3810"/>
      <c r="BJ87" s="3810"/>
      <c r="BK87" s="3810"/>
      <c r="BL87" s="3810"/>
      <c r="BM87" s="3810"/>
      <c r="BN87" s="3810"/>
      <c r="BO87" s="3810"/>
      <c r="CC87" s="3811" t="e">
        <f t="shared" si="24"/>
        <v>#VALUE!</v>
      </c>
      <c r="CD87" s="3811" t="str">
        <f t="shared" si="25"/>
        <v xml:space="preserve">* El total de atenciones remotas de consultas nuevas según origen de menores de 15 años NO DEBE superar el total de atenciones del grupo indicado. </v>
      </c>
      <c r="CE87" s="3811" t="str">
        <f t="shared" si="26"/>
        <v xml:space="preserve">* El total de atenciones remotas de consultas nuevas según origen de pacientes de 15 y más años NO DEBE superar el total de atenciones del grupo indicado. </v>
      </c>
      <c r="CF87" s="3811" t="str">
        <f t="shared" si="27"/>
        <v xml:space="preserve">* El total de altas de consultas nuevas según origen de menores de 15 años NO DEBE superar el total de atenciones del grupo indicado. </v>
      </c>
      <c r="CG87" s="3811" t="str">
        <f t="shared" si="28"/>
        <v xml:space="preserve">* El total de altas de consultas nuevas según origen de pacientes de 15 y más años NO DEBE superar el total de atenciones del grupo indicado. </v>
      </c>
      <c r="CH87" s="3811" t="str">
        <f t="shared" si="29"/>
        <v xml:space="preserve"> *Las Atenciones de Pueblos Originarios no pueden superar el total de Atenciones.</v>
      </c>
      <c r="CI87" s="3811" t="str">
        <f t="shared" si="30"/>
        <v xml:space="preserve"> *Las Atenciones de Migrantes no pueden superar el total de Atenciones.</v>
      </c>
      <c r="CJ87" s="3917"/>
      <c r="CK87" s="3917"/>
      <c r="CM87" s="3811" t="e">
        <f t="shared" si="31"/>
        <v>#VALUE!</v>
      </c>
      <c r="CN87" s="3811">
        <f t="shared" si="32"/>
        <v>1</v>
      </c>
      <c r="CO87" s="3811">
        <f t="shared" si="33"/>
        <v>1</v>
      </c>
      <c r="CP87" s="3811">
        <f t="shared" si="34"/>
        <v>1</v>
      </c>
      <c r="CQ87" s="3811">
        <f t="shared" si="35"/>
        <v>1</v>
      </c>
      <c r="CR87" s="3811">
        <f t="shared" si="36"/>
        <v>1</v>
      </c>
      <c r="CS87" s="3811">
        <f t="shared" si="37"/>
        <v>1</v>
      </c>
      <c r="DA87" s="3811"/>
      <c r="DB87" s="3811"/>
      <c r="DC87" s="3811"/>
    </row>
    <row r="88" spans="1:107" ht="15.6" customHeight="1" x14ac:dyDescent="0.2">
      <c r="A88" s="7320">
        <v>32101578</v>
      </c>
      <c r="B88" s="3901" t="s">
        <v>286</v>
      </c>
      <c r="C88" s="3829" t="s">
        <v>5369</v>
      </c>
      <c r="D88" s="3830" t="s">
        <v>5370</v>
      </c>
      <c r="E88" s="3903" t="s">
        <v>5371</v>
      </c>
      <c r="F88" s="3903" t="s">
        <v>5372</v>
      </c>
      <c r="G88" s="3903" t="s">
        <v>5373</v>
      </c>
      <c r="H88" s="3903" t="s">
        <v>5374</v>
      </c>
      <c r="I88" s="3903" t="s">
        <v>5375</v>
      </c>
      <c r="J88" s="3903" t="s">
        <v>5376</v>
      </c>
      <c r="K88" s="3903" t="s">
        <v>5377</v>
      </c>
      <c r="L88" s="3903" t="s">
        <v>5378</v>
      </c>
      <c r="M88" s="3903" t="s">
        <v>5379</v>
      </c>
      <c r="N88" s="3903" t="s">
        <v>5380</v>
      </c>
      <c r="O88" s="3903" t="s">
        <v>5381</v>
      </c>
      <c r="P88" s="3903" t="s">
        <v>5382</v>
      </c>
      <c r="Q88" s="3903" t="s">
        <v>5383</v>
      </c>
      <c r="R88" s="3903" t="s">
        <v>5384</v>
      </c>
      <c r="S88" s="3903" t="s">
        <v>5385</v>
      </c>
      <c r="T88" s="3841" t="s">
        <v>5386</v>
      </c>
      <c r="U88" s="3830" t="s">
        <v>5387</v>
      </c>
      <c r="V88" s="3841" t="s">
        <v>5388</v>
      </c>
      <c r="W88" s="3830" t="s">
        <v>5389</v>
      </c>
      <c r="X88" s="3841" t="s">
        <v>5390</v>
      </c>
      <c r="Y88" s="3830" t="s">
        <v>5391</v>
      </c>
      <c r="Z88" s="3841" t="s">
        <v>5392</v>
      </c>
      <c r="AA88" s="3898" t="s">
        <v>5393</v>
      </c>
      <c r="AB88" s="3830" t="s">
        <v>5394</v>
      </c>
      <c r="AC88" s="3831" t="s">
        <v>5395</v>
      </c>
      <c r="AD88" s="3831" t="s">
        <v>5396</v>
      </c>
      <c r="AE88" s="3841" t="s">
        <v>5397</v>
      </c>
      <c r="AF88" s="3898" t="s">
        <v>5398</v>
      </c>
      <c r="AG88" s="3830" t="s">
        <v>5399</v>
      </c>
      <c r="AH88" s="3831" t="s">
        <v>5400</v>
      </c>
      <c r="AI88" s="3831" t="s">
        <v>5401</v>
      </c>
      <c r="AJ88" s="3916" t="s">
        <v>5402</v>
      </c>
      <c r="AK88" s="3900" t="s">
        <v>5403</v>
      </c>
      <c r="AL88" s="3900" t="s">
        <v>5404</v>
      </c>
      <c r="AM88" s="3908" t="s">
        <v>5405</v>
      </c>
      <c r="AN88" s="3900" t="s">
        <v>5406</v>
      </c>
      <c r="AO88" s="3900" t="s">
        <v>5407</v>
      </c>
      <c r="AP88" s="3900" t="s">
        <v>5408</v>
      </c>
      <c r="AQ88" s="3900" t="s">
        <v>5409</v>
      </c>
      <c r="AR88" s="3900" t="s">
        <v>5410</v>
      </c>
      <c r="AS88" s="3810" t="e">
        <f t="shared" si="23"/>
        <v>#VALUE!</v>
      </c>
      <c r="CC88" s="3811" t="e">
        <f t="shared" si="24"/>
        <v>#VALUE!</v>
      </c>
      <c r="CD88" s="3811" t="str">
        <f t="shared" si="25"/>
        <v xml:space="preserve">* El total de atenciones remotas de consultas nuevas según origen de menores de 15 años NO DEBE superar el total de atenciones del grupo indicado. </v>
      </c>
      <c r="CE88" s="3811" t="str">
        <f t="shared" si="26"/>
        <v xml:space="preserve">* El total de atenciones remotas de consultas nuevas según origen de pacientes de 15 y más años NO DEBE superar el total de atenciones del grupo indicado. </v>
      </c>
      <c r="CF88" s="3811" t="str">
        <f t="shared" si="27"/>
        <v xml:space="preserve">* El total de altas de consultas nuevas según origen de menores de 15 años NO DEBE superar el total de atenciones del grupo indicado. </v>
      </c>
      <c r="CG88" s="3811" t="str">
        <f t="shared" si="28"/>
        <v xml:space="preserve">* El total de altas de consultas nuevas según origen de pacientes de 15 y más años NO DEBE superar el total de atenciones del grupo indicado. </v>
      </c>
      <c r="CH88" s="3811" t="str">
        <f t="shared" si="29"/>
        <v xml:space="preserve"> *Las Atenciones de Pueblos Originarios no pueden superar el total de Atenciones.</v>
      </c>
      <c r="CI88" s="3811" t="str">
        <f t="shared" si="30"/>
        <v xml:space="preserve"> *Las Atenciones de Migrantes no pueden superar el total de Atenciones.</v>
      </c>
      <c r="CJ88" s="3917"/>
      <c r="CK88" s="3917"/>
      <c r="CM88" s="3811" t="e">
        <f t="shared" si="31"/>
        <v>#VALUE!</v>
      </c>
      <c r="CN88" s="3811">
        <f t="shared" si="32"/>
        <v>1</v>
      </c>
      <c r="CO88" s="3811">
        <f t="shared" si="33"/>
        <v>1</v>
      </c>
      <c r="CP88" s="3811">
        <f t="shared" si="34"/>
        <v>1</v>
      </c>
      <c r="CQ88" s="3811">
        <f t="shared" si="35"/>
        <v>1</v>
      </c>
      <c r="CR88" s="3811">
        <f t="shared" si="36"/>
        <v>1</v>
      </c>
      <c r="CS88" s="3811">
        <f t="shared" si="37"/>
        <v>1</v>
      </c>
      <c r="DA88" s="3811"/>
      <c r="DB88" s="3811"/>
      <c r="DC88" s="3811"/>
    </row>
    <row r="89" spans="1:107" ht="15.6" customHeight="1" x14ac:dyDescent="0.2">
      <c r="A89" s="7320">
        <v>32101579</v>
      </c>
      <c r="B89" s="3901" t="s">
        <v>466</v>
      </c>
      <c r="C89" s="3902" t="s">
        <v>5369</v>
      </c>
      <c r="D89" s="3830" t="s">
        <v>5370</v>
      </c>
      <c r="E89" s="3903" t="s">
        <v>5371</v>
      </c>
      <c r="F89" s="3903" t="s">
        <v>5372</v>
      </c>
      <c r="G89" s="3903" t="s">
        <v>5373</v>
      </c>
      <c r="H89" s="3903" t="s">
        <v>5374</v>
      </c>
      <c r="I89" s="3903" t="s">
        <v>5375</v>
      </c>
      <c r="J89" s="3903" t="s">
        <v>5376</v>
      </c>
      <c r="K89" s="3903" t="s">
        <v>5377</v>
      </c>
      <c r="L89" s="3903" t="s">
        <v>5378</v>
      </c>
      <c r="M89" s="3903" t="s">
        <v>5379</v>
      </c>
      <c r="N89" s="3903" t="s">
        <v>5380</v>
      </c>
      <c r="O89" s="3903" t="s">
        <v>5381</v>
      </c>
      <c r="P89" s="3903" t="s">
        <v>5382</v>
      </c>
      <c r="Q89" s="3903" t="s">
        <v>5383</v>
      </c>
      <c r="R89" s="3903" t="s">
        <v>5384</v>
      </c>
      <c r="S89" s="3903" t="s">
        <v>5385</v>
      </c>
      <c r="T89" s="3841" t="s">
        <v>5386</v>
      </c>
      <c r="U89" s="3918" t="s">
        <v>5387</v>
      </c>
      <c r="V89" s="3919" t="s">
        <v>5388</v>
      </c>
      <c r="W89" s="3918" t="s">
        <v>5389</v>
      </c>
      <c r="X89" s="3919" t="s">
        <v>5390</v>
      </c>
      <c r="Y89" s="3918" t="s">
        <v>5391</v>
      </c>
      <c r="Z89" s="3919" t="s">
        <v>5392</v>
      </c>
      <c r="AA89" s="3901" t="s">
        <v>5393</v>
      </c>
      <c r="AB89" s="3918" t="s">
        <v>5394</v>
      </c>
      <c r="AC89" s="3920" t="s">
        <v>5395</v>
      </c>
      <c r="AD89" s="3920" t="s">
        <v>5396</v>
      </c>
      <c r="AE89" s="3919" t="s">
        <v>5397</v>
      </c>
      <c r="AF89" s="3901" t="s">
        <v>5398</v>
      </c>
      <c r="AG89" s="3918" t="s">
        <v>5399</v>
      </c>
      <c r="AH89" s="3920" t="s">
        <v>5400</v>
      </c>
      <c r="AI89" s="3920" t="s">
        <v>5401</v>
      </c>
      <c r="AJ89" s="3921" t="s">
        <v>5402</v>
      </c>
      <c r="AK89" s="3908" t="s">
        <v>5403</v>
      </c>
      <c r="AL89" s="3908" t="s">
        <v>5404</v>
      </c>
      <c r="AM89" s="3908" t="s">
        <v>5405</v>
      </c>
      <c r="AN89" s="3908" t="s">
        <v>5406</v>
      </c>
      <c r="AO89" s="3908" t="s">
        <v>5407</v>
      </c>
      <c r="AP89" s="3908" t="s">
        <v>5408</v>
      </c>
      <c r="AQ89" s="3908" t="s">
        <v>5409</v>
      </c>
      <c r="AR89" s="3908" t="s">
        <v>5410</v>
      </c>
      <c r="AS89" s="3810" t="e">
        <f t="shared" si="23"/>
        <v>#VALUE!</v>
      </c>
      <c r="CC89" s="3811" t="e">
        <f t="shared" si="24"/>
        <v>#VALUE!</v>
      </c>
      <c r="CD89" s="3811" t="str">
        <f t="shared" si="25"/>
        <v xml:space="preserve">* El total de atenciones remotas de consultas nuevas según origen de menores de 15 años NO DEBE superar el total de atenciones del grupo indicado. </v>
      </c>
      <c r="CE89" s="3811" t="str">
        <f t="shared" si="26"/>
        <v xml:space="preserve">* El total de atenciones remotas de consultas nuevas según origen de pacientes de 15 y más años NO DEBE superar el total de atenciones del grupo indicado. </v>
      </c>
      <c r="CF89" s="3811" t="str">
        <f t="shared" si="27"/>
        <v xml:space="preserve">* El total de altas de consultas nuevas según origen de menores de 15 años NO DEBE superar el total de atenciones del grupo indicado. </v>
      </c>
      <c r="CG89" s="3811" t="str">
        <f t="shared" si="28"/>
        <v xml:space="preserve">* El total de altas de consultas nuevas según origen de pacientes de 15 y más años NO DEBE superar el total de atenciones del grupo indicado. </v>
      </c>
      <c r="CH89" s="3811" t="str">
        <f t="shared" si="29"/>
        <v xml:space="preserve"> *Las Atenciones de Pueblos Originarios no pueden superar el total de Atenciones.</v>
      </c>
      <c r="CI89" s="3811" t="str">
        <f t="shared" si="30"/>
        <v xml:space="preserve"> *Las Atenciones de Migrantes no pueden superar el total de Atenciones.</v>
      </c>
      <c r="CJ89" s="3917"/>
      <c r="CK89" s="3917"/>
      <c r="CM89" s="3811" t="e">
        <f t="shared" si="31"/>
        <v>#VALUE!</v>
      </c>
      <c r="CN89" s="3811">
        <f t="shared" si="32"/>
        <v>1</v>
      </c>
      <c r="CO89" s="3811">
        <f t="shared" si="33"/>
        <v>1</v>
      </c>
      <c r="CP89" s="3811">
        <f t="shared" si="34"/>
        <v>1</v>
      </c>
      <c r="CQ89" s="3811">
        <f t="shared" si="35"/>
        <v>1</v>
      </c>
      <c r="CR89" s="3811">
        <f t="shared" si="36"/>
        <v>1</v>
      </c>
      <c r="CS89" s="3811">
        <f t="shared" si="37"/>
        <v>1</v>
      </c>
      <c r="DA89" s="3811"/>
      <c r="DB89" s="3811"/>
      <c r="DC89" s="3811"/>
    </row>
    <row r="90" spans="1:107" ht="15.6" customHeight="1" x14ac:dyDescent="0.2">
      <c r="A90" s="7320">
        <v>32101580</v>
      </c>
      <c r="B90" s="3901" t="s">
        <v>3593</v>
      </c>
      <c r="C90" s="3902" t="s">
        <v>5369</v>
      </c>
      <c r="D90" s="3830" t="s">
        <v>5370</v>
      </c>
      <c r="E90" s="3903" t="s">
        <v>5371</v>
      </c>
      <c r="F90" s="3903" t="s">
        <v>5372</v>
      </c>
      <c r="G90" s="3903" t="s">
        <v>5373</v>
      </c>
      <c r="H90" s="3903" t="s">
        <v>5374</v>
      </c>
      <c r="I90" s="3903" t="s">
        <v>5375</v>
      </c>
      <c r="J90" s="3903" t="s">
        <v>5376</v>
      </c>
      <c r="K90" s="3903" t="s">
        <v>5377</v>
      </c>
      <c r="L90" s="3903" t="s">
        <v>5378</v>
      </c>
      <c r="M90" s="3903" t="s">
        <v>5379</v>
      </c>
      <c r="N90" s="3903" t="s">
        <v>5380</v>
      </c>
      <c r="O90" s="3903" t="s">
        <v>5381</v>
      </c>
      <c r="P90" s="3903" t="s">
        <v>5382</v>
      </c>
      <c r="Q90" s="3903" t="s">
        <v>5383</v>
      </c>
      <c r="R90" s="3903" t="s">
        <v>5384</v>
      </c>
      <c r="S90" s="3903" t="s">
        <v>5385</v>
      </c>
      <c r="T90" s="3841" t="s">
        <v>5386</v>
      </c>
      <c r="U90" s="3918" t="s">
        <v>5387</v>
      </c>
      <c r="V90" s="3919" t="s">
        <v>5388</v>
      </c>
      <c r="W90" s="3918" t="s">
        <v>5389</v>
      </c>
      <c r="X90" s="3919" t="s">
        <v>5390</v>
      </c>
      <c r="Y90" s="3918" t="s">
        <v>5391</v>
      </c>
      <c r="Z90" s="3919" t="s">
        <v>5392</v>
      </c>
      <c r="AA90" s="3901" t="s">
        <v>5393</v>
      </c>
      <c r="AB90" s="3918" t="s">
        <v>5394</v>
      </c>
      <c r="AC90" s="3920" t="s">
        <v>5395</v>
      </c>
      <c r="AD90" s="3920" t="s">
        <v>5396</v>
      </c>
      <c r="AE90" s="3919" t="s">
        <v>5397</v>
      </c>
      <c r="AF90" s="3901" t="s">
        <v>5398</v>
      </c>
      <c r="AG90" s="3918" t="s">
        <v>5399</v>
      </c>
      <c r="AH90" s="3920" t="s">
        <v>5400</v>
      </c>
      <c r="AI90" s="3920" t="s">
        <v>5401</v>
      </c>
      <c r="AJ90" s="3921" t="s">
        <v>5402</v>
      </c>
      <c r="AK90" s="3908" t="s">
        <v>5403</v>
      </c>
      <c r="AL90" s="3908" t="s">
        <v>5404</v>
      </c>
      <c r="AM90" s="3908" t="s">
        <v>5405</v>
      </c>
      <c r="AN90" s="3908" t="s">
        <v>5406</v>
      </c>
      <c r="AO90" s="3908" t="s">
        <v>5407</v>
      </c>
      <c r="AP90" s="3908" t="s">
        <v>5408</v>
      </c>
      <c r="AQ90" s="3908" t="s">
        <v>5409</v>
      </c>
      <c r="AR90" s="3908" t="s">
        <v>5410</v>
      </c>
      <c r="AS90" s="3810" t="e">
        <f t="shared" si="23"/>
        <v>#VALUE!</v>
      </c>
      <c r="CC90" s="3811" t="e">
        <f t="shared" si="24"/>
        <v>#VALUE!</v>
      </c>
      <c r="CD90" s="3811" t="str">
        <f t="shared" si="25"/>
        <v xml:space="preserve">* El total de atenciones remotas de consultas nuevas según origen de menores de 15 años NO DEBE superar el total de atenciones del grupo indicado. </v>
      </c>
      <c r="CE90" s="3811" t="str">
        <f t="shared" si="26"/>
        <v xml:space="preserve">* El total de atenciones remotas de consultas nuevas según origen de pacientes de 15 y más años NO DEBE superar el total de atenciones del grupo indicado. </v>
      </c>
      <c r="CF90" s="3811" t="str">
        <f t="shared" si="27"/>
        <v xml:space="preserve">* El total de altas de consultas nuevas según origen de menores de 15 años NO DEBE superar el total de atenciones del grupo indicado. </v>
      </c>
      <c r="CG90" s="3811" t="str">
        <f t="shared" si="28"/>
        <v xml:space="preserve">* El total de altas de consultas nuevas según origen de pacientes de 15 y más años NO DEBE superar el total de atenciones del grupo indicado. </v>
      </c>
      <c r="CH90" s="3811" t="str">
        <f t="shared" si="29"/>
        <v xml:space="preserve"> *Las Atenciones de Pueblos Originarios no pueden superar el total de Atenciones.</v>
      </c>
      <c r="CI90" s="3811" t="str">
        <f t="shared" si="30"/>
        <v xml:space="preserve"> *Las Atenciones de Migrantes no pueden superar el total de Atenciones.</v>
      </c>
      <c r="CJ90" s="3917"/>
      <c r="CK90" s="3917"/>
      <c r="CM90" s="3811" t="e">
        <f t="shared" si="31"/>
        <v>#VALUE!</v>
      </c>
      <c r="CN90" s="3811">
        <f t="shared" si="32"/>
        <v>1</v>
      </c>
      <c r="CO90" s="3811">
        <f t="shared" si="33"/>
        <v>1</v>
      </c>
      <c r="CP90" s="3811">
        <f t="shared" si="34"/>
        <v>1</v>
      </c>
      <c r="CQ90" s="3811">
        <f t="shared" si="35"/>
        <v>1</v>
      </c>
      <c r="CR90" s="3811">
        <f t="shared" si="36"/>
        <v>1</v>
      </c>
      <c r="CS90" s="3811">
        <f t="shared" si="37"/>
        <v>1</v>
      </c>
      <c r="DA90" s="3811"/>
      <c r="DB90" s="3811"/>
      <c r="DC90" s="3811"/>
    </row>
    <row r="91" spans="1:107" ht="15.6" customHeight="1" x14ac:dyDescent="0.2">
      <c r="A91" s="7320">
        <v>32101581</v>
      </c>
      <c r="B91" s="3901" t="s">
        <v>287</v>
      </c>
      <c r="C91" s="3902" t="s">
        <v>5369</v>
      </c>
      <c r="D91" s="3830" t="s">
        <v>5370</v>
      </c>
      <c r="E91" s="3903" t="s">
        <v>5371</v>
      </c>
      <c r="F91" s="3903" t="s">
        <v>5372</v>
      </c>
      <c r="G91" s="3903" t="s">
        <v>5373</v>
      </c>
      <c r="H91" s="3903" t="s">
        <v>5374</v>
      </c>
      <c r="I91" s="3903" t="s">
        <v>5375</v>
      </c>
      <c r="J91" s="3903" t="s">
        <v>5376</v>
      </c>
      <c r="K91" s="3903" t="s">
        <v>5377</v>
      </c>
      <c r="L91" s="3903" t="s">
        <v>5378</v>
      </c>
      <c r="M91" s="3903" t="s">
        <v>5379</v>
      </c>
      <c r="N91" s="3903" t="s">
        <v>5380</v>
      </c>
      <c r="O91" s="3903" t="s">
        <v>5381</v>
      </c>
      <c r="P91" s="3903" t="s">
        <v>5382</v>
      </c>
      <c r="Q91" s="3903" t="s">
        <v>5383</v>
      </c>
      <c r="R91" s="3903" t="s">
        <v>5384</v>
      </c>
      <c r="S91" s="3903" t="s">
        <v>5385</v>
      </c>
      <c r="T91" s="3841" t="s">
        <v>5386</v>
      </c>
      <c r="U91" s="3918" t="s">
        <v>5387</v>
      </c>
      <c r="V91" s="3919" t="s">
        <v>5388</v>
      </c>
      <c r="W91" s="3918" t="s">
        <v>5389</v>
      </c>
      <c r="X91" s="3919" t="s">
        <v>5390</v>
      </c>
      <c r="Y91" s="3918" t="s">
        <v>5391</v>
      </c>
      <c r="Z91" s="3919" t="s">
        <v>5392</v>
      </c>
      <c r="AA91" s="3901" t="s">
        <v>5393</v>
      </c>
      <c r="AB91" s="3918" t="s">
        <v>5394</v>
      </c>
      <c r="AC91" s="3920" t="s">
        <v>5395</v>
      </c>
      <c r="AD91" s="3920" t="s">
        <v>5396</v>
      </c>
      <c r="AE91" s="3919" t="s">
        <v>5397</v>
      </c>
      <c r="AF91" s="3901" t="s">
        <v>5398</v>
      </c>
      <c r="AG91" s="3918" t="s">
        <v>5399</v>
      </c>
      <c r="AH91" s="3920" t="s">
        <v>5400</v>
      </c>
      <c r="AI91" s="3920" t="s">
        <v>5401</v>
      </c>
      <c r="AJ91" s="3921" t="s">
        <v>5402</v>
      </c>
      <c r="AK91" s="3908" t="s">
        <v>5403</v>
      </c>
      <c r="AL91" s="3908" t="s">
        <v>5404</v>
      </c>
      <c r="AM91" s="3908" t="s">
        <v>5405</v>
      </c>
      <c r="AN91" s="3908" t="s">
        <v>5406</v>
      </c>
      <c r="AO91" s="3908" t="s">
        <v>5407</v>
      </c>
      <c r="AP91" s="3908" t="s">
        <v>5408</v>
      </c>
      <c r="AQ91" s="3908" t="s">
        <v>5409</v>
      </c>
      <c r="AR91" s="3908" t="s">
        <v>5410</v>
      </c>
      <c r="AS91" s="3810" t="e">
        <f t="shared" si="23"/>
        <v>#VALUE!</v>
      </c>
      <c r="CC91" s="3811" t="e">
        <f t="shared" si="24"/>
        <v>#VALUE!</v>
      </c>
      <c r="CD91" s="3811" t="str">
        <f t="shared" si="25"/>
        <v xml:space="preserve">* El total de atenciones remotas de consultas nuevas según origen de menores de 15 años NO DEBE superar el total de atenciones del grupo indicado. </v>
      </c>
      <c r="CE91" s="3811" t="str">
        <f t="shared" si="26"/>
        <v xml:space="preserve">* El total de atenciones remotas de consultas nuevas según origen de pacientes de 15 y más años NO DEBE superar el total de atenciones del grupo indicado. </v>
      </c>
      <c r="CF91" s="3811" t="str">
        <f t="shared" si="27"/>
        <v xml:space="preserve">* El total de altas de consultas nuevas según origen de menores de 15 años NO DEBE superar el total de atenciones del grupo indicado. </v>
      </c>
      <c r="CG91" s="3811" t="str">
        <f t="shared" si="28"/>
        <v xml:space="preserve">* El total de altas de consultas nuevas según origen de pacientes de 15 y más años NO DEBE superar el total de atenciones del grupo indicado. </v>
      </c>
      <c r="CH91" s="3811" t="str">
        <f t="shared" si="29"/>
        <v xml:space="preserve"> *Las Atenciones de Pueblos Originarios no pueden superar el total de Atenciones.</v>
      </c>
      <c r="CI91" s="3811" t="str">
        <f t="shared" si="30"/>
        <v xml:space="preserve"> *Las Atenciones de Migrantes no pueden superar el total de Atenciones.</v>
      </c>
      <c r="CJ91" s="3917"/>
      <c r="CK91" s="3917"/>
      <c r="CM91" s="3811" t="e">
        <f t="shared" si="31"/>
        <v>#VALUE!</v>
      </c>
      <c r="CN91" s="3811">
        <f t="shared" si="32"/>
        <v>1</v>
      </c>
      <c r="CO91" s="3811">
        <f t="shared" si="33"/>
        <v>1</v>
      </c>
      <c r="CP91" s="3811">
        <f t="shared" si="34"/>
        <v>1</v>
      </c>
      <c r="CQ91" s="3811">
        <f t="shared" si="35"/>
        <v>1</v>
      </c>
      <c r="CR91" s="3811">
        <f t="shared" si="36"/>
        <v>1</v>
      </c>
      <c r="CS91" s="3811">
        <f t="shared" si="37"/>
        <v>1</v>
      </c>
      <c r="DA91" s="3811"/>
      <c r="DB91" s="3811"/>
      <c r="DC91" s="3811"/>
    </row>
    <row r="92" spans="1:107" ht="15.6" customHeight="1" x14ac:dyDescent="0.2">
      <c r="A92" s="7320">
        <v>32101582</v>
      </c>
      <c r="B92" s="3901" t="s">
        <v>452</v>
      </c>
      <c r="C92" s="3902" t="s">
        <v>5369</v>
      </c>
      <c r="D92" s="3922" t="s">
        <v>5370</v>
      </c>
      <c r="E92" s="3923" t="s">
        <v>5371</v>
      </c>
      <c r="F92" s="3923" t="s">
        <v>5372</v>
      </c>
      <c r="G92" s="3923" t="s">
        <v>5373</v>
      </c>
      <c r="H92" s="3923" t="s">
        <v>5374</v>
      </c>
      <c r="I92" s="3923" t="s">
        <v>5375</v>
      </c>
      <c r="J92" s="3923" t="s">
        <v>5376</v>
      </c>
      <c r="K92" s="3923" t="s">
        <v>5377</v>
      </c>
      <c r="L92" s="3923" t="s">
        <v>5378</v>
      </c>
      <c r="M92" s="3903" t="s">
        <v>5379</v>
      </c>
      <c r="N92" s="3903" t="s">
        <v>5380</v>
      </c>
      <c r="O92" s="3903" t="s">
        <v>5381</v>
      </c>
      <c r="P92" s="3903" t="s">
        <v>5382</v>
      </c>
      <c r="Q92" s="3903" t="s">
        <v>5383</v>
      </c>
      <c r="R92" s="3903" t="s">
        <v>5384</v>
      </c>
      <c r="S92" s="3903" t="s">
        <v>5385</v>
      </c>
      <c r="T92" s="3841" t="s">
        <v>5386</v>
      </c>
      <c r="U92" s="3918" t="s">
        <v>5387</v>
      </c>
      <c r="V92" s="3919" t="s">
        <v>5388</v>
      </c>
      <c r="W92" s="3918" t="s">
        <v>5389</v>
      </c>
      <c r="X92" s="3919" t="s">
        <v>5390</v>
      </c>
      <c r="Y92" s="3918" t="s">
        <v>5391</v>
      </c>
      <c r="Z92" s="3919" t="s">
        <v>5392</v>
      </c>
      <c r="AA92" s="3901" t="s">
        <v>5393</v>
      </c>
      <c r="AB92" s="3918" t="s">
        <v>5394</v>
      </c>
      <c r="AC92" s="3920" t="s">
        <v>5395</v>
      </c>
      <c r="AD92" s="3920" t="s">
        <v>5396</v>
      </c>
      <c r="AE92" s="3919" t="s">
        <v>5397</v>
      </c>
      <c r="AF92" s="3901" t="s">
        <v>5398</v>
      </c>
      <c r="AG92" s="3918" t="s">
        <v>5399</v>
      </c>
      <c r="AH92" s="3920" t="s">
        <v>5400</v>
      </c>
      <c r="AI92" s="3920" t="s">
        <v>5401</v>
      </c>
      <c r="AJ92" s="3921" t="s">
        <v>5402</v>
      </c>
      <c r="AK92" s="3908" t="s">
        <v>5403</v>
      </c>
      <c r="AL92" s="3908" t="s">
        <v>5404</v>
      </c>
      <c r="AM92" s="3908" t="s">
        <v>5405</v>
      </c>
      <c r="AN92" s="3908" t="s">
        <v>5406</v>
      </c>
      <c r="AO92" s="3908" t="s">
        <v>5407</v>
      </c>
      <c r="AP92" s="3908" t="s">
        <v>5408</v>
      </c>
      <c r="AQ92" s="3908" t="s">
        <v>5409</v>
      </c>
      <c r="AR92" s="3908" t="s">
        <v>5410</v>
      </c>
      <c r="AS92" s="3810" t="e">
        <f t="shared" si="23"/>
        <v>#VALUE!</v>
      </c>
      <c r="CC92" s="3811" t="e">
        <f t="shared" si="24"/>
        <v>#VALUE!</v>
      </c>
      <c r="CD92" s="3811" t="str">
        <f t="shared" si="25"/>
        <v xml:space="preserve">* El total de atenciones remotas de consultas nuevas según origen de menores de 15 años NO DEBE superar el total de atenciones del grupo indicado. </v>
      </c>
      <c r="CE92" s="3811" t="str">
        <f t="shared" si="26"/>
        <v xml:space="preserve">* El total de atenciones remotas de consultas nuevas según origen de pacientes de 15 y más años NO DEBE superar el total de atenciones del grupo indicado. </v>
      </c>
      <c r="CF92" s="3811" t="str">
        <f t="shared" si="27"/>
        <v xml:space="preserve">* El total de altas de consultas nuevas según origen de menores de 15 años NO DEBE superar el total de atenciones del grupo indicado. </v>
      </c>
      <c r="CG92" s="3811" t="str">
        <f t="shared" si="28"/>
        <v xml:space="preserve">* El total de altas de consultas nuevas según origen de pacientes de 15 y más años NO DEBE superar el total de atenciones del grupo indicado. </v>
      </c>
      <c r="CH92" s="3811" t="str">
        <f t="shared" si="29"/>
        <v xml:space="preserve"> *Las Atenciones de Pueblos Originarios no pueden superar el total de Atenciones.</v>
      </c>
      <c r="CI92" s="3811" t="str">
        <f t="shared" si="30"/>
        <v xml:space="preserve"> *Las Atenciones de Migrantes no pueden superar el total de Atenciones.</v>
      </c>
      <c r="CJ92" s="3917"/>
      <c r="CK92" s="3917"/>
      <c r="CM92" s="3811" t="e">
        <f t="shared" si="31"/>
        <v>#VALUE!</v>
      </c>
      <c r="CN92" s="3811">
        <f t="shared" si="32"/>
        <v>1</v>
      </c>
      <c r="CO92" s="3811">
        <f t="shared" si="33"/>
        <v>1</v>
      </c>
      <c r="CP92" s="3811">
        <f>IF(Y92&gt;SUM($D92:$T92),1,0)</f>
        <v>1</v>
      </c>
      <c r="CQ92" s="3811">
        <f t="shared" si="35"/>
        <v>1</v>
      </c>
      <c r="CR92" s="3811">
        <f t="shared" si="36"/>
        <v>1</v>
      </c>
      <c r="CS92" s="3811">
        <f t="shared" si="37"/>
        <v>1</v>
      </c>
      <c r="DA92" s="3811"/>
      <c r="DB92" s="3811"/>
      <c r="DC92" s="3811"/>
    </row>
    <row r="93" spans="1:107" ht="15.6" customHeight="1" x14ac:dyDescent="0.2">
      <c r="A93" s="7258">
        <v>32100250</v>
      </c>
      <c r="B93" s="3901" t="s">
        <v>288</v>
      </c>
      <c r="C93" s="3902" t="s">
        <v>5369</v>
      </c>
      <c r="D93" s="3830" t="s">
        <v>5370</v>
      </c>
      <c r="E93" s="3903" t="s">
        <v>5371</v>
      </c>
      <c r="F93" s="3903" t="s">
        <v>5372</v>
      </c>
      <c r="G93" s="3903" t="s">
        <v>5373</v>
      </c>
      <c r="H93" s="3903" t="s">
        <v>5374</v>
      </c>
      <c r="I93" s="3903" t="s">
        <v>5375</v>
      </c>
      <c r="J93" s="3903" t="s">
        <v>5376</v>
      </c>
      <c r="K93" s="3903" t="s">
        <v>5377</v>
      </c>
      <c r="L93" s="3903" t="s">
        <v>5378</v>
      </c>
      <c r="M93" s="3903" t="s">
        <v>5379</v>
      </c>
      <c r="N93" s="3903" t="s">
        <v>5380</v>
      </c>
      <c r="O93" s="3903" t="s">
        <v>5381</v>
      </c>
      <c r="P93" s="3903" t="s">
        <v>5382</v>
      </c>
      <c r="Q93" s="3903" t="s">
        <v>5383</v>
      </c>
      <c r="R93" s="3903" t="s">
        <v>5384</v>
      </c>
      <c r="S93" s="3903" t="s">
        <v>5385</v>
      </c>
      <c r="T93" s="3841" t="s">
        <v>5386</v>
      </c>
      <c r="U93" s="3918" t="s">
        <v>5387</v>
      </c>
      <c r="V93" s="3919" t="s">
        <v>5388</v>
      </c>
      <c r="W93" s="3918" t="s">
        <v>5389</v>
      </c>
      <c r="X93" s="3919" t="s">
        <v>5390</v>
      </c>
      <c r="Y93" s="3918" t="s">
        <v>5391</v>
      </c>
      <c r="Z93" s="3919" t="s">
        <v>5392</v>
      </c>
      <c r="AA93" s="3901" t="s">
        <v>5393</v>
      </c>
      <c r="AB93" s="3918" t="s">
        <v>5394</v>
      </c>
      <c r="AC93" s="3920" t="s">
        <v>5395</v>
      </c>
      <c r="AD93" s="3920" t="s">
        <v>5396</v>
      </c>
      <c r="AE93" s="3919" t="s">
        <v>5397</v>
      </c>
      <c r="AF93" s="3901" t="s">
        <v>5398</v>
      </c>
      <c r="AG93" s="3918" t="s">
        <v>5399</v>
      </c>
      <c r="AH93" s="3920" t="s">
        <v>5400</v>
      </c>
      <c r="AI93" s="3920" t="s">
        <v>5401</v>
      </c>
      <c r="AJ93" s="3921" t="s">
        <v>5402</v>
      </c>
      <c r="AK93" s="3908" t="s">
        <v>5403</v>
      </c>
      <c r="AL93" s="3908" t="s">
        <v>5404</v>
      </c>
      <c r="AM93" s="3908" t="s">
        <v>5405</v>
      </c>
      <c r="AN93" s="3908" t="s">
        <v>5406</v>
      </c>
      <c r="AO93" s="3908" t="s">
        <v>5407</v>
      </c>
      <c r="AP93" s="3908" t="s">
        <v>5408</v>
      </c>
      <c r="AQ93" s="3908" t="s">
        <v>5409</v>
      </c>
      <c r="AR93" s="3908" t="s">
        <v>5410</v>
      </c>
      <c r="AS93" s="3810" t="e">
        <f t="shared" si="23"/>
        <v>#VALUE!</v>
      </c>
      <c r="CC93" s="3811" t="e">
        <f t="shared" si="24"/>
        <v>#VALUE!</v>
      </c>
      <c r="CD93" s="3811" t="str">
        <f t="shared" si="25"/>
        <v xml:space="preserve">* El total de atenciones remotas de consultas nuevas según origen de menores de 15 años NO DEBE superar el total de atenciones del grupo indicado. </v>
      </c>
      <c r="CE93" s="3811" t="str">
        <f t="shared" si="26"/>
        <v xml:space="preserve">* El total de atenciones remotas de consultas nuevas según origen de pacientes de 15 y más años NO DEBE superar el total de atenciones del grupo indicado. </v>
      </c>
      <c r="CF93" s="3811" t="str">
        <f t="shared" si="27"/>
        <v xml:space="preserve">* El total de altas de consultas nuevas según origen de menores de 15 años NO DEBE superar el total de atenciones del grupo indicado. </v>
      </c>
      <c r="CG93" s="3811" t="str">
        <f t="shared" si="28"/>
        <v xml:space="preserve">* El total de altas de consultas nuevas según origen de pacientes de 15 y más años NO DEBE superar el total de atenciones del grupo indicado. </v>
      </c>
      <c r="CH93" s="3811" t="str">
        <f t="shared" si="29"/>
        <v xml:space="preserve"> *Las Atenciones de Pueblos Originarios no pueden superar el total de Atenciones.</v>
      </c>
      <c r="CI93" s="3811" t="str">
        <f t="shared" si="30"/>
        <v xml:space="preserve"> *Las Atenciones de Migrantes no pueden superar el total de Atenciones.</v>
      </c>
      <c r="CJ93" s="3917"/>
      <c r="CK93" s="3917"/>
      <c r="CM93" s="3811" t="e">
        <f t="shared" si="31"/>
        <v>#VALUE!</v>
      </c>
      <c r="CN93" s="3811">
        <f t="shared" si="32"/>
        <v>1</v>
      </c>
      <c r="CO93" s="3811">
        <f t="shared" si="33"/>
        <v>1</v>
      </c>
      <c r="CP93" s="3811">
        <f t="shared" si="34"/>
        <v>1</v>
      </c>
      <c r="CQ93" s="3811">
        <f t="shared" si="35"/>
        <v>1</v>
      </c>
      <c r="CR93" s="3811">
        <f t="shared" si="36"/>
        <v>1</v>
      </c>
      <c r="CS93" s="3811">
        <f t="shared" si="37"/>
        <v>1</v>
      </c>
      <c r="DA93" s="3811"/>
      <c r="DB93" s="3811"/>
      <c r="DC93" s="3811"/>
    </row>
    <row r="94" spans="1:107" ht="15.6" customHeight="1" x14ac:dyDescent="0.2">
      <c r="A94" s="7320">
        <v>32101583</v>
      </c>
      <c r="B94" s="3901" t="s">
        <v>289</v>
      </c>
      <c r="C94" s="3902" t="s">
        <v>5369</v>
      </c>
      <c r="D94" s="3830" t="s">
        <v>5370</v>
      </c>
      <c r="E94" s="3903" t="s">
        <v>5371</v>
      </c>
      <c r="F94" s="3903" t="s">
        <v>5372</v>
      </c>
      <c r="G94" s="3903" t="s">
        <v>5373</v>
      </c>
      <c r="H94" s="3903" t="s">
        <v>5374</v>
      </c>
      <c r="I94" s="3903" t="s">
        <v>5375</v>
      </c>
      <c r="J94" s="3903" t="s">
        <v>5376</v>
      </c>
      <c r="K94" s="3903" t="s">
        <v>5377</v>
      </c>
      <c r="L94" s="3903" t="s">
        <v>5378</v>
      </c>
      <c r="M94" s="3903" t="s">
        <v>5379</v>
      </c>
      <c r="N94" s="3903" t="s">
        <v>5380</v>
      </c>
      <c r="O94" s="3903" t="s">
        <v>5381</v>
      </c>
      <c r="P94" s="3903" t="s">
        <v>5382</v>
      </c>
      <c r="Q94" s="3903" t="s">
        <v>5383</v>
      </c>
      <c r="R94" s="3903" t="s">
        <v>5384</v>
      </c>
      <c r="S94" s="3903" t="s">
        <v>5385</v>
      </c>
      <c r="T94" s="3841" t="s">
        <v>5386</v>
      </c>
      <c r="U94" s="3918" t="s">
        <v>5387</v>
      </c>
      <c r="V94" s="3919" t="s">
        <v>5388</v>
      </c>
      <c r="W94" s="3918" t="s">
        <v>5389</v>
      </c>
      <c r="X94" s="3919" t="s">
        <v>5390</v>
      </c>
      <c r="Y94" s="3918" t="s">
        <v>5391</v>
      </c>
      <c r="Z94" s="3919" t="s">
        <v>5392</v>
      </c>
      <c r="AA94" s="3901" t="s">
        <v>5393</v>
      </c>
      <c r="AB94" s="3918" t="s">
        <v>5394</v>
      </c>
      <c r="AC94" s="3920" t="s">
        <v>5395</v>
      </c>
      <c r="AD94" s="3920" t="s">
        <v>5396</v>
      </c>
      <c r="AE94" s="3919" t="s">
        <v>5397</v>
      </c>
      <c r="AF94" s="3901" t="s">
        <v>5398</v>
      </c>
      <c r="AG94" s="3918" t="s">
        <v>5399</v>
      </c>
      <c r="AH94" s="3920" t="s">
        <v>5400</v>
      </c>
      <c r="AI94" s="3920" t="s">
        <v>5401</v>
      </c>
      <c r="AJ94" s="3921" t="s">
        <v>5402</v>
      </c>
      <c r="AK94" s="3908" t="s">
        <v>5403</v>
      </c>
      <c r="AL94" s="3908" t="s">
        <v>5404</v>
      </c>
      <c r="AM94" s="3908" t="s">
        <v>5405</v>
      </c>
      <c r="AN94" s="3908" t="s">
        <v>5406</v>
      </c>
      <c r="AO94" s="3908" t="s">
        <v>5407</v>
      </c>
      <c r="AP94" s="3908" t="s">
        <v>5408</v>
      </c>
      <c r="AQ94" s="3908" t="s">
        <v>5409</v>
      </c>
      <c r="AR94" s="3908" t="s">
        <v>5410</v>
      </c>
      <c r="AS94" s="3810" t="e">
        <f t="shared" si="23"/>
        <v>#VALUE!</v>
      </c>
      <c r="CC94" s="3811" t="e">
        <f t="shared" si="24"/>
        <v>#VALUE!</v>
      </c>
      <c r="CD94" s="3811" t="str">
        <f t="shared" si="25"/>
        <v xml:space="preserve">* El total de atenciones remotas de consultas nuevas según origen de menores de 15 años NO DEBE superar el total de atenciones del grupo indicado. </v>
      </c>
      <c r="CE94" s="3811" t="str">
        <f t="shared" si="26"/>
        <v xml:space="preserve">* El total de atenciones remotas de consultas nuevas según origen de pacientes de 15 y más años NO DEBE superar el total de atenciones del grupo indicado. </v>
      </c>
      <c r="CF94" s="3811" t="str">
        <f t="shared" si="27"/>
        <v xml:space="preserve">* El total de altas de consultas nuevas según origen de menores de 15 años NO DEBE superar el total de atenciones del grupo indicado. </v>
      </c>
      <c r="CG94" s="3811" t="str">
        <f t="shared" si="28"/>
        <v xml:space="preserve">* El total de altas de consultas nuevas según origen de pacientes de 15 y más años NO DEBE superar el total de atenciones del grupo indicado. </v>
      </c>
      <c r="CH94" s="3811" t="str">
        <f t="shared" si="29"/>
        <v xml:space="preserve"> *Las Atenciones de Pueblos Originarios no pueden superar el total de Atenciones.</v>
      </c>
      <c r="CI94" s="3811" t="str">
        <f t="shared" si="30"/>
        <v xml:space="preserve"> *Las Atenciones de Migrantes no pueden superar el total de Atenciones.</v>
      </c>
      <c r="CJ94" s="3917"/>
      <c r="CK94" s="3917"/>
      <c r="CM94" s="3811" t="e">
        <f t="shared" si="31"/>
        <v>#VALUE!</v>
      </c>
      <c r="CN94" s="3811">
        <f t="shared" si="32"/>
        <v>1</v>
      </c>
      <c r="CO94" s="3811">
        <f t="shared" si="33"/>
        <v>1</v>
      </c>
      <c r="CP94" s="3811">
        <f t="shared" si="34"/>
        <v>1</v>
      </c>
      <c r="CQ94" s="3811">
        <f t="shared" si="35"/>
        <v>1</v>
      </c>
      <c r="CR94" s="3811">
        <f t="shared" si="36"/>
        <v>1</v>
      </c>
      <c r="CS94" s="3811">
        <f t="shared" si="37"/>
        <v>1</v>
      </c>
      <c r="DA94" s="3811"/>
      <c r="DB94" s="3811"/>
      <c r="DC94" s="3811"/>
    </row>
    <row r="95" spans="1:107" ht="15.6" customHeight="1" x14ac:dyDescent="0.2">
      <c r="A95" s="7320">
        <v>32101584</v>
      </c>
      <c r="B95" s="3892" t="s">
        <v>418</v>
      </c>
      <c r="C95" s="3829" t="s">
        <v>5369</v>
      </c>
      <c r="D95" s="3830" t="s">
        <v>5370</v>
      </c>
      <c r="E95" s="3903" t="s">
        <v>5371</v>
      </c>
      <c r="F95" s="3903" t="s">
        <v>5372</v>
      </c>
      <c r="G95" s="3903" t="s">
        <v>5373</v>
      </c>
      <c r="H95" s="3903" t="s">
        <v>5374</v>
      </c>
      <c r="I95" s="3903" t="s">
        <v>5375</v>
      </c>
      <c r="J95" s="3903" t="s">
        <v>5376</v>
      </c>
      <c r="K95" s="3903" t="s">
        <v>5377</v>
      </c>
      <c r="L95" s="3903" t="s">
        <v>5378</v>
      </c>
      <c r="M95" s="3903" t="s">
        <v>5379</v>
      </c>
      <c r="N95" s="3903" t="s">
        <v>5380</v>
      </c>
      <c r="O95" s="3903" t="s">
        <v>5381</v>
      </c>
      <c r="P95" s="3903" t="s">
        <v>5382</v>
      </c>
      <c r="Q95" s="3903" t="s">
        <v>5383</v>
      </c>
      <c r="R95" s="3903" t="s">
        <v>5384</v>
      </c>
      <c r="S95" s="3903" t="s">
        <v>5385</v>
      </c>
      <c r="T95" s="3841" t="s">
        <v>5386</v>
      </c>
      <c r="U95" s="3830" t="s">
        <v>5387</v>
      </c>
      <c r="V95" s="3841" t="s">
        <v>5388</v>
      </c>
      <c r="W95" s="3830" t="s">
        <v>5389</v>
      </c>
      <c r="X95" s="3841" t="s">
        <v>5390</v>
      </c>
      <c r="Y95" s="3830" t="s">
        <v>5391</v>
      </c>
      <c r="Z95" s="3841" t="s">
        <v>5392</v>
      </c>
      <c r="AA95" s="3898" t="s">
        <v>5393</v>
      </c>
      <c r="AB95" s="3830" t="s">
        <v>5394</v>
      </c>
      <c r="AC95" s="3831" t="s">
        <v>5395</v>
      </c>
      <c r="AD95" s="3831" t="s">
        <v>5396</v>
      </c>
      <c r="AE95" s="3841" t="s">
        <v>5397</v>
      </c>
      <c r="AF95" s="3898" t="s">
        <v>5398</v>
      </c>
      <c r="AG95" s="3830" t="s">
        <v>5399</v>
      </c>
      <c r="AH95" s="3831" t="s">
        <v>5400</v>
      </c>
      <c r="AI95" s="3831" t="s">
        <v>5401</v>
      </c>
      <c r="AJ95" s="3916" t="s">
        <v>5402</v>
      </c>
      <c r="AK95" s="3900" t="s">
        <v>5403</v>
      </c>
      <c r="AL95" s="3900" t="s">
        <v>5404</v>
      </c>
      <c r="AM95" s="3908" t="s">
        <v>5405</v>
      </c>
      <c r="AN95" s="3900" t="s">
        <v>5406</v>
      </c>
      <c r="AO95" s="3900" t="s">
        <v>5407</v>
      </c>
      <c r="AP95" s="3900" t="s">
        <v>5408</v>
      </c>
      <c r="AQ95" s="3900" t="s">
        <v>5409</v>
      </c>
      <c r="AR95" s="3900" t="s">
        <v>5410</v>
      </c>
      <c r="AS95" s="3810" t="e">
        <f t="shared" si="23"/>
        <v>#VALUE!</v>
      </c>
      <c r="CC95" s="3811" t="e">
        <f t="shared" si="24"/>
        <v>#VALUE!</v>
      </c>
      <c r="CD95" s="3811" t="str">
        <f t="shared" si="25"/>
        <v xml:space="preserve">* El total de atenciones remotas de consultas nuevas según origen de menores de 15 años NO DEBE superar el total de atenciones del grupo indicado. </v>
      </c>
      <c r="CE95" s="3811" t="str">
        <f t="shared" si="26"/>
        <v xml:space="preserve">* El total de atenciones remotas de consultas nuevas según origen de pacientes de 15 y más años NO DEBE superar el total de atenciones del grupo indicado. </v>
      </c>
      <c r="CF95" s="3811" t="str">
        <f t="shared" si="27"/>
        <v xml:space="preserve">* El total de altas de consultas nuevas según origen de menores de 15 años NO DEBE superar el total de atenciones del grupo indicado. </v>
      </c>
      <c r="CG95" s="3811" t="str">
        <f t="shared" si="28"/>
        <v xml:space="preserve">* El total de altas de consultas nuevas según origen de pacientes de 15 y más años NO DEBE superar el total de atenciones del grupo indicado. </v>
      </c>
      <c r="CH95" s="3811" t="str">
        <f t="shared" si="29"/>
        <v xml:space="preserve"> *Las Atenciones de Pueblos Originarios no pueden superar el total de Atenciones.</v>
      </c>
      <c r="CI95" s="3811" t="str">
        <f t="shared" si="30"/>
        <v xml:space="preserve"> *Las Atenciones de Migrantes no pueden superar el total de Atenciones.</v>
      </c>
      <c r="CJ95" s="3917"/>
      <c r="CK95" s="3917"/>
      <c r="CM95" s="3811" t="e">
        <f t="shared" si="31"/>
        <v>#VALUE!</v>
      </c>
      <c r="CN95" s="3811">
        <f t="shared" si="32"/>
        <v>1</v>
      </c>
      <c r="CO95" s="3811">
        <f t="shared" si="33"/>
        <v>1</v>
      </c>
      <c r="CP95" s="3811">
        <f t="shared" si="34"/>
        <v>1</v>
      </c>
      <c r="CQ95" s="3811">
        <f t="shared" si="35"/>
        <v>1</v>
      </c>
      <c r="CR95" s="3811">
        <f t="shared" si="36"/>
        <v>1</v>
      </c>
      <c r="CS95" s="3811">
        <f t="shared" si="37"/>
        <v>1</v>
      </c>
      <c r="DA95" s="3811"/>
      <c r="DB95" s="3811"/>
      <c r="DC95" s="3811"/>
    </row>
    <row r="96" spans="1:107" ht="15.6" customHeight="1" x14ac:dyDescent="0.2">
      <c r="A96" s="7320">
        <v>32101585</v>
      </c>
      <c r="B96" s="3924" t="s">
        <v>419</v>
      </c>
      <c r="C96" s="3829" t="s">
        <v>5369</v>
      </c>
      <c r="D96" s="3925" t="s">
        <v>5370</v>
      </c>
      <c r="E96" s="3926" t="s">
        <v>5371</v>
      </c>
      <c r="F96" s="3926" t="s">
        <v>5372</v>
      </c>
      <c r="G96" s="3926" t="s">
        <v>5373</v>
      </c>
      <c r="H96" s="3926" t="s">
        <v>5374</v>
      </c>
      <c r="I96" s="3926" t="s">
        <v>5375</v>
      </c>
      <c r="J96" s="3926" t="s">
        <v>5376</v>
      </c>
      <c r="K96" s="3926" t="s">
        <v>5377</v>
      </c>
      <c r="L96" s="3926" t="s">
        <v>5378</v>
      </c>
      <c r="M96" s="3926" t="s">
        <v>5379</v>
      </c>
      <c r="N96" s="3926" t="s">
        <v>5380</v>
      </c>
      <c r="O96" s="3926" t="s">
        <v>5381</v>
      </c>
      <c r="P96" s="3926" t="s">
        <v>5382</v>
      </c>
      <c r="Q96" s="3926" t="s">
        <v>5383</v>
      </c>
      <c r="R96" s="3926" t="s">
        <v>5384</v>
      </c>
      <c r="S96" s="3926" t="s">
        <v>5385</v>
      </c>
      <c r="T96" s="3927" t="s">
        <v>5386</v>
      </c>
      <c r="U96" s="3830" t="s">
        <v>5387</v>
      </c>
      <c r="V96" s="3841" t="s">
        <v>5388</v>
      </c>
      <c r="W96" s="3830" t="s">
        <v>5389</v>
      </c>
      <c r="X96" s="3841" t="s">
        <v>5390</v>
      </c>
      <c r="Y96" s="3830" t="s">
        <v>5391</v>
      </c>
      <c r="Z96" s="3841" t="s">
        <v>5392</v>
      </c>
      <c r="AA96" s="3898" t="s">
        <v>5393</v>
      </c>
      <c r="AB96" s="3830" t="s">
        <v>5394</v>
      </c>
      <c r="AC96" s="3831" t="s">
        <v>5395</v>
      </c>
      <c r="AD96" s="3831" t="s">
        <v>5396</v>
      </c>
      <c r="AE96" s="3841" t="s">
        <v>5397</v>
      </c>
      <c r="AF96" s="3898" t="s">
        <v>5398</v>
      </c>
      <c r="AG96" s="3830" t="s">
        <v>5399</v>
      </c>
      <c r="AH96" s="3831" t="s">
        <v>5400</v>
      </c>
      <c r="AI96" s="3831" t="s">
        <v>5401</v>
      </c>
      <c r="AJ96" s="3916" t="s">
        <v>5402</v>
      </c>
      <c r="AK96" s="3900" t="s">
        <v>5403</v>
      </c>
      <c r="AL96" s="3900" t="s">
        <v>5404</v>
      </c>
      <c r="AM96" s="3908" t="s">
        <v>5405</v>
      </c>
      <c r="AN96" s="3900" t="s">
        <v>5406</v>
      </c>
      <c r="AO96" s="3900" t="s">
        <v>5407</v>
      </c>
      <c r="AP96" s="3900" t="s">
        <v>5408</v>
      </c>
      <c r="AQ96" s="3900" t="s">
        <v>5409</v>
      </c>
      <c r="AR96" s="3900" t="s">
        <v>5410</v>
      </c>
      <c r="AS96" s="3810" t="e">
        <f t="shared" si="23"/>
        <v>#VALUE!</v>
      </c>
      <c r="CC96" s="3811" t="e">
        <f t="shared" si="24"/>
        <v>#VALUE!</v>
      </c>
      <c r="CD96" s="3811" t="str">
        <f t="shared" si="25"/>
        <v xml:space="preserve">* El total de atenciones remotas de consultas nuevas según origen de menores de 15 años NO DEBE superar el total de atenciones del grupo indicado. </v>
      </c>
      <c r="CE96" s="3811" t="str">
        <f t="shared" si="26"/>
        <v xml:space="preserve">* El total de atenciones remotas de consultas nuevas según origen de pacientes de 15 y más años NO DEBE superar el total de atenciones del grupo indicado. </v>
      </c>
      <c r="CF96" s="3811" t="str">
        <f t="shared" si="27"/>
        <v xml:space="preserve">* El total de altas de consultas nuevas según origen de menores de 15 años NO DEBE superar el total de atenciones del grupo indicado. </v>
      </c>
      <c r="CG96" s="3811" t="str">
        <f t="shared" si="28"/>
        <v xml:space="preserve">* El total de altas de consultas nuevas según origen de pacientes de 15 y más años NO DEBE superar el total de atenciones del grupo indicado. </v>
      </c>
      <c r="CH96" s="3811" t="str">
        <f t="shared" si="29"/>
        <v xml:space="preserve"> *Las Atenciones de Pueblos Originarios no pueden superar el total de Atenciones.</v>
      </c>
      <c r="CI96" s="3811" t="str">
        <f t="shared" si="30"/>
        <v xml:space="preserve"> *Las Atenciones de Migrantes no pueden superar el total de Atenciones.</v>
      </c>
      <c r="CJ96" s="3917"/>
      <c r="CK96" s="3917"/>
      <c r="CM96" s="3811" t="e">
        <f t="shared" si="31"/>
        <v>#VALUE!</v>
      </c>
      <c r="CN96" s="3811">
        <f t="shared" si="32"/>
        <v>1</v>
      </c>
      <c r="CO96" s="3811">
        <f t="shared" si="33"/>
        <v>1</v>
      </c>
      <c r="CP96" s="3811">
        <f t="shared" si="34"/>
        <v>1</v>
      </c>
      <c r="CQ96" s="3811">
        <f t="shared" si="35"/>
        <v>1</v>
      </c>
      <c r="CR96" s="3811">
        <f t="shared" si="36"/>
        <v>1</v>
      </c>
      <c r="CS96" s="3811">
        <f t="shared" si="37"/>
        <v>1</v>
      </c>
      <c r="DA96" s="3811"/>
      <c r="DB96" s="3811"/>
      <c r="DC96" s="3811"/>
    </row>
    <row r="97" spans="1:107" ht="21" customHeight="1" x14ac:dyDescent="0.2">
      <c r="A97" s="7800"/>
      <c r="B97" s="3928" t="s">
        <v>24</v>
      </c>
      <c r="C97" s="3929">
        <f>SUM(D97:T97)</f>
        <v>0</v>
      </c>
      <c r="D97" s="3930">
        <f>SUM(D37:D96)</f>
        <v>0</v>
      </c>
      <c r="E97" s="3931">
        <f>SUM(E37:E96)</f>
        <v>0</v>
      </c>
      <c r="F97" s="3931">
        <f t="shared" ref="F97:AQ97" si="38">SUM(F37:F96)</f>
        <v>0</v>
      </c>
      <c r="G97" s="3931">
        <f t="shared" si="38"/>
        <v>0</v>
      </c>
      <c r="H97" s="3931">
        <f t="shared" si="38"/>
        <v>0</v>
      </c>
      <c r="I97" s="3932">
        <f t="shared" si="38"/>
        <v>0</v>
      </c>
      <c r="J97" s="3931">
        <f t="shared" si="38"/>
        <v>0</v>
      </c>
      <c r="K97" s="3931">
        <f t="shared" si="38"/>
        <v>0</v>
      </c>
      <c r="L97" s="3931">
        <f t="shared" si="38"/>
        <v>0</v>
      </c>
      <c r="M97" s="3931">
        <f t="shared" si="38"/>
        <v>0</v>
      </c>
      <c r="N97" s="3931">
        <f t="shared" si="38"/>
        <v>0</v>
      </c>
      <c r="O97" s="3931">
        <f t="shared" si="38"/>
        <v>0</v>
      </c>
      <c r="P97" s="3931">
        <f t="shared" si="38"/>
        <v>0</v>
      </c>
      <c r="Q97" s="3931">
        <f t="shared" si="38"/>
        <v>0</v>
      </c>
      <c r="R97" s="3931">
        <f t="shared" si="38"/>
        <v>0</v>
      </c>
      <c r="S97" s="3931">
        <f t="shared" si="38"/>
        <v>0</v>
      </c>
      <c r="T97" s="3933">
        <f t="shared" si="38"/>
        <v>0</v>
      </c>
      <c r="U97" s="3934">
        <f t="shared" si="38"/>
        <v>0</v>
      </c>
      <c r="V97" s="3933">
        <f t="shared" si="38"/>
        <v>0</v>
      </c>
      <c r="W97" s="3934">
        <f t="shared" si="38"/>
        <v>0</v>
      </c>
      <c r="X97" s="3933">
        <f t="shared" si="38"/>
        <v>0</v>
      </c>
      <c r="Y97" s="3934">
        <f t="shared" si="38"/>
        <v>0</v>
      </c>
      <c r="Z97" s="3933">
        <f t="shared" si="38"/>
        <v>0</v>
      </c>
      <c r="AA97" s="3935">
        <f t="shared" si="38"/>
        <v>0</v>
      </c>
      <c r="AB97" s="3934">
        <f t="shared" si="38"/>
        <v>0</v>
      </c>
      <c r="AC97" s="3936">
        <f t="shared" si="38"/>
        <v>0</v>
      </c>
      <c r="AD97" s="3936">
        <f t="shared" si="38"/>
        <v>0</v>
      </c>
      <c r="AE97" s="3937">
        <f t="shared" si="38"/>
        <v>0</v>
      </c>
      <c r="AF97" s="3935">
        <f t="shared" si="38"/>
        <v>0</v>
      </c>
      <c r="AG97" s="3934">
        <f t="shared" si="38"/>
        <v>0</v>
      </c>
      <c r="AH97" s="3936">
        <f t="shared" si="38"/>
        <v>0</v>
      </c>
      <c r="AI97" s="3936">
        <f t="shared" si="38"/>
        <v>0</v>
      </c>
      <c r="AJ97" s="3938">
        <f t="shared" si="38"/>
        <v>0</v>
      </c>
      <c r="AK97" s="3933">
        <f>SUM(AK37:AK96)</f>
        <v>0</v>
      </c>
      <c r="AL97" s="3933">
        <f>SUM(AL37:AL96)</f>
        <v>0</v>
      </c>
      <c r="AM97" s="7231">
        <f>SUM(AM37:AM96)</f>
        <v>0</v>
      </c>
      <c r="AN97" s="3933">
        <f t="shared" si="38"/>
        <v>0</v>
      </c>
      <c r="AO97" s="3933">
        <f t="shared" si="38"/>
        <v>0</v>
      </c>
      <c r="AP97" s="3933">
        <f t="shared" si="38"/>
        <v>0</v>
      </c>
      <c r="AQ97" s="3933">
        <f t="shared" si="38"/>
        <v>0</v>
      </c>
      <c r="AR97" s="3933">
        <f>SUM(AR37:AR96)</f>
        <v>0</v>
      </c>
      <c r="CH97" s="3917"/>
      <c r="CI97" s="3917"/>
      <c r="CJ97" s="3917"/>
      <c r="CK97" s="3917"/>
      <c r="CL97" s="3917"/>
      <c r="CM97" s="3917"/>
      <c r="DA97" s="3811"/>
      <c r="DB97" s="3811"/>
      <c r="DC97" s="3811"/>
    </row>
    <row r="98" spans="1:107" s="3941" customFormat="1" ht="25.5" customHeight="1" x14ac:dyDescent="0.25">
      <c r="B98" s="4954" t="s">
        <v>3106</v>
      </c>
      <c r="C98" s="3939"/>
      <c r="D98" s="3939"/>
      <c r="E98" s="3939"/>
      <c r="F98" s="3939"/>
      <c r="G98" s="3939"/>
      <c r="H98" s="3940"/>
      <c r="I98" s="3940"/>
      <c r="J98" s="3940"/>
      <c r="K98" s="3940"/>
      <c r="L98" s="3940"/>
      <c r="M98" s="3940"/>
      <c r="N98" s="3940"/>
      <c r="O98" s="3940"/>
      <c r="P98" s="3940"/>
      <c r="Q98" s="3940"/>
      <c r="R98" s="3940"/>
      <c r="S98" s="3940"/>
      <c r="T98" s="3940"/>
      <c r="U98" s="3940"/>
      <c r="V98" s="3940"/>
      <c r="W98" s="3940"/>
      <c r="X98" s="3940"/>
      <c r="Y98" s="3940"/>
      <c r="Z98" s="3940"/>
      <c r="AA98" s="3940"/>
      <c r="AB98" s="3940"/>
      <c r="AC98" s="3914"/>
      <c r="AD98" s="3914"/>
      <c r="AE98" s="3940"/>
      <c r="AF98" s="3940"/>
      <c r="AG98" s="3940"/>
      <c r="AH98" s="3940"/>
      <c r="AI98" s="3940"/>
      <c r="AJ98" s="3940"/>
      <c r="AK98" s="3940"/>
      <c r="AL98" s="3940"/>
      <c r="AM98" s="3940"/>
      <c r="AN98" s="3940"/>
      <c r="AO98" s="3940"/>
      <c r="AP98" s="3940"/>
      <c r="AQ98" s="3940"/>
      <c r="AR98" s="3940"/>
      <c r="AS98" s="3877"/>
      <c r="AT98" s="3877"/>
      <c r="AU98" s="3917"/>
      <c r="AV98" s="3917"/>
      <c r="AW98" s="3917"/>
      <c r="AX98" s="3917"/>
      <c r="AY98" s="3917"/>
      <c r="AZ98" s="3917"/>
      <c r="BA98" s="3917"/>
      <c r="BB98" s="3917"/>
      <c r="BC98" s="3917"/>
      <c r="BD98" s="3917"/>
      <c r="BE98" s="3917"/>
      <c r="BF98" s="3917"/>
      <c r="BG98" s="3917"/>
      <c r="BH98" s="3917"/>
      <c r="BI98" s="3917"/>
      <c r="BJ98" s="3917"/>
      <c r="BK98" s="3811"/>
      <c r="BL98" s="3811"/>
      <c r="BM98" s="3811"/>
      <c r="BN98" s="3811"/>
      <c r="BO98" s="3811"/>
      <c r="BP98" s="3811"/>
      <c r="BQ98" s="3811"/>
      <c r="BR98" s="3811"/>
      <c r="BS98" s="3811"/>
      <c r="BT98" s="3811"/>
      <c r="BU98" s="3811"/>
      <c r="BV98" s="3811"/>
      <c r="BW98" s="3811"/>
      <c r="BX98" s="3811"/>
      <c r="BY98" s="3811"/>
      <c r="BZ98" s="3811"/>
      <c r="CA98" s="3811"/>
      <c r="CB98" s="3811"/>
      <c r="CC98" s="3811"/>
      <c r="CD98" s="3811"/>
      <c r="CE98" s="3811"/>
      <c r="CF98" s="3811"/>
      <c r="CG98" s="3917"/>
      <c r="CH98" s="3917"/>
      <c r="CI98" s="3917"/>
      <c r="CJ98" s="3917"/>
      <c r="CK98" s="3917"/>
      <c r="CL98" s="3917"/>
      <c r="CM98" s="3917"/>
      <c r="CN98" s="3917"/>
      <c r="CO98" s="3917"/>
      <c r="CP98" s="3917"/>
      <c r="CQ98" s="3917"/>
      <c r="CR98" s="3917"/>
      <c r="CS98" s="3917"/>
      <c r="CT98" s="3917"/>
      <c r="CU98" s="3917"/>
      <c r="CV98" s="3917"/>
      <c r="CW98" s="3917"/>
      <c r="CX98" s="3917"/>
      <c r="CY98" s="3917"/>
      <c r="CZ98" s="3917"/>
    </row>
    <row r="99" spans="1:107" s="3941" customFormat="1" ht="25.5" customHeight="1" x14ac:dyDescent="0.2">
      <c r="B99" s="11325" t="s">
        <v>0</v>
      </c>
      <c r="C99" s="11038"/>
      <c r="D99" s="11325" t="s">
        <v>39</v>
      </c>
      <c r="E99" s="11380"/>
      <c r="F99" s="11038"/>
      <c r="G99" s="11301" t="s">
        <v>98</v>
      </c>
      <c r="H99" s="11364"/>
      <c r="I99" s="11364"/>
      <c r="J99" s="11364"/>
      <c r="K99" s="11364"/>
      <c r="L99" s="11364"/>
      <c r="M99" s="11364"/>
      <c r="N99" s="11364"/>
      <c r="O99" s="11364"/>
      <c r="P99" s="11364"/>
      <c r="Q99" s="11364"/>
      <c r="R99" s="11364"/>
      <c r="S99" s="11364"/>
      <c r="T99" s="11364"/>
      <c r="U99" s="11364"/>
      <c r="V99" s="11364"/>
      <c r="W99" s="11364"/>
      <c r="X99" s="11364"/>
      <c r="Y99" s="11364"/>
      <c r="Z99" s="11364"/>
      <c r="AA99" s="11364"/>
      <c r="AB99" s="11364"/>
      <c r="AC99" s="11364"/>
      <c r="AD99" s="11364"/>
      <c r="AE99" s="11364"/>
      <c r="AF99" s="11364"/>
      <c r="AG99" s="11364"/>
      <c r="AH99" s="11364"/>
      <c r="AI99" s="11364"/>
      <c r="AJ99" s="11364"/>
      <c r="AK99" s="11364"/>
      <c r="AL99" s="11364"/>
      <c r="AM99" s="11364"/>
      <c r="AN99" s="11412"/>
      <c r="AO99" s="11281" t="s">
        <v>3738</v>
      </c>
      <c r="AP99" s="11283"/>
      <c r="AQ99" s="11415" t="s">
        <v>360</v>
      </c>
      <c r="AR99" s="8636" t="s">
        <v>364</v>
      </c>
      <c r="AS99" s="9381" t="s">
        <v>362</v>
      </c>
      <c r="AT99" s="8636" t="s">
        <v>361</v>
      </c>
      <c r="AU99" s="9227" t="s">
        <v>2397</v>
      </c>
      <c r="AV99" s="8636" t="s">
        <v>2379</v>
      </c>
      <c r="AW99" s="3917"/>
      <c r="AX99" s="3917"/>
      <c r="AY99" s="3917"/>
      <c r="AZ99" s="3917"/>
      <c r="BA99" s="3917"/>
      <c r="BB99" s="3917"/>
      <c r="BC99" s="3917"/>
      <c r="BD99" s="3917"/>
      <c r="BE99" s="3917"/>
      <c r="BF99" s="3917"/>
      <c r="BG99" s="3917"/>
      <c r="BH99" s="3917"/>
      <c r="BI99" s="3917"/>
      <c r="BJ99" s="3917"/>
      <c r="BK99" s="3917"/>
      <c r="BL99" s="3917"/>
      <c r="BM99" s="3917"/>
      <c r="BN99" s="3917"/>
      <c r="BO99" s="3917"/>
      <c r="BP99" s="3917"/>
      <c r="BQ99" s="3917"/>
      <c r="BR99" s="3917"/>
      <c r="BS99" s="3917"/>
      <c r="BT99" s="3917"/>
      <c r="BU99" s="3917"/>
      <c r="BV99" s="3917"/>
      <c r="BW99" s="3917"/>
      <c r="BX99" s="3917"/>
      <c r="BY99" s="3917"/>
      <c r="BZ99" s="3917"/>
      <c r="CA99" s="3917"/>
      <c r="CB99" s="3917"/>
      <c r="CC99" s="3917"/>
      <c r="CD99" s="3917"/>
      <c r="CE99" s="3917"/>
      <c r="CF99" s="3917"/>
      <c r="CG99" s="3917"/>
      <c r="CH99" s="3917"/>
      <c r="CI99" s="3917"/>
      <c r="CJ99" s="3917"/>
      <c r="CK99" s="3917"/>
      <c r="CL99" s="3917"/>
      <c r="CM99" s="3917"/>
      <c r="CN99" s="3917"/>
      <c r="CO99" s="3917"/>
      <c r="CP99" s="3917"/>
      <c r="CQ99" s="3917"/>
      <c r="CR99" s="3917"/>
      <c r="CS99" s="3917"/>
      <c r="CT99" s="3917"/>
      <c r="CU99" s="3917"/>
      <c r="CV99" s="3917"/>
      <c r="CW99" s="3917"/>
      <c r="CX99" s="3917"/>
      <c r="CY99" s="3917"/>
      <c r="CZ99" s="3917"/>
      <c r="DA99" s="3917"/>
      <c r="DB99" s="3917"/>
    </row>
    <row r="100" spans="1:107" ht="33.75" customHeight="1" x14ac:dyDescent="0.2">
      <c r="B100" s="10748"/>
      <c r="C100" s="9055"/>
      <c r="D100" s="10275"/>
      <c r="E100" s="10276"/>
      <c r="F100" s="9056"/>
      <c r="G100" s="9286" t="s">
        <v>75</v>
      </c>
      <c r="H100" s="9288"/>
      <c r="I100" s="9286" t="s">
        <v>76</v>
      </c>
      <c r="J100" s="9288"/>
      <c r="K100" s="9286" t="s">
        <v>77</v>
      </c>
      <c r="L100" s="9288"/>
      <c r="M100" s="9286" t="s">
        <v>71</v>
      </c>
      <c r="N100" s="9288"/>
      <c r="O100" s="9286" t="s">
        <v>4</v>
      </c>
      <c r="P100" s="9288"/>
      <c r="Q100" s="11285" t="s">
        <v>5</v>
      </c>
      <c r="R100" s="11286"/>
      <c r="S100" s="11285" t="s">
        <v>6</v>
      </c>
      <c r="T100" s="11286"/>
      <c r="U100" s="11285" t="s">
        <v>7</v>
      </c>
      <c r="V100" s="11286"/>
      <c r="W100" s="11285" t="s">
        <v>8</v>
      </c>
      <c r="X100" s="11286"/>
      <c r="Y100" s="11285" t="s">
        <v>9</v>
      </c>
      <c r="Z100" s="11286"/>
      <c r="AA100" s="11285" t="s">
        <v>10</v>
      </c>
      <c r="AB100" s="11286"/>
      <c r="AC100" s="11285" t="s">
        <v>11</v>
      </c>
      <c r="AD100" s="11286"/>
      <c r="AE100" s="11285" t="s">
        <v>12</v>
      </c>
      <c r="AF100" s="11286"/>
      <c r="AG100" s="11285" t="s">
        <v>13</v>
      </c>
      <c r="AH100" s="11286"/>
      <c r="AI100" s="11285" t="s">
        <v>14</v>
      </c>
      <c r="AJ100" s="11286"/>
      <c r="AK100" s="11285" t="s">
        <v>15</v>
      </c>
      <c r="AL100" s="11286"/>
      <c r="AM100" s="11285" t="s">
        <v>16</v>
      </c>
      <c r="AN100" s="11299"/>
      <c r="AO100" s="11413"/>
      <c r="AP100" s="11414"/>
      <c r="AQ100" s="9052"/>
      <c r="AR100" s="9116"/>
      <c r="AS100" s="9062"/>
      <c r="AT100" s="9116"/>
      <c r="AU100" s="9062"/>
      <c r="AV100" s="9116"/>
      <c r="BR100" s="3917"/>
      <c r="BS100" s="3917"/>
      <c r="BT100" s="3917"/>
      <c r="BU100" s="3917"/>
      <c r="BV100" s="3917"/>
      <c r="BW100" s="3917"/>
      <c r="BX100" s="3917"/>
      <c r="BY100" s="3917"/>
      <c r="BZ100" s="3917"/>
      <c r="CA100" s="3917"/>
      <c r="CB100" s="3917"/>
      <c r="CC100" s="3917"/>
      <c r="CD100" s="3917"/>
      <c r="CE100" s="3917"/>
      <c r="CF100" s="3917"/>
      <c r="CG100" s="3917"/>
      <c r="CH100" s="3917"/>
      <c r="DA100" s="3811"/>
      <c r="DB100" s="3811"/>
    </row>
    <row r="101" spans="1:107" ht="60" customHeight="1" x14ac:dyDescent="0.2">
      <c r="B101" s="10275"/>
      <c r="C101" s="9056"/>
      <c r="D101" s="3886" t="s">
        <v>42</v>
      </c>
      <c r="E101" s="3942" t="s">
        <v>17</v>
      </c>
      <c r="F101" s="3943" t="s">
        <v>18</v>
      </c>
      <c r="G101" s="3944" t="s">
        <v>17</v>
      </c>
      <c r="H101" s="3945" t="s">
        <v>18</v>
      </c>
      <c r="I101" s="3944" t="s">
        <v>17</v>
      </c>
      <c r="J101" s="3945" t="s">
        <v>18</v>
      </c>
      <c r="K101" s="3944" t="s">
        <v>17</v>
      </c>
      <c r="L101" s="3945" t="s">
        <v>18</v>
      </c>
      <c r="M101" s="3944" t="s">
        <v>17</v>
      </c>
      <c r="N101" s="3945" t="s">
        <v>18</v>
      </c>
      <c r="O101" s="3944" t="s">
        <v>17</v>
      </c>
      <c r="P101" s="3945" t="s">
        <v>18</v>
      </c>
      <c r="Q101" s="3944" t="s">
        <v>17</v>
      </c>
      <c r="R101" s="3945" t="s">
        <v>18</v>
      </c>
      <c r="S101" s="3944" t="s">
        <v>17</v>
      </c>
      <c r="T101" s="3945" t="s">
        <v>18</v>
      </c>
      <c r="U101" s="3944" t="s">
        <v>17</v>
      </c>
      <c r="V101" s="3945" t="s">
        <v>18</v>
      </c>
      <c r="W101" s="3944" t="s">
        <v>17</v>
      </c>
      <c r="X101" s="3945" t="s">
        <v>18</v>
      </c>
      <c r="Y101" s="3944" t="s">
        <v>17</v>
      </c>
      <c r="Z101" s="3945" t="s">
        <v>18</v>
      </c>
      <c r="AA101" s="3944" t="s">
        <v>17</v>
      </c>
      <c r="AB101" s="3945" t="s">
        <v>18</v>
      </c>
      <c r="AC101" s="3944" t="s">
        <v>17</v>
      </c>
      <c r="AD101" s="3945" t="s">
        <v>18</v>
      </c>
      <c r="AE101" s="3944" t="s">
        <v>17</v>
      </c>
      <c r="AF101" s="3945" t="s">
        <v>18</v>
      </c>
      <c r="AG101" s="3944" t="s">
        <v>17</v>
      </c>
      <c r="AH101" s="3945" t="s">
        <v>18</v>
      </c>
      <c r="AI101" s="3944" t="s">
        <v>17</v>
      </c>
      <c r="AJ101" s="3945" t="s">
        <v>18</v>
      </c>
      <c r="AK101" s="3944" t="s">
        <v>17</v>
      </c>
      <c r="AL101" s="3945" t="s">
        <v>18</v>
      </c>
      <c r="AM101" s="3944" t="s">
        <v>17</v>
      </c>
      <c r="AN101" s="3946" t="s">
        <v>18</v>
      </c>
      <c r="AO101" s="7950" t="s">
        <v>3739</v>
      </c>
      <c r="AP101" s="7947" t="s">
        <v>3740</v>
      </c>
      <c r="AQ101" s="10924"/>
      <c r="AR101" s="9156"/>
      <c r="AS101" s="9250"/>
      <c r="AT101" s="9156"/>
      <c r="AU101" s="9228"/>
      <c r="AV101" s="9156"/>
      <c r="BR101" s="3917"/>
      <c r="BS101" s="3917"/>
      <c r="BT101" s="3917"/>
      <c r="BU101" s="3917"/>
      <c r="BV101" s="3917"/>
      <c r="BW101" s="3917"/>
      <c r="BX101" s="3917"/>
      <c r="BY101" s="3917"/>
      <c r="BZ101" s="3917"/>
      <c r="CA101" s="3917"/>
      <c r="CB101" s="3917"/>
      <c r="CC101" s="3917"/>
      <c r="CD101" s="3811" t="s">
        <v>360</v>
      </c>
      <c r="CE101" s="3811" t="s">
        <v>2530</v>
      </c>
      <c r="CF101" s="3811" t="s">
        <v>1821</v>
      </c>
      <c r="CG101" s="3811" t="s">
        <v>361</v>
      </c>
      <c r="CH101" s="3917"/>
      <c r="CN101" s="3811" t="s">
        <v>360</v>
      </c>
      <c r="CO101" s="3811" t="s">
        <v>2530</v>
      </c>
      <c r="CP101" s="3811" t="s">
        <v>1821</v>
      </c>
      <c r="CQ101" s="3811" t="s">
        <v>361</v>
      </c>
      <c r="DA101" s="3811"/>
      <c r="DB101" s="3811"/>
    </row>
    <row r="102" spans="1:107" ht="17.25" customHeight="1" x14ac:dyDescent="0.2">
      <c r="A102" s="7263">
        <v>32100470</v>
      </c>
      <c r="B102" s="11378" t="s">
        <v>2592</v>
      </c>
      <c r="C102" s="11379"/>
      <c r="D102" s="3947" t="s">
        <v>5369</v>
      </c>
      <c r="E102" s="3948" t="s">
        <v>5370</v>
      </c>
      <c r="F102" s="3949" t="s">
        <v>5371</v>
      </c>
      <c r="G102" s="3950" t="s">
        <v>5372</v>
      </c>
      <c r="H102" s="3951" t="s">
        <v>5373</v>
      </c>
      <c r="I102" s="3950" t="s">
        <v>5374</v>
      </c>
      <c r="J102" s="3951" t="s">
        <v>5375</v>
      </c>
      <c r="K102" s="3950" t="s">
        <v>5376</v>
      </c>
      <c r="L102" s="3951" t="s">
        <v>5377</v>
      </c>
      <c r="M102" s="3950" t="s">
        <v>5378</v>
      </c>
      <c r="N102" s="3951" t="s">
        <v>5379</v>
      </c>
      <c r="O102" s="3950" t="s">
        <v>5380</v>
      </c>
      <c r="P102" s="3951" t="s">
        <v>5381</v>
      </c>
      <c r="Q102" s="3950" t="s">
        <v>5382</v>
      </c>
      <c r="R102" s="3951" t="s">
        <v>5383</v>
      </c>
      <c r="S102" s="3950" t="s">
        <v>5384</v>
      </c>
      <c r="T102" s="3951" t="s">
        <v>5385</v>
      </c>
      <c r="U102" s="3950" t="s">
        <v>5386</v>
      </c>
      <c r="V102" s="3951" t="s">
        <v>5387</v>
      </c>
      <c r="W102" s="3950" t="s">
        <v>5388</v>
      </c>
      <c r="X102" s="3951" t="s">
        <v>5389</v>
      </c>
      <c r="Y102" s="3950" t="s">
        <v>5390</v>
      </c>
      <c r="Z102" s="3951" t="s">
        <v>5391</v>
      </c>
      <c r="AA102" s="3950" t="s">
        <v>5392</v>
      </c>
      <c r="AB102" s="3951" t="s">
        <v>5393</v>
      </c>
      <c r="AC102" s="3950" t="s">
        <v>5394</v>
      </c>
      <c r="AD102" s="3951" t="s">
        <v>5395</v>
      </c>
      <c r="AE102" s="3950" t="s">
        <v>5396</v>
      </c>
      <c r="AF102" s="3951" t="s">
        <v>5397</v>
      </c>
      <c r="AG102" s="3950" t="s">
        <v>5398</v>
      </c>
      <c r="AH102" s="3951" t="s">
        <v>5399</v>
      </c>
      <c r="AI102" s="3950" t="s">
        <v>5400</v>
      </c>
      <c r="AJ102" s="3951" t="s">
        <v>5401</v>
      </c>
      <c r="AK102" s="3950" t="s">
        <v>5402</v>
      </c>
      <c r="AL102" s="3951" t="s">
        <v>5403</v>
      </c>
      <c r="AM102" s="3950" t="s">
        <v>5404</v>
      </c>
      <c r="AN102" s="3952" t="s">
        <v>5405</v>
      </c>
      <c r="AO102" s="7951" t="s">
        <v>5406</v>
      </c>
      <c r="AP102" s="7948" t="s">
        <v>5407</v>
      </c>
      <c r="AQ102" s="3953" t="s">
        <v>5408</v>
      </c>
      <c r="AR102" s="3954" t="s">
        <v>5409</v>
      </c>
      <c r="AS102" s="7956" t="s">
        <v>5410</v>
      </c>
      <c r="AT102" s="3954" t="s">
        <v>5411</v>
      </c>
      <c r="AU102" s="7956" t="s">
        <v>5412</v>
      </c>
      <c r="AV102" s="3954" t="s">
        <v>5413</v>
      </c>
      <c r="AW102" s="3811" t="str">
        <f t="shared" ref="AW102:AW110" si="39">$CD102&amp;$CE102&amp;$CF102&amp;$CG102</f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2" s="3917"/>
      <c r="BS102" s="3917"/>
      <c r="BT102" s="3917"/>
      <c r="BU102" s="3917"/>
      <c r="BV102" s="3917"/>
      <c r="BW102" s="3917"/>
      <c r="BX102" s="3917"/>
      <c r="BY102" s="3917"/>
      <c r="BZ102" s="3917"/>
      <c r="CA102" s="3917"/>
      <c r="CB102" s="3917"/>
      <c r="CC102" s="3917"/>
      <c r="CD102" s="3811" t="str">
        <f t="shared" ref="CD102:CD110" si="40">IF(CN102=1," * Los Beneficiarios no pueden ser mayor que el Total, (si no hay beneficiario digite un cero). ","")</f>
        <v xml:space="preserve"> * Los Beneficiarios no pueden ser mayor que el Total, (si no hay beneficiario digite un cero). </v>
      </c>
      <c r="CE102" s="3811" t="str">
        <f t="shared" ref="CE102:CE110" si="41">IF(CO102=1," * El total de controles no pueden ser mayor que el Total, (si no hay controles digite un cero). ","")</f>
        <v xml:space="preserve"> * El total de controles no pueden ser mayor que el Total, (si no hay controles digite un cero). </v>
      </c>
      <c r="CF102" s="3811" t="str">
        <f t="shared" ref="CF102:CF110" si="42">IF(CP102=1,"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G102" s="3811" t="str">
        <f t="shared" ref="CG102:CG110" si="43">IF(CQ102=1,"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H102" s="3917"/>
      <c r="CN102" s="3811">
        <f t="shared" ref="CN102:CN110" si="44">IF(OR(AQ102&gt;$D102,AND($D102&lt;&gt;0,AQ102="")),1,0)</f>
        <v>1</v>
      </c>
      <c r="CO102" s="3811">
        <f t="shared" ref="CO102:CO110" si="45">IF(OR(AR102&gt;$D102,AND($D102&lt;&gt;0,AR102="")),1,0)</f>
        <v>1</v>
      </c>
      <c r="CP102" s="3811">
        <f t="shared" ref="CP102:CP110" si="46">IF(OR(AS102&gt;$D102,AND($D102&lt;&gt;0,AS102="")),1,0)</f>
        <v>1</v>
      </c>
      <c r="CQ102" s="3811">
        <f t="shared" ref="CQ102:CQ110" si="47">IF(OR(AT102&gt;$D102,AND($D102&lt;&gt;0,AT102="")),1,0)</f>
        <v>1</v>
      </c>
      <c r="DA102" s="3811"/>
      <c r="DB102" s="3811"/>
    </row>
    <row r="103" spans="1:107" ht="17.25" customHeight="1" x14ac:dyDescent="0.2">
      <c r="A103" s="7263">
        <v>32100480</v>
      </c>
      <c r="B103" s="11323" t="s">
        <v>2600</v>
      </c>
      <c r="C103" s="3956" t="s">
        <v>100</v>
      </c>
      <c r="D103" s="3957" t="s">
        <v>5369</v>
      </c>
      <c r="E103" s="3958" t="s">
        <v>5370</v>
      </c>
      <c r="F103" s="3949" t="s">
        <v>5371</v>
      </c>
      <c r="G103" s="3959" t="s">
        <v>5372</v>
      </c>
      <c r="H103" s="3960" t="s">
        <v>5373</v>
      </c>
      <c r="I103" s="3959" t="s">
        <v>5374</v>
      </c>
      <c r="J103" s="3960" t="s">
        <v>5375</v>
      </c>
      <c r="K103" s="3959" t="s">
        <v>5376</v>
      </c>
      <c r="L103" s="3838" t="s">
        <v>5377</v>
      </c>
      <c r="M103" s="3959" t="s">
        <v>5378</v>
      </c>
      <c r="N103" s="3838" t="s">
        <v>5379</v>
      </c>
      <c r="O103" s="3959" t="s">
        <v>5380</v>
      </c>
      <c r="P103" s="3838" t="s">
        <v>5381</v>
      </c>
      <c r="Q103" s="3959" t="s">
        <v>5382</v>
      </c>
      <c r="R103" s="3838" t="s">
        <v>5383</v>
      </c>
      <c r="S103" s="3959" t="s">
        <v>5384</v>
      </c>
      <c r="T103" s="3838" t="s">
        <v>5385</v>
      </c>
      <c r="U103" s="3959" t="s">
        <v>5386</v>
      </c>
      <c r="V103" s="3838" t="s">
        <v>5387</v>
      </c>
      <c r="W103" s="3959" t="s">
        <v>5388</v>
      </c>
      <c r="X103" s="3838" t="s">
        <v>5389</v>
      </c>
      <c r="Y103" s="3959" t="s">
        <v>5390</v>
      </c>
      <c r="Z103" s="3838" t="s">
        <v>5391</v>
      </c>
      <c r="AA103" s="3959" t="s">
        <v>5392</v>
      </c>
      <c r="AB103" s="3838" t="s">
        <v>5393</v>
      </c>
      <c r="AC103" s="3959" t="s">
        <v>5394</v>
      </c>
      <c r="AD103" s="3834" t="s">
        <v>5395</v>
      </c>
      <c r="AE103" s="3959" t="s">
        <v>5396</v>
      </c>
      <c r="AF103" s="3838" t="s">
        <v>5397</v>
      </c>
      <c r="AG103" s="3959" t="s">
        <v>5398</v>
      </c>
      <c r="AH103" s="3838" t="s">
        <v>5399</v>
      </c>
      <c r="AI103" s="3959" t="s">
        <v>5400</v>
      </c>
      <c r="AJ103" s="3838" t="s">
        <v>5401</v>
      </c>
      <c r="AK103" s="3959" t="s">
        <v>5402</v>
      </c>
      <c r="AL103" s="3838" t="s">
        <v>5403</v>
      </c>
      <c r="AM103" s="3959" t="s">
        <v>5404</v>
      </c>
      <c r="AN103" s="3899" t="s">
        <v>5405</v>
      </c>
      <c r="AO103" s="7952" t="s">
        <v>5406</v>
      </c>
      <c r="AP103" s="4038" t="s">
        <v>5407</v>
      </c>
      <c r="AQ103" s="3961" t="s">
        <v>5408</v>
      </c>
      <c r="AR103" s="3962" t="s">
        <v>5409</v>
      </c>
      <c r="AS103" s="6609" t="s">
        <v>5410</v>
      </c>
      <c r="AT103" s="3962" t="s">
        <v>5411</v>
      </c>
      <c r="AU103" s="6609" t="s">
        <v>5412</v>
      </c>
      <c r="AV103" s="3962" t="s">
        <v>5413</v>
      </c>
      <c r="AW103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3" s="3917"/>
      <c r="BS103" s="3917"/>
      <c r="BT103" s="3917"/>
      <c r="BU103" s="3917"/>
      <c r="BV103" s="3917"/>
      <c r="BW103" s="3917"/>
      <c r="BX103" s="3917"/>
      <c r="BY103" s="3917"/>
      <c r="BZ103" s="3917"/>
      <c r="CA103" s="3917"/>
      <c r="CB103" s="3917"/>
      <c r="CC103" s="3917"/>
      <c r="CD103" s="3811" t="str">
        <f t="shared" si="40"/>
        <v xml:space="preserve"> * Los Beneficiarios no pueden ser mayor que el Total, (si no hay beneficiario digite un cero). </v>
      </c>
      <c r="CE103" s="3811" t="str">
        <f t="shared" si="41"/>
        <v xml:space="preserve"> * El total de controles no pueden ser mayor que el Total, (si no hay controles digite un cero). </v>
      </c>
      <c r="CF103" s="3811" t="str">
        <f t="shared" si="42"/>
        <v xml:space="preserve"> * La cantidad de Atenciones de pacientes pertenecientes a Pueblos Originarios no pueden ser mayor que el Total, (si no hay atenciones digite un cero). </v>
      </c>
      <c r="CG103" s="3811" t="str">
        <f t="shared" si="43"/>
        <v xml:space="preserve"> * La cantidad de Atenciones de pacientes Migrantes no pueden ser mayor que el Total, (si no hay atenciones digite un cero). </v>
      </c>
      <c r="CH103" s="3917"/>
      <c r="CN103" s="3811">
        <f t="shared" si="44"/>
        <v>1</v>
      </c>
      <c r="CO103" s="3811">
        <f t="shared" si="45"/>
        <v>1</v>
      </c>
      <c r="CP103" s="3811">
        <f t="shared" si="46"/>
        <v>1</v>
      </c>
      <c r="CQ103" s="3811">
        <f t="shared" si="47"/>
        <v>1</v>
      </c>
      <c r="DA103" s="3811"/>
      <c r="DB103" s="3811"/>
    </row>
    <row r="104" spans="1:107" ht="17.25" customHeight="1" x14ac:dyDescent="0.2">
      <c r="A104" s="7263">
        <v>32100490</v>
      </c>
      <c r="B104" s="9062"/>
      <c r="C104" s="3964" t="s">
        <v>101</v>
      </c>
      <c r="D104" s="3965" t="s">
        <v>5369</v>
      </c>
      <c r="E104" s="3966" t="s">
        <v>5370</v>
      </c>
      <c r="F104" s="3967" t="s">
        <v>5371</v>
      </c>
      <c r="G104" s="3968" t="s">
        <v>5372</v>
      </c>
      <c r="H104" s="3900" t="s">
        <v>5373</v>
      </c>
      <c r="I104" s="3968" t="s">
        <v>5374</v>
      </c>
      <c r="J104" s="3900" t="s">
        <v>5375</v>
      </c>
      <c r="K104" s="3968" t="s">
        <v>5376</v>
      </c>
      <c r="L104" s="3900" t="s">
        <v>5377</v>
      </c>
      <c r="M104" s="3968" t="s">
        <v>5378</v>
      </c>
      <c r="N104" s="3900" t="s">
        <v>5379</v>
      </c>
      <c r="O104" s="3968" t="s">
        <v>5380</v>
      </c>
      <c r="P104" s="3900" t="s">
        <v>5381</v>
      </c>
      <c r="Q104" s="3968" t="s">
        <v>5382</v>
      </c>
      <c r="R104" s="3969" t="s">
        <v>5383</v>
      </c>
      <c r="S104" s="3968" t="s">
        <v>5384</v>
      </c>
      <c r="T104" s="3969" t="s">
        <v>5385</v>
      </c>
      <c r="U104" s="3968" t="s">
        <v>5386</v>
      </c>
      <c r="V104" s="3969" t="s">
        <v>5387</v>
      </c>
      <c r="W104" s="3968" t="s">
        <v>5388</v>
      </c>
      <c r="X104" s="3969" t="s">
        <v>5389</v>
      </c>
      <c r="Y104" s="3968" t="s">
        <v>5390</v>
      </c>
      <c r="Z104" s="3969" t="s">
        <v>5391</v>
      </c>
      <c r="AA104" s="3968" t="s">
        <v>5392</v>
      </c>
      <c r="AB104" s="3969" t="s">
        <v>5393</v>
      </c>
      <c r="AC104" s="3968" t="s">
        <v>5394</v>
      </c>
      <c r="AD104" s="3969" t="s">
        <v>5395</v>
      </c>
      <c r="AE104" s="3968" t="s">
        <v>5396</v>
      </c>
      <c r="AF104" s="3969" t="s">
        <v>5397</v>
      </c>
      <c r="AG104" s="3968" t="s">
        <v>5398</v>
      </c>
      <c r="AH104" s="3969" t="s">
        <v>5399</v>
      </c>
      <c r="AI104" s="3968" t="s">
        <v>5400</v>
      </c>
      <c r="AJ104" s="3969" t="s">
        <v>5401</v>
      </c>
      <c r="AK104" s="3968" t="s">
        <v>5402</v>
      </c>
      <c r="AL104" s="3969" t="s">
        <v>5403</v>
      </c>
      <c r="AM104" s="3970" t="s">
        <v>5404</v>
      </c>
      <c r="AN104" s="3971" t="s">
        <v>5405</v>
      </c>
      <c r="AO104" s="7953" t="s">
        <v>5406</v>
      </c>
      <c r="AP104" s="3908" t="s">
        <v>5407</v>
      </c>
      <c r="AQ104" s="3972" t="s">
        <v>5408</v>
      </c>
      <c r="AR104" s="3969" t="s">
        <v>5409</v>
      </c>
      <c r="AS104" s="4041" t="s">
        <v>5410</v>
      </c>
      <c r="AT104" s="3969" t="s">
        <v>5411</v>
      </c>
      <c r="AU104" s="4041" t="s">
        <v>5412</v>
      </c>
      <c r="AV104" s="3969" t="s">
        <v>5413</v>
      </c>
      <c r="AW104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4" s="3917"/>
      <c r="BS104" s="3917"/>
      <c r="BT104" s="3917"/>
      <c r="BU104" s="3917"/>
      <c r="BV104" s="3917"/>
      <c r="BW104" s="3917"/>
      <c r="BX104" s="3917"/>
      <c r="BY104" s="3917"/>
      <c r="BZ104" s="3917"/>
      <c r="CA104" s="3917"/>
      <c r="CB104" s="3917"/>
      <c r="CC104" s="3917"/>
      <c r="CD104" s="3811" t="str">
        <f t="shared" si="40"/>
        <v xml:space="preserve"> * Los Beneficiarios no pueden ser mayor que el Total, (si no hay beneficiario digite un cero). </v>
      </c>
      <c r="CE104" s="3811" t="str">
        <f t="shared" si="41"/>
        <v xml:space="preserve"> * El total de controles no pueden ser mayor que el Total, (si no hay controles digite un cero). </v>
      </c>
      <c r="CF104" s="3811" t="str">
        <f t="shared" si="42"/>
        <v xml:space="preserve"> * La cantidad de Atenciones de pacientes pertenecientes a Pueblos Originarios no pueden ser mayor que el Total, (si no hay atenciones digite un cero). </v>
      </c>
      <c r="CG104" s="3811" t="str">
        <f t="shared" si="43"/>
        <v xml:space="preserve"> * La cantidad de Atenciones de pacientes Migrantes no pueden ser mayor que el Total, (si no hay atenciones digite un cero). </v>
      </c>
      <c r="CH104" s="3917"/>
      <c r="CN104" s="3811">
        <f t="shared" si="44"/>
        <v>1</v>
      </c>
      <c r="CO104" s="3811">
        <f t="shared" si="45"/>
        <v>1</v>
      </c>
      <c r="CP104" s="3811">
        <f t="shared" si="46"/>
        <v>1</v>
      </c>
      <c r="CQ104" s="3811">
        <f t="shared" si="47"/>
        <v>1</v>
      </c>
      <c r="DA104" s="3811"/>
      <c r="DB104" s="3811"/>
    </row>
    <row r="105" spans="1:107" ht="17.25" customHeight="1" x14ac:dyDescent="0.2">
      <c r="A105" s="7263">
        <v>32100500</v>
      </c>
      <c r="B105" s="9228"/>
      <c r="C105" s="3973" t="s">
        <v>102</v>
      </c>
      <c r="D105" s="3974" t="s">
        <v>5369</v>
      </c>
      <c r="E105" s="3975" t="s">
        <v>5370</v>
      </c>
      <c r="F105" s="3976" t="s">
        <v>5371</v>
      </c>
      <c r="G105" s="3977" t="s">
        <v>5372</v>
      </c>
      <c r="H105" s="3978" t="s">
        <v>5373</v>
      </c>
      <c r="I105" s="3977" t="s">
        <v>5374</v>
      </c>
      <c r="J105" s="3978" t="s">
        <v>5375</v>
      </c>
      <c r="K105" s="3977" t="s">
        <v>5376</v>
      </c>
      <c r="L105" s="3978" t="s">
        <v>5377</v>
      </c>
      <c r="M105" s="3977" t="s">
        <v>5378</v>
      </c>
      <c r="N105" s="3978" t="s">
        <v>5379</v>
      </c>
      <c r="O105" s="3979" t="s">
        <v>5380</v>
      </c>
      <c r="P105" s="3980" t="s">
        <v>5381</v>
      </c>
      <c r="Q105" s="3979" t="s">
        <v>5382</v>
      </c>
      <c r="R105" s="3980" t="s">
        <v>5383</v>
      </c>
      <c r="S105" s="3979" t="s">
        <v>5384</v>
      </c>
      <c r="T105" s="3980" t="s">
        <v>5385</v>
      </c>
      <c r="U105" s="3979" t="s">
        <v>5386</v>
      </c>
      <c r="V105" s="3980" t="s">
        <v>5387</v>
      </c>
      <c r="W105" s="3979" t="s">
        <v>5388</v>
      </c>
      <c r="X105" s="3980" t="s">
        <v>5389</v>
      </c>
      <c r="Y105" s="3979" t="s">
        <v>5390</v>
      </c>
      <c r="Z105" s="3980" t="s">
        <v>5391</v>
      </c>
      <c r="AA105" s="3979" t="s">
        <v>5392</v>
      </c>
      <c r="AB105" s="3981" t="s">
        <v>5393</v>
      </c>
      <c r="AC105" s="3979" t="s">
        <v>5394</v>
      </c>
      <c r="AD105" s="3980" t="s">
        <v>5395</v>
      </c>
      <c r="AE105" s="3977" t="s">
        <v>5396</v>
      </c>
      <c r="AF105" s="3978" t="s">
        <v>5397</v>
      </c>
      <c r="AG105" s="3977" t="s">
        <v>5398</v>
      </c>
      <c r="AH105" s="3978" t="s">
        <v>5399</v>
      </c>
      <c r="AI105" s="3977" t="s">
        <v>5400</v>
      </c>
      <c r="AJ105" s="3978" t="s">
        <v>5401</v>
      </c>
      <c r="AK105" s="3977" t="s">
        <v>5402</v>
      </c>
      <c r="AL105" s="3978" t="s">
        <v>5403</v>
      </c>
      <c r="AM105" s="3977" t="s">
        <v>5404</v>
      </c>
      <c r="AN105" s="3982" t="s">
        <v>5405</v>
      </c>
      <c r="AO105" s="7953" t="s">
        <v>5406</v>
      </c>
      <c r="AP105" s="3908" t="s">
        <v>5407</v>
      </c>
      <c r="AQ105" s="3972" t="s">
        <v>5408</v>
      </c>
      <c r="AR105" s="3969" t="s">
        <v>5409</v>
      </c>
      <c r="AS105" s="4041" t="s">
        <v>5410</v>
      </c>
      <c r="AT105" s="3969" t="s">
        <v>5411</v>
      </c>
      <c r="AU105" s="4041" t="s">
        <v>5412</v>
      </c>
      <c r="AV105" s="3969" t="s">
        <v>5413</v>
      </c>
      <c r="AW105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5" s="3917"/>
      <c r="BS105" s="3917"/>
      <c r="BT105" s="3917"/>
      <c r="BU105" s="3917"/>
      <c r="BV105" s="3917"/>
      <c r="BW105" s="3917"/>
      <c r="BX105" s="3917"/>
      <c r="BY105" s="3917"/>
      <c r="BZ105" s="3917"/>
      <c r="CA105" s="3917"/>
      <c r="CB105" s="3917"/>
      <c r="CC105" s="3917"/>
      <c r="CD105" s="3811" t="str">
        <f t="shared" si="40"/>
        <v xml:space="preserve"> * Los Beneficiarios no pueden ser mayor que el Total, (si no hay beneficiario digite un cero). </v>
      </c>
      <c r="CE105" s="3811" t="str">
        <f t="shared" si="41"/>
        <v xml:space="preserve"> * El total de controles no pueden ser mayor que el Total, (si no hay controles digite un cero). </v>
      </c>
      <c r="CF105" s="3811" t="str">
        <f t="shared" si="42"/>
        <v xml:space="preserve"> * La cantidad de Atenciones de pacientes pertenecientes a Pueblos Originarios no pueden ser mayor que el Total, (si no hay atenciones digite un cero). </v>
      </c>
      <c r="CG105" s="3811" t="str">
        <f t="shared" si="43"/>
        <v xml:space="preserve"> * La cantidad de Atenciones de pacientes Migrantes no pueden ser mayor que el Total, (si no hay atenciones digite un cero). </v>
      </c>
      <c r="CH105" s="3917"/>
      <c r="CN105" s="3811">
        <f t="shared" si="44"/>
        <v>1</v>
      </c>
      <c r="CO105" s="3811">
        <f t="shared" si="45"/>
        <v>1</v>
      </c>
      <c r="CP105" s="3811">
        <f t="shared" si="46"/>
        <v>1</v>
      </c>
      <c r="CQ105" s="3811">
        <f t="shared" si="47"/>
        <v>1</v>
      </c>
      <c r="DA105" s="3811"/>
      <c r="DB105" s="3811"/>
    </row>
    <row r="106" spans="1:107" ht="17.25" customHeight="1" x14ac:dyDescent="0.2">
      <c r="A106" s="7263">
        <v>32100510</v>
      </c>
      <c r="B106" s="11370" t="s">
        <v>26</v>
      </c>
      <c r="C106" s="11371"/>
      <c r="D106" s="3983" t="s">
        <v>5369</v>
      </c>
      <c r="E106" s="3984" t="s">
        <v>5370</v>
      </c>
      <c r="F106" s="3985" t="s">
        <v>5371</v>
      </c>
      <c r="G106" s="3986" t="s">
        <v>5372</v>
      </c>
      <c r="H106" s="3963" t="s">
        <v>5373</v>
      </c>
      <c r="I106" s="3986" t="s">
        <v>5374</v>
      </c>
      <c r="J106" s="3963" t="s">
        <v>5375</v>
      </c>
      <c r="K106" s="3986" t="s">
        <v>5376</v>
      </c>
      <c r="L106" s="3962" t="s">
        <v>5377</v>
      </c>
      <c r="M106" s="3986" t="s">
        <v>5378</v>
      </c>
      <c r="N106" s="3962" t="s">
        <v>5379</v>
      </c>
      <c r="O106" s="3986" t="s">
        <v>5380</v>
      </c>
      <c r="P106" s="3962" t="s">
        <v>5381</v>
      </c>
      <c r="Q106" s="3986" t="s">
        <v>5382</v>
      </c>
      <c r="R106" s="3962" t="s">
        <v>5383</v>
      </c>
      <c r="S106" s="3986" t="s">
        <v>5384</v>
      </c>
      <c r="T106" s="3962" t="s">
        <v>5385</v>
      </c>
      <c r="U106" s="3986" t="s">
        <v>5386</v>
      </c>
      <c r="V106" s="3962" t="s">
        <v>5387</v>
      </c>
      <c r="W106" s="3986" t="s">
        <v>5388</v>
      </c>
      <c r="X106" s="3962" t="s">
        <v>5389</v>
      </c>
      <c r="Y106" s="3986" t="s">
        <v>5390</v>
      </c>
      <c r="Z106" s="3962" t="s">
        <v>5391</v>
      </c>
      <c r="AA106" s="3986" t="s">
        <v>5392</v>
      </c>
      <c r="AB106" s="3962" t="s">
        <v>5393</v>
      </c>
      <c r="AC106" s="3986" t="s">
        <v>5394</v>
      </c>
      <c r="AD106" s="3962" t="s">
        <v>5395</v>
      </c>
      <c r="AE106" s="3986" t="s">
        <v>5396</v>
      </c>
      <c r="AF106" s="3962" t="s">
        <v>5397</v>
      </c>
      <c r="AG106" s="3986" t="s">
        <v>5398</v>
      </c>
      <c r="AH106" s="3962" t="s">
        <v>5399</v>
      </c>
      <c r="AI106" s="3986" t="s">
        <v>5400</v>
      </c>
      <c r="AJ106" s="3963" t="s">
        <v>5401</v>
      </c>
      <c r="AK106" s="3986" t="s">
        <v>5402</v>
      </c>
      <c r="AL106" s="3963" t="s">
        <v>5403</v>
      </c>
      <c r="AM106" s="3987" t="s">
        <v>5404</v>
      </c>
      <c r="AN106" s="3988" t="s">
        <v>5405</v>
      </c>
      <c r="AO106" s="7953" t="s">
        <v>5406</v>
      </c>
      <c r="AP106" s="3908" t="s">
        <v>5407</v>
      </c>
      <c r="AQ106" s="3972" t="s">
        <v>5408</v>
      </c>
      <c r="AR106" s="3969" t="s">
        <v>5409</v>
      </c>
      <c r="AS106" s="4041" t="s">
        <v>5410</v>
      </c>
      <c r="AT106" s="3969" t="s">
        <v>5411</v>
      </c>
      <c r="AU106" s="4041" t="s">
        <v>5412</v>
      </c>
      <c r="AV106" s="3969" t="s">
        <v>5413</v>
      </c>
      <c r="AW106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6" s="3917"/>
      <c r="BS106" s="3917"/>
      <c r="BT106" s="3917"/>
      <c r="BU106" s="3917"/>
      <c r="BV106" s="3917"/>
      <c r="BW106" s="3917"/>
      <c r="BX106" s="3917"/>
      <c r="BY106" s="3917"/>
      <c r="BZ106" s="3917"/>
      <c r="CA106" s="3917"/>
      <c r="CB106" s="3917"/>
      <c r="CC106" s="3917"/>
      <c r="CD106" s="3811" t="str">
        <f t="shared" si="40"/>
        <v xml:space="preserve"> * Los Beneficiarios no pueden ser mayor que el Total, (si no hay beneficiario digite un cero). </v>
      </c>
      <c r="CE106" s="3811" t="str">
        <f t="shared" si="41"/>
        <v xml:space="preserve"> * El total de controles no pueden ser mayor que el Total, (si no hay controles digite un cero). </v>
      </c>
      <c r="CF106" s="3811" t="str">
        <f t="shared" si="42"/>
        <v xml:space="preserve"> * La cantidad de Atenciones de pacientes pertenecientes a Pueblos Originarios no pueden ser mayor que el Total, (si no hay atenciones digite un cero). </v>
      </c>
      <c r="CG106" s="3811" t="str">
        <f t="shared" si="43"/>
        <v xml:space="preserve"> * La cantidad de Atenciones de pacientes Migrantes no pueden ser mayor que el Total, (si no hay atenciones digite un cero). </v>
      </c>
      <c r="CH106" s="3917"/>
      <c r="CN106" s="3811">
        <f t="shared" si="44"/>
        <v>1</v>
      </c>
      <c r="CO106" s="3811">
        <f t="shared" si="45"/>
        <v>1</v>
      </c>
      <c r="CP106" s="3811">
        <f t="shared" si="46"/>
        <v>1</v>
      </c>
      <c r="CQ106" s="3811">
        <f t="shared" si="47"/>
        <v>1</v>
      </c>
      <c r="DA106" s="3811"/>
      <c r="DB106" s="3811"/>
    </row>
    <row r="107" spans="1:107" ht="17.25" customHeight="1" x14ac:dyDescent="0.2">
      <c r="A107" s="7263">
        <v>32100520</v>
      </c>
      <c r="B107" s="11372" t="s">
        <v>2602</v>
      </c>
      <c r="C107" s="11373"/>
      <c r="D107" s="3989" t="s">
        <v>5369</v>
      </c>
      <c r="E107" s="3966" t="s">
        <v>5370</v>
      </c>
      <c r="F107" s="3967" t="s">
        <v>5371</v>
      </c>
      <c r="G107" s="3968" t="s">
        <v>5372</v>
      </c>
      <c r="H107" s="3900" t="s">
        <v>5373</v>
      </c>
      <c r="I107" s="3968" t="s">
        <v>5374</v>
      </c>
      <c r="J107" s="3900" t="s">
        <v>5375</v>
      </c>
      <c r="K107" s="3968" t="s">
        <v>5376</v>
      </c>
      <c r="L107" s="3969" t="s">
        <v>5377</v>
      </c>
      <c r="M107" s="3968" t="s">
        <v>5378</v>
      </c>
      <c r="N107" s="3969" t="s">
        <v>5379</v>
      </c>
      <c r="O107" s="3968" t="s">
        <v>5380</v>
      </c>
      <c r="P107" s="3969" t="s">
        <v>5381</v>
      </c>
      <c r="Q107" s="3968" t="s">
        <v>5382</v>
      </c>
      <c r="R107" s="3969" t="s">
        <v>5383</v>
      </c>
      <c r="S107" s="3968" t="s">
        <v>5384</v>
      </c>
      <c r="T107" s="3969" t="s">
        <v>5385</v>
      </c>
      <c r="U107" s="3968" t="s">
        <v>5386</v>
      </c>
      <c r="V107" s="3969" t="s">
        <v>5387</v>
      </c>
      <c r="W107" s="3968" t="s">
        <v>5388</v>
      </c>
      <c r="X107" s="3969" t="s">
        <v>5389</v>
      </c>
      <c r="Y107" s="3968" t="s">
        <v>5390</v>
      </c>
      <c r="Z107" s="3969" t="s">
        <v>5391</v>
      </c>
      <c r="AA107" s="3968" t="s">
        <v>5392</v>
      </c>
      <c r="AB107" s="3969" t="s">
        <v>5393</v>
      </c>
      <c r="AC107" s="3968" t="s">
        <v>5394</v>
      </c>
      <c r="AD107" s="3900" t="s">
        <v>5395</v>
      </c>
      <c r="AE107" s="3968" t="s">
        <v>5396</v>
      </c>
      <c r="AF107" s="3900" t="s">
        <v>5397</v>
      </c>
      <c r="AG107" s="3968" t="s">
        <v>5398</v>
      </c>
      <c r="AH107" s="3900" t="s">
        <v>5399</v>
      </c>
      <c r="AI107" s="3968" t="s">
        <v>5400</v>
      </c>
      <c r="AJ107" s="3900" t="s">
        <v>5401</v>
      </c>
      <c r="AK107" s="3968" t="s">
        <v>5402</v>
      </c>
      <c r="AL107" s="3900" t="s">
        <v>5403</v>
      </c>
      <c r="AM107" s="3970" t="s">
        <v>5404</v>
      </c>
      <c r="AN107" s="3971" t="s">
        <v>5405</v>
      </c>
      <c r="AO107" s="7953" t="s">
        <v>5406</v>
      </c>
      <c r="AP107" s="3908" t="s">
        <v>5407</v>
      </c>
      <c r="AQ107" s="3972" t="s">
        <v>5408</v>
      </c>
      <c r="AR107" s="3969" t="s">
        <v>5409</v>
      </c>
      <c r="AS107" s="4041" t="s">
        <v>5410</v>
      </c>
      <c r="AT107" s="3969" t="s">
        <v>5411</v>
      </c>
      <c r="AU107" s="4041" t="s">
        <v>5412</v>
      </c>
      <c r="AV107" s="3969" t="s">
        <v>5413</v>
      </c>
      <c r="AW107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7" s="3917"/>
      <c r="BS107" s="3917"/>
      <c r="BT107" s="3917"/>
      <c r="BU107" s="3917"/>
      <c r="BV107" s="3917"/>
      <c r="BW107" s="3917"/>
      <c r="BX107" s="3917"/>
      <c r="BY107" s="3917"/>
      <c r="BZ107" s="3917"/>
      <c r="CA107" s="3917"/>
      <c r="CB107" s="3917"/>
      <c r="CC107" s="3917"/>
      <c r="CD107" s="3811" t="str">
        <f t="shared" si="40"/>
        <v xml:space="preserve"> * Los Beneficiarios no pueden ser mayor que el Total, (si no hay beneficiario digite un cero). </v>
      </c>
      <c r="CE107" s="3811" t="str">
        <f t="shared" si="41"/>
        <v xml:space="preserve"> * El total de controles no pueden ser mayor que el Total, (si no hay controles digite un cero). </v>
      </c>
      <c r="CF107" s="3811" t="str">
        <f t="shared" si="42"/>
        <v xml:space="preserve"> * La cantidad de Atenciones de pacientes pertenecientes a Pueblos Originarios no pueden ser mayor que el Total, (si no hay atenciones digite un cero). </v>
      </c>
      <c r="CG107" s="3811" t="str">
        <f t="shared" si="43"/>
        <v xml:space="preserve"> * La cantidad de Atenciones de pacientes Migrantes no pueden ser mayor que el Total, (si no hay atenciones digite un cero). </v>
      </c>
      <c r="CH107" s="3917"/>
      <c r="CN107" s="3811">
        <f t="shared" si="44"/>
        <v>1</v>
      </c>
      <c r="CO107" s="3811">
        <f t="shared" si="45"/>
        <v>1</v>
      </c>
      <c r="CP107" s="3811">
        <f t="shared" si="46"/>
        <v>1</v>
      </c>
      <c r="CQ107" s="3811">
        <f t="shared" si="47"/>
        <v>1</v>
      </c>
      <c r="DA107" s="3811"/>
      <c r="DB107" s="3811"/>
    </row>
    <row r="108" spans="1:107" ht="17.25" customHeight="1" x14ac:dyDescent="0.2">
      <c r="A108" s="7263">
        <v>32100530</v>
      </c>
      <c r="B108" s="11374" t="s">
        <v>2593</v>
      </c>
      <c r="C108" s="11375"/>
      <c r="D108" s="3990" t="s">
        <v>5369</v>
      </c>
      <c r="E108" s="3991" t="s">
        <v>5370</v>
      </c>
      <c r="F108" s="3967" t="s">
        <v>5371</v>
      </c>
      <c r="G108" s="3968" t="s">
        <v>5372</v>
      </c>
      <c r="H108" s="3900" t="s">
        <v>5373</v>
      </c>
      <c r="I108" s="3968" t="s">
        <v>5374</v>
      </c>
      <c r="J108" s="3900" t="s">
        <v>5375</v>
      </c>
      <c r="K108" s="3968" t="s">
        <v>5376</v>
      </c>
      <c r="L108" s="3969" t="s">
        <v>5377</v>
      </c>
      <c r="M108" s="3968" t="s">
        <v>5378</v>
      </c>
      <c r="N108" s="3969" t="s">
        <v>5379</v>
      </c>
      <c r="O108" s="3968" t="s">
        <v>5380</v>
      </c>
      <c r="P108" s="3969" t="s">
        <v>5381</v>
      </c>
      <c r="Q108" s="3968" t="s">
        <v>5382</v>
      </c>
      <c r="R108" s="3969" t="s">
        <v>5383</v>
      </c>
      <c r="S108" s="3968" t="s">
        <v>5384</v>
      </c>
      <c r="T108" s="3969" t="s">
        <v>5385</v>
      </c>
      <c r="U108" s="3968" t="s">
        <v>5386</v>
      </c>
      <c r="V108" s="3969" t="s">
        <v>5387</v>
      </c>
      <c r="W108" s="3968" t="s">
        <v>5388</v>
      </c>
      <c r="X108" s="3969" t="s">
        <v>5389</v>
      </c>
      <c r="Y108" s="3968" t="s">
        <v>5390</v>
      </c>
      <c r="Z108" s="3969" t="s">
        <v>5391</v>
      </c>
      <c r="AA108" s="3968" t="s">
        <v>5392</v>
      </c>
      <c r="AB108" s="3969" t="s">
        <v>5393</v>
      </c>
      <c r="AC108" s="3968" t="s">
        <v>5394</v>
      </c>
      <c r="AD108" s="3900" t="s">
        <v>5395</v>
      </c>
      <c r="AE108" s="3968" t="s">
        <v>5396</v>
      </c>
      <c r="AF108" s="3900" t="s">
        <v>5397</v>
      </c>
      <c r="AG108" s="3968" t="s">
        <v>5398</v>
      </c>
      <c r="AH108" s="3900" t="s">
        <v>5399</v>
      </c>
      <c r="AI108" s="3968" t="s">
        <v>5400</v>
      </c>
      <c r="AJ108" s="3900" t="s">
        <v>5401</v>
      </c>
      <c r="AK108" s="3968" t="s">
        <v>5402</v>
      </c>
      <c r="AL108" s="3900" t="s">
        <v>5403</v>
      </c>
      <c r="AM108" s="3970" t="s">
        <v>5404</v>
      </c>
      <c r="AN108" s="3971" t="s">
        <v>5405</v>
      </c>
      <c r="AO108" s="7953" t="s">
        <v>5406</v>
      </c>
      <c r="AP108" s="3908" t="s">
        <v>5407</v>
      </c>
      <c r="AQ108" s="3972" t="s">
        <v>5408</v>
      </c>
      <c r="AR108" s="3969" t="s">
        <v>5409</v>
      </c>
      <c r="AS108" s="4041" t="s">
        <v>5410</v>
      </c>
      <c r="AT108" s="3969" t="s">
        <v>5411</v>
      </c>
      <c r="AU108" s="4041" t="s">
        <v>5412</v>
      </c>
      <c r="AV108" s="3969" t="s">
        <v>5413</v>
      </c>
      <c r="AW108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8" s="3917"/>
      <c r="BS108" s="3917"/>
      <c r="BT108" s="3917"/>
      <c r="BU108" s="3917"/>
      <c r="BV108" s="3917"/>
      <c r="BW108" s="3917"/>
      <c r="BX108" s="3917"/>
      <c r="BY108" s="3917"/>
      <c r="BZ108" s="3917"/>
      <c r="CA108" s="3917"/>
      <c r="CB108" s="3917"/>
      <c r="CC108" s="3917"/>
      <c r="CD108" s="3811" t="str">
        <f t="shared" si="40"/>
        <v xml:space="preserve"> * Los Beneficiarios no pueden ser mayor que el Total, (si no hay beneficiario digite un cero). </v>
      </c>
      <c r="CE108" s="3811" t="str">
        <f t="shared" si="41"/>
        <v xml:space="preserve"> * El total de controles no pueden ser mayor que el Total, (si no hay controles digite un cero). </v>
      </c>
      <c r="CF108" s="3811" t="str">
        <f t="shared" si="42"/>
        <v xml:space="preserve"> * La cantidad de Atenciones de pacientes pertenecientes a Pueblos Originarios no pueden ser mayor que el Total, (si no hay atenciones digite un cero). </v>
      </c>
      <c r="CG108" s="3811" t="str">
        <f t="shared" si="43"/>
        <v xml:space="preserve"> * La cantidad de Atenciones de pacientes Migrantes no pueden ser mayor que el Total, (si no hay atenciones digite un cero). </v>
      </c>
      <c r="CH108" s="3917"/>
      <c r="CN108" s="3811">
        <f t="shared" si="44"/>
        <v>1</v>
      </c>
      <c r="CO108" s="3811">
        <f t="shared" si="45"/>
        <v>1</v>
      </c>
      <c r="CP108" s="3811">
        <f t="shared" si="46"/>
        <v>1</v>
      </c>
      <c r="CQ108" s="3811">
        <f t="shared" si="47"/>
        <v>1</v>
      </c>
      <c r="DA108" s="3811"/>
      <c r="DB108" s="3811"/>
    </row>
    <row r="109" spans="1:107" ht="19.5" customHeight="1" x14ac:dyDescent="0.2">
      <c r="A109" s="7263">
        <v>32100540</v>
      </c>
      <c r="B109" s="11372" t="s">
        <v>2603</v>
      </c>
      <c r="C109" s="11373"/>
      <c r="D109" s="3989" t="s">
        <v>5369</v>
      </c>
      <c r="E109" s="3966" t="s">
        <v>5370</v>
      </c>
      <c r="F109" s="3967" t="s">
        <v>5371</v>
      </c>
      <c r="G109" s="3968" t="s">
        <v>5372</v>
      </c>
      <c r="H109" s="3900" t="s">
        <v>5373</v>
      </c>
      <c r="I109" s="3968" t="s">
        <v>5374</v>
      </c>
      <c r="J109" s="3900" t="s">
        <v>5375</v>
      </c>
      <c r="K109" s="3968" t="s">
        <v>5376</v>
      </c>
      <c r="L109" s="3969" t="s">
        <v>5377</v>
      </c>
      <c r="M109" s="3968" t="s">
        <v>5378</v>
      </c>
      <c r="N109" s="3969" t="s">
        <v>5379</v>
      </c>
      <c r="O109" s="3968" t="s">
        <v>5380</v>
      </c>
      <c r="P109" s="3969" t="s">
        <v>5381</v>
      </c>
      <c r="Q109" s="3968" t="s">
        <v>5382</v>
      </c>
      <c r="R109" s="3969" t="s">
        <v>5383</v>
      </c>
      <c r="S109" s="3968" t="s">
        <v>5384</v>
      </c>
      <c r="T109" s="3969" t="s">
        <v>5385</v>
      </c>
      <c r="U109" s="3968" t="s">
        <v>5386</v>
      </c>
      <c r="V109" s="3969" t="s">
        <v>5387</v>
      </c>
      <c r="W109" s="3968" t="s">
        <v>5388</v>
      </c>
      <c r="X109" s="3969" t="s">
        <v>5389</v>
      </c>
      <c r="Y109" s="3968" t="s">
        <v>5390</v>
      </c>
      <c r="Z109" s="3969" t="s">
        <v>5391</v>
      </c>
      <c r="AA109" s="3968" t="s">
        <v>5392</v>
      </c>
      <c r="AB109" s="3969" t="s">
        <v>5393</v>
      </c>
      <c r="AC109" s="3968" t="s">
        <v>5394</v>
      </c>
      <c r="AD109" s="3969" t="s">
        <v>5395</v>
      </c>
      <c r="AE109" s="3968" t="s">
        <v>5396</v>
      </c>
      <c r="AF109" s="3969" t="s">
        <v>5397</v>
      </c>
      <c r="AG109" s="3968" t="s">
        <v>5398</v>
      </c>
      <c r="AH109" s="3969" t="s">
        <v>5399</v>
      </c>
      <c r="AI109" s="3968" t="s">
        <v>5400</v>
      </c>
      <c r="AJ109" s="3900" t="s">
        <v>5401</v>
      </c>
      <c r="AK109" s="3968" t="s">
        <v>5402</v>
      </c>
      <c r="AL109" s="3900" t="s">
        <v>5403</v>
      </c>
      <c r="AM109" s="3970" t="s">
        <v>5404</v>
      </c>
      <c r="AN109" s="3971" t="s">
        <v>5405</v>
      </c>
      <c r="AO109" s="7953" t="s">
        <v>5406</v>
      </c>
      <c r="AP109" s="3908" t="s">
        <v>5407</v>
      </c>
      <c r="AQ109" s="3972" t="s">
        <v>5408</v>
      </c>
      <c r="AR109" s="3969" t="s">
        <v>5409</v>
      </c>
      <c r="AS109" s="4041" t="s">
        <v>5410</v>
      </c>
      <c r="AT109" s="3969" t="s">
        <v>5411</v>
      </c>
      <c r="AU109" s="4041" t="s">
        <v>5412</v>
      </c>
      <c r="AV109" s="3969" t="s">
        <v>5413</v>
      </c>
      <c r="AW109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09" s="3917"/>
      <c r="BS109" s="3917"/>
      <c r="BT109" s="3917"/>
      <c r="BU109" s="3917"/>
      <c r="BV109" s="3917"/>
      <c r="BW109" s="3917"/>
      <c r="BX109" s="3917"/>
      <c r="BY109" s="3917"/>
      <c r="BZ109" s="3917"/>
      <c r="CA109" s="3917"/>
      <c r="CB109" s="3917"/>
      <c r="CC109" s="3917"/>
      <c r="CD109" s="3811" t="str">
        <f t="shared" si="40"/>
        <v xml:space="preserve"> * Los Beneficiarios no pueden ser mayor que el Total, (si no hay beneficiario digite un cero). </v>
      </c>
      <c r="CE109" s="3811" t="str">
        <f t="shared" si="41"/>
        <v xml:space="preserve"> * El total de controles no pueden ser mayor que el Total, (si no hay controles digite un cero). </v>
      </c>
      <c r="CF109" s="3811" t="str">
        <f t="shared" si="42"/>
        <v xml:space="preserve"> * La cantidad de Atenciones de pacientes pertenecientes a Pueblos Originarios no pueden ser mayor que el Total, (si no hay atenciones digite un cero). </v>
      </c>
      <c r="CG109" s="3811" t="str">
        <f t="shared" si="43"/>
        <v xml:space="preserve"> * La cantidad de Atenciones de pacientes Migrantes no pueden ser mayor que el Total, (si no hay atenciones digite un cero). </v>
      </c>
      <c r="CH109" s="3917"/>
      <c r="CN109" s="3811">
        <f t="shared" si="44"/>
        <v>1</v>
      </c>
      <c r="CO109" s="3811">
        <f t="shared" si="45"/>
        <v>1</v>
      </c>
      <c r="CP109" s="3811">
        <f t="shared" si="46"/>
        <v>1</v>
      </c>
      <c r="CQ109" s="3811">
        <f t="shared" si="47"/>
        <v>1</v>
      </c>
      <c r="DA109" s="3811"/>
      <c r="DB109" s="3811"/>
    </row>
    <row r="110" spans="1:107" ht="23.25" customHeight="1" x14ac:dyDescent="0.2">
      <c r="A110" s="7263">
        <v>32100550</v>
      </c>
      <c r="B110" s="11376" t="s">
        <v>2597</v>
      </c>
      <c r="C110" s="11377"/>
      <c r="D110" s="3992" t="s">
        <v>5369</v>
      </c>
      <c r="E110" s="3993" t="s">
        <v>5370</v>
      </c>
      <c r="F110" s="3994" t="s">
        <v>5371</v>
      </c>
      <c r="G110" s="3979" t="s">
        <v>5372</v>
      </c>
      <c r="H110" s="3981" t="s">
        <v>5373</v>
      </c>
      <c r="I110" s="3979" t="s">
        <v>5374</v>
      </c>
      <c r="J110" s="3981" t="s">
        <v>5375</v>
      </c>
      <c r="K110" s="3979" t="s">
        <v>5376</v>
      </c>
      <c r="L110" s="3980" t="s">
        <v>5377</v>
      </c>
      <c r="M110" s="3979" t="s">
        <v>5378</v>
      </c>
      <c r="N110" s="3980" t="s">
        <v>5379</v>
      </c>
      <c r="O110" s="3979" t="s">
        <v>5380</v>
      </c>
      <c r="P110" s="3980" t="s">
        <v>5381</v>
      </c>
      <c r="Q110" s="3979" t="s">
        <v>5382</v>
      </c>
      <c r="R110" s="3980" t="s">
        <v>5383</v>
      </c>
      <c r="S110" s="3979" t="s">
        <v>5384</v>
      </c>
      <c r="T110" s="3980" t="s">
        <v>5385</v>
      </c>
      <c r="U110" s="3979" t="s">
        <v>5386</v>
      </c>
      <c r="V110" s="3980" t="s">
        <v>5387</v>
      </c>
      <c r="W110" s="3979" t="s">
        <v>5388</v>
      </c>
      <c r="X110" s="3980" t="s">
        <v>5389</v>
      </c>
      <c r="Y110" s="3979" t="s">
        <v>5390</v>
      </c>
      <c r="Z110" s="3980" t="s">
        <v>5391</v>
      </c>
      <c r="AA110" s="3979" t="s">
        <v>5392</v>
      </c>
      <c r="AB110" s="3980" t="s">
        <v>5393</v>
      </c>
      <c r="AC110" s="3979" t="s">
        <v>5394</v>
      </c>
      <c r="AD110" s="3980" t="s">
        <v>5395</v>
      </c>
      <c r="AE110" s="3979" t="s">
        <v>5396</v>
      </c>
      <c r="AF110" s="3980" t="s">
        <v>5397</v>
      </c>
      <c r="AG110" s="3979" t="s">
        <v>5398</v>
      </c>
      <c r="AH110" s="3980" t="s">
        <v>5399</v>
      </c>
      <c r="AI110" s="3979" t="s">
        <v>5400</v>
      </c>
      <c r="AJ110" s="3980" t="s">
        <v>5401</v>
      </c>
      <c r="AK110" s="3979" t="s">
        <v>5402</v>
      </c>
      <c r="AL110" s="3980" t="s">
        <v>5403</v>
      </c>
      <c r="AM110" s="3995" t="s">
        <v>5404</v>
      </c>
      <c r="AN110" s="3996" t="s">
        <v>5405</v>
      </c>
      <c r="AO110" s="4376" t="s">
        <v>5406</v>
      </c>
      <c r="AP110" s="5027" t="s">
        <v>5407</v>
      </c>
      <c r="AQ110" s="3997" t="s">
        <v>5408</v>
      </c>
      <c r="AR110" s="3980" t="s">
        <v>5409</v>
      </c>
      <c r="AS110" s="5025" t="s">
        <v>5410</v>
      </c>
      <c r="AT110" s="3980" t="s">
        <v>5411</v>
      </c>
      <c r="AU110" s="5025" t="s">
        <v>5412</v>
      </c>
      <c r="AV110" s="3980" t="s">
        <v>5413</v>
      </c>
      <c r="AW110" s="3811" t="str">
        <f t="shared" si="3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R110" s="3917"/>
      <c r="BS110" s="3917"/>
      <c r="BT110" s="3917"/>
      <c r="BU110" s="3917"/>
      <c r="BV110" s="3917"/>
      <c r="BW110" s="3917"/>
      <c r="BX110" s="3917"/>
      <c r="BY110" s="3917"/>
      <c r="BZ110" s="3917"/>
      <c r="CA110" s="3917"/>
      <c r="CB110" s="3917"/>
      <c r="CC110" s="3917"/>
      <c r="CD110" s="3811" t="str">
        <f t="shared" si="40"/>
        <v xml:space="preserve"> * Los Beneficiarios no pueden ser mayor que el Total, (si no hay beneficiario digite un cero). </v>
      </c>
      <c r="CE110" s="3811" t="str">
        <f t="shared" si="41"/>
        <v xml:space="preserve"> * El total de controles no pueden ser mayor que el Total, (si no hay controles digite un cero). </v>
      </c>
      <c r="CF110" s="3811" t="str">
        <f t="shared" si="42"/>
        <v xml:space="preserve"> * La cantidad de Atenciones de pacientes pertenecientes a Pueblos Originarios no pueden ser mayor que el Total, (si no hay atenciones digite un cero). </v>
      </c>
      <c r="CG110" s="3811" t="str">
        <f t="shared" si="43"/>
        <v xml:space="preserve"> * La cantidad de Atenciones de pacientes Migrantes no pueden ser mayor que el Total, (si no hay atenciones digite un cero). </v>
      </c>
      <c r="CH110" s="3917"/>
      <c r="CN110" s="3811">
        <f t="shared" si="44"/>
        <v>1</v>
      </c>
      <c r="CO110" s="3811">
        <f t="shared" si="45"/>
        <v>1</v>
      </c>
      <c r="CP110" s="3811">
        <f t="shared" si="46"/>
        <v>1</v>
      </c>
      <c r="CQ110" s="3811">
        <f t="shared" si="47"/>
        <v>1</v>
      </c>
      <c r="DA110" s="3811"/>
      <c r="DB110" s="3811"/>
    </row>
    <row r="111" spans="1:107" s="3941" customFormat="1" ht="18.75" customHeight="1" x14ac:dyDescent="0.25">
      <c r="A111" s="7801"/>
      <c r="B111" s="11271" t="s">
        <v>24</v>
      </c>
      <c r="C111" s="11273"/>
      <c r="D111" s="3999">
        <f t="shared" ref="D111:AV111" si="48">SUM(D102:D110)</f>
        <v>0</v>
      </c>
      <c r="E111" s="4000">
        <f t="shared" si="48"/>
        <v>0</v>
      </c>
      <c r="F111" s="3976">
        <f t="shared" si="48"/>
        <v>0</v>
      </c>
      <c r="G111" s="4001">
        <f t="shared" si="48"/>
        <v>0</v>
      </c>
      <c r="H111" s="4002">
        <f t="shared" si="48"/>
        <v>0</v>
      </c>
      <c r="I111" s="4001">
        <f t="shared" si="48"/>
        <v>0</v>
      </c>
      <c r="J111" s="4002">
        <f t="shared" si="48"/>
        <v>0</v>
      </c>
      <c r="K111" s="4003">
        <f t="shared" si="48"/>
        <v>0</v>
      </c>
      <c r="L111" s="4004">
        <f t="shared" si="48"/>
        <v>0</v>
      </c>
      <c r="M111" s="4003">
        <f t="shared" si="48"/>
        <v>0</v>
      </c>
      <c r="N111" s="4004">
        <f t="shared" si="48"/>
        <v>0</v>
      </c>
      <c r="O111" s="4003">
        <f t="shared" si="48"/>
        <v>0</v>
      </c>
      <c r="P111" s="4004">
        <f t="shared" si="48"/>
        <v>0</v>
      </c>
      <c r="Q111" s="4003">
        <f t="shared" si="48"/>
        <v>0</v>
      </c>
      <c r="R111" s="4004">
        <f t="shared" si="48"/>
        <v>0</v>
      </c>
      <c r="S111" s="4003">
        <f t="shared" si="48"/>
        <v>0</v>
      </c>
      <c r="T111" s="4004">
        <f t="shared" si="48"/>
        <v>0</v>
      </c>
      <c r="U111" s="4003">
        <f t="shared" si="48"/>
        <v>0</v>
      </c>
      <c r="V111" s="4004">
        <f t="shared" si="48"/>
        <v>0</v>
      </c>
      <c r="W111" s="4003">
        <f t="shared" si="48"/>
        <v>0</v>
      </c>
      <c r="X111" s="4004">
        <f t="shared" si="48"/>
        <v>0</v>
      </c>
      <c r="Y111" s="4003">
        <f t="shared" si="48"/>
        <v>0</v>
      </c>
      <c r="Z111" s="4004">
        <f t="shared" si="48"/>
        <v>0</v>
      </c>
      <c r="AA111" s="4003">
        <f t="shared" si="48"/>
        <v>0</v>
      </c>
      <c r="AB111" s="4004">
        <f t="shared" si="48"/>
        <v>0</v>
      </c>
      <c r="AC111" s="4003">
        <f t="shared" si="48"/>
        <v>0</v>
      </c>
      <c r="AD111" s="4004">
        <f t="shared" si="48"/>
        <v>0</v>
      </c>
      <c r="AE111" s="4003">
        <f t="shared" si="48"/>
        <v>0</v>
      </c>
      <c r="AF111" s="4004">
        <f t="shared" si="48"/>
        <v>0</v>
      </c>
      <c r="AG111" s="4003">
        <f t="shared" si="48"/>
        <v>0</v>
      </c>
      <c r="AH111" s="4004">
        <f t="shared" si="48"/>
        <v>0</v>
      </c>
      <c r="AI111" s="4003">
        <f t="shared" si="48"/>
        <v>0</v>
      </c>
      <c r="AJ111" s="4004">
        <f t="shared" si="48"/>
        <v>0</v>
      </c>
      <c r="AK111" s="4003">
        <f t="shared" si="48"/>
        <v>0</v>
      </c>
      <c r="AL111" s="4004">
        <f t="shared" si="48"/>
        <v>0</v>
      </c>
      <c r="AM111" s="4005">
        <f t="shared" si="48"/>
        <v>0</v>
      </c>
      <c r="AN111" s="4006">
        <f t="shared" si="48"/>
        <v>0</v>
      </c>
      <c r="AO111" s="7954">
        <f>SUM(AO102:AO110)</f>
        <v>0</v>
      </c>
      <c r="AP111" s="7190">
        <f>SUM(AP102:AP110)</f>
        <v>0</v>
      </c>
      <c r="AQ111" s="7955">
        <f t="shared" si="48"/>
        <v>0</v>
      </c>
      <c r="AR111" s="4002">
        <f t="shared" si="48"/>
        <v>0</v>
      </c>
      <c r="AS111" s="7957">
        <f t="shared" si="48"/>
        <v>0</v>
      </c>
      <c r="AT111" s="7949">
        <f t="shared" si="48"/>
        <v>0</v>
      </c>
      <c r="AU111" s="4002">
        <f t="shared" si="48"/>
        <v>0</v>
      </c>
      <c r="AV111" s="4007">
        <f t="shared" si="48"/>
        <v>0</v>
      </c>
      <c r="AW111" s="3917"/>
      <c r="AX111" s="3917"/>
      <c r="AY111" s="3917"/>
      <c r="AZ111" s="3917"/>
      <c r="BA111" s="3917"/>
      <c r="BB111" s="3917"/>
      <c r="BC111" s="3917"/>
      <c r="BD111" s="3917"/>
      <c r="BE111" s="3917"/>
      <c r="BF111" s="3917"/>
      <c r="BG111" s="3917"/>
      <c r="BH111" s="3917"/>
      <c r="BI111" s="3917"/>
      <c r="BJ111" s="3917"/>
      <c r="BK111" s="3811"/>
      <c r="BL111" s="3811"/>
      <c r="BM111" s="3811"/>
      <c r="BN111" s="3811"/>
      <c r="BO111" s="3811"/>
      <c r="BP111" s="3811"/>
      <c r="BQ111" s="3811"/>
      <c r="BR111" s="3811"/>
      <c r="BS111" s="3811"/>
      <c r="BT111" s="3811"/>
      <c r="BU111" s="3811"/>
      <c r="BV111" s="3811"/>
      <c r="BW111" s="3811"/>
      <c r="BX111" s="3811"/>
      <c r="BY111" s="3811"/>
      <c r="BZ111" s="3811"/>
      <c r="CA111" s="3811"/>
      <c r="CB111" s="3811"/>
      <c r="CC111" s="3811"/>
      <c r="CD111" s="3811"/>
      <c r="CE111" s="3811"/>
      <c r="CF111" s="3811"/>
      <c r="CG111" s="3811"/>
      <c r="CH111" s="3811"/>
      <c r="CI111" s="3917"/>
      <c r="CJ111" s="3917"/>
      <c r="CK111" s="3917"/>
      <c r="CL111" s="3917"/>
      <c r="CM111" s="3917"/>
      <c r="CN111" s="3917"/>
      <c r="CO111" s="3917"/>
      <c r="CP111" s="3917"/>
      <c r="CQ111" s="3917"/>
      <c r="CR111" s="3917"/>
      <c r="CS111" s="3917"/>
      <c r="CT111" s="3917"/>
      <c r="CU111" s="3917"/>
      <c r="CV111" s="3917"/>
      <c r="CW111" s="3917"/>
      <c r="CX111" s="3917"/>
      <c r="CY111" s="3917"/>
      <c r="CZ111" s="3917"/>
      <c r="DA111" s="3917"/>
      <c r="DB111" s="3917"/>
    </row>
    <row r="112" spans="1:107" ht="17.25" customHeight="1" x14ac:dyDescent="0.25">
      <c r="B112" s="3819" t="s">
        <v>3107</v>
      </c>
      <c r="C112" s="4008"/>
      <c r="D112" s="4008"/>
      <c r="E112" s="4009"/>
      <c r="F112" s="4009"/>
      <c r="G112" s="4009"/>
      <c r="H112" s="4009"/>
      <c r="I112" s="4009"/>
      <c r="J112" s="4009"/>
      <c r="K112" s="4009"/>
      <c r="L112" s="4009"/>
      <c r="M112" s="4009"/>
      <c r="N112" s="4009"/>
      <c r="O112" s="4009"/>
      <c r="P112" s="4009"/>
      <c r="Q112" s="4009"/>
      <c r="R112" s="4009"/>
      <c r="S112" s="4010"/>
      <c r="T112" s="3941"/>
      <c r="U112" s="3941"/>
      <c r="V112" s="3941"/>
      <c r="W112" s="3941"/>
      <c r="X112" s="3941"/>
      <c r="Y112" s="3941"/>
      <c r="Z112" s="3941"/>
      <c r="AA112" s="3941"/>
      <c r="AB112" s="3941"/>
      <c r="AC112" s="3941"/>
      <c r="AD112" s="3941"/>
      <c r="AE112" s="3941"/>
      <c r="AF112" s="3941"/>
      <c r="AG112" s="3941"/>
      <c r="AH112" s="3917"/>
      <c r="AI112" s="3917"/>
      <c r="AJ112" s="3917"/>
      <c r="AK112" s="3917"/>
      <c r="AL112" s="3917"/>
      <c r="AM112" s="3917"/>
      <c r="AN112" s="3917"/>
      <c r="AO112" s="3917"/>
      <c r="AP112" s="3917"/>
      <c r="AQ112" s="3917"/>
      <c r="AR112" s="3917"/>
      <c r="AS112" s="3917"/>
      <c r="AT112" s="3917"/>
    </row>
    <row r="113" spans="1:98" s="3811" customFormat="1" ht="18.75" customHeight="1" x14ac:dyDescent="0.25">
      <c r="B113" s="4011" t="s">
        <v>3108</v>
      </c>
      <c r="C113" s="4008"/>
      <c r="D113" s="4008"/>
      <c r="E113" s="4009"/>
      <c r="F113" s="4009"/>
      <c r="G113" s="4009"/>
      <c r="H113" s="4009"/>
      <c r="I113" s="4009"/>
      <c r="J113" s="4009"/>
      <c r="K113" s="4009"/>
      <c r="L113" s="4009"/>
      <c r="M113" s="4009"/>
      <c r="N113" s="4009"/>
      <c r="O113" s="4009"/>
      <c r="P113" s="4009"/>
      <c r="Q113" s="4009"/>
      <c r="R113" s="4009"/>
      <c r="S113" s="4010"/>
      <c r="T113" s="3941"/>
      <c r="U113" s="3941"/>
      <c r="V113" s="3941"/>
      <c r="W113" s="3941"/>
      <c r="X113" s="3941"/>
      <c r="Y113" s="3941"/>
      <c r="Z113" s="3941"/>
      <c r="AA113" s="3941"/>
      <c r="AB113" s="3941"/>
      <c r="AC113" s="3941"/>
      <c r="AD113" s="3941"/>
      <c r="AE113" s="3941"/>
      <c r="AF113" s="3941"/>
      <c r="AG113" s="3941"/>
      <c r="AH113" s="3917"/>
      <c r="AI113" s="3917"/>
      <c r="AJ113" s="3917"/>
      <c r="AK113" s="3917"/>
      <c r="AL113" s="3917"/>
      <c r="AM113" s="3917"/>
      <c r="AN113" s="3917"/>
      <c r="AO113" s="3917"/>
      <c r="AP113" s="3917"/>
      <c r="AQ113" s="3917"/>
      <c r="AR113" s="3917"/>
      <c r="AS113" s="3917"/>
      <c r="AT113" s="3917"/>
    </row>
    <row r="114" spans="1:98" s="3811" customFormat="1" ht="23.25" customHeight="1" x14ac:dyDescent="0.2">
      <c r="B114" s="11287" t="s">
        <v>2403</v>
      </c>
      <c r="C114" s="11271" t="s">
        <v>24</v>
      </c>
      <c r="D114" s="11272"/>
      <c r="E114" s="11273"/>
      <c r="F114" s="11271" t="s">
        <v>1063</v>
      </c>
      <c r="G114" s="11272"/>
      <c r="H114" s="11272"/>
      <c r="I114" s="11272"/>
      <c r="J114" s="11272"/>
      <c r="K114" s="11272"/>
      <c r="L114" s="11272"/>
      <c r="M114" s="11272"/>
      <c r="N114" s="11272"/>
      <c r="O114" s="11272"/>
      <c r="P114" s="11272"/>
      <c r="Q114" s="11289"/>
      <c r="R114" s="11290" t="s">
        <v>112</v>
      </c>
      <c r="S114" s="9255" t="s">
        <v>2606</v>
      </c>
      <c r="T114" s="9255" t="s">
        <v>2605</v>
      </c>
      <c r="U114" s="9255" t="s">
        <v>2956</v>
      </c>
      <c r="V114" s="9255" t="s">
        <v>2615</v>
      </c>
      <c r="W114" s="11292" t="s">
        <v>362</v>
      </c>
      <c r="X114" s="8636" t="s">
        <v>361</v>
      </c>
      <c r="Y114" s="3810"/>
      <c r="Z114" s="3810"/>
      <c r="AA114" s="3810"/>
      <c r="AB114" s="3810"/>
      <c r="AC114" s="3810"/>
      <c r="AD114" s="3810"/>
      <c r="AE114" s="3810"/>
      <c r="AF114" s="3810"/>
      <c r="AG114" s="3810"/>
      <c r="AH114" s="3810"/>
      <c r="CB114" s="11220" t="s">
        <v>2373</v>
      </c>
      <c r="CC114" s="11220" t="s">
        <v>2398</v>
      </c>
      <c r="CD114" s="11220" t="s">
        <v>2399</v>
      </c>
      <c r="CE114" s="11220" t="s">
        <v>2400</v>
      </c>
      <c r="CF114" s="11220" t="s">
        <v>2374</v>
      </c>
      <c r="CG114" s="11220" t="s">
        <v>3563</v>
      </c>
      <c r="CH114" s="11220" t="s">
        <v>3564</v>
      </c>
      <c r="CI114" s="11220" t="s">
        <v>2401</v>
      </c>
      <c r="CK114" s="11219" t="s">
        <v>3948</v>
      </c>
      <c r="CL114" s="11220" t="s">
        <v>2373</v>
      </c>
      <c r="CM114" s="11220" t="s">
        <v>2398</v>
      </c>
      <c r="CN114" s="11220" t="s">
        <v>2399</v>
      </c>
      <c r="CO114" s="11220" t="s">
        <v>2400</v>
      </c>
      <c r="CP114" s="11220" t="s">
        <v>2374</v>
      </c>
      <c r="CQ114" s="11220" t="s">
        <v>3563</v>
      </c>
      <c r="CR114" s="11220" t="s">
        <v>3564</v>
      </c>
      <c r="CS114" s="11220" t="s">
        <v>2401</v>
      </c>
    </row>
    <row r="115" spans="1:98" s="3811" customFormat="1" ht="30" customHeight="1" x14ac:dyDescent="0.2">
      <c r="B115" s="11288"/>
      <c r="C115" s="4012" t="s">
        <v>42</v>
      </c>
      <c r="D115" s="4013" t="s">
        <v>17</v>
      </c>
      <c r="E115" s="4014" t="s">
        <v>18</v>
      </c>
      <c r="F115" s="4015" t="s">
        <v>2404</v>
      </c>
      <c r="G115" s="3118" t="s">
        <v>2405</v>
      </c>
      <c r="H115" s="3118" t="s">
        <v>2406</v>
      </c>
      <c r="I115" s="3118" t="s">
        <v>2407</v>
      </c>
      <c r="J115" s="3118" t="s">
        <v>2408</v>
      </c>
      <c r="K115" s="3118" t="s">
        <v>2409</v>
      </c>
      <c r="L115" s="3118" t="s">
        <v>2410</v>
      </c>
      <c r="M115" s="3118" t="s">
        <v>2411</v>
      </c>
      <c r="N115" s="3118" t="s">
        <v>2412</v>
      </c>
      <c r="O115" s="3118" t="s">
        <v>2413</v>
      </c>
      <c r="P115" s="3118" t="s">
        <v>2414</v>
      </c>
      <c r="Q115" s="4016" t="s">
        <v>2415</v>
      </c>
      <c r="R115" s="11291"/>
      <c r="S115" s="9256"/>
      <c r="T115" s="9256"/>
      <c r="U115" s="9256"/>
      <c r="V115" s="9256"/>
      <c r="W115" s="11293"/>
      <c r="X115" s="9156"/>
      <c r="Y115" s="3810"/>
      <c r="Z115" s="3810"/>
      <c r="AA115" s="3810"/>
      <c r="AB115" s="3810"/>
      <c r="AC115" s="3810"/>
      <c r="AD115" s="3810"/>
      <c r="AE115" s="3810"/>
      <c r="AF115" s="3810"/>
      <c r="AG115" s="3810"/>
      <c r="AH115" s="3810"/>
      <c r="CB115" s="11220"/>
      <c r="CC115" s="11220"/>
      <c r="CD115" s="11220"/>
      <c r="CE115" s="11220"/>
      <c r="CF115" s="11220"/>
      <c r="CG115" s="11220"/>
      <c r="CH115" s="11220"/>
      <c r="CI115" s="11220"/>
      <c r="CK115" s="11219"/>
      <c r="CL115" s="11220"/>
      <c r="CM115" s="11220"/>
      <c r="CN115" s="11220"/>
      <c r="CO115" s="11220"/>
      <c r="CP115" s="11220"/>
      <c r="CQ115" s="11220"/>
      <c r="CR115" s="11220"/>
      <c r="CS115" s="11220"/>
    </row>
    <row r="116" spans="1:98" s="3811" customFormat="1" ht="23.25" customHeight="1" x14ac:dyDescent="0.2">
      <c r="A116" s="7263">
        <v>32100570</v>
      </c>
      <c r="B116" s="3120" t="s">
        <v>2416</v>
      </c>
      <c r="C116" s="3829" t="s">
        <v>5369</v>
      </c>
      <c r="D116" s="4017" t="s">
        <v>5370</v>
      </c>
      <c r="E116" s="4017" t="s">
        <v>5371</v>
      </c>
      <c r="F116" s="4017" t="s">
        <v>5372</v>
      </c>
      <c r="G116" s="4018" t="s">
        <v>5373</v>
      </c>
      <c r="H116" s="4018" t="s">
        <v>5374</v>
      </c>
      <c r="I116" s="4018" t="s">
        <v>5375</v>
      </c>
      <c r="J116" s="4018" t="s">
        <v>5376</v>
      </c>
      <c r="K116" s="4018" t="s">
        <v>5377</v>
      </c>
      <c r="L116" s="4018" t="s">
        <v>5378</v>
      </c>
      <c r="M116" s="4018" t="s">
        <v>5379</v>
      </c>
      <c r="N116" s="4018" t="s">
        <v>5380</v>
      </c>
      <c r="O116" s="4018" t="s">
        <v>5381</v>
      </c>
      <c r="P116" s="4018" t="s">
        <v>5382</v>
      </c>
      <c r="Q116" s="4019" t="s">
        <v>5383</v>
      </c>
      <c r="R116" s="4020" t="s">
        <v>5384</v>
      </c>
      <c r="S116" s="4018" t="s">
        <v>5385</v>
      </c>
      <c r="T116" s="4018" t="s">
        <v>5386</v>
      </c>
      <c r="U116" s="4018" t="s">
        <v>5387</v>
      </c>
      <c r="V116" s="4018" t="s">
        <v>5388</v>
      </c>
      <c r="W116" s="3963" t="s">
        <v>5389</v>
      </c>
      <c r="X116" s="3963" t="s">
        <v>5390</v>
      </c>
      <c r="Y116" s="3811" t="e">
        <f>$CB116&amp;$CC116&amp;$CD116&amp;$CE116&amp;CF116&amp;CG116&amp;CH116&amp;CI116&amp;CJ116&amp;CK116</f>
        <v>#VALUE!</v>
      </c>
      <c r="Z116" s="3810"/>
      <c r="AA116" s="3810"/>
      <c r="AB116" s="3810"/>
      <c r="AC116" s="3810"/>
      <c r="AD116" s="3810"/>
      <c r="AE116" s="3810"/>
      <c r="AF116" s="3810"/>
      <c r="AG116" s="3810"/>
      <c r="AH116" s="3810"/>
      <c r="CB116" s="3811" t="e">
        <f>IF(CL116=1," *Los controles según sexo deben ser iguales  al total de Controles. ","")</f>
        <v>#VALUE!</v>
      </c>
      <c r="CC116" s="3811" t="str">
        <f>IF(CM116=1," *Las Atenciones de Embarazadas no pueden superar el total de Atenciones de Mujeres. ","")</f>
        <v xml:space="preserve"> *Las Atenciones de Embarazadas no pueden superar el total de Atenciones de Mujeres. </v>
      </c>
      <c r="CD116" s="3811" t="str">
        <f>IF(CN116=1,"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116" s="3811" t="str">
        <f>IF(CO116=1," *Las Atenciones de Discapacitados no pueden superar el total de Atenciones.","")</f>
        <v xml:space="preserve"> *Las Atenciones de Discapacitados no pueden superar el total de Atenciones.</v>
      </c>
      <c r="CF116" s="3811" t="str">
        <f>IF(CP116=1,"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116" s="3811" t="str">
        <f>IF(CQ116=1," *Las Atenciones de NNA Mejor Niñez no pueden superar el total de Atenciones, ni considerar el grupo etario 65 y mas años.","")</f>
        <v xml:space="preserve"> *Las Atenciones de NNA Mejor Niñez no pueden superar el total de Atenciones, ni considerar el grupo etario 65 y mas años.</v>
      </c>
      <c r="CH116" s="3811" t="str">
        <f>IF(CR116=1," *Las Atenciones de Pueblos Originarios no pueden superar el total de Atenciones.","")</f>
        <v/>
      </c>
      <c r="CI116" s="3811" t="str">
        <f>IF(CS116=1," *Las Atenciones de Migrantes no pueden superar el total de Atenciones.","")</f>
        <v xml:space="preserve"> *Las Atenciones de Migrantes no pueden superar el total de Atenciones.</v>
      </c>
      <c r="CK116" s="3811" t="str">
        <f>IF(OR(AND(C116&lt;&gt;0,U116=""),AND(C116&lt;&gt;0,V116=""),AND(C116&lt;&gt;0,W116=""),AND(C116&lt;&gt;0,X116="")),"* No olvide digitar Migrantes y/o Pueblos Originarios, Niños, Niñas, Adolescentes y Jóvenes SENAME, Niños, Niñas, Adolescentes y Jóvenes Mejor Niñez (Digite CERO si no tiene). ","")</f>
        <v/>
      </c>
      <c r="CL116" s="3811" t="e">
        <f>IF(D116+E116&lt;&gt;C116,1,0)</f>
        <v>#VALUE!</v>
      </c>
      <c r="CM116" s="3811">
        <f>IF(R116&gt;E116,1,0)</f>
        <v>1</v>
      </c>
      <c r="CN116" s="3811">
        <f>IF(S116&gt;P116,1,0)</f>
        <v>1</v>
      </c>
      <c r="CO116" s="3811">
        <f>IF(T116&gt;C116,1,0)</f>
        <v>1</v>
      </c>
      <c r="CP116" s="3811">
        <f t="shared" ref="CP116:CQ119" si="49">IF(U116&gt;SUM($F116:$P116),1,0)</f>
        <v>1</v>
      </c>
      <c r="CQ116" s="3811">
        <f t="shared" si="49"/>
        <v>1</v>
      </c>
      <c r="CR116" s="3811">
        <f t="shared" ref="CR116:CS119" si="50">IF(W116&gt;B116,1,0)</f>
        <v>0</v>
      </c>
      <c r="CS116" s="3811">
        <f t="shared" si="50"/>
        <v>1</v>
      </c>
    </row>
    <row r="117" spans="1:98" s="3811" customFormat="1" ht="23.25" customHeight="1" x14ac:dyDescent="0.2">
      <c r="A117" s="7263">
        <v>32100580</v>
      </c>
      <c r="B117" s="3120" t="s">
        <v>2417</v>
      </c>
      <c r="C117" s="3829" t="s">
        <v>5369</v>
      </c>
      <c r="D117" s="4017" t="s">
        <v>5370</v>
      </c>
      <c r="E117" s="4017" t="s">
        <v>5371</v>
      </c>
      <c r="F117" s="4017" t="s">
        <v>5372</v>
      </c>
      <c r="G117" s="4018" t="s">
        <v>5373</v>
      </c>
      <c r="H117" s="4018" t="s">
        <v>5374</v>
      </c>
      <c r="I117" s="4018" t="s">
        <v>5375</v>
      </c>
      <c r="J117" s="4018" t="s">
        <v>5376</v>
      </c>
      <c r="K117" s="4018" t="s">
        <v>5377</v>
      </c>
      <c r="L117" s="4018" t="s">
        <v>5378</v>
      </c>
      <c r="M117" s="4018" t="s">
        <v>5379</v>
      </c>
      <c r="N117" s="4018" t="s">
        <v>5380</v>
      </c>
      <c r="O117" s="4018" t="s">
        <v>5381</v>
      </c>
      <c r="P117" s="4018" t="s">
        <v>5382</v>
      </c>
      <c r="Q117" s="4019" t="s">
        <v>5383</v>
      </c>
      <c r="R117" s="4020" t="s">
        <v>5384</v>
      </c>
      <c r="S117" s="4018" t="s">
        <v>5385</v>
      </c>
      <c r="T117" s="4018" t="s">
        <v>5386</v>
      </c>
      <c r="U117" s="4018" t="s">
        <v>5387</v>
      </c>
      <c r="V117" s="4018" t="s">
        <v>5388</v>
      </c>
      <c r="W117" s="3963" t="s">
        <v>5389</v>
      </c>
      <c r="X117" s="3963" t="s">
        <v>5390</v>
      </c>
      <c r="Y117" s="3811" t="e">
        <f t="shared" ref="Y117:Y118" si="51">$CB117&amp;$CC117&amp;$CD117&amp;$CE117&amp;CF117&amp;CG117&amp;CH117&amp;CI117&amp;CJ117&amp;CK117</f>
        <v>#VALUE!</v>
      </c>
      <c r="Z117" s="3810"/>
      <c r="AA117" s="3810"/>
      <c r="AB117" s="3810"/>
      <c r="AC117" s="3810"/>
      <c r="AD117" s="3810"/>
      <c r="AE117" s="3810"/>
      <c r="AF117" s="3810"/>
      <c r="AG117" s="3810"/>
      <c r="AH117" s="3810"/>
      <c r="CB117" s="3811" t="e">
        <f>IF(CL117=1," *Los controles según sexo deben ser iguales  al total de Controles. ","")</f>
        <v>#VALUE!</v>
      </c>
      <c r="CC117" s="3811" t="str">
        <f>IF(CM117=1," *Las Atenciones de Embarazadas no pueden superar el total de Atenciones de Mujeres. ","")</f>
        <v xml:space="preserve"> *Las Atenciones de Embarazadas no pueden superar el total de Atenciones de Mujeres. </v>
      </c>
      <c r="CD117" s="3811" t="str">
        <f>IF(CN117=1,"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117" s="3811" t="str">
        <f>IF(CO117=1," *Las Atenciones de Discapacitados no pueden superar el total de Atenciones.","")</f>
        <v xml:space="preserve"> *Las Atenciones de Discapacitados no pueden superar el total de Atenciones.</v>
      </c>
      <c r="CF117" s="3811" t="str">
        <f>IF(CP117=1,"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117" s="3811" t="str">
        <f>IF(CQ117=1," *Las Atenciones de NNA Mejor Niñez no pueden superar el total de Atenciones, ni considerar el grupo etario 65 y mas años.","")</f>
        <v xml:space="preserve"> *Las Atenciones de NNA Mejor Niñez no pueden superar el total de Atenciones, ni considerar el grupo etario 65 y mas años.</v>
      </c>
      <c r="CH117" s="3811" t="str">
        <f>IF(CR117=1," *Las Atenciones de Pueblos Originarios no pueden superar el total de Atenciones.","")</f>
        <v/>
      </c>
      <c r="CI117" s="3811" t="str">
        <f>IF(CS117=1," *Las Atenciones de Migrantes no pueden superar el total de Atenciones.","")</f>
        <v xml:space="preserve"> *Las Atenciones de Migrantes no pueden superar el total de Atenciones.</v>
      </c>
      <c r="CK117" s="3811" t="str">
        <f t="shared" ref="CK117:CK118" si="52">IF(OR(AND(C117&lt;&gt;0,U117=""),AND(C117&lt;&gt;0,V117=""),AND(C117&lt;&gt;0,W117=""),AND(C117&lt;&gt;0,X117="")),"* No olvide digitar Migrantes y/o Pueblos Originarios, Niños, Niñas, Adolescentes y Jóvenes SENAME, Niños, Niñas, Adolescentes y Jóvenes Mejor Niñez (Digite CERO si no tiene). ","")</f>
        <v/>
      </c>
      <c r="CL117" s="3811" t="e">
        <f>IF(D117+E117&lt;&gt;C117,1,0)</f>
        <v>#VALUE!</v>
      </c>
      <c r="CM117" s="3811">
        <f>IF(R117&gt;E117,1,0)</f>
        <v>1</v>
      </c>
      <c r="CN117" s="3811">
        <f>IF(S117&gt;P117,1,0)</f>
        <v>1</v>
      </c>
      <c r="CO117" s="3811">
        <f>IF(T117&gt;C117,1,0)</f>
        <v>1</v>
      </c>
      <c r="CP117" s="3811">
        <f t="shared" si="49"/>
        <v>1</v>
      </c>
      <c r="CQ117" s="3811">
        <f t="shared" si="49"/>
        <v>1</v>
      </c>
      <c r="CR117" s="3811">
        <f t="shared" si="50"/>
        <v>0</v>
      </c>
      <c r="CS117" s="3811">
        <f t="shared" si="50"/>
        <v>1</v>
      </c>
    </row>
    <row r="118" spans="1:98" s="3811" customFormat="1" ht="25.5" customHeight="1" x14ac:dyDescent="0.2">
      <c r="A118" s="7263">
        <v>32100610</v>
      </c>
      <c r="B118" s="3120" t="s">
        <v>2418</v>
      </c>
      <c r="C118" s="3829" t="s">
        <v>5369</v>
      </c>
      <c r="D118" s="4017" t="s">
        <v>5370</v>
      </c>
      <c r="E118" s="4017" t="s">
        <v>5371</v>
      </c>
      <c r="F118" s="4017" t="s">
        <v>5372</v>
      </c>
      <c r="G118" s="4018" t="s">
        <v>5373</v>
      </c>
      <c r="H118" s="4018" t="s">
        <v>5374</v>
      </c>
      <c r="I118" s="4018" t="s">
        <v>5375</v>
      </c>
      <c r="J118" s="4018" t="s">
        <v>5376</v>
      </c>
      <c r="K118" s="4018" t="s">
        <v>5377</v>
      </c>
      <c r="L118" s="4018" t="s">
        <v>5378</v>
      </c>
      <c r="M118" s="4018" t="s">
        <v>5379</v>
      </c>
      <c r="N118" s="4018" t="s">
        <v>5380</v>
      </c>
      <c r="O118" s="4018" t="s">
        <v>5381</v>
      </c>
      <c r="P118" s="4018" t="s">
        <v>5382</v>
      </c>
      <c r="Q118" s="4019" t="s">
        <v>5383</v>
      </c>
      <c r="R118" s="4020" t="s">
        <v>5384</v>
      </c>
      <c r="S118" s="4018" t="s">
        <v>5385</v>
      </c>
      <c r="T118" s="4018" t="s">
        <v>5386</v>
      </c>
      <c r="U118" s="4018" t="s">
        <v>5387</v>
      </c>
      <c r="V118" s="4018" t="s">
        <v>5388</v>
      </c>
      <c r="W118" s="3963" t="s">
        <v>5389</v>
      </c>
      <c r="X118" s="3963" t="s">
        <v>5390</v>
      </c>
      <c r="Y118" s="3811" t="e">
        <f t="shared" si="51"/>
        <v>#VALUE!</v>
      </c>
      <c r="Z118" s="3810"/>
      <c r="AA118" s="3810"/>
      <c r="AB118" s="3810"/>
      <c r="AD118" s="3810"/>
      <c r="AE118" s="3810"/>
      <c r="AF118" s="3810"/>
      <c r="AG118" s="3810"/>
      <c r="AH118" s="3810"/>
      <c r="CB118" s="3811" t="e">
        <f>IF(CL118=1," *Los controles según sexo deben ser iguales  al total de Controles. ","")</f>
        <v>#VALUE!</v>
      </c>
      <c r="CC118" s="3811" t="str">
        <f>IF(CM118=1," *Las Atenciones de Embarazadas no pueden superar el total de Atenciones de Mujeres. ","")</f>
        <v xml:space="preserve"> *Las Atenciones de Embarazadas no pueden superar el total de Atenciones de Mujeres. </v>
      </c>
      <c r="CD118" s="3811" t="str">
        <f>IF(CN118=1,"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118" s="3811" t="str">
        <f>IF(CO118=1," *Las Atenciones de Discapacitados no pueden superar el total de Atenciones.","")</f>
        <v xml:space="preserve"> *Las Atenciones de Discapacitados no pueden superar el total de Atenciones.</v>
      </c>
      <c r="CF118" s="3811" t="str">
        <f>IF(CP118=1,"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118" s="3811" t="str">
        <f>IF(CQ118=1," *Las Atenciones de NNA Mejor Niñez no pueden superar el total de Atenciones, ni considerar el grupo etario 65 y mas años.","")</f>
        <v xml:space="preserve"> *Las Atenciones de NNA Mejor Niñez no pueden superar el total de Atenciones, ni considerar el grupo etario 65 y mas años.</v>
      </c>
      <c r="CH118" s="3811" t="str">
        <f>IF(CR118=1," *Las Atenciones de Pueblos Originarios no pueden superar el total de Atenciones.","")</f>
        <v/>
      </c>
      <c r="CI118" s="3811" t="str">
        <f>IF(CS118=1," *Las Atenciones de Migrantes no pueden superar el total de Atenciones.","")</f>
        <v xml:space="preserve"> *Las Atenciones de Migrantes no pueden superar el total de Atenciones.</v>
      </c>
      <c r="CK118" s="3811" t="str">
        <f t="shared" si="52"/>
        <v/>
      </c>
      <c r="CL118" s="3811" t="e">
        <f>IF(D118+E118&lt;&gt;C118,1,0)</f>
        <v>#VALUE!</v>
      </c>
      <c r="CM118" s="3811">
        <f>IF(R118&gt;E118,1,0)</f>
        <v>1</v>
      </c>
      <c r="CN118" s="3811">
        <f>IF(S118&gt;P118,1,0)</f>
        <v>1</v>
      </c>
      <c r="CO118" s="3811">
        <f>IF(T118&gt;C118,1,0)</f>
        <v>1</v>
      </c>
      <c r="CP118" s="3811">
        <f t="shared" si="49"/>
        <v>1</v>
      </c>
      <c r="CQ118" s="3811">
        <f t="shared" si="49"/>
        <v>1</v>
      </c>
      <c r="CR118" s="3811">
        <f t="shared" si="50"/>
        <v>0</v>
      </c>
      <c r="CS118" s="3811">
        <f t="shared" si="50"/>
        <v>1</v>
      </c>
    </row>
    <row r="119" spans="1:98" s="3811" customFormat="1" ht="16.5" customHeight="1" x14ac:dyDescent="0.2">
      <c r="B119" s="4021" t="s">
        <v>24</v>
      </c>
      <c r="C119" s="4022">
        <f t="shared" ref="C119:X119" si="53">SUM(C116:C118)</f>
        <v>0</v>
      </c>
      <c r="D119" s="4023">
        <f t="shared" si="53"/>
        <v>0</v>
      </c>
      <c r="E119" s="4024">
        <f t="shared" si="53"/>
        <v>0</v>
      </c>
      <c r="F119" s="3947">
        <f t="shared" si="53"/>
        <v>0</v>
      </c>
      <c r="G119" s="4025">
        <f t="shared" si="53"/>
        <v>0</v>
      </c>
      <c r="H119" s="4025">
        <f t="shared" si="53"/>
        <v>0</v>
      </c>
      <c r="I119" s="4025">
        <f t="shared" si="53"/>
        <v>0</v>
      </c>
      <c r="J119" s="4025">
        <f t="shared" si="53"/>
        <v>0</v>
      </c>
      <c r="K119" s="4025">
        <f t="shared" si="53"/>
        <v>0</v>
      </c>
      <c r="L119" s="4025">
        <f t="shared" si="53"/>
        <v>0</v>
      </c>
      <c r="M119" s="4025">
        <f t="shared" si="53"/>
        <v>0</v>
      </c>
      <c r="N119" s="4025">
        <f t="shared" si="53"/>
        <v>0</v>
      </c>
      <c r="O119" s="4025">
        <f t="shared" si="53"/>
        <v>0</v>
      </c>
      <c r="P119" s="4025">
        <f t="shared" si="53"/>
        <v>0</v>
      </c>
      <c r="Q119" s="4026">
        <f t="shared" si="53"/>
        <v>0</v>
      </c>
      <c r="R119" s="4027">
        <f t="shared" si="53"/>
        <v>0</v>
      </c>
      <c r="S119" s="4028">
        <f t="shared" si="53"/>
        <v>0</v>
      </c>
      <c r="T119" s="4028">
        <f t="shared" si="53"/>
        <v>0</v>
      </c>
      <c r="U119" s="4028">
        <f>SUM(U116:U118)</f>
        <v>0</v>
      </c>
      <c r="V119" s="4028">
        <f t="shared" si="53"/>
        <v>0</v>
      </c>
      <c r="W119" s="4029">
        <f t="shared" si="53"/>
        <v>0</v>
      </c>
      <c r="X119" s="4029">
        <f t="shared" si="53"/>
        <v>0</v>
      </c>
      <c r="Y119" s="3810"/>
      <c r="Z119" s="3810"/>
      <c r="AA119" s="3810"/>
      <c r="AB119" s="3810"/>
      <c r="AC119" s="3810"/>
      <c r="AD119" s="3810"/>
      <c r="AE119" s="3810"/>
      <c r="AF119" s="3810"/>
      <c r="AG119" s="3810"/>
      <c r="AH119" s="3810"/>
      <c r="CB119" s="3811" t="str">
        <f>IF(CL119=1," *Los controles según sexo deben ser iguales  al total de Controles. ","")</f>
        <v/>
      </c>
      <c r="CC119" s="3811" t="str">
        <f>IF(CM119=1," *Las Atenciones de Embarazadas no pueden superar el total de Atenciones de Mujeres. ","")</f>
        <v/>
      </c>
      <c r="CD119" s="3811" t="str">
        <f>IF(CN119=1," *Las Atenciones de Personas de 60 Años no pueden superar el total de Atenciones del grupo de edad 20-64 Años. ","")</f>
        <v/>
      </c>
      <c r="CE119" s="3811" t="str">
        <f>IF(CO119=1," *Las Atenciones de Discapacitados no pueden superar el total de Atenciones.","")</f>
        <v/>
      </c>
      <c r="CF119" s="3811" t="str">
        <f>IF(CP119=1," *Las Atenciones de NNA SENAME no pueden superar el total de Atenciones, ni considerar el grupo etario 65 y mas años.","")</f>
        <v/>
      </c>
      <c r="CG119" s="3811" t="str">
        <f>IF(CQ119=1," *Las Atenciones de NNA Mejor Niñez no pueden superar el total de Atenciones, ni considerar el grupo etario 65 y mas años.","")</f>
        <v/>
      </c>
      <c r="CH119" s="3811" t="str">
        <f>IF(CR119=1," *Las Atenciones de Pueblos Originarios no pueden superar el total de Atenciones.","")</f>
        <v/>
      </c>
      <c r="CI119" s="3811" t="str">
        <f>IF(CS119=1," *Las Atenciones de Migrantes no pueden superar el total de Atenciones.","")</f>
        <v/>
      </c>
      <c r="CL119" s="3811">
        <f>IF(D119+E119&lt;&gt;C119,1,0)</f>
        <v>0</v>
      </c>
      <c r="CM119" s="3811">
        <f>IF(R119&gt;E119,1,0)</f>
        <v>0</v>
      </c>
      <c r="CN119" s="3811">
        <f>IF(S119&gt;P119,1,0)</f>
        <v>0</v>
      </c>
      <c r="CO119" s="3811">
        <f>IF(T119&gt;C119,1,0)</f>
        <v>0</v>
      </c>
      <c r="CP119" s="3811">
        <f t="shared" si="49"/>
        <v>0</v>
      </c>
      <c r="CQ119" s="3811">
        <f t="shared" si="49"/>
        <v>0</v>
      </c>
      <c r="CR119" s="3811">
        <f t="shared" si="50"/>
        <v>0</v>
      </c>
      <c r="CS119" s="3811">
        <f t="shared" si="50"/>
        <v>0</v>
      </c>
    </row>
    <row r="120" spans="1:98" s="3811" customFormat="1" ht="21" customHeight="1" x14ac:dyDescent="0.25">
      <c r="B120" s="4030" t="s">
        <v>3109</v>
      </c>
      <c r="C120" s="4008"/>
      <c r="D120" s="4008"/>
      <c r="E120" s="4009"/>
      <c r="F120" s="4009"/>
      <c r="G120" s="4009"/>
      <c r="H120" s="4009"/>
      <c r="I120" s="4009"/>
      <c r="J120" s="4009"/>
      <c r="K120" s="4009"/>
      <c r="L120" s="4009"/>
      <c r="M120" s="4009"/>
      <c r="N120" s="4031"/>
      <c r="O120" s="4031"/>
      <c r="P120" s="4031"/>
      <c r="Q120" s="4031"/>
      <c r="R120" s="4031"/>
      <c r="S120" s="4032"/>
      <c r="T120" s="4033"/>
      <c r="U120" s="3941"/>
      <c r="V120" s="3941"/>
      <c r="W120" s="3941"/>
      <c r="X120" s="3941"/>
      <c r="Y120" s="3810"/>
      <c r="Z120" s="3810"/>
      <c r="AA120" s="3810"/>
      <c r="AB120" s="3810"/>
      <c r="AC120" s="3810"/>
      <c r="AD120" s="3810"/>
      <c r="AE120" s="3810"/>
      <c r="AF120" s="3810"/>
      <c r="AG120" s="3810"/>
    </row>
    <row r="121" spans="1:98" s="3811" customFormat="1" ht="21.9" customHeight="1" x14ac:dyDescent="0.2">
      <c r="B121" s="11395" t="s">
        <v>2403</v>
      </c>
      <c r="C121" s="11391" t="s">
        <v>24</v>
      </c>
      <c r="D121" s="11392"/>
      <c r="E121" s="11393"/>
      <c r="F121" s="11391" t="s">
        <v>1063</v>
      </c>
      <c r="G121" s="11392"/>
      <c r="H121" s="11392"/>
      <c r="I121" s="11392"/>
      <c r="J121" s="11392"/>
      <c r="K121" s="11392"/>
      <c r="L121" s="11392"/>
      <c r="M121" s="11394"/>
      <c r="N121" s="11397" t="s">
        <v>2560</v>
      </c>
      <c r="O121" s="11368" t="s">
        <v>112</v>
      </c>
      <c r="P121" s="11368" t="s">
        <v>360</v>
      </c>
      <c r="Q121" s="11368" t="s">
        <v>2554</v>
      </c>
      <c r="R121" s="11368" t="s">
        <v>3005</v>
      </c>
      <c r="S121" s="11368" t="s">
        <v>2694</v>
      </c>
      <c r="T121" s="11368" t="s">
        <v>362</v>
      </c>
      <c r="U121" s="8636" t="s">
        <v>361</v>
      </c>
      <c r="V121" s="3810"/>
      <c r="W121" s="3810"/>
      <c r="X121" s="3810"/>
      <c r="Y121" s="3810"/>
      <c r="Z121" s="3810"/>
      <c r="AA121" s="3810"/>
      <c r="AB121" s="3810"/>
      <c r="AC121" s="3810"/>
      <c r="AD121" s="3810"/>
      <c r="AE121" s="3810"/>
      <c r="AF121" s="3810"/>
      <c r="AG121" s="3810"/>
      <c r="AH121" s="3810"/>
      <c r="CB121" s="11220" t="s">
        <v>2373</v>
      </c>
      <c r="CC121" s="11220" t="s">
        <v>2398</v>
      </c>
      <c r="CD121" s="11220" t="s">
        <v>2402</v>
      </c>
      <c r="CE121" s="11220" t="s">
        <v>2399</v>
      </c>
      <c r="CF121" s="11220" t="s">
        <v>2400</v>
      </c>
      <c r="CG121" s="11220" t="s">
        <v>2374</v>
      </c>
      <c r="CH121" s="11220" t="s">
        <v>3563</v>
      </c>
      <c r="CI121" s="11220" t="s">
        <v>3564</v>
      </c>
      <c r="CJ121" s="11220" t="s">
        <v>2401</v>
      </c>
      <c r="CK121" s="11219" t="s">
        <v>3948</v>
      </c>
      <c r="CL121" s="11220" t="s">
        <v>2373</v>
      </c>
      <c r="CM121" s="11220" t="s">
        <v>2398</v>
      </c>
      <c r="CN121" s="11220" t="s">
        <v>2402</v>
      </c>
      <c r="CO121" s="11220" t="s">
        <v>2399</v>
      </c>
      <c r="CP121" s="11220" t="s">
        <v>2400</v>
      </c>
      <c r="CQ121" s="11220" t="s">
        <v>2374</v>
      </c>
      <c r="CR121" s="11220" t="s">
        <v>3563</v>
      </c>
      <c r="CS121" s="11220" t="s">
        <v>3564</v>
      </c>
      <c r="CT121" s="11220" t="s">
        <v>2401</v>
      </c>
    </row>
    <row r="122" spans="1:98" s="3811" customFormat="1" ht="35.25" customHeight="1" x14ac:dyDescent="0.2">
      <c r="B122" s="11396"/>
      <c r="C122" s="4034" t="s">
        <v>42</v>
      </c>
      <c r="D122" s="4034" t="s">
        <v>17</v>
      </c>
      <c r="E122" s="4035" t="s">
        <v>18</v>
      </c>
      <c r="F122" s="4015" t="s">
        <v>2419</v>
      </c>
      <c r="G122" s="3118" t="s">
        <v>2410</v>
      </c>
      <c r="H122" s="3118" t="s">
        <v>2557</v>
      </c>
      <c r="I122" s="3118" t="s">
        <v>2558</v>
      </c>
      <c r="J122" s="3118" t="s">
        <v>2413</v>
      </c>
      <c r="K122" s="3118" t="s">
        <v>2559</v>
      </c>
      <c r="L122" s="3118" t="s">
        <v>2538</v>
      </c>
      <c r="M122" s="4016" t="s">
        <v>2415</v>
      </c>
      <c r="N122" s="11398"/>
      <c r="O122" s="11369"/>
      <c r="P122" s="11369"/>
      <c r="Q122" s="11369"/>
      <c r="R122" s="11369"/>
      <c r="S122" s="11369"/>
      <c r="T122" s="11369"/>
      <c r="U122" s="9296"/>
      <c r="V122" s="3810"/>
      <c r="W122" s="3810"/>
      <c r="X122" s="3810"/>
      <c r="Y122" s="3810"/>
      <c r="Z122" s="3810"/>
      <c r="AA122" s="3810"/>
      <c r="AB122" s="3810"/>
      <c r="AC122" s="3810"/>
      <c r="AD122" s="3810"/>
      <c r="AE122" s="3810"/>
      <c r="AF122" s="3810"/>
      <c r="AG122" s="3810"/>
      <c r="AH122" s="3810"/>
      <c r="CB122" s="11220"/>
      <c r="CC122" s="11220"/>
      <c r="CD122" s="11220"/>
      <c r="CE122" s="11220"/>
      <c r="CF122" s="11220"/>
      <c r="CG122" s="11220"/>
      <c r="CH122" s="11220"/>
      <c r="CI122" s="11220"/>
      <c r="CJ122" s="11220"/>
      <c r="CK122" s="11219"/>
      <c r="CL122" s="11220"/>
      <c r="CM122" s="11220"/>
      <c r="CN122" s="11220"/>
      <c r="CO122" s="11220"/>
      <c r="CP122" s="11220"/>
      <c r="CQ122" s="11220"/>
      <c r="CR122" s="11220"/>
      <c r="CS122" s="11220"/>
      <c r="CT122" s="11220"/>
    </row>
    <row r="123" spans="1:98" s="3811" customFormat="1" ht="24" customHeight="1" x14ac:dyDescent="0.2">
      <c r="A123" s="7263">
        <v>32101490</v>
      </c>
      <c r="B123" s="3119" t="s">
        <v>2555</v>
      </c>
      <c r="C123" s="4036" t="s">
        <v>5369</v>
      </c>
      <c r="D123" s="4037" t="s">
        <v>5370</v>
      </c>
      <c r="E123" s="4038" t="s">
        <v>5371</v>
      </c>
      <c r="F123" s="3904" t="s">
        <v>5372</v>
      </c>
      <c r="G123" s="3906" t="s">
        <v>5373</v>
      </c>
      <c r="H123" s="3906" t="s">
        <v>5374</v>
      </c>
      <c r="I123" s="3906" t="s">
        <v>5375</v>
      </c>
      <c r="J123" s="3906" t="s">
        <v>5376</v>
      </c>
      <c r="K123" s="3906" t="s">
        <v>5377</v>
      </c>
      <c r="L123" s="3906" t="s">
        <v>5378</v>
      </c>
      <c r="M123" s="3907" t="s">
        <v>5379</v>
      </c>
      <c r="N123" s="4039" t="s">
        <v>5380</v>
      </c>
      <c r="O123" s="3906" t="s">
        <v>5381</v>
      </c>
      <c r="P123" s="3906" t="s">
        <v>5382</v>
      </c>
      <c r="Q123" s="3906" t="s">
        <v>5383</v>
      </c>
      <c r="R123" s="3906" t="s">
        <v>5384</v>
      </c>
      <c r="S123" s="3906" t="s">
        <v>5385</v>
      </c>
      <c r="T123" s="3906" t="s">
        <v>5386</v>
      </c>
      <c r="U123" s="4038" t="s">
        <v>5387</v>
      </c>
      <c r="V123" s="3811" t="e">
        <f>$CB123&amp;$CC123&amp;$CD123&amp;$CE123&amp;CF123&amp;CG123&amp;CH123&amp;CI123&amp;CJ123&amp;CK123</f>
        <v>#VALUE!</v>
      </c>
      <c r="W123" s="3810"/>
      <c r="X123" s="3810"/>
      <c r="Z123" s="3810"/>
      <c r="AA123" s="3810"/>
      <c r="AB123" s="3810"/>
      <c r="AC123" s="3810"/>
      <c r="AD123" s="3810"/>
      <c r="AE123" s="3810"/>
      <c r="AF123" s="3810"/>
      <c r="AG123" s="3810"/>
      <c r="AH123" s="3810"/>
      <c r="CB123" s="3811" t="e">
        <f>IF(CL123=1," *Los controles según sexo deben ser iguales  al total de Controles. ","")</f>
        <v>#VALUE!</v>
      </c>
      <c r="CC123" s="3811" t="str">
        <f>IF(CM123=1," *Las Atenciones de Embarazadas no pueden superar el total de Atenciones de Mujeres. ","")</f>
        <v xml:space="preserve"> *Las Atenciones de Embarazadas no pueden superar el total de Atenciones de Mujeres. </v>
      </c>
      <c r="CD123" s="3811" t="str">
        <f>IF(CN123=1," *Las Atenciones de Beneficiarios no pueden superar el total de Atenciones ","")</f>
        <v xml:space="preserve"> *Las Atenciones de Beneficiarios no pueden superar el total de Atenciones </v>
      </c>
      <c r="CE123" s="3811" t="str">
        <f>IF(CO123=1,"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123" s="3811" t="str">
        <f>IF(CP123=1," *Las Atenciones de Discapacitados no pueden superar el total de Atenciones.","")</f>
        <v xml:space="preserve"> *Las Atenciones de Discapacitados no pueden superar el total de Atenciones.</v>
      </c>
      <c r="CG123" s="3811" t="str">
        <f>IF(CQ123=1,"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123" s="3811" t="str">
        <f>IF(CR123=1," *Las Atenciones de NNA Mejor Niñez no pueden superar el total de Atenciones, ni considerar el grupo etario 65 y mas años.","")</f>
        <v xml:space="preserve"> *Las Atenciones de NNA Mejor Niñez no pueden superar el total de Atenciones, ni considerar el grupo etario 65 y mas años.</v>
      </c>
      <c r="CI123" s="3811" t="str">
        <f>IF(CS123=1," *Las Atenciones de Pueblos Originarios no pueden superar el total de Atenciones.","")</f>
        <v xml:space="preserve"> *Las Atenciones de Pueblos Originarios no pueden superar el total de Atenciones.</v>
      </c>
      <c r="CJ123" s="3811" t="str">
        <f>IF(CT123=1," *Las Atenciones de Migrantes no pueden superar el total de Atenciones.","")</f>
        <v xml:space="preserve"> *Las Atenciones de Migrantes no pueden superar el total de Atenciones.</v>
      </c>
      <c r="CK123" s="3811" t="str">
        <f>IF(OR(AND(C123&lt;&gt;0,R123=""),AND(C123&lt;&gt;0,S123=""),AND(C123&lt;&gt;0,T123=""),AND(C123&lt;&gt;0,U123="")),"* No olvide digitar Migrantes y/o Pueblos Originarios, Niños, Niñas, Adolescentes y Jóvenes SENAME, Niños, Niñas, Adolescentes y Jóvenes Mejor Niñez (Digite CERO si no tiene). ","")</f>
        <v/>
      </c>
      <c r="CL123" s="3811" t="e">
        <f>IF(D123+E123&lt;&gt;C123,1,0)</f>
        <v>#VALUE!</v>
      </c>
      <c r="CM123" s="3811">
        <f>IF(N123&gt;E123,1,0)</f>
        <v>1</v>
      </c>
      <c r="CN123" s="3811">
        <f>IF(O123&gt;C123,1,0)</f>
        <v>1</v>
      </c>
      <c r="CO123" s="3811">
        <f>IF(P123&gt;L123,1,0)</f>
        <v>1</v>
      </c>
      <c r="CP123" s="3811">
        <f>IF(Q123&gt;C123,1,0)</f>
        <v>1</v>
      </c>
      <c r="CQ123" s="3811">
        <f t="shared" ref="CQ123:CR125" si="54">IF(R123&gt;SUM($F123:$L123),1,0)</f>
        <v>1</v>
      </c>
      <c r="CR123" s="3811">
        <f t="shared" si="54"/>
        <v>1</v>
      </c>
      <c r="CS123" s="3811">
        <f t="shared" ref="CS123:CT125" si="55">IF(T123&gt;$C123,1,0)</f>
        <v>1</v>
      </c>
      <c r="CT123" s="3811">
        <f t="shared" si="55"/>
        <v>1</v>
      </c>
    </row>
    <row r="124" spans="1:98" s="3811" customFormat="1" ht="21.9" customHeight="1" x14ac:dyDescent="0.2">
      <c r="A124" s="7263">
        <v>32101500</v>
      </c>
      <c r="B124" s="3120" t="s">
        <v>2556</v>
      </c>
      <c r="C124" s="4040" t="s">
        <v>5369</v>
      </c>
      <c r="D124" s="4041" t="s">
        <v>5370</v>
      </c>
      <c r="E124" s="3845" t="s">
        <v>5371</v>
      </c>
      <c r="F124" s="3830" t="s">
        <v>5372</v>
      </c>
      <c r="G124" s="3831" t="s">
        <v>5373</v>
      </c>
      <c r="H124" s="3831" t="s">
        <v>5374</v>
      </c>
      <c r="I124" s="3831" t="s">
        <v>5375</v>
      </c>
      <c r="J124" s="3831" t="s">
        <v>5376</v>
      </c>
      <c r="K124" s="3831" t="s">
        <v>5377</v>
      </c>
      <c r="L124" s="3831" t="s">
        <v>5378</v>
      </c>
      <c r="M124" s="3916" t="s">
        <v>5379</v>
      </c>
      <c r="N124" s="4020" t="s">
        <v>5380</v>
      </c>
      <c r="O124" s="4018" t="s">
        <v>5381</v>
      </c>
      <c r="P124" s="4018" t="s">
        <v>5382</v>
      </c>
      <c r="Q124" s="4018" t="s">
        <v>5383</v>
      </c>
      <c r="R124" s="4018" t="s">
        <v>5384</v>
      </c>
      <c r="S124" s="4018" t="s">
        <v>5385</v>
      </c>
      <c r="T124" s="3906" t="s">
        <v>5386</v>
      </c>
      <c r="U124" s="4038" t="s">
        <v>5387</v>
      </c>
      <c r="V124" s="3811" t="e">
        <f>$CB124&amp;$CC124&amp;$CD124&amp;$CE124&amp;CF124&amp;CG124&amp;CH124&amp;CI124&amp;CJ124&amp;CK124</f>
        <v>#VALUE!</v>
      </c>
      <c r="W124" s="3810"/>
      <c r="X124" s="3810"/>
      <c r="Y124" s="3811" t="e">
        <f>$CB124&amp;$CC124&amp;$CD124&amp;$CE124&amp;CF124&amp;CG124&amp;CH124&amp;CI124&amp;CJ124</f>
        <v>#VALUE!</v>
      </c>
      <c r="Z124" s="3810"/>
      <c r="AA124" s="3810"/>
      <c r="AB124" s="3810"/>
      <c r="AC124" s="3810"/>
      <c r="AD124" s="3810"/>
      <c r="AE124" s="3810"/>
      <c r="AF124" s="3810"/>
      <c r="AG124" s="3810"/>
      <c r="AH124" s="3810"/>
      <c r="CB124" s="3811" t="e">
        <f>IF(CL124=1," *Los controles según sexo deben ser iguales  al total de Controles. ","")</f>
        <v>#VALUE!</v>
      </c>
      <c r="CC124" s="3811" t="str">
        <f>IF(CM124=1," *Las Atenciones de Embarazadas no pueden superar el total de Atenciones de Mujeres. ","")</f>
        <v xml:space="preserve"> *Las Atenciones de Embarazadas no pueden superar el total de Atenciones de Mujeres. </v>
      </c>
      <c r="CD124" s="3811" t="str">
        <f>IF(CN124=1," *Las Atenciones de Beneficiarios no pueden superar el total de Atenciones ","")</f>
        <v xml:space="preserve"> *Las Atenciones de Beneficiarios no pueden superar el total de Atenciones </v>
      </c>
      <c r="CE124" s="3811" t="str">
        <f>IF(CO124=1,"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124" s="3811" t="str">
        <f>IF(CP124=1," *Las Atenciones de Discapacitados no pueden superar el total de Atenciones.","")</f>
        <v xml:space="preserve"> *Las Atenciones de Discapacitados no pueden superar el total de Atenciones.</v>
      </c>
      <c r="CG124" s="3811" t="str">
        <f>IF(CQ124=1,"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124" s="3811" t="str">
        <f>IF(CR124=1," *Las Atenciones de NNA Mejor Niñez no pueden superar el total de Atenciones, ni considerar el grupo etario 65 y mas años.","")</f>
        <v xml:space="preserve"> *Las Atenciones de NNA Mejor Niñez no pueden superar el total de Atenciones, ni considerar el grupo etario 65 y mas años.</v>
      </c>
      <c r="CI124" s="3811" t="str">
        <f>IF(CS124=1," *Las Atenciones de Pueblos Originarios no pueden superar el total de Atenciones.","")</f>
        <v xml:space="preserve"> *Las Atenciones de Pueblos Originarios no pueden superar el total de Atenciones.</v>
      </c>
      <c r="CJ124" s="3811" t="str">
        <f>IF(CT124=1," *Las Atenciones de Migrantes no pueden superar el total de Atenciones.","")</f>
        <v xml:space="preserve"> *Las Atenciones de Migrantes no pueden superar el total de Atenciones.</v>
      </c>
      <c r="CK124" s="3811" t="str">
        <f>IF(OR(AND(C124&lt;&gt;0,R124=""),AND(C124&lt;&gt;0,S124=""),AND(C124&lt;&gt;0,T124=""),AND(C124&lt;&gt;0,U124="")),"* No olvide digitar Migrantes y/o Pueblos Originarios, Niños, Niñas, Adolescentes y Jóvenes SENAME, Niños, Niñas, Adolescentes y Jóvenes Mejor Niñez (Digite CERO si no tiene). ","")</f>
        <v/>
      </c>
      <c r="CL124" s="3811" t="e">
        <f>IF(D124+E124&lt;&gt;C124,1,0)</f>
        <v>#VALUE!</v>
      </c>
      <c r="CM124" s="3811">
        <f>IF(N124&gt;E124,1,0)</f>
        <v>1</v>
      </c>
      <c r="CN124" s="3811">
        <f>IF(O124&gt;C124,1,0)</f>
        <v>1</v>
      </c>
      <c r="CO124" s="3811">
        <f>IF(P124&gt;L124,1,0)</f>
        <v>1</v>
      </c>
      <c r="CP124" s="3811">
        <f>IF(Q124&gt;C124,1,0)</f>
        <v>1</v>
      </c>
      <c r="CQ124" s="3811">
        <f t="shared" si="54"/>
        <v>1</v>
      </c>
      <c r="CR124" s="3811">
        <f t="shared" si="54"/>
        <v>1</v>
      </c>
      <c r="CS124" s="3811">
        <f t="shared" si="55"/>
        <v>1</v>
      </c>
      <c r="CT124" s="3811">
        <f t="shared" si="55"/>
        <v>1</v>
      </c>
    </row>
    <row r="125" spans="1:98" s="3811" customFormat="1" ht="21" customHeight="1" x14ac:dyDescent="0.2">
      <c r="B125" s="4021" t="s">
        <v>24</v>
      </c>
      <c r="C125" s="4022">
        <f t="shared" ref="C125:M125" si="56">SUM(C123:C124)</f>
        <v>0</v>
      </c>
      <c r="D125" s="4042">
        <f t="shared" si="56"/>
        <v>0</v>
      </c>
      <c r="E125" s="4043">
        <f t="shared" si="56"/>
        <v>0</v>
      </c>
      <c r="F125" s="3947">
        <f t="shared" si="56"/>
        <v>0</v>
      </c>
      <c r="G125" s="4025">
        <f t="shared" si="56"/>
        <v>0</v>
      </c>
      <c r="H125" s="4025">
        <f t="shared" si="56"/>
        <v>0</v>
      </c>
      <c r="I125" s="4025">
        <f t="shared" si="56"/>
        <v>0</v>
      </c>
      <c r="J125" s="4025">
        <f t="shared" si="56"/>
        <v>0</v>
      </c>
      <c r="K125" s="4025">
        <f t="shared" si="56"/>
        <v>0</v>
      </c>
      <c r="L125" s="4025">
        <f t="shared" si="56"/>
        <v>0</v>
      </c>
      <c r="M125" s="4026">
        <f t="shared" si="56"/>
        <v>0</v>
      </c>
      <c r="N125" s="4027">
        <f t="shared" ref="N125:U125" si="57">SUM(N123:N124)</f>
        <v>0</v>
      </c>
      <c r="O125" s="4044">
        <f t="shared" si="57"/>
        <v>0</v>
      </c>
      <c r="P125" s="4044">
        <f t="shared" si="57"/>
        <v>0</v>
      </c>
      <c r="Q125" s="4028">
        <f t="shared" si="57"/>
        <v>0</v>
      </c>
      <c r="R125" s="4028">
        <f t="shared" si="57"/>
        <v>0</v>
      </c>
      <c r="S125" s="4028">
        <f>SUM(S123:S124)</f>
        <v>0</v>
      </c>
      <c r="T125" s="4045">
        <f t="shared" si="57"/>
        <v>0</v>
      </c>
      <c r="U125" s="4046">
        <f t="shared" si="57"/>
        <v>0</v>
      </c>
      <c r="V125" s="3810"/>
      <c r="W125" s="3810"/>
      <c r="X125" s="3810"/>
      <c r="Y125" s="3810"/>
      <c r="Z125" s="3810"/>
      <c r="AA125" s="3810"/>
      <c r="AB125" s="3810"/>
      <c r="AC125" s="3810"/>
      <c r="AD125" s="3810"/>
      <c r="AE125" s="3810"/>
      <c r="AF125" s="3810"/>
      <c r="AG125" s="3810"/>
      <c r="AH125" s="3810"/>
      <c r="CB125" s="3811" t="str">
        <f>IF(CL125=1," *Los controles según sexo deben ser iguales  al total de Controles. ","")</f>
        <v/>
      </c>
      <c r="CC125" s="3811" t="str">
        <f>IF(CM125=1," *Las Atenciones de Embarazadas no pueden superar el total de Atenciones de Mujeres. ","")</f>
        <v/>
      </c>
      <c r="CD125" s="3811" t="str">
        <f>IF(CN125=1," *Las Atenciones de Beneficiarios no pueden superar el total de Atenciones ","")</f>
        <v/>
      </c>
      <c r="CE125" s="3811" t="str">
        <f>IF(CO125=1," *Las Atenciones de Personas de 60 Años no pueden superar el total de Atenciones del grupo de edad 20-64 Años. ","")</f>
        <v/>
      </c>
      <c r="CF125" s="3811" t="str">
        <f>IF(CP125=1," *Las Atenciones de Discapacitados no pueden superar el total de Atenciones.","")</f>
        <v/>
      </c>
      <c r="CG125" s="3811" t="str">
        <f>IF(CQ125=1," *Las Atenciones de NNA SENAME no pueden superar el total de Atenciones, ni considerar el grupo etario 65 y mas años.","")</f>
        <v/>
      </c>
      <c r="CH125" s="3811" t="str">
        <f>IF(CR125=1," *Las Atenciones de NNA Mejor Niñez no pueden superar el total de Atenciones, ni considerar el grupo etario 65 y mas años.","")</f>
        <v/>
      </c>
      <c r="CI125" s="3811" t="str">
        <f>IF(CS125=1," *Las Atenciones de Pueblos Originarios no pueden superar el total de Atenciones.","")</f>
        <v/>
      </c>
      <c r="CJ125" s="3811" t="str">
        <f>IF(CT125=1," *Las Atenciones de Migrantes no pueden superar el total de Atenciones.","")</f>
        <v/>
      </c>
      <c r="CL125" s="3811">
        <f>IF(D125+E125&lt;&gt;C125,1,0)</f>
        <v>0</v>
      </c>
      <c r="CM125" s="3811">
        <f>IF(N125&gt;E125,1,0)</f>
        <v>0</v>
      </c>
      <c r="CN125" s="3811">
        <f>IF(O125&gt;C125,1,0)</f>
        <v>0</v>
      </c>
      <c r="CO125" s="3811">
        <f>IF(P125&gt;L125,1,0)</f>
        <v>0</v>
      </c>
      <c r="CP125" s="3811">
        <f>IF(Q125&gt;C125,1,0)</f>
        <v>0</v>
      </c>
      <c r="CQ125" s="3811">
        <f t="shared" si="54"/>
        <v>0</v>
      </c>
      <c r="CR125" s="3811">
        <f t="shared" si="54"/>
        <v>0</v>
      </c>
      <c r="CS125" s="3811">
        <f t="shared" si="55"/>
        <v>0</v>
      </c>
      <c r="CT125" s="3811">
        <f t="shared" si="55"/>
        <v>0</v>
      </c>
    </row>
    <row r="126" spans="1:98" s="3811" customFormat="1" ht="21" customHeight="1" x14ac:dyDescent="0.25">
      <c r="B126" s="4047" t="s">
        <v>3110</v>
      </c>
      <c r="C126" s="3810"/>
      <c r="D126" s="3810"/>
      <c r="E126" s="3810"/>
      <c r="F126" s="3810"/>
      <c r="G126" s="3810"/>
      <c r="H126" s="3810"/>
      <c r="I126" s="3810"/>
      <c r="J126" s="3810"/>
      <c r="K126" s="3810"/>
      <c r="L126" s="3810"/>
      <c r="M126" s="3810"/>
      <c r="N126" s="3810"/>
      <c r="O126" s="3810"/>
      <c r="P126" s="3810"/>
      <c r="Q126" s="3810"/>
      <c r="R126" s="3810"/>
      <c r="S126" s="3810"/>
      <c r="T126" s="3810"/>
      <c r="U126" s="3810"/>
      <c r="V126" s="3810"/>
      <c r="W126" s="3810"/>
      <c r="X126" s="3810"/>
      <c r="Y126" s="3810"/>
      <c r="Z126" s="3810"/>
      <c r="AA126" s="3810"/>
      <c r="AB126" s="3810"/>
      <c r="AC126" s="3810"/>
      <c r="AD126" s="3810"/>
      <c r="AE126" s="3810"/>
      <c r="AF126" s="3810"/>
      <c r="AG126" s="3810"/>
    </row>
    <row r="127" spans="1:98" s="3811" customFormat="1" ht="21" customHeight="1" x14ac:dyDescent="0.25">
      <c r="B127" s="4048" t="s">
        <v>3719</v>
      </c>
      <c r="C127" s="4049"/>
      <c r="D127" s="3810"/>
      <c r="E127" s="3810"/>
      <c r="F127" s="3810"/>
      <c r="G127" s="3810"/>
      <c r="H127" s="3810"/>
      <c r="I127" s="3810"/>
      <c r="J127" s="3810"/>
      <c r="K127" s="3810"/>
      <c r="L127" s="3810"/>
      <c r="M127" s="3810"/>
      <c r="N127" s="3810"/>
      <c r="O127" s="3810"/>
      <c r="P127" s="3810"/>
      <c r="Q127" s="3810"/>
      <c r="R127" s="3810"/>
      <c r="S127" s="3810"/>
      <c r="T127" s="3810"/>
      <c r="U127" s="3810"/>
      <c r="V127" s="3810"/>
      <c r="W127" s="3810"/>
      <c r="X127" s="3810"/>
      <c r="Y127" s="3810"/>
      <c r="Z127" s="3810"/>
      <c r="AA127" s="3810"/>
      <c r="AB127" s="3810"/>
      <c r="AC127" s="3810"/>
      <c r="AD127" s="3810"/>
      <c r="AE127" s="3810"/>
      <c r="AF127" s="3810"/>
      <c r="AG127" s="3810"/>
    </row>
    <row r="128" spans="1:98" s="3811" customFormat="1" ht="28.2" customHeight="1" x14ac:dyDescent="0.2">
      <c r="B128" s="11387" t="s">
        <v>2422</v>
      </c>
      <c r="C128" s="11387" t="s">
        <v>1668</v>
      </c>
      <c r="D128" s="11384" t="s">
        <v>2420</v>
      </c>
      <c r="E128" s="11385"/>
      <c r="F128" s="11385"/>
      <c r="G128" s="11385"/>
      <c r="H128" s="11385"/>
      <c r="I128" s="11385"/>
      <c r="J128" s="11385"/>
      <c r="K128" s="11385"/>
      <c r="L128" s="11385"/>
      <c r="M128" s="11385"/>
      <c r="N128" s="11385"/>
      <c r="O128" s="11385"/>
      <c r="P128" s="11385"/>
      <c r="Q128" s="11385"/>
      <c r="R128" s="11385"/>
      <c r="S128" s="11385"/>
      <c r="T128" s="11386"/>
      <c r="U128" s="11389" t="s">
        <v>22</v>
      </c>
      <c r="V128" s="11390"/>
      <c r="W128" s="10352" t="s">
        <v>2813</v>
      </c>
      <c r="X128" s="11294" t="s">
        <v>2617</v>
      </c>
      <c r="Y128" s="11368" t="s">
        <v>362</v>
      </c>
      <c r="Z128" s="11368" t="s">
        <v>361</v>
      </c>
      <c r="AA128" s="11382" t="s">
        <v>1592</v>
      </c>
      <c r="AB128" s="11382" t="s">
        <v>3697</v>
      </c>
      <c r="AC128" s="3810"/>
      <c r="AD128" s="3810"/>
      <c r="AE128" s="3810"/>
      <c r="AF128" s="3810"/>
      <c r="AG128" s="3810"/>
      <c r="AH128" s="3810"/>
      <c r="CB128" s="11220" t="s">
        <v>2373</v>
      </c>
      <c r="CC128" s="11220" t="s">
        <v>2374</v>
      </c>
      <c r="CD128" s="11220" t="s">
        <v>3563</v>
      </c>
      <c r="CE128" s="11220" t="s">
        <v>362</v>
      </c>
      <c r="CF128" s="11220" t="s">
        <v>361</v>
      </c>
      <c r="CG128" s="11220" t="s">
        <v>1592</v>
      </c>
      <c r="CH128" s="11220" t="s">
        <v>3948</v>
      </c>
      <c r="CL128" s="11220" t="s">
        <v>2373</v>
      </c>
      <c r="CM128" s="11220" t="s">
        <v>2374</v>
      </c>
      <c r="CN128" s="11220" t="s">
        <v>3563</v>
      </c>
      <c r="CO128" s="11220" t="s">
        <v>362</v>
      </c>
      <c r="CP128" s="11220" t="s">
        <v>361</v>
      </c>
      <c r="CQ128" s="11220" t="s">
        <v>1592</v>
      </c>
    </row>
    <row r="129" spans="1:95" s="3811" customFormat="1" ht="34.200000000000003" customHeight="1" x14ac:dyDescent="0.2">
      <c r="B129" s="11388"/>
      <c r="C129" s="11388"/>
      <c r="D129" s="3878" t="s">
        <v>75</v>
      </c>
      <c r="E129" s="3879" t="s">
        <v>76</v>
      </c>
      <c r="F129" s="3879" t="s">
        <v>77</v>
      </c>
      <c r="G129" s="3879" t="s">
        <v>71</v>
      </c>
      <c r="H129" s="3879" t="s">
        <v>4</v>
      </c>
      <c r="I129" s="3879" t="s">
        <v>5</v>
      </c>
      <c r="J129" s="3879" t="s">
        <v>6</v>
      </c>
      <c r="K129" s="3879" t="s">
        <v>7</v>
      </c>
      <c r="L129" s="3879" t="s">
        <v>8</v>
      </c>
      <c r="M129" s="3879" t="s">
        <v>9</v>
      </c>
      <c r="N129" s="3879" t="s">
        <v>10</v>
      </c>
      <c r="O129" s="3879" t="s">
        <v>11</v>
      </c>
      <c r="P129" s="3879" t="s">
        <v>12</v>
      </c>
      <c r="Q129" s="3879" t="s">
        <v>13</v>
      </c>
      <c r="R129" s="3879" t="s">
        <v>14</v>
      </c>
      <c r="S129" s="3879" t="s">
        <v>15</v>
      </c>
      <c r="T129" s="3884" t="s">
        <v>16</v>
      </c>
      <c r="U129" s="4050" t="s">
        <v>17</v>
      </c>
      <c r="V129" s="4051" t="s">
        <v>18</v>
      </c>
      <c r="W129" s="10354"/>
      <c r="X129" s="11295"/>
      <c r="Y129" s="11369"/>
      <c r="Z129" s="11369"/>
      <c r="AA129" s="11383"/>
      <c r="AB129" s="11383"/>
      <c r="AC129" s="3810"/>
      <c r="AD129" s="3810"/>
      <c r="AE129" s="3810"/>
      <c r="AF129" s="3810"/>
      <c r="AG129" s="3810"/>
      <c r="AH129" s="3810"/>
      <c r="CB129" s="11220"/>
      <c r="CC129" s="11220"/>
      <c r="CD129" s="11220"/>
      <c r="CE129" s="11220"/>
      <c r="CF129" s="11220"/>
      <c r="CG129" s="11220"/>
      <c r="CH129" s="11220"/>
      <c r="CL129" s="11220"/>
      <c r="CM129" s="11220"/>
      <c r="CN129" s="11220"/>
      <c r="CO129" s="11220"/>
      <c r="CP129" s="11220"/>
      <c r="CQ129" s="11220"/>
    </row>
    <row r="130" spans="1:95" s="3811" customFormat="1" ht="14.4" customHeight="1" x14ac:dyDescent="0.2">
      <c r="A130" s="7263">
        <v>32100670</v>
      </c>
      <c r="B130" s="4052" t="s">
        <v>2421</v>
      </c>
      <c r="C130" s="4053" t="s">
        <v>5369</v>
      </c>
      <c r="D130" s="4054" t="s">
        <v>5370</v>
      </c>
      <c r="E130" s="4055" t="s">
        <v>5371</v>
      </c>
      <c r="F130" s="4055" t="s">
        <v>5372</v>
      </c>
      <c r="G130" s="4055" t="s">
        <v>5373</v>
      </c>
      <c r="H130" s="4055" t="s">
        <v>5374</v>
      </c>
      <c r="I130" s="4055" t="s">
        <v>5375</v>
      </c>
      <c r="J130" s="4055" t="s">
        <v>5376</v>
      </c>
      <c r="K130" s="4055" t="s">
        <v>5377</v>
      </c>
      <c r="L130" s="4055" t="s">
        <v>5378</v>
      </c>
      <c r="M130" s="4055" t="s">
        <v>5379</v>
      </c>
      <c r="N130" s="4055" t="s">
        <v>5380</v>
      </c>
      <c r="O130" s="4055" t="s">
        <v>5381</v>
      </c>
      <c r="P130" s="4055" t="s">
        <v>5382</v>
      </c>
      <c r="Q130" s="4055" t="s">
        <v>5383</v>
      </c>
      <c r="R130" s="4055" t="s">
        <v>5384</v>
      </c>
      <c r="S130" s="4055" t="s">
        <v>5385</v>
      </c>
      <c r="T130" s="4056" t="s">
        <v>5386</v>
      </c>
      <c r="U130" s="4057" t="s">
        <v>5387</v>
      </c>
      <c r="V130" s="4058" t="s">
        <v>5388</v>
      </c>
      <c r="W130" s="4059" t="s">
        <v>5389</v>
      </c>
      <c r="X130" s="7960" t="s">
        <v>5390</v>
      </c>
      <c r="Y130" s="7958" t="s">
        <v>5391</v>
      </c>
      <c r="Z130" s="7960" t="s">
        <v>5392</v>
      </c>
      <c r="AA130" s="7958" t="s">
        <v>5393</v>
      </c>
      <c r="AB130" s="7962" t="s">
        <v>5394</v>
      </c>
      <c r="AC130" s="3811" t="e">
        <f>$CB130&amp;$CC130&amp;$CD130&amp;$CE130&amp;CF130&amp;CG130&amp;CH130&amp;CI130</f>
        <v>#VALUE!</v>
      </c>
      <c r="AD130" s="3810"/>
      <c r="AE130" s="3810"/>
      <c r="AF130" s="3810"/>
      <c r="AG130" s="3810"/>
      <c r="AH130" s="3810"/>
      <c r="CB130" s="3811" t="e">
        <f>IF(CL130=1," *Los controles según sexo deben ser iguales  al total de Controles. ","")</f>
        <v>#VALUE!</v>
      </c>
      <c r="CC130" s="3811" t="str">
        <f>IF(CM130=1," *Las Atenciones de NNA SENAME no pueden superar el total de Atenciones entre los 0 Y 24 años","")</f>
        <v xml:space="preserve"> *Las Atenciones de NNA SENAME no pueden superar el total de Atenciones entre los 0 Y 24 años</v>
      </c>
      <c r="CD130" s="3811" t="str">
        <f>IF(CN130=1," *Las Atenciones de NNA Mejor Niñez no pueden superar el total de Atenciones entre los 0 Y 24 años","")</f>
        <v xml:space="preserve"> *Las Atenciones de NNA Mejor Niñez no pueden superar el total de Atenciones entre los 0 Y 24 años</v>
      </c>
      <c r="CE130" s="3811" t="str">
        <f>IF(CO130=1," *Las Acciones de Pueblos Originarios no pueden superar el total de Acciones ","")</f>
        <v xml:space="preserve"> *Las Acciones de Pueblos Originarios no pueden superar el total de Acciones </v>
      </c>
      <c r="CF130" s="3811" t="str">
        <f>IF(CP130=1," *Las Acciones de Migrantes no pueden superar el total de Acciones ","")</f>
        <v xml:space="preserve"> *Las Acciones de Migrantes no pueden superar el total de Acciones </v>
      </c>
      <c r="CG130" s="3811" t="str">
        <f>IF(CQ130=1," *Las Acciones de Personas con Demencia no pueden superar el total de Acciones ","")</f>
        <v xml:space="preserve"> *Las Acciones de Personas con Demencia no pueden superar el total de Acciones </v>
      </c>
      <c r="CH130" s="3811" t="str">
        <f>IF(OR(AND(C130&lt;&gt;0,W130=""),AND(C130&lt;&gt;0,X130=""),AND(C130&lt;&gt;0,Y130=""),AND(C130&lt;&gt;0,Z130=""),AND(C130&lt;&gt;0,AB130="")),"* No olvide digitar Migrantes y/o Pueblos Originarios, Niños, Niñas, Adolescentes y Jóvenes SENAME, Niños, Niñas, Adolescentes y Jóvenes Mejor Niñez, Espacios Amigables (Digite CERO si no tiene). ","")</f>
        <v/>
      </c>
      <c r="CL130" s="3811" t="e">
        <f>IF(U130+V130&lt;&gt;C130,1,0)</f>
        <v>#VALUE!</v>
      </c>
      <c r="CM130" s="3811">
        <f>IF(W130&gt;SUM(D130:H130),1,0)</f>
        <v>1</v>
      </c>
      <c r="CN130" s="3811">
        <f>IF(X130&gt;SUM(D130:H130),1,0)</f>
        <v>1</v>
      </c>
      <c r="CO130" s="3811">
        <f t="shared" ref="CO130:CQ132" si="58">IF(Y130&gt;$C130,1,0)</f>
        <v>1</v>
      </c>
      <c r="CP130" s="3811">
        <f t="shared" si="58"/>
        <v>1</v>
      </c>
      <c r="CQ130" s="3811">
        <f t="shared" si="58"/>
        <v>1</v>
      </c>
    </row>
    <row r="131" spans="1:95" s="3811" customFormat="1" ht="14.4" customHeight="1" x14ac:dyDescent="0.2">
      <c r="A131" s="7263">
        <v>32100680</v>
      </c>
      <c r="B131" s="4060" t="s">
        <v>2422</v>
      </c>
      <c r="C131" s="4061" t="s">
        <v>5369</v>
      </c>
      <c r="D131" s="4054" t="s">
        <v>5370</v>
      </c>
      <c r="E131" s="4055" t="s">
        <v>5371</v>
      </c>
      <c r="F131" s="4055" t="s">
        <v>5372</v>
      </c>
      <c r="G131" s="4055" t="s">
        <v>5373</v>
      </c>
      <c r="H131" s="4055" t="s">
        <v>5374</v>
      </c>
      <c r="I131" s="4055" t="s">
        <v>5375</v>
      </c>
      <c r="J131" s="4055" t="s">
        <v>5376</v>
      </c>
      <c r="K131" s="4055" t="s">
        <v>5377</v>
      </c>
      <c r="L131" s="4055" t="s">
        <v>5378</v>
      </c>
      <c r="M131" s="4055" t="s">
        <v>5379</v>
      </c>
      <c r="N131" s="4055" t="s">
        <v>5380</v>
      </c>
      <c r="O131" s="4055" t="s">
        <v>5381</v>
      </c>
      <c r="P131" s="4055" t="s">
        <v>5382</v>
      </c>
      <c r="Q131" s="4055" t="s">
        <v>5383</v>
      </c>
      <c r="R131" s="4055" t="s">
        <v>5384</v>
      </c>
      <c r="S131" s="4055" t="s">
        <v>5385</v>
      </c>
      <c r="T131" s="4056" t="s">
        <v>5386</v>
      </c>
      <c r="U131" s="4062" t="s">
        <v>5387</v>
      </c>
      <c r="V131" s="4063" t="s">
        <v>5388</v>
      </c>
      <c r="W131" s="4059" t="s">
        <v>5389</v>
      </c>
      <c r="X131" s="4054" t="s">
        <v>5390</v>
      </c>
      <c r="Y131" s="7958" t="s">
        <v>5391</v>
      </c>
      <c r="Z131" s="4054" t="s">
        <v>5392</v>
      </c>
      <c r="AA131" s="7958" t="s">
        <v>5393</v>
      </c>
      <c r="AB131" s="7963" t="s">
        <v>5394</v>
      </c>
      <c r="AC131" s="3811" t="e">
        <f>$CB131&amp;$CC131&amp;$CD131&amp;$CE131&amp;CF131&amp;CG131&amp;CH131&amp;CI131</f>
        <v>#VALUE!</v>
      </c>
      <c r="AD131" s="3810"/>
      <c r="AE131" s="3810"/>
      <c r="AF131" s="3810"/>
      <c r="AG131" s="3810"/>
      <c r="AH131" s="3810"/>
      <c r="CB131" s="3811" t="e">
        <f>IF(CL131=1," *Los controles según sexo deben ser iguales  al total de Controles. ","")</f>
        <v>#VALUE!</v>
      </c>
      <c r="CC131" s="3811" t="str">
        <f>IF(CM131=1," *Las Atenciones de NNA SENAME no pueden superar el total de Atenciones entre los 0 Y 24 años","")</f>
        <v xml:space="preserve"> *Las Atenciones de NNA SENAME no pueden superar el total de Atenciones entre los 0 Y 24 años</v>
      </c>
      <c r="CD131" s="3811" t="str">
        <f>IF(CN131=1," *Las Atenciones de NNA Mejor Niñez no pueden superar el total de Atenciones entre los 0 Y 24 años","")</f>
        <v xml:space="preserve"> *Las Atenciones de NNA Mejor Niñez no pueden superar el total de Atenciones entre los 0 Y 24 años</v>
      </c>
      <c r="CE131" s="3811" t="str">
        <f>IF(CO131=1," *Las Acciones de Pueblos Originarios no pueden superar el total de Acciones ","")</f>
        <v xml:space="preserve"> *Las Acciones de Pueblos Originarios no pueden superar el total de Acciones </v>
      </c>
      <c r="CF131" s="3811" t="str">
        <f>IF(CP131=1," *Las Acciones de Migrantes no pueden superar el total de Acciones ","")</f>
        <v xml:space="preserve"> *Las Acciones de Migrantes no pueden superar el total de Acciones </v>
      </c>
      <c r="CG131" s="3811" t="str">
        <f>IF(CQ131=1," *Las Acciones de Personas con Demencia no pueden superar el total de Acciones ","")</f>
        <v xml:space="preserve"> *Las Acciones de Personas con Demencia no pueden superar el total de Acciones </v>
      </c>
      <c r="CH131" s="3811" t="str">
        <f t="shared" ref="CH131:CH132" si="59">IF(OR(AND(C131&lt;&gt;0,W131=""),AND(C131&lt;&gt;0,X131=""),AND(C131&lt;&gt;0,Y131=""),AND(C131&lt;&gt;0,Z131=""),AND(C131&lt;&gt;0,AB131="")),"* No olvide digitar Migrantes y/o Pueblos Originarios, Niños, Niñas, Adolescentes y Jóvenes SENAME, Niños, Niñas, Adolescentes y Jóvenes Mejor Niñez, Espacios Amigables (Digite CERO si no tiene). ","")</f>
        <v/>
      </c>
      <c r="CL131" s="3811" t="e">
        <f>IF(U131+V131&lt;&gt;C131,1,0)</f>
        <v>#VALUE!</v>
      </c>
      <c r="CM131" s="3811">
        <f>IF(W131&gt;SUM(D131:H131),1,0)</f>
        <v>1</v>
      </c>
      <c r="CN131" s="3811">
        <f>IF(X131&gt;SUM(D131:H131),1,0)</f>
        <v>1</v>
      </c>
      <c r="CO131" s="3811">
        <f t="shared" si="58"/>
        <v>1</v>
      </c>
      <c r="CP131" s="3811">
        <f t="shared" si="58"/>
        <v>1</v>
      </c>
      <c r="CQ131" s="3811">
        <f t="shared" si="58"/>
        <v>1</v>
      </c>
    </row>
    <row r="132" spans="1:95" s="3811" customFormat="1" ht="14.4" customHeight="1" x14ac:dyDescent="0.2">
      <c r="A132" s="7263">
        <v>32100690</v>
      </c>
      <c r="B132" s="4064" t="s">
        <v>2423</v>
      </c>
      <c r="C132" s="4065" t="s">
        <v>5369</v>
      </c>
      <c r="D132" s="4066" t="s">
        <v>5370</v>
      </c>
      <c r="E132" s="4067" t="s">
        <v>5371</v>
      </c>
      <c r="F132" s="4067" t="s">
        <v>5372</v>
      </c>
      <c r="G132" s="4067" t="s">
        <v>5373</v>
      </c>
      <c r="H132" s="4067" t="s">
        <v>5374</v>
      </c>
      <c r="I132" s="4067" t="s">
        <v>5375</v>
      </c>
      <c r="J132" s="4067" t="s">
        <v>5376</v>
      </c>
      <c r="K132" s="4067" t="s">
        <v>5377</v>
      </c>
      <c r="L132" s="4067" t="s">
        <v>5378</v>
      </c>
      <c r="M132" s="4067" t="s">
        <v>5379</v>
      </c>
      <c r="N132" s="4067" t="s">
        <v>5380</v>
      </c>
      <c r="O132" s="4067" t="s">
        <v>5381</v>
      </c>
      <c r="P132" s="4067" t="s">
        <v>5382</v>
      </c>
      <c r="Q132" s="4067" t="s">
        <v>5383</v>
      </c>
      <c r="R132" s="4067" t="s">
        <v>5384</v>
      </c>
      <c r="S132" s="4067" t="s">
        <v>5385</v>
      </c>
      <c r="T132" s="4068" t="s">
        <v>5386</v>
      </c>
      <c r="U132" s="4066" t="s">
        <v>5387</v>
      </c>
      <c r="V132" s="4069" t="s">
        <v>5388</v>
      </c>
      <c r="W132" s="4070" t="s">
        <v>5389</v>
      </c>
      <c r="X132" s="7961" t="s">
        <v>5390</v>
      </c>
      <c r="Y132" s="7959" t="s">
        <v>5391</v>
      </c>
      <c r="Z132" s="7961" t="s">
        <v>5392</v>
      </c>
      <c r="AA132" s="7959" t="s">
        <v>5393</v>
      </c>
      <c r="AB132" s="7964" t="s">
        <v>5394</v>
      </c>
      <c r="AC132" s="3811" t="e">
        <f>$CB132&amp;$CC132&amp;$CD132&amp;$CE132&amp;CF132&amp;CG132&amp;CH132&amp;CI132</f>
        <v>#VALUE!</v>
      </c>
      <c r="AD132" s="3810"/>
      <c r="AE132" s="3810"/>
      <c r="AF132" s="3810"/>
      <c r="AG132" s="3810"/>
      <c r="AH132" s="3810"/>
      <c r="CB132" s="3811" t="e">
        <f>IF(CL132=1," *Los controles según sexo deben ser iguales  al total de Controles. ","")</f>
        <v>#VALUE!</v>
      </c>
      <c r="CC132" s="3811" t="str">
        <f>IF(CM132=1," *Las Atenciones de NNA SENAME no pueden superar el total de Atenciones entre los 0 Y 24 años","")</f>
        <v xml:space="preserve"> *Las Atenciones de NNA SENAME no pueden superar el total de Atenciones entre los 0 Y 24 años</v>
      </c>
      <c r="CD132" s="3811" t="str">
        <f>IF(CN132=1," *Las Atenciones de NNA Mejor Niñez no pueden superar el total de Atenciones entre los 0 Y 24 años","")</f>
        <v xml:space="preserve"> *Las Atenciones de NNA Mejor Niñez no pueden superar el total de Atenciones entre los 0 Y 24 años</v>
      </c>
      <c r="CE132" s="3811" t="str">
        <f>IF(CO132=1," *Las Acciones de Pueblos Originarios no pueden superar el total de Acciones ","")</f>
        <v xml:space="preserve"> *Las Acciones de Pueblos Originarios no pueden superar el total de Acciones </v>
      </c>
      <c r="CF132" s="3811" t="str">
        <f>IF(CP132=1," *Las Acciones de Migrantes no pueden superar el total de Acciones ","")</f>
        <v xml:space="preserve"> *Las Acciones de Migrantes no pueden superar el total de Acciones </v>
      </c>
      <c r="CG132" s="3811" t="str">
        <f>IF(CQ132=1," *Las Acciones de Personas con Demencia no pueden superar el total de Acciones ","")</f>
        <v xml:space="preserve"> *Las Acciones de Personas con Demencia no pueden superar el total de Acciones </v>
      </c>
      <c r="CH132" s="3811" t="str">
        <f t="shared" si="59"/>
        <v/>
      </c>
      <c r="CL132" s="3811" t="e">
        <f>IF(U132+V132&lt;&gt;C132,1,0)</f>
        <v>#VALUE!</v>
      </c>
      <c r="CM132" s="3811">
        <f>IF(W132&gt;SUM(D132:H132),1,0)</f>
        <v>1</v>
      </c>
      <c r="CN132" s="3811">
        <f>IF(X132&gt;SUM(D132:H132),1,0)</f>
        <v>1</v>
      </c>
      <c r="CO132" s="3811">
        <f t="shared" si="58"/>
        <v>1</v>
      </c>
      <c r="CP132" s="3811">
        <f t="shared" si="58"/>
        <v>1</v>
      </c>
      <c r="CQ132" s="3811">
        <f t="shared" si="58"/>
        <v>1</v>
      </c>
    </row>
    <row r="133" spans="1:95" s="3811" customFormat="1" ht="28.5" customHeight="1" x14ac:dyDescent="0.25">
      <c r="B133" s="4047" t="s">
        <v>3111</v>
      </c>
      <c r="C133" s="3810"/>
      <c r="D133" s="3810"/>
      <c r="E133" s="3810"/>
      <c r="F133" s="3810"/>
      <c r="G133" s="3810"/>
      <c r="H133" s="3810"/>
      <c r="I133" s="3810"/>
      <c r="J133" s="3810"/>
      <c r="K133" s="3810"/>
      <c r="L133" s="3810"/>
      <c r="M133" s="3810"/>
      <c r="N133" s="3810"/>
      <c r="O133" s="3810"/>
      <c r="P133" s="3810"/>
      <c r="Q133" s="3810"/>
      <c r="R133" s="3810"/>
      <c r="S133" s="3810"/>
      <c r="T133" s="3810"/>
      <c r="U133" s="3810"/>
      <c r="V133" s="3810"/>
      <c r="W133" s="3810"/>
      <c r="X133" s="3810"/>
      <c r="Y133" s="3810"/>
      <c r="Z133" s="3810"/>
      <c r="AA133" s="3810"/>
      <c r="AB133" s="3810"/>
      <c r="AC133" s="3810"/>
      <c r="AD133" s="3810"/>
      <c r="AE133" s="3810"/>
      <c r="AF133" s="3810"/>
      <c r="AG133" s="3810"/>
    </row>
    <row r="134" spans="1:95" s="3811" customFormat="1" ht="21.9" customHeight="1" x14ac:dyDescent="0.2">
      <c r="B134" s="11361" t="s">
        <v>1236</v>
      </c>
      <c r="C134" s="11319" t="s">
        <v>0</v>
      </c>
      <c r="D134" s="11270" t="s">
        <v>24</v>
      </c>
      <c r="E134" s="11321"/>
      <c r="F134" s="8636"/>
      <c r="G134" s="11301" t="s">
        <v>2424</v>
      </c>
      <c r="H134" s="11364"/>
      <c r="I134" s="11364"/>
      <c r="J134" s="11364"/>
      <c r="K134" s="11364"/>
      <c r="L134" s="11364"/>
      <c r="M134" s="11364"/>
      <c r="N134" s="11364"/>
      <c r="O134" s="11364"/>
      <c r="P134" s="11364"/>
      <c r="Q134" s="11364"/>
      <c r="R134" s="11364"/>
      <c r="S134" s="11364"/>
      <c r="T134" s="11364"/>
      <c r="U134" s="11364"/>
      <c r="V134" s="11364"/>
      <c r="W134" s="11364"/>
      <c r="X134" s="11364"/>
      <c r="Y134" s="11364"/>
      <c r="Z134" s="11364"/>
      <c r="AA134" s="11364"/>
      <c r="AB134" s="11364"/>
      <c r="AC134" s="11364"/>
      <c r="AD134" s="11364"/>
      <c r="AE134" s="11364"/>
      <c r="AF134" s="11364"/>
      <c r="AG134" s="11364"/>
      <c r="AH134" s="11364"/>
      <c r="AI134" s="11364"/>
      <c r="AJ134" s="11364"/>
      <c r="AK134" s="11364"/>
      <c r="AL134" s="11364"/>
      <c r="AM134" s="11364"/>
      <c r="AN134" s="11302"/>
      <c r="AO134" s="11323" t="s">
        <v>2615</v>
      </c>
      <c r="AP134" s="11323" t="s">
        <v>362</v>
      </c>
      <c r="AQ134" s="11323" t="s">
        <v>361</v>
      </c>
      <c r="AR134" s="11323" t="s">
        <v>1592</v>
      </c>
      <c r="AS134" s="11323" t="s">
        <v>3697</v>
      </c>
    </row>
    <row r="135" spans="1:95" s="3811" customFormat="1" ht="21.9" customHeight="1" x14ac:dyDescent="0.2">
      <c r="B135" s="11362"/>
      <c r="C135" s="9418"/>
      <c r="D135" s="10988"/>
      <c r="E135" s="10922"/>
      <c r="F135" s="9156"/>
      <c r="G135" s="11359" t="s">
        <v>75</v>
      </c>
      <c r="H135" s="11359"/>
      <c r="I135" s="11273" t="s">
        <v>76</v>
      </c>
      <c r="J135" s="11359"/>
      <c r="K135" s="11273" t="s">
        <v>77</v>
      </c>
      <c r="L135" s="11359"/>
      <c r="M135" s="11272" t="s">
        <v>71</v>
      </c>
      <c r="N135" s="11365"/>
      <c r="O135" s="11360" t="s">
        <v>4</v>
      </c>
      <c r="P135" s="11273"/>
      <c r="Q135" s="11271" t="s">
        <v>5</v>
      </c>
      <c r="R135" s="11273"/>
      <c r="S135" s="11321" t="s">
        <v>6</v>
      </c>
      <c r="T135" s="8636"/>
      <c r="U135" s="11272" t="s">
        <v>7</v>
      </c>
      <c r="V135" s="11273"/>
      <c r="W135" s="11271" t="s">
        <v>8</v>
      </c>
      <c r="X135" s="11273"/>
      <c r="Y135" s="11272" t="s">
        <v>9</v>
      </c>
      <c r="Z135" s="11273"/>
      <c r="AA135" s="11272" t="s">
        <v>10</v>
      </c>
      <c r="AB135" s="11273"/>
      <c r="AC135" s="11365" t="s">
        <v>11</v>
      </c>
      <c r="AD135" s="11366"/>
      <c r="AE135" s="11272" t="s">
        <v>12</v>
      </c>
      <c r="AF135" s="11273"/>
      <c r="AG135" s="11272" t="s">
        <v>13</v>
      </c>
      <c r="AH135" s="11273"/>
      <c r="AI135" s="11272" t="s">
        <v>14</v>
      </c>
      <c r="AJ135" s="11273"/>
      <c r="AK135" s="11272" t="s">
        <v>15</v>
      </c>
      <c r="AL135" s="11273"/>
      <c r="AM135" s="11272" t="s">
        <v>16</v>
      </c>
      <c r="AN135" s="11273"/>
      <c r="AO135" s="9062"/>
      <c r="AP135" s="9062"/>
      <c r="AQ135" s="9062"/>
      <c r="AR135" s="9062"/>
      <c r="AS135" s="9062"/>
      <c r="CB135" s="11220" t="s">
        <v>3563</v>
      </c>
      <c r="CC135" s="11220" t="s">
        <v>362</v>
      </c>
      <c r="CD135" s="11220" t="s">
        <v>361</v>
      </c>
      <c r="CE135" s="11220" t="s">
        <v>1592</v>
      </c>
      <c r="CH135" s="11220" t="s">
        <v>3948</v>
      </c>
      <c r="CL135" s="11220" t="s">
        <v>3563</v>
      </c>
      <c r="CM135" s="11220" t="s">
        <v>362</v>
      </c>
      <c r="CN135" s="11220" t="s">
        <v>361</v>
      </c>
      <c r="CO135" s="11220" t="s">
        <v>1592</v>
      </c>
    </row>
    <row r="136" spans="1:95" s="3811" customFormat="1" ht="21.9" customHeight="1" x14ac:dyDescent="0.2">
      <c r="B136" s="11363"/>
      <c r="C136" s="11320"/>
      <c r="D136" s="3886" t="s">
        <v>42</v>
      </c>
      <c r="E136" s="4071" t="s">
        <v>17</v>
      </c>
      <c r="F136" s="3884" t="s">
        <v>18</v>
      </c>
      <c r="G136" s="3878" t="s">
        <v>17</v>
      </c>
      <c r="H136" s="3884" t="s">
        <v>18</v>
      </c>
      <c r="I136" s="3878" t="s">
        <v>17</v>
      </c>
      <c r="J136" s="3884" t="s">
        <v>18</v>
      </c>
      <c r="K136" s="3878" t="s">
        <v>17</v>
      </c>
      <c r="L136" s="3884" t="s">
        <v>18</v>
      </c>
      <c r="M136" s="4071" t="s">
        <v>17</v>
      </c>
      <c r="N136" s="3879" t="s">
        <v>18</v>
      </c>
      <c r="O136" s="3879" t="s">
        <v>17</v>
      </c>
      <c r="P136" s="3880" t="s">
        <v>18</v>
      </c>
      <c r="Q136" s="3878" t="s">
        <v>17</v>
      </c>
      <c r="R136" s="3880" t="s">
        <v>18</v>
      </c>
      <c r="S136" s="4071" t="s">
        <v>17</v>
      </c>
      <c r="T136" s="3880" t="s">
        <v>18</v>
      </c>
      <c r="U136" s="4071" t="s">
        <v>17</v>
      </c>
      <c r="V136" s="3880" t="s">
        <v>18</v>
      </c>
      <c r="W136" s="3878" t="s">
        <v>17</v>
      </c>
      <c r="X136" s="3880" t="s">
        <v>18</v>
      </c>
      <c r="Y136" s="4071" t="s">
        <v>17</v>
      </c>
      <c r="Z136" s="3880" t="s">
        <v>18</v>
      </c>
      <c r="AA136" s="4071" t="s">
        <v>17</v>
      </c>
      <c r="AB136" s="3880" t="s">
        <v>18</v>
      </c>
      <c r="AC136" s="4071" t="s">
        <v>17</v>
      </c>
      <c r="AD136" s="3880" t="s">
        <v>18</v>
      </c>
      <c r="AE136" s="4071" t="s">
        <v>17</v>
      </c>
      <c r="AF136" s="3880" t="s">
        <v>18</v>
      </c>
      <c r="AG136" s="4071" t="s">
        <v>17</v>
      </c>
      <c r="AH136" s="3880" t="s">
        <v>18</v>
      </c>
      <c r="AI136" s="4071" t="s">
        <v>17</v>
      </c>
      <c r="AJ136" s="3880" t="s">
        <v>18</v>
      </c>
      <c r="AK136" s="4071" t="s">
        <v>17</v>
      </c>
      <c r="AL136" s="3880" t="s">
        <v>18</v>
      </c>
      <c r="AM136" s="4071" t="s">
        <v>17</v>
      </c>
      <c r="AN136" s="3880" t="s">
        <v>18</v>
      </c>
      <c r="AO136" s="9228"/>
      <c r="AP136" s="9228"/>
      <c r="AQ136" s="9228"/>
      <c r="AR136" s="9228"/>
      <c r="AS136" s="9228"/>
      <c r="CB136" s="11220"/>
      <c r="CC136" s="11220"/>
      <c r="CD136" s="11220"/>
      <c r="CE136" s="11220"/>
      <c r="CH136" s="11220"/>
      <c r="CL136" s="11220"/>
      <c r="CM136" s="11220"/>
      <c r="CN136" s="11220"/>
      <c r="CO136" s="11220"/>
    </row>
    <row r="137" spans="1:95" s="3811" customFormat="1" ht="21.9" customHeight="1" x14ac:dyDescent="0.2">
      <c r="A137" s="7263">
        <v>32100700</v>
      </c>
      <c r="B137" s="11323" t="s">
        <v>2583</v>
      </c>
      <c r="C137" s="4072" t="s">
        <v>2446</v>
      </c>
      <c r="D137" s="4073" t="s">
        <v>5369</v>
      </c>
      <c r="E137" s="4074" t="s">
        <v>5370</v>
      </c>
      <c r="F137" s="4075" t="s">
        <v>5371</v>
      </c>
      <c r="G137" s="4076" t="s">
        <v>5372</v>
      </c>
      <c r="H137" s="4077" t="s">
        <v>5373</v>
      </c>
      <c r="I137" s="4076" t="s">
        <v>5374</v>
      </c>
      <c r="J137" s="4077" t="s">
        <v>5375</v>
      </c>
      <c r="K137" s="4076" t="s">
        <v>5376</v>
      </c>
      <c r="L137" s="4077" t="s">
        <v>5377</v>
      </c>
      <c r="M137" s="4078" t="s">
        <v>5378</v>
      </c>
      <c r="N137" s="4079" t="s">
        <v>5379</v>
      </c>
      <c r="O137" s="4079" t="s">
        <v>5380</v>
      </c>
      <c r="P137" s="4080" t="s">
        <v>5381</v>
      </c>
      <c r="Q137" s="4076" t="s">
        <v>5382</v>
      </c>
      <c r="R137" s="4080" t="s">
        <v>5383</v>
      </c>
      <c r="S137" s="4078" t="s">
        <v>5384</v>
      </c>
      <c r="T137" s="4080" t="s">
        <v>5385</v>
      </c>
      <c r="U137" s="4078" t="s">
        <v>5386</v>
      </c>
      <c r="V137" s="4080" t="s">
        <v>5387</v>
      </c>
      <c r="W137" s="4076" t="s">
        <v>5388</v>
      </c>
      <c r="X137" s="4077" t="s">
        <v>5389</v>
      </c>
      <c r="Y137" s="4078" t="s">
        <v>5390</v>
      </c>
      <c r="Z137" s="4077" t="s">
        <v>5391</v>
      </c>
      <c r="AA137" s="4078" t="s">
        <v>5392</v>
      </c>
      <c r="AB137" s="4080" t="s">
        <v>5393</v>
      </c>
      <c r="AC137" s="4078" t="s">
        <v>5394</v>
      </c>
      <c r="AD137" s="4080" t="s">
        <v>5395</v>
      </c>
      <c r="AE137" s="4078" t="s">
        <v>5396</v>
      </c>
      <c r="AF137" s="4080" t="s">
        <v>5397</v>
      </c>
      <c r="AG137" s="4078" t="s">
        <v>5398</v>
      </c>
      <c r="AH137" s="4080" t="s">
        <v>5399</v>
      </c>
      <c r="AI137" s="4078" t="s">
        <v>5400</v>
      </c>
      <c r="AJ137" s="4080" t="s">
        <v>5401</v>
      </c>
      <c r="AK137" s="4078" t="s">
        <v>5402</v>
      </c>
      <c r="AL137" s="4080" t="s">
        <v>5403</v>
      </c>
      <c r="AM137" s="4078" t="s">
        <v>5404</v>
      </c>
      <c r="AN137" s="4080" t="s">
        <v>5405</v>
      </c>
      <c r="AO137" s="4080" t="s">
        <v>5406</v>
      </c>
      <c r="AP137" s="4080" t="s">
        <v>5407</v>
      </c>
      <c r="AQ137" s="4080" t="s">
        <v>5408</v>
      </c>
      <c r="AR137" s="4080" t="s">
        <v>5409</v>
      </c>
      <c r="AS137" s="4080" t="s">
        <v>5410</v>
      </c>
      <c r="AT137" s="3811" t="str">
        <f t="shared" ref="AT137:AT157" si="60">$CB137&amp;$CC137&amp;$CD137&amp;$CE137&amp;CF137&amp;CG137&amp;CH137&amp;CI137</f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37" s="3811" t="str">
        <f>IF(CL137=1," *Las Acciones de NNA Mejor Niñez deben estar en el grupo etareo (hasta los 24 años)","")</f>
        <v xml:space="preserve"> *Las Acciones de NNA Mejor Niñez deben estar en el grupo etareo (hasta los 24 años)</v>
      </c>
      <c r="CC137" s="3811" t="str">
        <f t="shared" ref="CC137:CC157" si="61">IF(CM137=1," *.Las Acciones de Pueblos Originarios no pueden superar el total de Acciones ","")</f>
        <v xml:space="preserve"> *.Las Acciones de Pueblos Originarios no pueden superar el total de Acciones </v>
      </c>
      <c r="CD137" s="3811" t="str">
        <f t="shared" ref="CD137:CD157" si="62">IF(CN137=1," *.Las Acciones de Migrantes no pueden superar el total de Acciones ","")</f>
        <v xml:space="preserve"> *.Las Acciones de Migrantes no pueden superar el total de Acciones </v>
      </c>
      <c r="CE137" s="3811" t="str">
        <f t="shared" ref="CE137:CE157" si="63">IF(CO137=1," *.Las Acciones de Demencia no pueden superar el total de Acciones ","")</f>
        <v xml:space="preserve"> *.Las Acciones de Demencia no pueden superar el total de Acciones </v>
      </c>
      <c r="CH137" s="3811" t="str">
        <f>IF(OR(AND(D137&lt;&gt;0,AO137=""),AND(D137&lt;&gt;0,AP137=""),AND(D137&lt;&gt;0,AQ137=""),AND(D137&lt;&gt;0,AS137="")),"* No olvide digitar Migrantes y/o Pueblos Originarios, Niños, Niñas, Adolescentes y Jóvenes Mejor Niñez, Espacios Amigables (Digite CERO si no tiene). ","")</f>
        <v/>
      </c>
      <c r="CL137" s="3811">
        <f>IF(SUM(G137:P137)&lt;AO137,1,0)</f>
        <v>1</v>
      </c>
      <c r="CM137" s="3811">
        <f>IF(AP137&gt;$D137,1,0)</f>
        <v>1</v>
      </c>
      <c r="CN137" s="3811">
        <f>IF(AQ137&gt;$D137,1,0)</f>
        <v>1</v>
      </c>
      <c r="CO137" s="3811">
        <f>IF(AR137&gt;$D137,1,0)</f>
        <v>1</v>
      </c>
    </row>
    <row r="138" spans="1:95" s="3811" customFormat="1" ht="21.9" customHeight="1" x14ac:dyDescent="0.2">
      <c r="A138" s="7263">
        <v>32100710</v>
      </c>
      <c r="B138" s="9062"/>
      <c r="C138" s="4081" t="s">
        <v>2425</v>
      </c>
      <c r="D138" s="4082" t="s">
        <v>5369</v>
      </c>
      <c r="E138" s="4083" t="s">
        <v>5370</v>
      </c>
      <c r="F138" s="4084" t="s">
        <v>5371</v>
      </c>
      <c r="G138" s="4054" t="s">
        <v>5372</v>
      </c>
      <c r="H138" s="4056" t="s">
        <v>5373</v>
      </c>
      <c r="I138" s="4054" t="s">
        <v>5374</v>
      </c>
      <c r="J138" s="4056" t="s">
        <v>5375</v>
      </c>
      <c r="K138" s="4054" t="s">
        <v>5376</v>
      </c>
      <c r="L138" s="4056" t="s">
        <v>5377</v>
      </c>
      <c r="M138" s="4085" t="s">
        <v>5378</v>
      </c>
      <c r="N138" s="4055" t="s">
        <v>5379</v>
      </c>
      <c r="O138" s="4055" t="s">
        <v>5380</v>
      </c>
      <c r="P138" s="4086" t="s">
        <v>5381</v>
      </c>
      <c r="Q138" s="4054" t="s">
        <v>5382</v>
      </c>
      <c r="R138" s="4086" t="s">
        <v>5383</v>
      </c>
      <c r="S138" s="4085" t="s">
        <v>5384</v>
      </c>
      <c r="T138" s="4086" t="s">
        <v>5385</v>
      </c>
      <c r="U138" s="4085" t="s">
        <v>5386</v>
      </c>
      <c r="V138" s="4086" t="s">
        <v>5387</v>
      </c>
      <c r="W138" s="4054" t="s">
        <v>5388</v>
      </c>
      <c r="X138" s="4056" t="s">
        <v>5389</v>
      </c>
      <c r="Y138" s="4085" t="s">
        <v>5390</v>
      </c>
      <c r="Z138" s="4056" t="s">
        <v>5391</v>
      </c>
      <c r="AA138" s="4085" t="s">
        <v>5392</v>
      </c>
      <c r="AB138" s="4086" t="s">
        <v>5393</v>
      </c>
      <c r="AC138" s="4085" t="s">
        <v>5394</v>
      </c>
      <c r="AD138" s="4086" t="s">
        <v>5395</v>
      </c>
      <c r="AE138" s="4085" t="s">
        <v>5396</v>
      </c>
      <c r="AF138" s="4086" t="s">
        <v>5397</v>
      </c>
      <c r="AG138" s="4085" t="s">
        <v>5398</v>
      </c>
      <c r="AH138" s="4086" t="s">
        <v>5399</v>
      </c>
      <c r="AI138" s="4085" t="s">
        <v>5400</v>
      </c>
      <c r="AJ138" s="4086" t="s">
        <v>5401</v>
      </c>
      <c r="AK138" s="4085" t="s">
        <v>5402</v>
      </c>
      <c r="AL138" s="4086" t="s">
        <v>5403</v>
      </c>
      <c r="AM138" s="4085" t="s">
        <v>5404</v>
      </c>
      <c r="AN138" s="4086" t="s">
        <v>5405</v>
      </c>
      <c r="AO138" s="4086" t="s">
        <v>5406</v>
      </c>
      <c r="AP138" s="4086" t="s">
        <v>5407</v>
      </c>
      <c r="AQ138" s="4086" t="s">
        <v>5408</v>
      </c>
      <c r="AR138" s="4086" t="s">
        <v>5409</v>
      </c>
      <c r="AS138" s="4086" t="s">
        <v>5410</v>
      </c>
      <c r="AT138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38" s="3811" t="str">
        <f t="shared" ref="CB138:CB157" si="64">IF(CL138=1," *Las Acciones de NNA Mejor Niñez deben estar en el grupo etareo (hasta los 24 años)","")</f>
        <v xml:space="preserve"> *Las Acciones de NNA Mejor Niñez deben estar en el grupo etareo (hasta los 24 años)</v>
      </c>
      <c r="CC138" s="3811" t="str">
        <f t="shared" si="61"/>
        <v xml:space="preserve"> *.Las Acciones de Pueblos Originarios no pueden superar el total de Acciones </v>
      </c>
      <c r="CD138" s="3811" t="str">
        <f t="shared" si="62"/>
        <v xml:space="preserve"> *.Las Acciones de Migrantes no pueden superar el total de Acciones </v>
      </c>
      <c r="CE138" s="3811" t="str">
        <f t="shared" si="63"/>
        <v xml:space="preserve"> *.Las Acciones de Demencia no pueden superar el total de Acciones </v>
      </c>
      <c r="CH138" s="3811" t="str">
        <f t="shared" ref="CH138:CH157" si="65">IF(OR(AND(D138&lt;&gt;0,AO138=""),AND(D138&lt;&gt;0,AP138=""),AND(D138&lt;&gt;0,AQ138=""),AND(D138&lt;&gt;0,AS138="")),"* No olvide digitar Migrantes y/o Pueblos Originarios, Niños, Niñas, Adolescentes y Jóvenes Mejor Niñez, Espacios Amigables (Digite CERO si no tiene). ","")</f>
        <v/>
      </c>
      <c r="CL138" s="3811">
        <f t="shared" ref="CL138:CL157" si="66">IF(SUM(G138:P138)&lt;AO138,1,0)</f>
        <v>1</v>
      </c>
      <c r="CM138" s="3811">
        <f t="shared" ref="CM138:CM157" si="67">IF(AP138&gt;$D138,1,0)</f>
        <v>1</v>
      </c>
      <c r="CN138" s="3811">
        <f t="shared" ref="CN138:CN157" si="68">IF(AQ138&gt;$D138,1,0)</f>
        <v>1</v>
      </c>
      <c r="CO138" s="3811">
        <f t="shared" ref="CO138:CO157" si="69">IF(AR138&gt;$D138,1,0)</f>
        <v>1</v>
      </c>
    </row>
    <row r="139" spans="1:95" s="3811" customFormat="1" ht="21.9" customHeight="1" x14ac:dyDescent="0.2">
      <c r="A139" s="7263">
        <v>32100720</v>
      </c>
      <c r="B139" s="9062"/>
      <c r="C139" s="4081" t="s">
        <v>2426</v>
      </c>
      <c r="D139" s="4082" t="s">
        <v>5369</v>
      </c>
      <c r="E139" s="4083" t="s">
        <v>5370</v>
      </c>
      <c r="F139" s="4084" t="s">
        <v>5371</v>
      </c>
      <c r="G139" s="4054" t="s">
        <v>5372</v>
      </c>
      <c r="H139" s="4056" t="s">
        <v>5373</v>
      </c>
      <c r="I139" s="4054" t="s">
        <v>5374</v>
      </c>
      <c r="J139" s="4056" t="s">
        <v>5375</v>
      </c>
      <c r="K139" s="4054" t="s">
        <v>5376</v>
      </c>
      <c r="L139" s="4056" t="s">
        <v>5377</v>
      </c>
      <c r="M139" s="4085" t="s">
        <v>5378</v>
      </c>
      <c r="N139" s="4055" t="s">
        <v>5379</v>
      </c>
      <c r="O139" s="4055" t="s">
        <v>5380</v>
      </c>
      <c r="P139" s="4086" t="s">
        <v>5381</v>
      </c>
      <c r="Q139" s="4054" t="s">
        <v>5382</v>
      </c>
      <c r="R139" s="4086" t="s">
        <v>5383</v>
      </c>
      <c r="S139" s="4085" t="s">
        <v>5384</v>
      </c>
      <c r="T139" s="4086" t="s">
        <v>5385</v>
      </c>
      <c r="U139" s="4085" t="s">
        <v>5386</v>
      </c>
      <c r="V139" s="4086" t="s">
        <v>5387</v>
      </c>
      <c r="W139" s="4054" t="s">
        <v>5388</v>
      </c>
      <c r="X139" s="4056" t="s">
        <v>5389</v>
      </c>
      <c r="Y139" s="4085" t="s">
        <v>5390</v>
      </c>
      <c r="Z139" s="4056" t="s">
        <v>5391</v>
      </c>
      <c r="AA139" s="4085" t="s">
        <v>5392</v>
      </c>
      <c r="AB139" s="4086" t="s">
        <v>5393</v>
      </c>
      <c r="AC139" s="4085" t="s">
        <v>5394</v>
      </c>
      <c r="AD139" s="4086" t="s">
        <v>5395</v>
      </c>
      <c r="AE139" s="4085" t="s">
        <v>5396</v>
      </c>
      <c r="AF139" s="4086" t="s">
        <v>5397</v>
      </c>
      <c r="AG139" s="4085" t="s">
        <v>5398</v>
      </c>
      <c r="AH139" s="4086" t="s">
        <v>5399</v>
      </c>
      <c r="AI139" s="4085" t="s">
        <v>5400</v>
      </c>
      <c r="AJ139" s="4086" t="s">
        <v>5401</v>
      </c>
      <c r="AK139" s="4085" t="s">
        <v>5402</v>
      </c>
      <c r="AL139" s="4086" t="s">
        <v>5403</v>
      </c>
      <c r="AM139" s="4085" t="s">
        <v>5404</v>
      </c>
      <c r="AN139" s="4086" t="s">
        <v>5405</v>
      </c>
      <c r="AO139" s="4086" t="s">
        <v>5406</v>
      </c>
      <c r="AP139" s="4086" t="s">
        <v>5407</v>
      </c>
      <c r="AQ139" s="4086" t="s">
        <v>5408</v>
      </c>
      <c r="AR139" s="4086" t="s">
        <v>5409</v>
      </c>
      <c r="AS139" s="4086" t="s">
        <v>5410</v>
      </c>
      <c r="AT139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39" s="3811" t="str">
        <f t="shared" si="64"/>
        <v xml:space="preserve"> *Las Acciones de NNA Mejor Niñez deben estar en el grupo etareo (hasta los 24 años)</v>
      </c>
      <c r="CC139" s="3811" t="str">
        <f t="shared" si="61"/>
        <v xml:space="preserve"> *.Las Acciones de Pueblos Originarios no pueden superar el total de Acciones </v>
      </c>
      <c r="CD139" s="3811" t="str">
        <f t="shared" si="62"/>
        <v xml:space="preserve"> *.Las Acciones de Migrantes no pueden superar el total de Acciones </v>
      </c>
      <c r="CE139" s="3811" t="str">
        <f t="shared" si="63"/>
        <v xml:space="preserve"> *.Las Acciones de Demencia no pueden superar el total de Acciones </v>
      </c>
      <c r="CH139" s="3811" t="str">
        <f t="shared" si="65"/>
        <v/>
      </c>
      <c r="CL139" s="3811">
        <f t="shared" si="66"/>
        <v>1</v>
      </c>
      <c r="CM139" s="3811">
        <f t="shared" si="67"/>
        <v>1</v>
      </c>
      <c r="CN139" s="3811">
        <f t="shared" si="68"/>
        <v>1</v>
      </c>
      <c r="CO139" s="3811">
        <f t="shared" si="69"/>
        <v>1</v>
      </c>
    </row>
    <row r="140" spans="1:95" s="3811" customFormat="1" ht="21.9" customHeight="1" x14ac:dyDescent="0.2">
      <c r="A140" s="7263">
        <v>32100730</v>
      </c>
      <c r="B140" s="9062"/>
      <c r="C140" s="4081" t="s">
        <v>2427</v>
      </c>
      <c r="D140" s="4082" t="s">
        <v>5369</v>
      </c>
      <c r="E140" s="4083" t="s">
        <v>5370</v>
      </c>
      <c r="F140" s="4084" t="s">
        <v>5371</v>
      </c>
      <c r="G140" s="4054" t="s">
        <v>5372</v>
      </c>
      <c r="H140" s="4056" t="s">
        <v>5373</v>
      </c>
      <c r="I140" s="4054" t="s">
        <v>5374</v>
      </c>
      <c r="J140" s="4056" t="s">
        <v>5375</v>
      </c>
      <c r="K140" s="4054" t="s">
        <v>5376</v>
      </c>
      <c r="L140" s="4056" t="s">
        <v>5377</v>
      </c>
      <c r="M140" s="4085" t="s">
        <v>5378</v>
      </c>
      <c r="N140" s="4055" t="s">
        <v>5379</v>
      </c>
      <c r="O140" s="4055" t="s">
        <v>5380</v>
      </c>
      <c r="P140" s="4086" t="s">
        <v>5381</v>
      </c>
      <c r="Q140" s="4054" t="s">
        <v>5382</v>
      </c>
      <c r="R140" s="4086" t="s">
        <v>5383</v>
      </c>
      <c r="S140" s="4085" t="s">
        <v>5384</v>
      </c>
      <c r="T140" s="4086" t="s">
        <v>5385</v>
      </c>
      <c r="U140" s="4085" t="s">
        <v>5386</v>
      </c>
      <c r="V140" s="4086" t="s">
        <v>5387</v>
      </c>
      <c r="W140" s="4054" t="s">
        <v>5388</v>
      </c>
      <c r="X140" s="4056" t="s">
        <v>5389</v>
      </c>
      <c r="Y140" s="4085" t="s">
        <v>5390</v>
      </c>
      <c r="Z140" s="4056" t="s">
        <v>5391</v>
      </c>
      <c r="AA140" s="4085" t="s">
        <v>5392</v>
      </c>
      <c r="AB140" s="4086" t="s">
        <v>5393</v>
      </c>
      <c r="AC140" s="4085" t="s">
        <v>5394</v>
      </c>
      <c r="AD140" s="4086" t="s">
        <v>5395</v>
      </c>
      <c r="AE140" s="4085" t="s">
        <v>5396</v>
      </c>
      <c r="AF140" s="4086" t="s">
        <v>5397</v>
      </c>
      <c r="AG140" s="4085" t="s">
        <v>5398</v>
      </c>
      <c r="AH140" s="4086" t="s">
        <v>5399</v>
      </c>
      <c r="AI140" s="4085" t="s">
        <v>5400</v>
      </c>
      <c r="AJ140" s="4086" t="s">
        <v>5401</v>
      </c>
      <c r="AK140" s="4085" t="s">
        <v>5402</v>
      </c>
      <c r="AL140" s="4086" t="s">
        <v>5403</v>
      </c>
      <c r="AM140" s="4085" t="s">
        <v>5404</v>
      </c>
      <c r="AN140" s="4086" t="s">
        <v>5405</v>
      </c>
      <c r="AO140" s="4086" t="s">
        <v>5406</v>
      </c>
      <c r="AP140" s="4086" t="s">
        <v>5407</v>
      </c>
      <c r="AQ140" s="4086" t="s">
        <v>5408</v>
      </c>
      <c r="AR140" s="4086" t="s">
        <v>5409</v>
      </c>
      <c r="AS140" s="4086" t="s">
        <v>5410</v>
      </c>
      <c r="AT140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0" s="3811" t="str">
        <f t="shared" si="64"/>
        <v xml:space="preserve"> *Las Acciones de NNA Mejor Niñez deben estar en el grupo etareo (hasta los 24 años)</v>
      </c>
      <c r="CC140" s="3811" t="str">
        <f t="shared" si="61"/>
        <v xml:space="preserve"> *.Las Acciones de Pueblos Originarios no pueden superar el total de Acciones </v>
      </c>
      <c r="CD140" s="3811" t="str">
        <f t="shared" si="62"/>
        <v xml:space="preserve"> *.Las Acciones de Migrantes no pueden superar el total de Acciones </v>
      </c>
      <c r="CE140" s="3811" t="str">
        <f t="shared" si="63"/>
        <v xml:space="preserve"> *.Las Acciones de Demencia no pueden superar el total de Acciones </v>
      </c>
      <c r="CH140" s="3811" t="str">
        <f t="shared" si="65"/>
        <v/>
      </c>
      <c r="CL140" s="3811">
        <f t="shared" si="66"/>
        <v>1</v>
      </c>
      <c r="CM140" s="3811">
        <f t="shared" si="67"/>
        <v>1</v>
      </c>
      <c r="CN140" s="3811">
        <f t="shared" si="68"/>
        <v>1</v>
      </c>
      <c r="CO140" s="3811">
        <f t="shared" si="69"/>
        <v>1</v>
      </c>
    </row>
    <row r="141" spans="1:95" s="3811" customFormat="1" ht="21.9" customHeight="1" x14ac:dyDescent="0.2">
      <c r="A141" s="7263">
        <v>32100740</v>
      </c>
      <c r="B141" s="9062"/>
      <c r="C141" s="4081" t="s">
        <v>2451</v>
      </c>
      <c r="D141" s="4082" t="s">
        <v>5369</v>
      </c>
      <c r="E141" s="4083" t="s">
        <v>5370</v>
      </c>
      <c r="F141" s="4084" t="s">
        <v>5371</v>
      </c>
      <c r="G141" s="4054" t="s">
        <v>5372</v>
      </c>
      <c r="H141" s="4056" t="s">
        <v>5373</v>
      </c>
      <c r="I141" s="4054" t="s">
        <v>5374</v>
      </c>
      <c r="J141" s="4056" t="s">
        <v>5375</v>
      </c>
      <c r="K141" s="4054" t="s">
        <v>5376</v>
      </c>
      <c r="L141" s="4056" t="s">
        <v>5377</v>
      </c>
      <c r="M141" s="4085" t="s">
        <v>5378</v>
      </c>
      <c r="N141" s="4055" t="s">
        <v>5379</v>
      </c>
      <c r="O141" s="4055" t="s">
        <v>5380</v>
      </c>
      <c r="P141" s="4086" t="s">
        <v>5381</v>
      </c>
      <c r="Q141" s="4054" t="s">
        <v>5382</v>
      </c>
      <c r="R141" s="4086" t="s">
        <v>5383</v>
      </c>
      <c r="S141" s="4085" t="s">
        <v>5384</v>
      </c>
      <c r="T141" s="4086" t="s">
        <v>5385</v>
      </c>
      <c r="U141" s="4085" t="s">
        <v>5386</v>
      </c>
      <c r="V141" s="4086" t="s">
        <v>5387</v>
      </c>
      <c r="W141" s="4054" t="s">
        <v>5388</v>
      </c>
      <c r="X141" s="4056" t="s">
        <v>5389</v>
      </c>
      <c r="Y141" s="4085" t="s">
        <v>5390</v>
      </c>
      <c r="Z141" s="4056" t="s">
        <v>5391</v>
      </c>
      <c r="AA141" s="4085" t="s">
        <v>5392</v>
      </c>
      <c r="AB141" s="4086" t="s">
        <v>5393</v>
      </c>
      <c r="AC141" s="4085" t="s">
        <v>5394</v>
      </c>
      <c r="AD141" s="4086" t="s">
        <v>5395</v>
      </c>
      <c r="AE141" s="4085" t="s">
        <v>5396</v>
      </c>
      <c r="AF141" s="4086" t="s">
        <v>5397</v>
      </c>
      <c r="AG141" s="4085" t="s">
        <v>5398</v>
      </c>
      <c r="AH141" s="4086" t="s">
        <v>5399</v>
      </c>
      <c r="AI141" s="4085" t="s">
        <v>5400</v>
      </c>
      <c r="AJ141" s="4086" t="s">
        <v>5401</v>
      </c>
      <c r="AK141" s="4085" t="s">
        <v>5402</v>
      </c>
      <c r="AL141" s="4086" t="s">
        <v>5403</v>
      </c>
      <c r="AM141" s="4085" t="s">
        <v>5404</v>
      </c>
      <c r="AN141" s="4086" t="s">
        <v>5405</v>
      </c>
      <c r="AO141" s="4086" t="s">
        <v>5406</v>
      </c>
      <c r="AP141" s="4086" t="s">
        <v>5407</v>
      </c>
      <c r="AQ141" s="4086" t="s">
        <v>5408</v>
      </c>
      <c r="AR141" s="4086" t="s">
        <v>5409</v>
      </c>
      <c r="AS141" s="4086" t="s">
        <v>5410</v>
      </c>
      <c r="AT141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1" s="3811" t="str">
        <f t="shared" si="64"/>
        <v xml:space="preserve"> *Las Acciones de NNA Mejor Niñez deben estar en el grupo etareo (hasta los 24 años)</v>
      </c>
      <c r="CC141" s="3811" t="str">
        <f t="shared" si="61"/>
        <v xml:space="preserve"> *.Las Acciones de Pueblos Originarios no pueden superar el total de Acciones </v>
      </c>
      <c r="CD141" s="3811" t="str">
        <f t="shared" si="62"/>
        <v xml:space="preserve"> *.Las Acciones de Migrantes no pueden superar el total de Acciones </v>
      </c>
      <c r="CE141" s="3811" t="str">
        <f t="shared" si="63"/>
        <v xml:space="preserve"> *.Las Acciones de Demencia no pueden superar el total de Acciones </v>
      </c>
      <c r="CH141" s="3811" t="str">
        <f t="shared" si="65"/>
        <v/>
      </c>
      <c r="CL141" s="3811">
        <f t="shared" si="66"/>
        <v>1</v>
      </c>
      <c r="CM141" s="3811">
        <f t="shared" si="67"/>
        <v>1</v>
      </c>
      <c r="CN141" s="3811">
        <f t="shared" si="68"/>
        <v>1</v>
      </c>
      <c r="CO141" s="3811">
        <f t="shared" si="69"/>
        <v>1</v>
      </c>
    </row>
    <row r="142" spans="1:95" s="3811" customFormat="1" ht="21.9" customHeight="1" x14ac:dyDescent="0.2">
      <c r="A142" s="7263">
        <v>32100750</v>
      </c>
      <c r="B142" s="9062"/>
      <c r="C142" s="4081" t="s">
        <v>2375</v>
      </c>
      <c r="D142" s="4082" t="s">
        <v>5369</v>
      </c>
      <c r="E142" s="4083" t="s">
        <v>5370</v>
      </c>
      <c r="F142" s="4084" t="s">
        <v>5371</v>
      </c>
      <c r="G142" s="4054" t="s">
        <v>5372</v>
      </c>
      <c r="H142" s="4056" t="s">
        <v>5373</v>
      </c>
      <c r="I142" s="4054" t="s">
        <v>5374</v>
      </c>
      <c r="J142" s="4056" t="s">
        <v>5375</v>
      </c>
      <c r="K142" s="4054" t="s">
        <v>5376</v>
      </c>
      <c r="L142" s="4056" t="s">
        <v>5377</v>
      </c>
      <c r="M142" s="4085" t="s">
        <v>5378</v>
      </c>
      <c r="N142" s="4055" t="s">
        <v>5379</v>
      </c>
      <c r="O142" s="4055" t="s">
        <v>5380</v>
      </c>
      <c r="P142" s="4086" t="s">
        <v>5381</v>
      </c>
      <c r="Q142" s="4054" t="s">
        <v>5382</v>
      </c>
      <c r="R142" s="4086" t="s">
        <v>5383</v>
      </c>
      <c r="S142" s="4085" t="s">
        <v>5384</v>
      </c>
      <c r="T142" s="4086" t="s">
        <v>5385</v>
      </c>
      <c r="U142" s="4085" t="s">
        <v>5386</v>
      </c>
      <c r="V142" s="4086" t="s">
        <v>5387</v>
      </c>
      <c r="W142" s="4054" t="s">
        <v>5388</v>
      </c>
      <c r="X142" s="4056" t="s">
        <v>5389</v>
      </c>
      <c r="Y142" s="4085" t="s">
        <v>5390</v>
      </c>
      <c r="Z142" s="4056" t="s">
        <v>5391</v>
      </c>
      <c r="AA142" s="4085" t="s">
        <v>5392</v>
      </c>
      <c r="AB142" s="4086" t="s">
        <v>5393</v>
      </c>
      <c r="AC142" s="4085" t="s">
        <v>5394</v>
      </c>
      <c r="AD142" s="4086" t="s">
        <v>5395</v>
      </c>
      <c r="AE142" s="4085" t="s">
        <v>5396</v>
      </c>
      <c r="AF142" s="4086" t="s">
        <v>5397</v>
      </c>
      <c r="AG142" s="4085" t="s">
        <v>5398</v>
      </c>
      <c r="AH142" s="4086" t="s">
        <v>5399</v>
      </c>
      <c r="AI142" s="4085" t="s">
        <v>5400</v>
      </c>
      <c r="AJ142" s="4086" t="s">
        <v>5401</v>
      </c>
      <c r="AK142" s="4085" t="s">
        <v>5402</v>
      </c>
      <c r="AL142" s="4086" t="s">
        <v>5403</v>
      </c>
      <c r="AM142" s="4085" t="s">
        <v>5404</v>
      </c>
      <c r="AN142" s="4086" t="s">
        <v>5405</v>
      </c>
      <c r="AO142" s="4086" t="s">
        <v>5406</v>
      </c>
      <c r="AP142" s="4086" t="s">
        <v>5407</v>
      </c>
      <c r="AQ142" s="4086" t="s">
        <v>5408</v>
      </c>
      <c r="AR142" s="4086" t="s">
        <v>5409</v>
      </c>
      <c r="AS142" s="4086" t="s">
        <v>5410</v>
      </c>
      <c r="AT142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2" s="3811" t="str">
        <f t="shared" si="64"/>
        <v xml:space="preserve"> *Las Acciones de NNA Mejor Niñez deben estar en el grupo etareo (hasta los 24 años)</v>
      </c>
      <c r="CC142" s="3811" t="str">
        <f t="shared" si="61"/>
        <v xml:space="preserve"> *.Las Acciones de Pueblos Originarios no pueden superar el total de Acciones </v>
      </c>
      <c r="CD142" s="3811" t="str">
        <f t="shared" si="62"/>
        <v xml:space="preserve"> *.Las Acciones de Migrantes no pueden superar el total de Acciones </v>
      </c>
      <c r="CE142" s="3811" t="str">
        <f t="shared" si="63"/>
        <v xml:space="preserve"> *.Las Acciones de Demencia no pueden superar el total de Acciones </v>
      </c>
      <c r="CH142" s="3811" t="str">
        <f t="shared" si="65"/>
        <v/>
      </c>
      <c r="CL142" s="3811">
        <f t="shared" si="66"/>
        <v>1</v>
      </c>
      <c r="CM142" s="3811">
        <f t="shared" si="67"/>
        <v>1</v>
      </c>
      <c r="CN142" s="3811">
        <f t="shared" si="68"/>
        <v>1</v>
      </c>
      <c r="CO142" s="3811">
        <f t="shared" si="69"/>
        <v>1</v>
      </c>
    </row>
    <row r="143" spans="1:95" s="3811" customFormat="1" ht="21.9" customHeight="1" x14ac:dyDescent="0.2">
      <c r="A143" s="7263">
        <v>32100760</v>
      </c>
      <c r="B143" s="9062"/>
      <c r="C143" s="4081" t="s">
        <v>394</v>
      </c>
      <c r="D143" s="4082" t="s">
        <v>5369</v>
      </c>
      <c r="E143" s="4083" t="s">
        <v>5370</v>
      </c>
      <c r="F143" s="4084" t="s">
        <v>5371</v>
      </c>
      <c r="G143" s="4054" t="s">
        <v>5372</v>
      </c>
      <c r="H143" s="4056" t="s">
        <v>5373</v>
      </c>
      <c r="I143" s="4054" t="s">
        <v>5374</v>
      </c>
      <c r="J143" s="4056" t="s">
        <v>5375</v>
      </c>
      <c r="K143" s="4054" t="s">
        <v>5376</v>
      </c>
      <c r="L143" s="4056" t="s">
        <v>5377</v>
      </c>
      <c r="M143" s="4085" t="s">
        <v>5378</v>
      </c>
      <c r="N143" s="4055" t="s">
        <v>5379</v>
      </c>
      <c r="O143" s="4055" t="s">
        <v>5380</v>
      </c>
      <c r="P143" s="4086" t="s">
        <v>5381</v>
      </c>
      <c r="Q143" s="4054" t="s">
        <v>5382</v>
      </c>
      <c r="R143" s="4086" t="s">
        <v>5383</v>
      </c>
      <c r="S143" s="4085" t="s">
        <v>5384</v>
      </c>
      <c r="T143" s="4086" t="s">
        <v>5385</v>
      </c>
      <c r="U143" s="4085" t="s">
        <v>5386</v>
      </c>
      <c r="V143" s="4086" t="s">
        <v>5387</v>
      </c>
      <c r="W143" s="4054" t="s">
        <v>5388</v>
      </c>
      <c r="X143" s="4056" t="s">
        <v>5389</v>
      </c>
      <c r="Y143" s="4085" t="s">
        <v>5390</v>
      </c>
      <c r="Z143" s="4056" t="s">
        <v>5391</v>
      </c>
      <c r="AA143" s="4085" t="s">
        <v>5392</v>
      </c>
      <c r="AB143" s="4086" t="s">
        <v>5393</v>
      </c>
      <c r="AC143" s="4085" t="s">
        <v>5394</v>
      </c>
      <c r="AD143" s="4086" t="s">
        <v>5395</v>
      </c>
      <c r="AE143" s="4085" t="s">
        <v>5396</v>
      </c>
      <c r="AF143" s="4086" t="s">
        <v>5397</v>
      </c>
      <c r="AG143" s="4085" t="s">
        <v>5398</v>
      </c>
      <c r="AH143" s="4086" t="s">
        <v>5399</v>
      </c>
      <c r="AI143" s="4085" t="s">
        <v>5400</v>
      </c>
      <c r="AJ143" s="4086" t="s">
        <v>5401</v>
      </c>
      <c r="AK143" s="4085" t="s">
        <v>5402</v>
      </c>
      <c r="AL143" s="4086" t="s">
        <v>5403</v>
      </c>
      <c r="AM143" s="4085" t="s">
        <v>5404</v>
      </c>
      <c r="AN143" s="4086" t="s">
        <v>5405</v>
      </c>
      <c r="AO143" s="4086" t="s">
        <v>5406</v>
      </c>
      <c r="AP143" s="4086" t="s">
        <v>5407</v>
      </c>
      <c r="AQ143" s="4086" t="s">
        <v>5408</v>
      </c>
      <c r="AR143" s="4086" t="s">
        <v>5409</v>
      </c>
      <c r="AS143" s="4086" t="s">
        <v>5410</v>
      </c>
      <c r="AT143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3" s="3811" t="str">
        <f t="shared" si="64"/>
        <v xml:space="preserve"> *Las Acciones de NNA Mejor Niñez deben estar en el grupo etareo (hasta los 24 años)</v>
      </c>
      <c r="CC143" s="3811" t="str">
        <f t="shared" si="61"/>
        <v xml:space="preserve"> *.Las Acciones de Pueblos Originarios no pueden superar el total de Acciones </v>
      </c>
      <c r="CD143" s="3811" t="str">
        <f t="shared" si="62"/>
        <v xml:space="preserve"> *.Las Acciones de Migrantes no pueden superar el total de Acciones </v>
      </c>
      <c r="CE143" s="3811" t="str">
        <f t="shared" si="63"/>
        <v xml:space="preserve"> *.Las Acciones de Demencia no pueden superar el total de Acciones </v>
      </c>
      <c r="CH143" s="3811" t="str">
        <f t="shared" si="65"/>
        <v/>
      </c>
      <c r="CL143" s="3811">
        <f t="shared" si="66"/>
        <v>1</v>
      </c>
      <c r="CM143" s="3811">
        <f t="shared" si="67"/>
        <v>1</v>
      </c>
      <c r="CN143" s="3811">
        <f t="shared" si="68"/>
        <v>1</v>
      </c>
      <c r="CO143" s="3811">
        <f t="shared" si="69"/>
        <v>1</v>
      </c>
    </row>
    <row r="144" spans="1:95" s="3811" customFormat="1" ht="26.25" customHeight="1" x14ac:dyDescent="0.2">
      <c r="A144" s="7263">
        <v>32100770</v>
      </c>
      <c r="B144" s="9062"/>
      <c r="C144" s="4081" t="s">
        <v>2613</v>
      </c>
      <c r="D144" s="4082" t="s">
        <v>5369</v>
      </c>
      <c r="E144" s="4083" t="s">
        <v>5370</v>
      </c>
      <c r="F144" s="4084" t="s">
        <v>5371</v>
      </c>
      <c r="G144" s="4054" t="s">
        <v>5372</v>
      </c>
      <c r="H144" s="4056" t="s">
        <v>5373</v>
      </c>
      <c r="I144" s="4054" t="s">
        <v>5374</v>
      </c>
      <c r="J144" s="4056" t="s">
        <v>5375</v>
      </c>
      <c r="K144" s="4054" t="s">
        <v>5376</v>
      </c>
      <c r="L144" s="4056" t="s">
        <v>5377</v>
      </c>
      <c r="M144" s="4085" t="s">
        <v>5378</v>
      </c>
      <c r="N144" s="4055" t="s">
        <v>5379</v>
      </c>
      <c r="O144" s="4055" t="s">
        <v>5380</v>
      </c>
      <c r="P144" s="4086" t="s">
        <v>5381</v>
      </c>
      <c r="Q144" s="4054" t="s">
        <v>5382</v>
      </c>
      <c r="R144" s="4086" t="s">
        <v>5383</v>
      </c>
      <c r="S144" s="4085" t="s">
        <v>5384</v>
      </c>
      <c r="T144" s="4086" t="s">
        <v>5385</v>
      </c>
      <c r="U144" s="4085" t="s">
        <v>5386</v>
      </c>
      <c r="V144" s="4086" t="s">
        <v>5387</v>
      </c>
      <c r="W144" s="4054" t="s">
        <v>5388</v>
      </c>
      <c r="X144" s="4056" t="s">
        <v>5389</v>
      </c>
      <c r="Y144" s="4085" t="s">
        <v>5390</v>
      </c>
      <c r="Z144" s="4056" t="s">
        <v>5391</v>
      </c>
      <c r="AA144" s="4085" t="s">
        <v>5392</v>
      </c>
      <c r="AB144" s="4086" t="s">
        <v>5393</v>
      </c>
      <c r="AC144" s="4085" t="s">
        <v>5394</v>
      </c>
      <c r="AD144" s="4086" t="s">
        <v>5395</v>
      </c>
      <c r="AE144" s="4085" t="s">
        <v>5396</v>
      </c>
      <c r="AF144" s="4086" t="s">
        <v>5397</v>
      </c>
      <c r="AG144" s="4085" t="s">
        <v>5398</v>
      </c>
      <c r="AH144" s="4086" t="s">
        <v>5399</v>
      </c>
      <c r="AI144" s="4085" t="s">
        <v>5400</v>
      </c>
      <c r="AJ144" s="4086" t="s">
        <v>5401</v>
      </c>
      <c r="AK144" s="4085" t="s">
        <v>5402</v>
      </c>
      <c r="AL144" s="4086" t="s">
        <v>5403</v>
      </c>
      <c r="AM144" s="4085" t="s">
        <v>5404</v>
      </c>
      <c r="AN144" s="4086" t="s">
        <v>5405</v>
      </c>
      <c r="AO144" s="4086" t="s">
        <v>5406</v>
      </c>
      <c r="AP144" s="4086" t="s">
        <v>5407</v>
      </c>
      <c r="AQ144" s="4086" t="s">
        <v>5408</v>
      </c>
      <c r="AR144" s="4086" t="s">
        <v>5409</v>
      </c>
      <c r="AS144" s="4086" t="s">
        <v>5410</v>
      </c>
      <c r="AT144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4" s="3811" t="str">
        <f t="shared" si="64"/>
        <v xml:space="preserve"> *Las Acciones de NNA Mejor Niñez deben estar en el grupo etareo (hasta los 24 años)</v>
      </c>
      <c r="CC144" s="3811" t="str">
        <f t="shared" si="61"/>
        <v xml:space="preserve"> *.Las Acciones de Pueblos Originarios no pueden superar el total de Acciones </v>
      </c>
      <c r="CD144" s="3811" t="str">
        <f t="shared" si="62"/>
        <v xml:space="preserve"> *.Las Acciones de Migrantes no pueden superar el total de Acciones </v>
      </c>
      <c r="CE144" s="3811" t="str">
        <f t="shared" si="63"/>
        <v xml:space="preserve"> *.Las Acciones de Demencia no pueden superar el total de Acciones </v>
      </c>
      <c r="CH144" s="3811" t="str">
        <f t="shared" si="65"/>
        <v/>
      </c>
      <c r="CL144" s="3811">
        <f t="shared" si="66"/>
        <v>1</v>
      </c>
      <c r="CM144" s="3811">
        <f t="shared" si="67"/>
        <v>1</v>
      </c>
      <c r="CN144" s="3811">
        <f t="shared" si="68"/>
        <v>1</v>
      </c>
      <c r="CO144" s="3811">
        <f t="shared" si="69"/>
        <v>1</v>
      </c>
    </row>
    <row r="145" spans="1:93" s="3811" customFormat="1" ht="26.25" customHeight="1" x14ac:dyDescent="0.2">
      <c r="A145" s="7263">
        <v>32100780</v>
      </c>
      <c r="B145" s="9062"/>
      <c r="C145" s="4081" t="s">
        <v>2428</v>
      </c>
      <c r="D145" s="4082" t="s">
        <v>5369</v>
      </c>
      <c r="E145" s="4083" t="s">
        <v>5370</v>
      </c>
      <c r="F145" s="4084" t="s">
        <v>5371</v>
      </c>
      <c r="G145" s="4054" t="s">
        <v>5372</v>
      </c>
      <c r="H145" s="4056" t="s">
        <v>5373</v>
      </c>
      <c r="I145" s="4054" t="s">
        <v>5374</v>
      </c>
      <c r="J145" s="4056" t="s">
        <v>5375</v>
      </c>
      <c r="K145" s="4054" t="s">
        <v>5376</v>
      </c>
      <c r="L145" s="4056" t="s">
        <v>5377</v>
      </c>
      <c r="M145" s="4085" t="s">
        <v>5378</v>
      </c>
      <c r="N145" s="4055" t="s">
        <v>5379</v>
      </c>
      <c r="O145" s="4055" t="s">
        <v>5380</v>
      </c>
      <c r="P145" s="4086" t="s">
        <v>5381</v>
      </c>
      <c r="Q145" s="4054" t="s">
        <v>5382</v>
      </c>
      <c r="R145" s="4086" t="s">
        <v>5383</v>
      </c>
      <c r="S145" s="4085" t="s">
        <v>5384</v>
      </c>
      <c r="T145" s="4086" t="s">
        <v>5385</v>
      </c>
      <c r="U145" s="4085" t="s">
        <v>5386</v>
      </c>
      <c r="V145" s="4086" t="s">
        <v>5387</v>
      </c>
      <c r="W145" s="4054" t="s">
        <v>5388</v>
      </c>
      <c r="X145" s="4056" t="s">
        <v>5389</v>
      </c>
      <c r="Y145" s="4085" t="s">
        <v>5390</v>
      </c>
      <c r="Z145" s="4056" t="s">
        <v>5391</v>
      </c>
      <c r="AA145" s="4085" t="s">
        <v>5392</v>
      </c>
      <c r="AB145" s="4086" t="s">
        <v>5393</v>
      </c>
      <c r="AC145" s="4085" t="s">
        <v>5394</v>
      </c>
      <c r="AD145" s="4086" t="s">
        <v>5395</v>
      </c>
      <c r="AE145" s="4085" t="s">
        <v>5396</v>
      </c>
      <c r="AF145" s="4086" t="s">
        <v>5397</v>
      </c>
      <c r="AG145" s="4085" t="s">
        <v>5398</v>
      </c>
      <c r="AH145" s="4086" t="s">
        <v>5399</v>
      </c>
      <c r="AI145" s="4085" t="s">
        <v>5400</v>
      </c>
      <c r="AJ145" s="4086" t="s">
        <v>5401</v>
      </c>
      <c r="AK145" s="4085" t="s">
        <v>5402</v>
      </c>
      <c r="AL145" s="4086" t="s">
        <v>5403</v>
      </c>
      <c r="AM145" s="4085" t="s">
        <v>5404</v>
      </c>
      <c r="AN145" s="4086" t="s">
        <v>5405</v>
      </c>
      <c r="AO145" s="4086" t="s">
        <v>5406</v>
      </c>
      <c r="AP145" s="4086" t="s">
        <v>5407</v>
      </c>
      <c r="AQ145" s="4086" t="s">
        <v>5408</v>
      </c>
      <c r="AR145" s="4086" t="s">
        <v>5409</v>
      </c>
      <c r="AS145" s="4086" t="s">
        <v>5410</v>
      </c>
      <c r="AT145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5" s="3811" t="str">
        <f t="shared" si="64"/>
        <v xml:space="preserve"> *Las Acciones de NNA Mejor Niñez deben estar en el grupo etareo (hasta los 24 años)</v>
      </c>
      <c r="CC145" s="3811" t="str">
        <f t="shared" si="61"/>
        <v xml:space="preserve"> *.Las Acciones de Pueblos Originarios no pueden superar el total de Acciones </v>
      </c>
      <c r="CD145" s="3811" t="str">
        <f t="shared" si="62"/>
        <v xml:space="preserve"> *.Las Acciones de Migrantes no pueden superar el total de Acciones </v>
      </c>
      <c r="CE145" s="3811" t="str">
        <f t="shared" si="63"/>
        <v xml:space="preserve"> *.Las Acciones de Demencia no pueden superar el total de Acciones </v>
      </c>
      <c r="CH145" s="3811" t="str">
        <f t="shared" si="65"/>
        <v/>
      </c>
      <c r="CL145" s="3811">
        <f t="shared" si="66"/>
        <v>1</v>
      </c>
      <c r="CM145" s="3811">
        <f t="shared" si="67"/>
        <v>1</v>
      </c>
      <c r="CN145" s="3811">
        <f t="shared" si="68"/>
        <v>1</v>
      </c>
      <c r="CO145" s="3811">
        <f t="shared" si="69"/>
        <v>1</v>
      </c>
    </row>
    <row r="146" spans="1:93" s="3811" customFormat="1" ht="26.25" customHeight="1" x14ac:dyDescent="0.2">
      <c r="A146" s="7263">
        <v>32100790</v>
      </c>
      <c r="B146" s="9062"/>
      <c r="C146" s="4087" t="s">
        <v>2429</v>
      </c>
      <c r="D146" s="4088" t="s">
        <v>5369</v>
      </c>
      <c r="E146" s="4089" t="s">
        <v>5370</v>
      </c>
      <c r="F146" s="4090" t="s">
        <v>5371</v>
      </c>
      <c r="G146" s="4091" t="s">
        <v>5372</v>
      </c>
      <c r="H146" s="4092" t="s">
        <v>5373</v>
      </c>
      <c r="I146" s="4091" t="s">
        <v>5374</v>
      </c>
      <c r="J146" s="4092" t="s">
        <v>5375</v>
      </c>
      <c r="K146" s="4091" t="s">
        <v>5376</v>
      </c>
      <c r="L146" s="4092" t="s">
        <v>5377</v>
      </c>
      <c r="M146" s="4093" t="s">
        <v>5378</v>
      </c>
      <c r="N146" s="4094" t="s">
        <v>5379</v>
      </c>
      <c r="O146" s="4094" t="s">
        <v>5380</v>
      </c>
      <c r="P146" s="4095" t="s">
        <v>5381</v>
      </c>
      <c r="Q146" s="4091" t="s">
        <v>5382</v>
      </c>
      <c r="R146" s="4095" t="s">
        <v>5383</v>
      </c>
      <c r="S146" s="4093" t="s">
        <v>5384</v>
      </c>
      <c r="T146" s="4095" t="s">
        <v>5385</v>
      </c>
      <c r="U146" s="4093" t="s">
        <v>5386</v>
      </c>
      <c r="V146" s="4095" t="s">
        <v>5387</v>
      </c>
      <c r="W146" s="4091" t="s">
        <v>5388</v>
      </c>
      <c r="X146" s="4092" t="s">
        <v>5389</v>
      </c>
      <c r="Y146" s="4093" t="s">
        <v>5390</v>
      </c>
      <c r="Z146" s="4092" t="s">
        <v>5391</v>
      </c>
      <c r="AA146" s="4093" t="s">
        <v>5392</v>
      </c>
      <c r="AB146" s="4095" t="s">
        <v>5393</v>
      </c>
      <c r="AC146" s="4093" t="s">
        <v>5394</v>
      </c>
      <c r="AD146" s="4095" t="s">
        <v>5395</v>
      </c>
      <c r="AE146" s="4093" t="s">
        <v>5396</v>
      </c>
      <c r="AF146" s="4095" t="s">
        <v>5397</v>
      </c>
      <c r="AG146" s="4093" t="s">
        <v>5398</v>
      </c>
      <c r="AH146" s="4095" t="s">
        <v>5399</v>
      </c>
      <c r="AI146" s="4093" t="s">
        <v>5400</v>
      </c>
      <c r="AJ146" s="4095" t="s">
        <v>5401</v>
      </c>
      <c r="AK146" s="4093" t="s">
        <v>5402</v>
      </c>
      <c r="AL146" s="4095" t="s">
        <v>5403</v>
      </c>
      <c r="AM146" s="4093" t="s">
        <v>5404</v>
      </c>
      <c r="AN146" s="4095" t="s">
        <v>5405</v>
      </c>
      <c r="AO146" s="4095" t="s">
        <v>5406</v>
      </c>
      <c r="AP146" s="4095" t="s">
        <v>5407</v>
      </c>
      <c r="AQ146" s="4095" t="s">
        <v>5408</v>
      </c>
      <c r="AR146" s="4095" t="s">
        <v>5409</v>
      </c>
      <c r="AS146" s="4095" t="s">
        <v>5410</v>
      </c>
      <c r="AT146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6" s="3811" t="str">
        <f t="shared" si="64"/>
        <v xml:space="preserve"> *Las Acciones de NNA Mejor Niñez deben estar en el grupo etareo (hasta los 24 años)</v>
      </c>
      <c r="CC146" s="3811" t="str">
        <f t="shared" si="61"/>
        <v xml:space="preserve"> *.Las Acciones de Pueblos Originarios no pueden superar el total de Acciones </v>
      </c>
      <c r="CD146" s="3811" t="str">
        <f t="shared" si="62"/>
        <v xml:space="preserve"> *.Las Acciones de Migrantes no pueden superar el total de Acciones </v>
      </c>
      <c r="CE146" s="3811" t="str">
        <f t="shared" si="63"/>
        <v xml:space="preserve"> *.Las Acciones de Demencia no pueden superar el total de Acciones </v>
      </c>
      <c r="CH146" s="3811" t="str">
        <f t="shared" si="65"/>
        <v/>
      </c>
      <c r="CL146" s="3811">
        <f t="shared" si="66"/>
        <v>1</v>
      </c>
      <c r="CM146" s="3811">
        <f t="shared" si="67"/>
        <v>1</v>
      </c>
      <c r="CN146" s="3811">
        <f t="shared" si="68"/>
        <v>1</v>
      </c>
      <c r="CO146" s="3811">
        <f t="shared" si="69"/>
        <v>1</v>
      </c>
    </row>
    <row r="147" spans="1:93" s="3811" customFormat="1" ht="21" customHeight="1" thickBot="1" x14ac:dyDescent="0.25">
      <c r="A147" s="7800"/>
      <c r="B147" s="9282"/>
      <c r="C147" s="4096" t="s">
        <v>24</v>
      </c>
      <c r="D147" s="4097">
        <f t="shared" ref="D147:D158" si="70">SUM(E147:F147)</f>
        <v>0</v>
      </c>
      <c r="E147" s="4098">
        <f t="shared" ref="E147:AR147" si="71">SUM(E137:E146)</f>
        <v>0</v>
      </c>
      <c r="F147" s="4099">
        <f t="shared" si="71"/>
        <v>0</v>
      </c>
      <c r="G147" s="4100">
        <f t="shared" si="71"/>
        <v>0</v>
      </c>
      <c r="H147" s="4101">
        <f t="shared" si="71"/>
        <v>0</v>
      </c>
      <c r="I147" s="4100">
        <f t="shared" si="71"/>
        <v>0</v>
      </c>
      <c r="J147" s="4101">
        <f t="shared" si="71"/>
        <v>0</v>
      </c>
      <c r="K147" s="4100">
        <f t="shared" si="71"/>
        <v>0</v>
      </c>
      <c r="L147" s="4101">
        <f t="shared" si="71"/>
        <v>0</v>
      </c>
      <c r="M147" s="4102">
        <f t="shared" si="71"/>
        <v>0</v>
      </c>
      <c r="N147" s="4103">
        <f t="shared" si="71"/>
        <v>0</v>
      </c>
      <c r="O147" s="4103">
        <f t="shared" si="71"/>
        <v>0</v>
      </c>
      <c r="P147" s="4104">
        <f t="shared" si="71"/>
        <v>0</v>
      </c>
      <c r="Q147" s="4100">
        <f t="shared" si="71"/>
        <v>0</v>
      </c>
      <c r="R147" s="4104">
        <f t="shared" si="71"/>
        <v>0</v>
      </c>
      <c r="S147" s="4105">
        <f t="shared" si="71"/>
        <v>0</v>
      </c>
      <c r="T147" s="4104">
        <f t="shared" si="71"/>
        <v>0</v>
      </c>
      <c r="U147" s="4100">
        <f t="shared" si="71"/>
        <v>0</v>
      </c>
      <c r="V147" s="4101">
        <f t="shared" si="71"/>
        <v>0</v>
      </c>
      <c r="W147" s="4103">
        <f t="shared" si="71"/>
        <v>0</v>
      </c>
      <c r="X147" s="4104">
        <f t="shared" si="71"/>
        <v>0</v>
      </c>
      <c r="Y147" s="4102">
        <f t="shared" si="71"/>
        <v>0</v>
      </c>
      <c r="Z147" s="4101">
        <f t="shared" si="71"/>
        <v>0</v>
      </c>
      <c r="AA147" s="4103">
        <f t="shared" si="71"/>
        <v>0</v>
      </c>
      <c r="AB147" s="4101">
        <f t="shared" si="71"/>
        <v>0</v>
      </c>
      <c r="AC147" s="4103">
        <f t="shared" si="71"/>
        <v>0</v>
      </c>
      <c r="AD147" s="4101">
        <f t="shared" si="71"/>
        <v>0</v>
      </c>
      <c r="AE147" s="4103">
        <f t="shared" si="71"/>
        <v>0</v>
      </c>
      <c r="AF147" s="4101">
        <f t="shared" si="71"/>
        <v>0</v>
      </c>
      <c r="AG147" s="4103">
        <f t="shared" si="71"/>
        <v>0</v>
      </c>
      <c r="AH147" s="4101">
        <f t="shared" si="71"/>
        <v>0</v>
      </c>
      <c r="AI147" s="4103">
        <f t="shared" si="71"/>
        <v>0</v>
      </c>
      <c r="AJ147" s="4101">
        <f t="shared" si="71"/>
        <v>0</v>
      </c>
      <c r="AK147" s="4103">
        <f t="shared" si="71"/>
        <v>0</v>
      </c>
      <c r="AL147" s="4101">
        <f t="shared" si="71"/>
        <v>0</v>
      </c>
      <c r="AM147" s="4103">
        <f t="shared" si="71"/>
        <v>0</v>
      </c>
      <c r="AN147" s="4101">
        <f t="shared" si="71"/>
        <v>0</v>
      </c>
      <c r="AO147" s="4101">
        <f t="shared" si="71"/>
        <v>0</v>
      </c>
      <c r="AP147" s="4101">
        <f t="shared" si="71"/>
        <v>0</v>
      </c>
      <c r="AQ147" s="4101">
        <f t="shared" si="71"/>
        <v>0</v>
      </c>
      <c r="AR147" s="4101">
        <f t="shared" si="71"/>
        <v>0</v>
      </c>
      <c r="AS147" s="4101">
        <f>SUM(AS137:AS146)</f>
        <v>0</v>
      </c>
    </row>
    <row r="148" spans="1:93" s="3811" customFormat="1" ht="30" customHeight="1" thickTop="1" x14ac:dyDescent="0.2">
      <c r="A148" s="7263">
        <v>32100810</v>
      </c>
      <c r="B148" s="9062" t="s">
        <v>2584</v>
      </c>
      <c r="C148" s="4072" t="s">
        <v>2446</v>
      </c>
      <c r="D148" s="4106" t="s">
        <v>5369</v>
      </c>
      <c r="E148" s="4107" t="s">
        <v>5370</v>
      </c>
      <c r="F148" s="4108" t="s">
        <v>5371</v>
      </c>
      <c r="G148" s="4109" t="s">
        <v>5372</v>
      </c>
      <c r="H148" s="4110" t="s">
        <v>5373</v>
      </c>
      <c r="I148" s="4109" t="s">
        <v>5374</v>
      </c>
      <c r="J148" s="4110" t="s">
        <v>5375</v>
      </c>
      <c r="K148" s="4109" t="s">
        <v>5376</v>
      </c>
      <c r="L148" s="4110" t="s">
        <v>5377</v>
      </c>
      <c r="M148" s="4111" t="s">
        <v>5378</v>
      </c>
      <c r="N148" s="4112" t="s">
        <v>5379</v>
      </c>
      <c r="O148" s="4112" t="s">
        <v>5380</v>
      </c>
      <c r="P148" s="4113" t="s">
        <v>5381</v>
      </c>
      <c r="Q148" s="4109" t="s">
        <v>5382</v>
      </c>
      <c r="R148" s="4113" t="s">
        <v>5383</v>
      </c>
      <c r="S148" s="4111" t="s">
        <v>5384</v>
      </c>
      <c r="T148" s="4113" t="s">
        <v>5385</v>
      </c>
      <c r="U148" s="4111" t="s">
        <v>5386</v>
      </c>
      <c r="V148" s="4113" t="s">
        <v>5387</v>
      </c>
      <c r="W148" s="4109" t="s">
        <v>5388</v>
      </c>
      <c r="X148" s="4110" t="s">
        <v>5389</v>
      </c>
      <c r="Y148" s="4111" t="s">
        <v>5390</v>
      </c>
      <c r="Z148" s="4110" t="s">
        <v>5391</v>
      </c>
      <c r="AA148" s="4111" t="s">
        <v>5392</v>
      </c>
      <c r="AB148" s="4113" t="s">
        <v>5393</v>
      </c>
      <c r="AC148" s="4111" t="s">
        <v>5394</v>
      </c>
      <c r="AD148" s="4113" t="s">
        <v>5395</v>
      </c>
      <c r="AE148" s="4111" t="s">
        <v>5396</v>
      </c>
      <c r="AF148" s="4113" t="s">
        <v>5397</v>
      </c>
      <c r="AG148" s="4111" t="s">
        <v>5398</v>
      </c>
      <c r="AH148" s="4113" t="s">
        <v>5399</v>
      </c>
      <c r="AI148" s="4111" t="s">
        <v>5400</v>
      </c>
      <c r="AJ148" s="4113" t="s">
        <v>5401</v>
      </c>
      <c r="AK148" s="4111" t="s">
        <v>5402</v>
      </c>
      <c r="AL148" s="4113" t="s">
        <v>5403</v>
      </c>
      <c r="AM148" s="4111" t="s">
        <v>5404</v>
      </c>
      <c r="AN148" s="4113" t="s">
        <v>5405</v>
      </c>
      <c r="AO148" s="4111" t="s">
        <v>5406</v>
      </c>
      <c r="AP148" s="4113" t="s">
        <v>5407</v>
      </c>
      <c r="AQ148" s="4111" t="s">
        <v>5408</v>
      </c>
      <c r="AR148" s="4113" t="s">
        <v>5409</v>
      </c>
      <c r="AS148" s="4111" t="s">
        <v>5410</v>
      </c>
      <c r="AT148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8" s="3811" t="str">
        <f t="shared" si="64"/>
        <v xml:space="preserve"> *Las Acciones de NNA Mejor Niñez deben estar en el grupo etareo (hasta los 24 años)</v>
      </c>
      <c r="CC148" s="3811" t="str">
        <f t="shared" si="61"/>
        <v xml:space="preserve"> *.Las Acciones de Pueblos Originarios no pueden superar el total de Acciones </v>
      </c>
      <c r="CD148" s="3811" t="str">
        <f t="shared" si="62"/>
        <v xml:space="preserve"> *.Las Acciones de Migrantes no pueden superar el total de Acciones </v>
      </c>
      <c r="CE148" s="3811" t="str">
        <f t="shared" si="63"/>
        <v xml:space="preserve"> *.Las Acciones de Demencia no pueden superar el total de Acciones </v>
      </c>
      <c r="CH148" s="3811" t="str">
        <f t="shared" si="65"/>
        <v/>
      </c>
      <c r="CL148" s="3811">
        <f t="shared" si="66"/>
        <v>1</v>
      </c>
      <c r="CM148" s="3811">
        <f t="shared" si="67"/>
        <v>1</v>
      </c>
      <c r="CN148" s="3811">
        <f t="shared" si="68"/>
        <v>1</v>
      </c>
      <c r="CO148" s="3811">
        <f t="shared" si="69"/>
        <v>1</v>
      </c>
    </row>
    <row r="149" spans="1:93" s="3811" customFormat="1" ht="19.95" customHeight="1" x14ac:dyDescent="0.2">
      <c r="A149" s="7263">
        <v>32100820</v>
      </c>
      <c r="B149" s="9062"/>
      <c r="C149" s="4081" t="s">
        <v>2425</v>
      </c>
      <c r="D149" s="4082" t="s">
        <v>5369</v>
      </c>
      <c r="E149" s="4083" t="s">
        <v>5370</v>
      </c>
      <c r="F149" s="4084" t="s">
        <v>5371</v>
      </c>
      <c r="G149" s="4054" t="s">
        <v>5372</v>
      </c>
      <c r="H149" s="4056" t="s">
        <v>5373</v>
      </c>
      <c r="I149" s="4054" t="s">
        <v>5374</v>
      </c>
      <c r="J149" s="4056" t="s">
        <v>5375</v>
      </c>
      <c r="K149" s="4054" t="s">
        <v>5376</v>
      </c>
      <c r="L149" s="4056" t="s">
        <v>5377</v>
      </c>
      <c r="M149" s="4085" t="s">
        <v>5378</v>
      </c>
      <c r="N149" s="4055" t="s">
        <v>5379</v>
      </c>
      <c r="O149" s="4055" t="s">
        <v>5380</v>
      </c>
      <c r="P149" s="4086" t="s">
        <v>5381</v>
      </c>
      <c r="Q149" s="4054" t="s">
        <v>5382</v>
      </c>
      <c r="R149" s="4086" t="s">
        <v>5383</v>
      </c>
      <c r="S149" s="4085" t="s">
        <v>5384</v>
      </c>
      <c r="T149" s="4086" t="s">
        <v>5385</v>
      </c>
      <c r="U149" s="4085" t="s">
        <v>5386</v>
      </c>
      <c r="V149" s="4086" t="s">
        <v>5387</v>
      </c>
      <c r="W149" s="4054" t="s">
        <v>5388</v>
      </c>
      <c r="X149" s="4056" t="s">
        <v>5389</v>
      </c>
      <c r="Y149" s="4085" t="s">
        <v>5390</v>
      </c>
      <c r="Z149" s="4056" t="s">
        <v>5391</v>
      </c>
      <c r="AA149" s="4085" t="s">
        <v>5392</v>
      </c>
      <c r="AB149" s="4086" t="s">
        <v>5393</v>
      </c>
      <c r="AC149" s="4085" t="s">
        <v>5394</v>
      </c>
      <c r="AD149" s="4086" t="s">
        <v>5395</v>
      </c>
      <c r="AE149" s="4085" t="s">
        <v>5396</v>
      </c>
      <c r="AF149" s="4086" t="s">
        <v>5397</v>
      </c>
      <c r="AG149" s="4085" t="s">
        <v>5398</v>
      </c>
      <c r="AH149" s="4086" t="s">
        <v>5399</v>
      </c>
      <c r="AI149" s="4085" t="s">
        <v>5400</v>
      </c>
      <c r="AJ149" s="4086" t="s">
        <v>5401</v>
      </c>
      <c r="AK149" s="4085" t="s">
        <v>5402</v>
      </c>
      <c r="AL149" s="4086" t="s">
        <v>5403</v>
      </c>
      <c r="AM149" s="4085" t="s">
        <v>5404</v>
      </c>
      <c r="AN149" s="4086" t="s">
        <v>5405</v>
      </c>
      <c r="AO149" s="4085" t="s">
        <v>5406</v>
      </c>
      <c r="AP149" s="4086" t="s">
        <v>5407</v>
      </c>
      <c r="AQ149" s="4085" t="s">
        <v>5408</v>
      </c>
      <c r="AR149" s="4086" t="s">
        <v>5409</v>
      </c>
      <c r="AS149" s="4085" t="s">
        <v>5410</v>
      </c>
      <c r="AT149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49" s="3811" t="str">
        <f t="shared" si="64"/>
        <v xml:space="preserve"> *Las Acciones de NNA Mejor Niñez deben estar en el grupo etareo (hasta los 24 años)</v>
      </c>
      <c r="CC149" s="3811" t="str">
        <f t="shared" si="61"/>
        <v xml:space="preserve"> *.Las Acciones de Pueblos Originarios no pueden superar el total de Acciones </v>
      </c>
      <c r="CD149" s="3811" t="str">
        <f t="shared" si="62"/>
        <v xml:space="preserve"> *.Las Acciones de Migrantes no pueden superar el total de Acciones </v>
      </c>
      <c r="CE149" s="3811" t="str">
        <f t="shared" si="63"/>
        <v xml:space="preserve"> *.Las Acciones de Demencia no pueden superar el total de Acciones </v>
      </c>
      <c r="CH149" s="3811" t="str">
        <f t="shared" si="65"/>
        <v/>
      </c>
      <c r="CL149" s="3811">
        <f t="shared" si="66"/>
        <v>1</v>
      </c>
      <c r="CM149" s="3811">
        <f t="shared" si="67"/>
        <v>1</v>
      </c>
      <c r="CN149" s="3811">
        <f t="shared" si="68"/>
        <v>1</v>
      </c>
      <c r="CO149" s="3811">
        <f t="shared" si="69"/>
        <v>1</v>
      </c>
    </row>
    <row r="150" spans="1:93" s="3811" customFormat="1" ht="20.25" customHeight="1" x14ac:dyDescent="0.2">
      <c r="A150" s="7263">
        <v>32100830</v>
      </c>
      <c r="B150" s="9062"/>
      <c r="C150" s="4081" t="s">
        <v>2426</v>
      </c>
      <c r="D150" s="4082" t="s">
        <v>5369</v>
      </c>
      <c r="E150" s="4083" t="s">
        <v>5370</v>
      </c>
      <c r="F150" s="4084" t="s">
        <v>5371</v>
      </c>
      <c r="G150" s="4054" t="s">
        <v>5372</v>
      </c>
      <c r="H150" s="4056" t="s">
        <v>5373</v>
      </c>
      <c r="I150" s="4054" t="s">
        <v>5374</v>
      </c>
      <c r="J150" s="4056" t="s">
        <v>5375</v>
      </c>
      <c r="K150" s="4054" t="s">
        <v>5376</v>
      </c>
      <c r="L150" s="4056" t="s">
        <v>5377</v>
      </c>
      <c r="M150" s="4085" t="s">
        <v>5378</v>
      </c>
      <c r="N150" s="4055" t="s">
        <v>5379</v>
      </c>
      <c r="O150" s="4055" t="s">
        <v>5380</v>
      </c>
      <c r="P150" s="4086" t="s">
        <v>5381</v>
      </c>
      <c r="Q150" s="4054" t="s">
        <v>5382</v>
      </c>
      <c r="R150" s="4086" t="s">
        <v>5383</v>
      </c>
      <c r="S150" s="4085" t="s">
        <v>5384</v>
      </c>
      <c r="T150" s="4086" t="s">
        <v>5385</v>
      </c>
      <c r="U150" s="4085" t="s">
        <v>5386</v>
      </c>
      <c r="V150" s="4086" t="s">
        <v>5387</v>
      </c>
      <c r="W150" s="4054" t="s">
        <v>5388</v>
      </c>
      <c r="X150" s="4056" t="s">
        <v>5389</v>
      </c>
      <c r="Y150" s="4085" t="s">
        <v>5390</v>
      </c>
      <c r="Z150" s="4056" t="s">
        <v>5391</v>
      </c>
      <c r="AA150" s="4085" t="s">
        <v>5392</v>
      </c>
      <c r="AB150" s="4086" t="s">
        <v>5393</v>
      </c>
      <c r="AC150" s="4085" t="s">
        <v>5394</v>
      </c>
      <c r="AD150" s="4086" t="s">
        <v>5395</v>
      </c>
      <c r="AE150" s="4085" t="s">
        <v>5396</v>
      </c>
      <c r="AF150" s="4086" t="s">
        <v>5397</v>
      </c>
      <c r="AG150" s="4085" t="s">
        <v>5398</v>
      </c>
      <c r="AH150" s="4086" t="s">
        <v>5399</v>
      </c>
      <c r="AI150" s="4085" t="s">
        <v>5400</v>
      </c>
      <c r="AJ150" s="4086" t="s">
        <v>5401</v>
      </c>
      <c r="AK150" s="4085" t="s">
        <v>5402</v>
      </c>
      <c r="AL150" s="4086" t="s">
        <v>5403</v>
      </c>
      <c r="AM150" s="4085" t="s">
        <v>5404</v>
      </c>
      <c r="AN150" s="4086" t="s">
        <v>5405</v>
      </c>
      <c r="AO150" s="4085" t="s">
        <v>5406</v>
      </c>
      <c r="AP150" s="4086" t="s">
        <v>5407</v>
      </c>
      <c r="AQ150" s="4085" t="s">
        <v>5408</v>
      </c>
      <c r="AR150" s="4086" t="s">
        <v>5409</v>
      </c>
      <c r="AS150" s="4085" t="s">
        <v>5410</v>
      </c>
      <c r="AT150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0" s="3811" t="str">
        <f t="shared" si="64"/>
        <v xml:space="preserve"> *Las Acciones de NNA Mejor Niñez deben estar en el grupo etareo (hasta los 24 años)</v>
      </c>
      <c r="CC150" s="3811" t="str">
        <f t="shared" si="61"/>
        <v xml:space="preserve"> *.Las Acciones de Pueblos Originarios no pueden superar el total de Acciones </v>
      </c>
      <c r="CD150" s="3811" t="str">
        <f t="shared" si="62"/>
        <v xml:space="preserve"> *.Las Acciones de Migrantes no pueden superar el total de Acciones </v>
      </c>
      <c r="CE150" s="3811" t="str">
        <f t="shared" si="63"/>
        <v xml:space="preserve"> *.Las Acciones de Demencia no pueden superar el total de Acciones </v>
      </c>
      <c r="CH150" s="3811" t="str">
        <f t="shared" si="65"/>
        <v/>
      </c>
      <c r="CL150" s="3811">
        <f t="shared" si="66"/>
        <v>1</v>
      </c>
      <c r="CM150" s="3811">
        <f t="shared" si="67"/>
        <v>1</v>
      </c>
      <c r="CN150" s="3811">
        <f t="shared" si="68"/>
        <v>1</v>
      </c>
      <c r="CO150" s="3811">
        <f t="shared" si="69"/>
        <v>1</v>
      </c>
    </row>
    <row r="151" spans="1:93" s="3811" customFormat="1" ht="20.25" customHeight="1" x14ac:dyDescent="0.2">
      <c r="A151" s="7263">
        <v>32100840</v>
      </c>
      <c r="B151" s="9062"/>
      <c r="C151" s="4081" t="s">
        <v>2427</v>
      </c>
      <c r="D151" s="4082" t="s">
        <v>5369</v>
      </c>
      <c r="E151" s="4083" t="s">
        <v>5370</v>
      </c>
      <c r="F151" s="4084" t="s">
        <v>5371</v>
      </c>
      <c r="G151" s="4054" t="s">
        <v>5372</v>
      </c>
      <c r="H151" s="4056" t="s">
        <v>5373</v>
      </c>
      <c r="I151" s="4054" t="s">
        <v>5374</v>
      </c>
      <c r="J151" s="4056" t="s">
        <v>5375</v>
      </c>
      <c r="K151" s="4054" t="s">
        <v>5376</v>
      </c>
      <c r="L151" s="4056" t="s">
        <v>5377</v>
      </c>
      <c r="M151" s="4085" t="s">
        <v>5378</v>
      </c>
      <c r="N151" s="4055" t="s">
        <v>5379</v>
      </c>
      <c r="O151" s="4055" t="s">
        <v>5380</v>
      </c>
      <c r="P151" s="4086" t="s">
        <v>5381</v>
      </c>
      <c r="Q151" s="4054" t="s">
        <v>5382</v>
      </c>
      <c r="R151" s="4086" t="s">
        <v>5383</v>
      </c>
      <c r="S151" s="4085" t="s">
        <v>5384</v>
      </c>
      <c r="T151" s="4086" t="s">
        <v>5385</v>
      </c>
      <c r="U151" s="4085" t="s">
        <v>5386</v>
      </c>
      <c r="V151" s="4086" t="s">
        <v>5387</v>
      </c>
      <c r="W151" s="4054" t="s">
        <v>5388</v>
      </c>
      <c r="X151" s="4056" t="s">
        <v>5389</v>
      </c>
      <c r="Y151" s="4085" t="s">
        <v>5390</v>
      </c>
      <c r="Z151" s="4056" t="s">
        <v>5391</v>
      </c>
      <c r="AA151" s="4085" t="s">
        <v>5392</v>
      </c>
      <c r="AB151" s="4086" t="s">
        <v>5393</v>
      </c>
      <c r="AC151" s="4085" t="s">
        <v>5394</v>
      </c>
      <c r="AD151" s="4086" t="s">
        <v>5395</v>
      </c>
      <c r="AE151" s="4085" t="s">
        <v>5396</v>
      </c>
      <c r="AF151" s="4086" t="s">
        <v>5397</v>
      </c>
      <c r="AG151" s="4085" t="s">
        <v>5398</v>
      </c>
      <c r="AH151" s="4086" t="s">
        <v>5399</v>
      </c>
      <c r="AI151" s="4085" t="s">
        <v>5400</v>
      </c>
      <c r="AJ151" s="4086" t="s">
        <v>5401</v>
      </c>
      <c r="AK151" s="4085" t="s">
        <v>5402</v>
      </c>
      <c r="AL151" s="4086" t="s">
        <v>5403</v>
      </c>
      <c r="AM151" s="4085" t="s">
        <v>5404</v>
      </c>
      <c r="AN151" s="4086" t="s">
        <v>5405</v>
      </c>
      <c r="AO151" s="4085" t="s">
        <v>5406</v>
      </c>
      <c r="AP151" s="4086" t="s">
        <v>5407</v>
      </c>
      <c r="AQ151" s="4085" t="s">
        <v>5408</v>
      </c>
      <c r="AR151" s="4086" t="s">
        <v>5409</v>
      </c>
      <c r="AS151" s="4085" t="s">
        <v>5410</v>
      </c>
      <c r="AT151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1" s="3811" t="str">
        <f t="shared" si="64"/>
        <v xml:space="preserve"> *Las Acciones de NNA Mejor Niñez deben estar en el grupo etareo (hasta los 24 años)</v>
      </c>
      <c r="CC151" s="3811" t="str">
        <f t="shared" si="61"/>
        <v xml:space="preserve"> *.Las Acciones de Pueblos Originarios no pueden superar el total de Acciones </v>
      </c>
      <c r="CD151" s="3811" t="str">
        <f t="shared" si="62"/>
        <v xml:space="preserve"> *.Las Acciones de Migrantes no pueden superar el total de Acciones </v>
      </c>
      <c r="CE151" s="3811" t="str">
        <f t="shared" si="63"/>
        <v xml:space="preserve"> *.Las Acciones de Demencia no pueden superar el total de Acciones </v>
      </c>
      <c r="CH151" s="3811" t="str">
        <f t="shared" si="65"/>
        <v/>
      </c>
      <c r="CL151" s="3811">
        <f t="shared" si="66"/>
        <v>1</v>
      </c>
      <c r="CM151" s="3811">
        <f t="shared" si="67"/>
        <v>1</v>
      </c>
      <c r="CN151" s="3811">
        <f t="shared" si="68"/>
        <v>1</v>
      </c>
      <c r="CO151" s="3811">
        <f t="shared" si="69"/>
        <v>1</v>
      </c>
    </row>
    <row r="152" spans="1:93" s="3811" customFormat="1" ht="20.25" customHeight="1" x14ac:dyDescent="0.2">
      <c r="A152" s="7263">
        <v>32100850</v>
      </c>
      <c r="B152" s="9062"/>
      <c r="C152" s="4081" t="s">
        <v>2451</v>
      </c>
      <c r="D152" s="4082" t="s">
        <v>5369</v>
      </c>
      <c r="E152" s="4083" t="s">
        <v>5370</v>
      </c>
      <c r="F152" s="4084" t="s">
        <v>5371</v>
      </c>
      <c r="G152" s="4054" t="s">
        <v>5372</v>
      </c>
      <c r="H152" s="4056" t="s">
        <v>5373</v>
      </c>
      <c r="I152" s="4054" t="s">
        <v>5374</v>
      </c>
      <c r="J152" s="4056" t="s">
        <v>5375</v>
      </c>
      <c r="K152" s="4054" t="s">
        <v>5376</v>
      </c>
      <c r="L152" s="4056" t="s">
        <v>5377</v>
      </c>
      <c r="M152" s="4085" t="s">
        <v>5378</v>
      </c>
      <c r="N152" s="4055" t="s">
        <v>5379</v>
      </c>
      <c r="O152" s="4055" t="s">
        <v>5380</v>
      </c>
      <c r="P152" s="4086" t="s">
        <v>5381</v>
      </c>
      <c r="Q152" s="4054" t="s">
        <v>5382</v>
      </c>
      <c r="R152" s="4086" t="s">
        <v>5383</v>
      </c>
      <c r="S152" s="4085" t="s">
        <v>5384</v>
      </c>
      <c r="T152" s="4086" t="s">
        <v>5385</v>
      </c>
      <c r="U152" s="4085" t="s">
        <v>5386</v>
      </c>
      <c r="V152" s="4086" t="s">
        <v>5387</v>
      </c>
      <c r="W152" s="4054" t="s">
        <v>5388</v>
      </c>
      <c r="X152" s="4056" t="s">
        <v>5389</v>
      </c>
      <c r="Y152" s="4085" t="s">
        <v>5390</v>
      </c>
      <c r="Z152" s="4056" t="s">
        <v>5391</v>
      </c>
      <c r="AA152" s="4085" t="s">
        <v>5392</v>
      </c>
      <c r="AB152" s="4086" t="s">
        <v>5393</v>
      </c>
      <c r="AC152" s="4085" t="s">
        <v>5394</v>
      </c>
      <c r="AD152" s="4086" t="s">
        <v>5395</v>
      </c>
      <c r="AE152" s="4085" t="s">
        <v>5396</v>
      </c>
      <c r="AF152" s="4086" t="s">
        <v>5397</v>
      </c>
      <c r="AG152" s="4085" t="s">
        <v>5398</v>
      </c>
      <c r="AH152" s="4086" t="s">
        <v>5399</v>
      </c>
      <c r="AI152" s="4085" t="s">
        <v>5400</v>
      </c>
      <c r="AJ152" s="4086" t="s">
        <v>5401</v>
      </c>
      <c r="AK152" s="4085" t="s">
        <v>5402</v>
      </c>
      <c r="AL152" s="4086" t="s">
        <v>5403</v>
      </c>
      <c r="AM152" s="4085" t="s">
        <v>5404</v>
      </c>
      <c r="AN152" s="4086" t="s">
        <v>5405</v>
      </c>
      <c r="AO152" s="4085" t="s">
        <v>5406</v>
      </c>
      <c r="AP152" s="4086" t="s">
        <v>5407</v>
      </c>
      <c r="AQ152" s="4085" t="s">
        <v>5408</v>
      </c>
      <c r="AR152" s="4086" t="s">
        <v>5409</v>
      </c>
      <c r="AS152" s="4085" t="s">
        <v>5410</v>
      </c>
      <c r="AT152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2" s="3811" t="str">
        <f t="shared" si="64"/>
        <v xml:space="preserve"> *Las Acciones de NNA Mejor Niñez deben estar en el grupo etareo (hasta los 24 años)</v>
      </c>
      <c r="CC152" s="3811" t="str">
        <f t="shared" si="61"/>
        <v xml:space="preserve"> *.Las Acciones de Pueblos Originarios no pueden superar el total de Acciones </v>
      </c>
      <c r="CD152" s="3811" t="str">
        <f t="shared" si="62"/>
        <v xml:space="preserve"> *.Las Acciones de Migrantes no pueden superar el total de Acciones </v>
      </c>
      <c r="CE152" s="3811" t="str">
        <f t="shared" si="63"/>
        <v xml:space="preserve"> *.Las Acciones de Demencia no pueden superar el total de Acciones </v>
      </c>
      <c r="CH152" s="3811" t="str">
        <f t="shared" si="65"/>
        <v/>
      </c>
      <c r="CL152" s="3811">
        <f t="shared" si="66"/>
        <v>1</v>
      </c>
      <c r="CM152" s="3811">
        <f t="shared" si="67"/>
        <v>1</v>
      </c>
      <c r="CN152" s="3811">
        <f t="shared" si="68"/>
        <v>1</v>
      </c>
      <c r="CO152" s="3811">
        <f t="shared" si="69"/>
        <v>1</v>
      </c>
    </row>
    <row r="153" spans="1:93" s="3811" customFormat="1" ht="20.25" customHeight="1" x14ac:dyDescent="0.2">
      <c r="A153" s="7263">
        <v>32100860</v>
      </c>
      <c r="B153" s="9062"/>
      <c r="C153" s="4081" t="s">
        <v>2375</v>
      </c>
      <c r="D153" s="4082" t="s">
        <v>5369</v>
      </c>
      <c r="E153" s="4083" t="s">
        <v>5370</v>
      </c>
      <c r="F153" s="4084" t="s">
        <v>5371</v>
      </c>
      <c r="G153" s="4054" t="s">
        <v>5372</v>
      </c>
      <c r="H153" s="4056" t="s">
        <v>5373</v>
      </c>
      <c r="I153" s="4054" t="s">
        <v>5374</v>
      </c>
      <c r="J153" s="4056" t="s">
        <v>5375</v>
      </c>
      <c r="K153" s="4054" t="s">
        <v>5376</v>
      </c>
      <c r="L153" s="4056" t="s">
        <v>5377</v>
      </c>
      <c r="M153" s="4085" t="s">
        <v>5378</v>
      </c>
      <c r="N153" s="4055" t="s">
        <v>5379</v>
      </c>
      <c r="O153" s="4055" t="s">
        <v>5380</v>
      </c>
      <c r="P153" s="4086" t="s">
        <v>5381</v>
      </c>
      <c r="Q153" s="4054" t="s">
        <v>5382</v>
      </c>
      <c r="R153" s="4086" t="s">
        <v>5383</v>
      </c>
      <c r="S153" s="4085" t="s">
        <v>5384</v>
      </c>
      <c r="T153" s="4086" t="s">
        <v>5385</v>
      </c>
      <c r="U153" s="4085" t="s">
        <v>5386</v>
      </c>
      <c r="V153" s="4086" t="s">
        <v>5387</v>
      </c>
      <c r="W153" s="4054" t="s">
        <v>5388</v>
      </c>
      <c r="X153" s="4056" t="s">
        <v>5389</v>
      </c>
      <c r="Y153" s="4085" t="s">
        <v>5390</v>
      </c>
      <c r="Z153" s="4056" t="s">
        <v>5391</v>
      </c>
      <c r="AA153" s="4085" t="s">
        <v>5392</v>
      </c>
      <c r="AB153" s="4086" t="s">
        <v>5393</v>
      </c>
      <c r="AC153" s="4085" t="s">
        <v>5394</v>
      </c>
      <c r="AD153" s="4086" t="s">
        <v>5395</v>
      </c>
      <c r="AE153" s="4085" t="s">
        <v>5396</v>
      </c>
      <c r="AF153" s="4086" t="s">
        <v>5397</v>
      </c>
      <c r="AG153" s="4085" t="s">
        <v>5398</v>
      </c>
      <c r="AH153" s="4086" t="s">
        <v>5399</v>
      </c>
      <c r="AI153" s="4085" t="s">
        <v>5400</v>
      </c>
      <c r="AJ153" s="4086" t="s">
        <v>5401</v>
      </c>
      <c r="AK153" s="4085" t="s">
        <v>5402</v>
      </c>
      <c r="AL153" s="4086" t="s">
        <v>5403</v>
      </c>
      <c r="AM153" s="4085" t="s">
        <v>5404</v>
      </c>
      <c r="AN153" s="4086" t="s">
        <v>5405</v>
      </c>
      <c r="AO153" s="4085" t="s">
        <v>5406</v>
      </c>
      <c r="AP153" s="4086" t="s">
        <v>5407</v>
      </c>
      <c r="AQ153" s="4085" t="s">
        <v>5408</v>
      </c>
      <c r="AR153" s="4086" t="s">
        <v>5409</v>
      </c>
      <c r="AS153" s="4085" t="s">
        <v>5410</v>
      </c>
      <c r="AT153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3" s="3811" t="str">
        <f t="shared" si="64"/>
        <v xml:space="preserve"> *Las Acciones de NNA Mejor Niñez deben estar en el grupo etareo (hasta los 24 años)</v>
      </c>
      <c r="CC153" s="3811" t="str">
        <f t="shared" si="61"/>
        <v xml:space="preserve"> *.Las Acciones de Pueblos Originarios no pueden superar el total de Acciones </v>
      </c>
      <c r="CD153" s="3811" t="str">
        <f t="shared" si="62"/>
        <v xml:space="preserve"> *.Las Acciones de Migrantes no pueden superar el total de Acciones </v>
      </c>
      <c r="CE153" s="3811" t="str">
        <f t="shared" si="63"/>
        <v xml:space="preserve"> *.Las Acciones de Demencia no pueden superar el total de Acciones </v>
      </c>
      <c r="CH153" s="3811" t="str">
        <f t="shared" si="65"/>
        <v/>
      </c>
      <c r="CL153" s="3811">
        <f t="shared" si="66"/>
        <v>1</v>
      </c>
      <c r="CM153" s="3811">
        <f t="shared" si="67"/>
        <v>1</v>
      </c>
      <c r="CN153" s="3811">
        <f t="shared" si="68"/>
        <v>1</v>
      </c>
      <c r="CO153" s="3811">
        <f t="shared" si="69"/>
        <v>1</v>
      </c>
    </row>
    <row r="154" spans="1:93" s="3811" customFormat="1" ht="20.25" customHeight="1" x14ac:dyDescent="0.2">
      <c r="A154" s="7263">
        <v>32100870</v>
      </c>
      <c r="B154" s="9062"/>
      <c r="C154" s="4081" t="s">
        <v>394</v>
      </c>
      <c r="D154" s="4082" t="s">
        <v>5369</v>
      </c>
      <c r="E154" s="4083" t="s">
        <v>5370</v>
      </c>
      <c r="F154" s="4084" t="s">
        <v>5371</v>
      </c>
      <c r="G154" s="4054" t="s">
        <v>5372</v>
      </c>
      <c r="H154" s="4056" t="s">
        <v>5373</v>
      </c>
      <c r="I154" s="4054" t="s">
        <v>5374</v>
      </c>
      <c r="J154" s="4056" t="s">
        <v>5375</v>
      </c>
      <c r="K154" s="4054" t="s">
        <v>5376</v>
      </c>
      <c r="L154" s="4056" t="s">
        <v>5377</v>
      </c>
      <c r="M154" s="4085" t="s">
        <v>5378</v>
      </c>
      <c r="N154" s="4055" t="s">
        <v>5379</v>
      </c>
      <c r="O154" s="4055" t="s">
        <v>5380</v>
      </c>
      <c r="P154" s="4086" t="s">
        <v>5381</v>
      </c>
      <c r="Q154" s="4054" t="s">
        <v>5382</v>
      </c>
      <c r="R154" s="4086" t="s">
        <v>5383</v>
      </c>
      <c r="S154" s="4085" t="s">
        <v>5384</v>
      </c>
      <c r="T154" s="4086" t="s">
        <v>5385</v>
      </c>
      <c r="U154" s="4085" t="s">
        <v>5386</v>
      </c>
      <c r="V154" s="4086" t="s">
        <v>5387</v>
      </c>
      <c r="W154" s="4054" t="s">
        <v>5388</v>
      </c>
      <c r="X154" s="4056" t="s">
        <v>5389</v>
      </c>
      <c r="Y154" s="4085" t="s">
        <v>5390</v>
      </c>
      <c r="Z154" s="4056" t="s">
        <v>5391</v>
      </c>
      <c r="AA154" s="4085" t="s">
        <v>5392</v>
      </c>
      <c r="AB154" s="4086" t="s">
        <v>5393</v>
      </c>
      <c r="AC154" s="4085" t="s">
        <v>5394</v>
      </c>
      <c r="AD154" s="4086" t="s">
        <v>5395</v>
      </c>
      <c r="AE154" s="4085" t="s">
        <v>5396</v>
      </c>
      <c r="AF154" s="4086" t="s">
        <v>5397</v>
      </c>
      <c r="AG154" s="4085" t="s">
        <v>5398</v>
      </c>
      <c r="AH154" s="4086" t="s">
        <v>5399</v>
      </c>
      <c r="AI154" s="4085" t="s">
        <v>5400</v>
      </c>
      <c r="AJ154" s="4086" t="s">
        <v>5401</v>
      </c>
      <c r="AK154" s="4085" t="s">
        <v>5402</v>
      </c>
      <c r="AL154" s="4086" t="s">
        <v>5403</v>
      </c>
      <c r="AM154" s="4085" t="s">
        <v>5404</v>
      </c>
      <c r="AN154" s="4086" t="s">
        <v>5405</v>
      </c>
      <c r="AO154" s="4085" t="s">
        <v>5406</v>
      </c>
      <c r="AP154" s="4086" t="s">
        <v>5407</v>
      </c>
      <c r="AQ154" s="4085" t="s">
        <v>5408</v>
      </c>
      <c r="AR154" s="4086" t="s">
        <v>5409</v>
      </c>
      <c r="AS154" s="4085" t="s">
        <v>5410</v>
      </c>
      <c r="AT154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4" s="3811" t="str">
        <f t="shared" si="64"/>
        <v xml:space="preserve"> *Las Acciones de NNA Mejor Niñez deben estar en el grupo etareo (hasta los 24 años)</v>
      </c>
      <c r="CC154" s="3811" t="str">
        <f t="shared" si="61"/>
        <v xml:space="preserve"> *.Las Acciones de Pueblos Originarios no pueden superar el total de Acciones </v>
      </c>
      <c r="CD154" s="3811" t="str">
        <f t="shared" si="62"/>
        <v xml:space="preserve"> *.Las Acciones de Migrantes no pueden superar el total de Acciones </v>
      </c>
      <c r="CE154" s="3811" t="str">
        <f t="shared" si="63"/>
        <v xml:space="preserve"> *.Las Acciones de Demencia no pueden superar el total de Acciones </v>
      </c>
      <c r="CH154" s="3811" t="str">
        <f t="shared" si="65"/>
        <v/>
      </c>
      <c r="CL154" s="3811">
        <f t="shared" si="66"/>
        <v>1</v>
      </c>
      <c r="CM154" s="3811">
        <f t="shared" si="67"/>
        <v>1</v>
      </c>
      <c r="CN154" s="3811">
        <f t="shared" si="68"/>
        <v>1</v>
      </c>
      <c r="CO154" s="3811">
        <f t="shared" si="69"/>
        <v>1</v>
      </c>
    </row>
    <row r="155" spans="1:93" s="3811" customFormat="1" ht="27.75" customHeight="1" x14ac:dyDescent="0.2">
      <c r="A155" s="7263">
        <v>32100880</v>
      </c>
      <c r="B155" s="9062"/>
      <c r="C155" s="4081" t="s">
        <v>2613</v>
      </c>
      <c r="D155" s="4082" t="s">
        <v>5369</v>
      </c>
      <c r="E155" s="4083" t="s">
        <v>5370</v>
      </c>
      <c r="F155" s="4084" t="s">
        <v>5371</v>
      </c>
      <c r="G155" s="4054" t="s">
        <v>5372</v>
      </c>
      <c r="H155" s="4056" t="s">
        <v>5373</v>
      </c>
      <c r="I155" s="4054" t="s">
        <v>5374</v>
      </c>
      <c r="J155" s="4056" t="s">
        <v>5375</v>
      </c>
      <c r="K155" s="4054" t="s">
        <v>5376</v>
      </c>
      <c r="L155" s="4056" t="s">
        <v>5377</v>
      </c>
      <c r="M155" s="4085" t="s">
        <v>5378</v>
      </c>
      <c r="N155" s="4055" t="s">
        <v>5379</v>
      </c>
      <c r="O155" s="4055" t="s">
        <v>5380</v>
      </c>
      <c r="P155" s="4086" t="s">
        <v>5381</v>
      </c>
      <c r="Q155" s="4054" t="s">
        <v>5382</v>
      </c>
      <c r="R155" s="4086" t="s">
        <v>5383</v>
      </c>
      <c r="S155" s="4085" t="s">
        <v>5384</v>
      </c>
      <c r="T155" s="4086" t="s">
        <v>5385</v>
      </c>
      <c r="U155" s="4085" t="s">
        <v>5386</v>
      </c>
      <c r="V155" s="4086" t="s">
        <v>5387</v>
      </c>
      <c r="W155" s="4054" t="s">
        <v>5388</v>
      </c>
      <c r="X155" s="4056" t="s">
        <v>5389</v>
      </c>
      <c r="Y155" s="4085" t="s">
        <v>5390</v>
      </c>
      <c r="Z155" s="4056" t="s">
        <v>5391</v>
      </c>
      <c r="AA155" s="4085" t="s">
        <v>5392</v>
      </c>
      <c r="AB155" s="4086" t="s">
        <v>5393</v>
      </c>
      <c r="AC155" s="4085" t="s">
        <v>5394</v>
      </c>
      <c r="AD155" s="4086" t="s">
        <v>5395</v>
      </c>
      <c r="AE155" s="4085" t="s">
        <v>5396</v>
      </c>
      <c r="AF155" s="4086" t="s">
        <v>5397</v>
      </c>
      <c r="AG155" s="4085" t="s">
        <v>5398</v>
      </c>
      <c r="AH155" s="4086" t="s">
        <v>5399</v>
      </c>
      <c r="AI155" s="4085" t="s">
        <v>5400</v>
      </c>
      <c r="AJ155" s="4086" t="s">
        <v>5401</v>
      </c>
      <c r="AK155" s="4085" t="s">
        <v>5402</v>
      </c>
      <c r="AL155" s="4086" t="s">
        <v>5403</v>
      </c>
      <c r="AM155" s="4085" t="s">
        <v>5404</v>
      </c>
      <c r="AN155" s="4086" t="s">
        <v>5405</v>
      </c>
      <c r="AO155" s="4085" t="s">
        <v>5406</v>
      </c>
      <c r="AP155" s="4086" t="s">
        <v>5407</v>
      </c>
      <c r="AQ155" s="4085" t="s">
        <v>5408</v>
      </c>
      <c r="AR155" s="4086" t="s">
        <v>5409</v>
      </c>
      <c r="AS155" s="4085" t="s">
        <v>5410</v>
      </c>
      <c r="AT155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5" s="3811" t="str">
        <f t="shared" si="64"/>
        <v xml:space="preserve"> *Las Acciones de NNA Mejor Niñez deben estar en el grupo etareo (hasta los 24 años)</v>
      </c>
      <c r="CC155" s="3811" t="str">
        <f t="shared" si="61"/>
        <v xml:space="preserve"> *.Las Acciones de Pueblos Originarios no pueden superar el total de Acciones </v>
      </c>
      <c r="CD155" s="3811" t="str">
        <f t="shared" si="62"/>
        <v xml:space="preserve"> *.Las Acciones de Migrantes no pueden superar el total de Acciones </v>
      </c>
      <c r="CE155" s="3811" t="str">
        <f t="shared" si="63"/>
        <v xml:space="preserve"> *.Las Acciones de Demencia no pueden superar el total de Acciones </v>
      </c>
      <c r="CH155" s="3811" t="str">
        <f t="shared" si="65"/>
        <v/>
      </c>
      <c r="CL155" s="3811">
        <f t="shared" si="66"/>
        <v>1</v>
      </c>
      <c r="CM155" s="3811">
        <f t="shared" si="67"/>
        <v>1</v>
      </c>
      <c r="CN155" s="3811">
        <f t="shared" si="68"/>
        <v>1</v>
      </c>
      <c r="CO155" s="3811">
        <f t="shared" si="69"/>
        <v>1</v>
      </c>
    </row>
    <row r="156" spans="1:93" s="3811" customFormat="1" ht="20.25" customHeight="1" x14ac:dyDescent="0.2">
      <c r="A156" s="7263">
        <v>32100890</v>
      </c>
      <c r="B156" s="9062"/>
      <c r="C156" s="4081" t="s">
        <v>2428</v>
      </c>
      <c r="D156" s="4082" t="s">
        <v>5369</v>
      </c>
      <c r="E156" s="4083" t="s">
        <v>5370</v>
      </c>
      <c r="F156" s="4084" t="s">
        <v>5371</v>
      </c>
      <c r="G156" s="4054" t="s">
        <v>5372</v>
      </c>
      <c r="H156" s="4056" t="s">
        <v>5373</v>
      </c>
      <c r="I156" s="4054" t="s">
        <v>5374</v>
      </c>
      <c r="J156" s="4056" t="s">
        <v>5375</v>
      </c>
      <c r="K156" s="4054" t="s">
        <v>5376</v>
      </c>
      <c r="L156" s="4056" t="s">
        <v>5377</v>
      </c>
      <c r="M156" s="4085" t="s">
        <v>5378</v>
      </c>
      <c r="N156" s="4055" t="s">
        <v>5379</v>
      </c>
      <c r="O156" s="4055" t="s">
        <v>5380</v>
      </c>
      <c r="P156" s="4086" t="s">
        <v>5381</v>
      </c>
      <c r="Q156" s="4054" t="s">
        <v>5382</v>
      </c>
      <c r="R156" s="4086" t="s">
        <v>5383</v>
      </c>
      <c r="S156" s="4085" t="s">
        <v>5384</v>
      </c>
      <c r="T156" s="4086" t="s">
        <v>5385</v>
      </c>
      <c r="U156" s="4085" t="s">
        <v>5386</v>
      </c>
      <c r="V156" s="4086" t="s">
        <v>5387</v>
      </c>
      <c r="W156" s="4054" t="s">
        <v>5388</v>
      </c>
      <c r="X156" s="4056" t="s">
        <v>5389</v>
      </c>
      <c r="Y156" s="4085" t="s">
        <v>5390</v>
      </c>
      <c r="Z156" s="4056" t="s">
        <v>5391</v>
      </c>
      <c r="AA156" s="4085" t="s">
        <v>5392</v>
      </c>
      <c r="AB156" s="4086" t="s">
        <v>5393</v>
      </c>
      <c r="AC156" s="4085" t="s">
        <v>5394</v>
      </c>
      <c r="AD156" s="4086" t="s">
        <v>5395</v>
      </c>
      <c r="AE156" s="4085" t="s">
        <v>5396</v>
      </c>
      <c r="AF156" s="4086" t="s">
        <v>5397</v>
      </c>
      <c r="AG156" s="4085" t="s">
        <v>5398</v>
      </c>
      <c r="AH156" s="4086" t="s">
        <v>5399</v>
      </c>
      <c r="AI156" s="4085" t="s">
        <v>5400</v>
      </c>
      <c r="AJ156" s="4086" t="s">
        <v>5401</v>
      </c>
      <c r="AK156" s="4085" t="s">
        <v>5402</v>
      </c>
      <c r="AL156" s="4086" t="s">
        <v>5403</v>
      </c>
      <c r="AM156" s="4085" t="s">
        <v>5404</v>
      </c>
      <c r="AN156" s="4086" t="s">
        <v>5405</v>
      </c>
      <c r="AO156" s="4085" t="s">
        <v>5406</v>
      </c>
      <c r="AP156" s="4086" t="s">
        <v>5407</v>
      </c>
      <c r="AQ156" s="4085" t="s">
        <v>5408</v>
      </c>
      <c r="AR156" s="4086" t="s">
        <v>5409</v>
      </c>
      <c r="AS156" s="4085" t="s">
        <v>5410</v>
      </c>
      <c r="AT156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6" s="3811" t="str">
        <f t="shared" si="64"/>
        <v xml:space="preserve"> *Las Acciones de NNA Mejor Niñez deben estar en el grupo etareo (hasta los 24 años)</v>
      </c>
      <c r="CC156" s="3811" t="str">
        <f t="shared" si="61"/>
        <v xml:space="preserve"> *.Las Acciones de Pueblos Originarios no pueden superar el total de Acciones </v>
      </c>
      <c r="CD156" s="3811" t="str">
        <f t="shared" si="62"/>
        <v xml:space="preserve"> *.Las Acciones de Migrantes no pueden superar el total de Acciones </v>
      </c>
      <c r="CE156" s="3811" t="str">
        <f t="shared" si="63"/>
        <v xml:space="preserve"> *.Las Acciones de Demencia no pueden superar el total de Acciones </v>
      </c>
      <c r="CH156" s="3811" t="str">
        <f t="shared" si="65"/>
        <v/>
      </c>
      <c r="CL156" s="3811">
        <f t="shared" si="66"/>
        <v>1</v>
      </c>
      <c r="CM156" s="3811">
        <f t="shared" si="67"/>
        <v>1</v>
      </c>
      <c r="CN156" s="3811">
        <f t="shared" si="68"/>
        <v>1</v>
      </c>
      <c r="CO156" s="3811">
        <f t="shared" si="69"/>
        <v>1</v>
      </c>
    </row>
    <row r="157" spans="1:93" s="3811" customFormat="1" ht="30" customHeight="1" x14ac:dyDescent="0.2">
      <c r="A157" s="7263">
        <v>32100900</v>
      </c>
      <c r="B157" s="9062"/>
      <c r="C157" s="4114" t="s">
        <v>2429</v>
      </c>
      <c r="D157" s="4088" t="s">
        <v>5369</v>
      </c>
      <c r="E157" s="4089" t="s">
        <v>5370</v>
      </c>
      <c r="F157" s="4090" t="s">
        <v>5371</v>
      </c>
      <c r="G157" s="4091" t="s">
        <v>5372</v>
      </c>
      <c r="H157" s="4092" t="s">
        <v>5373</v>
      </c>
      <c r="I157" s="4091" t="s">
        <v>5374</v>
      </c>
      <c r="J157" s="4092" t="s">
        <v>5375</v>
      </c>
      <c r="K157" s="4091" t="s">
        <v>5376</v>
      </c>
      <c r="L157" s="4092" t="s">
        <v>5377</v>
      </c>
      <c r="M157" s="4093" t="s">
        <v>5378</v>
      </c>
      <c r="N157" s="4094" t="s">
        <v>5379</v>
      </c>
      <c r="O157" s="4094" t="s">
        <v>5380</v>
      </c>
      <c r="P157" s="4095" t="s">
        <v>5381</v>
      </c>
      <c r="Q157" s="4091" t="s">
        <v>5382</v>
      </c>
      <c r="R157" s="4095" t="s">
        <v>5383</v>
      </c>
      <c r="S157" s="4093" t="s">
        <v>5384</v>
      </c>
      <c r="T157" s="4095" t="s">
        <v>5385</v>
      </c>
      <c r="U157" s="4093" t="s">
        <v>5386</v>
      </c>
      <c r="V157" s="4095" t="s">
        <v>5387</v>
      </c>
      <c r="W157" s="4091" t="s">
        <v>5388</v>
      </c>
      <c r="X157" s="4092" t="s">
        <v>5389</v>
      </c>
      <c r="Y157" s="4093" t="s">
        <v>5390</v>
      </c>
      <c r="Z157" s="4092" t="s">
        <v>5391</v>
      </c>
      <c r="AA157" s="4093" t="s">
        <v>5392</v>
      </c>
      <c r="AB157" s="4095" t="s">
        <v>5393</v>
      </c>
      <c r="AC157" s="4093" t="s">
        <v>5394</v>
      </c>
      <c r="AD157" s="4095" t="s">
        <v>5395</v>
      </c>
      <c r="AE157" s="4093" t="s">
        <v>5396</v>
      </c>
      <c r="AF157" s="4095" t="s">
        <v>5397</v>
      </c>
      <c r="AG157" s="4093" t="s">
        <v>5398</v>
      </c>
      <c r="AH157" s="4095" t="s">
        <v>5399</v>
      </c>
      <c r="AI157" s="4093" t="s">
        <v>5400</v>
      </c>
      <c r="AJ157" s="4095" t="s">
        <v>5401</v>
      </c>
      <c r="AK157" s="4093" t="s">
        <v>5402</v>
      </c>
      <c r="AL157" s="4095" t="s">
        <v>5403</v>
      </c>
      <c r="AM157" s="4093" t="s">
        <v>5404</v>
      </c>
      <c r="AN157" s="4095" t="s">
        <v>5405</v>
      </c>
      <c r="AO157" s="4093" t="s">
        <v>5406</v>
      </c>
      <c r="AP157" s="4095" t="s">
        <v>5407</v>
      </c>
      <c r="AQ157" s="4093" t="s">
        <v>5408</v>
      </c>
      <c r="AR157" s="4095" t="s">
        <v>5409</v>
      </c>
      <c r="AS157" s="4093" t="s">
        <v>5410</v>
      </c>
      <c r="AT157" s="3811" t="str">
        <f t="shared" si="60"/>
        <v xml:space="preserve"> *Las Acciones de NNA Mejor Niñez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CB157" s="3811" t="str">
        <f t="shared" si="64"/>
        <v xml:space="preserve"> *Las Acciones de NNA Mejor Niñez deben estar en el grupo etareo (hasta los 24 años)</v>
      </c>
      <c r="CC157" s="3811" t="str">
        <f t="shared" si="61"/>
        <v xml:space="preserve"> *.Las Acciones de Pueblos Originarios no pueden superar el total de Acciones </v>
      </c>
      <c r="CD157" s="3811" t="str">
        <f t="shared" si="62"/>
        <v xml:space="preserve"> *.Las Acciones de Migrantes no pueden superar el total de Acciones </v>
      </c>
      <c r="CE157" s="3811" t="str">
        <f t="shared" si="63"/>
        <v xml:space="preserve"> *.Las Acciones de Demencia no pueden superar el total de Acciones </v>
      </c>
      <c r="CH157" s="3811" t="str">
        <f t="shared" si="65"/>
        <v/>
      </c>
      <c r="CL157" s="3811">
        <f t="shared" si="66"/>
        <v>1</v>
      </c>
      <c r="CM157" s="3811">
        <f t="shared" si="67"/>
        <v>1</v>
      </c>
      <c r="CN157" s="3811">
        <f t="shared" si="68"/>
        <v>1</v>
      </c>
      <c r="CO157" s="3811">
        <f t="shared" si="69"/>
        <v>1</v>
      </c>
    </row>
    <row r="158" spans="1:93" s="3811" customFormat="1" ht="18.75" customHeight="1" x14ac:dyDescent="0.2">
      <c r="A158" s="7800"/>
      <c r="B158" s="9228"/>
      <c r="C158" s="4115" t="s">
        <v>24</v>
      </c>
      <c r="D158" s="4116">
        <f t="shared" si="70"/>
        <v>0</v>
      </c>
      <c r="E158" s="4117">
        <f t="shared" ref="E158:AR158" si="72">SUM(E148:E157)</f>
        <v>0</v>
      </c>
      <c r="F158" s="4118">
        <f t="shared" si="72"/>
        <v>0</v>
      </c>
      <c r="G158" s="4119">
        <f t="shared" si="72"/>
        <v>0</v>
      </c>
      <c r="H158" s="4120">
        <f t="shared" si="72"/>
        <v>0</v>
      </c>
      <c r="I158" s="4119">
        <f t="shared" si="72"/>
        <v>0</v>
      </c>
      <c r="J158" s="4120">
        <f t="shared" si="72"/>
        <v>0</v>
      </c>
      <c r="K158" s="4119">
        <f t="shared" si="72"/>
        <v>0</v>
      </c>
      <c r="L158" s="4120">
        <f t="shared" si="72"/>
        <v>0</v>
      </c>
      <c r="M158" s="4121">
        <f t="shared" si="72"/>
        <v>0</v>
      </c>
      <c r="N158" s="4122">
        <f t="shared" si="72"/>
        <v>0</v>
      </c>
      <c r="O158" s="4122">
        <f t="shared" si="72"/>
        <v>0</v>
      </c>
      <c r="P158" s="4123">
        <f t="shared" si="72"/>
        <v>0</v>
      </c>
      <c r="Q158" s="4119">
        <f t="shared" si="72"/>
        <v>0</v>
      </c>
      <c r="R158" s="4123">
        <f t="shared" si="72"/>
        <v>0</v>
      </c>
      <c r="S158" s="4124">
        <f t="shared" si="72"/>
        <v>0</v>
      </c>
      <c r="T158" s="4123">
        <f t="shared" si="72"/>
        <v>0</v>
      </c>
      <c r="U158" s="4119">
        <f t="shared" si="72"/>
        <v>0</v>
      </c>
      <c r="V158" s="4120">
        <f t="shared" si="72"/>
        <v>0</v>
      </c>
      <c r="W158" s="4122">
        <f t="shared" si="72"/>
        <v>0</v>
      </c>
      <c r="X158" s="4123">
        <f t="shared" si="72"/>
        <v>0</v>
      </c>
      <c r="Y158" s="4121">
        <f t="shared" si="72"/>
        <v>0</v>
      </c>
      <c r="Z158" s="4120">
        <f t="shared" si="72"/>
        <v>0</v>
      </c>
      <c r="AA158" s="4122">
        <f t="shared" si="72"/>
        <v>0</v>
      </c>
      <c r="AB158" s="4120">
        <f t="shared" si="72"/>
        <v>0</v>
      </c>
      <c r="AC158" s="4122">
        <f t="shared" si="72"/>
        <v>0</v>
      </c>
      <c r="AD158" s="4120">
        <f t="shared" si="72"/>
        <v>0</v>
      </c>
      <c r="AE158" s="4122">
        <f t="shared" si="72"/>
        <v>0</v>
      </c>
      <c r="AF158" s="4120">
        <f t="shared" si="72"/>
        <v>0</v>
      </c>
      <c r="AG158" s="4122">
        <f t="shared" si="72"/>
        <v>0</v>
      </c>
      <c r="AH158" s="4120">
        <f t="shared" si="72"/>
        <v>0</v>
      </c>
      <c r="AI158" s="4122">
        <f t="shared" si="72"/>
        <v>0</v>
      </c>
      <c r="AJ158" s="4120">
        <f t="shared" si="72"/>
        <v>0</v>
      </c>
      <c r="AK158" s="4122">
        <f t="shared" si="72"/>
        <v>0</v>
      </c>
      <c r="AL158" s="4120">
        <f t="shared" si="72"/>
        <v>0</v>
      </c>
      <c r="AM158" s="4122">
        <f t="shared" si="72"/>
        <v>0</v>
      </c>
      <c r="AN158" s="4120">
        <f t="shared" si="72"/>
        <v>0</v>
      </c>
      <c r="AO158" s="4120">
        <f t="shared" si="72"/>
        <v>0</v>
      </c>
      <c r="AP158" s="4120">
        <f t="shared" si="72"/>
        <v>0</v>
      </c>
      <c r="AQ158" s="4120">
        <f t="shared" si="72"/>
        <v>0</v>
      </c>
      <c r="AR158" s="4120">
        <f t="shared" si="72"/>
        <v>0</v>
      </c>
      <c r="AS158" s="4120">
        <f>SUM(AS148:AS157)</f>
        <v>0</v>
      </c>
    </row>
    <row r="159" spans="1:93" s="3811" customFormat="1" ht="25.5" customHeight="1" x14ac:dyDescent="0.25">
      <c r="B159" s="4047" t="s">
        <v>3112</v>
      </c>
      <c r="C159" s="4125"/>
      <c r="D159" s="3810"/>
      <c r="E159" s="4126"/>
      <c r="F159" s="4127"/>
      <c r="G159" s="3810"/>
      <c r="H159" s="3810"/>
      <c r="I159" s="3810"/>
      <c r="J159" s="3810"/>
      <c r="K159" s="3810"/>
      <c r="L159" s="3810"/>
      <c r="M159" s="3810"/>
      <c r="N159" s="3810"/>
      <c r="O159" s="3810"/>
      <c r="P159" s="3810"/>
      <c r="Q159" s="3810"/>
      <c r="R159" s="3810"/>
      <c r="S159" s="3810"/>
      <c r="T159" s="3810"/>
      <c r="U159" s="3810"/>
      <c r="V159" s="3810"/>
      <c r="W159" s="3810"/>
      <c r="X159" s="3810"/>
      <c r="Y159" s="3810"/>
      <c r="Z159" s="3810"/>
      <c r="AA159" s="3810"/>
      <c r="AB159" s="3810"/>
      <c r="AC159" s="3810"/>
      <c r="AD159" s="3810"/>
      <c r="AE159" s="3810"/>
      <c r="AF159" s="3810"/>
      <c r="AG159" s="3810"/>
    </row>
    <row r="160" spans="1:93" s="3811" customFormat="1" ht="13.95" customHeight="1" x14ac:dyDescent="0.2">
      <c r="B160" s="11319" t="s">
        <v>652</v>
      </c>
      <c r="C160" s="11319" t="s">
        <v>0</v>
      </c>
      <c r="D160" s="11270" t="s">
        <v>24</v>
      </c>
      <c r="E160" s="11321"/>
      <c r="F160" s="8636"/>
      <c r="G160" s="11322" t="s">
        <v>2151</v>
      </c>
      <c r="H160" s="9145"/>
      <c r="I160" s="9145"/>
      <c r="J160" s="9145"/>
      <c r="K160" s="9145"/>
      <c r="L160" s="9145"/>
      <c r="M160" s="9145"/>
      <c r="N160" s="9145"/>
      <c r="O160" s="9145"/>
      <c r="P160" s="9145"/>
      <c r="Q160" s="9145"/>
      <c r="R160" s="9145"/>
      <c r="S160" s="9145"/>
      <c r="T160" s="9145"/>
      <c r="U160" s="9145"/>
      <c r="V160" s="9145"/>
      <c r="W160" s="9145"/>
      <c r="X160" s="9145"/>
      <c r="Y160" s="9145"/>
      <c r="Z160" s="9145"/>
      <c r="AA160" s="9145"/>
      <c r="AB160" s="9145"/>
      <c r="AC160" s="9145"/>
      <c r="AD160" s="9145"/>
      <c r="AE160" s="9145"/>
      <c r="AF160" s="9145"/>
      <c r="AG160" s="9145"/>
      <c r="AH160" s="11381"/>
      <c r="AI160" s="11296" t="s">
        <v>362</v>
      </c>
      <c r="AJ160" s="11296" t="s">
        <v>361</v>
      </c>
      <c r="AS160" s="3811" t="str">
        <f>+BC147&amp;BD147&amp;BE147&amp;BF147</f>
        <v/>
      </c>
    </row>
    <row r="161" spans="1:93" s="3811" customFormat="1" x14ac:dyDescent="0.2">
      <c r="B161" s="9418"/>
      <c r="C161" s="9418"/>
      <c r="D161" s="10988"/>
      <c r="E161" s="10922"/>
      <c r="F161" s="9156"/>
      <c r="G161" s="11271" t="s">
        <v>3</v>
      </c>
      <c r="H161" s="9288"/>
      <c r="I161" s="11278" t="s">
        <v>4</v>
      </c>
      <c r="J161" s="11286"/>
      <c r="K161" s="11278" t="s">
        <v>5</v>
      </c>
      <c r="L161" s="11286"/>
      <c r="M161" s="11278" t="s">
        <v>6</v>
      </c>
      <c r="N161" s="11286"/>
      <c r="O161" s="11278" t="s">
        <v>7</v>
      </c>
      <c r="P161" s="11286"/>
      <c r="Q161" s="11278" t="s">
        <v>8</v>
      </c>
      <c r="R161" s="11286"/>
      <c r="S161" s="11278" t="s">
        <v>9</v>
      </c>
      <c r="T161" s="11286"/>
      <c r="U161" s="11278" t="s">
        <v>10</v>
      </c>
      <c r="V161" s="11286"/>
      <c r="W161" s="11278" t="s">
        <v>11</v>
      </c>
      <c r="X161" s="11286"/>
      <c r="Y161" s="11278" t="s">
        <v>12</v>
      </c>
      <c r="Z161" s="11286"/>
      <c r="AA161" s="11278" t="s">
        <v>13</v>
      </c>
      <c r="AB161" s="11286"/>
      <c r="AC161" s="11278" t="s">
        <v>14</v>
      </c>
      <c r="AD161" s="11286"/>
      <c r="AE161" s="11278" t="s">
        <v>15</v>
      </c>
      <c r="AF161" s="11286"/>
      <c r="AG161" s="11278" t="s">
        <v>16</v>
      </c>
      <c r="AH161" s="11299"/>
      <c r="AI161" s="11297"/>
      <c r="AJ161" s="11297"/>
      <c r="CB161" s="11220" t="s">
        <v>362</v>
      </c>
      <c r="CC161" s="11220" t="s">
        <v>361</v>
      </c>
      <c r="CD161" s="11220" t="s">
        <v>3948</v>
      </c>
      <c r="CL161" s="11220" t="s">
        <v>362</v>
      </c>
      <c r="CM161" s="11220" t="s">
        <v>361</v>
      </c>
      <c r="CO161" s="11220"/>
    </row>
    <row r="162" spans="1:93" s="3811" customFormat="1" x14ac:dyDescent="0.2">
      <c r="B162" s="11320"/>
      <c r="C162" s="11320"/>
      <c r="D162" s="3886" t="s">
        <v>42</v>
      </c>
      <c r="E162" s="4071" t="s">
        <v>17</v>
      </c>
      <c r="F162" s="3884" t="s">
        <v>18</v>
      </c>
      <c r="G162" s="3883" t="s">
        <v>17</v>
      </c>
      <c r="H162" s="4128" t="s">
        <v>18</v>
      </c>
      <c r="I162" s="3883" t="s">
        <v>17</v>
      </c>
      <c r="J162" s="4128" t="s">
        <v>18</v>
      </c>
      <c r="K162" s="3883" t="s">
        <v>17</v>
      </c>
      <c r="L162" s="4128" t="s">
        <v>18</v>
      </c>
      <c r="M162" s="3883" t="s">
        <v>17</v>
      </c>
      <c r="N162" s="4128" t="s">
        <v>18</v>
      </c>
      <c r="O162" s="3883" t="s">
        <v>17</v>
      </c>
      <c r="P162" s="4128" t="s">
        <v>18</v>
      </c>
      <c r="Q162" s="3883" t="s">
        <v>17</v>
      </c>
      <c r="R162" s="4128" t="s">
        <v>18</v>
      </c>
      <c r="S162" s="3883" t="s">
        <v>17</v>
      </c>
      <c r="T162" s="4128" t="s">
        <v>18</v>
      </c>
      <c r="U162" s="3883" t="s">
        <v>17</v>
      </c>
      <c r="V162" s="4128" t="s">
        <v>18</v>
      </c>
      <c r="W162" s="3883" t="s">
        <v>17</v>
      </c>
      <c r="X162" s="4128" t="s">
        <v>18</v>
      </c>
      <c r="Y162" s="3883" t="s">
        <v>17</v>
      </c>
      <c r="Z162" s="4128" t="s">
        <v>18</v>
      </c>
      <c r="AA162" s="3883" t="s">
        <v>17</v>
      </c>
      <c r="AB162" s="4128" t="s">
        <v>18</v>
      </c>
      <c r="AC162" s="3883" t="s">
        <v>17</v>
      </c>
      <c r="AD162" s="4128" t="s">
        <v>18</v>
      </c>
      <c r="AE162" s="3883" t="s">
        <v>17</v>
      </c>
      <c r="AF162" s="4128" t="s">
        <v>18</v>
      </c>
      <c r="AG162" s="3883" t="s">
        <v>17</v>
      </c>
      <c r="AH162" s="4129" t="s">
        <v>18</v>
      </c>
      <c r="AI162" s="11298"/>
      <c r="AJ162" s="11298"/>
      <c r="CB162" s="11220"/>
      <c r="CC162" s="11220"/>
      <c r="CD162" s="11220"/>
      <c r="CL162" s="11220"/>
      <c r="CM162" s="11220"/>
      <c r="CO162" s="11220"/>
    </row>
    <row r="163" spans="1:93" s="3811" customFormat="1" ht="18.600000000000001" customHeight="1" x14ac:dyDescent="0.2">
      <c r="A163" s="7263">
        <v>32100920</v>
      </c>
      <c r="B163" s="11323" t="s">
        <v>2430</v>
      </c>
      <c r="C163" s="3956" t="s">
        <v>2446</v>
      </c>
      <c r="D163" s="4130" t="s">
        <v>5369</v>
      </c>
      <c r="E163" s="4074" t="s">
        <v>5370</v>
      </c>
      <c r="F163" s="4075" t="s">
        <v>5371</v>
      </c>
      <c r="G163" s="4131" t="s">
        <v>5372</v>
      </c>
      <c r="H163" s="4132" t="s">
        <v>5373</v>
      </c>
      <c r="I163" s="4131" t="s">
        <v>5374</v>
      </c>
      <c r="J163" s="4132" t="s">
        <v>5375</v>
      </c>
      <c r="K163" s="4131" t="s">
        <v>5376</v>
      </c>
      <c r="L163" s="4132" t="s">
        <v>5377</v>
      </c>
      <c r="M163" s="4131" t="s">
        <v>5378</v>
      </c>
      <c r="N163" s="4132" t="s">
        <v>5379</v>
      </c>
      <c r="O163" s="4131" t="s">
        <v>5380</v>
      </c>
      <c r="P163" s="4132" t="s">
        <v>5381</v>
      </c>
      <c r="Q163" s="4131" t="s">
        <v>5382</v>
      </c>
      <c r="R163" s="4132" t="s">
        <v>5383</v>
      </c>
      <c r="S163" s="4131" t="s">
        <v>5384</v>
      </c>
      <c r="T163" s="4132" t="s">
        <v>5385</v>
      </c>
      <c r="U163" s="4131" t="s">
        <v>5386</v>
      </c>
      <c r="V163" s="4132" t="s">
        <v>5387</v>
      </c>
      <c r="W163" s="4131" t="s">
        <v>5388</v>
      </c>
      <c r="X163" s="4132" t="s">
        <v>5389</v>
      </c>
      <c r="Y163" s="4131" t="s">
        <v>5390</v>
      </c>
      <c r="Z163" s="4132" t="s">
        <v>5391</v>
      </c>
      <c r="AA163" s="4131" t="s">
        <v>5392</v>
      </c>
      <c r="AB163" s="4132" t="s">
        <v>5393</v>
      </c>
      <c r="AC163" s="4131" t="s">
        <v>5394</v>
      </c>
      <c r="AD163" s="4132" t="s">
        <v>5395</v>
      </c>
      <c r="AE163" s="4131" t="s">
        <v>5396</v>
      </c>
      <c r="AF163" s="4132" t="s">
        <v>5397</v>
      </c>
      <c r="AG163" s="4131" t="s">
        <v>5398</v>
      </c>
      <c r="AH163" s="4133" t="s">
        <v>5399</v>
      </c>
      <c r="AI163" s="3838" t="s">
        <v>5400</v>
      </c>
      <c r="AJ163" s="3838" t="s">
        <v>5401</v>
      </c>
      <c r="AK163" s="3811" t="str">
        <f>$CB163&amp;$CC163&amp;$CD163&amp;$CE163&amp;CF163&amp;CG163&amp;CH163&amp;CI163</f>
        <v xml:space="preserve"> *.Las Acciones de Pueblos Originarios no pueden superar el total de Acciones  *.Las Acciones de Migrantes no pueden superar el total de Acciones </v>
      </c>
      <c r="CB163" s="3811" t="str">
        <f>IF(CL163=1," *.Las Acciones de Pueblos Originarios no pueden superar el total de Acciones ","")</f>
        <v xml:space="preserve"> *.Las Acciones de Pueblos Originarios no pueden superar el total de Acciones </v>
      </c>
      <c r="CC163" s="3811" t="str">
        <f>IF(CM163=1," *.Las Acciones de Migrantes no pueden superar el total de Acciones ","")</f>
        <v xml:space="preserve"> *.Las Acciones de Migrantes no pueden superar el total de Acciones </v>
      </c>
      <c r="CD163" s="3811" t="str">
        <f>IF(OR(AND(D163&lt;&gt;0,AI163=""),AND(D163&lt;&gt;0,AJ163="")),"* No olvide digitar Migrantes y/o Pueblos Originarios (Digite CERO si no tiene). ","")</f>
        <v/>
      </c>
      <c r="CL163" s="3811">
        <f>IF(AI163&gt;$D163,1,0)</f>
        <v>1</v>
      </c>
      <c r="CM163" s="3811">
        <f>IF(AJ163&gt;$D163,1,0)</f>
        <v>1</v>
      </c>
    </row>
    <row r="164" spans="1:93" s="3811" customFormat="1" ht="18.600000000000001" customHeight="1" x14ac:dyDescent="0.2">
      <c r="A164" s="7263">
        <v>32100930</v>
      </c>
      <c r="B164" s="9062"/>
      <c r="C164" s="4134" t="s">
        <v>2426</v>
      </c>
      <c r="D164" s="4135" t="s">
        <v>5369</v>
      </c>
      <c r="E164" s="4083" t="s">
        <v>5370</v>
      </c>
      <c r="F164" s="4084" t="s">
        <v>5371</v>
      </c>
      <c r="G164" s="4136" t="s">
        <v>5372</v>
      </c>
      <c r="H164" s="4137" t="s">
        <v>5373</v>
      </c>
      <c r="I164" s="4136" t="s">
        <v>5374</v>
      </c>
      <c r="J164" s="4137" t="s">
        <v>5375</v>
      </c>
      <c r="K164" s="4136" t="s">
        <v>5376</v>
      </c>
      <c r="L164" s="4137" t="s">
        <v>5377</v>
      </c>
      <c r="M164" s="4136" t="s">
        <v>5378</v>
      </c>
      <c r="N164" s="4137" t="s">
        <v>5379</v>
      </c>
      <c r="O164" s="4136" t="s">
        <v>5380</v>
      </c>
      <c r="P164" s="4137" t="s">
        <v>5381</v>
      </c>
      <c r="Q164" s="4136" t="s">
        <v>5382</v>
      </c>
      <c r="R164" s="4137" t="s">
        <v>5383</v>
      </c>
      <c r="S164" s="4136" t="s">
        <v>5384</v>
      </c>
      <c r="T164" s="4137" t="s">
        <v>5385</v>
      </c>
      <c r="U164" s="4136" t="s">
        <v>5386</v>
      </c>
      <c r="V164" s="4137" t="s">
        <v>5387</v>
      </c>
      <c r="W164" s="4136" t="s">
        <v>5388</v>
      </c>
      <c r="X164" s="4137" t="s">
        <v>5389</v>
      </c>
      <c r="Y164" s="4136" t="s">
        <v>5390</v>
      </c>
      <c r="Z164" s="4137" t="s">
        <v>5391</v>
      </c>
      <c r="AA164" s="4136" t="s">
        <v>5392</v>
      </c>
      <c r="AB164" s="4137" t="s">
        <v>5393</v>
      </c>
      <c r="AC164" s="4136" t="s">
        <v>5394</v>
      </c>
      <c r="AD164" s="4137" t="s">
        <v>5395</v>
      </c>
      <c r="AE164" s="4136" t="s">
        <v>5396</v>
      </c>
      <c r="AF164" s="4137" t="s">
        <v>5397</v>
      </c>
      <c r="AG164" s="4136" t="s">
        <v>5398</v>
      </c>
      <c r="AH164" s="4138" t="s">
        <v>5399</v>
      </c>
      <c r="AI164" s="3900" t="s">
        <v>5400</v>
      </c>
      <c r="AJ164" s="3900" t="s">
        <v>5401</v>
      </c>
      <c r="AK164" s="3811" t="str">
        <f t="shared" ref="AK164:AK170" si="73">$CB164&amp;$CC164&amp;$CD164&amp;$CE164&amp;CF164&amp;CG164&amp;CH164&amp;CI164</f>
        <v xml:space="preserve"> *.Las Acciones de Pueblos Originarios no pueden superar el total de Acciones  *.Las Acciones de Migrantes no pueden superar el total de Acciones </v>
      </c>
      <c r="CB164" s="3811" t="str">
        <f t="shared" ref="CB164:CB170" si="74">IF(CL164=1," *.Las Acciones de Pueblos Originarios no pueden superar el total de Acciones ","")</f>
        <v xml:space="preserve"> *.Las Acciones de Pueblos Originarios no pueden superar el total de Acciones </v>
      </c>
      <c r="CC164" s="3811" t="str">
        <f t="shared" ref="CC164:CC170" si="75">IF(CM164=1," *.Las Acciones de Migrantes no pueden superar el total de Acciones ","")</f>
        <v xml:space="preserve"> *.Las Acciones de Migrantes no pueden superar el total de Acciones </v>
      </c>
      <c r="CD164" s="3811" t="str">
        <f t="shared" ref="CD164:CD170" si="76">IF(OR(AND(D164&lt;&gt;0,AI164=""),AND(D164&lt;&gt;0,AJ164="")),"* No olvide digitar Migrantes y/o Pueblos Originarios (Digite CERO si no tiene). ","")</f>
        <v/>
      </c>
      <c r="CL164" s="3811">
        <f t="shared" ref="CL164:CL170" si="77">IF(AI164&gt;$D164,1,0)</f>
        <v>1</v>
      </c>
      <c r="CM164" s="3811">
        <f t="shared" ref="CM164:CM170" si="78">IF(AJ164&gt;$D164,1,0)</f>
        <v>1</v>
      </c>
    </row>
    <row r="165" spans="1:93" ht="18.600000000000001" customHeight="1" x14ac:dyDescent="0.2">
      <c r="A165" s="7263">
        <v>32100940</v>
      </c>
      <c r="B165" s="9062"/>
      <c r="C165" s="4139" t="s">
        <v>46</v>
      </c>
      <c r="D165" s="4135" t="s">
        <v>5369</v>
      </c>
      <c r="E165" s="4083" t="s">
        <v>5370</v>
      </c>
      <c r="F165" s="4084" t="s">
        <v>5371</v>
      </c>
      <c r="G165" s="4136" t="s">
        <v>5372</v>
      </c>
      <c r="H165" s="4137" t="s">
        <v>5373</v>
      </c>
      <c r="I165" s="4136" t="s">
        <v>5374</v>
      </c>
      <c r="J165" s="4137" t="s">
        <v>5375</v>
      </c>
      <c r="K165" s="4136" t="s">
        <v>5376</v>
      </c>
      <c r="L165" s="4137" t="s">
        <v>5377</v>
      </c>
      <c r="M165" s="4136" t="s">
        <v>5378</v>
      </c>
      <c r="N165" s="4137" t="s">
        <v>5379</v>
      </c>
      <c r="O165" s="4136" t="s">
        <v>5380</v>
      </c>
      <c r="P165" s="4137" t="s">
        <v>5381</v>
      </c>
      <c r="Q165" s="4136" t="s">
        <v>5382</v>
      </c>
      <c r="R165" s="4137" t="s">
        <v>5383</v>
      </c>
      <c r="S165" s="4136" t="s">
        <v>5384</v>
      </c>
      <c r="T165" s="4137" t="s">
        <v>5385</v>
      </c>
      <c r="U165" s="4136" t="s">
        <v>5386</v>
      </c>
      <c r="V165" s="4137" t="s">
        <v>5387</v>
      </c>
      <c r="W165" s="4136" t="s">
        <v>5388</v>
      </c>
      <c r="X165" s="4137" t="s">
        <v>5389</v>
      </c>
      <c r="Y165" s="4136" t="s">
        <v>5390</v>
      </c>
      <c r="Z165" s="4137" t="s">
        <v>5391</v>
      </c>
      <c r="AA165" s="4136" t="s">
        <v>5392</v>
      </c>
      <c r="AB165" s="4137" t="s">
        <v>5393</v>
      </c>
      <c r="AC165" s="4136" t="s">
        <v>5394</v>
      </c>
      <c r="AD165" s="4137" t="s">
        <v>5395</v>
      </c>
      <c r="AE165" s="4136" t="s">
        <v>5396</v>
      </c>
      <c r="AF165" s="4137" t="s">
        <v>5397</v>
      </c>
      <c r="AG165" s="4136" t="s">
        <v>5398</v>
      </c>
      <c r="AH165" s="4138" t="s">
        <v>5399</v>
      </c>
      <c r="AI165" s="3900" t="s">
        <v>5400</v>
      </c>
      <c r="AJ165" s="3900" t="s">
        <v>5401</v>
      </c>
      <c r="AK165" s="3811" t="str">
        <f t="shared" si="73"/>
        <v xml:space="preserve"> *.Las Acciones de Pueblos Originarios no pueden superar el total de Acciones  *.Las Acciones de Migrantes no pueden superar el total de Acciones </v>
      </c>
      <c r="CB165" s="3811" t="str">
        <f t="shared" si="74"/>
        <v xml:space="preserve"> *.Las Acciones de Pueblos Originarios no pueden superar el total de Acciones </v>
      </c>
      <c r="CC165" s="3811" t="str">
        <f t="shared" si="75"/>
        <v xml:space="preserve"> *.Las Acciones de Migrantes no pueden superar el total de Acciones </v>
      </c>
      <c r="CD165" s="3811" t="str">
        <f t="shared" si="76"/>
        <v/>
      </c>
      <c r="CL165" s="3811">
        <f t="shared" si="77"/>
        <v>1</v>
      </c>
      <c r="CM165" s="3811">
        <f t="shared" si="78"/>
        <v>1</v>
      </c>
    </row>
    <row r="166" spans="1:93" ht="18.600000000000001" customHeight="1" x14ac:dyDescent="0.2">
      <c r="A166" s="7263">
        <v>32100950</v>
      </c>
      <c r="B166" s="9228"/>
      <c r="C166" s="3973" t="s">
        <v>2614</v>
      </c>
      <c r="D166" s="4140" t="s">
        <v>5369</v>
      </c>
      <c r="E166" s="4141" t="s">
        <v>5370</v>
      </c>
      <c r="F166" s="4142" t="s">
        <v>5371</v>
      </c>
      <c r="G166" s="3979" t="s">
        <v>5372</v>
      </c>
      <c r="H166" s="3980" t="s">
        <v>5373</v>
      </c>
      <c r="I166" s="3979" t="s">
        <v>5374</v>
      </c>
      <c r="J166" s="3980" t="s">
        <v>5375</v>
      </c>
      <c r="K166" s="3979" t="s">
        <v>5376</v>
      </c>
      <c r="L166" s="3980" t="s">
        <v>5377</v>
      </c>
      <c r="M166" s="3979" t="s">
        <v>5378</v>
      </c>
      <c r="N166" s="3980" t="s">
        <v>5379</v>
      </c>
      <c r="O166" s="3979" t="s">
        <v>5380</v>
      </c>
      <c r="P166" s="3980" t="s">
        <v>5381</v>
      </c>
      <c r="Q166" s="3979" t="s">
        <v>5382</v>
      </c>
      <c r="R166" s="3980" t="s">
        <v>5383</v>
      </c>
      <c r="S166" s="3979" t="s">
        <v>5384</v>
      </c>
      <c r="T166" s="3980" t="s">
        <v>5385</v>
      </c>
      <c r="U166" s="3979" t="s">
        <v>5386</v>
      </c>
      <c r="V166" s="3980" t="s">
        <v>5387</v>
      </c>
      <c r="W166" s="3979" t="s">
        <v>5388</v>
      </c>
      <c r="X166" s="3980" t="s">
        <v>5389</v>
      </c>
      <c r="Y166" s="3979" t="s">
        <v>5390</v>
      </c>
      <c r="Z166" s="3980" t="s">
        <v>5391</v>
      </c>
      <c r="AA166" s="3979" t="s">
        <v>5392</v>
      </c>
      <c r="AB166" s="3980" t="s">
        <v>5393</v>
      </c>
      <c r="AC166" s="3979" t="s">
        <v>5394</v>
      </c>
      <c r="AD166" s="3980" t="s">
        <v>5395</v>
      </c>
      <c r="AE166" s="3979" t="s">
        <v>5396</v>
      </c>
      <c r="AF166" s="3980" t="s">
        <v>5397</v>
      </c>
      <c r="AG166" s="3979" t="s">
        <v>5398</v>
      </c>
      <c r="AH166" s="3996" t="s">
        <v>5399</v>
      </c>
      <c r="AI166" s="4143" t="s">
        <v>5400</v>
      </c>
      <c r="AJ166" s="4143" t="s">
        <v>5401</v>
      </c>
      <c r="AK166" s="3811" t="str">
        <f t="shared" si="73"/>
        <v xml:space="preserve"> *.Las Acciones de Pueblos Originarios no pueden superar el total de Acciones  *.Las Acciones de Migrantes no pueden superar el total de Acciones </v>
      </c>
      <c r="CB166" s="3811" t="str">
        <f t="shared" si="74"/>
        <v xml:space="preserve"> *.Las Acciones de Pueblos Originarios no pueden superar el total de Acciones </v>
      </c>
      <c r="CC166" s="3811" t="str">
        <f t="shared" si="75"/>
        <v xml:space="preserve"> *.Las Acciones de Migrantes no pueden superar el total de Acciones </v>
      </c>
      <c r="CD166" s="3811" t="str">
        <f t="shared" si="76"/>
        <v/>
      </c>
      <c r="CL166" s="3811">
        <f t="shared" si="77"/>
        <v>1</v>
      </c>
      <c r="CM166" s="3811">
        <f t="shared" si="78"/>
        <v>1</v>
      </c>
    </row>
    <row r="167" spans="1:93" ht="18.600000000000001" customHeight="1" x14ac:dyDescent="0.2">
      <c r="A167" s="7263">
        <v>32100960</v>
      </c>
      <c r="B167" s="9227" t="s">
        <v>2431</v>
      </c>
      <c r="C167" s="3956" t="s">
        <v>2446</v>
      </c>
      <c r="D167" s="4130" t="s">
        <v>5369</v>
      </c>
      <c r="E167" s="4074" t="s">
        <v>5370</v>
      </c>
      <c r="F167" s="4075" t="s">
        <v>5371</v>
      </c>
      <c r="G167" s="4131" t="s">
        <v>5372</v>
      </c>
      <c r="H167" s="4132" t="s">
        <v>5373</v>
      </c>
      <c r="I167" s="4131" t="s">
        <v>5374</v>
      </c>
      <c r="J167" s="4132" t="s">
        <v>5375</v>
      </c>
      <c r="K167" s="4131" t="s">
        <v>5376</v>
      </c>
      <c r="L167" s="4132" t="s">
        <v>5377</v>
      </c>
      <c r="M167" s="4131" t="s">
        <v>5378</v>
      </c>
      <c r="N167" s="4132" t="s">
        <v>5379</v>
      </c>
      <c r="O167" s="4131" t="s">
        <v>5380</v>
      </c>
      <c r="P167" s="4132" t="s">
        <v>5381</v>
      </c>
      <c r="Q167" s="4131" t="s">
        <v>5382</v>
      </c>
      <c r="R167" s="4132" t="s">
        <v>5383</v>
      </c>
      <c r="S167" s="4131" t="s">
        <v>5384</v>
      </c>
      <c r="T167" s="4132" t="s">
        <v>5385</v>
      </c>
      <c r="U167" s="4131" t="s">
        <v>5386</v>
      </c>
      <c r="V167" s="4132" t="s">
        <v>5387</v>
      </c>
      <c r="W167" s="4131" t="s">
        <v>5388</v>
      </c>
      <c r="X167" s="4132" t="s">
        <v>5389</v>
      </c>
      <c r="Y167" s="4131" t="s">
        <v>5390</v>
      </c>
      <c r="Z167" s="4132" t="s">
        <v>5391</v>
      </c>
      <c r="AA167" s="4131" t="s">
        <v>5392</v>
      </c>
      <c r="AB167" s="4132" t="s">
        <v>5393</v>
      </c>
      <c r="AC167" s="4131" t="s">
        <v>5394</v>
      </c>
      <c r="AD167" s="4132" t="s">
        <v>5395</v>
      </c>
      <c r="AE167" s="4131" t="s">
        <v>5396</v>
      </c>
      <c r="AF167" s="4132" t="s">
        <v>5397</v>
      </c>
      <c r="AG167" s="4131" t="s">
        <v>5398</v>
      </c>
      <c r="AH167" s="4133" t="s">
        <v>5399</v>
      </c>
      <c r="AI167" s="3838" t="s">
        <v>5400</v>
      </c>
      <c r="AJ167" s="3838" t="s">
        <v>5401</v>
      </c>
      <c r="AK167" s="3811" t="str">
        <f t="shared" si="73"/>
        <v xml:space="preserve"> *.Las Acciones de Pueblos Originarios no pueden superar el total de Acciones  *.Las Acciones de Migrantes no pueden superar el total de Acciones </v>
      </c>
      <c r="CB167" s="3811" t="str">
        <f t="shared" si="74"/>
        <v xml:space="preserve"> *.Las Acciones de Pueblos Originarios no pueden superar el total de Acciones </v>
      </c>
      <c r="CC167" s="3811" t="str">
        <f t="shared" si="75"/>
        <v xml:space="preserve"> *.Las Acciones de Migrantes no pueden superar el total de Acciones </v>
      </c>
      <c r="CD167" s="3811" t="str">
        <f t="shared" si="76"/>
        <v/>
      </c>
      <c r="CL167" s="3811">
        <f t="shared" si="77"/>
        <v>1</v>
      </c>
      <c r="CM167" s="3811">
        <f t="shared" si="78"/>
        <v>1</v>
      </c>
    </row>
    <row r="168" spans="1:93" ht="18.600000000000001" customHeight="1" x14ac:dyDescent="0.2">
      <c r="A168" s="7263">
        <v>32100970</v>
      </c>
      <c r="B168" s="9062"/>
      <c r="C168" s="4134" t="s">
        <v>2426</v>
      </c>
      <c r="D168" s="4135" t="s">
        <v>5369</v>
      </c>
      <c r="E168" s="4083" t="s">
        <v>5370</v>
      </c>
      <c r="F168" s="4084" t="s">
        <v>5371</v>
      </c>
      <c r="G168" s="4136" t="s">
        <v>5372</v>
      </c>
      <c r="H168" s="4137" t="s">
        <v>5373</v>
      </c>
      <c r="I168" s="4136" t="s">
        <v>5374</v>
      </c>
      <c r="J168" s="4137" t="s">
        <v>5375</v>
      </c>
      <c r="K168" s="4136" t="s">
        <v>5376</v>
      </c>
      <c r="L168" s="4137" t="s">
        <v>5377</v>
      </c>
      <c r="M168" s="4136" t="s">
        <v>5378</v>
      </c>
      <c r="N168" s="4137" t="s">
        <v>5379</v>
      </c>
      <c r="O168" s="4136" t="s">
        <v>5380</v>
      </c>
      <c r="P168" s="4137" t="s">
        <v>5381</v>
      </c>
      <c r="Q168" s="4136" t="s">
        <v>5382</v>
      </c>
      <c r="R168" s="4137" t="s">
        <v>5383</v>
      </c>
      <c r="S168" s="4136" t="s">
        <v>5384</v>
      </c>
      <c r="T168" s="4137" t="s">
        <v>5385</v>
      </c>
      <c r="U168" s="4136" t="s">
        <v>5386</v>
      </c>
      <c r="V168" s="4137" t="s">
        <v>5387</v>
      </c>
      <c r="W168" s="4136" t="s">
        <v>5388</v>
      </c>
      <c r="X168" s="4137" t="s">
        <v>5389</v>
      </c>
      <c r="Y168" s="4136" t="s">
        <v>5390</v>
      </c>
      <c r="Z168" s="4137" t="s">
        <v>5391</v>
      </c>
      <c r="AA168" s="4136" t="s">
        <v>5392</v>
      </c>
      <c r="AB168" s="4137" t="s">
        <v>5393</v>
      </c>
      <c r="AC168" s="4136" t="s">
        <v>5394</v>
      </c>
      <c r="AD168" s="4137" t="s">
        <v>5395</v>
      </c>
      <c r="AE168" s="4136" t="s">
        <v>5396</v>
      </c>
      <c r="AF168" s="4137" t="s">
        <v>5397</v>
      </c>
      <c r="AG168" s="4136" t="s">
        <v>5398</v>
      </c>
      <c r="AH168" s="4138" t="s">
        <v>5399</v>
      </c>
      <c r="AI168" s="3900" t="s">
        <v>5400</v>
      </c>
      <c r="AJ168" s="3900" t="s">
        <v>5401</v>
      </c>
      <c r="AK168" s="3811" t="str">
        <f t="shared" si="73"/>
        <v xml:space="preserve"> *.Las Acciones de Pueblos Originarios no pueden superar el total de Acciones  *.Las Acciones de Migrantes no pueden superar el total de Acciones </v>
      </c>
      <c r="CB168" s="3811" t="str">
        <f t="shared" si="74"/>
        <v xml:space="preserve"> *.Las Acciones de Pueblos Originarios no pueden superar el total de Acciones </v>
      </c>
      <c r="CC168" s="3811" t="str">
        <f t="shared" si="75"/>
        <v xml:space="preserve"> *.Las Acciones de Migrantes no pueden superar el total de Acciones </v>
      </c>
      <c r="CD168" s="3811" t="str">
        <f t="shared" si="76"/>
        <v/>
      </c>
      <c r="CL168" s="3811">
        <f t="shared" si="77"/>
        <v>1</v>
      </c>
      <c r="CM168" s="3811">
        <f t="shared" si="78"/>
        <v>1</v>
      </c>
    </row>
    <row r="169" spans="1:93" ht="18.600000000000001" customHeight="1" x14ac:dyDescent="0.2">
      <c r="A169" s="7263">
        <v>32100980</v>
      </c>
      <c r="B169" s="9062"/>
      <c r="C169" s="4139" t="s">
        <v>46</v>
      </c>
      <c r="D169" s="4135" t="s">
        <v>5369</v>
      </c>
      <c r="E169" s="4083" t="s">
        <v>5370</v>
      </c>
      <c r="F169" s="4084" t="s">
        <v>5371</v>
      </c>
      <c r="G169" s="4136" t="s">
        <v>5372</v>
      </c>
      <c r="H169" s="4137" t="s">
        <v>5373</v>
      </c>
      <c r="I169" s="4136" t="s">
        <v>5374</v>
      </c>
      <c r="J169" s="4137" t="s">
        <v>5375</v>
      </c>
      <c r="K169" s="4136" t="s">
        <v>5376</v>
      </c>
      <c r="L169" s="4137" t="s">
        <v>5377</v>
      </c>
      <c r="M169" s="4136" t="s">
        <v>5378</v>
      </c>
      <c r="N169" s="4137" t="s">
        <v>5379</v>
      </c>
      <c r="O169" s="4136" t="s">
        <v>5380</v>
      </c>
      <c r="P169" s="4137" t="s">
        <v>5381</v>
      </c>
      <c r="Q169" s="4136" t="s">
        <v>5382</v>
      </c>
      <c r="R169" s="4137" t="s">
        <v>5383</v>
      </c>
      <c r="S169" s="4136" t="s">
        <v>5384</v>
      </c>
      <c r="T169" s="4137" t="s">
        <v>5385</v>
      </c>
      <c r="U169" s="4136" t="s">
        <v>5386</v>
      </c>
      <c r="V169" s="4137" t="s">
        <v>5387</v>
      </c>
      <c r="W169" s="4136" t="s">
        <v>5388</v>
      </c>
      <c r="X169" s="4137" t="s">
        <v>5389</v>
      </c>
      <c r="Y169" s="4136" t="s">
        <v>5390</v>
      </c>
      <c r="Z169" s="4137" t="s">
        <v>5391</v>
      </c>
      <c r="AA169" s="4136" t="s">
        <v>5392</v>
      </c>
      <c r="AB169" s="4137" t="s">
        <v>5393</v>
      </c>
      <c r="AC169" s="4136" t="s">
        <v>5394</v>
      </c>
      <c r="AD169" s="4137" t="s">
        <v>5395</v>
      </c>
      <c r="AE169" s="4136" t="s">
        <v>5396</v>
      </c>
      <c r="AF169" s="4137" t="s">
        <v>5397</v>
      </c>
      <c r="AG169" s="4136" t="s">
        <v>5398</v>
      </c>
      <c r="AH169" s="4138" t="s">
        <v>5399</v>
      </c>
      <c r="AI169" s="3900" t="s">
        <v>5400</v>
      </c>
      <c r="AJ169" s="3900" t="s">
        <v>5401</v>
      </c>
      <c r="AK169" s="3811" t="str">
        <f t="shared" si="73"/>
        <v xml:space="preserve"> *.Las Acciones de Pueblos Originarios no pueden superar el total de Acciones  *.Las Acciones de Migrantes no pueden superar el total de Acciones </v>
      </c>
      <c r="CB169" s="3811" t="str">
        <f t="shared" si="74"/>
        <v xml:space="preserve"> *.Las Acciones de Pueblos Originarios no pueden superar el total de Acciones </v>
      </c>
      <c r="CC169" s="3811" t="str">
        <f t="shared" si="75"/>
        <v xml:space="preserve"> *.Las Acciones de Migrantes no pueden superar el total de Acciones </v>
      </c>
      <c r="CD169" s="3811" t="str">
        <f t="shared" si="76"/>
        <v/>
      </c>
      <c r="CL169" s="3811">
        <f t="shared" si="77"/>
        <v>1</v>
      </c>
      <c r="CM169" s="3811">
        <f t="shared" si="78"/>
        <v>1</v>
      </c>
    </row>
    <row r="170" spans="1:93" ht="18.600000000000001" customHeight="1" x14ac:dyDescent="0.2">
      <c r="A170" s="7263">
        <v>32100990</v>
      </c>
      <c r="B170" s="9228"/>
      <c r="C170" s="3973" t="s">
        <v>2614</v>
      </c>
      <c r="D170" s="4140" t="s">
        <v>5369</v>
      </c>
      <c r="E170" s="4141" t="s">
        <v>5370</v>
      </c>
      <c r="F170" s="4142" t="s">
        <v>5371</v>
      </c>
      <c r="G170" s="3979" t="s">
        <v>5372</v>
      </c>
      <c r="H170" s="3980" t="s">
        <v>5373</v>
      </c>
      <c r="I170" s="3979" t="s">
        <v>5374</v>
      </c>
      <c r="J170" s="3980" t="s">
        <v>5375</v>
      </c>
      <c r="K170" s="3979" t="s">
        <v>5376</v>
      </c>
      <c r="L170" s="3980" t="s">
        <v>5377</v>
      </c>
      <c r="M170" s="3979" t="s">
        <v>5378</v>
      </c>
      <c r="N170" s="3980" t="s">
        <v>5379</v>
      </c>
      <c r="O170" s="3979" t="s">
        <v>5380</v>
      </c>
      <c r="P170" s="3980" t="s">
        <v>5381</v>
      </c>
      <c r="Q170" s="3979" t="s">
        <v>5382</v>
      </c>
      <c r="R170" s="3980" t="s">
        <v>5383</v>
      </c>
      <c r="S170" s="3979" t="s">
        <v>5384</v>
      </c>
      <c r="T170" s="3980" t="s">
        <v>5385</v>
      </c>
      <c r="U170" s="3979" t="s">
        <v>5386</v>
      </c>
      <c r="V170" s="3980" t="s">
        <v>5387</v>
      </c>
      <c r="W170" s="3979" t="s">
        <v>5388</v>
      </c>
      <c r="X170" s="3980" t="s">
        <v>5389</v>
      </c>
      <c r="Y170" s="3979" t="s">
        <v>5390</v>
      </c>
      <c r="Z170" s="3980" t="s">
        <v>5391</v>
      </c>
      <c r="AA170" s="3979" t="s">
        <v>5392</v>
      </c>
      <c r="AB170" s="3980" t="s">
        <v>5393</v>
      </c>
      <c r="AC170" s="3979" t="s">
        <v>5394</v>
      </c>
      <c r="AD170" s="3980" t="s">
        <v>5395</v>
      </c>
      <c r="AE170" s="3979" t="s">
        <v>5396</v>
      </c>
      <c r="AF170" s="3980" t="s">
        <v>5397</v>
      </c>
      <c r="AG170" s="3979" t="s">
        <v>5398</v>
      </c>
      <c r="AH170" s="3996" t="s">
        <v>5399</v>
      </c>
      <c r="AI170" s="4143" t="s">
        <v>5400</v>
      </c>
      <c r="AJ170" s="4143" t="s">
        <v>5401</v>
      </c>
      <c r="AK170" s="3811" t="str">
        <f t="shared" si="73"/>
        <v xml:space="preserve"> *.Las Acciones de Pueblos Originarios no pueden superar el total de Acciones  *.Las Acciones de Migrantes no pueden superar el total de Acciones </v>
      </c>
      <c r="CB170" s="3811" t="str">
        <f t="shared" si="74"/>
        <v xml:space="preserve"> *.Las Acciones de Pueblos Originarios no pueden superar el total de Acciones </v>
      </c>
      <c r="CC170" s="3811" t="str">
        <f t="shared" si="75"/>
        <v xml:space="preserve"> *.Las Acciones de Migrantes no pueden superar el total de Acciones </v>
      </c>
      <c r="CD170" s="3811" t="str">
        <f t="shared" si="76"/>
        <v/>
      </c>
      <c r="CL170" s="3811">
        <f t="shared" si="77"/>
        <v>1</v>
      </c>
      <c r="CM170" s="3811">
        <f t="shared" si="78"/>
        <v>1</v>
      </c>
    </row>
    <row r="171" spans="1:93" ht="21.75" customHeight="1" x14ac:dyDescent="0.25">
      <c r="B171" s="4047" t="s">
        <v>3113</v>
      </c>
      <c r="C171" s="4144"/>
      <c r="D171" s="3805"/>
      <c r="E171" s="4145"/>
    </row>
    <row r="172" spans="1:93" ht="13.95" customHeight="1" x14ac:dyDescent="0.2">
      <c r="B172" s="11319" t="s">
        <v>1049</v>
      </c>
      <c r="C172" s="11270" t="s">
        <v>24</v>
      </c>
      <c r="D172" s="11321"/>
      <c r="E172" s="8636"/>
      <c r="F172" s="11322" t="s">
        <v>2151</v>
      </c>
      <c r="G172" s="9145"/>
      <c r="H172" s="9145"/>
      <c r="I172" s="9145"/>
      <c r="J172" s="9145"/>
      <c r="K172" s="9145"/>
      <c r="L172" s="9145"/>
      <c r="M172" s="9145"/>
      <c r="N172" s="9145"/>
      <c r="O172" s="9145"/>
      <c r="P172" s="9145"/>
      <c r="Q172" s="9145"/>
      <c r="R172" s="9145"/>
      <c r="S172" s="9145"/>
      <c r="T172" s="9145"/>
      <c r="U172" s="9145"/>
      <c r="V172" s="9145"/>
      <c r="W172" s="9145"/>
      <c r="X172" s="9145"/>
      <c r="Y172" s="9145"/>
      <c r="Z172" s="9145"/>
      <c r="AA172" s="9145"/>
      <c r="AB172" s="9145"/>
      <c r="AC172" s="9145"/>
      <c r="AD172" s="9145"/>
      <c r="AE172" s="9145"/>
      <c r="AF172" s="9145"/>
      <c r="AG172" s="9146"/>
      <c r="AH172" s="11323" t="s">
        <v>2432</v>
      </c>
      <c r="AI172" s="11303" t="s">
        <v>362</v>
      </c>
      <c r="AJ172" s="11303" t="s">
        <v>361</v>
      </c>
    </row>
    <row r="173" spans="1:93" x14ac:dyDescent="0.2">
      <c r="B173" s="9418"/>
      <c r="C173" s="10988"/>
      <c r="D173" s="10922"/>
      <c r="E173" s="9156"/>
      <c r="F173" s="11278" t="s">
        <v>71</v>
      </c>
      <c r="G173" s="11300"/>
      <c r="H173" s="11278" t="s">
        <v>4</v>
      </c>
      <c r="I173" s="11300"/>
      <c r="J173" s="11278" t="s">
        <v>5</v>
      </c>
      <c r="K173" s="11300"/>
      <c r="L173" s="11278" t="s">
        <v>6</v>
      </c>
      <c r="M173" s="11300"/>
      <c r="N173" s="11278" t="s">
        <v>7</v>
      </c>
      <c r="O173" s="11300"/>
      <c r="P173" s="11278" t="s">
        <v>8</v>
      </c>
      <c r="Q173" s="11300"/>
      <c r="R173" s="11278" t="s">
        <v>9</v>
      </c>
      <c r="S173" s="11300"/>
      <c r="T173" s="11278" t="s">
        <v>10</v>
      </c>
      <c r="U173" s="11300"/>
      <c r="V173" s="11301" t="s">
        <v>11</v>
      </c>
      <c r="W173" s="11302"/>
      <c r="X173" s="11278" t="s">
        <v>12</v>
      </c>
      <c r="Y173" s="11300"/>
      <c r="Z173" s="11278" t="s">
        <v>13</v>
      </c>
      <c r="AA173" s="11300"/>
      <c r="AB173" s="11278" t="s">
        <v>14</v>
      </c>
      <c r="AC173" s="11300"/>
      <c r="AD173" s="11278" t="s">
        <v>15</v>
      </c>
      <c r="AE173" s="11300"/>
      <c r="AF173" s="11278" t="s">
        <v>16</v>
      </c>
      <c r="AG173" s="11324"/>
      <c r="AH173" s="9062"/>
      <c r="AI173" s="11304"/>
      <c r="AJ173" s="11304"/>
      <c r="CB173" s="11220" t="s">
        <v>362</v>
      </c>
      <c r="CC173" s="11220" t="s">
        <v>361</v>
      </c>
      <c r="CD173" s="11220" t="s">
        <v>3948</v>
      </c>
      <c r="CL173" s="11220" t="s">
        <v>362</v>
      </c>
      <c r="CM173" s="11220" t="s">
        <v>361</v>
      </c>
      <c r="CO173" s="11220"/>
    </row>
    <row r="174" spans="1:93" x14ac:dyDescent="0.2">
      <c r="B174" s="11320"/>
      <c r="C174" s="4146" t="s">
        <v>42</v>
      </c>
      <c r="D174" s="4014" t="s">
        <v>17</v>
      </c>
      <c r="E174" s="4147" t="s">
        <v>18</v>
      </c>
      <c r="F174" s="3878" t="s">
        <v>17</v>
      </c>
      <c r="G174" s="4147" t="s">
        <v>18</v>
      </c>
      <c r="H174" s="3878" t="s">
        <v>17</v>
      </c>
      <c r="I174" s="4147" t="s">
        <v>18</v>
      </c>
      <c r="J174" s="3878" t="s">
        <v>17</v>
      </c>
      <c r="K174" s="4147" t="s">
        <v>18</v>
      </c>
      <c r="L174" s="3878" t="s">
        <v>17</v>
      </c>
      <c r="M174" s="4147" t="s">
        <v>18</v>
      </c>
      <c r="N174" s="3878" t="s">
        <v>17</v>
      </c>
      <c r="O174" s="4147" t="s">
        <v>18</v>
      </c>
      <c r="P174" s="3878" t="s">
        <v>17</v>
      </c>
      <c r="Q174" s="4147" t="s">
        <v>18</v>
      </c>
      <c r="R174" s="3878" t="s">
        <v>17</v>
      </c>
      <c r="S174" s="4147" t="s">
        <v>18</v>
      </c>
      <c r="T174" s="3878" t="s">
        <v>17</v>
      </c>
      <c r="U174" s="4147" t="s">
        <v>18</v>
      </c>
      <c r="V174" s="3878" t="s">
        <v>17</v>
      </c>
      <c r="W174" s="4147" t="s">
        <v>18</v>
      </c>
      <c r="X174" s="3878" t="s">
        <v>17</v>
      </c>
      <c r="Y174" s="4147" t="s">
        <v>18</v>
      </c>
      <c r="Z174" s="3878" t="s">
        <v>17</v>
      </c>
      <c r="AA174" s="4147" t="s">
        <v>18</v>
      </c>
      <c r="AB174" s="3878" t="s">
        <v>17</v>
      </c>
      <c r="AC174" s="4147" t="s">
        <v>18</v>
      </c>
      <c r="AD174" s="3878" t="s">
        <v>17</v>
      </c>
      <c r="AE174" s="4147" t="s">
        <v>18</v>
      </c>
      <c r="AF174" s="3878" t="s">
        <v>17</v>
      </c>
      <c r="AG174" s="4148" t="s">
        <v>18</v>
      </c>
      <c r="AH174" s="9228"/>
      <c r="AI174" s="11305"/>
      <c r="AJ174" s="11305"/>
      <c r="CB174" s="11220"/>
      <c r="CC174" s="11220"/>
      <c r="CD174" s="11220"/>
      <c r="CL174" s="11220"/>
      <c r="CM174" s="11220"/>
      <c r="CO174" s="11220"/>
    </row>
    <row r="175" spans="1:93" ht="16.95" customHeight="1" x14ac:dyDescent="0.2">
      <c r="A175" s="7263">
        <v>32101100</v>
      </c>
      <c r="B175" s="4149" t="s">
        <v>2421</v>
      </c>
      <c r="C175" s="4150" t="s">
        <v>5369</v>
      </c>
      <c r="D175" s="4150" t="s">
        <v>5370</v>
      </c>
      <c r="E175" s="4150" t="s">
        <v>5371</v>
      </c>
      <c r="F175" s="3897" t="s">
        <v>5372</v>
      </c>
      <c r="G175" s="3834" t="s">
        <v>5373</v>
      </c>
      <c r="H175" s="3897" t="s">
        <v>5374</v>
      </c>
      <c r="I175" s="3834" t="s">
        <v>5375</v>
      </c>
      <c r="J175" s="3897" t="s">
        <v>5376</v>
      </c>
      <c r="K175" s="3834" t="s">
        <v>5377</v>
      </c>
      <c r="L175" s="3897" t="s">
        <v>5378</v>
      </c>
      <c r="M175" s="3834" t="s">
        <v>5379</v>
      </c>
      <c r="N175" s="3897" t="s">
        <v>5380</v>
      </c>
      <c r="O175" s="3834" t="s">
        <v>5381</v>
      </c>
      <c r="P175" s="3897" t="s">
        <v>5382</v>
      </c>
      <c r="Q175" s="3834" t="s">
        <v>5383</v>
      </c>
      <c r="R175" s="3897" t="s">
        <v>5384</v>
      </c>
      <c r="S175" s="3834" t="s">
        <v>5385</v>
      </c>
      <c r="T175" s="3897" t="s">
        <v>5386</v>
      </c>
      <c r="U175" s="3834" t="s">
        <v>5387</v>
      </c>
      <c r="V175" s="3897" t="s">
        <v>5388</v>
      </c>
      <c r="W175" s="3834" t="s">
        <v>5389</v>
      </c>
      <c r="X175" s="3897" t="s">
        <v>5390</v>
      </c>
      <c r="Y175" s="3834" t="s">
        <v>5391</v>
      </c>
      <c r="Z175" s="3897" t="s">
        <v>5392</v>
      </c>
      <c r="AA175" s="3834" t="s">
        <v>5393</v>
      </c>
      <c r="AB175" s="3897" t="s">
        <v>5394</v>
      </c>
      <c r="AC175" s="3834" t="s">
        <v>5395</v>
      </c>
      <c r="AD175" s="3897" t="s">
        <v>5396</v>
      </c>
      <c r="AE175" s="3834" t="s">
        <v>5397</v>
      </c>
      <c r="AF175" s="3897" t="s">
        <v>5398</v>
      </c>
      <c r="AG175" s="4151" t="s">
        <v>5399</v>
      </c>
      <c r="AH175" s="4152" t="s">
        <v>5400</v>
      </c>
      <c r="AI175" s="4152" t="s">
        <v>5401</v>
      </c>
      <c r="AJ175" s="4152" t="s">
        <v>5402</v>
      </c>
      <c r="AK175" s="3811" t="str">
        <f>$CB175&amp;$CC175&amp;$CD175&amp;$CE175&amp;CF175&amp;CG175&amp;CH175&amp;CI175</f>
        <v xml:space="preserve"> *.Las Acciones de Pueblos Originarios no pueden superar el total de Acciones  *.Las Acciones de Migrantes no pueden superar el total de Acciones </v>
      </c>
      <c r="CB175" s="3811" t="str">
        <f>IF(CL175=1," *.Las Acciones de Pueblos Originarios no pueden superar el total de Acciones ","")</f>
        <v xml:space="preserve"> *.Las Acciones de Pueblos Originarios no pueden superar el total de Acciones </v>
      </c>
      <c r="CC175" s="3811" t="str">
        <f>IF(CM175=1," *.Las Acciones de Migrantes no pueden superar el total de Acciones ","")</f>
        <v xml:space="preserve"> *.Las Acciones de Migrantes no pueden superar el total de Acciones </v>
      </c>
      <c r="CD175" s="3811" t="str">
        <f>IF(OR(AND(C175&lt;&gt;0,AI175=""),AND(C175&lt;&gt;0,AJ175="")),"* No olvide digitar Migrantes y/o Pueblos Originarios (Digite CERO si no tiene). ","")</f>
        <v/>
      </c>
      <c r="CL175" s="3811">
        <f t="shared" ref="CL175:CM177" si="79">IF(AI175&gt;$D175,1,0)</f>
        <v>1</v>
      </c>
      <c r="CM175" s="3811">
        <f t="shared" si="79"/>
        <v>1</v>
      </c>
    </row>
    <row r="176" spans="1:93" ht="13.95" customHeight="1" x14ac:dyDescent="0.2">
      <c r="A176" s="7263">
        <v>32101110</v>
      </c>
      <c r="B176" s="4149" t="s">
        <v>2422</v>
      </c>
      <c r="C176" s="4153" t="s">
        <v>5369</v>
      </c>
      <c r="D176" s="4153" t="s">
        <v>5370</v>
      </c>
      <c r="E176" s="4153" t="s">
        <v>5371</v>
      </c>
      <c r="F176" s="3830" t="s">
        <v>5372</v>
      </c>
      <c r="G176" s="3841" t="s">
        <v>5373</v>
      </c>
      <c r="H176" s="3830" t="s">
        <v>5374</v>
      </c>
      <c r="I176" s="3841" t="s">
        <v>5375</v>
      </c>
      <c r="J176" s="3830" t="s">
        <v>5376</v>
      </c>
      <c r="K176" s="3841" t="s">
        <v>5377</v>
      </c>
      <c r="L176" s="3830" t="s">
        <v>5378</v>
      </c>
      <c r="M176" s="3841" t="s">
        <v>5379</v>
      </c>
      <c r="N176" s="3830" t="s">
        <v>5380</v>
      </c>
      <c r="O176" s="3841" t="s">
        <v>5381</v>
      </c>
      <c r="P176" s="3830" t="s">
        <v>5382</v>
      </c>
      <c r="Q176" s="3841" t="s">
        <v>5383</v>
      </c>
      <c r="R176" s="3830" t="s">
        <v>5384</v>
      </c>
      <c r="S176" s="3841" t="s">
        <v>5385</v>
      </c>
      <c r="T176" s="3830" t="s">
        <v>5386</v>
      </c>
      <c r="U176" s="3841" t="s">
        <v>5387</v>
      </c>
      <c r="V176" s="3830" t="s">
        <v>5388</v>
      </c>
      <c r="W176" s="3841" t="s">
        <v>5389</v>
      </c>
      <c r="X176" s="3830" t="s">
        <v>5390</v>
      </c>
      <c r="Y176" s="3841" t="s">
        <v>5391</v>
      </c>
      <c r="Z176" s="3830" t="s">
        <v>5392</v>
      </c>
      <c r="AA176" s="3841" t="s">
        <v>5393</v>
      </c>
      <c r="AB176" s="3830" t="s">
        <v>5394</v>
      </c>
      <c r="AC176" s="3841" t="s">
        <v>5395</v>
      </c>
      <c r="AD176" s="3830" t="s">
        <v>5396</v>
      </c>
      <c r="AE176" s="3841" t="s">
        <v>5397</v>
      </c>
      <c r="AF176" s="3830" t="s">
        <v>5398</v>
      </c>
      <c r="AG176" s="4154" t="s">
        <v>5399</v>
      </c>
      <c r="AH176" s="4041" t="s">
        <v>5400</v>
      </c>
      <c r="AI176" s="4041" t="s">
        <v>5401</v>
      </c>
      <c r="AJ176" s="4041" t="s">
        <v>5402</v>
      </c>
      <c r="AK176" s="3811" t="str">
        <f>$CB176&amp;$CC176&amp;$CD176&amp;$CE176&amp;CF176&amp;CG176&amp;CH176&amp;CI176</f>
        <v xml:space="preserve"> *.Las Acciones de Pueblos Originarios no pueden superar el total de Acciones  *.Las Acciones de Migrantes no pueden superar el total de Acciones </v>
      </c>
      <c r="CB176" s="3811" t="str">
        <f>IF(CL176=1," *.Las Acciones de Pueblos Originarios no pueden superar el total de Acciones ","")</f>
        <v xml:space="preserve"> *.Las Acciones de Pueblos Originarios no pueden superar el total de Acciones </v>
      </c>
      <c r="CC176" s="3811" t="str">
        <f>IF(CM176=1," *.Las Acciones de Migrantes no pueden superar el total de Acciones ","")</f>
        <v xml:space="preserve"> *.Las Acciones de Migrantes no pueden superar el total de Acciones </v>
      </c>
      <c r="CD176" s="3811" t="str">
        <f t="shared" ref="CD176:CD177" si="80">IF(OR(AND(C176&lt;&gt;0,AI176=""),AND(C176&lt;&gt;0,AJ176="")),"* No olvide digitar Migrantes y/o Pueblos Originarios (Digite CERO si no tiene). ","")</f>
        <v/>
      </c>
      <c r="CL176" s="3811">
        <f t="shared" si="79"/>
        <v>1</v>
      </c>
      <c r="CM176" s="3811">
        <f t="shared" si="79"/>
        <v>1</v>
      </c>
    </row>
    <row r="177" spans="1:104" ht="15" customHeight="1" x14ac:dyDescent="0.2">
      <c r="A177" s="7320">
        <v>32101586</v>
      </c>
      <c r="B177" s="4149" t="s">
        <v>3815</v>
      </c>
      <c r="C177" s="4153" t="s">
        <v>5369</v>
      </c>
      <c r="D177" s="4153" t="s">
        <v>5370</v>
      </c>
      <c r="E177" s="4153" t="s">
        <v>5371</v>
      </c>
      <c r="F177" s="4017" t="s">
        <v>5372</v>
      </c>
      <c r="G177" s="4155" t="s">
        <v>5373</v>
      </c>
      <c r="H177" s="4017" t="s">
        <v>5374</v>
      </c>
      <c r="I177" s="4155" t="s">
        <v>5375</v>
      </c>
      <c r="J177" s="4017" t="s">
        <v>5376</v>
      </c>
      <c r="K177" s="4155" t="s">
        <v>5377</v>
      </c>
      <c r="L177" s="4017" t="s">
        <v>5378</v>
      </c>
      <c r="M177" s="4155" t="s">
        <v>5379</v>
      </c>
      <c r="N177" s="4017" t="s">
        <v>5380</v>
      </c>
      <c r="O177" s="4155" t="s">
        <v>5381</v>
      </c>
      <c r="P177" s="4017" t="s">
        <v>5382</v>
      </c>
      <c r="Q177" s="4155" t="s">
        <v>5383</v>
      </c>
      <c r="R177" s="4017" t="s">
        <v>5384</v>
      </c>
      <c r="S177" s="4155" t="s">
        <v>5385</v>
      </c>
      <c r="T177" s="4017" t="s">
        <v>5386</v>
      </c>
      <c r="U177" s="4155" t="s">
        <v>5387</v>
      </c>
      <c r="V177" s="4017" t="s">
        <v>5388</v>
      </c>
      <c r="W177" s="4155" t="s">
        <v>5389</v>
      </c>
      <c r="X177" s="4017" t="s">
        <v>5390</v>
      </c>
      <c r="Y177" s="4155" t="s">
        <v>5391</v>
      </c>
      <c r="Z177" s="4017" t="s">
        <v>5392</v>
      </c>
      <c r="AA177" s="4155" t="s">
        <v>5393</v>
      </c>
      <c r="AB177" s="4017" t="s">
        <v>5394</v>
      </c>
      <c r="AC177" s="4155" t="s">
        <v>5395</v>
      </c>
      <c r="AD177" s="4017" t="s">
        <v>5396</v>
      </c>
      <c r="AE177" s="4155" t="s">
        <v>5397</v>
      </c>
      <c r="AF177" s="4017" t="s">
        <v>5398</v>
      </c>
      <c r="AG177" s="4156" t="s">
        <v>5399</v>
      </c>
      <c r="AH177" s="4157" t="s">
        <v>5400</v>
      </c>
      <c r="AI177" s="4157" t="s">
        <v>5401</v>
      </c>
      <c r="AJ177" s="4157" t="s">
        <v>5402</v>
      </c>
      <c r="AK177" s="3811" t="str">
        <f>$CB177&amp;$CC177&amp;$CD177&amp;$CE177&amp;CF177&amp;CG177&amp;CH177&amp;CI177</f>
        <v xml:space="preserve"> *.Las Acciones de Pueblos Originarios no pueden superar el total de Acciones  *.Las Acciones de Migrantes no pueden superar el total de Acciones </v>
      </c>
      <c r="CB177" s="3811" t="str">
        <f>IF(CL177=1," *.Las Acciones de Pueblos Originarios no pueden superar el total de Acciones ","")</f>
        <v xml:space="preserve"> *.Las Acciones de Pueblos Originarios no pueden superar el total de Acciones </v>
      </c>
      <c r="CC177" s="3811" t="str">
        <f>IF(CM177=1," *.Las Acciones de Migrantes no pueden superar el total de Acciones ","")</f>
        <v xml:space="preserve"> *.Las Acciones de Migrantes no pueden superar el total de Acciones </v>
      </c>
      <c r="CD177" s="3811" t="str">
        <f t="shared" si="80"/>
        <v/>
      </c>
      <c r="CL177" s="3811">
        <f t="shared" si="79"/>
        <v>1</v>
      </c>
      <c r="CM177" s="3811">
        <f t="shared" si="79"/>
        <v>1</v>
      </c>
    </row>
    <row r="178" spans="1:104" ht="15" customHeight="1" x14ac:dyDescent="0.2">
      <c r="A178" s="7320">
        <v>32101587</v>
      </c>
      <c r="B178" s="4149" t="s">
        <v>3816</v>
      </c>
      <c r="C178" s="4158" t="s">
        <v>5369</v>
      </c>
      <c r="D178" s="4158" t="s">
        <v>5370</v>
      </c>
      <c r="E178" s="4158" t="s">
        <v>5371</v>
      </c>
      <c r="F178" s="4159" t="s">
        <v>5372</v>
      </c>
      <c r="G178" s="4160" t="s">
        <v>5373</v>
      </c>
      <c r="H178" s="4159" t="s">
        <v>5374</v>
      </c>
      <c r="I178" s="4160" t="s">
        <v>5375</v>
      </c>
      <c r="J178" s="4159" t="s">
        <v>5376</v>
      </c>
      <c r="K178" s="4160" t="s">
        <v>5377</v>
      </c>
      <c r="L178" s="4159" t="s">
        <v>5378</v>
      </c>
      <c r="M178" s="4160" t="s">
        <v>5379</v>
      </c>
      <c r="N178" s="4159" t="s">
        <v>5380</v>
      </c>
      <c r="O178" s="4160" t="s">
        <v>5381</v>
      </c>
      <c r="P178" s="4159" t="s">
        <v>5382</v>
      </c>
      <c r="Q178" s="4160" t="s">
        <v>5383</v>
      </c>
      <c r="R178" s="4159" t="s">
        <v>5384</v>
      </c>
      <c r="S178" s="4160" t="s">
        <v>5385</v>
      </c>
      <c r="T178" s="4159" t="s">
        <v>5386</v>
      </c>
      <c r="U178" s="4160" t="s">
        <v>5387</v>
      </c>
      <c r="V178" s="4159" t="s">
        <v>5388</v>
      </c>
      <c r="W178" s="4160" t="s">
        <v>5389</v>
      </c>
      <c r="X178" s="4159" t="s">
        <v>5390</v>
      </c>
      <c r="Y178" s="4160" t="s">
        <v>5391</v>
      </c>
      <c r="Z178" s="4159" t="s">
        <v>5392</v>
      </c>
      <c r="AA178" s="4160" t="s">
        <v>5393</v>
      </c>
      <c r="AB178" s="4159" t="s">
        <v>5394</v>
      </c>
      <c r="AC178" s="4160" t="s">
        <v>5395</v>
      </c>
      <c r="AD178" s="4159" t="s">
        <v>5396</v>
      </c>
      <c r="AE178" s="4160" t="s">
        <v>5397</v>
      </c>
      <c r="AF178" s="4159" t="s">
        <v>5398</v>
      </c>
      <c r="AG178" s="4161" t="s">
        <v>5399</v>
      </c>
      <c r="AH178" s="4162" t="s">
        <v>5400</v>
      </c>
      <c r="AI178" s="4163" t="s">
        <v>5401</v>
      </c>
      <c r="AJ178" s="4163" t="s">
        <v>5402</v>
      </c>
    </row>
    <row r="179" spans="1:104" ht="24.75" customHeight="1" x14ac:dyDescent="0.25">
      <c r="B179" s="4164" t="s">
        <v>3114</v>
      </c>
      <c r="C179" s="4165"/>
    </row>
    <row r="180" spans="1:104" x14ac:dyDescent="0.2">
      <c r="B180" s="11306" t="s">
        <v>2434</v>
      </c>
      <c r="C180" s="11308" t="s">
        <v>1668</v>
      </c>
      <c r="D180" s="11309" t="s">
        <v>2435</v>
      </c>
      <c r="E180" s="11310"/>
      <c r="F180" s="11308" t="s">
        <v>2436</v>
      </c>
      <c r="G180" s="11311" t="s">
        <v>2437</v>
      </c>
      <c r="H180" s="11312"/>
      <c r="I180" s="11312"/>
      <c r="J180" s="11312"/>
      <c r="K180" s="11312"/>
      <c r="L180" s="11312"/>
      <c r="M180" s="11312"/>
      <c r="N180" s="11312"/>
      <c r="O180" s="11312"/>
      <c r="P180" s="11312"/>
      <c r="Q180" s="11312"/>
      <c r="R180" s="11312"/>
      <c r="S180" s="11312"/>
      <c r="T180" s="11312"/>
      <c r="U180" s="11313"/>
      <c r="AG180" s="3811"/>
      <c r="CZ180" s="3810"/>
    </row>
    <row r="181" spans="1:104" ht="31.5" customHeight="1" x14ac:dyDescent="0.2">
      <c r="B181" s="11307"/>
      <c r="C181" s="11307"/>
      <c r="D181" s="4166" t="s">
        <v>2421</v>
      </c>
      <c r="E181" s="4166" t="s">
        <v>2450</v>
      </c>
      <c r="F181" s="11307"/>
      <c r="G181" s="4167" t="s">
        <v>690</v>
      </c>
      <c r="H181" s="4167" t="s">
        <v>689</v>
      </c>
      <c r="I181" s="4167" t="s">
        <v>688</v>
      </c>
      <c r="J181" s="4167" t="s">
        <v>687</v>
      </c>
      <c r="K181" s="4167" t="s">
        <v>2235</v>
      </c>
      <c r="L181" s="4167" t="s">
        <v>685</v>
      </c>
      <c r="M181" s="4167" t="s">
        <v>2438</v>
      </c>
      <c r="N181" s="4167" t="s">
        <v>683</v>
      </c>
      <c r="O181" s="4167" t="s">
        <v>2439</v>
      </c>
      <c r="P181" s="4167" t="s">
        <v>2440</v>
      </c>
      <c r="Q181" s="4167" t="s">
        <v>2441</v>
      </c>
      <c r="R181" s="4167" t="s">
        <v>2442</v>
      </c>
      <c r="S181" s="4167" t="s">
        <v>2443</v>
      </c>
      <c r="T181" s="4167" t="s">
        <v>2444</v>
      </c>
      <c r="U181" s="4167" t="s">
        <v>2445</v>
      </c>
      <c r="AG181" s="3811"/>
      <c r="CZ181" s="3810"/>
    </row>
    <row r="182" spans="1:104" ht="18.75" customHeight="1" x14ac:dyDescent="0.2">
      <c r="A182" s="7263">
        <v>32101220</v>
      </c>
      <c r="B182" s="4149" t="s">
        <v>2426</v>
      </c>
      <c r="C182" s="3956" t="s">
        <v>5369</v>
      </c>
      <c r="D182" s="4017" t="s">
        <v>5370</v>
      </c>
      <c r="E182" s="4017" t="s">
        <v>5371</v>
      </c>
      <c r="F182" s="3956" t="s">
        <v>5372</v>
      </c>
      <c r="G182" s="4168" t="s">
        <v>5373</v>
      </c>
      <c r="H182" s="4168" t="s">
        <v>5374</v>
      </c>
      <c r="I182" s="4168" t="s">
        <v>5375</v>
      </c>
      <c r="J182" s="4168" t="s">
        <v>5376</v>
      </c>
      <c r="K182" s="4169" t="s">
        <v>5377</v>
      </c>
      <c r="L182" s="4168" t="s">
        <v>5378</v>
      </c>
      <c r="M182" s="4168" t="s">
        <v>5379</v>
      </c>
      <c r="N182" s="4168" t="s">
        <v>5380</v>
      </c>
      <c r="O182" s="4168" t="s">
        <v>5381</v>
      </c>
      <c r="P182" s="4168" t="s">
        <v>5382</v>
      </c>
      <c r="Q182" s="4168" t="s">
        <v>5383</v>
      </c>
      <c r="R182" s="4168" t="s">
        <v>5384</v>
      </c>
      <c r="S182" s="4168" t="s">
        <v>5385</v>
      </c>
      <c r="T182" s="4168" t="s">
        <v>5386</v>
      </c>
      <c r="U182" s="4170" t="s">
        <v>5387</v>
      </c>
      <c r="AG182" s="3811"/>
      <c r="CZ182" s="3810"/>
    </row>
    <row r="183" spans="1:104" ht="19.95" customHeight="1" x14ac:dyDescent="0.2">
      <c r="A183" s="7263">
        <v>32101230</v>
      </c>
      <c r="B183" s="4149" t="s">
        <v>2446</v>
      </c>
      <c r="C183" s="4171" t="s">
        <v>5369</v>
      </c>
      <c r="D183" s="3830" t="s">
        <v>5370</v>
      </c>
      <c r="E183" s="3830" t="s">
        <v>5371</v>
      </c>
      <c r="F183" s="4139" t="s">
        <v>5372</v>
      </c>
      <c r="G183" s="4168" t="s">
        <v>5373</v>
      </c>
      <c r="H183" s="4168" t="s">
        <v>5374</v>
      </c>
      <c r="I183" s="4168" t="s">
        <v>5375</v>
      </c>
      <c r="J183" s="4168" t="s">
        <v>5376</v>
      </c>
      <c r="K183" s="4172" t="s">
        <v>5377</v>
      </c>
      <c r="L183" s="4168" t="s">
        <v>5378</v>
      </c>
      <c r="M183" s="4168" t="s">
        <v>5379</v>
      </c>
      <c r="N183" s="4168" t="s">
        <v>5380</v>
      </c>
      <c r="O183" s="4168" t="s">
        <v>5381</v>
      </c>
      <c r="P183" s="4168" t="s">
        <v>5382</v>
      </c>
      <c r="Q183" s="4168" t="s">
        <v>5383</v>
      </c>
      <c r="R183" s="4168" t="s">
        <v>5384</v>
      </c>
      <c r="S183" s="4168" t="s">
        <v>5385</v>
      </c>
      <c r="T183" s="4168" t="s">
        <v>5386</v>
      </c>
      <c r="U183" s="4170" t="s">
        <v>5387</v>
      </c>
      <c r="AG183" s="3811"/>
      <c r="CZ183" s="3810"/>
    </row>
    <row r="184" spans="1:104" ht="20.25" customHeight="1" x14ac:dyDescent="0.2">
      <c r="A184" s="7263">
        <v>32101240</v>
      </c>
      <c r="B184" s="4149" t="s">
        <v>46</v>
      </c>
      <c r="C184" s="4171" t="s">
        <v>5369</v>
      </c>
      <c r="D184" s="3830" t="s">
        <v>5370</v>
      </c>
      <c r="E184" s="3830" t="s">
        <v>5371</v>
      </c>
      <c r="F184" s="4139" t="s">
        <v>5372</v>
      </c>
      <c r="G184" s="4168" t="s">
        <v>5373</v>
      </c>
      <c r="H184" s="4168" t="s">
        <v>5374</v>
      </c>
      <c r="I184" s="4168" t="s">
        <v>5375</v>
      </c>
      <c r="J184" s="4168" t="s">
        <v>5376</v>
      </c>
      <c r="K184" s="4170" t="s">
        <v>5377</v>
      </c>
      <c r="L184" s="4168" t="s">
        <v>5378</v>
      </c>
      <c r="M184" s="4168" t="s">
        <v>5379</v>
      </c>
      <c r="N184" s="4168" t="s">
        <v>5380</v>
      </c>
      <c r="O184" s="4168" t="s">
        <v>5381</v>
      </c>
      <c r="P184" s="4168" t="s">
        <v>5382</v>
      </c>
      <c r="Q184" s="4168" t="s">
        <v>5383</v>
      </c>
      <c r="R184" s="4168" t="s">
        <v>5384</v>
      </c>
      <c r="S184" s="4168" t="s">
        <v>5385</v>
      </c>
      <c r="T184" s="4168" t="s">
        <v>5386</v>
      </c>
      <c r="U184" s="4170" t="s">
        <v>5387</v>
      </c>
      <c r="AG184" s="3811"/>
      <c r="CZ184" s="3810"/>
    </row>
    <row r="185" spans="1:104" ht="19.5" customHeight="1" x14ac:dyDescent="0.2">
      <c r="A185" s="7263">
        <v>32101250</v>
      </c>
      <c r="B185" s="4173" t="s">
        <v>2447</v>
      </c>
      <c r="C185" s="4174" t="s">
        <v>5369</v>
      </c>
      <c r="D185" s="3979" t="s">
        <v>5370</v>
      </c>
      <c r="E185" s="3979" t="s">
        <v>5371</v>
      </c>
      <c r="F185" s="4175" t="s">
        <v>5372</v>
      </c>
      <c r="G185" s="4176" t="s">
        <v>5373</v>
      </c>
      <c r="H185" s="4176" t="s">
        <v>5374</v>
      </c>
      <c r="I185" s="4176" t="s">
        <v>5375</v>
      </c>
      <c r="J185" s="4176" t="s">
        <v>5376</v>
      </c>
      <c r="K185" s="4177" t="s">
        <v>5377</v>
      </c>
      <c r="L185" s="4176" t="s">
        <v>5378</v>
      </c>
      <c r="M185" s="4176" t="s">
        <v>5379</v>
      </c>
      <c r="N185" s="4176" t="s">
        <v>5380</v>
      </c>
      <c r="O185" s="4176" t="s">
        <v>5381</v>
      </c>
      <c r="P185" s="4176" t="s">
        <v>5382</v>
      </c>
      <c r="Q185" s="4176" t="s">
        <v>5383</v>
      </c>
      <c r="R185" s="4176" t="s">
        <v>5384</v>
      </c>
      <c r="S185" s="4176" t="s">
        <v>5385</v>
      </c>
      <c r="T185" s="4176" t="s">
        <v>5386</v>
      </c>
      <c r="U185" s="4178" t="s">
        <v>5387</v>
      </c>
      <c r="AG185" s="3811"/>
      <c r="CZ185" s="3810"/>
    </row>
    <row r="186" spans="1:104" s="4179" customFormat="1" ht="22.2" customHeight="1" x14ac:dyDescent="0.25">
      <c r="B186" s="3806" t="s">
        <v>3115</v>
      </c>
      <c r="E186" s="4180"/>
      <c r="AH186" s="4181"/>
      <c r="AI186" s="4181"/>
      <c r="AJ186" s="4181"/>
      <c r="AK186" s="4181"/>
      <c r="AL186" s="4181"/>
      <c r="AM186" s="4181"/>
      <c r="AN186" s="4181"/>
      <c r="AO186" s="4181"/>
      <c r="AP186" s="4181"/>
      <c r="AQ186" s="4181"/>
      <c r="AR186" s="4181"/>
      <c r="AS186" s="4181"/>
      <c r="AT186" s="4181"/>
      <c r="AU186" s="4181"/>
      <c r="AV186" s="4181"/>
      <c r="AW186" s="4181"/>
      <c r="AX186" s="4181"/>
      <c r="AY186" s="4181"/>
      <c r="AZ186" s="4181"/>
      <c r="BA186" s="4181"/>
      <c r="BB186" s="3811"/>
      <c r="BC186" s="3811"/>
      <c r="BD186" s="3811"/>
      <c r="BE186" s="3811"/>
      <c r="BF186" s="3811"/>
      <c r="BG186" s="3811"/>
      <c r="BH186" s="3811"/>
      <c r="BI186" s="3811"/>
      <c r="BJ186" s="3811"/>
      <c r="BK186" s="3811"/>
      <c r="BL186" s="3811"/>
      <c r="BM186" s="3811"/>
      <c r="BN186" s="3811"/>
      <c r="BO186" s="3811"/>
      <c r="BP186" s="3811"/>
      <c r="BQ186" s="3811"/>
      <c r="BR186" s="3811"/>
      <c r="BS186" s="3811"/>
      <c r="BT186" s="3811"/>
      <c r="BU186" s="3811"/>
      <c r="BV186" s="3811"/>
      <c r="BW186" s="3811"/>
      <c r="BX186" s="3811"/>
      <c r="BY186" s="3811"/>
      <c r="BZ186" s="3811"/>
      <c r="CA186" s="3811"/>
      <c r="CB186" s="3811"/>
      <c r="CC186" s="3811"/>
      <c r="CD186" s="3811"/>
      <c r="CE186" s="3811"/>
      <c r="CF186" s="3811"/>
      <c r="CG186" s="3811"/>
      <c r="CH186" s="3811"/>
      <c r="CI186" s="3811"/>
      <c r="CJ186" s="3811"/>
      <c r="CK186" s="3811"/>
      <c r="CL186" s="3811"/>
      <c r="CM186" s="3811"/>
      <c r="CN186" s="4181"/>
      <c r="CO186" s="4181"/>
      <c r="CP186" s="4181"/>
      <c r="CQ186" s="4181"/>
      <c r="CR186" s="4181"/>
      <c r="CS186" s="4181"/>
      <c r="CT186" s="4181"/>
      <c r="CU186" s="4181"/>
      <c r="CV186" s="4181"/>
      <c r="CW186" s="4181"/>
      <c r="CX186" s="4181"/>
      <c r="CY186" s="4181"/>
      <c r="CZ186" s="4181"/>
    </row>
    <row r="187" spans="1:104" s="4179" customFormat="1" ht="13.8" x14ac:dyDescent="0.25">
      <c r="B187" s="11314" t="s">
        <v>2798</v>
      </c>
      <c r="C187" s="11316" t="s">
        <v>664</v>
      </c>
      <c r="D187" s="11317"/>
      <c r="E187" s="11318"/>
      <c r="F187" s="11316" t="s">
        <v>663</v>
      </c>
      <c r="G187" s="11317"/>
      <c r="H187" s="11318"/>
      <c r="AH187" s="4181"/>
      <c r="AI187" s="4181"/>
      <c r="AJ187" s="4181"/>
      <c r="AK187" s="4181"/>
      <c r="AL187" s="4181"/>
      <c r="AM187" s="4181"/>
      <c r="AN187" s="4181"/>
      <c r="AO187" s="4181"/>
      <c r="AP187" s="4181"/>
      <c r="AQ187" s="4181"/>
      <c r="AR187" s="4181"/>
      <c r="AS187" s="4181"/>
      <c r="AT187" s="4181"/>
      <c r="AU187" s="4181"/>
      <c r="AV187" s="4181"/>
      <c r="AW187" s="4181"/>
      <c r="AX187" s="4181"/>
      <c r="AY187" s="4181"/>
      <c r="AZ187" s="4181"/>
      <c r="BA187" s="4181"/>
      <c r="BB187" s="3811"/>
      <c r="BC187" s="3811"/>
      <c r="BD187" s="3811"/>
      <c r="BE187" s="3811"/>
      <c r="BF187" s="3811"/>
      <c r="BG187" s="3811"/>
      <c r="BH187" s="3811"/>
      <c r="BI187" s="3811"/>
      <c r="BJ187" s="3811"/>
      <c r="BK187" s="3811"/>
      <c r="BL187" s="3811"/>
      <c r="BM187" s="3811"/>
      <c r="BN187" s="3811"/>
      <c r="BO187" s="3811"/>
      <c r="BP187" s="3811"/>
      <c r="BQ187" s="3811"/>
      <c r="BR187" s="3811"/>
      <c r="BS187" s="3811"/>
      <c r="BT187" s="3811"/>
      <c r="BU187" s="3811"/>
      <c r="BV187" s="3811"/>
      <c r="BW187" s="3811"/>
      <c r="BX187" s="3811"/>
      <c r="BY187" s="3811"/>
      <c r="BZ187" s="3811"/>
      <c r="CA187" s="3811"/>
      <c r="CB187" s="3811"/>
      <c r="CC187" s="3811"/>
      <c r="CD187" s="3811"/>
      <c r="CE187" s="3811"/>
      <c r="CF187" s="3811"/>
      <c r="CG187" s="3811"/>
      <c r="CH187" s="3811"/>
      <c r="CI187" s="3811"/>
      <c r="CJ187" s="3811"/>
      <c r="CK187" s="3811"/>
      <c r="CL187" s="3811"/>
      <c r="CM187" s="3811"/>
      <c r="CN187" s="4181"/>
      <c r="CO187" s="4181"/>
      <c r="CP187" s="4181"/>
      <c r="CQ187" s="4181"/>
      <c r="CR187" s="4181"/>
      <c r="CS187" s="4181"/>
      <c r="CT187" s="4181"/>
      <c r="CU187" s="4181"/>
      <c r="CV187" s="4181"/>
      <c r="CW187" s="4181"/>
      <c r="CX187" s="4181"/>
      <c r="CY187" s="4181"/>
      <c r="CZ187" s="4181"/>
    </row>
    <row r="188" spans="1:104" s="4179" customFormat="1" ht="13.8" x14ac:dyDescent="0.25">
      <c r="B188" s="11315"/>
      <c r="C188" s="6762" t="s">
        <v>42</v>
      </c>
      <c r="D188" s="6763" t="s">
        <v>17</v>
      </c>
      <c r="E188" s="6764" t="s">
        <v>18</v>
      </c>
      <c r="F188" s="6762" t="s">
        <v>42</v>
      </c>
      <c r="G188" s="6763" t="s">
        <v>17</v>
      </c>
      <c r="H188" s="6764" t="s">
        <v>18</v>
      </c>
      <c r="AH188" s="4181"/>
      <c r="AI188" s="4181"/>
      <c r="AJ188" s="4181"/>
      <c r="AK188" s="4181"/>
      <c r="AL188" s="4181"/>
      <c r="AM188" s="4181"/>
      <c r="AN188" s="4181"/>
      <c r="AO188" s="4181"/>
      <c r="AP188" s="4181"/>
      <c r="AQ188" s="4181"/>
      <c r="AR188" s="4181"/>
      <c r="AS188" s="4181"/>
      <c r="AT188" s="4181"/>
      <c r="AU188" s="4181"/>
      <c r="AV188" s="4181"/>
      <c r="AW188" s="4181"/>
      <c r="AX188" s="4181"/>
      <c r="AY188" s="4181"/>
      <c r="AZ188" s="4181"/>
      <c r="BA188" s="4181"/>
      <c r="BB188" s="3811"/>
      <c r="BC188" s="3811"/>
      <c r="BD188" s="3811"/>
      <c r="BE188" s="3811"/>
      <c r="BF188" s="3811"/>
      <c r="BG188" s="3811"/>
      <c r="BH188" s="3811"/>
      <c r="BI188" s="3811"/>
      <c r="BJ188" s="3811"/>
      <c r="BK188" s="3811"/>
      <c r="BL188" s="3811"/>
      <c r="BM188" s="3811"/>
      <c r="BN188" s="3811"/>
      <c r="BO188" s="3811"/>
      <c r="BP188" s="3811"/>
      <c r="BQ188" s="3811"/>
      <c r="BR188" s="3811"/>
      <c r="BS188" s="3811"/>
      <c r="BT188" s="3811"/>
      <c r="BU188" s="3811"/>
      <c r="BV188" s="3811"/>
      <c r="BW188" s="3811"/>
      <c r="BX188" s="3811"/>
      <c r="BY188" s="3811"/>
      <c r="BZ188" s="3811"/>
      <c r="CA188" s="3811"/>
      <c r="CB188" s="3811"/>
      <c r="CC188" s="3811"/>
      <c r="CD188" s="3811"/>
      <c r="CE188" s="3811"/>
      <c r="CF188" s="3811"/>
      <c r="CG188" s="3811"/>
      <c r="CH188" s="3811"/>
      <c r="CI188" s="3811"/>
      <c r="CJ188" s="3811"/>
      <c r="CK188" s="3811"/>
      <c r="CL188" s="3811"/>
      <c r="CM188" s="3811"/>
      <c r="CN188" s="4181"/>
      <c r="CO188" s="4181"/>
      <c r="CP188" s="4181"/>
      <c r="CQ188" s="4181"/>
      <c r="CR188" s="4181"/>
      <c r="CS188" s="4181"/>
      <c r="CT188" s="4181"/>
      <c r="CU188" s="4181"/>
      <c r="CV188" s="4181"/>
      <c r="CW188" s="4181"/>
      <c r="CX188" s="4181"/>
      <c r="CY188" s="4181"/>
      <c r="CZ188" s="4181"/>
    </row>
    <row r="189" spans="1:104" s="4179" customFormat="1" ht="16.95" customHeight="1" x14ac:dyDescent="0.25">
      <c r="A189" s="7263">
        <v>32101140</v>
      </c>
      <c r="B189" s="6765" t="s">
        <v>2799</v>
      </c>
      <c r="C189" s="6766" t="s">
        <v>5369</v>
      </c>
      <c r="D189" s="6767" t="s">
        <v>5370</v>
      </c>
      <c r="E189" s="6768" t="s">
        <v>5371</v>
      </c>
      <c r="F189" s="6766" t="s">
        <v>5372</v>
      </c>
      <c r="G189" s="6767" t="s">
        <v>5373</v>
      </c>
      <c r="H189" s="6768" t="s">
        <v>5374</v>
      </c>
      <c r="AH189" s="4181"/>
      <c r="AI189" s="4181"/>
      <c r="AJ189" s="4181"/>
      <c r="AK189" s="4181"/>
      <c r="AL189" s="4181"/>
      <c r="AM189" s="4181"/>
      <c r="AN189" s="4181"/>
      <c r="AO189" s="4181"/>
      <c r="AP189" s="4181"/>
      <c r="AQ189" s="4181"/>
      <c r="AR189" s="4181"/>
      <c r="AS189" s="4181"/>
      <c r="AT189" s="4181"/>
      <c r="AU189" s="4181"/>
      <c r="AV189" s="4181"/>
      <c r="AW189" s="4181"/>
      <c r="AX189" s="4181"/>
      <c r="AY189" s="4181"/>
      <c r="AZ189" s="4181"/>
      <c r="BA189" s="4181"/>
      <c r="BB189" s="3811"/>
      <c r="BC189" s="3811"/>
      <c r="BD189" s="3811"/>
      <c r="BE189" s="3811"/>
      <c r="BF189" s="3811"/>
      <c r="BG189" s="3811"/>
      <c r="BH189" s="3811"/>
      <c r="BI189" s="3811"/>
      <c r="BJ189" s="3811"/>
      <c r="BK189" s="3811"/>
      <c r="BL189" s="3811"/>
      <c r="BM189" s="3811"/>
      <c r="BN189" s="3811"/>
      <c r="BO189" s="3811"/>
      <c r="BP189" s="3811"/>
      <c r="BQ189" s="3811"/>
      <c r="BR189" s="3811"/>
      <c r="BS189" s="3811"/>
      <c r="BT189" s="3811"/>
      <c r="BU189" s="3811"/>
      <c r="BV189" s="3811"/>
      <c r="BW189" s="3811"/>
      <c r="BX189" s="3811"/>
      <c r="BY189" s="3811"/>
      <c r="BZ189" s="3811"/>
      <c r="CA189" s="3811"/>
      <c r="CB189" s="3811"/>
      <c r="CC189" s="3811"/>
      <c r="CD189" s="3811"/>
      <c r="CE189" s="3811"/>
      <c r="CF189" s="3811"/>
      <c r="CG189" s="3811"/>
      <c r="CH189" s="3811"/>
      <c r="CI189" s="3811"/>
      <c r="CJ189" s="3811"/>
      <c r="CK189" s="3811"/>
      <c r="CL189" s="3811"/>
      <c r="CM189" s="3811"/>
      <c r="CN189" s="4181"/>
      <c r="CO189" s="4181"/>
      <c r="CP189" s="4181"/>
      <c r="CQ189" s="4181"/>
      <c r="CR189" s="4181"/>
      <c r="CS189" s="4181"/>
      <c r="CT189" s="4181"/>
      <c r="CU189" s="4181"/>
      <c r="CV189" s="4181"/>
      <c r="CW189" s="4181"/>
      <c r="CX189" s="4181"/>
      <c r="CY189" s="4181"/>
      <c r="CZ189" s="4181"/>
    </row>
    <row r="190" spans="1:104" s="4179" customFormat="1" ht="16.2" customHeight="1" x14ac:dyDescent="0.3">
      <c r="A190" s="7263">
        <v>32101150</v>
      </c>
      <c r="B190" s="6129" t="s">
        <v>2800</v>
      </c>
      <c r="C190" s="6769" t="s">
        <v>5369</v>
      </c>
      <c r="D190" s="6770" t="s">
        <v>5370</v>
      </c>
      <c r="E190" s="6771" t="s">
        <v>5371</v>
      </c>
      <c r="F190" s="6769" t="s">
        <v>5372</v>
      </c>
      <c r="G190" s="6770" t="s">
        <v>5373</v>
      </c>
      <c r="H190" s="6771" t="s">
        <v>5374</v>
      </c>
      <c r="I190" s="4182"/>
      <c r="T190" s="4182"/>
      <c r="AH190" s="4181"/>
      <c r="AI190" s="4181"/>
      <c r="AJ190" s="4181"/>
      <c r="AK190" s="4181"/>
      <c r="AL190" s="4181"/>
      <c r="AM190" s="4181"/>
      <c r="AN190" s="4181"/>
      <c r="AO190" s="4181"/>
      <c r="AP190" s="4181"/>
      <c r="AQ190" s="4181"/>
      <c r="AR190" s="4181"/>
      <c r="AS190" s="4181"/>
      <c r="AT190" s="4181"/>
      <c r="AU190" s="4181"/>
      <c r="AV190" s="4181"/>
      <c r="AW190" s="4181"/>
      <c r="AX190" s="4181"/>
      <c r="AY190" s="4181"/>
      <c r="AZ190" s="4181"/>
      <c r="BA190" s="4181"/>
      <c r="BB190" s="3811"/>
      <c r="BC190" s="3811"/>
      <c r="BD190" s="3811"/>
      <c r="BE190" s="3811"/>
      <c r="BF190" s="3811"/>
      <c r="BG190" s="3811"/>
      <c r="BH190" s="3811"/>
      <c r="BI190" s="3811"/>
      <c r="BJ190" s="3811"/>
      <c r="BK190" s="3811"/>
      <c r="BL190" s="3811"/>
      <c r="BM190" s="3811"/>
      <c r="BN190" s="3811"/>
      <c r="BO190" s="3811"/>
      <c r="BP190" s="3811"/>
      <c r="BQ190" s="3811"/>
      <c r="BR190" s="3811"/>
      <c r="BS190" s="3811"/>
      <c r="BT190" s="3811"/>
      <c r="BU190" s="3811"/>
      <c r="BV190" s="3811"/>
      <c r="BW190" s="3811"/>
      <c r="BX190" s="3811"/>
      <c r="BY190" s="3811"/>
      <c r="BZ190" s="3811"/>
      <c r="CA190" s="3811"/>
      <c r="CB190" s="3811"/>
      <c r="CC190" s="3811"/>
      <c r="CD190" s="3811"/>
      <c r="CE190" s="3811"/>
      <c r="CF190" s="3811"/>
      <c r="CG190" s="3811"/>
      <c r="CH190" s="3811"/>
      <c r="CI190" s="3811"/>
      <c r="CJ190" s="3811"/>
      <c r="CK190" s="3811"/>
      <c r="CL190" s="3811"/>
      <c r="CM190" s="3811"/>
      <c r="CN190" s="4181"/>
      <c r="CO190" s="4181"/>
      <c r="CP190" s="4181"/>
      <c r="CQ190" s="4181"/>
      <c r="CR190" s="4181"/>
      <c r="CS190" s="4181"/>
      <c r="CT190" s="4181"/>
      <c r="CU190" s="4181"/>
      <c r="CV190" s="4181"/>
      <c r="CW190" s="4181"/>
      <c r="CX190" s="4181"/>
      <c r="CY190" s="4181"/>
      <c r="CZ190" s="4181"/>
    </row>
    <row r="191" spans="1:104" ht="25.95" customHeight="1" x14ac:dyDescent="0.25">
      <c r="B191" s="4047" t="s">
        <v>3116</v>
      </c>
      <c r="C191" s="4183"/>
    </row>
    <row r="192" spans="1:104" ht="25.5" customHeight="1" x14ac:dyDescent="0.2">
      <c r="B192" s="11330" t="s">
        <v>41</v>
      </c>
      <c r="C192" s="11333" t="s">
        <v>2527</v>
      </c>
      <c r="D192" s="11336" t="s">
        <v>2452</v>
      </c>
      <c r="E192" s="11337"/>
      <c r="F192" s="11338"/>
      <c r="G192" s="11308" t="s">
        <v>2436</v>
      </c>
      <c r="H192" s="11341" t="s">
        <v>2448</v>
      </c>
      <c r="I192" s="11342"/>
      <c r="J192" s="11342"/>
      <c r="K192" s="11342"/>
      <c r="L192" s="11342"/>
      <c r="M192" s="11343"/>
    </row>
    <row r="193" spans="1:91" x14ac:dyDescent="0.2">
      <c r="B193" s="11331"/>
      <c r="C193" s="11334"/>
      <c r="D193" s="11339"/>
      <c r="E193" s="11340"/>
      <c r="F193" s="11298"/>
      <c r="G193" s="11306"/>
      <c r="H193" s="11344" t="s">
        <v>2453</v>
      </c>
      <c r="I193" s="11345"/>
      <c r="J193" s="11345"/>
      <c r="K193" s="11345"/>
      <c r="L193" s="11345"/>
      <c r="M193" s="11346"/>
    </row>
    <row r="194" spans="1:91" ht="20.399999999999999" x14ac:dyDescent="0.2">
      <c r="B194" s="11332"/>
      <c r="C194" s="11335"/>
      <c r="D194" s="4184" t="s">
        <v>2526</v>
      </c>
      <c r="E194" s="4184" t="s">
        <v>2450</v>
      </c>
      <c r="F194" s="4184" t="s">
        <v>2528</v>
      </c>
      <c r="G194" s="11307"/>
      <c r="H194" s="4185" t="s">
        <v>2449</v>
      </c>
      <c r="I194" s="4186" t="s">
        <v>2454</v>
      </c>
      <c r="J194" s="4186" t="s">
        <v>2455</v>
      </c>
      <c r="K194" s="4186" t="s">
        <v>2456</v>
      </c>
      <c r="L194" s="4186" t="s">
        <v>2457</v>
      </c>
      <c r="M194" s="4187" t="s">
        <v>2458</v>
      </c>
    </row>
    <row r="195" spans="1:91" ht="16.5" customHeight="1" x14ac:dyDescent="0.2">
      <c r="A195" s="7263">
        <v>32101330</v>
      </c>
      <c r="B195" s="4149" t="s">
        <v>2459</v>
      </c>
      <c r="C195" s="4188" t="s">
        <v>5369</v>
      </c>
      <c r="D195" s="4017" t="s">
        <v>5370</v>
      </c>
      <c r="E195" s="4017" t="s">
        <v>5371</v>
      </c>
      <c r="F195" s="4189" t="s">
        <v>5372</v>
      </c>
      <c r="G195" s="3956" t="s">
        <v>5373</v>
      </c>
      <c r="H195" s="3897" t="s">
        <v>5374</v>
      </c>
      <c r="I195" s="3833" t="s">
        <v>5375</v>
      </c>
      <c r="J195" s="3833" t="s">
        <v>5376</v>
      </c>
      <c r="K195" s="3833" t="s">
        <v>5377</v>
      </c>
      <c r="L195" s="3833" t="s">
        <v>5378</v>
      </c>
      <c r="M195" s="3963" t="s">
        <v>5379</v>
      </c>
    </row>
    <row r="196" spans="1:91" ht="18" customHeight="1" x14ac:dyDescent="0.2">
      <c r="A196" s="7263">
        <v>32101340</v>
      </c>
      <c r="B196" s="4149" t="s">
        <v>2460</v>
      </c>
      <c r="C196" s="4190" t="s">
        <v>5369</v>
      </c>
      <c r="D196" s="3830" t="s">
        <v>5370</v>
      </c>
      <c r="E196" s="3830" t="s">
        <v>5371</v>
      </c>
      <c r="F196" s="4017" t="s">
        <v>5372</v>
      </c>
      <c r="G196" s="4171" t="s">
        <v>5373</v>
      </c>
      <c r="H196" s="3830" t="s">
        <v>5374</v>
      </c>
      <c r="I196" s="3831" t="s">
        <v>5375</v>
      </c>
      <c r="J196" s="3831" t="s">
        <v>5376</v>
      </c>
      <c r="K196" s="3831" t="s">
        <v>5377</v>
      </c>
      <c r="L196" s="3831" t="s">
        <v>5378</v>
      </c>
      <c r="M196" s="3845" t="s">
        <v>5379</v>
      </c>
    </row>
    <row r="197" spans="1:91" ht="19.5" customHeight="1" x14ac:dyDescent="0.2">
      <c r="A197" s="7263">
        <v>32101360</v>
      </c>
      <c r="B197" s="4173" t="s">
        <v>3535</v>
      </c>
      <c r="C197" s="4191" t="s">
        <v>5369</v>
      </c>
      <c r="D197" s="3979" t="s">
        <v>5370</v>
      </c>
      <c r="E197" s="3979" t="s">
        <v>5371</v>
      </c>
      <c r="F197" s="4192" t="s">
        <v>5372</v>
      </c>
      <c r="G197" s="4174" t="s">
        <v>5373</v>
      </c>
      <c r="H197" s="3979" t="s">
        <v>5374</v>
      </c>
      <c r="I197" s="4193" t="s">
        <v>5375</v>
      </c>
      <c r="J197" s="4193" t="s">
        <v>5376</v>
      </c>
      <c r="K197" s="4193" t="s">
        <v>5377</v>
      </c>
      <c r="L197" s="4193" t="s">
        <v>5378</v>
      </c>
      <c r="M197" s="3981" t="s">
        <v>5379</v>
      </c>
    </row>
    <row r="198" spans="1:91" ht="26.4" customHeight="1" x14ac:dyDescent="0.25">
      <c r="B198" s="4047" t="s">
        <v>3117</v>
      </c>
      <c r="C198" s="4194"/>
    </row>
    <row r="199" spans="1:91" x14ac:dyDescent="0.2">
      <c r="B199" s="11325" t="s">
        <v>2461</v>
      </c>
      <c r="C199" s="11038"/>
      <c r="D199" s="11323" t="s">
        <v>2527</v>
      </c>
      <c r="E199" s="11326" t="s">
        <v>2452</v>
      </c>
      <c r="F199" s="11327"/>
      <c r="G199" s="11327"/>
      <c r="H199" s="11327"/>
      <c r="I199" s="11327"/>
      <c r="J199" s="11327"/>
      <c r="K199" s="11328"/>
      <c r="L199" s="9451" t="s">
        <v>2462</v>
      </c>
      <c r="M199" s="9451"/>
      <c r="N199" s="9451"/>
      <c r="O199" s="11329"/>
    </row>
    <row r="200" spans="1:91" ht="37.5" customHeight="1" x14ac:dyDescent="0.2">
      <c r="B200" s="10275"/>
      <c r="C200" s="9056"/>
      <c r="D200" s="9228"/>
      <c r="E200" s="4184" t="s">
        <v>2526</v>
      </c>
      <c r="F200" s="4184" t="s">
        <v>2525</v>
      </c>
      <c r="G200" s="4184" t="s">
        <v>2524</v>
      </c>
      <c r="H200" s="4184" t="s">
        <v>2523</v>
      </c>
      <c r="I200" s="4184" t="s">
        <v>2522</v>
      </c>
      <c r="J200" s="4184" t="s">
        <v>78</v>
      </c>
      <c r="K200" s="4184" t="s">
        <v>2463</v>
      </c>
      <c r="L200" s="4195" t="s">
        <v>2464</v>
      </c>
      <c r="M200" s="4196" t="s">
        <v>2465</v>
      </c>
      <c r="N200" s="4196" t="s">
        <v>479</v>
      </c>
      <c r="O200" s="4197" t="s">
        <v>2466</v>
      </c>
    </row>
    <row r="201" spans="1:91" ht="18" customHeight="1" x14ac:dyDescent="0.2">
      <c r="A201" s="7263">
        <v>32101370</v>
      </c>
      <c r="B201" s="11323" t="s">
        <v>498</v>
      </c>
      <c r="C201" s="4198" t="s">
        <v>2467</v>
      </c>
      <c r="D201" s="3956" t="s">
        <v>5369</v>
      </c>
      <c r="E201" s="7150" t="s">
        <v>5370</v>
      </c>
      <c r="F201" s="3830" t="s">
        <v>5371</v>
      </c>
      <c r="G201" s="4199" t="s">
        <v>5372</v>
      </c>
      <c r="H201" s="3830" t="s">
        <v>5373</v>
      </c>
      <c r="I201" s="3956" t="s">
        <v>5374</v>
      </c>
      <c r="J201" s="4199" t="s">
        <v>5375</v>
      </c>
      <c r="K201" s="4199" t="s">
        <v>5376</v>
      </c>
      <c r="L201" s="3840" t="s">
        <v>5377</v>
      </c>
      <c r="M201" s="3831" t="s">
        <v>5378</v>
      </c>
      <c r="N201" s="3831" t="s">
        <v>5379</v>
      </c>
      <c r="O201" s="4200" t="s">
        <v>5380</v>
      </c>
    </row>
    <row r="202" spans="1:91" ht="21.6" customHeight="1" x14ac:dyDescent="0.2">
      <c r="A202" s="7263">
        <v>32101380</v>
      </c>
      <c r="B202" s="9062"/>
      <c r="C202" s="4201" t="s">
        <v>2468</v>
      </c>
      <c r="D202" s="4139" t="s">
        <v>5369</v>
      </c>
      <c r="E202" s="3830" t="s">
        <v>5370</v>
      </c>
      <c r="F202" s="4041" t="s">
        <v>5371</v>
      </c>
      <c r="G202" s="4189" t="s">
        <v>5372</v>
      </c>
      <c r="H202" s="3830" t="s">
        <v>5373</v>
      </c>
      <c r="I202" s="4139" t="s">
        <v>5374</v>
      </c>
      <c r="J202" s="4017" t="s">
        <v>5375</v>
      </c>
      <c r="K202" s="4157" t="s">
        <v>5376</v>
      </c>
      <c r="L202" s="3840" t="s">
        <v>5377</v>
      </c>
      <c r="M202" s="3831" t="s">
        <v>5378</v>
      </c>
      <c r="N202" s="3831" t="s">
        <v>5379</v>
      </c>
      <c r="O202" s="4200" t="s">
        <v>5380</v>
      </c>
    </row>
    <row r="203" spans="1:91" ht="16.5" customHeight="1" x14ac:dyDescent="0.2">
      <c r="A203" s="7263">
        <v>32101390</v>
      </c>
      <c r="B203" s="9062"/>
      <c r="C203" s="4201" t="s">
        <v>2469</v>
      </c>
      <c r="D203" s="4139" t="s">
        <v>5369</v>
      </c>
      <c r="E203" s="4189" t="s">
        <v>5370</v>
      </c>
      <c r="F203" s="4189" t="s">
        <v>5371</v>
      </c>
      <c r="G203" s="3830" t="s">
        <v>5372</v>
      </c>
      <c r="H203" s="3830" t="s">
        <v>5373</v>
      </c>
      <c r="I203" s="4139" t="s">
        <v>5374</v>
      </c>
      <c r="J203" s="3830" t="s">
        <v>5375</v>
      </c>
      <c r="K203" s="4041" t="s">
        <v>5376</v>
      </c>
      <c r="L203" s="3840" t="s">
        <v>5377</v>
      </c>
      <c r="M203" s="3831" t="s">
        <v>5378</v>
      </c>
      <c r="N203" s="3831" t="s">
        <v>5379</v>
      </c>
      <c r="O203" s="4202" t="s">
        <v>5380</v>
      </c>
    </row>
    <row r="204" spans="1:91" ht="17.25" customHeight="1" x14ac:dyDescent="0.2">
      <c r="A204" s="7263">
        <v>32101400</v>
      </c>
      <c r="B204" s="9228"/>
      <c r="C204" s="4203" t="s">
        <v>2470</v>
      </c>
      <c r="D204" s="4204" t="s">
        <v>5369</v>
      </c>
      <c r="E204" s="3979" t="s">
        <v>5370</v>
      </c>
      <c r="F204" s="3979" t="s">
        <v>5371</v>
      </c>
      <c r="G204" s="3979" t="s">
        <v>5372</v>
      </c>
      <c r="H204" s="4205" t="s">
        <v>5373</v>
      </c>
      <c r="I204" s="4175" t="s">
        <v>5374</v>
      </c>
      <c r="J204" s="4192" t="s">
        <v>5375</v>
      </c>
      <c r="K204" s="4192" t="s">
        <v>5376</v>
      </c>
      <c r="L204" s="4206" t="s">
        <v>5377</v>
      </c>
      <c r="M204" s="4207" t="s">
        <v>5378</v>
      </c>
      <c r="N204" s="4207" t="s">
        <v>5379</v>
      </c>
      <c r="O204" s="3981" t="s">
        <v>5380</v>
      </c>
    </row>
    <row r="205" spans="1:91" ht="27" customHeight="1" x14ac:dyDescent="0.25">
      <c r="B205" s="4047" t="s">
        <v>3118</v>
      </c>
      <c r="C205" s="4208"/>
      <c r="W205" s="4209"/>
    </row>
    <row r="206" spans="1:91" ht="16.5" customHeight="1" x14ac:dyDescent="0.2">
      <c r="B206" s="11355" t="s">
        <v>41</v>
      </c>
      <c r="C206" s="11349" t="s">
        <v>2471</v>
      </c>
      <c r="D206" s="11347" t="s">
        <v>2472</v>
      </c>
      <c r="E206" s="11350" t="s">
        <v>2473</v>
      </c>
      <c r="F206" s="11351"/>
      <c r="G206" s="11352" t="s">
        <v>2474</v>
      </c>
      <c r="H206" s="11353"/>
      <c r="I206" s="11353"/>
      <c r="J206" s="11353"/>
      <c r="K206" s="11353"/>
      <c r="L206" s="11353"/>
      <c r="M206" s="11353"/>
      <c r="N206" s="11353"/>
      <c r="O206" s="11353"/>
      <c r="P206" s="11353"/>
      <c r="Q206" s="11353"/>
      <c r="R206" s="11353"/>
      <c r="S206" s="11353"/>
      <c r="T206" s="11354"/>
      <c r="U206" s="11356" t="s">
        <v>78</v>
      </c>
      <c r="V206" s="11347" t="s">
        <v>527</v>
      </c>
      <c r="W206" s="4209"/>
      <c r="CB206" s="11219" t="s">
        <v>78</v>
      </c>
      <c r="CC206" s="11219" t="s">
        <v>527</v>
      </c>
      <c r="CD206" s="11219" t="s">
        <v>3949</v>
      </c>
      <c r="CL206" s="11219"/>
      <c r="CM206" s="11219"/>
    </row>
    <row r="207" spans="1:91" ht="20.399999999999999" x14ac:dyDescent="0.2">
      <c r="B207" s="11355"/>
      <c r="C207" s="11349"/>
      <c r="D207" s="11348"/>
      <c r="E207" s="6759" t="s">
        <v>137</v>
      </c>
      <c r="F207" s="6754" t="s">
        <v>478</v>
      </c>
      <c r="G207" s="6759" t="s">
        <v>528</v>
      </c>
      <c r="H207" s="6755" t="s">
        <v>2519</v>
      </c>
      <c r="I207" s="6755" t="s">
        <v>1415</v>
      </c>
      <c r="J207" s="6755" t="s">
        <v>32</v>
      </c>
      <c r="K207" s="6755" t="s">
        <v>33</v>
      </c>
      <c r="L207" s="6760" t="s">
        <v>50</v>
      </c>
      <c r="M207" s="6755" t="s">
        <v>82</v>
      </c>
      <c r="N207" s="6755" t="s">
        <v>83</v>
      </c>
      <c r="O207" s="6755" t="s">
        <v>400</v>
      </c>
      <c r="P207" s="6755" t="s">
        <v>124</v>
      </c>
      <c r="Q207" s="6755" t="s">
        <v>125</v>
      </c>
      <c r="R207" s="6755" t="s">
        <v>126</v>
      </c>
      <c r="S207" s="6755" t="s">
        <v>127</v>
      </c>
      <c r="T207" s="6761" t="s">
        <v>128</v>
      </c>
      <c r="U207" s="11357"/>
      <c r="V207" s="11348"/>
      <c r="W207" s="4209"/>
      <c r="CB207" s="11219"/>
      <c r="CC207" s="11219"/>
      <c r="CD207" s="11219"/>
      <c r="CL207" s="11219"/>
      <c r="CM207" s="11219"/>
    </row>
    <row r="208" spans="1:91" ht="16.2" customHeight="1" x14ac:dyDescent="0.2">
      <c r="A208" s="7263">
        <v>32101440</v>
      </c>
      <c r="B208" s="4210" t="s">
        <v>2475</v>
      </c>
      <c r="C208" s="4211" t="s">
        <v>5369</v>
      </c>
      <c r="D208" s="4212" t="s">
        <v>5370</v>
      </c>
      <c r="E208" s="4211" t="s">
        <v>5371</v>
      </c>
      <c r="F208" s="4213" t="s">
        <v>5372</v>
      </c>
      <c r="G208" s="4211" t="s">
        <v>5373</v>
      </c>
      <c r="H208" s="4214" t="s">
        <v>5374</v>
      </c>
      <c r="I208" s="4214" t="s">
        <v>5375</v>
      </c>
      <c r="J208" s="4214" t="s">
        <v>5376</v>
      </c>
      <c r="K208" s="4214" t="s">
        <v>5377</v>
      </c>
      <c r="L208" s="4214" t="s">
        <v>5378</v>
      </c>
      <c r="M208" s="4214" t="s">
        <v>5379</v>
      </c>
      <c r="N208" s="4214" t="s">
        <v>5380</v>
      </c>
      <c r="O208" s="4214" t="s">
        <v>5381</v>
      </c>
      <c r="P208" s="4214" t="s">
        <v>5382</v>
      </c>
      <c r="Q208" s="4214" t="s">
        <v>5383</v>
      </c>
      <c r="R208" s="4214" t="s">
        <v>5384</v>
      </c>
      <c r="S208" s="4214" t="s">
        <v>5385</v>
      </c>
      <c r="T208" s="4215" t="s">
        <v>5386</v>
      </c>
      <c r="U208" s="4216" t="s">
        <v>5387</v>
      </c>
      <c r="V208" s="4217" t="s">
        <v>5388</v>
      </c>
      <c r="W208" s="6942" t="str">
        <f>CB208&amp;CC208&amp;CD208</f>
        <v/>
      </c>
      <c r="CD208" s="3811" t="str">
        <f>IF(OR(AND(U208="",D208&lt;&gt;0),AND(V208="",D208&lt;&gt;0)),"* No olvide digitar Gestantes, Post Parto (Digite CERO si no tiene). ","")</f>
        <v/>
      </c>
    </row>
    <row r="209" spans="1:82" ht="18" customHeight="1" x14ac:dyDescent="0.2">
      <c r="A209" s="7263">
        <v>32101450</v>
      </c>
      <c r="B209" s="4210" t="s">
        <v>2476</v>
      </c>
      <c r="C209" s="4211" t="s">
        <v>5369</v>
      </c>
      <c r="D209" s="4218" t="s">
        <v>5370</v>
      </c>
      <c r="E209" s="4211" t="s">
        <v>5371</v>
      </c>
      <c r="F209" s="4213" t="s">
        <v>5372</v>
      </c>
      <c r="G209" s="4211" t="s">
        <v>5373</v>
      </c>
      <c r="H209" s="4214" t="s">
        <v>5374</v>
      </c>
      <c r="I209" s="4214" t="s">
        <v>5375</v>
      </c>
      <c r="J209" s="4214" t="s">
        <v>5376</v>
      </c>
      <c r="K209" s="4214" t="s">
        <v>5377</v>
      </c>
      <c r="L209" s="4214" t="s">
        <v>5378</v>
      </c>
      <c r="M209" s="4214" t="s">
        <v>5379</v>
      </c>
      <c r="N209" s="4214" t="s">
        <v>5380</v>
      </c>
      <c r="O209" s="4214" t="s">
        <v>5381</v>
      </c>
      <c r="P209" s="4214" t="s">
        <v>5382</v>
      </c>
      <c r="Q209" s="4214" t="s">
        <v>5383</v>
      </c>
      <c r="R209" s="4214" t="s">
        <v>5384</v>
      </c>
      <c r="S209" s="4214" t="s">
        <v>5385</v>
      </c>
      <c r="T209" s="4215" t="s">
        <v>5386</v>
      </c>
      <c r="U209" s="4213" t="s">
        <v>5387</v>
      </c>
      <c r="V209" s="4219" t="s">
        <v>5388</v>
      </c>
      <c r="W209" s="6942" t="str">
        <f t="shared" ref="W209:W210" si="81">CB209&amp;CC209&amp;CD209</f>
        <v/>
      </c>
      <c r="CD209" s="3811" t="str">
        <f t="shared" ref="CD209:CD210" si="82">IF(OR(AND(U209="",D209&lt;&gt;0),AND(V209="",D209&lt;&gt;0)),"* No olvide digitar Gestantes, Post Parto (Digite CERO si no tiene). ","")</f>
        <v/>
      </c>
    </row>
    <row r="210" spans="1:82" ht="22.2" customHeight="1" x14ac:dyDescent="0.2">
      <c r="A210" s="7263">
        <v>32101460</v>
      </c>
      <c r="B210" s="4220" t="s">
        <v>2477</v>
      </c>
      <c r="C210" s="4221" t="s">
        <v>5369</v>
      </c>
      <c r="D210" s="4222" t="s">
        <v>5370</v>
      </c>
      <c r="E210" s="4223" t="s">
        <v>5371</v>
      </c>
      <c r="F210" s="4224" t="s">
        <v>5372</v>
      </c>
      <c r="G210" s="4223" t="s">
        <v>5373</v>
      </c>
      <c r="H210" s="4225" t="s">
        <v>5374</v>
      </c>
      <c r="I210" s="4225" t="s">
        <v>5375</v>
      </c>
      <c r="J210" s="4225" t="s">
        <v>5376</v>
      </c>
      <c r="K210" s="4225" t="s">
        <v>5377</v>
      </c>
      <c r="L210" s="4225" t="s">
        <v>5378</v>
      </c>
      <c r="M210" s="4225" t="s">
        <v>5379</v>
      </c>
      <c r="N210" s="4225" t="s">
        <v>5380</v>
      </c>
      <c r="O210" s="4225" t="s">
        <v>5381</v>
      </c>
      <c r="P210" s="4225" t="s">
        <v>5382</v>
      </c>
      <c r="Q210" s="4225" t="s">
        <v>5383</v>
      </c>
      <c r="R210" s="4225" t="s">
        <v>5384</v>
      </c>
      <c r="S210" s="4225" t="s">
        <v>5385</v>
      </c>
      <c r="T210" s="4226" t="s">
        <v>5386</v>
      </c>
      <c r="U210" s="4224" t="s">
        <v>5387</v>
      </c>
      <c r="V210" s="4221" t="s">
        <v>5388</v>
      </c>
      <c r="W210" s="6942" t="str">
        <f t="shared" si="81"/>
        <v/>
      </c>
      <c r="CD210" s="3811" t="str">
        <f t="shared" si="82"/>
        <v/>
      </c>
    </row>
    <row r="211" spans="1:82" ht="21" customHeight="1" x14ac:dyDescent="0.25">
      <c r="B211" s="4047" t="s">
        <v>3119</v>
      </c>
    </row>
    <row r="212" spans="1:82" x14ac:dyDescent="0.2">
      <c r="B212" s="11349" t="s">
        <v>522</v>
      </c>
      <c r="C212" s="11349" t="s">
        <v>2478</v>
      </c>
      <c r="D212" s="11350" t="s">
        <v>2479</v>
      </c>
      <c r="E212" s="11351"/>
      <c r="F212" s="11352" t="s">
        <v>2480</v>
      </c>
      <c r="G212" s="11353"/>
      <c r="H212" s="11353"/>
      <c r="I212" s="11353"/>
      <c r="J212" s="11353"/>
      <c r="K212" s="11354"/>
      <c r="L212" s="11347" t="s">
        <v>78</v>
      </c>
      <c r="M212" s="11347" t="s">
        <v>527</v>
      </c>
      <c r="CB212" s="11219" t="s">
        <v>78</v>
      </c>
      <c r="CC212" s="11219" t="s">
        <v>527</v>
      </c>
      <c r="CD212" s="11219" t="s">
        <v>3949</v>
      </c>
    </row>
    <row r="213" spans="1:82" ht="20.399999999999999" x14ac:dyDescent="0.2">
      <c r="B213" s="11349"/>
      <c r="C213" s="11349"/>
      <c r="D213" s="6753" t="s">
        <v>137</v>
      </c>
      <c r="E213" s="6754" t="s">
        <v>478</v>
      </c>
      <c r="F213" s="6753" t="s">
        <v>528</v>
      </c>
      <c r="G213" s="6755" t="s">
        <v>2519</v>
      </c>
      <c r="H213" s="6755" t="s">
        <v>1415</v>
      </c>
      <c r="I213" s="6755" t="s">
        <v>32</v>
      </c>
      <c r="J213" s="6755" t="s">
        <v>33</v>
      </c>
      <c r="K213" s="6756" t="s">
        <v>114</v>
      </c>
      <c r="L213" s="11348"/>
      <c r="M213" s="11348"/>
      <c r="CB213" s="11219"/>
      <c r="CC213" s="11219"/>
      <c r="CD213" s="11219"/>
    </row>
    <row r="214" spans="1:82" ht="24" customHeight="1" x14ac:dyDescent="0.2">
      <c r="A214" s="7263">
        <v>32101470</v>
      </c>
      <c r="B214" s="4210" t="s">
        <v>2481</v>
      </c>
      <c r="C214" s="6757" t="s">
        <v>5369</v>
      </c>
      <c r="D214" s="3830" t="s">
        <v>5370</v>
      </c>
      <c r="E214" s="3841" t="s">
        <v>5371</v>
      </c>
      <c r="F214" s="3830" t="s">
        <v>5372</v>
      </c>
      <c r="G214" s="3831" t="s">
        <v>5373</v>
      </c>
      <c r="H214" s="3831" t="s">
        <v>5374</v>
      </c>
      <c r="I214" s="3831" t="s">
        <v>5375</v>
      </c>
      <c r="J214" s="3831" t="s">
        <v>5376</v>
      </c>
      <c r="K214" s="3841" t="s">
        <v>5377</v>
      </c>
      <c r="L214" s="4157" t="s">
        <v>5378</v>
      </c>
      <c r="M214" s="4157" t="s">
        <v>5379</v>
      </c>
      <c r="N214" s="6942" t="str">
        <f>CB214&amp;CC214&amp;CD214</f>
        <v xml:space="preserve">* No olvide digitar Gestantes, Post Parto (Digite CERO si no tiene). </v>
      </c>
      <c r="CD214" s="3811" t="str">
        <f>IF(OR(AND(U214="",L214&lt;&gt;0),AND(V214="",M214&lt;&gt;0)),"* No olvide digitar Gestantes, Post Parto (Digite CERO si no tiene). ","")</f>
        <v xml:space="preserve">* No olvide digitar Gestantes, Post Parto (Digite CERO si no tiene). </v>
      </c>
    </row>
    <row r="215" spans="1:82" ht="21.75" customHeight="1" x14ac:dyDescent="0.2">
      <c r="A215" s="7263">
        <v>32101480</v>
      </c>
      <c r="B215" s="4220" t="s">
        <v>2482</v>
      </c>
      <c r="C215" s="6758" t="s">
        <v>5369</v>
      </c>
      <c r="D215" s="3979" t="s">
        <v>5370</v>
      </c>
      <c r="E215" s="3998" t="s">
        <v>5371</v>
      </c>
      <c r="F215" s="3979" t="s">
        <v>5372</v>
      </c>
      <c r="G215" s="4193" t="s">
        <v>5373</v>
      </c>
      <c r="H215" s="4193" t="s">
        <v>5374</v>
      </c>
      <c r="I215" s="4193" t="s">
        <v>5375</v>
      </c>
      <c r="J215" s="4193" t="s">
        <v>5376</v>
      </c>
      <c r="K215" s="3998" t="s">
        <v>5377</v>
      </c>
      <c r="L215" s="4205" t="s">
        <v>5378</v>
      </c>
      <c r="M215" s="4205" t="s">
        <v>5379</v>
      </c>
      <c r="N215" s="6942" t="str">
        <f>CB215&amp;CC215&amp;CD215</f>
        <v xml:space="preserve">* No olvide digitar Gestantes, Post Parto (Digite CERO si no tiene). </v>
      </c>
      <c r="CD215" s="3811" t="str">
        <f>IF(OR(AND(U215="",L215&lt;&gt;0),AND(V215="",M215&lt;&gt;0)),"* No olvide digitar Gestantes, Post Parto (Digite CERO si no tiene). ","")</f>
        <v xml:space="preserve">* No olvide digitar Gestantes, Post Parto (Digite CERO si no tiene). </v>
      </c>
    </row>
    <row r="216" spans="1:82" ht="26.25" customHeight="1" x14ac:dyDescent="0.25">
      <c r="B216" s="7151" t="s">
        <v>3120</v>
      </c>
      <c r="C216" s="7152"/>
      <c r="D216" s="7152"/>
      <c r="E216" s="7152"/>
      <c r="F216" s="7152"/>
      <c r="G216" s="7152"/>
      <c r="H216" s="7152"/>
      <c r="I216" s="7152"/>
      <c r="J216" s="7152"/>
      <c r="K216" s="7152"/>
      <c r="L216" s="7152"/>
      <c r="M216" s="7152"/>
      <c r="N216" s="7152"/>
      <c r="O216" s="7152"/>
      <c r="P216" s="7152"/>
      <c r="Q216" s="7152"/>
      <c r="R216" s="7152"/>
      <c r="S216" s="7152"/>
      <c r="T216" s="7152"/>
      <c r="U216" s="7152"/>
      <c r="V216" s="7152"/>
      <c r="W216" s="7152"/>
      <c r="X216" s="7152"/>
      <c r="Y216" s="7152"/>
      <c r="Z216" s="7152"/>
      <c r="AA216" s="7152"/>
      <c r="AB216" s="7152"/>
      <c r="AC216" s="7152"/>
      <c r="AD216" s="7152"/>
      <c r="AE216" s="7152"/>
      <c r="AF216" s="7152"/>
      <c r="AG216" s="7152"/>
    </row>
    <row r="217" spans="1:82" x14ac:dyDescent="0.2">
      <c r="B217" s="11222" t="s">
        <v>652</v>
      </c>
      <c r="C217" s="11225" t="s">
        <v>24</v>
      </c>
      <c r="D217" s="11226"/>
      <c r="E217" s="11227"/>
      <c r="F217" s="11231" t="s">
        <v>25</v>
      </c>
      <c r="G217" s="11232"/>
      <c r="H217" s="11232"/>
      <c r="I217" s="11232"/>
      <c r="J217" s="11232"/>
      <c r="K217" s="11232"/>
      <c r="L217" s="11232"/>
      <c r="M217" s="11232"/>
      <c r="N217" s="11232"/>
      <c r="O217" s="11232"/>
      <c r="P217" s="11232"/>
      <c r="Q217" s="11232"/>
      <c r="R217" s="11232"/>
      <c r="S217" s="11232"/>
      <c r="T217" s="11232"/>
      <c r="U217" s="11232"/>
      <c r="V217" s="11232"/>
      <c r="W217" s="11232"/>
      <c r="X217" s="11232"/>
      <c r="Y217" s="11232"/>
      <c r="Z217" s="11232"/>
      <c r="AA217" s="11232"/>
      <c r="AB217" s="11232"/>
      <c r="AC217" s="11232"/>
      <c r="AD217" s="11232"/>
      <c r="AE217" s="11232"/>
      <c r="AF217" s="11232"/>
      <c r="AG217" s="11233"/>
    </row>
    <row r="218" spans="1:82" ht="12" customHeight="1" x14ac:dyDescent="0.2">
      <c r="B218" s="11223"/>
      <c r="C218" s="11228"/>
      <c r="D218" s="11229"/>
      <c r="E218" s="11230"/>
      <c r="F218" s="11231" t="s">
        <v>71</v>
      </c>
      <c r="G218" s="11233"/>
      <c r="H218" s="11234" t="s">
        <v>4</v>
      </c>
      <c r="I218" s="11235"/>
      <c r="J218" s="11234" t="s">
        <v>5</v>
      </c>
      <c r="K218" s="11235"/>
      <c r="L218" s="11236" t="s">
        <v>6</v>
      </c>
      <c r="M218" s="11235"/>
      <c r="N218" s="11234" t="s">
        <v>7</v>
      </c>
      <c r="O218" s="11235"/>
      <c r="P218" s="11234" t="s">
        <v>8</v>
      </c>
      <c r="Q218" s="11235"/>
      <c r="R218" s="11234" t="s">
        <v>9</v>
      </c>
      <c r="S218" s="11235"/>
      <c r="T218" s="11234" t="s">
        <v>10</v>
      </c>
      <c r="U218" s="11235"/>
      <c r="V218" s="11236" t="s">
        <v>11</v>
      </c>
      <c r="W218" s="11235"/>
      <c r="X218" s="11234" t="s">
        <v>12</v>
      </c>
      <c r="Y218" s="11235"/>
      <c r="Z218" s="11236" t="s">
        <v>13</v>
      </c>
      <c r="AA218" s="11235"/>
      <c r="AB218" s="11236" t="s">
        <v>14</v>
      </c>
      <c r="AC218" s="11235"/>
      <c r="AD218" s="11236" t="s">
        <v>15</v>
      </c>
      <c r="AE218" s="11235"/>
      <c r="AF218" s="11236" t="s">
        <v>16</v>
      </c>
      <c r="AG218" s="11235"/>
      <c r="AH218" s="3877"/>
      <c r="AI218" s="3877"/>
      <c r="AJ218" s="3877"/>
      <c r="AK218" s="3877"/>
      <c r="AL218" s="3877"/>
      <c r="AM218" s="3877"/>
      <c r="AN218" s="3877"/>
      <c r="AO218" s="3877"/>
      <c r="AP218" s="3877"/>
      <c r="AQ218" s="3877"/>
      <c r="AR218" s="3877"/>
      <c r="AS218" s="3877"/>
      <c r="AT218" s="3877"/>
    </row>
    <row r="219" spans="1:82" ht="18" customHeight="1" x14ac:dyDescent="0.2">
      <c r="B219" s="11224"/>
      <c r="C219" s="7154" t="s">
        <v>42</v>
      </c>
      <c r="D219" s="7155" t="s">
        <v>17</v>
      </c>
      <c r="E219" s="7156" t="s">
        <v>18</v>
      </c>
      <c r="F219" s="7157" t="s">
        <v>17</v>
      </c>
      <c r="G219" s="7153" t="s">
        <v>18</v>
      </c>
      <c r="H219" s="7158" t="s">
        <v>17</v>
      </c>
      <c r="I219" s="7153" t="s">
        <v>18</v>
      </c>
      <c r="J219" s="7158" t="s">
        <v>17</v>
      </c>
      <c r="K219" s="7153" t="s">
        <v>18</v>
      </c>
      <c r="L219" s="7157" t="s">
        <v>17</v>
      </c>
      <c r="M219" s="7153" t="s">
        <v>18</v>
      </c>
      <c r="N219" s="7158" t="s">
        <v>17</v>
      </c>
      <c r="O219" s="7153" t="s">
        <v>18</v>
      </c>
      <c r="P219" s="7158" t="s">
        <v>17</v>
      </c>
      <c r="Q219" s="7153" t="s">
        <v>18</v>
      </c>
      <c r="R219" s="7158" t="s">
        <v>17</v>
      </c>
      <c r="S219" s="7153" t="s">
        <v>18</v>
      </c>
      <c r="T219" s="7158" t="s">
        <v>17</v>
      </c>
      <c r="U219" s="7153" t="s">
        <v>18</v>
      </c>
      <c r="V219" s="7158" t="s">
        <v>17</v>
      </c>
      <c r="W219" s="7153" t="s">
        <v>18</v>
      </c>
      <c r="X219" s="7158" t="s">
        <v>17</v>
      </c>
      <c r="Y219" s="7153" t="s">
        <v>18</v>
      </c>
      <c r="Z219" s="7157" t="s">
        <v>17</v>
      </c>
      <c r="AA219" s="7153" t="s">
        <v>18</v>
      </c>
      <c r="AB219" s="7157" t="s">
        <v>17</v>
      </c>
      <c r="AC219" s="7153" t="s">
        <v>18</v>
      </c>
      <c r="AD219" s="7157" t="s">
        <v>17</v>
      </c>
      <c r="AE219" s="7153" t="s">
        <v>18</v>
      </c>
      <c r="AF219" s="7157" t="s">
        <v>17</v>
      </c>
      <c r="AG219" s="7153" t="s">
        <v>18</v>
      </c>
    </row>
    <row r="220" spans="1:82" ht="18.600000000000001" customHeight="1" x14ac:dyDescent="0.2">
      <c r="A220" s="7320"/>
      <c r="B220" s="7159" t="s">
        <v>2110</v>
      </c>
      <c r="C220" s="7160">
        <f>SUM(D220:E220)</f>
        <v>0</v>
      </c>
      <c r="D220" s="7161">
        <f t="shared" ref="D220:E222" si="83">SUM(F220+H220+J220+L220+N220+P220+R220+T220+V220+X220+Z220+AB220+AD220+AF220)</f>
        <v>0</v>
      </c>
      <c r="E220" s="7162">
        <f t="shared" si="83"/>
        <v>0</v>
      </c>
      <c r="F220" s="7163"/>
      <c r="G220" s="7164"/>
      <c r="H220" s="7165"/>
      <c r="I220" s="7164"/>
      <c r="J220" s="7165"/>
      <c r="K220" s="7164"/>
      <c r="L220" s="7163"/>
      <c r="M220" s="7164"/>
      <c r="N220" s="7165"/>
      <c r="O220" s="7164"/>
      <c r="P220" s="7165"/>
      <c r="Q220" s="7164"/>
      <c r="R220" s="7165"/>
      <c r="S220" s="7164"/>
      <c r="T220" s="7165"/>
      <c r="U220" s="7164"/>
      <c r="V220" s="7165"/>
      <c r="W220" s="7164"/>
      <c r="X220" s="7165"/>
      <c r="Y220" s="7166"/>
      <c r="Z220" s="7166"/>
      <c r="AA220" s="7166"/>
      <c r="AB220" s="7166"/>
      <c r="AC220" s="7166"/>
      <c r="AD220" s="7166"/>
      <c r="AE220" s="7166"/>
      <c r="AF220" s="7166"/>
      <c r="AG220" s="7164"/>
    </row>
    <row r="221" spans="1:82" ht="17.399999999999999" customHeight="1" x14ac:dyDescent="0.2">
      <c r="A221" s="7320"/>
      <c r="B221" s="7159" t="s">
        <v>2109</v>
      </c>
      <c r="C221" s="7160">
        <f>SUM(D221:E221)</f>
        <v>0</v>
      </c>
      <c r="D221" s="7161">
        <f t="shared" si="83"/>
        <v>0</v>
      </c>
      <c r="E221" s="7162">
        <f t="shared" si="83"/>
        <v>0</v>
      </c>
      <c r="F221" s="7163"/>
      <c r="G221" s="7164"/>
      <c r="H221" s="7165"/>
      <c r="I221" s="7164"/>
      <c r="J221" s="7165"/>
      <c r="K221" s="7164"/>
      <c r="L221" s="7163"/>
      <c r="M221" s="7164"/>
      <c r="N221" s="7165"/>
      <c r="O221" s="7164"/>
      <c r="P221" s="7165"/>
      <c r="Q221" s="7164"/>
      <c r="R221" s="7165"/>
      <c r="S221" s="7164"/>
      <c r="T221" s="7165"/>
      <c r="U221" s="7164"/>
      <c r="V221" s="7165"/>
      <c r="W221" s="7164"/>
      <c r="X221" s="7165"/>
      <c r="Y221" s="7166"/>
      <c r="Z221" s="7166"/>
      <c r="AA221" s="7166"/>
      <c r="AB221" s="7166"/>
      <c r="AC221" s="7166"/>
      <c r="AD221" s="7166"/>
      <c r="AE221" s="7166"/>
      <c r="AF221" s="7166"/>
      <c r="AG221" s="7164"/>
    </row>
    <row r="222" spans="1:82" ht="19.2" customHeight="1" x14ac:dyDescent="0.2">
      <c r="A222" s="7320"/>
      <c r="B222" s="7167" t="s">
        <v>2067</v>
      </c>
      <c r="C222" s="7168">
        <f>SUM(D222:E222)</f>
        <v>0</v>
      </c>
      <c r="D222" s="7169">
        <f t="shared" si="83"/>
        <v>0</v>
      </c>
      <c r="E222" s="7170">
        <f t="shared" si="83"/>
        <v>0</v>
      </c>
      <c r="F222" s="7171"/>
      <c r="G222" s="7172"/>
      <c r="H222" s="7173"/>
      <c r="I222" s="7172"/>
      <c r="J222" s="7173"/>
      <c r="K222" s="7172"/>
      <c r="L222" s="7171"/>
      <c r="M222" s="7172"/>
      <c r="N222" s="7173"/>
      <c r="O222" s="7172"/>
      <c r="P222" s="7173"/>
      <c r="Q222" s="7172"/>
      <c r="R222" s="7173"/>
      <c r="S222" s="7172"/>
      <c r="T222" s="7173"/>
      <c r="U222" s="7172"/>
      <c r="V222" s="7173"/>
      <c r="W222" s="7172"/>
      <c r="X222" s="7173"/>
      <c r="Y222" s="7174"/>
      <c r="Z222" s="7174"/>
      <c r="AA222" s="7174"/>
      <c r="AB222" s="7174"/>
      <c r="AC222" s="7174"/>
      <c r="AD222" s="7174"/>
      <c r="AE222" s="7174"/>
      <c r="AF222" s="7174"/>
      <c r="AG222" s="7172"/>
    </row>
    <row r="223" spans="1:82" ht="28.2" customHeight="1" x14ac:dyDescent="0.25">
      <c r="B223" s="4047" t="s">
        <v>3121</v>
      </c>
      <c r="C223" s="4234"/>
      <c r="D223" s="4234"/>
      <c r="E223" s="4234"/>
      <c r="F223" s="4234"/>
      <c r="G223" s="4235"/>
      <c r="H223" s="4235"/>
    </row>
    <row r="224" spans="1:82" ht="21.75" customHeight="1" x14ac:dyDescent="0.2">
      <c r="B224" s="11237" t="s">
        <v>1669</v>
      </c>
      <c r="C224" s="11237" t="s">
        <v>1668</v>
      </c>
      <c r="D224" s="11239" t="s">
        <v>1667</v>
      </c>
      <c r="E224" s="11240"/>
      <c r="F224" s="11240"/>
      <c r="G224" s="11240"/>
      <c r="H224" s="11241"/>
    </row>
    <row r="225" spans="1:8" ht="15.6" customHeight="1" x14ac:dyDescent="0.2">
      <c r="B225" s="11238"/>
      <c r="C225" s="11238"/>
      <c r="D225" s="4236" t="s">
        <v>75</v>
      </c>
      <c r="E225" s="4237" t="s">
        <v>76</v>
      </c>
      <c r="F225" s="4238" t="s">
        <v>77</v>
      </c>
      <c r="G225" s="4238" t="s">
        <v>71</v>
      </c>
      <c r="H225" s="4239" t="s">
        <v>4</v>
      </c>
    </row>
    <row r="226" spans="1:8" ht="29.4" customHeight="1" x14ac:dyDescent="0.2">
      <c r="A226" s="7802">
        <v>32101591</v>
      </c>
      <c r="B226" s="4240" t="s">
        <v>1666</v>
      </c>
      <c r="C226" s="4241" t="s">
        <v>5369</v>
      </c>
      <c r="D226" s="4242" t="s">
        <v>5370</v>
      </c>
      <c r="E226" s="4243" t="s">
        <v>5371</v>
      </c>
      <c r="F226" s="4243" t="s">
        <v>5372</v>
      </c>
      <c r="G226" s="4244" t="s">
        <v>5373</v>
      </c>
      <c r="H226" s="4245" t="s">
        <v>5374</v>
      </c>
    </row>
    <row r="227" spans="1:8" s="3940" customFormat="1" ht="23.25" customHeight="1" x14ac:dyDescent="0.25">
      <c r="B227" s="4047" t="s">
        <v>3742</v>
      </c>
      <c r="E227" s="3914"/>
    </row>
    <row r="228" spans="1:8" s="3940" customFormat="1" ht="17.25" customHeight="1" x14ac:dyDescent="0.2">
      <c r="B228" s="11107" t="s">
        <v>2566</v>
      </c>
      <c r="C228" s="11109" t="s">
        <v>1351</v>
      </c>
      <c r="D228" s="11110"/>
      <c r="E228" s="11111"/>
    </row>
    <row r="229" spans="1:8" s="3940" customFormat="1" ht="19.5" customHeight="1" x14ac:dyDescent="0.2">
      <c r="B229" s="11041"/>
      <c r="C229" s="4246" t="s">
        <v>1739</v>
      </c>
      <c r="D229" s="11112" t="s">
        <v>1738</v>
      </c>
      <c r="E229" s="11113"/>
    </row>
    <row r="230" spans="1:8" s="3940" customFormat="1" ht="18" customHeight="1" x14ac:dyDescent="0.2">
      <c r="B230" s="11108"/>
      <c r="C230" s="4247" t="s">
        <v>1737</v>
      </c>
      <c r="D230" s="4248" t="s">
        <v>1736</v>
      </c>
      <c r="E230" s="4249" t="s">
        <v>1735</v>
      </c>
    </row>
    <row r="231" spans="1:8" s="3940" customFormat="1" ht="21.6" customHeight="1" x14ac:dyDescent="0.2">
      <c r="A231" s="7320">
        <v>32101592</v>
      </c>
      <c r="B231" s="4250" t="s">
        <v>1734</v>
      </c>
      <c r="C231" s="4251" t="s">
        <v>5369</v>
      </c>
      <c r="D231" s="4252" t="s">
        <v>5370</v>
      </c>
      <c r="E231" s="4253" t="s">
        <v>5371</v>
      </c>
    </row>
    <row r="235" spans="1:8" x14ac:dyDescent="0.2">
      <c r="A235" s="3810" t="s">
        <v>4068</v>
      </c>
    </row>
    <row r="236" spans="1:8" ht="12.6" x14ac:dyDescent="0.2">
      <c r="A236" s="7826">
        <v>32101530</v>
      </c>
    </row>
    <row r="237" spans="1:8" ht="12.6" x14ac:dyDescent="0.2">
      <c r="A237" s="7826">
        <v>32101531</v>
      </c>
    </row>
    <row r="238" spans="1:8" ht="12.6" x14ac:dyDescent="0.2">
      <c r="A238" s="7826">
        <v>32101532</v>
      </c>
    </row>
    <row r="239" spans="1:8" ht="12.6" x14ac:dyDescent="0.2">
      <c r="A239" s="7826">
        <v>32101533</v>
      </c>
    </row>
    <row r="240" spans="1:8" ht="12.6" x14ac:dyDescent="0.2">
      <c r="A240" s="7826">
        <v>32101534</v>
      </c>
    </row>
    <row r="241" spans="1:3" ht="12.6" x14ac:dyDescent="0.2">
      <c r="A241" s="7826">
        <v>32101535</v>
      </c>
    </row>
    <row r="242" spans="1:3" ht="12.6" x14ac:dyDescent="0.2">
      <c r="A242" s="7826">
        <v>32101536</v>
      </c>
    </row>
    <row r="243" spans="1:3" ht="12.6" x14ac:dyDescent="0.2">
      <c r="A243" s="7826">
        <v>32101537</v>
      </c>
    </row>
    <row r="244" spans="1:3" ht="12.6" x14ac:dyDescent="0.2">
      <c r="A244" s="7826">
        <v>32101538</v>
      </c>
    </row>
    <row r="245" spans="1:3" ht="12.6" x14ac:dyDescent="0.2">
      <c r="A245" s="7826">
        <v>32101539</v>
      </c>
    </row>
    <row r="246" spans="1:3" ht="12.6" x14ac:dyDescent="0.2">
      <c r="A246" s="7826">
        <v>32101540</v>
      </c>
    </row>
    <row r="247" spans="1:3" ht="12.6" x14ac:dyDescent="0.2">
      <c r="A247" s="7826">
        <v>32101541</v>
      </c>
    </row>
    <row r="248" spans="1:3" ht="12.6" x14ac:dyDescent="0.2">
      <c r="A248" s="7826">
        <v>32101542</v>
      </c>
    </row>
    <row r="249" spans="1:3" ht="12.6" x14ac:dyDescent="0.2">
      <c r="A249" s="7826">
        <v>32101543</v>
      </c>
    </row>
    <row r="250" spans="1:3" ht="12.6" x14ac:dyDescent="0.2">
      <c r="A250" s="7826">
        <v>32101544</v>
      </c>
    </row>
    <row r="251" spans="1:3" ht="12.6" x14ac:dyDescent="0.2">
      <c r="A251" s="7826">
        <v>32101545</v>
      </c>
    </row>
    <row r="252" spans="1:3" ht="12.6" x14ac:dyDescent="0.2">
      <c r="A252" s="7826">
        <v>32101546</v>
      </c>
    </row>
    <row r="253" spans="1:3" ht="12.6" x14ac:dyDescent="0.2">
      <c r="A253" s="7826">
        <v>32101547</v>
      </c>
    </row>
    <row r="254" spans="1:3" ht="12.6" x14ac:dyDescent="0.2">
      <c r="A254" s="7826">
        <v>32101548</v>
      </c>
    </row>
    <row r="255" spans="1:3" ht="12.6" x14ac:dyDescent="0.2">
      <c r="A255" s="7826">
        <v>32101549</v>
      </c>
    </row>
    <row r="256" spans="1:3" s="4255" customFormat="1" ht="12.6" hidden="1" x14ac:dyDescent="0.2">
      <c r="A256" s="7826">
        <v>32101550</v>
      </c>
      <c r="B256" s="4254">
        <f>SUM(C19,C27,C97,D111,C119,C125,C130:C132,D147,D158,D163:D170,C175:C178,C182:C185,F182:F185,C189:C190,F189:F190,C195:C197,G195:G197,D201:D204,I201:I204,C208:D210,C214:C215,C220:C222,C226,C231:E231)</f>
        <v>0</v>
      </c>
      <c r="C256" s="4255" t="e">
        <f>SUM(CL11:CT177)</f>
        <v>#VALUE!</v>
      </c>
    </row>
    <row r="257" spans="1:1" ht="12.6" x14ac:dyDescent="0.2">
      <c r="A257" s="7826">
        <v>32101551</v>
      </c>
    </row>
    <row r="258" spans="1:1" ht="12.6" x14ac:dyDescent="0.2">
      <c r="A258" s="7826">
        <v>32101552</v>
      </c>
    </row>
    <row r="259" spans="1:1" ht="12.6" x14ac:dyDescent="0.2">
      <c r="A259" s="7826">
        <v>32101553</v>
      </c>
    </row>
    <row r="260" spans="1:1" ht="12.6" x14ac:dyDescent="0.2">
      <c r="A260" s="7826">
        <v>32101554</v>
      </c>
    </row>
    <row r="261" spans="1:1" ht="12.6" x14ac:dyDescent="0.2">
      <c r="A261" s="7826">
        <v>32101555</v>
      </c>
    </row>
    <row r="262" spans="1:1" ht="12.6" x14ac:dyDescent="0.2">
      <c r="A262" s="7826">
        <v>32101556</v>
      </c>
    </row>
    <row r="263" spans="1:1" ht="12.6" x14ac:dyDescent="0.2">
      <c r="A263" s="7826">
        <v>32101557</v>
      </c>
    </row>
    <row r="264" spans="1:1" ht="12.6" x14ac:dyDescent="0.2">
      <c r="A264" s="7826">
        <v>32101558</v>
      </c>
    </row>
    <row r="265" spans="1:1" ht="12.6" x14ac:dyDescent="0.2">
      <c r="A265" s="7826">
        <v>32101559</v>
      </c>
    </row>
    <row r="266" spans="1:1" ht="12.6" x14ac:dyDescent="0.2">
      <c r="A266" s="7826">
        <v>32101560</v>
      </c>
    </row>
    <row r="267" spans="1:1" ht="12.6" x14ac:dyDescent="0.2">
      <c r="A267" s="7826">
        <v>32101561</v>
      </c>
    </row>
    <row r="268" spans="1:1" ht="12.6" x14ac:dyDescent="0.2">
      <c r="A268" s="7826">
        <v>32101562</v>
      </c>
    </row>
    <row r="269" spans="1:1" ht="12.6" x14ac:dyDescent="0.2">
      <c r="A269" s="7826">
        <v>32101563</v>
      </c>
    </row>
    <row r="270" spans="1:1" ht="12.6" x14ac:dyDescent="0.2">
      <c r="A270" s="7826">
        <v>32101564</v>
      </c>
    </row>
    <row r="271" spans="1:1" ht="12.6" x14ac:dyDescent="0.2">
      <c r="A271" s="7826">
        <v>32101565</v>
      </c>
    </row>
    <row r="272" spans="1:1" ht="12.6" x14ac:dyDescent="0.2">
      <c r="A272" s="7826">
        <v>32101566</v>
      </c>
    </row>
    <row r="273" spans="1:1" ht="12.6" x14ac:dyDescent="0.2">
      <c r="A273" s="7826">
        <v>32101567</v>
      </c>
    </row>
    <row r="274" spans="1:1" ht="12.6" x14ac:dyDescent="0.2">
      <c r="A274" s="7826">
        <v>32101568</v>
      </c>
    </row>
    <row r="275" spans="1:1" ht="12.6" x14ac:dyDescent="0.2">
      <c r="A275" s="7826">
        <v>32101569</v>
      </c>
    </row>
    <row r="276" spans="1:1" ht="12.6" x14ac:dyDescent="0.2">
      <c r="A276" s="7826">
        <v>32101570</v>
      </c>
    </row>
    <row r="277" spans="1:1" ht="12.6" x14ac:dyDescent="0.2">
      <c r="A277" s="7826">
        <v>32101571</v>
      </c>
    </row>
    <row r="278" spans="1:1" ht="12.6" x14ac:dyDescent="0.2">
      <c r="A278" s="7826">
        <v>32101572</v>
      </c>
    </row>
    <row r="279" spans="1:1" ht="12.6" x14ac:dyDescent="0.2">
      <c r="A279" s="7826">
        <v>32101573</v>
      </c>
    </row>
    <row r="280" spans="1:1" ht="12.6" x14ac:dyDescent="0.2">
      <c r="A280" s="7826">
        <v>32101574</v>
      </c>
    </row>
    <row r="281" spans="1:1" ht="12.6" x14ac:dyDescent="0.2">
      <c r="A281" s="7826">
        <v>32101575</v>
      </c>
    </row>
    <row r="282" spans="1:1" ht="12.6" x14ac:dyDescent="0.2">
      <c r="A282" s="7826">
        <v>32101576</v>
      </c>
    </row>
    <row r="283" spans="1:1" ht="12.6" x14ac:dyDescent="0.2">
      <c r="A283" s="7826">
        <v>32101577</v>
      </c>
    </row>
    <row r="284" spans="1:1" ht="12.6" x14ac:dyDescent="0.2">
      <c r="A284" s="7826">
        <v>32101578</v>
      </c>
    </row>
    <row r="285" spans="1:1" ht="12.6" x14ac:dyDescent="0.2">
      <c r="A285" s="7826">
        <v>32101579</v>
      </c>
    </row>
    <row r="286" spans="1:1" ht="12.6" x14ac:dyDescent="0.2">
      <c r="A286" s="7826">
        <v>32101580</v>
      </c>
    </row>
    <row r="287" spans="1:1" ht="12.6" x14ac:dyDescent="0.2">
      <c r="A287" s="7826">
        <v>32101581</v>
      </c>
    </row>
    <row r="288" spans="1:1" ht="12.6" x14ac:dyDescent="0.2">
      <c r="A288" s="7826">
        <v>32101582</v>
      </c>
    </row>
    <row r="289" spans="1:1" ht="12.6" x14ac:dyDescent="0.2">
      <c r="A289" s="7826">
        <v>32101583</v>
      </c>
    </row>
    <row r="290" spans="1:1" ht="12.6" x14ac:dyDescent="0.2">
      <c r="A290" s="7826">
        <v>32101584</v>
      </c>
    </row>
    <row r="291" spans="1:1" ht="12.6" x14ac:dyDescent="0.2">
      <c r="A291" s="7826">
        <v>32101585</v>
      </c>
    </row>
    <row r="292" spans="1:1" ht="12.6" x14ac:dyDescent="0.2">
      <c r="A292" s="7826">
        <v>32101586</v>
      </c>
    </row>
    <row r="293" spans="1:1" ht="12.6" x14ac:dyDescent="0.2">
      <c r="A293" s="7826">
        <v>32101587</v>
      </c>
    </row>
    <row r="294" spans="1:1" ht="12.6" x14ac:dyDescent="0.2">
      <c r="A294" s="7827">
        <v>32101591</v>
      </c>
    </row>
    <row r="295" spans="1:1" ht="12.6" x14ac:dyDescent="0.2">
      <c r="A295" s="7826">
        <v>32101592</v>
      </c>
    </row>
    <row r="298" spans="1:1" x14ac:dyDescent="0.2">
      <c r="A298" s="3810" t="s">
        <v>4069</v>
      </c>
    </row>
    <row r="299" spans="1:1" ht="12.6" x14ac:dyDescent="0.2">
      <c r="A299" s="7826">
        <v>32101588</v>
      </c>
    </row>
    <row r="300" spans="1:1" ht="12.6" x14ac:dyDescent="0.2">
      <c r="A300" s="7826">
        <v>32101589</v>
      </c>
    </row>
    <row r="301" spans="1:1" ht="12.6" x14ac:dyDescent="0.2">
      <c r="A301" s="7826">
        <v>32101590</v>
      </c>
    </row>
    <row r="302" spans="1:1" ht="11.4" x14ac:dyDescent="0.2">
      <c r="A302" s="7262">
        <v>32100120</v>
      </c>
    </row>
    <row r="303" spans="1:1" ht="11.4" x14ac:dyDescent="0.2">
      <c r="A303" s="7262">
        <v>32100130</v>
      </c>
    </row>
    <row r="304" spans="1:1" ht="11.4" x14ac:dyDescent="0.2">
      <c r="A304" s="7262">
        <v>32100140</v>
      </c>
    </row>
    <row r="305" spans="1:1" ht="11.4" x14ac:dyDescent="0.2">
      <c r="A305" s="7262">
        <v>32100170</v>
      </c>
    </row>
    <row r="306" spans="1:1" ht="11.4" x14ac:dyDescent="0.2">
      <c r="A306" s="7262">
        <v>32100190</v>
      </c>
    </row>
    <row r="307" spans="1:1" ht="11.4" x14ac:dyDescent="0.2">
      <c r="A307" s="7262">
        <v>32100260</v>
      </c>
    </row>
    <row r="308" spans="1:1" ht="11.4" x14ac:dyDescent="0.2">
      <c r="A308" s="7262">
        <v>32100300</v>
      </c>
    </row>
    <row r="309" spans="1:1" ht="11.4" x14ac:dyDescent="0.2">
      <c r="A309" s="7262">
        <v>32100310</v>
      </c>
    </row>
    <row r="310" spans="1:1" ht="11.4" x14ac:dyDescent="0.2">
      <c r="A310" s="7262">
        <v>32100560</v>
      </c>
    </row>
    <row r="311" spans="1:1" ht="11.4" x14ac:dyDescent="0.2">
      <c r="A311" s="7262">
        <v>32100590</v>
      </c>
    </row>
    <row r="312" spans="1:1" ht="11.4" x14ac:dyDescent="0.2">
      <c r="A312" s="7262">
        <v>32100600</v>
      </c>
    </row>
    <row r="313" spans="1:1" ht="11.4" x14ac:dyDescent="0.2">
      <c r="A313" s="7262">
        <v>32100620</v>
      </c>
    </row>
    <row r="314" spans="1:1" ht="11.4" x14ac:dyDescent="0.2">
      <c r="A314" s="7262">
        <v>32101510</v>
      </c>
    </row>
    <row r="315" spans="1:1" ht="11.4" x14ac:dyDescent="0.2">
      <c r="A315" s="7262">
        <v>32101520</v>
      </c>
    </row>
    <row r="316" spans="1:1" ht="11.4" x14ac:dyDescent="0.2">
      <c r="A316" s="7262">
        <v>32100800</v>
      </c>
    </row>
    <row r="317" spans="1:1" ht="11.4" x14ac:dyDescent="0.2">
      <c r="A317" s="7262">
        <v>32100910</v>
      </c>
    </row>
    <row r="318" spans="1:1" ht="11.4" x14ac:dyDescent="0.2">
      <c r="A318" s="7262">
        <v>32101120</v>
      </c>
    </row>
    <row r="319" spans="1:1" ht="11.4" x14ac:dyDescent="0.2">
      <c r="A319" s="7262">
        <v>32101130</v>
      </c>
    </row>
    <row r="320" spans="1:1" ht="11.4" x14ac:dyDescent="0.2">
      <c r="A320" s="7262">
        <v>32101350</v>
      </c>
    </row>
    <row r="321" spans="1:1" ht="11.4" x14ac:dyDescent="0.2">
      <c r="A321" s="7262">
        <v>32101000</v>
      </c>
    </row>
    <row r="322" spans="1:1" ht="11.4" x14ac:dyDescent="0.2">
      <c r="A322" s="7262">
        <v>32101010</v>
      </c>
    </row>
    <row r="323" spans="1:1" ht="11.4" x14ac:dyDescent="0.2">
      <c r="A323" s="7262">
        <v>32101020</v>
      </c>
    </row>
    <row r="324" spans="1:1" ht="11.4" x14ac:dyDescent="0.2">
      <c r="A324" s="7262">
        <v>32101030</v>
      </c>
    </row>
    <row r="325" spans="1:1" ht="11.4" x14ac:dyDescent="0.2">
      <c r="A325" s="7262">
        <v>32101040</v>
      </c>
    </row>
    <row r="326" spans="1:1" ht="11.4" x14ac:dyDescent="0.2">
      <c r="A326" s="7262">
        <v>32101050</v>
      </c>
    </row>
    <row r="327" spans="1:1" ht="11.4" x14ac:dyDescent="0.2">
      <c r="A327" s="7262">
        <v>32101060</v>
      </c>
    </row>
    <row r="328" spans="1:1" ht="11.4" x14ac:dyDescent="0.2">
      <c r="A328" s="7262">
        <v>32101070</v>
      </c>
    </row>
    <row r="329" spans="1:1" ht="11.4" x14ac:dyDescent="0.2">
      <c r="A329" s="7262">
        <v>32101080</v>
      </c>
    </row>
    <row r="330" spans="1:1" ht="11.4" x14ac:dyDescent="0.2">
      <c r="A330" s="7262">
        <v>32101090</v>
      </c>
    </row>
    <row r="331" spans="1:1" ht="11.4" x14ac:dyDescent="0.2">
      <c r="A331" s="7262">
        <v>32101410</v>
      </c>
    </row>
    <row r="332" spans="1:1" ht="11.4" x14ac:dyDescent="0.2">
      <c r="A332" s="7262">
        <v>32101420</v>
      </c>
    </row>
    <row r="333" spans="1:1" ht="11.4" x14ac:dyDescent="0.2">
      <c r="A333" s="7262">
        <v>32101430</v>
      </c>
    </row>
  </sheetData>
  <mergeCells count="350">
    <mergeCell ref="B7:T7"/>
    <mergeCell ref="AO99:AP100"/>
    <mergeCell ref="CS121:CS122"/>
    <mergeCell ref="CG114:CG115"/>
    <mergeCell ref="CR114:CR115"/>
    <mergeCell ref="CR35:CR36"/>
    <mergeCell ref="CS35:CS36"/>
    <mergeCell ref="CL114:CL115"/>
    <mergeCell ref="CE114:CE115"/>
    <mergeCell ref="CD114:CD115"/>
    <mergeCell ref="CQ121:CQ122"/>
    <mergeCell ref="CP34:CQ35"/>
    <mergeCell ref="AU99:AU101"/>
    <mergeCell ref="AV99:AV101"/>
    <mergeCell ref="AQ99:AQ101"/>
    <mergeCell ref="AR99:AR101"/>
    <mergeCell ref="AS99:AS101"/>
    <mergeCell ref="AT99:AT101"/>
    <mergeCell ref="CK114:CK115"/>
    <mergeCell ref="CK121:CK122"/>
    <mergeCell ref="CM29:CM30"/>
    <mergeCell ref="CN29:CN30"/>
    <mergeCell ref="CC34:CC36"/>
    <mergeCell ref="CD34:CE35"/>
    <mergeCell ref="CM34:CM36"/>
    <mergeCell ref="CN34:CO35"/>
    <mergeCell ref="CH35:CH36"/>
    <mergeCell ref="CI35:CI36"/>
    <mergeCell ref="CL29:CL30"/>
    <mergeCell ref="CN12:CN13"/>
    <mergeCell ref="CO12:CO13"/>
    <mergeCell ref="CP12:CP13"/>
    <mergeCell ref="CN22:CN23"/>
    <mergeCell ref="CO22:CO23"/>
    <mergeCell ref="CD12:CD13"/>
    <mergeCell ref="CE12:CE13"/>
    <mergeCell ref="CF12:CF13"/>
    <mergeCell ref="CB22:CB23"/>
    <mergeCell ref="CC22:CC23"/>
    <mergeCell ref="CD22:CD23"/>
    <mergeCell ref="CE22:CE23"/>
    <mergeCell ref="CL22:CL23"/>
    <mergeCell ref="CM22:CM23"/>
    <mergeCell ref="CC12:CC13"/>
    <mergeCell ref="CL12:CL13"/>
    <mergeCell ref="CM12:CM13"/>
    <mergeCell ref="CG12:CG13"/>
    <mergeCell ref="X12:X13"/>
    <mergeCell ref="U114:U115"/>
    <mergeCell ref="S121:S122"/>
    <mergeCell ref="W128:W129"/>
    <mergeCell ref="B111:C111"/>
    <mergeCell ref="B128:B129"/>
    <mergeCell ref="C121:E121"/>
    <mergeCell ref="F121:M121"/>
    <mergeCell ref="B121:B122"/>
    <mergeCell ref="N121:N122"/>
    <mergeCell ref="O121:O122"/>
    <mergeCell ref="W34:X35"/>
    <mergeCell ref="C34:C36"/>
    <mergeCell ref="B34:B36"/>
    <mergeCell ref="D34:V34"/>
    <mergeCell ref="D35:T35"/>
    <mergeCell ref="U35:V35"/>
    <mergeCell ref="G99:AN99"/>
    <mergeCell ref="AE100:AF100"/>
    <mergeCell ref="AG100:AH100"/>
    <mergeCell ref="AI100:AJ100"/>
    <mergeCell ref="AK100:AL100"/>
    <mergeCell ref="AM100:AN100"/>
    <mergeCell ref="G100:H100"/>
    <mergeCell ref="I135:J135"/>
    <mergeCell ref="AS134:AS136"/>
    <mergeCell ref="AB128:AB129"/>
    <mergeCell ref="Y128:Y129"/>
    <mergeCell ref="Z128:Z129"/>
    <mergeCell ref="AA128:AA129"/>
    <mergeCell ref="D128:T128"/>
    <mergeCell ref="C128:C129"/>
    <mergeCell ref="T121:T122"/>
    <mergeCell ref="U121:U122"/>
    <mergeCell ref="U128:V128"/>
    <mergeCell ref="AP134:AP136"/>
    <mergeCell ref="AQ134:AQ136"/>
    <mergeCell ref="AR134:AR136"/>
    <mergeCell ref="AO134:AO136"/>
    <mergeCell ref="B163:B166"/>
    <mergeCell ref="B167:B170"/>
    <mergeCell ref="P121:P122"/>
    <mergeCell ref="Q121:Q122"/>
    <mergeCell ref="R121:R122"/>
    <mergeCell ref="Z12:Z13"/>
    <mergeCell ref="X114:X115"/>
    <mergeCell ref="B103:B105"/>
    <mergeCell ref="B106:C106"/>
    <mergeCell ref="B107:C107"/>
    <mergeCell ref="B108:C108"/>
    <mergeCell ref="B109:C109"/>
    <mergeCell ref="B110:C110"/>
    <mergeCell ref="B102:C102"/>
    <mergeCell ref="Q100:R100"/>
    <mergeCell ref="B99:C101"/>
    <mergeCell ref="D99:F100"/>
    <mergeCell ref="B137:B147"/>
    <mergeCell ref="B148:B158"/>
    <mergeCell ref="B160:B162"/>
    <mergeCell ref="C160:C162"/>
    <mergeCell ref="D160:F161"/>
    <mergeCell ref="G160:AH160"/>
    <mergeCell ref="G161:H161"/>
    <mergeCell ref="C8:K8"/>
    <mergeCell ref="G135:H135"/>
    <mergeCell ref="O135:P135"/>
    <mergeCell ref="Q135:R135"/>
    <mergeCell ref="S135:T135"/>
    <mergeCell ref="B134:B136"/>
    <mergeCell ref="C134:C136"/>
    <mergeCell ref="D134:F135"/>
    <mergeCell ref="G134:AN134"/>
    <mergeCell ref="U135:V135"/>
    <mergeCell ref="W135:X135"/>
    <mergeCell ref="Y135:Z135"/>
    <mergeCell ref="AA135:AB135"/>
    <mergeCell ref="AC135:AD135"/>
    <mergeCell ref="AE135:AF135"/>
    <mergeCell ref="AG135:AH135"/>
    <mergeCell ref="K135:L135"/>
    <mergeCell ref="M135:N135"/>
    <mergeCell ref="AI135:AJ135"/>
    <mergeCell ref="AK135:AL135"/>
    <mergeCell ref="AM135:AN135"/>
    <mergeCell ref="W29:W30"/>
    <mergeCell ref="X29:X30"/>
    <mergeCell ref="I100:J100"/>
    <mergeCell ref="V206:V207"/>
    <mergeCell ref="B212:B213"/>
    <mergeCell ref="C212:C213"/>
    <mergeCell ref="D212:E212"/>
    <mergeCell ref="F212:K212"/>
    <mergeCell ref="L212:L213"/>
    <mergeCell ref="M212:M213"/>
    <mergeCell ref="B206:B207"/>
    <mergeCell ref="C206:C207"/>
    <mergeCell ref="D206:D207"/>
    <mergeCell ref="E206:F206"/>
    <mergeCell ref="G206:T206"/>
    <mergeCell ref="U206:U207"/>
    <mergeCell ref="B199:C200"/>
    <mergeCell ref="D199:D200"/>
    <mergeCell ref="E199:K199"/>
    <mergeCell ref="L199:O199"/>
    <mergeCell ref="B201:B204"/>
    <mergeCell ref="B192:B194"/>
    <mergeCell ref="C192:C194"/>
    <mergeCell ref="D192:F193"/>
    <mergeCell ref="G192:G194"/>
    <mergeCell ref="H192:M192"/>
    <mergeCell ref="H193:M193"/>
    <mergeCell ref="AJ172:AJ174"/>
    <mergeCell ref="CL173:CL174"/>
    <mergeCell ref="CM173:CM174"/>
    <mergeCell ref="B180:B181"/>
    <mergeCell ref="C180:C181"/>
    <mergeCell ref="D180:E180"/>
    <mergeCell ref="F180:F181"/>
    <mergeCell ref="G180:U180"/>
    <mergeCell ref="B187:B188"/>
    <mergeCell ref="C187:E187"/>
    <mergeCell ref="F187:H187"/>
    <mergeCell ref="B172:B174"/>
    <mergeCell ref="C172:E173"/>
    <mergeCell ref="F172:AG172"/>
    <mergeCell ref="AH172:AH174"/>
    <mergeCell ref="AI172:AI174"/>
    <mergeCell ref="F173:G173"/>
    <mergeCell ref="H173:I173"/>
    <mergeCell ref="J173:K173"/>
    <mergeCell ref="X173:Y173"/>
    <mergeCell ref="Z173:AA173"/>
    <mergeCell ref="AB173:AC173"/>
    <mergeCell ref="AD173:AE173"/>
    <mergeCell ref="AF173:AG173"/>
    <mergeCell ref="L173:M173"/>
    <mergeCell ref="N173:O173"/>
    <mergeCell ref="P173:Q173"/>
    <mergeCell ref="R173:S173"/>
    <mergeCell ref="T173:U173"/>
    <mergeCell ref="V173:W173"/>
    <mergeCell ref="I161:J161"/>
    <mergeCell ref="K161:L161"/>
    <mergeCell ref="M161:N161"/>
    <mergeCell ref="O161:P161"/>
    <mergeCell ref="Q161:R161"/>
    <mergeCell ref="S161:T161"/>
    <mergeCell ref="U161:V161"/>
    <mergeCell ref="AI160:AI162"/>
    <mergeCell ref="CB161:CB162"/>
    <mergeCell ref="AC161:AD161"/>
    <mergeCell ref="AE161:AF161"/>
    <mergeCell ref="AG161:AH161"/>
    <mergeCell ref="W161:X161"/>
    <mergeCell ref="Y161:Z161"/>
    <mergeCell ref="AA161:AB161"/>
    <mergeCell ref="AJ160:AJ162"/>
    <mergeCell ref="CQ128:CQ129"/>
    <mergeCell ref="W114:W115"/>
    <mergeCell ref="CC128:CC129"/>
    <mergeCell ref="CE128:CE129"/>
    <mergeCell ref="CF128:CF129"/>
    <mergeCell ref="CG128:CG129"/>
    <mergeCell ref="CM128:CM129"/>
    <mergeCell ref="CO128:CO129"/>
    <mergeCell ref="CP128:CP129"/>
    <mergeCell ref="CG121:CG122"/>
    <mergeCell ref="CF114:CF115"/>
    <mergeCell ref="CI114:CI115"/>
    <mergeCell ref="CH114:CH115"/>
    <mergeCell ref="CM114:CM115"/>
    <mergeCell ref="X128:X129"/>
    <mergeCell ref="CL128:CL129"/>
    <mergeCell ref="CB128:CB129"/>
    <mergeCell ref="CN128:CN129"/>
    <mergeCell ref="CD128:CD129"/>
    <mergeCell ref="CC114:CC115"/>
    <mergeCell ref="CB114:CB115"/>
    <mergeCell ref="CL121:CL122"/>
    <mergeCell ref="CB121:CB122"/>
    <mergeCell ref="CJ121:CJ122"/>
    <mergeCell ref="CT121:CT122"/>
    <mergeCell ref="B114:B115"/>
    <mergeCell ref="C114:E114"/>
    <mergeCell ref="F114:Q114"/>
    <mergeCell ref="R114:R115"/>
    <mergeCell ref="S114:S115"/>
    <mergeCell ref="T114:T115"/>
    <mergeCell ref="V114:V115"/>
    <mergeCell ref="CH121:CH122"/>
    <mergeCell ref="CI121:CI122"/>
    <mergeCell ref="CM121:CM122"/>
    <mergeCell ref="CN121:CN122"/>
    <mergeCell ref="CO121:CO122"/>
    <mergeCell ref="CP121:CP122"/>
    <mergeCell ref="CN114:CN115"/>
    <mergeCell ref="CO114:CO115"/>
    <mergeCell ref="CP114:CP115"/>
    <mergeCell ref="CS114:CS115"/>
    <mergeCell ref="CQ114:CQ115"/>
    <mergeCell ref="CC121:CC122"/>
    <mergeCell ref="CD121:CD122"/>
    <mergeCell ref="CE121:CE122"/>
    <mergeCell ref="CF121:CF122"/>
    <mergeCell ref="CR121:CR122"/>
    <mergeCell ref="K100:L100"/>
    <mergeCell ref="M100:N100"/>
    <mergeCell ref="O100:P100"/>
    <mergeCell ref="AC100:AD100"/>
    <mergeCell ref="W100:X100"/>
    <mergeCell ref="Y100:Z100"/>
    <mergeCell ref="AA100:AB100"/>
    <mergeCell ref="S100:T100"/>
    <mergeCell ref="U100:V100"/>
    <mergeCell ref="Y34:Z35"/>
    <mergeCell ref="AA34:AJ34"/>
    <mergeCell ref="AN34:AN36"/>
    <mergeCell ref="AO34:AO36"/>
    <mergeCell ref="AP34:AP36"/>
    <mergeCell ref="AQ34:AQ36"/>
    <mergeCell ref="AR34:AR36"/>
    <mergeCell ref="AF35:AJ35"/>
    <mergeCell ref="AA35:AE35"/>
    <mergeCell ref="AK34:AM35"/>
    <mergeCell ref="B10:J10"/>
    <mergeCell ref="B12:B13"/>
    <mergeCell ref="C12:C13"/>
    <mergeCell ref="D12:T12"/>
    <mergeCell ref="B29:B30"/>
    <mergeCell ref="C29:C30"/>
    <mergeCell ref="D29:T29"/>
    <mergeCell ref="U29:V29"/>
    <mergeCell ref="CB29:CB30"/>
    <mergeCell ref="U12:V12"/>
    <mergeCell ref="W12:W13"/>
    <mergeCell ref="CB12:CB13"/>
    <mergeCell ref="AA12:AA13"/>
    <mergeCell ref="Y12:Y13"/>
    <mergeCell ref="M21:M23"/>
    <mergeCell ref="B20:M20"/>
    <mergeCell ref="F21:I21"/>
    <mergeCell ref="J21:J23"/>
    <mergeCell ref="K21:K23"/>
    <mergeCell ref="L21:L23"/>
    <mergeCell ref="B21:B23"/>
    <mergeCell ref="C21:E22"/>
    <mergeCell ref="F22:G22"/>
    <mergeCell ref="H22:I22"/>
    <mergeCell ref="B228:B230"/>
    <mergeCell ref="C228:E228"/>
    <mergeCell ref="D229:E229"/>
    <mergeCell ref="B217:B219"/>
    <mergeCell ref="C217:E218"/>
    <mergeCell ref="F217:AG217"/>
    <mergeCell ref="F218:G218"/>
    <mergeCell ref="H218:I218"/>
    <mergeCell ref="J218:K218"/>
    <mergeCell ref="L218:M218"/>
    <mergeCell ref="N218:O218"/>
    <mergeCell ref="P218:Q218"/>
    <mergeCell ref="R218:S218"/>
    <mergeCell ref="T218:U218"/>
    <mergeCell ref="V218:W218"/>
    <mergeCell ref="X218:Y218"/>
    <mergeCell ref="Z218:AA218"/>
    <mergeCell ref="AB218:AC218"/>
    <mergeCell ref="AD218:AE218"/>
    <mergeCell ref="AF218:AG218"/>
    <mergeCell ref="B224:B225"/>
    <mergeCell ref="C224:C225"/>
    <mergeCell ref="D224:H224"/>
    <mergeCell ref="CL206:CL207"/>
    <mergeCell ref="CM206:CM207"/>
    <mergeCell ref="CC173:CC174"/>
    <mergeCell ref="CL135:CL136"/>
    <mergeCell ref="CM135:CM136"/>
    <mergeCell ref="CN135:CN136"/>
    <mergeCell ref="CO135:CO136"/>
    <mergeCell ref="CB135:CB136"/>
    <mergeCell ref="CC135:CC136"/>
    <mergeCell ref="CD135:CD136"/>
    <mergeCell ref="CE135:CE136"/>
    <mergeCell ref="CL161:CL162"/>
    <mergeCell ref="CM161:CM162"/>
    <mergeCell ref="CC161:CC162"/>
    <mergeCell ref="CB173:CB174"/>
    <mergeCell ref="CO173:CO174"/>
    <mergeCell ref="CO161:CO162"/>
    <mergeCell ref="CB212:CB213"/>
    <mergeCell ref="CC212:CC213"/>
    <mergeCell ref="CD212:CD213"/>
    <mergeCell ref="CF22:CF23"/>
    <mergeCell ref="CE29:CE30"/>
    <mergeCell ref="CH128:CH129"/>
    <mergeCell ref="CH135:CH136"/>
    <mergeCell ref="CD161:CD162"/>
    <mergeCell ref="CD173:CD174"/>
    <mergeCell ref="CB206:CB207"/>
    <mergeCell ref="CC206:CC207"/>
    <mergeCell ref="CD206:CD207"/>
    <mergeCell ref="CC29:CC30"/>
    <mergeCell ref="CD29:CD30"/>
    <mergeCell ref="CF34:CG35"/>
  </mergeCells>
  <phoneticPr fontId="44" type="noConversion"/>
  <conditionalFormatting sqref="CI20:CK21 CI27:CK27 CI22:CI26 CJ19:CL19 CL14:CM18">
    <cfRule type="cellIs" dxfId="9" priority="12" operator="equal">
      <formula>1</formula>
    </cfRule>
  </conditionalFormatting>
  <conditionalFormatting sqref="CO14:CP14">
    <cfRule type="cellIs" dxfId="8" priority="11" operator="equal">
      <formula>1</formula>
    </cfRule>
  </conditionalFormatting>
  <conditionalFormatting sqref="CN14:CN18">
    <cfRule type="cellIs" dxfId="7" priority="8" operator="equal">
      <formula>1</formula>
    </cfRule>
  </conditionalFormatting>
  <conditionalFormatting sqref="CO15:CP18">
    <cfRule type="cellIs" dxfId="6" priority="7" operator="equal">
      <formula>1</formula>
    </cfRule>
  </conditionalFormatting>
  <conditionalFormatting sqref="CL24:CO24">
    <cfRule type="cellIs" dxfId="5" priority="6" operator="equal">
      <formula>1</formula>
    </cfRule>
  </conditionalFormatting>
  <conditionalFormatting sqref="CL25:CO26">
    <cfRule type="cellIs" dxfId="4" priority="5" operator="equal">
      <formula>1</formula>
    </cfRule>
  </conditionalFormatting>
  <conditionalFormatting sqref="CM31:CN31">
    <cfRule type="cellIs" dxfId="3" priority="4" operator="equal">
      <formula>1</formula>
    </cfRule>
  </conditionalFormatting>
  <conditionalFormatting sqref="CR37:CS37">
    <cfRule type="cellIs" dxfId="2" priority="3" operator="equal">
      <formula>1</formula>
    </cfRule>
  </conditionalFormatting>
  <conditionalFormatting sqref="CR38:CS96">
    <cfRule type="cellIs" dxfId="1" priority="2" operator="equal">
      <formula>1</formula>
    </cfRule>
  </conditionalFormatting>
  <conditionalFormatting sqref="A302:A333">
    <cfRule type="duplicateValues" dxfId="0" priority="1"/>
  </conditionalFormatting>
  <dataValidations count="2">
    <dataValidation type="whole" operator="greaterThanOrEqual" allowBlank="1" showInputMessage="1" showErrorMessage="1" errorTitle="Error" error="Favor ingresar sólo números." sqref="F220:AG222" xr:uid="{00000000-0002-0000-1800-000000000000}">
      <formula1>0</formula1>
    </dataValidation>
    <dataValidation type="whole" operator="greaterThanOrEqual" allowBlank="1" showInputMessage="1" showErrorMessage="1" errorTitle="Error" error="Favor Ingrese sólo Números." sqref="D37:T96" xr:uid="{F319B61F-843D-4539-BF64-08B8399D884E}">
      <formula1>0</formula1>
    </dataValidation>
  </dataValidations>
  <pageMargins left="0.7" right="0.7" top="0.75" bottom="0.75" header="0.3" footer="0.3"/>
  <pageSetup orientation="portrait" horizontalDpi="4294967294" r:id="rId1"/>
  <ignoredErrors>
    <ignoredError sqref="F147" formula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95E-3122-40C7-87FF-6A94B955749D}">
  <sheetPr codeName="Hoja27"/>
  <dimension ref="A1:CM1050"/>
  <sheetViews>
    <sheetView showGridLines="0" zoomScaleNormal="100" workbookViewId="0"/>
  </sheetViews>
  <sheetFormatPr baseColWidth="10" defaultColWidth="14.44140625" defaultRowHeight="14.4" x14ac:dyDescent="0.3"/>
  <cols>
    <col min="1" max="1" width="14.6640625" style="2384" customWidth="1"/>
    <col min="2" max="2" width="53.6640625" style="2384" customWidth="1"/>
    <col min="3" max="3" width="53.33203125" style="2384" customWidth="1"/>
    <col min="4" max="4" width="16.44140625" style="2384" customWidth="1"/>
    <col min="5" max="5" width="13.33203125" style="2384" customWidth="1"/>
    <col min="6" max="6" width="14.6640625" style="2384" customWidth="1"/>
    <col min="7" max="7" width="14.109375" style="2384" customWidth="1"/>
    <col min="8" max="8" width="13.33203125" style="2384" customWidth="1"/>
    <col min="9" max="40" width="10.6640625" style="2384" customWidth="1"/>
    <col min="41" max="41" width="11.109375" style="2384" customWidth="1"/>
    <col min="42" max="42" width="12.109375" style="2384" customWidth="1"/>
    <col min="43" max="44" width="10.6640625" style="2384" customWidth="1"/>
    <col min="45" max="45" width="11.5546875" style="2384" customWidth="1"/>
    <col min="46" max="46" width="10.6640625" style="2384" customWidth="1"/>
    <col min="47" max="47" width="14.109375" style="2384" customWidth="1"/>
    <col min="48" max="48" width="10.6640625" style="2384" customWidth="1"/>
    <col min="49" max="49" width="11.5546875" style="2384" customWidth="1"/>
    <col min="50" max="52" width="10.6640625" style="2384" customWidth="1"/>
    <col min="53" max="53" width="16.33203125" style="2384" customWidth="1"/>
    <col min="54" max="55" width="14.109375" style="2384" customWidth="1"/>
    <col min="56" max="77" width="14.44140625" style="2384"/>
    <col min="78" max="79" width="0" style="2384" hidden="1" customWidth="1"/>
    <col min="80" max="91" width="14.44140625" style="2384" hidden="1" customWidth="1"/>
    <col min="92" max="105" width="14.44140625" style="2384" customWidth="1"/>
    <col min="106" max="16384" width="14.44140625" style="2384"/>
  </cols>
  <sheetData>
    <row r="1" spans="1:90" x14ac:dyDescent="0.3">
      <c r="B1" s="7828" t="s">
        <v>207</v>
      </c>
    </row>
    <row r="2" spans="1:90" x14ac:dyDescent="0.3">
      <c r="B2" s="7828" t="str">
        <f>CONCATENATE("COMUNA: ",NOMBRE!B2," - ","( ",NOMBRE!C2,NOMBRE!D2,NOMBRE!E2,NOMBRE!F2,NOMBRE!G2," )")</f>
        <v>COMUNA:  - (  )</v>
      </c>
    </row>
    <row r="3" spans="1:90" x14ac:dyDescent="0.3">
      <c r="B3" s="7828" t="str">
        <f>CONCATENATE("ESTABLECIMIENTO/ESTRATEGIA: ",NOMBRE!B3," - ","( ",NOMBRE!C3,NOMBRE!D3,NOMBRE!E3,NOMBRE!F3,NOMBRE!G3,NOMBRE!H3," )")</f>
        <v>ESTABLECIMIENTO/ESTRATEGIA:  - (  )</v>
      </c>
    </row>
    <row r="4" spans="1:90" x14ac:dyDescent="0.3">
      <c r="B4" s="7828" t="str">
        <f>CONCATENATE("MES: ",NOMBRE!B6," - ","( ",NOMBRE!C6,NOMBRE!D6," )")</f>
        <v>MES:  - (  )</v>
      </c>
    </row>
    <row r="5" spans="1:90" x14ac:dyDescent="0.3">
      <c r="B5" s="7828" t="str">
        <f>CONCATENATE("AÑO: ",NOMBRE!B7)</f>
        <v>AÑO: 2023</v>
      </c>
    </row>
    <row r="6" spans="1:90" x14ac:dyDescent="0.3">
      <c r="B6" s="7829"/>
    </row>
    <row r="7" spans="1:90" ht="15" customHeight="1" x14ac:dyDescent="0.3">
      <c r="B7" s="11452" t="s">
        <v>3992</v>
      </c>
      <c r="C7" s="11452"/>
      <c r="D7" s="11452"/>
      <c r="E7" s="11452"/>
      <c r="F7" s="11452"/>
      <c r="G7" s="11452"/>
      <c r="H7" s="11452"/>
      <c r="I7" s="11452"/>
      <c r="J7" s="11452"/>
      <c r="K7" s="11452"/>
      <c r="L7" s="11452"/>
      <c r="M7" s="11452"/>
      <c r="N7" s="11452"/>
      <c r="O7" s="11452"/>
      <c r="P7" s="11452"/>
      <c r="Q7" s="11452"/>
      <c r="R7" s="11452"/>
      <c r="S7" s="11452"/>
      <c r="T7" s="11452"/>
      <c r="U7" s="11452"/>
      <c r="V7" s="11452"/>
      <c r="W7" s="11452"/>
      <c r="X7" s="11452"/>
      <c r="Y7" s="11452"/>
      <c r="Z7" s="11452"/>
      <c r="AA7" s="11452"/>
      <c r="AB7" s="11452"/>
      <c r="AC7" s="11452"/>
      <c r="AD7" s="11452"/>
    </row>
    <row r="8" spans="1:90" ht="16.2" x14ac:dyDescent="0.3">
      <c r="B8" s="7829"/>
      <c r="E8" s="7830"/>
      <c r="F8" s="7830"/>
      <c r="G8" s="7830"/>
      <c r="H8" s="7830"/>
      <c r="I8" s="7830"/>
      <c r="J8" s="7830"/>
      <c r="K8" s="7830"/>
      <c r="L8" s="7830"/>
      <c r="M8" s="7830"/>
    </row>
    <row r="9" spans="1:90" ht="16.2" x14ac:dyDescent="0.3">
      <c r="B9" s="7829"/>
      <c r="E9" s="7830"/>
      <c r="F9" s="7830"/>
      <c r="G9" s="7830"/>
      <c r="H9" s="7830"/>
      <c r="I9" s="7830"/>
      <c r="J9" s="7830"/>
      <c r="K9" s="7830"/>
      <c r="L9" s="7830"/>
      <c r="M9" s="7830"/>
    </row>
    <row r="10" spans="1:90" ht="16.2" x14ac:dyDescent="0.3">
      <c r="B10" s="7831" t="s">
        <v>467</v>
      </c>
    </row>
    <row r="11" spans="1:90" ht="16.2" x14ac:dyDescent="0.3">
      <c r="B11" s="7831" t="s">
        <v>3059</v>
      </c>
      <c r="C11" s="7832"/>
      <c r="D11" s="7833"/>
      <c r="E11" s="7833"/>
      <c r="F11" s="7833"/>
      <c r="G11" s="7834"/>
      <c r="H11" s="7834"/>
      <c r="I11" s="7834"/>
      <c r="J11" s="7834"/>
      <c r="K11" s="7834"/>
      <c r="L11" s="7834"/>
      <c r="M11" s="7834"/>
      <c r="N11" s="7834"/>
      <c r="O11" s="7834"/>
      <c r="P11" s="7834"/>
      <c r="Q11" s="7834"/>
      <c r="R11" s="7834"/>
      <c r="S11" s="7834"/>
      <c r="T11" s="7834"/>
      <c r="U11" s="7834"/>
      <c r="V11" s="7834"/>
      <c r="W11" s="7834"/>
      <c r="X11" s="7834"/>
      <c r="Y11" s="7834"/>
      <c r="Z11" s="7834"/>
      <c r="AA11" s="7834"/>
      <c r="AB11" s="7834"/>
      <c r="AC11" s="7834"/>
      <c r="AD11" s="7834"/>
      <c r="AE11" s="7834"/>
      <c r="AF11" s="7834"/>
      <c r="AG11" s="7834"/>
      <c r="AH11" s="7834"/>
      <c r="AI11" s="7834"/>
      <c r="AJ11" s="7834"/>
      <c r="AK11" s="7834"/>
      <c r="AL11" s="7834"/>
      <c r="AM11" s="7834"/>
      <c r="AN11" s="7834"/>
      <c r="AO11" s="7834"/>
      <c r="AP11" s="7834"/>
      <c r="AQ11" s="7834"/>
      <c r="AR11" s="7834"/>
      <c r="AS11" s="7832"/>
      <c r="AT11" s="7832"/>
    </row>
    <row r="12" spans="1:90" ht="15" customHeight="1" x14ac:dyDescent="0.3">
      <c r="B12" s="11457" t="s">
        <v>3406</v>
      </c>
      <c r="C12" s="11458"/>
      <c r="D12" s="11445" t="s">
        <v>24</v>
      </c>
      <c r="E12" s="11431"/>
      <c r="F12" s="11432"/>
      <c r="G12" s="11428" t="s">
        <v>98</v>
      </c>
      <c r="H12" s="11429"/>
      <c r="I12" s="11429"/>
      <c r="J12" s="11429"/>
      <c r="K12" s="11429"/>
      <c r="L12" s="11429"/>
      <c r="M12" s="11429"/>
      <c r="N12" s="11429"/>
      <c r="O12" s="11429"/>
      <c r="P12" s="11429"/>
      <c r="Q12" s="11429"/>
      <c r="R12" s="11429"/>
      <c r="S12" s="11429"/>
      <c r="T12" s="11429"/>
      <c r="U12" s="11429"/>
      <c r="V12" s="11429"/>
      <c r="W12" s="11429"/>
      <c r="X12" s="11429"/>
      <c r="Y12" s="11429"/>
      <c r="Z12" s="11429"/>
      <c r="AA12" s="11429"/>
      <c r="AB12" s="11429"/>
      <c r="AC12" s="11429"/>
      <c r="AD12" s="11429"/>
      <c r="AE12" s="11429"/>
      <c r="AF12" s="11429"/>
      <c r="AG12" s="11429"/>
      <c r="AH12" s="11429"/>
      <c r="AI12" s="11429"/>
      <c r="AJ12" s="11429"/>
      <c r="AK12" s="11429"/>
      <c r="AL12" s="11429"/>
      <c r="AM12" s="11429"/>
      <c r="AN12" s="11424"/>
      <c r="AO12" s="11425" t="s">
        <v>1821</v>
      </c>
      <c r="AP12" s="9303" t="s">
        <v>361</v>
      </c>
      <c r="CB12" s="10917" t="s">
        <v>1821</v>
      </c>
      <c r="CC12" s="10917" t="s">
        <v>361</v>
      </c>
      <c r="CD12" s="10917" t="s">
        <v>3948</v>
      </c>
      <c r="CK12" s="10917" t="s">
        <v>1821</v>
      </c>
      <c r="CL12" s="10917" t="s">
        <v>361</v>
      </c>
    </row>
    <row r="13" spans="1:90" ht="15" customHeight="1" x14ac:dyDescent="0.3">
      <c r="B13" s="11459"/>
      <c r="C13" s="11460"/>
      <c r="D13" s="11446"/>
      <c r="E13" s="11433"/>
      <c r="F13" s="11434"/>
      <c r="G13" s="11451" t="s">
        <v>1416</v>
      </c>
      <c r="H13" s="11418"/>
      <c r="I13" s="11417" t="s">
        <v>1415</v>
      </c>
      <c r="J13" s="11418"/>
      <c r="K13" s="11417" t="s">
        <v>77</v>
      </c>
      <c r="L13" s="11418"/>
      <c r="M13" s="11417" t="s">
        <v>68</v>
      </c>
      <c r="N13" s="11418"/>
      <c r="O13" s="11417" t="s">
        <v>142</v>
      </c>
      <c r="P13" s="11418"/>
      <c r="Q13" s="11417" t="s">
        <v>143</v>
      </c>
      <c r="R13" s="11418"/>
      <c r="S13" s="11417" t="s">
        <v>144</v>
      </c>
      <c r="T13" s="11418"/>
      <c r="U13" s="11417" t="s">
        <v>7</v>
      </c>
      <c r="V13" s="11418"/>
      <c r="W13" s="11417" t="s">
        <v>8</v>
      </c>
      <c r="X13" s="11418"/>
      <c r="Y13" s="11417" t="s">
        <v>145</v>
      </c>
      <c r="Z13" s="11418"/>
      <c r="AA13" s="11417" t="s">
        <v>10</v>
      </c>
      <c r="AB13" s="11418"/>
      <c r="AC13" s="11417" t="s">
        <v>11</v>
      </c>
      <c r="AD13" s="11418"/>
      <c r="AE13" s="11417" t="s">
        <v>12</v>
      </c>
      <c r="AF13" s="11418"/>
      <c r="AG13" s="11417" t="s">
        <v>13</v>
      </c>
      <c r="AH13" s="11418"/>
      <c r="AI13" s="11417" t="s">
        <v>14</v>
      </c>
      <c r="AJ13" s="11418"/>
      <c r="AK13" s="11417" t="s">
        <v>15</v>
      </c>
      <c r="AL13" s="11418"/>
      <c r="AM13" s="11423" t="s">
        <v>16</v>
      </c>
      <c r="AN13" s="11424"/>
      <c r="AO13" s="11426"/>
      <c r="AP13" s="9310"/>
      <c r="CB13" s="10917"/>
      <c r="CC13" s="10917"/>
      <c r="CD13" s="10917"/>
      <c r="CK13" s="10917"/>
      <c r="CL13" s="10917"/>
    </row>
    <row r="14" spans="1:90" x14ac:dyDescent="0.3">
      <c r="B14" s="11461"/>
      <c r="C14" s="11462"/>
      <c r="D14" s="7836" t="s">
        <v>42</v>
      </c>
      <c r="E14" s="7837" t="s">
        <v>17</v>
      </c>
      <c r="F14" s="7838" t="s">
        <v>18</v>
      </c>
      <c r="G14" s="7839" t="s">
        <v>17</v>
      </c>
      <c r="H14" s="7835" t="s">
        <v>18</v>
      </c>
      <c r="I14" s="7840" t="s">
        <v>17</v>
      </c>
      <c r="J14" s="7835" t="s">
        <v>18</v>
      </c>
      <c r="K14" s="7840" t="s">
        <v>17</v>
      </c>
      <c r="L14" s="7835" t="s">
        <v>18</v>
      </c>
      <c r="M14" s="7840" t="s">
        <v>17</v>
      </c>
      <c r="N14" s="7835" t="s">
        <v>18</v>
      </c>
      <c r="O14" s="7840" t="s">
        <v>17</v>
      </c>
      <c r="P14" s="7835" t="s">
        <v>18</v>
      </c>
      <c r="Q14" s="7840" t="s">
        <v>17</v>
      </c>
      <c r="R14" s="7835" t="s">
        <v>18</v>
      </c>
      <c r="S14" s="7840" t="s">
        <v>17</v>
      </c>
      <c r="T14" s="7835" t="s">
        <v>18</v>
      </c>
      <c r="U14" s="7840" t="s">
        <v>17</v>
      </c>
      <c r="V14" s="7835" t="s">
        <v>18</v>
      </c>
      <c r="W14" s="7840" t="s">
        <v>17</v>
      </c>
      <c r="X14" s="7835" t="s">
        <v>18</v>
      </c>
      <c r="Y14" s="7840" t="s">
        <v>17</v>
      </c>
      <c r="Z14" s="7835" t="s">
        <v>18</v>
      </c>
      <c r="AA14" s="7840" t="s">
        <v>17</v>
      </c>
      <c r="AB14" s="7835" t="s">
        <v>18</v>
      </c>
      <c r="AC14" s="7840" t="s">
        <v>17</v>
      </c>
      <c r="AD14" s="7835" t="s">
        <v>18</v>
      </c>
      <c r="AE14" s="7840" t="s">
        <v>17</v>
      </c>
      <c r="AF14" s="7835" t="s">
        <v>18</v>
      </c>
      <c r="AG14" s="7840" t="s">
        <v>17</v>
      </c>
      <c r="AH14" s="7835" t="s">
        <v>18</v>
      </c>
      <c r="AI14" s="7840" t="s">
        <v>17</v>
      </c>
      <c r="AJ14" s="7835" t="s">
        <v>18</v>
      </c>
      <c r="AK14" s="7840" t="s">
        <v>17</v>
      </c>
      <c r="AL14" s="7835" t="s">
        <v>18</v>
      </c>
      <c r="AM14" s="7840" t="s">
        <v>17</v>
      </c>
      <c r="AN14" s="7841" t="s">
        <v>18</v>
      </c>
      <c r="AO14" s="11427"/>
      <c r="AP14" s="9306" t="s">
        <v>18</v>
      </c>
      <c r="CB14" s="10917"/>
      <c r="CC14" s="10917" t="s">
        <v>18</v>
      </c>
      <c r="CD14" s="10917" t="s">
        <v>18</v>
      </c>
      <c r="CK14" s="10917"/>
      <c r="CL14" s="10917" t="s">
        <v>18</v>
      </c>
    </row>
    <row r="15" spans="1:90" ht="14.1" customHeight="1" x14ac:dyDescent="0.3">
      <c r="A15" s="7320">
        <v>32101593</v>
      </c>
      <c r="B15" s="11441" t="s">
        <v>3060</v>
      </c>
      <c r="C15" s="7842" t="s">
        <v>3061</v>
      </c>
      <c r="D15" s="7843" t="s">
        <v>5369</v>
      </c>
      <c r="E15" s="7844" t="s">
        <v>5370</v>
      </c>
      <c r="F15" s="7843" t="s">
        <v>5371</v>
      </c>
      <c r="G15" s="7845" t="s">
        <v>5372</v>
      </c>
      <c r="H15" s="7846" t="s">
        <v>5373</v>
      </c>
      <c r="I15" s="7845" t="s">
        <v>5374</v>
      </c>
      <c r="J15" s="7846" t="s">
        <v>5375</v>
      </c>
      <c r="K15" s="7845" t="s">
        <v>5376</v>
      </c>
      <c r="L15" s="7846" t="s">
        <v>5377</v>
      </c>
      <c r="M15" s="7845" t="s">
        <v>5378</v>
      </c>
      <c r="N15" s="7846" t="s">
        <v>5379</v>
      </c>
      <c r="O15" s="7845" t="s">
        <v>5380</v>
      </c>
      <c r="P15" s="7846" t="s">
        <v>5381</v>
      </c>
      <c r="Q15" s="7845" t="s">
        <v>5382</v>
      </c>
      <c r="R15" s="7846" t="s">
        <v>5383</v>
      </c>
      <c r="S15" s="7845" t="s">
        <v>5384</v>
      </c>
      <c r="T15" s="7846" t="s">
        <v>5385</v>
      </c>
      <c r="U15" s="7845" t="s">
        <v>5386</v>
      </c>
      <c r="V15" s="7846" t="s">
        <v>5387</v>
      </c>
      <c r="W15" s="7845" t="s">
        <v>5388</v>
      </c>
      <c r="X15" s="7846" t="s">
        <v>5389</v>
      </c>
      <c r="Y15" s="7845" t="s">
        <v>5390</v>
      </c>
      <c r="Z15" s="7846" t="s">
        <v>5391</v>
      </c>
      <c r="AA15" s="7845" t="s">
        <v>5392</v>
      </c>
      <c r="AB15" s="7846" t="s">
        <v>5393</v>
      </c>
      <c r="AC15" s="7845" t="s">
        <v>5394</v>
      </c>
      <c r="AD15" s="7846" t="s">
        <v>5395</v>
      </c>
      <c r="AE15" s="7845" t="s">
        <v>5396</v>
      </c>
      <c r="AF15" s="7846" t="s">
        <v>5397</v>
      </c>
      <c r="AG15" s="7845" t="s">
        <v>5398</v>
      </c>
      <c r="AH15" s="7846" t="s">
        <v>5399</v>
      </c>
      <c r="AI15" s="7845" t="s">
        <v>5400</v>
      </c>
      <c r="AJ15" s="7846" t="s">
        <v>5401</v>
      </c>
      <c r="AK15" s="7845" t="s">
        <v>5402</v>
      </c>
      <c r="AL15" s="7846" t="s">
        <v>5403</v>
      </c>
      <c r="AM15" s="7845" t="s">
        <v>5404</v>
      </c>
      <c r="AN15" s="7946" t="s">
        <v>5405</v>
      </c>
      <c r="AO15" s="7945" t="s">
        <v>5406</v>
      </c>
      <c r="AP15" s="7846" t="s">
        <v>5407</v>
      </c>
      <c r="AQ15" s="2384" t="str">
        <f>CB15&amp;CC15&amp;CD15</f>
        <v xml:space="preserve"> * El total de registros en Pueblos Originarios no debe ser mayor al Total. * El total de registros en Migrantes no debe ser mayor al Total.</v>
      </c>
      <c r="CB15" s="2384" t="str">
        <f>IF(CK15=1," * El total de registros en Pueblos Originarios no debe ser mayor al Total.","")</f>
        <v xml:space="preserve"> * El total de registros en Pueblos Originarios no debe ser mayor al Total.</v>
      </c>
      <c r="CC15" s="2384" t="str">
        <f>IF(CL15=1," * El total de registros en Migrantes no debe ser mayor al Total.","")</f>
        <v xml:space="preserve"> * El total de registros en Migrantes no debe ser mayor al Total.</v>
      </c>
      <c r="CD15" s="2384" t="str">
        <f>IF(AND(D15&lt;&gt;0,OR(AO15="",AP15="")),"* No olvide digitar Migrantes y/o Pueblos Originarios (Digite CERO si no tiene). ","")</f>
        <v/>
      </c>
      <c r="CK15" s="2384">
        <f>IF(AO15&gt;D15,1,0)</f>
        <v>1</v>
      </c>
      <c r="CL15" s="2384">
        <f>IF(AP15&gt;D15,1,0)</f>
        <v>1</v>
      </c>
    </row>
    <row r="16" spans="1:90" ht="14.1" customHeight="1" x14ac:dyDescent="0.3">
      <c r="A16" s="7320">
        <v>32101594</v>
      </c>
      <c r="B16" s="11442"/>
      <c r="C16" s="7850" t="s">
        <v>3062</v>
      </c>
      <c r="D16" s="7843" t="s">
        <v>5369</v>
      </c>
      <c r="E16" s="7851" t="s">
        <v>5370</v>
      </c>
      <c r="F16" s="7843" t="s">
        <v>5371</v>
      </c>
      <c r="G16" s="7852" t="s">
        <v>5372</v>
      </c>
      <c r="H16" s="7846" t="s">
        <v>5373</v>
      </c>
      <c r="I16" s="7852" t="s">
        <v>5374</v>
      </c>
      <c r="J16" s="7846" t="s">
        <v>5375</v>
      </c>
      <c r="K16" s="7852" t="s">
        <v>5376</v>
      </c>
      <c r="L16" s="7846" t="s">
        <v>5377</v>
      </c>
      <c r="M16" s="7852" t="s">
        <v>5378</v>
      </c>
      <c r="N16" s="7846" t="s">
        <v>5379</v>
      </c>
      <c r="O16" s="7847" t="s">
        <v>5380</v>
      </c>
      <c r="P16" s="7846" t="s">
        <v>5381</v>
      </c>
      <c r="Q16" s="7847" t="s">
        <v>5382</v>
      </c>
      <c r="R16" s="7846" t="s">
        <v>5383</v>
      </c>
      <c r="S16" s="7847" t="s">
        <v>5384</v>
      </c>
      <c r="T16" s="7846" t="s">
        <v>5385</v>
      </c>
      <c r="U16" s="7847" t="s">
        <v>5386</v>
      </c>
      <c r="V16" s="7846" t="s">
        <v>5387</v>
      </c>
      <c r="W16" s="7852" t="s">
        <v>5388</v>
      </c>
      <c r="X16" s="7846" t="s">
        <v>5389</v>
      </c>
      <c r="Y16" s="7852" t="s">
        <v>5390</v>
      </c>
      <c r="Z16" s="7846" t="s">
        <v>5391</v>
      </c>
      <c r="AA16" s="7852" t="s">
        <v>5392</v>
      </c>
      <c r="AB16" s="7846" t="s">
        <v>5393</v>
      </c>
      <c r="AC16" s="7852" t="s">
        <v>5394</v>
      </c>
      <c r="AD16" s="7846" t="s">
        <v>5395</v>
      </c>
      <c r="AE16" s="7852" t="s">
        <v>5396</v>
      </c>
      <c r="AF16" s="7846" t="s">
        <v>5397</v>
      </c>
      <c r="AG16" s="7852" t="s">
        <v>5398</v>
      </c>
      <c r="AH16" s="7846" t="s">
        <v>5399</v>
      </c>
      <c r="AI16" s="7852" t="s">
        <v>5400</v>
      </c>
      <c r="AJ16" s="7846" t="s">
        <v>5401</v>
      </c>
      <c r="AK16" s="7852" t="s">
        <v>5402</v>
      </c>
      <c r="AL16" s="7846" t="s">
        <v>5403</v>
      </c>
      <c r="AM16" s="7852" t="s">
        <v>5404</v>
      </c>
      <c r="AN16" s="7848" t="s">
        <v>5405</v>
      </c>
      <c r="AO16" s="7849" t="s">
        <v>5406</v>
      </c>
      <c r="AP16" s="7846" t="s">
        <v>5407</v>
      </c>
      <c r="AQ16" s="2384" t="str">
        <f t="shared" ref="AQ16:AQ41" si="0">CB16&amp;CC16&amp;CD16</f>
        <v xml:space="preserve"> * El total de registros en Pueblos Originarios no debe ser mayor al Total. * El total de registros en Migrantes no debe ser mayor al Total.</v>
      </c>
      <c r="CB16" s="2384" t="str">
        <f t="shared" ref="CB16:CB41" si="1">IF(CK16=1," * El total de registros en Pueblos Originarios no debe ser mayor al Total.","")</f>
        <v xml:space="preserve"> * El total de registros en Pueblos Originarios no debe ser mayor al Total.</v>
      </c>
      <c r="CC16" s="2384" t="str">
        <f t="shared" ref="CC16:CC41" si="2">IF(CL16=1," * El total de registros en Migrantes no debe ser mayor al Total.","")</f>
        <v xml:space="preserve"> * El total de registros en Migrantes no debe ser mayor al Total.</v>
      </c>
      <c r="CD16" s="2384" t="str">
        <f t="shared" ref="CD16:CD41" si="3">IF(AND(D16&lt;&gt;0,OR(AO16="",AP16="")),"* No olvide digitar Migrantes y/o Pueblos Originarios (Digite CERO si no tiene). ","")</f>
        <v/>
      </c>
      <c r="CK16" s="2384">
        <f t="shared" ref="CK16:CK41" si="4">IF(AO16&gt;D16,1,0)</f>
        <v>1</v>
      </c>
      <c r="CL16" s="2384">
        <f t="shared" ref="CL16:CL41" si="5">IF(AP16&gt;D16,1,0)</f>
        <v>1</v>
      </c>
    </row>
    <row r="17" spans="1:90" ht="14.1" customHeight="1" x14ac:dyDescent="0.3">
      <c r="A17" s="7320">
        <v>32101595</v>
      </c>
      <c r="B17" s="11442"/>
      <c r="C17" s="7850" t="s">
        <v>3063</v>
      </c>
      <c r="D17" s="7843" t="s">
        <v>5369</v>
      </c>
      <c r="E17" s="7851" t="s">
        <v>5370</v>
      </c>
      <c r="F17" s="7843" t="s">
        <v>5371</v>
      </c>
      <c r="G17" s="7852" t="s">
        <v>5372</v>
      </c>
      <c r="H17" s="7846" t="s">
        <v>5373</v>
      </c>
      <c r="I17" s="7852" t="s">
        <v>5374</v>
      </c>
      <c r="J17" s="7846" t="s">
        <v>5375</v>
      </c>
      <c r="K17" s="7852" t="s">
        <v>5376</v>
      </c>
      <c r="L17" s="7846" t="s">
        <v>5377</v>
      </c>
      <c r="M17" s="7852" t="s">
        <v>5378</v>
      </c>
      <c r="N17" s="7846" t="s">
        <v>5379</v>
      </c>
      <c r="O17" s="7847" t="s">
        <v>5380</v>
      </c>
      <c r="P17" s="7846" t="s">
        <v>5381</v>
      </c>
      <c r="Q17" s="7847" t="s">
        <v>5382</v>
      </c>
      <c r="R17" s="7846" t="s">
        <v>5383</v>
      </c>
      <c r="S17" s="7847" t="s">
        <v>5384</v>
      </c>
      <c r="T17" s="7846" t="s">
        <v>5385</v>
      </c>
      <c r="U17" s="7847" t="s">
        <v>5386</v>
      </c>
      <c r="V17" s="7846" t="s">
        <v>5387</v>
      </c>
      <c r="W17" s="7852" t="s">
        <v>5388</v>
      </c>
      <c r="X17" s="7846" t="s">
        <v>5389</v>
      </c>
      <c r="Y17" s="7852" t="s">
        <v>5390</v>
      </c>
      <c r="Z17" s="7846" t="s">
        <v>5391</v>
      </c>
      <c r="AA17" s="7852" t="s">
        <v>5392</v>
      </c>
      <c r="AB17" s="7846" t="s">
        <v>5393</v>
      </c>
      <c r="AC17" s="7852" t="s">
        <v>5394</v>
      </c>
      <c r="AD17" s="7846" t="s">
        <v>5395</v>
      </c>
      <c r="AE17" s="7852" t="s">
        <v>5396</v>
      </c>
      <c r="AF17" s="7846" t="s">
        <v>5397</v>
      </c>
      <c r="AG17" s="7852" t="s">
        <v>5398</v>
      </c>
      <c r="AH17" s="7846" t="s">
        <v>5399</v>
      </c>
      <c r="AI17" s="7852" t="s">
        <v>5400</v>
      </c>
      <c r="AJ17" s="7846" t="s">
        <v>5401</v>
      </c>
      <c r="AK17" s="7852" t="s">
        <v>5402</v>
      </c>
      <c r="AL17" s="7846" t="s">
        <v>5403</v>
      </c>
      <c r="AM17" s="7852" t="s">
        <v>5404</v>
      </c>
      <c r="AN17" s="7848" t="s">
        <v>5405</v>
      </c>
      <c r="AO17" s="7849" t="s">
        <v>5406</v>
      </c>
      <c r="AP17" s="7846" t="s">
        <v>5407</v>
      </c>
      <c r="AQ17" s="2384" t="str">
        <f t="shared" si="0"/>
        <v xml:space="preserve"> * El total de registros en Pueblos Originarios no debe ser mayor al Total. * El total de registros en Migrantes no debe ser mayor al Total.</v>
      </c>
      <c r="CB17" s="2384" t="str">
        <f t="shared" si="1"/>
        <v xml:space="preserve"> * El total de registros en Pueblos Originarios no debe ser mayor al Total.</v>
      </c>
      <c r="CC17" s="2384" t="str">
        <f t="shared" si="2"/>
        <v xml:space="preserve"> * El total de registros en Migrantes no debe ser mayor al Total.</v>
      </c>
      <c r="CD17" s="2384" t="str">
        <f t="shared" si="3"/>
        <v/>
      </c>
      <c r="CK17" s="2384">
        <f t="shared" si="4"/>
        <v>1</v>
      </c>
      <c r="CL17" s="2384">
        <f t="shared" si="5"/>
        <v>1</v>
      </c>
    </row>
    <row r="18" spans="1:90" ht="14.1" customHeight="1" x14ac:dyDescent="0.3">
      <c r="A18" s="7320">
        <v>32101596</v>
      </c>
      <c r="B18" s="11442"/>
      <c r="C18" s="7850" t="s">
        <v>3064</v>
      </c>
      <c r="D18" s="7843" t="s">
        <v>5369</v>
      </c>
      <c r="E18" s="7851" t="s">
        <v>5370</v>
      </c>
      <c r="F18" s="7843" t="s">
        <v>5371</v>
      </c>
      <c r="G18" s="7852" t="s">
        <v>5372</v>
      </c>
      <c r="H18" s="7846" t="s">
        <v>5373</v>
      </c>
      <c r="I18" s="7852" t="s">
        <v>5374</v>
      </c>
      <c r="J18" s="7846" t="s">
        <v>5375</v>
      </c>
      <c r="K18" s="7852" t="s">
        <v>5376</v>
      </c>
      <c r="L18" s="7846" t="s">
        <v>5377</v>
      </c>
      <c r="M18" s="7852" t="s">
        <v>5378</v>
      </c>
      <c r="N18" s="7846" t="s">
        <v>5379</v>
      </c>
      <c r="O18" s="7847" t="s">
        <v>5380</v>
      </c>
      <c r="P18" s="7846" t="s">
        <v>5381</v>
      </c>
      <c r="Q18" s="7847" t="s">
        <v>5382</v>
      </c>
      <c r="R18" s="7846" t="s">
        <v>5383</v>
      </c>
      <c r="S18" s="7847" t="s">
        <v>5384</v>
      </c>
      <c r="T18" s="7846" t="s">
        <v>5385</v>
      </c>
      <c r="U18" s="7847" t="s">
        <v>5386</v>
      </c>
      <c r="V18" s="7846" t="s">
        <v>5387</v>
      </c>
      <c r="W18" s="7852" t="s">
        <v>5388</v>
      </c>
      <c r="X18" s="7846" t="s">
        <v>5389</v>
      </c>
      <c r="Y18" s="7852" t="s">
        <v>5390</v>
      </c>
      <c r="Z18" s="7846" t="s">
        <v>5391</v>
      </c>
      <c r="AA18" s="7852" t="s">
        <v>5392</v>
      </c>
      <c r="AB18" s="7846" t="s">
        <v>5393</v>
      </c>
      <c r="AC18" s="7852" t="s">
        <v>5394</v>
      </c>
      <c r="AD18" s="7846" t="s">
        <v>5395</v>
      </c>
      <c r="AE18" s="7852" t="s">
        <v>5396</v>
      </c>
      <c r="AF18" s="7846" t="s">
        <v>5397</v>
      </c>
      <c r="AG18" s="7852" t="s">
        <v>5398</v>
      </c>
      <c r="AH18" s="7846" t="s">
        <v>5399</v>
      </c>
      <c r="AI18" s="7852" t="s">
        <v>5400</v>
      </c>
      <c r="AJ18" s="7846" t="s">
        <v>5401</v>
      </c>
      <c r="AK18" s="7852" t="s">
        <v>5402</v>
      </c>
      <c r="AL18" s="7846" t="s">
        <v>5403</v>
      </c>
      <c r="AM18" s="7852" t="s">
        <v>5404</v>
      </c>
      <c r="AN18" s="7848" t="s">
        <v>5405</v>
      </c>
      <c r="AO18" s="7849" t="s">
        <v>5406</v>
      </c>
      <c r="AP18" s="7846" t="s">
        <v>5407</v>
      </c>
      <c r="AQ18" s="2384" t="str">
        <f t="shared" si="0"/>
        <v xml:space="preserve"> * El total de registros en Pueblos Originarios no debe ser mayor al Total. * El total de registros en Migrantes no debe ser mayor al Total.</v>
      </c>
      <c r="CB18" s="2384" t="str">
        <f t="shared" si="1"/>
        <v xml:space="preserve"> * El total de registros en Pueblos Originarios no debe ser mayor al Total.</v>
      </c>
      <c r="CC18" s="2384" t="str">
        <f t="shared" si="2"/>
        <v xml:space="preserve"> * El total de registros en Migrantes no debe ser mayor al Total.</v>
      </c>
      <c r="CD18" s="2384" t="str">
        <f t="shared" si="3"/>
        <v/>
      </c>
      <c r="CK18" s="2384">
        <f t="shared" si="4"/>
        <v>1</v>
      </c>
      <c r="CL18" s="2384">
        <f t="shared" si="5"/>
        <v>1</v>
      </c>
    </row>
    <row r="19" spans="1:90" ht="14.1" customHeight="1" x14ac:dyDescent="0.3">
      <c r="A19" s="7320">
        <v>32101597</v>
      </c>
      <c r="B19" s="11442"/>
      <c r="C19" s="7850" t="s">
        <v>3065</v>
      </c>
      <c r="D19" s="7843" t="s">
        <v>5369</v>
      </c>
      <c r="E19" s="7851" t="s">
        <v>5370</v>
      </c>
      <c r="F19" s="7843" t="s">
        <v>5371</v>
      </c>
      <c r="G19" s="7852" t="s">
        <v>5372</v>
      </c>
      <c r="H19" s="7846" t="s">
        <v>5373</v>
      </c>
      <c r="I19" s="7852" t="s">
        <v>5374</v>
      </c>
      <c r="J19" s="7846" t="s">
        <v>5375</v>
      </c>
      <c r="K19" s="7852" t="s">
        <v>5376</v>
      </c>
      <c r="L19" s="7846" t="s">
        <v>5377</v>
      </c>
      <c r="M19" s="7852" t="s">
        <v>5378</v>
      </c>
      <c r="N19" s="7846" t="s">
        <v>5379</v>
      </c>
      <c r="O19" s="7847" t="s">
        <v>5380</v>
      </c>
      <c r="P19" s="7846" t="s">
        <v>5381</v>
      </c>
      <c r="Q19" s="7847" t="s">
        <v>5382</v>
      </c>
      <c r="R19" s="7846" t="s">
        <v>5383</v>
      </c>
      <c r="S19" s="7847" t="s">
        <v>5384</v>
      </c>
      <c r="T19" s="7846" t="s">
        <v>5385</v>
      </c>
      <c r="U19" s="7847" t="s">
        <v>5386</v>
      </c>
      <c r="V19" s="7846" t="s">
        <v>5387</v>
      </c>
      <c r="W19" s="7852" t="s">
        <v>5388</v>
      </c>
      <c r="X19" s="7846" t="s">
        <v>5389</v>
      </c>
      <c r="Y19" s="7852" t="s">
        <v>5390</v>
      </c>
      <c r="Z19" s="7846" t="s">
        <v>5391</v>
      </c>
      <c r="AA19" s="7852" t="s">
        <v>5392</v>
      </c>
      <c r="AB19" s="7846" t="s">
        <v>5393</v>
      </c>
      <c r="AC19" s="7852" t="s">
        <v>5394</v>
      </c>
      <c r="AD19" s="7846" t="s">
        <v>5395</v>
      </c>
      <c r="AE19" s="7852" t="s">
        <v>5396</v>
      </c>
      <c r="AF19" s="7846" t="s">
        <v>5397</v>
      </c>
      <c r="AG19" s="7852" t="s">
        <v>5398</v>
      </c>
      <c r="AH19" s="7846" t="s">
        <v>5399</v>
      </c>
      <c r="AI19" s="7852" t="s">
        <v>5400</v>
      </c>
      <c r="AJ19" s="7846" t="s">
        <v>5401</v>
      </c>
      <c r="AK19" s="7852" t="s">
        <v>5402</v>
      </c>
      <c r="AL19" s="7846" t="s">
        <v>5403</v>
      </c>
      <c r="AM19" s="7852" t="s">
        <v>5404</v>
      </c>
      <c r="AN19" s="7848" t="s">
        <v>5405</v>
      </c>
      <c r="AO19" s="7849" t="s">
        <v>5406</v>
      </c>
      <c r="AP19" s="7846" t="s">
        <v>5407</v>
      </c>
      <c r="AQ19" s="2384" t="str">
        <f t="shared" si="0"/>
        <v xml:space="preserve"> * El total de registros en Pueblos Originarios no debe ser mayor al Total. * El total de registros en Migrantes no debe ser mayor al Total.</v>
      </c>
      <c r="CB19" s="2384" t="str">
        <f t="shared" si="1"/>
        <v xml:space="preserve"> * El total de registros en Pueblos Originarios no debe ser mayor al Total.</v>
      </c>
      <c r="CC19" s="2384" t="str">
        <f t="shared" si="2"/>
        <v xml:space="preserve"> * El total de registros en Migrantes no debe ser mayor al Total.</v>
      </c>
      <c r="CD19" s="2384" t="str">
        <f t="shared" si="3"/>
        <v/>
      </c>
      <c r="CK19" s="2384">
        <f t="shared" si="4"/>
        <v>1</v>
      </c>
      <c r="CL19" s="2384">
        <f t="shared" si="5"/>
        <v>1</v>
      </c>
    </row>
    <row r="20" spans="1:90" ht="14.1" customHeight="1" x14ac:dyDescent="0.3">
      <c r="A20" s="7320">
        <v>32101598</v>
      </c>
      <c r="B20" s="11442"/>
      <c r="C20" s="7850" t="s">
        <v>3066</v>
      </c>
      <c r="D20" s="7843" t="s">
        <v>5369</v>
      </c>
      <c r="E20" s="7851" t="s">
        <v>5370</v>
      </c>
      <c r="F20" s="7843" t="s">
        <v>5371</v>
      </c>
      <c r="G20" s="7852" t="s">
        <v>5372</v>
      </c>
      <c r="H20" s="7846" t="s">
        <v>5373</v>
      </c>
      <c r="I20" s="7852" t="s">
        <v>5374</v>
      </c>
      <c r="J20" s="7846" t="s">
        <v>5375</v>
      </c>
      <c r="K20" s="7852" t="s">
        <v>5376</v>
      </c>
      <c r="L20" s="7846" t="s">
        <v>5377</v>
      </c>
      <c r="M20" s="7852" t="s">
        <v>5378</v>
      </c>
      <c r="N20" s="7846" t="s">
        <v>5379</v>
      </c>
      <c r="O20" s="7847" t="s">
        <v>5380</v>
      </c>
      <c r="P20" s="7846" t="s">
        <v>5381</v>
      </c>
      <c r="Q20" s="7847" t="s">
        <v>5382</v>
      </c>
      <c r="R20" s="7846" t="s">
        <v>5383</v>
      </c>
      <c r="S20" s="7847" t="s">
        <v>5384</v>
      </c>
      <c r="T20" s="7846" t="s">
        <v>5385</v>
      </c>
      <c r="U20" s="7847" t="s">
        <v>5386</v>
      </c>
      <c r="V20" s="7846" t="s">
        <v>5387</v>
      </c>
      <c r="W20" s="7852" t="s">
        <v>5388</v>
      </c>
      <c r="X20" s="7846" t="s">
        <v>5389</v>
      </c>
      <c r="Y20" s="7852" t="s">
        <v>5390</v>
      </c>
      <c r="Z20" s="7846" t="s">
        <v>5391</v>
      </c>
      <c r="AA20" s="7852" t="s">
        <v>5392</v>
      </c>
      <c r="AB20" s="7846" t="s">
        <v>5393</v>
      </c>
      <c r="AC20" s="7852" t="s">
        <v>5394</v>
      </c>
      <c r="AD20" s="7846" t="s">
        <v>5395</v>
      </c>
      <c r="AE20" s="7852" t="s">
        <v>5396</v>
      </c>
      <c r="AF20" s="7846" t="s">
        <v>5397</v>
      </c>
      <c r="AG20" s="7852" t="s">
        <v>5398</v>
      </c>
      <c r="AH20" s="7846" t="s">
        <v>5399</v>
      </c>
      <c r="AI20" s="7852" t="s">
        <v>5400</v>
      </c>
      <c r="AJ20" s="7846" t="s">
        <v>5401</v>
      </c>
      <c r="AK20" s="7852" t="s">
        <v>5402</v>
      </c>
      <c r="AL20" s="7846" t="s">
        <v>5403</v>
      </c>
      <c r="AM20" s="7852" t="s">
        <v>5404</v>
      </c>
      <c r="AN20" s="7848" t="s">
        <v>5405</v>
      </c>
      <c r="AO20" s="7849" t="s">
        <v>5406</v>
      </c>
      <c r="AP20" s="7846" t="s">
        <v>5407</v>
      </c>
      <c r="AQ20" s="2384" t="str">
        <f t="shared" si="0"/>
        <v xml:space="preserve"> * El total de registros en Pueblos Originarios no debe ser mayor al Total. * El total de registros en Migrantes no debe ser mayor al Total.</v>
      </c>
      <c r="CB20" s="2384" t="str">
        <f t="shared" si="1"/>
        <v xml:space="preserve"> * El total de registros en Pueblos Originarios no debe ser mayor al Total.</v>
      </c>
      <c r="CC20" s="2384" t="str">
        <f t="shared" si="2"/>
        <v xml:space="preserve"> * El total de registros en Migrantes no debe ser mayor al Total.</v>
      </c>
      <c r="CD20" s="2384" t="str">
        <f t="shared" si="3"/>
        <v/>
      </c>
      <c r="CK20" s="2384">
        <f t="shared" si="4"/>
        <v>1</v>
      </c>
      <c r="CL20" s="2384">
        <f t="shared" si="5"/>
        <v>1</v>
      </c>
    </row>
    <row r="21" spans="1:90" ht="14.1" customHeight="1" x14ac:dyDescent="0.3">
      <c r="A21" s="7320">
        <v>32101599</v>
      </c>
      <c r="B21" s="11442"/>
      <c r="C21" s="7850" t="s">
        <v>3067</v>
      </c>
      <c r="D21" s="7843" t="s">
        <v>5369</v>
      </c>
      <c r="E21" s="7851" t="s">
        <v>5370</v>
      </c>
      <c r="F21" s="7843" t="s">
        <v>5371</v>
      </c>
      <c r="G21" s="7852" t="s">
        <v>5372</v>
      </c>
      <c r="H21" s="7846" t="s">
        <v>5373</v>
      </c>
      <c r="I21" s="7852" t="s">
        <v>5374</v>
      </c>
      <c r="J21" s="7846" t="s">
        <v>5375</v>
      </c>
      <c r="K21" s="7852" t="s">
        <v>5376</v>
      </c>
      <c r="L21" s="7846" t="s">
        <v>5377</v>
      </c>
      <c r="M21" s="7852" t="s">
        <v>5378</v>
      </c>
      <c r="N21" s="7846" t="s">
        <v>5379</v>
      </c>
      <c r="O21" s="7847" t="s">
        <v>5380</v>
      </c>
      <c r="P21" s="7846" t="s">
        <v>5381</v>
      </c>
      <c r="Q21" s="7847" t="s">
        <v>5382</v>
      </c>
      <c r="R21" s="7846" t="s">
        <v>5383</v>
      </c>
      <c r="S21" s="7847" t="s">
        <v>5384</v>
      </c>
      <c r="T21" s="7846" t="s">
        <v>5385</v>
      </c>
      <c r="U21" s="7847" t="s">
        <v>5386</v>
      </c>
      <c r="V21" s="7846" t="s">
        <v>5387</v>
      </c>
      <c r="W21" s="7852" t="s">
        <v>5388</v>
      </c>
      <c r="X21" s="7846" t="s">
        <v>5389</v>
      </c>
      <c r="Y21" s="7852" t="s">
        <v>5390</v>
      </c>
      <c r="Z21" s="7846" t="s">
        <v>5391</v>
      </c>
      <c r="AA21" s="7852" t="s">
        <v>5392</v>
      </c>
      <c r="AB21" s="7846" t="s">
        <v>5393</v>
      </c>
      <c r="AC21" s="7852" t="s">
        <v>5394</v>
      </c>
      <c r="AD21" s="7846" t="s">
        <v>5395</v>
      </c>
      <c r="AE21" s="7852" t="s">
        <v>5396</v>
      </c>
      <c r="AF21" s="7846" t="s">
        <v>5397</v>
      </c>
      <c r="AG21" s="7852" t="s">
        <v>5398</v>
      </c>
      <c r="AH21" s="7846" t="s">
        <v>5399</v>
      </c>
      <c r="AI21" s="7852" t="s">
        <v>5400</v>
      </c>
      <c r="AJ21" s="7846" t="s">
        <v>5401</v>
      </c>
      <c r="AK21" s="7852" t="s">
        <v>5402</v>
      </c>
      <c r="AL21" s="7846" t="s">
        <v>5403</v>
      </c>
      <c r="AM21" s="7852" t="s">
        <v>5404</v>
      </c>
      <c r="AN21" s="7848" t="s">
        <v>5405</v>
      </c>
      <c r="AO21" s="7849" t="s">
        <v>5406</v>
      </c>
      <c r="AP21" s="7846" t="s">
        <v>5407</v>
      </c>
      <c r="AQ21" s="2384" t="str">
        <f t="shared" si="0"/>
        <v xml:space="preserve"> * El total de registros en Pueblos Originarios no debe ser mayor al Total. * El total de registros en Migrantes no debe ser mayor al Total.</v>
      </c>
      <c r="CB21" s="2384" t="str">
        <f t="shared" si="1"/>
        <v xml:space="preserve"> * El total de registros en Pueblos Originarios no debe ser mayor al Total.</v>
      </c>
      <c r="CC21" s="2384" t="str">
        <f t="shared" si="2"/>
        <v xml:space="preserve"> * El total de registros en Migrantes no debe ser mayor al Total.</v>
      </c>
      <c r="CD21" s="2384" t="str">
        <f t="shared" si="3"/>
        <v/>
      </c>
      <c r="CK21" s="2384">
        <f t="shared" si="4"/>
        <v>1</v>
      </c>
      <c r="CL21" s="2384">
        <f t="shared" si="5"/>
        <v>1</v>
      </c>
    </row>
    <row r="22" spans="1:90" ht="14.1" customHeight="1" x14ac:dyDescent="0.3">
      <c r="A22" s="7320">
        <v>32101600</v>
      </c>
      <c r="B22" s="11442"/>
      <c r="C22" s="7850" t="s">
        <v>3068</v>
      </c>
      <c r="D22" s="7843" t="s">
        <v>5369</v>
      </c>
      <c r="E22" s="7851" t="s">
        <v>5370</v>
      </c>
      <c r="F22" s="7843" t="s">
        <v>5371</v>
      </c>
      <c r="G22" s="7852" t="s">
        <v>5372</v>
      </c>
      <c r="H22" s="7846" t="s">
        <v>5373</v>
      </c>
      <c r="I22" s="7852" t="s">
        <v>5374</v>
      </c>
      <c r="J22" s="7846" t="s">
        <v>5375</v>
      </c>
      <c r="K22" s="7852" t="s">
        <v>5376</v>
      </c>
      <c r="L22" s="7846" t="s">
        <v>5377</v>
      </c>
      <c r="M22" s="7852" t="s">
        <v>5378</v>
      </c>
      <c r="N22" s="7846" t="s">
        <v>5379</v>
      </c>
      <c r="O22" s="7847" t="s">
        <v>5380</v>
      </c>
      <c r="P22" s="7846" t="s">
        <v>5381</v>
      </c>
      <c r="Q22" s="7847" t="s">
        <v>5382</v>
      </c>
      <c r="R22" s="7846" t="s">
        <v>5383</v>
      </c>
      <c r="S22" s="7847" t="s">
        <v>5384</v>
      </c>
      <c r="T22" s="7846" t="s">
        <v>5385</v>
      </c>
      <c r="U22" s="7847" t="s">
        <v>5386</v>
      </c>
      <c r="V22" s="7846" t="s">
        <v>5387</v>
      </c>
      <c r="W22" s="7852" t="s">
        <v>5388</v>
      </c>
      <c r="X22" s="7846" t="s">
        <v>5389</v>
      </c>
      <c r="Y22" s="7852" t="s">
        <v>5390</v>
      </c>
      <c r="Z22" s="7846" t="s">
        <v>5391</v>
      </c>
      <c r="AA22" s="7852" t="s">
        <v>5392</v>
      </c>
      <c r="AB22" s="7846" t="s">
        <v>5393</v>
      </c>
      <c r="AC22" s="7852" t="s">
        <v>5394</v>
      </c>
      <c r="AD22" s="7846" t="s">
        <v>5395</v>
      </c>
      <c r="AE22" s="7852" t="s">
        <v>5396</v>
      </c>
      <c r="AF22" s="7846" t="s">
        <v>5397</v>
      </c>
      <c r="AG22" s="7852" t="s">
        <v>5398</v>
      </c>
      <c r="AH22" s="7846" t="s">
        <v>5399</v>
      </c>
      <c r="AI22" s="7852" t="s">
        <v>5400</v>
      </c>
      <c r="AJ22" s="7846" t="s">
        <v>5401</v>
      </c>
      <c r="AK22" s="7852" t="s">
        <v>5402</v>
      </c>
      <c r="AL22" s="7846" t="s">
        <v>5403</v>
      </c>
      <c r="AM22" s="7852" t="s">
        <v>5404</v>
      </c>
      <c r="AN22" s="7848" t="s">
        <v>5405</v>
      </c>
      <c r="AO22" s="7849" t="s">
        <v>5406</v>
      </c>
      <c r="AP22" s="7846" t="s">
        <v>5407</v>
      </c>
      <c r="AQ22" s="2384" t="str">
        <f t="shared" si="0"/>
        <v xml:space="preserve"> * El total de registros en Pueblos Originarios no debe ser mayor al Total. * El total de registros en Migrantes no debe ser mayor al Total.</v>
      </c>
      <c r="CB22" s="2384" t="str">
        <f t="shared" si="1"/>
        <v xml:space="preserve"> * El total de registros en Pueblos Originarios no debe ser mayor al Total.</v>
      </c>
      <c r="CC22" s="2384" t="str">
        <f t="shared" si="2"/>
        <v xml:space="preserve"> * El total de registros en Migrantes no debe ser mayor al Total.</v>
      </c>
      <c r="CD22" s="2384" t="str">
        <f t="shared" si="3"/>
        <v/>
      </c>
      <c r="CK22" s="2384">
        <f t="shared" si="4"/>
        <v>1</v>
      </c>
      <c r="CL22" s="2384">
        <f t="shared" si="5"/>
        <v>1</v>
      </c>
    </row>
    <row r="23" spans="1:90" ht="14.1" customHeight="1" x14ac:dyDescent="0.3">
      <c r="A23" s="7320">
        <v>32101601</v>
      </c>
      <c r="B23" s="11442"/>
      <c r="C23" s="7850" t="s">
        <v>3069</v>
      </c>
      <c r="D23" s="7843" t="s">
        <v>5369</v>
      </c>
      <c r="E23" s="7851" t="s">
        <v>5370</v>
      </c>
      <c r="F23" s="7843" t="s">
        <v>5371</v>
      </c>
      <c r="G23" s="7852" t="s">
        <v>5372</v>
      </c>
      <c r="H23" s="7846" t="s">
        <v>5373</v>
      </c>
      <c r="I23" s="7852" t="s">
        <v>5374</v>
      </c>
      <c r="J23" s="7846" t="s">
        <v>5375</v>
      </c>
      <c r="K23" s="7852" t="s">
        <v>5376</v>
      </c>
      <c r="L23" s="7846" t="s">
        <v>5377</v>
      </c>
      <c r="M23" s="7852" t="s">
        <v>5378</v>
      </c>
      <c r="N23" s="7846" t="s">
        <v>5379</v>
      </c>
      <c r="O23" s="7847" t="s">
        <v>5380</v>
      </c>
      <c r="P23" s="7846" t="s">
        <v>5381</v>
      </c>
      <c r="Q23" s="7847" t="s">
        <v>5382</v>
      </c>
      <c r="R23" s="7846" t="s">
        <v>5383</v>
      </c>
      <c r="S23" s="7847" t="s">
        <v>5384</v>
      </c>
      <c r="T23" s="7846" t="s">
        <v>5385</v>
      </c>
      <c r="U23" s="7847" t="s">
        <v>5386</v>
      </c>
      <c r="V23" s="7846" t="s">
        <v>5387</v>
      </c>
      <c r="W23" s="7852" t="s">
        <v>5388</v>
      </c>
      <c r="X23" s="7846" t="s">
        <v>5389</v>
      </c>
      <c r="Y23" s="7852" t="s">
        <v>5390</v>
      </c>
      <c r="Z23" s="7846" t="s">
        <v>5391</v>
      </c>
      <c r="AA23" s="7852" t="s">
        <v>5392</v>
      </c>
      <c r="AB23" s="7846" t="s">
        <v>5393</v>
      </c>
      <c r="AC23" s="7852" t="s">
        <v>5394</v>
      </c>
      <c r="AD23" s="7846" t="s">
        <v>5395</v>
      </c>
      <c r="AE23" s="7852" t="s">
        <v>5396</v>
      </c>
      <c r="AF23" s="7846" t="s">
        <v>5397</v>
      </c>
      <c r="AG23" s="7852" t="s">
        <v>5398</v>
      </c>
      <c r="AH23" s="7846" t="s">
        <v>5399</v>
      </c>
      <c r="AI23" s="7852" t="s">
        <v>5400</v>
      </c>
      <c r="AJ23" s="7846" t="s">
        <v>5401</v>
      </c>
      <c r="AK23" s="7852" t="s">
        <v>5402</v>
      </c>
      <c r="AL23" s="7846" t="s">
        <v>5403</v>
      </c>
      <c r="AM23" s="7852" t="s">
        <v>5404</v>
      </c>
      <c r="AN23" s="7848" t="s">
        <v>5405</v>
      </c>
      <c r="AO23" s="7849" t="s">
        <v>5406</v>
      </c>
      <c r="AP23" s="7846" t="s">
        <v>5407</v>
      </c>
      <c r="AQ23" s="2384" t="str">
        <f t="shared" si="0"/>
        <v xml:space="preserve"> * El total de registros en Pueblos Originarios no debe ser mayor al Total. * El total de registros en Migrantes no debe ser mayor al Total.</v>
      </c>
      <c r="CB23" s="2384" t="str">
        <f t="shared" si="1"/>
        <v xml:space="preserve"> * El total de registros en Pueblos Originarios no debe ser mayor al Total.</v>
      </c>
      <c r="CC23" s="2384" t="str">
        <f t="shared" si="2"/>
        <v xml:space="preserve"> * El total de registros en Migrantes no debe ser mayor al Total.</v>
      </c>
      <c r="CD23" s="2384" t="str">
        <f t="shared" si="3"/>
        <v/>
      </c>
      <c r="CK23" s="2384">
        <f t="shared" si="4"/>
        <v>1</v>
      </c>
      <c r="CL23" s="2384">
        <f t="shared" si="5"/>
        <v>1</v>
      </c>
    </row>
    <row r="24" spans="1:90" ht="14.1" customHeight="1" x14ac:dyDescent="0.3">
      <c r="A24" s="7320">
        <v>32101602</v>
      </c>
      <c r="B24" s="11442"/>
      <c r="C24" s="7850" t="s">
        <v>3070</v>
      </c>
      <c r="D24" s="7843" t="s">
        <v>5369</v>
      </c>
      <c r="E24" s="7851" t="s">
        <v>5370</v>
      </c>
      <c r="F24" s="7843" t="s">
        <v>5371</v>
      </c>
      <c r="G24" s="7852" t="s">
        <v>5372</v>
      </c>
      <c r="H24" s="7846" t="s">
        <v>5373</v>
      </c>
      <c r="I24" s="7852" t="s">
        <v>5374</v>
      </c>
      <c r="J24" s="7846" t="s">
        <v>5375</v>
      </c>
      <c r="K24" s="7852" t="s">
        <v>5376</v>
      </c>
      <c r="L24" s="7846" t="s">
        <v>5377</v>
      </c>
      <c r="M24" s="7852" t="s">
        <v>5378</v>
      </c>
      <c r="N24" s="7846" t="s">
        <v>5379</v>
      </c>
      <c r="O24" s="7847" t="s">
        <v>5380</v>
      </c>
      <c r="P24" s="7846" t="s">
        <v>5381</v>
      </c>
      <c r="Q24" s="7847" t="s">
        <v>5382</v>
      </c>
      <c r="R24" s="7846" t="s">
        <v>5383</v>
      </c>
      <c r="S24" s="7847" t="s">
        <v>5384</v>
      </c>
      <c r="T24" s="7846" t="s">
        <v>5385</v>
      </c>
      <c r="U24" s="7847" t="s">
        <v>5386</v>
      </c>
      <c r="V24" s="7846" t="s">
        <v>5387</v>
      </c>
      <c r="W24" s="7852" t="s">
        <v>5388</v>
      </c>
      <c r="X24" s="7846" t="s">
        <v>5389</v>
      </c>
      <c r="Y24" s="7852" t="s">
        <v>5390</v>
      </c>
      <c r="Z24" s="7846" t="s">
        <v>5391</v>
      </c>
      <c r="AA24" s="7852" t="s">
        <v>5392</v>
      </c>
      <c r="AB24" s="7846" t="s">
        <v>5393</v>
      </c>
      <c r="AC24" s="7852" t="s">
        <v>5394</v>
      </c>
      <c r="AD24" s="7846" t="s">
        <v>5395</v>
      </c>
      <c r="AE24" s="7852" t="s">
        <v>5396</v>
      </c>
      <c r="AF24" s="7846" t="s">
        <v>5397</v>
      </c>
      <c r="AG24" s="7852" t="s">
        <v>5398</v>
      </c>
      <c r="AH24" s="7846" t="s">
        <v>5399</v>
      </c>
      <c r="AI24" s="7852" t="s">
        <v>5400</v>
      </c>
      <c r="AJ24" s="7846" t="s">
        <v>5401</v>
      </c>
      <c r="AK24" s="7852" t="s">
        <v>5402</v>
      </c>
      <c r="AL24" s="7846" t="s">
        <v>5403</v>
      </c>
      <c r="AM24" s="7852" t="s">
        <v>5404</v>
      </c>
      <c r="AN24" s="7848" t="s">
        <v>5405</v>
      </c>
      <c r="AO24" s="7849" t="s">
        <v>5406</v>
      </c>
      <c r="AP24" s="7846" t="s">
        <v>5407</v>
      </c>
      <c r="AQ24" s="2384" t="str">
        <f t="shared" si="0"/>
        <v xml:space="preserve"> * El total de registros en Pueblos Originarios no debe ser mayor al Total. * El total de registros en Migrantes no debe ser mayor al Total.</v>
      </c>
      <c r="CB24" s="2384" t="str">
        <f t="shared" si="1"/>
        <v xml:space="preserve"> * El total de registros en Pueblos Originarios no debe ser mayor al Total.</v>
      </c>
      <c r="CC24" s="2384" t="str">
        <f t="shared" si="2"/>
        <v xml:space="preserve"> * El total de registros en Migrantes no debe ser mayor al Total.</v>
      </c>
      <c r="CD24" s="2384" t="str">
        <f t="shared" si="3"/>
        <v/>
      </c>
      <c r="CK24" s="2384">
        <f t="shared" si="4"/>
        <v>1</v>
      </c>
      <c r="CL24" s="2384">
        <f t="shared" si="5"/>
        <v>1</v>
      </c>
    </row>
    <row r="25" spans="1:90" ht="14.1" customHeight="1" x14ac:dyDescent="0.3">
      <c r="A25" s="7320">
        <v>32101603</v>
      </c>
      <c r="B25" s="11442"/>
      <c r="C25" s="7850" t="s">
        <v>3071</v>
      </c>
      <c r="D25" s="7843" t="s">
        <v>5369</v>
      </c>
      <c r="E25" s="7851" t="s">
        <v>5370</v>
      </c>
      <c r="F25" s="7843" t="s">
        <v>5371</v>
      </c>
      <c r="G25" s="7852" t="s">
        <v>5372</v>
      </c>
      <c r="H25" s="7846" t="s">
        <v>5373</v>
      </c>
      <c r="I25" s="7852" t="s">
        <v>5374</v>
      </c>
      <c r="J25" s="7846" t="s">
        <v>5375</v>
      </c>
      <c r="K25" s="7852" t="s">
        <v>5376</v>
      </c>
      <c r="L25" s="7846" t="s">
        <v>5377</v>
      </c>
      <c r="M25" s="7852" t="s">
        <v>5378</v>
      </c>
      <c r="N25" s="7846" t="s">
        <v>5379</v>
      </c>
      <c r="O25" s="7847" t="s">
        <v>5380</v>
      </c>
      <c r="P25" s="7846" t="s">
        <v>5381</v>
      </c>
      <c r="Q25" s="7847" t="s">
        <v>5382</v>
      </c>
      <c r="R25" s="7846" t="s">
        <v>5383</v>
      </c>
      <c r="S25" s="7847" t="s">
        <v>5384</v>
      </c>
      <c r="T25" s="7846" t="s">
        <v>5385</v>
      </c>
      <c r="U25" s="7847" t="s">
        <v>5386</v>
      </c>
      <c r="V25" s="7846" t="s">
        <v>5387</v>
      </c>
      <c r="W25" s="7852" t="s">
        <v>5388</v>
      </c>
      <c r="X25" s="7846" t="s">
        <v>5389</v>
      </c>
      <c r="Y25" s="7852" t="s">
        <v>5390</v>
      </c>
      <c r="Z25" s="7846" t="s">
        <v>5391</v>
      </c>
      <c r="AA25" s="7852" t="s">
        <v>5392</v>
      </c>
      <c r="AB25" s="7846" t="s">
        <v>5393</v>
      </c>
      <c r="AC25" s="7852" t="s">
        <v>5394</v>
      </c>
      <c r="AD25" s="7846" t="s">
        <v>5395</v>
      </c>
      <c r="AE25" s="7852" t="s">
        <v>5396</v>
      </c>
      <c r="AF25" s="7846" t="s">
        <v>5397</v>
      </c>
      <c r="AG25" s="7852" t="s">
        <v>5398</v>
      </c>
      <c r="AH25" s="7846" t="s">
        <v>5399</v>
      </c>
      <c r="AI25" s="7852" t="s">
        <v>5400</v>
      </c>
      <c r="AJ25" s="7846" t="s">
        <v>5401</v>
      </c>
      <c r="AK25" s="7852" t="s">
        <v>5402</v>
      </c>
      <c r="AL25" s="7846" t="s">
        <v>5403</v>
      </c>
      <c r="AM25" s="7852" t="s">
        <v>5404</v>
      </c>
      <c r="AN25" s="7848" t="s">
        <v>5405</v>
      </c>
      <c r="AO25" s="7849" t="s">
        <v>5406</v>
      </c>
      <c r="AP25" s="7846" t="s">
        <v>5407</v>
      </c>
      <c r="AQ25" s="2384" t="str">
        <f t="shared" si="0"/>
        <v xml:space="preserve"> * El total de registros en Pueblos Originarios no debe ser mayor al Total. * El total de registros en Migrantes no debe ser mayor al Total.</v>
      </c>
      <c r="CB25" s="2384" t="str">
        <f t="shared" si="1"/>
        <v xml:space="preserve"> * El total de registros en Pueblos Originarios no debe ser mayor al Total.</v>
      </c>
      <c r="CC25" s="2384" t="str">
        <f t="shared" si="2"/>
        <v xml:space="preserve"> * El total de registros en Migrantes no debe ser mayor al Total.</v>
      </c>
      <c r="CD25" s="2384" t="str">
        <f t="shared" si="3"/>
        <v/>
      </c>
      <c r="CK25" s="2384">
        <f t="shared" si="4"/>
        <v>1</v>
      </c>
      <c r="CL25" s="2384">
        <f t="shared" si="5"/>
        <v>1</v>
      </c>
    </row>
    <row r="26" spans="1:90" ht="14.1" customHeight="1" x14ac:dyDescent="0.3">
      <c r="A26" s="7320">
        <v>32101604</v>
      </c>
      <c r="B26" s="11442"/>
      <c r="C26" s="7853" t="s">
        <v>3072</v>
      </c>
      <c r="D26" s="7843" t="s">
        <v>5369</v>
      </c>
      <c r="E26" s="7851" t="s">
        <v>5370</v>
      </c>
      <c r="F26" s="7843" t="s">
        <v>5371</v>
      </c>
      <c r="G26" s="7852" t="s">
        <v>5372</v>
      </c>
      <c r="H26" s="7846" t="s">
        <v>5373</v>
      </c>
      <c r="I26" s="7852" t="s">
        <v>5374</v>
      </c>
      <c r="J26" s="7846" t="s">
        <v>5375</v>
      </c>
      <c r="K26" s="7852" t="s">
        <v>5376</v>
      </c>
      <c r="L26" s="7846" t="s">
        <v>5377</v>
      </c>
      <c r="M26" s="7852" t="s">
        <v>5378</v>
      </c>
      <c r="N26" s="7846" t="s">
        <v>5379</v>
      </c>
      <c r="O26" s="7847" t="s">
        <v>5380</v>
      </c>
      <c r="P26" s="7846" t="s">
        <v>5381</v>
      </c>
      <c r="Q26" s="7847" t="s">
        <v>5382</v>
      </c>
      <c r="R26" s="7846" t="s">
        <v>5383</v>
      </c>
      <c r="S26" s="7847" t="s">
        <v>5384</v>
      </c>
      <c r="T26" s="7846" t="s">
        <v>5385</v>
      </c>
      <c r="U26" s="7847" t="s">
        <v>5386</v>
      </c>
      <c r="V26" s="7846" t="s">
        <v>5387</v>
      </c>
      <c r="W26" s="7852" t="s">
        <v>5388</v>
      </c>
      <c r="X26" s="7846" t="s">
        <v>5389</v>
      </c>
      <c r="Y26" s="7852" t="s">
        <v>5390</v>
      </c>
      <c r="Z26" s="7846" t="s">
        <v>5391</v>
      </c>
      <c r="AA26" s="7852" t="s">
        <v>5392</v>
      </c>
      <c r="AB26" s="7846" t="s">
        <v>5393</v>
      </c>
      <c r="AC26" s="7852" t="s">
        <v>5394</v>
      </c>
      <c r="AD26" s="7846" t="s">
        <v>5395</v>
      </c>
      <c r="AE26" s="7852" t="s">
        <v>5396</v>
      </c>
      <c r="AF26" s="7846" t="s">
        <v>5397</v>
      </c>
      <c r="AG26" s="7852" t="s">
        <v>5398</v>
      </c>
      <c r="AH26" s="7846" t="s">
        <v>5399</v>
      </c>
      <c r="AI26" s="7852" t="s">
        <v>5400</v>
      </c>
      <c r="AJ26" s="7846" t="s">
        <v>5401</v>
      </c>
      <c r="AK26" s="7852" t="s">
        <v>5402</v>
      </c>
      <c r="AL26" s="7846" t="s">
        <v>5403</v>
      </c>
      <c r="AM26" s="7852" t="s">
        <v>5404</v>
      </c>
      <c r="AN26" s="7848" t="s">
        <v>5405</v>
      </c>
      <c r="AO26" s="7849" t="s">
        <v>5406</v>
      </c>
      <c r="AP26" s="7846" t="s">
        <v>5407</v>
      </c>
      <c r="AQ26" s="2384" t="str">
        <f t="shared" si="0"/>
        <v xml:space="preserve"> * El total de registros en Pueblos Originarios no debe ser mayor al Total. * El total de registros en Migrantes no debe ser mayor al Total.</v>
      </c>
      <c r="CB26" s="2384" t="str">
        <f t="shared" si="1"/>
        <v xml:space="preserve"> * El total de registros en Pueblos Originarios no debe ser mayor al Total.</v>
      </c>
      <c r="CC26" s="2384" t="str">
        <f t="shared" si="2"/>
        <v xml:space="preserve"> * El total de registros en Migrantes no debe ser mayor al Total.</v>
      </c>
      <c r="CD26" s="2384" t="str">
        <f t="shared" si="3"/>
        <v/>
      </c>
      <c r="CK26" s="2384">
        <f t="shared" si="4"/>
        <v>1</v>
      </c>
      <c r="CL26" s="2384">
        <f t="shared" si="5"/>
        <v>1</v>
      </c>
    </row>
    <row r="27" spans="1:90" ht="14.1" customHeight="1" x14ac:dyDescent="0.3">
      <c r="A27" s="7320">
        <v>32101605</v>
      </c>
      <c r="B27" s="11442"/>
      <c r="C27" s="7850" t="s">
        <v>2166</v>
      </c>
      <c r="D27" s="7843" t="s">
        <v>5369</v>
      </c>
      <c r="E27" s="7851" t="s">
        <v>5370</v>
      </c>
      <c r="F27" s="7843" t="s">
        <v>5371</v>
      </c>
      <c r="G27" s="7852" t="s">
        <v>5372</v>
      </c>
      <c r="H27" s="7846" t="s">
        <v>5373</v>
      </c>
      <c r="I27" s="7852" t="s">
        <v>5374</v>
      </c>
      <c r="J27" s="7846" t="s">
        <v>5375</v>
      </c>
      <c r="K27" s="7852" t="s">
        <v>5376</v>
      </c>
      <c r="L27" s="7846" t="s">
        <v>5377</v>
      </c>
      <c r="M27" s="7852" t="s">
        <v>5378</v>
      </c>
      <c r="N27" s="7846" t="s">
        <v>5379</v>
      </c>
      <c r="O27" s="7847" t="s">
        <v>5380</v>
      </c>
      <c r="P27" s="7846" t="s">
        <v>5381</v>
      </c>
      <c r="Q27" s="7847" t="s">
        <v>5382</v>
      </c>
      <c r="R27" s="7846" t="s">
        <v>5383</v>
      </c>
      <c r="S27" s="7847" t="s">
        <v>5384</v>
      </c>
      <c r="T27" s="7846" t="s">
        <v>5385</v>
      </c>
      <c r="U27" s="7847" t="s">
        <v>5386</v>
      </c>
      <c r="V27" s="7846" t="s">
        <v>5387</v>
      </c>
      <c r="W27" s="7852" t="s">
        <v>5388</v>
      </c>
      <c r="X27" s="7846" t="s">
        <v>5389</v>
      </c>
      <c r="Y27" s="7852" t="s">
        <v>5390</v>
      </c>
      <c r="Z27" s="7846" t="s">
        <v>5391</v>
      </c>
      <c r="AA27" s="7852" t="s">
        <v>5392</v>
      </c>
      <c r="AB27" s="7846" t="s">
        <v>5393</v>
      </c>
      <c r="AC27" s="7852" t="s">
        <v>5394</v>
      </c>
      <c r="AD27" s="7846" t="s">
        <v>5395</v>
      </c>
      <c r="AE27" s="7852" t="s">
        <v>5396</v>
      </c>
      <c r="AF27" s="7846" t="s">
        <v>5397</v>
      </c>
      <c r="AG27" s="7852" t="s">
        <v>5398</v>
      </c>
      <c r="AH27" s="7846" t="s">
        <v>5399</v>
      </c>
      <c r="AI27" s="7852" t="s">
        <v>5400</v>
      </c>
      <c r="AJ27" s="7846" t="s">
        <v>5401</v>
      </c>
      <c r="AK27" s="7852" t="s">
        <v>5402</v>
      </c>
      <c r="AL27" s="7846" t="s">
        <v>5403</v>
      </c>
      <c r="AM27" s="7852" t="s">
        <v>5404</v>
      </c>
      <c r="AN27" s="7848" t="s">
        <v>5405</v>
      </c>
      <c r="AO27" s="7849" t="s">
        <v>5406</v>
      </c>
      <c r="AP27" s="7846" t="s">
        <v>5407</v>
      </c>
      <c r="AQ27" s="2384" t="str">
        <f t="shared" si="0"/>
        <v xml:space="preserve"> * El total de registros en Pueblos Originarios no debe ser mayor al Total. * El total de registros en Migrantes no debe ser mayor al Total.</v>
      </c>
      <c r="CB27" s="2384" t="str">
        <f t="shared" si="1"/>
        <v xml:space="preserve"> * El total de registros en Pueblos Originarios no debe ser mayor al Total.</v>
      </c>
      <c r="CC27" s="2384" t="str">
        <f t="shared" si="2"/>
        <v xml:space="preserve"> * El total de registros en Migrantes no debe ser mayor al Total.</v>
      </c>
      <c r="CD27" s="2384" t="str">
        <f t="shared" si="3"/>
        <v/>
      </c>
      <c r="CK27" s="2384">
        <f t="shared" si="4"/>
        <v>1</v>
      </c>
      <c r="CL27" s="2384">
        <f t="shared" si="5"/>
        <v>1</v>
      </c>
    </row>
    <row r="28" spans="1:90" ht="14.1" customHeight="1" x14ac:dyDescent="0.3">
      <c r="A28" s="7320">
        <v>32101606</v>
      </c>
      <c r="B28" s="11442"/>
      <c r="C28" s="7850" t="s">
        <v>3073</v>
      </c>
      <c r="D28" s="7843" t="s">
        <v>5369</v>
      </c>
      <c r="E28" s="7851" t="s">
        <v>5370</v>
      </c>
      <c r="F28" s="7843" t="s">
        <v>5371</v>
      </c>
      <c r="G28" s="7852" t="s">
        <v>5372</v>
      </c>
      <c r="H28" s="7846" t="s">
        <v>5373</v>
      </c>
      <c r="I28" s="7852" t="s">
        <v>5374</v>
      </c>
      <c r="J28" s="7846" t="s">
        <v>5375</v>
      </c>
      <c r="K28" s="7852" t="s">
        <v>5376</v>
      </c>
      <c r="L28" s="7846" t="s">
        <v>5377</v>
      </c>
      <c r="M28" s="7852" t="s">
        <v>5378</v>
      </c>
      <c r="N28" s="7846" t="s">
        <v>5379</v>
      </c>
      <c r="O28" s="7847" t="s">
        <v>5380</v>
      </c>
      <c r="P28" s="7846" t="s">
        <v>5381</v>
      </c>
      <c r="Q28" s="7847" t="s">
        <v>5382</v>
      </c>
      <c r="R28" s="7846" t="s">
        <v>5383</v>
      </c>
      <c r="S28" s="7847" t="s">
        <v>5384</v>
      </c>
      <c r="T28" s="7846" t="s">
        <v>5385</v>
      </c>
      <c r="U28" s="7847" t="s">
        <v>5386</v>
      </c>
      <c r="V28" s="7846" t="s">
        <v>5387</v>
      </c>
      <c r="W28" s="7852" t="s">
        <v>5388</v>
      </c>
      <c r="X28" s="7846" t="s">
        <v>5389</v>
      </c>
      <c r="Y28" s="7852" t="s">
        <v>5390</v>
      </c>
      <c r="Z28" s="7846" t="s">
        <v>5391</v>
      </c>
      <c r="AA28" s="7852" t="s">
        <v>5392</v>
      </c>
      <c r="AB28" s="7846" t="s">
        <v>5393</v>
      </c>
      <c r="AC28" s="7852" t="s">
        <v>5394</v>
      </c>
      <c r="AD28" s="7846" t="s">
        <v>5395</v>
      </c>
      <c r="AE28" s="7852" t="s">
        <v>5396</v>
      </c>
      <c r="AF28" s="7846" t="s">
        <v>5397</v>
      </c>
      <c r="AG28" s="7852" t="s">
        <v>5398</v>
      </c>
      <c r="AH28" s="7846" t="s">
        <v>5399</v>
      </c>
      <c r="AI28" s="7852" t="s">
        <v>5400</v>
      </c>
      <c r="AJ28" s="7846" t="s">
        <v>5401</v>
      </c>
      <c r="AK28" s="7852" t="s">
        <v>5402</v>
      </c>
      <c r="AL28" s="7846" t="s">
        <v>5403</v>
      </c>
      <c r="AM28" s="7852" t="s">
        <v>5404</v>
      </c>
      <c r="AN28" s="7848" t="s">
        <v>5405</v>
      </c>
      <c r="AO28" s="7849" t="s">
        <v>5406</v>
      </c>
      <c r="AP28" s="7846" t="s">
        <v>5407</v>
      </c>
      <c r="AQ28" s="2384" t="str">
        <f t="shared" si="0"/>
        <v xml:space="preserve"> * El total de registros en Pueblos Originarios no debe ser mayor al Total. * El total de registros en Migrantes no debe ser mayor al Total.</v>
      </c>
      <c r="CB28" s="2384" t="str">
        <f t="shared" si="1"/>
        <v xml:space="preserve"> * El total de registros en Pueblos Originarios no debe ser mayor al Total.</v>
      </c>
      <c r="CC28" s="2384" t="str">
        <f t="shared" si="2"/>
        <v xml:space="preserve"> * El total de registros en Migrantes no debe ser mayor al Total.</v>
      </c>
      <c r="CD28" s="2384" t="str">
        <f t="shared" si="3"/>
        <v/>
      </c>
      <c r="CK28" s="2384">
        <f t="shared" si="4"/>
        <v>1</v>
      </c>
      <c r="CL28" s="2384">
        <f t="shared" si="5"/>
        <v>1</v>
      </c>
    </row>
    <row r="29" spans="1:90" ht="14.1" customHeight="1" x14ac:dyDescent="0.3">
      <c r="A29" s="7320">
        <v>32101607</v>
      </c>
      <c r="B29" s="11442"/>
      <c r="C29" s="7850" t="s">
        <v>3074</v>
      </c>
      <c r="D29" s="7843" t="s">
        <v>5369</v>
      </c>
      <c r="E29" s="7851" t="s">
        <v>5370</v>
      </c>
      <c r="F29" s="7843" t="s">
        <v>5371</v>
      </c>
      <c r="G29" s="7852" t="s">
        <v>5372</v>
      </c>
      <c r="H29" s="7846" t="s">
        <v>5373</v>
      </c>
      <c r="I29" s="7852" t="s">
        <v>5374</v>
      </c>
      <c r="J29" s="7846" t="s">
        <v>5375</v>
      </c>
      <c r="K29" s="7852" t="s">
        <v>5376</v>
      </c>
      <c r="L29" s="7846" t="s">
        <v>5377</v>
      </c>
      <c r="M29" s="7852" t="s">
        <v>5378</v>
      </c>
      <c r="N29" s="7846" t="s">
        <v>5379</v>
      </c>
      <c r="O29" s="7847" t="s">
        <v>5380</v>
      </c>
      <c r="P29" s="7846" t="s">
        <v>5381</v>
      </c>
      <c r="Q29" s="7847" t="s">
        <v>5382</v>
      </c>
      <c r="R29" s="7846" t="s">
        <v>5383</v>
      </c>
      <c r="S29" s="7847" t="s">
        <v>5384</v>
      </c>
      <c r="T29" s="7846" t="s">
        <v>5385</v>
      </c>
      <c r="U29" s="7847" t="s">
        <v>5386</v>
      </c>
      <c r="V29" s="7846" t="s">
        <v>5387</v>
      </c>
      <c r="W29" s="7852" t="s">
        <v>5388</v>
      </c>
      <c r="X29" s="7846" t="s">
        <v>5389</v>
      </c>
      <c r="Y29" s="7852" t="s">
        <v>5390</v>
      </c>
      <c r="Z29" s="7846" t="s">
        <v>5391</v>
      </c>
      <c r="AA29" s="7852" t="s">
        <v>5392</v>
      </c>
      <c r="AB29" s="7846" t="s">
        <v>5393</v>
      </c>
      <c r="AC29" s="7852" t="s">
        <v>5394</v>
      </c>
      <c r="AD29" s="7846" t="s">
        <v>5395</v>
      </c>
      <c r="AE29" s="7852" t="s">
        <v>5396</v>
      </c>
      <c r="AF29" s="7846" t="s">
        <v>5397</v>
      </c>
      <c r="AG29" s="7852" t="s">
        <v>5398</v>
      </c>
      <c r="AH29" s="7846" t="s">
        <v>5399</v>
      </c>
      <c r="AI29" s="7852" t="s">
        <v>5400</v>
      </c>
      <c r="AJ29" s="7846" t="s">
        <v>5401</v>
      </c>
      <c r="AK29" s="7852" t="s">
        <v>5402</v>
      </c>
      <c r="AL29" s="7846" t="s">
        <v>5403</v>
      </c>
      <c r="AM29" s="7852" t="s">
        <v>5404</v>
      </c>
      <c r="AN29" s="7848" t="s">
        <v>5405</v>
      </c>
      <c r="AO29" s="7849" t="s">
        <v>5406</v>
      </c>
      <c r="AP29" s="7846" t="s">
        <v>5407</v>
      </c>
      <c r="AQ29" s="2384" t="str">
        <f t="shared" si="0"/>
        <v xml:space="preserve"> * El total de registros en Pueblos Originarios no debe ser mayor al Total. * El total de registros en Migrantes no debe ser mayor al Total.</v>
      </c>
      <c r="CB29" s="2384" t="str">
        <f t="shared" si="1"/>
        <v xml:space="preserve"> * El total de registros en Pueblos Originarios no debe ser mayor al Total.</v>
      </c>
      <c r="CC29" s="2384" t="str">
        <f t="shared" si="2"/>
        <v xml:space="preserve"> * El total de registros en Migrantes no debe ser mayor al Total.</v>
      </c>
      <c r="CD29" s="2384" t="str">
        <f t="shared" si="3"/>
        <v/>
      </c>
      <c r="CK29" s="2384">
        <f t="shared" si="4"/>
        <v>1</v>
      </c>
      <c r="CL29" s="2384">
        <f t="shared" si="5"/>
        <v>1</v>
      </c>
    </row>
    <row r="30" spans="1:90" ht="14.1" customHeight="1" x14ac:dyDescent="0.3">
      <c r="A30" s="7320">
        <v>32101608</v>
      </c>
      <c r="B30" s="11442"/>
      <c r="C30" s="7850" t="s">
        <v>3075</v>
      </c>
      <c r="D30" s="7843" t="s">
        <v>5369</v>
      </c>
      <c r="E30" s="7851" t="s">
        <v>5370</v>
      </c>
      <c r="F30" s="7843" t="s">
        <v>5371</v>
      </c>
      <c r="G30" s="7852" t="s">
        <v>5372</v>
      </c>
      <c r="H30" s="7846" t="s">
        <v>5373</v>
      </c>
      <c r="I30" s="7852" t="s">
        <v>5374</v>
      </c>
      <c r="J30" s="7846" t="s">
        <v>5375</v>
      </c>
      <c r="K30" s="7852" t="s">
        <v>5376</v>
      </c>
      <c r="L30" s="7846" t="s">
        <v>5377</v>
      </c>
      <c r="M30" s="7852" t="s">
        <v>5378</v>
      </c>
      <c r="N30" s="7846" t="s">
        <v>5379</v>
      </c>
      <c r="O30" s="7847" t="s">
        <v>5380</v>
      </c>
      <c r="P30" s="7846" t="s">
        <v>5381</v>
      </c>
      <c r="Q30" s="7847" t="s">
        <v>5382</v>
      </c>
      <c r="R30" s="7846" t="s">
        <v>5383</v>
      </c>
      <c r="S30" s="7847" t="s">
        <v>5384</v>
      </c>
      <c r="T30" s="7846" t="s">
        <v>5385</v>
      </c>
      <c r="U30" s="7847" t="s">
        <v>5386</v>
      </c>
      <c r="V30" s="7846" t="s">
        <v>5387</v>
      </c>
      <c r="W30" s="7852" t="s">
        <v>5388</v>
      </c>
      <c r="X30" s="7846" t="s">
        <v>5389</v>
      </c>
      <c r="Y30" s="7852" t="s">
        <v>5390</v>
      </c>
      <c r="Z30" s="7846" t="s">
        <v>5391</v>
      </c>
      <c r="AA30" s="7852" t="s">
        <v>5392</v>
      </c>
      <c r="AB30" s="7846" t="s">
        <v>5393</v>
      </c>
      <c r="AC30" s="7852" t="s">
        <v>5394</v>
      </c>
      <c r="AD30" s="7846" t="s">
        <v>5395</v>
      </c>
      <c r="AE30" s="7852" t="s">
        <v>5396</v>
      </c>
      <c r="AF30" s="7846" t="s">
        <v>5397</v>
      </c>
      <c r="AG30" s="7852" t="s">
        <v>5398</v>
      </c>
      <c r="AH30" s="7846" t="s">
        <v>5399</v>
      </c>
      <c r="AI30" s="7852" t="s">
        <v>5400</v>
      </c>
      <c r="AJ30" s="7846" t="s">
        <v>5401</v>
      </c>
      <c r="AK30" s="7852" t="s">
        <v>5402</v>
      </c>
      <c r="AL30" s="7846" t="s">
        <v>5403</v>
      </c>
      <c r="AM30" s="7852" t="s">
        <v>5404</v>
      </c>
      <c r="AN30" s="7848" t="s">
        <v>5405</v>
      </c>
      <c r="AO30" s="7849" t="s">
        <v>5406</v>
      </c>
      <c r="AP30" s="7846" t="s">
        <v>5407</v>
      </c>
      <c r="AQ30" s="2384" t="str">
        <f t="shared" si="0"/>
        <v xml:space="preserve"> * El total de registros en Pueblos Originarios no debe ser mayor al Total. * El total de registros en Migrantes no debe ser mayor al Total.</v>
      </c>
      <c r="CB30" s="2384" t="str">
        <f t="shared" si="1"/>
        <v xml:space="preserve"> * El total de registros en Pueblos Originarios no debe ser mayor al Total.</v>
      </c>
      <c r="CC30" s="2384" t="str">
        <f t="shared" si="2"/>
        <v xml:space="preserve"> * El total de registros en Migrantes no debe ser mayor al Total.</v>
      </c>
      <c r="CD30" s="2384" t="str">
        <f t="shared" si="3"/>
        <v/>
      </c>
      <c r="CK30" s="2384">
        <f t="shared" si="4"/>
        <v>1</v>
      </c>
      <c r="CL30" s="2384">
        <f t="shared" si="5"/>
        <v>1</v>
      </c>
    </row>
    <row r="31" spans="1:90" ht="14.1" customHeight="1" x14ac:dyDescent="0.3">
      <c r="A31" s="7320">
        <v>32101609</v>
      </c>
      <c r="B31" s="11442"/>
      <c r="C31" s="7853" t="s">
        <v>3076</v>
      </c>
      <c r="D31" s="7843" t="s">
        <v>5369</v>
      </c>
      <c r="E31" s="7851" t="s">
        <v>5370</v>
      </c>
      <c r="F31" s="7843" t="s">
        <v>5371</v>
      </c>
      <c r="G31" s="7852" t="s">
        <v>5372</v>
      </c>
      <c r="H31" s="7846" t="s">
        <v>5373</v>
      </c>
      <c r="I31" s="7852" t="s">
        <v>5374</v>
      </c>
      <c r="J31" s="7846" t="s">
        <v>5375</v>
      </c>
      <c r="K31" s="7852" t="s">
        <v>5376</v>
      </c>
      <c r="L31" s="7846" t="s">
        <v>5377</v>
      </c>
      <c r="M31" s="7852" t="s">
        <v>5378</v>
      </c>
      <c r="N31" s="7846" t="s">
        <v>5379</v>
      </c>
      <c r="O31" s="7847" t="s">
        <v>5380</v>
      </c>
      <c r="P31" s="7846" t="s">
        <v>5381</v>
      </c>
      <c r="Q31" s="7847" t="s">
        <v>5382</v>
      </c>
      <c r="R31" s="7846" t="s">
        <v>5383</v>
      </c>
      <c r="S31" s="7847" t="s">
        <v>5384</v>
      </c>
      <c r="T31" s="7846" t="s">
        <v>5385</v>
      </c>
      <c r="U31" s="7847" t="s">
        <v>5386</v>
      </c>
      <c r="V31" s="7846" t="s">
        <v>5387</v>
      </c>
      <c r="W31" s="7852" t="s">
        <v>5388</v>
      </c>
      <c r="X31" s="7846" t="s">
        <v>5389</v>
      </c>
      <c r="Y31" s="7852" t="s">
        <v>5390</v>
      </c>
      <c r="Z31" s="7846" t="s">
        <v>5391</v>
      </c>
      <c r="AA31" s="7852" t="s">
        <v>5392</v>
      </c>
      <c r="AB31" s="7846" t="s">
        <v>5393</v>
      </c>
      <c r="AC31" s="7852" t="s">
        <v>5394</v>
      </c>
      <c r="AD31" s="7846" t="s">
        <v>5395</v>
      </c>
      <c r="AE31" s="7852" t="s">
        <v>5396</v>
      </c>
      <c r="AF31" s="7846" t="s">
        <v>5397</v>
      </c>
      <c r="AG31" s="7852" t="s">
        <v>5398</v>
      </c>
      <c r="AH31" s="7846" t="s">
        <v>5399</v>
      </c>
      <c r="AI31" s="7852" t="s">
        <v>5400</v>
      </c>
      <c r="AJ31" s="7846" t="s">
        <v>5401</v>
      </c>
      <c r="AK31" s="7852" t="s">
        <v>5402</v>
      </c>
      <c r="AL31" s="7846" t="s">
        <v>5403</v>
      </c>
      <c r="AM31" s="7852" t="s">
        <v>5404</v>
      </c>
      <c r="AN31" s="7848" t="s">
        <v>5405</v>
      </c>
      <c r="AO31" s="7849" t="s">
        <v>5406</v>
      </c>
      <c r="AP31" s="7846" t="s">
        <v>5407</v>
      </c>
      <c r="AQ31" s="2384" t="str">
        <f t="shared" si="0"/>
        <v xml:space="preserve"> * El total de registros en Pueblos Originarios no debe ser mayor al Total. * El total de registros en Migrantes no debe ser mayor al Total.</v>
      </c>
      <c r="CB31" s="2384" t="str">
        <f t="shared" si="1"/>
        <v xml:space="preserve"> * El total de registros en Pueblos Originarios no debe ser mayor al Total.</v>
      </c>
      <c r="CC31" s="2384" t="str">
        <f t="shared" si="2"/>
        <v xml:space="preserve"> * El total de registros en Migrantes no debe ser mayor al Total.</v>
      </c>
      <c r="CD31" s="2384" t="str">
        <f t="shared" si="3"/>
        <v/>
      </c>
      <c r="CK31" s="2384">
        <f t="shared" si="4"/>
        <v>1</v>
      </c>
      <c r="CL31" s="2384">
        <f t="shared" si="5"/>
        <v>1</v>
      </c>
    </row>
    <row r="32" spans="1:90" ht="14.1" customHeight="1" x14ac:dyDescent="0.3">
      <c r="A32" s="7320">
        <v>32101610</v>
      </c>
      <c r="B32" s="11442"/>
      <c r="C32" s="7850" t="s">
        <v>3077</v>
      </c>
      <c r="D32" s="7843" t="s">
        <v>5369</v>
      </c>
      <c r="E32" s="7851" t="s">
        <v>5370</v>
      </c>
      <c r="F32" s="7843" t="s">
        <v>5371</v>
      </c>
      <c r="G32" s="7852" t="s">
        <v>5372</v>
      </c>
      <c r="H32" s="7846" t="s">
        <v>5373</v>
      </c>
      <c r="I32" s="7852" t="s">
        <v>5374</v>
      </c>
      <c r="J32" s="7846" t="s">
        <v>5375</v>
      </c>
      <c r="K32" s="7852" t="s">
        <v>5376</v>
      </c>
      <c r="L32" s="7846" t="s">
        <v>5377</v>
      </c>
      <c r="M32" s="7852" t="s">
        <v>5378</v>
      </c>
      <c r="N32" s="7846" t="s">
        <v>5379</v>
      </c>
      <c r="O32" s="7847" t="s">
        <v>5380</v>
      </c>
      <c r="P32" s="7846" t="s">
        <v>5381</v>
      </c>
      <c r="Q32" s="7847" t="s">
        <v>5382</v>
      </c>
      <c r="R32" s="7846" t="s">
        <v>5383</v>
      </c>
      <c r="S32" s="7847" t="s">
        <v>5384</v>
      </c>
      <c r="T32" s="7846" t="s">
        <v>5385</v>
      </c>
      <c r="U32" s="7847" t="s">
        <v>5386</v>
      </c>
      <c r="V32" s="7846" t="s">
        <v>5387</v>
      </c>
      <c r="W32" s="7852" t="s">
        <v>5388</v>
      </c>
      <c r="X32" s="7846" t="s">
        <v>5389</v>
      </c>
      <c r="Y32" s="7852" t="s">
        <v>5390</v>
      </c>
      <c r="Z32" s="7846" t="s">
        <v>5391</v>
      </c>
      <c r="AA32" s="7852" t="s">
        <v>5392</v>
      </c>
      <c r="AB32" s="7846" t="s">
        <v>5393</v>
      </c>
      <c r="AC32" s="7852" t="s">
        <v>5394</v>
      </c>
      <c r="AD32" s="7846" t="s">
        <v>5395</v>
      </c>
      <c r="AE32" s="7852" t="s">
        <v>5396</v>
      </c>
      <c r="AF32" s="7846" t="s">
        <v>5397</v>
      </c>
      <c r="AG32" s="7852" t="s">
        <v>5398</v>
      </c>
      <c r="AH32" s="7846" t="s">
        <v>5399</v>
      </c>
      <c r="AI32" s="7852" t="s">
        <v>5400</v>
      </c>
      <c r="AJ32" s="7846" t="s">
        <v>5401</v>
      </c>
      <c r="AK32" s="7852" t="s">
        <v>5402</v>
      </c>
      <c r="AL32" s="7846" t="s">
        <v>5403</v>
      </c>
      <c r="AM32" s="7852" t="s">
        <v>5404</v>
      </c>
      <c r="AN32" s="7848" t="s">
        <v>5405</v>
      </c>
      <c r="AO32" s="7849" t="s">
        <v>5406</v>
      </c>
      <c r="AP32" s="7846" t="s">
        <v>5407</v>
      </c>
      <c r="AQ32" s="2384" t="str">
        <f t="shared" si="0"/>
        <v xml:space="preserve"> * El total de registros en Pueblos Originarios no debe ser mayor al Total. * El total de registros en Migrantes no debe ser mayor al Total.</v>
      </c>
      <c r="CB32" s="2384" t="str">
        <f t="shared" si="1"/>
        <v xml:space="preserve"> * El total de registros en Pueblos Originarios no debe ser mayor al Total.</v>
      </c>
      <c r="CC32" s="2384" t="str">
        <f t="shared" si="2"/>
        <v xml:space="preserve"> * El total de registros en Migrantes no debe ser mayor al Total.</v>
      </c>
      <c r="CD32" s="2384" t="str">
        <f t="shared" si="3"/>
        <v/>
      </c>
      <c r="CK32" s="2384">
        <f t="shared" si="4"/>
        <v>1</v>
      </c>
      <c r="CL32" s="2384">
        <f t="shared" si="5"/>
        <v>1</v>
      </c>
    </row>
    <row r="33" spans="1:90" ht="14.1" customHeight="1" x14ac:dyDescent="0.3">
      <c r="A33" s="7320">
        <v>32101611</v>
      </c>
      <c r="B33" s="11442"/>
      <c r="C33" s="7850" t="s">
        <v>3078</v>
      </c>
      <c r="D33" s="7843" t="s">
        <v>5369</v>
      </c>
      <c r="E33" s="7851" t="s">
        <v>5370</v>
      </c>
      <c r="F33" s="7843" t="s">
        <v>5371</v>
      </c>
      <c r="G33" s="7852" t="s">
        <v>5372</v>
      </c>
      <c r="H33" s="7846" t="s">
        <v>5373</v>
      </c>
      <c r="I33" s="7852" t="s">
        <v>5374</v>
      </c>
      <c r="J33" s="7846" t="s">
        <v>5375</v>
      </c>
      <c r="K33" s="7852" t="s">
        <v>5376</v>
      </c>
      <c r="L33" s="7846" t="s">
        <v>5377</v>
      </c>
      <c r="M33" s="7852" t="s">
        <v>5378</v>
      </c>
      <c r="N33" s="7846" t="s">
        <v>5379</v>
      </c>
      <c r="O33" s="7847" t="s">
        <v>5380</v>
      </c>
      <c r="P33" s="7846" t="s">
        <v>5381</v>
      </c>
      <c r="Q33" s="7847" t="s">
        <v>5382</v>
      </c>
      <c r="R33" s="7846" t="s">
        <v>5383</v>
      </c>
      <c r="S33" s="7847" t="s">
        <v>5384</v>
      </c>
      <c r="T33" s="7846" t="s">
        <v>5385</v>
      </c>
      <c r="U33" s="7847" t="s">
        <v>5386</v>
      </c>
      <c r="V33" s="7846" t="s">
        <v>5387</v>
      </c>
      <c r="W33" s="7852" t="s">
        <v>5388</v>
      </c>
      <c r="X33" s="7846" t="s">
        <v>5389</v>
      </c>
      <c r="Y33" s="7852" t="s">
        <v>5390</v>
      </c>
      <c r="Z33" s="7846" t="s">
        <v>5391</v>
      </c>
      <c r="AA33" s="7852" t="s">
        <v>5392</v>
      </c>
      <c r="AB33" s="7846" t="s">
        <v>5393</v>
      </c>
      <c r="AC33" s="7852" t="s">
        <v>5394</v>
      </c>
      <c r="AD33" s="7846" t="s">
        <v>5395</v>
      </c>
      <c r="AE33" s="7852" t="s">
        <v>5396</v>
      </c>
      <c r="AF33" s="7846" t="s">
        <v>5397</v>
      </c>
      <c r="AG33" s="7852" t="s">
        <v>5398</v>
      </c>
      <c r="AH33" s="7846" t="s">
        <v>5399</v>
      </c>
      <c r="AI33" s="7852" t="s">
        <v>5400</v>
      </c>
      <c r="AJ33" s="7846" t="s">
        <v>5401</v>
      </c>
      <c r="AK33" s="7852" t="s">
        <v>5402</v>
      </c>
      <c r="AL33" s="7846" t="s">
        <v>5403</v>
      </c>
      <c r="AM33" s="7852" t="s">
        <v>5404</v>
      </c>
      <c r="AN33" s="7848" t="s">
        <v>5405</v>
      </c>
      <c r="AO33" s="7849" t="s">
        <v>5406</v>
      </c>
      <c r="AP33" s="7846" t="s">
        <v>5407</v>
      </c>
      <c r="AQ33" s="2384" t="str">
        <f t="shared" si="0"/>
        <v xml:space="preserve"> * El total de registros en Pueblos Originarios no debe ser mayor al Total. * El total de registros en Migrantes no debe ser mayor al Total.</v>
      </c>
      <c r="CB33" s="2384" t="str">
        <f t="shared" si="1"/>
        <v xml:space="preserve"> * El total de registros en Pueblos Originarios no debe ser mayor al Total.</v>
      </c>
      <c r="CC33" s="2384" t="str">
        <f t="shared" si="2"/>
        <v xml:space="preserve"> * El total de registros en Migrantes no debe ser mayor al Total.</v>
      </c>
      <c r="CD33" s="2384" t="str">
        <f t="shared" si="3"/>
        <v/>
      </c>
      <c r="CK33" s="2384">
        <f t="shared" si="4"/>
        <v>1</v>
      </c>
      <c r="CL33" s="2384">
        <f t="shared" si="5"/>
        <v>1</v>
      </c>
    </row>
    <row r="34" spans="1:90" ht="14.1" customHeight="1" x14ac:dyDescent="0.3">
      <c r="A34" s="7320">
        <v>32101612</v>
      </c>
      <c r="B34" s="11442"/>
      <c r="C34" s="7850" t="s">
        <v>3079</v>
      </c>
      <c r="D34" s="7843" t="s">
        <v>5369</v>
      </c>
      <c r="E34" s="7851" t="s">
        <v>5370</v>
      </c>
      <c r="F34" s="7843" t="s">
        <v>5371</v>
      </c>
      <c r="G34" s="7852" t="s">
        <v>5372</v>
      </c>
      <c r="H34" s="7846" t="s">
        <v>5373</v>
      </c>
      <c r="I34" s="7852" t="s">
        <v>5374</v>
      </c>
      <c r="J34" s="7846" t="s">
        <v>5375</v>
      </c>
      <c r="K34" s="7852" t="s">
        <v>5376</v>
      </c>
      <c r="L34" s="7846" t="s">
        <v>5377</v>
      </c>
      <c r="M34" s="7852" t="s">
        <v>5378</v>
      </c>
      <c r="N34" s="7846" t="s">
        <v>5379</v>
      </c>
      <c r="O34" s="7847" t="s">
        <v>5380</v>
      </c>
      <c r="P34" s="7846" t="s">
        <v>5381</v>
      </c>
      <c r="Q34" s="7847" t="s">
        <v>5382</v>
      </c>
      <c r="R34" s="7846" t="s">
        <v>5383</v>
      </c>
      <c r="S34" s="7847" t="s">
        <v>5384</v>
      </c>
      <c r="T34" s="7846" t="s">
        <v>5385</v>
      </c>
      <c r="U34" s="7847" t="s">
        <v>5386</v>
      </c>
      <c r="V34" s="7846" t="s">
        <v>5387</v>
      </c>
      <c r="W34" s="7852" t="s">
        <v>5388</v>
      </c>
      <c r="X34" s="7846" t="s">
        <v>5389</v>
      </c>
      <c r="Y34" s="7852" t="s">
        <v>5390</v>
      </c>
      <c r="Z34" s="7846" t="s">
        <v>5391</v>
      </c>
      <c r="AA34" s="7852" t="s">
        <v>5392</v>
      </c>
      <c r="AB34" s="7846" t="s">
        <v>5393</v>
      </c>
      <c r="AC34" s="7852" t="s">
        <v>5394</v>
      </c>
      <c r="AD34" s="7846" t="s">
        <v>5395</v>
      </c>
      <c r="AE34" s="7852" t="s">
        <v>5396</v>
      </c>
      <c r="AF34" s="7846" t="s">
        <v>5397</v>
      </c>
      <c r="AG34" s="7852" t="s">
        <v>5398</v>
      </c>
      <c r="AH34" s="7846" t="s">
        <v>5399</v>
      </c>
      <c r="AI34" s="7852" t="s">
        <v>5400</v>
      </c>
      <c r="AJ34" s="7846" t="s">
        <v>5401</v>
      </c>
      <c r="AK34" s="7852" t="s">
        <v>5402</v>
      </c>
      <c r="AL34" s="7846" t="s">
        <v>5403</v>
      </c>
      <c r="AM34" s="7852" t="s">
        <v>5404</v>
      </c>
      <c r="AN34" s="7848" t="s">
        <v>5405</v>
      </c>
      <c r="AO34" s="7849" t="s">
        <v>5406</v>
      </c>
      <c r="AP34" s="7846" t="s">
        <v>5407</v>
      </c>
      <c r="AQ34" s="2384" t="str">
        <f t="shared" si="0"/>
        <v xml:space="preserve"> * El total de registros en Pueblos Originarios no debe ser mayor al Total. * El total de registros en Migrantes no debe ser mayor al Total.</v>
      </c>
      <c r="CB34" s="2384" t="str">
        <f t="shared" si="1"/>
        <v xml:space="preserve"> * El total de registros en Pueblos Originarios no debe ser mayor al Total.</v>
      </c>
      <c r="CC34" s="2384" t="str">
        <f t="shared" si="2"/>
        <v xml:space="preserve"> * El total de registros en Migrantes no debe ser mayor al Total.</v>
      </c>
      <c r="CD34" s="2384" t="str">
        <f t="shared" si="3"/>
        <v/>
      </c>
      <c r="CK34" s="2384">
        <f t="shared" si="4"/>
        <v>1</v>
      </c>
      <c r="CL34" s="2384">
        <f t="shared" si="5"/>
        <v>1</v>
      </c>
    </row>
    <row r="35" spans="1:90" ht="14.1" customHeight="1" x14ac:dyDescent="0.3">
      <c r="A35" s="7320">
        <v>32101613</v>
      </c>
      <c r="B35" s="11442"/>
      <c r="C35" s="7850" t="s">
        <v>3080</v>
      </c>
      <c r="D35" s="7843" t="s">
        <v>5369</v>
      </c>
      <c r="E35" s="7851" t="s">
        <v>5370</v>
      </c>
      <c r="F35" s="7843" t="s">
        <v>5371</v>
      </c>
      <c r="G35" s="7852" t="s">
        <v>5372</v>
      </c>
      <c r="H35" s="7846" t="s">
        <v>5373</v>
      </c>
      <c r="I35" s="7852" t="s">
        <v>5374</v>
      </c>
      <c r="J35" s="7846" t="s">
        <v>5375</v>
      </c>
      <c r="K35" s="7852" t="s">
        <v>5376</v>
      </c>
      <c r="L35" s="7846" t="s">
        <v>5377</v>
      </c>
      <c r="M35" s="7852" t="s">
        <v>5378</v>
      </c>
      <c r="N35" s="7846" t="s">
        <v>5379</v>
      </c>
      <c r="O35" s="7847" t="s">
        <v>5380</v>
      </c>
      <c r="P35" s="7846" t="s">
        <v>5381</v>
      </c>
      <c r="Q35" s="7847" t="s">
        <v>5382</v>
      </c>
      <c r="R35" s="7846" t="s">
        <v>5383</v>
      </c>
      <c r="S35" s="7847" t="s">
        <v>5384</v>
      </c>
      <c r="T35" s="7846" t="s">
        <v>5385</v>
      </c>
      <c r="U35" s="7847" t="s">
        <v>5386</v>
      </c>
      <c r="V35" s="7846" t="s">
        <v>5387</v>
      </c>
      <c r="W35" s="7852" t="s">
        <v>5388</v>
      </c>
      <c r="X35" s="7846" t="s">
        <v>5389</v>
      </c>
      <c r="Y35" s="7852" t="s">
        <v>5390</v>
      </c>
      <c r="Z35" s="7846" t="s">
        <v>5391</v>
      </c>
      <c r="AA35" s="7852" t="s">
        <v>5392</v>
      </c>
      <c r="AB35" s="7846" t="s">
        <v>5393</v>
      </c>
      <c r="AC35" s="7852" t="s">
        <v>5394</v>
      </c>
      <c r="AD35" s="7846" t="s">
        <v>5395</v>
      </c>
      <c r="AE35" s="7852" t="s">
        <v>5396</v>
      </c>
      <c r="AF35" s="7846" t="s">
        <v>5397</v>
      </c>
      <c r="AG35" s="7852" t="s">
        <v>5398</v>
      </c>
      <c r="AH35" s="7846" t="s">
        <v>5399</v>
      </c>
      <c r="AI35" s="7852" t="s">
        <v>5400</v>
      </c>
      <c r="AJ35" s="7846" t="s">
        <v>5401</v>
      </c>
      <c r="AK35" s="7852" t="s">
        <v>5402</v>
      </c>
      <c r="AL35" s="7846" t="s">
        <v>5403</v>
      </c>
      <c r="AM35" s="7852" t="s">
        <v>5404</v>
      </c>
      <c r="AN35" s="7848" t="s">
        <v>5405</v>
      </c>
      <c r="AO35" s="7849" t="s">
        <v>5406</v>
      </c>
      <c r="AP35" s="7846" t="s">
        <v>5407</v>
      </c>
      <c r="AQ35" s="2384" t="str">
        <f t="shared" si="0"/>
        <v xml:space="preserve"> * El total de registros en Pueblos Originarios no debe ser mayor al Total. * El total de registros en Migrantes no debe ser mayor al Total.</v>
      </c>
      <c r="CB35" s="2384" t="str">
        <f t="shared" si="1"/>
        <v xml:space="preserve"> * El total de registros en Pueblos Originarios no debe ser mayor al Total.</v>
      </c>
      <c r="CC35" s="2384" t="str">
        <f t="shared" si="2"/>
        <v xml:space="preserve"> * El total de registros en Migrantes no debe ser mayor al Total.</v>
      </c>
      <c r="CD35" s="2384" t="str">
        <f t="shared" si="3"/>
        <v/>
      </c>
      <c r="CK35" s="2384">
        <f t="shared" si="4"/>
        <v>1</v>
      </c>
      <c r="CL35" s="2384">
        <f t="shared" si="5"/>
        <v>1</v>
      </c>
    </row>
    <row r="36" spans="1:90" ht="14.1" customHeight="1" x14ac:dyDescent="0.3">
      <c r="A36" s="7320">
        <v>32101614</v>
      </c>
      <c r="B36" s="11442"/>
      <c r="C36" s="7853" t="s">
        <v>3081</v>
      </c>
      <c r="D36" s="7843" t="s">
        <v>5369</v>
      </c>
      <c r="E36" s="7851" t="s">
        <v>5370</v>
      </c>
      <c r="F36" s="7843" t="s">
        <v>5371</v>
      </c>
      <c r="G36" s="7852" t="s">
        <v>5372</v>
      </c>
      <c r="H36" s="7846" t="s">
        <v>5373</v>
      </c>
      <c r="I36" s="7852" t="s">
        <v>5374</v>
      </c>
      <c r="J36" s="7846" t="s">
        <v>5375</v>
      </c>
      <c r="K36" s="7852" t="s">
        <v>5376</v>
      </c>
      <c r="L36" s="7846" t="s">
        <v>5377</v>
      </c>
      <c r="M36" s="7852" t="s">
        <v>5378</v>
      </c>
      <c r="N36" s="7846" t="s">
        <v>5379</v>
      </c>
      <c r="O36" s="7847" t="s">
        <v>5380</v>
      </c>
      <c r="P36" s="7846" t="s">
        <v>5381</v>
      </c>
      <c r="Q36" s="7847" t="s">
        <v>5382</v>
      </c>
      <c r="R36" s="7846" t="s">
        <v>5383</v>
      </c>
      <c r="S36" s="7847" t="s">
        <v>5384</v>
      </c>
      <c r="T36" s="7846" t="s">
        <v>5385</v>
      </c>
      <c r="U36" s="7847" t="s">
        <v>5386</v>
      </c>
      <c r="V36" s="7846" t="s">
        <v>5387</v>
      </c>
      <c r="W36" s="7852" t="s">
        <v>5388</v>
      </c>
      <c r="X36" s="7846" t="s">
        <v>5389</v>
      </c>
      <c r="Y36" s="7852" t="s">
        <v>5390</v>
      </c>
      <c r="Z36" s="7846" t="s">
        <v>5391</v>
      </c>
      <c r="AA36" s="7852" t="s">
        <v>5392</v>
      </c>
      <c r="AB36" s="7846" t="s">
        <v>5393</v>
      </c>
      <c r="AC36" s="7852" t="s">
        <v>5394</v>
      </c>
      <c r="AD36" s="7846" t="s">
        <v>5395</v>
      </c>
      <c r="AE36" s="7852" t="s">
        <v>5396</v>
      </c>
      <c r="AF36" s="7846" t="s">
        <v>5397</v>
      </c>
      <c r="AG36" s="7852" t="s">
        <v>5398</v>
      </c>
      <c r="AH36" s="7846" t="s">
        <v>5399</v>
      </c>
      <c r="AI36" s="7852" t="s">
        <v>5400</v>
      </c>
      <c r="AJ36" s="7846" t="s">
        <v>5401</v>
      </c>
      <c r="AK36" s="7852" t="s">
        <v>5402</v>
      </c>
      <c r="AL36" s="7846" t="s">
        <v>5403</v>
      </c>
      <c r="AM36" s="7852" t="s">
        <v>5404</v>
      </c>
      <c r="AN36" s="7848" t="s">
        <v>5405</v>
      </c>
      <c r="AO36" s="7849" t="s">
        <v>5406</v>
      </c>
      <c r="AP36" s="7846" t="s">
        <v>5407</v>
      </c>
      <c r="AQ36" s="2384" t="str">
        <f t="shared" si="0"/>
        <v xml:space="preserve"> * El total de registros en Pueblos Originarios no debe ser mayor al Total. * El total de registros en Migrantes no debe ser mayor al Total.</v>
      </c>
      <c r="CB36" s="2384" t="str">
        <f t="shared" si="1"/>
        <v xml:space="preserve"> * El total de registros en Pueblos Originarios no debe ser mayor al Total.</v>
      </c>
      <c r="CC36" s="2384" t="str">
        <f t="shared" si="2"/>
        <v xml:space="preserve"> * El total de registros en Migrantes no debe ser mayor al Total.</v>
      </c>
      <c r="CD36" s="2384" t="str">
        <f t="shared" si="3"/>
        <v/>
      </c>
      <c r="CK36" s="2384">
        <f t="shared" si="4"/>
        <v>1</v>
      </c>
      <c r="CL36" s="2384">
        <f t="shared" si="5"/>
        <v>1</v>
      </c>
    </row>
    <row r="37" spans="1:90" ht="14.1" customHeight="1" x14ac:dyDescent="0.3">
      <c r="A37" s="7320">
        <v>32101615</v>
      </c>
      <c r="B37" s="11443"/>
      <c r="C37" s="7854" t="s">
        <v>373</v>
      </c>
      <c r="D37" s="7855" t="s">
        <v>5369</v>
      </c>
      <c r="E37" s="7856" t="s">
        <v>5370</v>
      </c>
      <c r="F37" s="7855" t="s">
        <v>5371</v>
      </c>
      <c r="G37" s="7857" t="s">
        <v>5372</v>
      </c>
      <c r="H37" s="7858" t="s">
        <v>5373</v>
      </c>
      <c r="I37" s="7857" t="s">
        <v>5374</v>
      </c>
      <c r="J37" s="7858" t="s">
        <v>5375</v>
      </c>
      <c r="K37" s="7857" t="s">
        <v>5376</v>
      </c>
      <c r="L37" s="7858" t="s">
        <v>5377</v>
      </c>
      <c r="M37" s="7857" t="s">
        <v>5378</v>
      </c>
      <c r="N37" s="7858" t="s">
        <v>5379</v>
      </c>
      <c r="O37" s="7859" t="s">
        <v>5380</v>
      </c>
      <c r="P37" s="7858" t="s">
        <v>5381</v>
      </c>
      <c r="Q37" s="7859" t="s">
        <v>5382</v>
      </c>
      <c r="R37" s="7858" t="s">
        <v>5383</v>
      </c>
      <c r="S37" s="7859" t="s">
        <v>5384</v>
      </c>
      <c r="T37" s="7858" t="s">
        <v>5385</v>
      </c>
      <c r="U37" s="7859" t="s">
        <v>5386</v>
      </c>
      <c r="V37" s="7858" t="s">
        <v>5387</v>
      </c>
      <c r="W37" s="7857" t="s">
        <v>5388</v>
      </c>
      <c r="X37" s="7858" t="s">
        <v>5389</v>
      </c>
      <c r="Y37" s="7857" t="s">
        <v>5390</v>
      </c>
      <c r="Z37" s="7858" t="s">
        <v>5391</v>
      </c>
      <c r="AA37" s="7857" t="s">
        <v>5392</v>
      </c>
      <c r="AB37" s="7858" t="s">
        <v>5393</v>
      </c>
      <c r="AC37" s="7857" t="s">
        <v>5394</v>
      </c>
      <c r="AD37" s="7858" t="s">
        <v>5395</v>
      </c>
      <c r="AE37" s="7857" t="s">
        <v>5396</v>
      </c>
      <c r="AF37" s="7858" t="s">
        <v>5397</v>
      </c>
      <c r="AG37" s="7857" t="s">
        <v>5398</v>
      </c>
      <c r="AH37" s="7858" t="s">
        <v>5399</v>
      </c>
      <c r="AI37" s="7857" t="s">
        <v>5400</v>
      </c>
      <c r="AJ37" s="7858" t="s">
        <v>5401</v>
      </c>
      <c r="AK37" s="7857" t="s">
        <v>5402</v>
      </c>
      <c r="AL37" s="7858" t="s">
        <v>5403</v>
      </c>
      <c r="AM37" s="7857" t="s">
        <v>5404</v>
      </c>
      <c r="AN37" s="7860" t="s">
        <v>5405</v>
      </c>
      <c r="AO37" s="7861" t="s">
        <v>5406</v>
      </c>
      <c r="AP37" s="7858" t="s">
        <v>5407</v>
      </c>
      <c r="AQ37" s="2384" t="str">
        <f t="shared" si="0"/>
        <v xml:space="preserve"> * El total de registros en Pueblos Originarios no debe ser mayor al Total. * El total de registros en Migrantes no debe ser mayor al Total.</v>
      </c>
      <c r="CB37" s="2384" t="str">
        <f t="shared" si="1"/>
        <v xml:space="preserve"> * El total de registros en Pueblos Originarios no debe ser mayor al Total.</v>
      </c>
      <c r="CC37" s="2384" t="str">
        <f t="shared" si="2"/>
        <v xml:space="preserve"> * El total de registros en Migrantes no debe ser mayor al Total.</v>
      </c>
      <c r="CD37" s="2384" t="str">
        <f t="shared" si="3"/>
        <v/>
      </c>
      <c r="CK37" s="2384">
        <f t="shared" si="4"/>
        <v>1</v>
      </c>
      <c r="CL37" s="2384">
        <f t="shared" si="5"/>
        <v>1</v>
      </c>
    </row>
    <row r="38" spans="1:90" ht="14.1" customHeight="1" x14ac:dyDescent="0.3">
      <c r="A38" s="7320">
        <v>32101616</v>
      </c>
      <c r="B38" s="11444" t="s">
        <v>73</v>
      </c>
      <c r="C38" s="7850" t="s">
        <v>3082</v>
      </c>
      <c r="D38" s="7862" t="s">
        <v>5369</v>
      </c>
      <c r="E38" s="7863" t="s">
        <v>5370</v>
      </c>
      <c r="F38" s="7862" t="s">
        <v>5371</v>
      </c>
      <c r="G38" s="7864" t="s">
        <v>5372</v>
      </c>
      <c r="H38" s="7865" t="s">
        <v>5373</v>
      </c>
      <c r="I38" s="7864" t="s">
        <v>5374</v>
      </c>
      <c r="J38" s="7865" t="s">
        <v>5375</v>
      </c>
      <c r="K38" s="7864" t="s">
        <v>5376</v>
      </c>
      <c r="L38" s="7865" t="s">
        <v>5377</v>
      </c>
      <c r="M38" s="7864" t="s">
        <v>5378</v>
      </c>
      <c r="N38" s="7865" t="s">
        <v>5379</v>
      </c>
      <c r="O38" s="7866" t="s">
        <v>5380</v>
      </c>
      <c r="P38" s="7865" t="s">
        <v>5381</v>
      </c>
      <c r="Q38" s="7866" t="s">
        <v>5382</v>
      </c>
      <c r="R38" s="7865" t="s">
        <v>5383</v>
      </c>
      <c r="S38" s="7866" t="s">
        <v>5384</v>
      </c>
      <c r="T38" s="7865" t="s">
        <v>5385</v>
      </c>
      <c r="U38" s="7866" t="s">
        <v>5386</v>
      </c>
      <c r="V38" s="7865" t="s">
        <v>5387</v>
      </c>
      <c r="W38" s="7864" t="s">
        <v>5388</v>
      </c>
      <c r="X38" s="7865" t="s">
        <v>5389</v>
      </c>
      <c r="Y38" s="7864" t="s">
        <v>5390</v>
      </c>
      <c r="Z38" s="7865" t="s">
        <v>5391</v>
      </c>
      <c r="AA38" s="7864" t="s">
        <v>5392</v>
      </c>
      <c r="AB38" s="7865" t="s">
        <v>5393</v>
      </c>
      <c r="AC38" s="7864" t="s">
        <v>5394</v>
      </c>
      <c r="AD38" s="7865" t="s">
        <v>5395</v>
      </c>
      <c r="AE38" s="7864" t="s">
        <v>5396</v>
      </c>
      <c r="AF38" s="7865" t="s">
        <v>5397</v>
      </c>
      <c r="AG38" s="7864" t="s">
        <v>5398</v>
      </c>
      <c r="AH38" s="7865" t="s">
        <v>5399</v>
      </c>
      <c r="AI38" s="7864" t="s">
        <v>5400</v>
      </c>
      <c r="AJ38" s="7865" t="s">
        <v>5401</v>
      </c>
      <c r="AK38" s="7864" t="s">
        <v>5402</v>
      </c>
      <c r="AL38" s="7865" t="s">
        <v>5403</v>
      </c>
      <c r="AM38" s="7864" t="s">
        <v>5404</v>
      </c>
      <c r="AN38" s="7867" t="s">
        <v>5405</v>
      </c>
      <c r="AO38" s="7849" t="s">
        <v>5406</v>
      </c>
      <c r="AP38" s="7846" t="s">
        <v>5407</v>
      </c>
      <c r="AQ38" s="2384" t="str">
        <f t="shared" si="0"/>
        <v xml:space="preserve"> * El total de registros en Pueblos Originarios no debe ser mayor al Total. * El total de registros en Migrantes no debe ser mayor al Total.</v>
      </c>
      <c r="CB38" s="2384" t="str">
        <f t="shared" si="1"/>
        <v xml:space="preserve"> * El total de registros en Pueblos Originarios no debe ser mayor al Total.</v>
      </c>
      <c r="CC38" s="2384" t="str">
        <f t="shared" si="2"/>
        <v xml:space="preserve"> * El total de registros en Migrantes no debe ser mayor al Total.</v>
      </c>
      <c r="CD38" s="2384" t="str">
        <f t="shared" si="3"/>
        <v/>
      </c>
      <c r="CK38" s="2384">
        <f t="shared" si="4"/>
        <v>1</v>
      </c>
      <c r="CL38" s="2384">
        <f t="shared" si="5"/>
        <v>1</v>
      </c>
    </row>
    <row r="39" spans="1:90" ht="14.1" customHeight="1" x14ac:dyDescent="0.3">
      <c r="A39" s="7320">
        <v>32101617</v>
      </c>
      <c r="B39" s="11442"/>
      <c r="C39" s="7850" t="s">
        <v>3083</v>
      </c>
      <c r="D39" s="7843" t="s">
        <v>5369</v>
      </c>
      <c r="E39" s="7851" t="s">
        <v>5370</v>
      </c>
      <c r="F39" s="7843" t="s">
        <v>5371</v>
      </c>
      <c r="G39" s="7852" t="s">
        <v>5372</v>
      </c>
      <c r="H39" s="7846" t="s">
        <v>5373</v>
      </c>
      <c r="I39" s="7852" t="s">
        <v>5374</v>
      </c>
      <c r="J39" s="7846" t="s">
        <v>5375</v>
      </c>
      <c r="K39" s="7852" t="s">
        <v>5376</v>
      </c>
      <c r="L39" s="7846" t="s">
        <v>5377</v>
      </c>
      <c r="M39" s="7852" t="s">
        <v>5378</v>
      </c>
      <c r="N39" s="7846" t="s">
        <v>5379</v>
      </c>
      <c r="O39" s="7847" t="s">
        <v>5380</v>
      </c>
      <c r="P39" s="7846" t="s">
        <v>5381</v>
      </c>
      <c r="Q39" s="7847" t="s">
        <v>5382</v>
      </c>
      <c r="R39" s="7846" t="s">
        <v>5383</v>
      </c>
      <c r="S39" s="7847" t="s">
        <v>5384</v>
      </c>
      <c r="T39" s="7846" t="s">
        <v>5385</v>
      </c>
      <c r="U39" s="7847" t="s">
        <v>5386</v>
      </c>
      <c r="V39" s="7846" t="s">
        <v>5387</v>
      </c>
      <c r="W39" s="7852" t="s">
        <v>5388</v>
      </c>
      <c r="X39" s="7846" t="s">
        <v>5389</v>
      </c>
      <c r="Y39" s="7852" t="s">
        <v>5390</v>
      </c>
      <c r="Z39" s="7846" t="s">
        <v>5391</v>
      </c>
      <c r="AA39" s="7852" t="s">
        <v>5392</v>
      </c>
      <c r="AB39" s="7846" t="s">
        <v>5393</v>
      </c>
      <c r="AC39" s="7852" t="s">
        <v>5394</v>
      </c>
      <c r="AD39" s="7846" t="s">
        <v>5395</v>
      </c>
      <c r="AE39" s="7852" t="s">
        <v>5396</v>
      </c>
      <c r="AF39" s="7846" t="s">
        <v>5397</v>
      </c>
      <c r="AG39" s="7852" t="s">
        <v>5398</v>
      </c>
      <c r="AH39" s="7846" t="s">
        <v>5399</v>
      </c>
      <c r="AI39" s="7852" t="s">
        <v>5400</v>
      </c>
      <c r="AJ39" s="7846" t="s">
        <v>5401</v>
      </c>
      <c r="AK39" s="7852" t="s">
        <v>5402</v>
      </c>
      <c r="AL39" s="7846" t="s">
        <v>5403</v>
      </c>
      <c r="AM39" s="7852" t="s">
        <v>5404</v>
      </c>
      <c r="AN39" s="7848" t="s">
        <v>5405</v>
      </c>
      <c r="AO39" s="7849" t="s">
        <v>5406</v>
      </c>
      <c r="AP39" s="7846" t="s">
        <v>5407</v>
      </c>
      <c r="AQ39" s="2384" t="str">
        <f t="shared" si="0"/>
        <v xml:space="preserve"> * El total de registros en Pueblos Originarios no debe ser mayor al Total. * El total de registros en Migrantes no debe ser mayor al Total.</v>
      </c>
      <c r="CB39" s="2384" t="str">
        <f t="shared" si="1"/>
        <v xml:space="preserve"> * El total de registros en Pueblos Originarios no debe ser mayor al Total.</v>
      </c>
      <c r="CC39" s="2384" t="str">
        <f t="shared" si="2"/>
        <v xml:space="preserve"> * El total de registros en Migrantes no debe ser mayor al Total.</v>
      </c>
      <c r="CD39" s="2384" t="str">
        <f t="shared" si="3"/>
        <v/>
      </c>
      <c r="CK39" s="2384">
        <f t="shared" si="4"/>
        <v>1</v>
      </c>
      <c r="CL39" s="2384">
        <f t="shared" si="5"/>
        <v>1</v>
      </c>
    </row>
    <row r="40" spans="1:90" ht="14.1" customHeight="1" x14ac:dyDescent="0.3">
      <c r="A40" s="7320">
        <v>32101618</v>
      </c>
      <c r="B40" s="11442"/>
      <c r="C40" s="7850" t="s">
        <v>3084</v>
      </c>
      <c r="D40" s="7843" t="s">
        <v>5369</v>
      </c>
      <c r="E40" s="7851" t="s">
        <v>5370</v>
      </c>
      <c r="F40" s="7843" t="s">
        <v>5371</v>
      </c>
      <c r="G40" s="7852" t="s">
        <v>5372</v>
      </c>
      <c r="H40" s="7846" t="s">
        <v>5373</v>
      </c>
      <c r="I40" s="7852" t="s">
        <v>5374</v>
      </c>
      <c r="J40" s="7846" t="s">
        <v>5375</v>
      </c>
      <c r="K40" s="7852" t="s">
        <v>5376</v>
      </c>
      <c r="L40" s="7846" t="s">
        <v>5377</v>
      </c>
      <c r="M40" s="7852" t="s">
        <v>5378</v>
      </c>
      <c r="N40" s="7846" t="s">
        <v>5379</v>
      </c>
      <c r="O40" s="7847" t="s">
        <v>5380</v>
      </c>
      <c r="P40" s="7846" t="s">
        <v>5381</v>
      </c>
      <c r="Q40" s="7847" t="s">
        <v>5382</v>
      </c>
      <c r="R40" s="7846" t="s">
        <v>5383</v>
      </c>
      <c r="S40" s="7847" t="s">
        <v>5384</v>
      </c>
      <c r="T40" s="7846" t="s">
        <v>5385</v>
      </c>
      <c r="U40" s="7847" t="s">
        <v>5386</v>
      </c>
      <c r="V40" s="7846" t="s">
        <v>5387</v>
      </c>
      <c r="W40" s="7852" t="s">
        <v>5388</v>
      </c>
      <c r="X40" s="7846" t="s">
        <v>5389</v>
      </c>
      <c r="Y40" s="7852" t="s">
        <v>5390</v>
      </c>
      <c r="Z40" s="7846" t="s">
        <v>5391</v>
      </c>
      <c r="AA40" s="7852" t="s">
        <v>5392</v>
      </c>
      <c r="AB40" s="7846" t="s">
        <v>5393</v>
      </c>
      <c r="AC40" s="7852" t="s">
        <v>5394</v>
      </c>
      <c r="AD40" s="7846" t="s">
        <v>5395</v>
      </c>
      <c r="AE40" s="7852" t="s">
        <v>5396</v>
      </c>
      <c r="AF40" s="7846" t="s">
        <v>5397</v>
      </c>
      <c r="AG40" s="7852" t="s">
        <v>5398</v>
      </c>
      <c r="AH40" s="7846" t="s">
        <v>5399</v>
      </c>
      <c r="AI40" s="7852" t="s">
        <v>5400</v>
      </c>
      <c r="AJ40" s="7846" t="s">
        <v>5401</v>
      </c>
      <c r="AK40" s="7852" t="s">
        <v>5402</v>
      </c>
      <c r="AL40" s="7846" t="s">
        <v>5403</v>
      </c>
      <c r="AM40" s="7852" t="s">
        <v>5404</v>
      </c>
      <c r="AN40" s="7848" t="s">
        <v>5405</v>
      </c>
      <c r="AO40" s="7849" t="s">
        <v>5406</v>
      </c>
      <c r="AP40" s="7846" t="s">
        <v>5407</v>
      </c>
      <c r="AQ40" s="2384" t="str">
        <f t="shared" si="0"/>
        <v xml:space="preserve"> * El total de registros en Pueblos Originarios no debe ser mayor al Total. * El total de registros en Migrantes no debe ser mayor al Total.</v>
      </c>
      <c r="CB40" s="2384" t="str">
        <f t="shared" si="1"/>
        <v xml:space="preserve"> * El total de registros en Pueblos Originarios no debe ser mayor al Total.</v>
      </c>
      <c r="CC40" s="2384" t="str">
        <f t="shared" si="2"/>
        <v xml:space="preserve"> * El total de registros en Migrantes no debe ser mayor al Total.</v>
      </c>
      <c r="CD40" s="2384" t="str">
        <f t="shared" si="3"/>
        <v/>
      </c>
      <c r="CK40" s="2384">
        <f t="shared" si="4"/>
        <v>1</v>
      </c>
      <c r="CL40" s="2384">
        <f t="shared" si="5"/>
        <v>1</v>
      </c>
    </row>
    <row r="41" spans="1:90" ht="14.1" customHeight="1" x14ac:dyDescent="0.3">
      <c r="A41" s="7320">
        <v>32101619</v>
      </c>
      <c r="B41" s="11443"/>
      <c r="C41" s="7868" t="s">
        <v>3085</v>
      </c>
      <c r="D41" s="7855" t="s">
        <v>5369</v>
      </c>
      <c r="E41" s="7856" t="s">
        <v>5370</v>
      </c>
      <c r="F41" s="7855" t="s">
        <v>5371</v>
      </c>
      <c r="G41" s="7857" t="s">
        <v>5372</v>
      </c>
      <c r="H41" s="7858" t="s">
        <v>5373</v>
      </c>
      <c r="I41" s="7857" t="s">
        <v>5374</v>
      </c>
      <c r="J41" s="7858" t="s">
        <v>5375</v>
      </c>
      <c r="K41" s="7857" t="s">
        <v>5376</v>
      </c>
      <c r="L41" s="7858" t="s">
        <v>5377</v>
      </c>
      <c r="M41" s="7857" t="s">
        <v>5378</v>
      </c>
      <c r="N41" s="7858" t="s">
        <v>5379</v>
      </c>
      <c r="O41" s="7859" t="s">
        <v>5380</v>
      </c>
      <c r="P41" s="7858" t="s">
        <v>5381</v>
      </c>
      <c r="Q41" s="7859" t="s">
        <v>5382</v>
      </c>
      <c r="R41" s="7858" t="s">
        <v>5383</v>
      </c>
      <c r="S41" s="7859" t="s">
        <v>5384</v>
      </c>
      <c r="T41" s="7858" t="s">
        <v>5385</v>
      </c>
      <c r="U41" s="7857" t="s">
        <v>5386</v>
      </c>
      <c r="V41" s="7858" t="s">
        <v>5387</v>
      </c>
      <c r="W41" s="7857" t="s">
        <v>5388</v>
      </c>
      <c r="X41" s="7858" t="s">
        <v>5389</v>
      </c>
      <c r="Y41" s="7857" t="s">
        <v>5390</v>
      </c>
      <c r="Z41" s="7858" t="s">
        <v>5391</v>
      </c>
      <c r="AA41" s="7857" t="s">
        <v>5392</v>
      </c>
      <c r="AB41" s="7858" t="s">
        <v>5393</v>
      </c>
      <c r="AC41" s="7857" t="s">
        <v>5394</v>
      </c>
      <c r="AD41" s="7858" t="s">
        <v>5395</v>
      </c>
      <c r="AE41" s="7857" t="s">
        <v>5396</v>
      </c>
      <c r="AF41" s="7858" t="s">
        <v>5397</v>
      </c>
      <c r="AG41" s="7857" t="s">
        <v>5398</v>
      </c>
      <c r="AH41" s="7858" t="s">
        <v>5399</v>
      </c>
      <c r="AI41" s="7857" t="s">
        <v>5400</v>
      </c>
      <c r="AJ41" s="7858" t="s">
        <v>5401</v>
      </c>
      <c r="AK41" s="7857" t="s">
        <v>5402</v>
      </c>
      <c r="AL41" s="7858" t="s">
        <v>5403</v>
      </c>
      <c r="AM41" s="7857" t="s">
        <v>5404</v>
      </c>
      <c r="AN41" s="7860" t="s">
        <v>5405</v>
      </c>
      <c r="AO41" s="7861" t="s">
        <v>5406</v>
      </c>
      <c r="AP41" s="7858" t="s">
        <v>5407</v>
      </c>
      <c r="AQ41" s="2384" t="str">
        <f t="shared" si="0"/>
        <v xml:space="preserve"> * El total de registros en Pueblos Originarios no debe ser mayor al Total. * El total de registros en Migrantes no debe ser mayor al Total.</v>
      </c>
      <c r="CB41" s="2384" t="str">
        <f t="shared" si="1"/>
        <v xml:space="preserve"> * El total de registros en Pueblos Originarios no debe ser mayor al Total.</v>
      </c>
      <c r="CC41" s="2384" t="str">
        <f t="shared" si="2"/>
        <v xml:space="preserve"> * El total de registros en Migrantes no debe ser mayor al Total.</v>
      </c>
      <c r="CD41" s="2384" t="str">
        <f t="shared" si="3"/>
        <v/>
      </c>
      <c r="CK41" s="2384">
        <f t="shared" si="4"/>
        <v>1</v>
      </c>
      <c r="CL41" s="2384">
        <f t="shared" si="5"/>
        <v>1</v>
      </c>
    </row>
    <row r="42" spans="1:90" ht="27" customHeight="1" x14ac:dyDescent="0.3">
      <c r="B42" s="7831" t="s">
        <v>3086</v>
      </c>
    </row>
    <row r="43" spans="1:90" x14ac:dyDescent="0.3">
      <c r="B43" s="11454" t="s">
        <v>1236</v>
      </c>
      <c r="C43" s="11445" t="s">
        <v>24</v>
      </c>
      <c r="D43" s="11431"/>
      <c r="E43" s="11432"/>
      <c r="F43" s="11428" t="s">
        <v>98</v>
      </c>
      <c r="G43" s="11429"/>
      <c r="H43" s="11429"/>
      <c r="I43" s="11429"/>
      <c r="J43" s="11429"/>
      <c r="K43" s="11429"/>
      <c r="L43" s="11429"/>
      <c r="M43" s="11429"/>
      <c r="N43" s="11429"/>
      <c r="O43" s="11429"/>
      <c r="P43" s="11429"/>
      <c r="Q43" s="11429"/>
      <c r="R43" s="11429"/>
      <c r="S43" s="11429"/>
      <c r="T43" s="11429"/>
      <c r="U43" s="11429"/>
      <c r="V43" s="11429"/>
      <c r="W43" s="11429"/>
      <c r="X43" s="11429"/>
      <c r="Y43" s="11429"/>
      <c r="Z43" s="11429"/>
      <c r="AA43" s="11429"/>
      <c r="AB43" s="11429"/>
      <c r="AC43" s="11429"/>
      <c r="AD43" s="11429"/>
      <c r="AE43" s="11429"/>
      <c r="AF43" s="11429"/>
      <c r="AG43" s="11429"/>
      <c r="AH43" s="11429"/>
      <c r="AI43" s="11429"/>
      <c r="AJ43" s="11429"/>
      <c r="AK43" s="11429"/>
      <c r="AL43" s="11429"/>
      <c r="AM43" s="11424"/>
      <c r="AN43" s="11419" t="s">
        <v>3087</v>
      </c>
      <c r="AO43" s="11419"/>
      <c r="AP43" s="11419"/>
      <c r="AQ43" s="11419"/>
      <c r="AR43" s="11419"/>
      <c r="AS43" s="11419"/>
      <c r="AT43" s="11419"/>
      <c r="AU43" s="11419"/>
      <c r="AV43" s="11419"/>
      <c r="AW43" s="11419"/>
      <c r="AX43" s="11420"/>
      <c r="CB43" s="11416" t="s">
        <v>3566</v>
      </c>
      <c r="CK43" s="11416" t="s">
        <v>3566</v>
      </c>
    </row>
    <row r="44" spans="1:90" x14ac:dyDescent="0.3">
      <c r="B44" s="11455"/>
      <c r="C44" s="11446"/>
      <c r="D44" s="11433"/>
      <c r="E44" s="11434"/>
      <c r="F44" s="11451" t="s">
        <v>1416</v>
      </c>
      <c r="G44" s="11418"/>
      <c r="H44" s="11417" t="s">
        <v>1415</v>
      </c>
      <c r="I44" s="11418"/>
      <c r="J44" s="11417" t="s">
        <v>77</v>
      </c>
      <c r="K44" s="11418"/>
      <c r="L44" s="11417" t="s">
        <v>68</v>
      </c>
      <c r="M44" s="11418"/>
      <c r="N44" s="11417" t="s">
        <v>142</v>
      </c>
      <c r="O44" s="11418"/>
      <c r="P44" s="11417" t="s">
        <v>143</v>
      </c>
      <c r="Q44" s="11418"/>
      <c r="R44" s="11417" t="s">
        <v>144</v>
      </c>
      <c r="S44" s="11418"/>
      <c r="T44" s="11417" t="s">
        <v>7</v>
      </c>
      <c r="U44" s="11418"/>
      <c r="V44" s="11417" t="s">
        <v>8</v>
      </c>
      <c r="W44" s="11418"/>
      <c r="X44" s="11417" t="s">
        <v>145</v>
      </c>
      <c r="Y44" s="11418"/>
      <c r="Z44" s="11417" t="s">
        <v>10</v>
      </c>
      <c r="AA44" s="11418"/>
      <c r="AB44" s="11417" t="s">
        <v>11</v>
      </c>
      <c r="AC44" s="11418"/>
      <c r="AD44" s="11417" t="s">
        <v>12</v>
      </c>
      <c r="AE44" s="11418"/>
      <c r="AF44" s="11417" t="s">
        <v>13</v>
      </c>
      <c r="AG44" s="11418"/>
      <c r="AH44" s="11417" t="s">
        <v>14</v>
      </c>
      <c r="AI44" s="11418"/>
      <c r="AJ44" s="11417" t="s">
        <v>15</v>
      </c>
      <c r="AK44" s="11418"/>
      <c r="AL44" s="11435" t="s">
        <v>16</v>
      </c>
      <c r="AM44" s="11436"/>
      <c r="AN44" s="11421"/>
      <c r="AO44" s="11421"/>
      <c r="AP44" s="11421"/>
      <c r="AQ44" s="11421"/>
      <c r="AR44" s="11421"/>
      <c r="AS44" s="11421"/>
      <c r="AT44" s="11421"/>
      <c r="AU44" s="11421"/>
      <c r="AV44" s="11421"/>
      <c r="AW44" s="11421"/>
      <c r="AX44" s="11422"/>
      <c r="CB44" s="11416"/>
      <c r="CK44" s="11416"/>
    </row>
    <row r="45" spans="1:90" ht="33.75" customHeight="1" x14ac:dyDescent="0.3">
      <c r="B45" s="11456"/>
      <c r="C45" s="7836" t="s">
        <v>42</v>
      </c>
      <c r="D45" s="7837" t="s">
        <v>17</v>
      </c>
      <c r="E45" s="7838" t="s">
        <v>18</v>
      </c>
      <c r="F45" s="7839" t="s">
        <v>17</v>
      </c>
      <c r="G45" s="7835" t="s">
        <v>18</v>
      </c>
      <c r="H45" s="7840" t="s">
        <v>17</v>
      </c>
      <c r="I45" s="7835" t="s">
        <v>18</v>
      </c>
      <c r="J45" s="7840" t="s">
        <v>17</v>
      </c>
      <c r="K45" s="7835" t="s">
        <v>18</v>
      </c>
      <c r="L45" s="7840" t="s">
        <v>17</v>
      </c>
      <c r="M45" s="7835" t="s">
        <v>18</v>
      </c>
      <c r="N45" s="7840" t="s">
        <v>17</v>
      </c>
      <c r="O45" s="7835" t="s">
        <v>18</v>
      </c>
      <c r="P45" s="7840" t="s">
        <v>17</v>
      </c>
      <c r="Q45" s="7835" t="s">
        <v>18</v>
      </c>
      <c r="R45" s="7840" t="s">
        <v>17</v>
      </c>
      <c r="S45" s="7835" t="s">
        <v>18</v>
      </c>
      <c r="T45" s="7840" t="s">
        <v>17</v>
      </c>
      <c r="U45" s="7835" t="s">
        <v>18</v>
      </c>
      <c r="V45" s="7840" t="s">
        <v>17</v>
      </c>
      <c r="W45" s="7835" t="s">
        <v>18</v>
      </c>
      <c r="X45" s="7840" t="s">
        <v>17</v>
      </c>
      <c r="Y45" s="7835" t="s">
        <v>18</v>
      </c>
      <c r="Z45" s="7840" t="s">
        <v>17</v>
      </c>
      <c r="AA45" s="7835" t="s">
        <v>18</v>
      </c>
      <c r="AB45" s="7840" t="s">
        <v>17</v>
      </c>
      <c r="AC45" s="7835" t="s">
        <v>18</v>
      </c>
      <c r="AD45" s="7840" t="s">
        <v>17</v>
      </c>
      <c r="AE45" s="7835" t="s">
        <v>18</v>
      </c>
      <c r="AF45" s="7840" t="s">
        <v>17</v>
      </c>
      <c r="AG45" s="7835" t="s">
        <v>18</v>
      </c>
      <c r="AH45" s="7840" t="s">
        <v>17</v>
      </c>
      <c r="AI45" s="7835" t="s">
        <v>18</v>
      </c>
      <c r="AJ45" s="7840" t="s">
        <v>17</v>
      </c>
      <c r="AK45" s="7835" t="s">
        <v>18</v>
      </c>
      <c r="AL45" s="7869" t="s">
        <v>17</v>
      </c>
      <c r="AM45" s="7870" t="s">
        <v>18</v>
      </c>
      <c r="AN45" s="7871" t="s">
        <v>2446</v>
      </c>
      <c r="AO45" s="7871" t="s">
        <v>2426</v>
      </c>
      <c r="AP45" s="7871" t="s">
        <v>3151</v>
      </c>
      <c r="AQ45" s="7872" t="s">
        <v>2959</v>
      </c>
      <c r="AR45" s="7871" t="s">
        <v>2425</v>
      </c>
      <c r="AS45" s="7871" t="s">
        <v>3150</v>
      </c>
      <c r="AT45" s="7871" t="s">
        <v>46</v>
      </c>
      <c r="AU45" s="7871" t="s">
        <v>3152</v>
      </c>
      <c r="AV45" s="7872" t="s">
        <v>3153</v>
      </c>
      <c r="AW45" s="7872" t="s">
        <v>2451</v>
      </c>
      <c r="AX45" s="7871" t="s">
        <v>1677</v>
      </c>
      <c r="CB45" s="11416"/>
      <c r="CK45" s="11416"/>
    </row>
    <row r="46" spans="1:90" ht="14.1" customHeight="1" x14ac:dyDescent="0.3">
      <c r="A46" s="7320">
        <v>32101620</v>
      </c>
      <c r="B46" s="7873" t="s">
        <v>3935</v>
      </c>
      <c r="C46" s="7874" t="s">
        <v>5369</v>
      </c>
      <c r="D46" s="7844" t="s">
        <v>5370</v>
      </c>
      <c r="E46" s="7843" t="s">
        <v>5371</v>
      </c>
      <c r="F46" s="7845" t="s">
        <v>5372</v>
      </c>
      <c r="G46" s="7846" t="s">
        <v>5373</v>
      </c>
      <c r="H46" s="7845" t="s">
        <v>5374</v>
      </c>
      <c r="I46" s="7846" t="s">
        <v>5375</v>
      </c>
      <c r="J46" s="7845" t="s">
        <v>5376</v>
      </c>
      <c r="K46" s="7846" t="s">
        <v>5377</v>
      </c>
      <c r="L46" s="7845" t="s">
        <v>5378</v>
      </c>
      <c r="M46" s="7846" t="s">
        <v>5379</v>
      </c>
      <c r="N46" s="7845" t="s">
        <v>5380</v>
      </c>
      <c r="O46" s="7846" t="s">
        <v>5381</v>
      </c>
      <c r="P46" s="7845" t="s">
        <v>5382</v>
      </c>
      <c r="Q46" s="7846" t="s">
        <v>5383</v>
      </c>
      <c r="R46" s="7845" t="s">
        <v>5384</v>
      </c>
      <c r="S46" s="7846" t="s">
        <v>5385</v>
      </c>
      <c r="T46" s="7845" t="s">
        <v>5386</v>
      </c>
      <c r="U46" s="7846" t="s">
        <v>5387</v>
      </c>
      <c r="V46" s="7845" t="s">
        <v>5388</v>
      </c>
      <c r="W46" s="7846" t="s">
        <v>5389</v>
      </c>
      <c r="X46" s="7845" t="s">
        <v>5390</v>
      </c>
      <c r="Y46" s="7846" t="s">
        <v>5391</v>
      </c>
      <c r="Z46" s="7845" t="s">
        <v>5392</v>
      </c>
      <c r="AA46" s="7846" t="s">
        <v>5393</v>
      </c>
      <c r="AB46" s="7845" t="s">
        <v>5394</v>
      </c>
      <c r="AC46" s="7846" t="s">
        <v>5395</v>
      </c>
      <c r="AD46" s="7845" t="s">
        <v>5396</v>
      </c>
      <c r="AE46" s="7846" t="s">
        <v>5397</v>
      </c>
      <c r="AF46" s="7845" t="s">
        <v>5398</v>
      </c>
      <c r="AG46" s="7846" t="s">
        <v>5399</v>
      </c>
      <c r="AH46" s="7845" t="s">
        <v>5400</v>
      </c>
      <c r="AI46" s="7846" t="s">
        <v>5401</v>
      </c>
      <c r="AJ46" s="7845" t="s">
        <v>5402</v>
      </c>
      <c r="AK46" s="7846" t="s">
        <v>5403</v>
      </c>
      <c r="AL46" s="7845" t="s">
        <v>5404</v>
      </c>
      <c r="AM46" s="7875" t="s">
        <v>5405</v>
      </c>
      <c r="AN46" s="7846" t="s">
        <v>5406</v>
      </c>
      <c r="AO46" s="7846" t="s">
        <v>5407</v>
      </c>
      <c r="AP46" s="7846" t="s">
        <v>5408</v>
      </c>
      <c r="AQ46" s="7846" t="s">
        <v>5409</v>
      </c>
      <c r="AR46" s="7846" t="s">
        <v>5410</v>
      </c>
      <c r="AS46" s="7846" t="s">
        <v>5411</v>
      </c>
      <c r="AT46" s="7846" t="s">
        <v>5412</v>
      </c>
      <c r="AU46" s="7846" t="s">
        <v>5413</v>
      </c>
      <c r="AV46" s="7846" t="s">
        <v>5414</v>
      </c>
      <c r="AW46" s="7846" t="s">
        <v>5415</v>
      </c>
      <c r="AX46" s="7846" t="s">
        <v>5416</v>
      </c>
      <c r="CB46" s="2384" t="str">
        <f>IF(CK46=1," * La suma de Atenciones por profesional no debe ser mayor al Total.","")</f>
        <v/>
      </c>
    </row>
    <row r="47" spans="1:90" ht="14.1" customHeight="1" x14ac:dyDescent="0.3">
      <c r="A47" s="7320">
        <v>32101621</v>
      </c>
      <c r="B47" s="7876" t="s">
        <v>3936</v>
      </c>
      <c r="C47" s="7874" t="s">
        <v>5369</v>
      </c>
      <c r="D47" s="7851" t="s">
        <v>5370</v>
      </c>
      <c r="E47" s="7843" t="s">
        <v>5371</v>
      </c>
      <c r="F47" s="7852" t="s">
        <v>5372</v>
      </c>
      <c r="G47" s="7846" t="s">
        <v>5373</v>
      </c>
      <c r="H47" s="7852" t="s">
        <v>5374</v>
      </c>
      <c r="I47" s="7846" t="s">
        <v>5375</v>
      </c>
      <c r="J47" s="7852" t="s">
        <v>5376</v>
      </c>
      <c r="K47" s="7846" t="s">
        <v>5377</v>
      </c>
      <c r="L47" s="7852" t="s">
        <v>5378</v>
      </c>
      <c r="M47" s="7846" t="s">
        <v>5379</v>
      </c>
      <c r="N47" s="7852" t="s">
        <v>5380</v>
      </c>
      <c r="O47" s="7846" t="s">
        <v>5381</v>
      </c>
      <c r="P47" s="7852" t="s">
        <v>5382</v>
      </c>
      <c r="Q47" s="7846" t="s">
        <v>5383</v>
      </c>
      <c r="R47" s="7852" t="s">
        <v>5384</v>
      </c>
      <c r="S47" s="7846" t="s">
        <v>5385</v>
      </c>
      <c r="T47" s="7852" t="s">
        <v>5386</v>
      </c>
      <c r="U47" s="7846" t="s">
        <v>5387</v>
      </c>
      <c r="V47" s="7852" t="s">
        <v>5388</v>
      </c>
      <c r="W47" s="7846" t="s">
        <v>5389</v>
      </c>
      <c r="X47" s="7852" t="s">
        <v>5390</v>
      </c>
      <c r="Y47" s="7846" t="s">
        <v>5391</v>
      </c>
      <c r="Z47" s="7852" t="s">
        <v>5392</v>
      </c>
      <c r="AA47" s="7846" t="s">
        <v>5393</v>
      </c>
      <c r="AB47" s="7852" t="s">
        <v>5394</v>
      </c>
      <c r="AC47" s="7846" t="s">
        <v>5395</v>
      </c>
      <c r="AD47" s="7852" t="s">
        <v>5396</v>
      </c>
      <c r="AE47" s="7846" t="s">
        <v>5397</v>
      </c>
      <c r="AF47" s="7852" t="s">
        <v>5398</v>
      </c>
      <c r="AG47" s="7846" t="s">
        <v>5399</v>
      </c>
      <c r="AH47" s="7852" t="s">
        <v>5400</v>
      </c>
      <c r="AI47" s="7846" t="s">
        <v>5401</v>
      </c>
      <c r="AJ47" s="7852" t="s">
        <v>5402</v>
      </c>
      <c r="AK47" s="7846" t="s">
        <v>5403</v>
      </c>
      <c r="AL47" s="7852" t="s">
        <v>5404</v>
      </c>
      <c r="AM47" s="7875" t="s">
        <v>5405</v>
      </c>
      <c r="AN47" s="7846" t="s">
        <v>5406</v>
      </c>
      <c r="AO47" s="7846" t="s">
        <v>5407</v>
      </c>
      <c r="AP47" s="7846" t="s">
        <v>5408</v>
      </c>
      <c r="AQ47" s="7846" t="s">
        <v>5409</v>
      </c>
      <c r="AR47" s="7846" t="s">
        <v>5410</v>
      </c>
      <c r="AS47" s="7846" t="s">
        <v>5411</v>
      </c>
      <c r="AT47" s="7846" t="s">
        <v>5412</v>
      </c>
      <c r="AU47" s="7846" t="s">
        <v>5413</v>
      </c>
      <c r="AV47" s="7846" t="s">
        <v>5414</v>
      </c>
      <c r="AW47" s="7846" t="s">
        <v>5415</v>
      </c>
      <c r="AX47" s="7846" t="s">
        <v>5416</v>
      </c>
      <c r="CB47" s="2384" t="str">
        <f t="shared" ref="CB47:CB57" si="6">IF(CK47=1," * La suma de Atenciones por profesional no debe ser mayor al Total.","")</f>
        <v/>
      </c>
    </row>
    <row r="48" spans="1:90" ht="14.1" customHeight="1" x14ac:dyDescent="0.3">
      <c r="A48" s="7320">
        <v>32101622</v>
      </c>
      <c r="B48" s="7877" t="s">
        <v>3937</v>
      </c>
      <c r="C48" s="7874" t="s">
        <v>5369</v>
      </c>
      <c r="D48" s="7851" t="s">
        <v>5370</v>
      </c>
      <c r="E48" s="7843" t="s">
        <v>5371</v>
      </c>
      <c r="F48" s="7852" t="s">
        <v>5372</v>
      </c>
      <c r="G48" s="7846" t="s">
        <v>5373</v>
      </c>
      <c r="H48" s="7852" t="s">
        <v>5374</v>
      </c>
      <c r="I48" s="7846" t="s">
        <v>5375</v>
      </c>
      <c r="J48" s="7852" t="s">
        <v>5376</v>
      </c>
      <c r="K48" s="7846" t="s">
        <v>5377</v>
      </c>
      <c r="L48" s="7852" t="s">
        <v>5378</v>
      </c>
      <c r="M48" s="7846" t="s">
        <v>5379</v>
      </c>
      <c r="N48" s="7852" t="s">
        <v>5380</v>
      </c>
      <c r="O48" s="7846" t="s">
        <v>5381</v>
      </c>
      <c r="P48" s="7852" t="s">
        <v>5382</v>
      </c>
      <c r="Q48" s="7846" t="s">
        <v>5383</v>
      </c>
      <c r="R48" s="7852" t="s">
        <v>5384</v>
      </c>
      <c r="S48" s="7846" t="s">
        <v>5385</v>
      </c>
      <c r="T48" s="7852" t="s">
        <v>5386</v>
      </c>
      <c r="U48" s="7846" t="s">
        <v>5387</v>
      </c>
      <c r="V48" s="7852" t="s">
        <v>5388</v>
      </c>
      <c r="W48" s="7846" t="s">
        <v>5389</v>
      </c>
      <c r="X48" s="7852" t="s">
        <v>5390</v>
      </c>
      <c r="Y48" s="7846" t="s">
        <v>5391</v>
      </c>
      <c r="Z48" s="7852" t="s">
        <v>5392</v>
      </c>
      <c r="AA48" s="7846" t="s">
        <v>5393</v>
      </c>
      <c r="AB48" s="7852" t="s">
        <v>5394</v>
      </c>
      <c r="AC48" s="7846" t="s">
        <v>5395</v>
      </c>
      <c r="AD48" s="7852" t="s">
        <v>5396</v>
      </c>
      <c r="AE48" s="7846" t="s">
        <v>5397</v>
      </c>
      <c r="AF48" s="7852" t="s">
        <v>5398</v>
      </c>
      <c r="AG48" s="7846" t="s">
        <v>5399</v>
      </c>
      <c r="AH48" s="7852" t="s">
        <v>5400</v>
      </c>
      <c r="AI48" s="7846" t="s">
        <v>5401</v>
      </c>
      <c r="AJ48" s="7852" t="s">
        <v>5402</v>
      </c>
      <c r="AK48" s="7846" t="s">
        <v>5403</v>
      </c>
      <c r="AL48" s="7852" t="s">
        <v>5404</v>
      </c>
      <c r="AM48" s="7875" t="s">
        <v>5405</v>
      </c>
      <c r="AN48" s="7846" t="s">
        <v>5406</v>
      </c>
      <c r="AO48" s="7846" t="s">
        <v>5407</v>
      </c>
      <c r="AP48" s="7846" t="s">
        <v>5408</v>
      </c>
      <c r="AQ48" s="7846" t="s">
        <v>5409</v>
      </c>
      <c r="AR48" s="7846" t="s">
        <v>5410</v>
      </c>
      <c r="AS48" s="7846" t="s">
        <v>5411</v>
      </c>
      <c r="AT48" s="7846" t="s">
        <v>5412</v>
      </c>
      <c r="AU48" s="7846" t="s">
        <v>5413</v>
      </c>
      <c r="AV48" s="7846" t="s">
        <v>5414</v>
      </c>
      <c r="AW48" s="7846" t="s">
        <v>5415</v>
      </c>
      <c r="AX48" s="7846" t="s">
        <v>5416</v>
      </c>
      <c r="AY48" s="2384" t="str">
        <f t="shared" ref="AY48:AY57" si="7">CB48&amp;CC48</f>
        <v/>
      </c>
      <c r="CB48" s="2384" t="str">
        <f t="shared" si="6"/>
        <v/>
      </c>
      <c r="CK48" s="2384">
        <f t="shared" ref="CK48:CK57" si="8">IF(SUM(AN48:AX48)&gt;C48,1,0)</f>
        <v>0</v>
      </c>
    </row>
    <row r="49" spans="1:90" ht="14.1" customHeight="1" x14ac:dyDescent="0.3">
      <c r="A49" s="7320">
        <v>32101623</v>
      </c>
      <c r="B49" s="7877" t="s">
        <v>3938</v>
      </c>
      <c r="C49" s="7874" t="s">
        <v>5369</v>
      </c>
      <c r="D49" s="7851" t="s">
        <v>5370</v>
      </c>
      <c r="E49" s="7843" t="s">
        <v>5371</v>
      </c>
      <c r="F49" s="7852" t="s">
        <v>5372</v>
      </c>
      <c r="G49" s="7846" t="s">
        <v>5373</v>
      </c>
      <c r="H49" s="7852" t="s">
        <v>5374</v>
      </c>
      <c r="I49" s="7846" t="s">
        <v>5375</v>
      </c>
      <c r="J49" s="7852" t="s">
        <v>5376</v>
      </c>
      <c r="K49" s="7846" t="s">
        <v>5377</v>
      </c>
      <c r="L49" s="7852" t="s">
        <v>5378</v>
      </c>
      <c r="M49" s="7846" t="s">
        <v>5379</v>
      </c>
      <c r="N49" s="7852" t="s">
        <v>5380</v>
      </c>
      <c r="O49" s="7846" t="s">
        <v>5381</v>
      </c>
      <c r="P49" s="7852" t="s">
        <v>5382</v>
      </c>
      <c r="Q49" s="7846" t="s">
        <v>5383</v>
      </c>
      <c r="R49" s="7852" t="s">
        <v>5384</v>
      </c>
      <c r="S49" s="7846" t="s">
        <v>5385</v>
      </c>
      <c r="T49" s="7852" t="s">
        <v>5386</v>
      </c>
      <c r="U49" s="7846" t="s">
        <v>5387</v>
      </c>
      <c r="V49" s="7852" t="s">
        <v>5388</v>
      </c>
      <c r="W49" s="7846" t="s">
        <v>5389</v>
      </c>
      <c r="X49" s="7852" t="s">
        <v>5390</v>
      </c>
      <c r="Y49" s="7846" t="s">
        <v>5391</v>
      </c>
      <c r="Z49" s="7852" t="s">
        <v>5392</v>
      </c>
      <c r="AA49" s="7846" t="s">
        <v>5393</v>
      </c>
      <c r="AB49" s="7852" t="s">
        <v>5394</v>
      </c>
      <c r="AC49" s="7846" t="s">
        <v>5395</v>
      </c>
      <c r="AD49" s="7852" t="s">
        <v>5396</v>
      </c>
      <c r="AE49" s="7846" t="s">
        <v>5397</v>
      </c>
      <c r="AF49" s="7852" t="s">
        <v>5398</v>
      </c>
      <c r="AG49" s="7846" t="s">
        <v>5399</v>
      </c>
      <c r="AH49" s="7852" t="s">
        <v>5400</v>
      </c>
      <c r="AI49" s="7846" t="s">
        <v>5401</v>
      </c>
      <c r="AJ49" s="7852" t="s">
        <v>5402</v>
      </c>
      <c r="AK49" s="7846" t="s">
        <v>5403</v>
      </c>
      <c r="AL49" s="7852" t="s">
        <v>5404</v>
      </c>
      <c r="AM49" s="7875" t="s">
        <v>5405</v>
      </c>
      <c r="AN49" s="7846" t="s">
        <v>5406</v>
      </c>
      <c r="AO49" s="7846" t="s">
        <v>5407</v>
      </c>
      <c r="AP49" s="7846" t="s">
        <v>5408</v>
      </c>
      <c r="AQ49" s="7846" t="s">
        <v>5409</v>
      </c>
      <c r="AR49" s="7846" t="s">
        <v>5410</v>
      </c>
      <c r="AS49" s="7846" t="s">
        <v>5411</v>
      </c>
      <c r="AT49" s="7846" t="s">
        <v>5412</v>
      </c>
      <c r="AU49" s="7846" t="s">
        <v>5413</v>
      </c>
      <c r="AV49" s="7846" t="s">
        <v>5414</v>
      </c>
      <c r="AW49" s="7846" t="s">
        <v>5415</v>
      </c>
      <c r="AX49" s="7846" t="s">
        <v>5416</v>
      </c>
      <c r="AY49" s="2384" t="str">
        <f t="shared" si="7"/>
        <v/>
      </c>
      <c r="CB49" s="2384" t="str">
        <f t="shared" si="6"/>
        <v/>
      </c>
      <c r="CK49" s="2384">
        <f t="shared" si="8"/>
        <v>0</v>
      </c>
    </row>
    <row r="50" spans="1:90" ht="14.1" customHeight="1" x14ac:dyDescent="0.3">
      <c r="A50" s="7320">
        <v>32101624</v>
      </c>
      <c r="B50" s="7877" t="s">
        <v>3939</v>
      </c>
      <c r="C50" s="7874" t="s">
        <v>5369</v>
      </c>
      <c r="D50" s="7851" t="s">
        <v>5370</v>
      </c>
      <c r="E50" s="7843" t="s">
        <v>5371</v>
      </c>
      <c r="F50" s="7852" t="s">
        <v>5372</v>
      </c>
      <c r="G50" s="7846" t="s">
        <v>5373</v>
      </c>
      <c r="H50" s="7852" t="s">
        <v>5374</v>
      </c>
      <c r="I50" s="7846" t="s">
        <v>5375</v>
      </c>
      <c r="J50" s="7852" t="s">
        <v>5376</v>
      </c>
      <c r="K50" s="7846" t="s">
        <v>5377</v>
      </c>
      <c r="L50" s="7852" t="s">
        <v>5378</v>
      </c>
      <c r="M50" s="7846" t="s">
        <v>5379</v>
      </c>
      <c r="N50" s="7852" t="s">
        <v>5380</v>
      </c>
      <c r="O50" s="7846" t="s">
        <v>5381</v>
      </c>
      <c r="P50" s="7852" t="s">
        <v>5382</v>
      </c>
      <c r="Q50" s="7846" t="s">
        <v>5383</v>
      </c>
      <c r="R50" s="7852" t="s">
        <v>5384</v>
      </c>
      <c r="S50" s="7846" t="s">
        <v>5385</v>
      </c>
      <c r="T50" s="7852" t="s">
        <v>5386</v>
      </c>
      <c r="U50" s="7846" t="s">
        <v>5387</v>
      </c>
      <c r="V50" s="7852" t="s">
        <v>5388</v>
      </c>
      <c r="W50" s="7846" t="s">
        <v>5389</v>
      </c>
      <c r="X50" s="7852" t="s">
        <v>5390</v>
      </c>
      <c r="Y50" s="7846" t="s">
        <v>5391</v>
      </c>
      <c r="Z50" s="7852" t="s">
        <v>5392</v>
      </c>
      <c r="AA50" s="7846" t="s">
        <v>5393</v>
      </c>
      <c r="AB50" s="7852" t="s">
        <v>5394</v>
      </c>
      <c r="AC50" s="7846" t="s">
        <v>5395</v>
      </c>
      <c r="AD50" s="7852" t="s">
        <v>5396</v>
      </c>
      <c r="AE50" s="7846" t="s">
        <v>5397</v>
      </c>
      <c r="AF50" s="7852" t="s">
        <v>5398</v>
      </c>
      <c r="AG50" s="7846" t="s">
        <v>5399</v>
      </c>
      <c r="AH50" s="7852" t="s">
        <v>5400</v>
      </c>
      <c r="AI50" s="7846" t="s">
        <v>5401</v>
      </c>
      <c r="AJ50" s="7852" t="s">
        <v>5402</v>
      </c>
      <c r="AK50" s="7846" t="s">
        <v>5403</v>
      </c>
      <c r="AL50" s="7852" t="s">
        <v>5404</v>
      </c>
      <c r="AM50" s="7875" t="s">
        <v>5405</v>
      </c>
      <c r="AN50" s="7846" t="s">
        <v>5406</v>
      </c>
      <c r="AO50" s="7846" t="s">
        <v>5407</v>
      </c>
      <c r="AP50" s="7846" t="s">
        <v>5408</v>
      </c>
      <c r="AQ50" s="7846" t="s">
        <v>5409</v>
      </c>
      <c r="AR50" s="7846" t="s">
        <v>5410</v>
      </c>
      <c r="AS50" s="7846" t="s">
        <v>5411</v>
      </c>
      <c r="AT50" s="7846" t="s">
        <v>5412</v>
      </c>
      <c r="AU50" s="7846" t="s">
        <v>5413</v>
      </c>
      <c r="AV50" s="7846" t="s">
        <v>5414</v>
      </c>
      <c r="AW50" s="7846" t="s">
        <v>5415</v>
      </c>
      <c r="AX50" s="7846" t="s">
        <v>5416</v>
      </c>
      <c r="AY50" s="2384" t="str">
        <f t="shared" si="7"/>
        <v/>
      </c>
      <c r="CB50" s="2384" t="str">
        <f t="shared" si="6"/>
        <v/>
      </c>
      <c r="CK50" s="2384">
        <f t="shared" si="8"/>
        <v>0</v>
      </c>
    </row>
    <row r="51" spans="1:90" ht="14.1" customHeight="1" x14ac:dyDescent="0.3">
      <c r="A51" s="7320">
        <v>32101625</v>
      </c>
      <c r="B51" s="7877" t="s">
        <v>3940</v>
      </c>
      <c r="C51" s="7874" t="s">
        <v>5369</v>
      </c>
      <c r="D51" s="7851" t="s">
        <v>5370</v>
      </c>
      <c r="E51" s="7843" t="s">
        <v>5371</v>
      </c>
      <c r="F51" s="7852" t="s">
        <v>5372</v>
      </c>
      <c r="G51" s="7846" t="s">
        <v>5373</v>
      </c>
      <c r="H51" s="7852" t="s">
        <v>5374</v>
      </c>
      <c r="I51" s="7846" t="s">
        <v>5375</v>
      </c>
      <c r="J51" s="7852" t="s">
        <v>5376</v>
      </c>
      <c r="K51" s="7846" t="s">
        <v>5377</v>
      </c>
      <c r="L51" s="7852" t="s">
        <v>5378</v>
      </c>
      <c r="M51" s="7846" t="s">
        <v>5379</v>
      </c>
      <c r="N51" s="7852" t="s">
        <v>5380</v>
      </c>
      <c r="O51" s="7846" t="s">
        <v>5381</v>
      </c>
      <c r="P51" s="7852" t="s">
        <v>5382</v>
      </c>
      <c r="Q51" s="7846" t="s">
        <v>5383</v>
      </c>
      <c r="R51" s="7852" t="s">
        <v>5384</v>
      </c>
      <c r="S51" s="7846" t="s">
        <v>5385</v>
      </c>
      <c r="T51" s="7852" t="s">
        <v>5386</v>
      </c>
      <c r="U51" s="7846" t="s">
        <v>5387</v>
      </c>
      <c r="V51" s="7852" t="s">
        <v>5388</v>
      </c>
      <c r="W51" s="7846" t="s">
        <v>5389</v>
      </c>
      <c r="X51" s="7852" t="s">
        <v>5390</v>
      </c>
      <c r="Y51" s="7846" t="s">
        <v>5391</v>
      </c>
      <c r="Z51" s="7852" t="s">
        <v>5392</v>
      </c>
      <c r="AA51" s="7846" t="s">
        <v>5393</v>
      </c>
      <c r="AB51" s="7852" t="s">
        <v>5394</v>
      </c>
      <c r="AC51" s="7846" t="s">
        <v>5395</v>
      </c>
      <c r="AD51" s="7852" t="s">
        <v>5396</v>
      </c>
      <c r="AE51" s="7846" t="s">
        <v>5397</v>
      </c>
      <c r="AF51" s="7852" t="s">
        <v>5398</v>
      </c>
      <c r="AG51" s="7846" t="s">
        <v>5399</v>
      </c>
      <c r="AH51" s="7852" t="s">
        <v>5400</v>
      </c>
      <c r="AI51" s="7846" t="s">
        <v>5401</v>
      </c>
      <c r="AJ51" s="7852" t="s">
        <v>5402</v>
      </c>
      <c r="AK51" s="7846" t="s">
        <v>5403</v>
      </c>
      <c r="AL51" s="7852" t="s">
        <v>5404</v>
      </c>
      <c r="AM51" s="7875" t="s">
        <v>5405</v>
      </c>
      <c r="AN51" s="7846" t="s">
        <v>5406</v>
      </c>
      <c r="AO51" s="7846" t="s">
        <v>5407</v>
      </c>
      <c r="AP51" s="7846" t="s">
        <v>5408</v>
      </c>
      <c r="AQ51" s="7846" t="s">
        <v>5409</v>
      </c>
      <c r="AR51" s="7846" t="s">
        <v>5410</v>
      </c>
      <c r="AS51" s="7846" t="s">
        <v>5411</v>
      </c>
      <c r="AT51" s="7846" t="s">
        <v>5412</v>
      </c>
      <c r="AU51" s="7846" t="s">
        <v>5413</v>
      </c>
      <c r="AV51" s="7846" t="s">
        <v>5414</v>
      </c>
      <c r="AW51" s="7846" t="s">
        <v>5415</v>
      </c>
      <c r="AX51" s="7846" t="s">
        <v>5416</v>
      </c>
      <c r="AY51" s="2384" t="str">
        <f t="shared" si="7"/>
        <v/>
      </c>
      <c r="CB51" s="2384" t="str">
        <f t="shared" si="6"/>
        <v/>
      </c>
      <c r="CK51" s="2384">
        <f t="shared" si="8"/>
        <v>0</v>
      </c>
    </row>
    <row r="52" spans="1:90" ht="14.1" customHeight="1" x14ac:dyDescent="0.3">
      <c r="A52" s="7320">
        <v>32101626</v>
      </c>
      <c r="B52" s="7877" t="s">
        <v>3941</v>
      </c>
      <c r="C52" s="7874" t="s">
        <v>5369</v>
      </c>
      <c r="D52" s="7851" t="s">
        <v>5370</v>
      </c>
      <c r="E52" s="7843" t="s">
        <v>5371</v>
      </c>
      <c r="F52" s="7852" t="s">
        <v>5372</v>
      </c>
      <c r="G52" s="7846" t="s">
        <v>5373</v>
      </c>
      <c r="H52" s="7852" t="s">
        <v>5374</v>
      </c>
      <c r="I52" s="7846" t="s">
        <v>5375</v>
      </c>
      <c r="J52" s="7852" t="s">
        <v>5376</v>
      </c>
      <c r="K52" s="7846" t="s">
        <v>5377</v>
      </c>
      <c r="L52" s="7852" t="s">
        <v>5378</v>
      </c>
      <c r="M52" s="7846" t="s">
        <v>5379</v>
      </c>
      <c r="N52" s="7852" t="s">
        <v>5380</v>
      </c>
      <c r="O52" s="7846" t="s">
        <v>5381</v>
      </c>
      <c r="P52" s="7852" t="s">
        <v>5382</v>
      </c>
      <c r="Q52" s="7846" t="s">
        <v>5383</v>
      </c>
      <c r="R52" s="7852" t="s">
        <v>5384</v>
      </c>
      <c r="S52" s="7846" t="s">
        <v>5385</v>
      </c>
      <c r="T52" s="7852" t="s">
        <v>5386</v>
      </c>
      <c r="U52" s="7846" t="s">
        <v>5387</v>
      </c>
      <c r="V52" s="7852" t="s">
        <v>5388</v>
      </c>
      <c r="W52" s="7846" t="s">
        <v>5389</v>
      </c>
      <c r="X52" s="7852" t="s">
        <v>5390</v>
      </c>
      <c r="Y52" s="7846" t="s">
        <v>5391</v>
      </c>
      <c r="Z52" s="7852" t="s">
        <v>5392</v>
      </c>
      <c r="AA52" s="7846" t="s">
        <v>5393</v>
      </c>
      <c r="AB52" s="7852" t="s">
        <v>5394</v>
      </c>
      <c r="AC52" s="7846" t="s">
        <v>5395</v>
      </c>
      <c r="AD52" s="7852" t="s">
        <v>5396</v>
      </c>
      <c r="AE52" s="7846" t="s">
        <v>5397</v>
      </c>
      <c r="AF52" s="7852" t="s">
        <v>5398</v>
      </c>
      <c r="AG52" s="7846" t="s">
        <v>5399</v>
      </c>
      <c r="AH52" s="7852" t="s">
        <v>5400</v>
      </c>
      <c r="AI52" s="7846" t="s">
        <v>5401</v>
      </c>
      <c r="AJ52" s="7852" t="s">
        <v>5402</v>
      </c>
      <c r="AK52" s="7846" t="s">
        <v>5403</v>
      </c>
      <c r="AL52" s="7852" t="s">
        <v>5404</v>
      </c>
      <c r="AM52" s="7875" t="s">
        <v>5405</v>
      </c>
      <c r="AN52" s="7846" t="s">
        <v>5406</v>
      </c>
      <c r="AO52" s="7846" t="s">
        <v>5407</v>
      </c>
      <c r="AP52" s="7846" t="s">
        <v>5408</v>
      </c>
      <c r="AQ52" s="7846" t="s">
        <v>5409</v>
      </c>
      <c r="AR52" s="7846" t="s">
        <v>5410</v>
      </c>
      <c r="AS52" s="7846" t="s">
        <v>5411</v>
      </c>
      <c r="AT52" s="7846" t="s">
        <v>5412</v>
      </c>
      <c r="AU52" s="7846" t="s">
        <v>5413</v>
      </c>
      <c r="AV52" s="7846" t="s">
        <v>5414</v>
      </c>
      <c r="AW52" s="7846" t="s">
        <v>5415</v>
      </c>
      <c r="AX52" s="7846" t="s">
        <v>5416</v>
      </c>
      <c r="AY52" s="2384" t="str">
        <f t="shared" si="7"/>
        <v/>
      </c>
      <c r="CB52" s="2384" t="str">
        <f t="shared" si="6"/>
        <v/>
      </c>
      <c r="CK52" s="2384">
        <f t="shared" si="8"/>
        <v>0</v>
      </c>
    </row>
    <row r="53" spans="1:90" ht="14.1" customHeight="1" x14ac:dyDescent="0.3">
      <c r="A53" s="7320">
        <v>32101627</v>
      </c>
      <c r="B53" s="7877" t="s">
        <v>3942</v>
      </c>
      <c r="C53" s="7874" t="s">
        <v>5369</v>
      </c>
      <c r="D53" s="7851" t="s">
        <v>5370</v>
      </c>
      <c r="E53" s="7843" t="s">
        <v>5371</v>
      </c>
      <c r="F53" s="7852" t="s">
        <v>5372</v>
      </c>
      <c r="G53" s="7846" t="s">
        <v>5373</v>
      </c>
      <c r="H53" s="7852" t="s">
        <v>5374</v>
      </c>
      <c r="I53" s="7846" t="s">
        <v>5375</v>
      </c>
      <c r="J53" s="7852" t="s">
        <v>5376</v>
      </c>
      <c r="K53" s="7846" t="s">
        <v>5377</v>
      </c>
      <c r="L53" s="7852" t="s">
        <v>5378</v>
      </c>
      <c r="M53" s="7846" t="s">
        <v>5379</v>
      </c>
      <c r="N53" s="7852" t="s">
        <v>5380</v>
      </c>
      <c r="O53" s="7846" t="s">
        <v>5381</v>
      </c>
      <c r="P53" s="7852" t="s">
        <v>5382</v>
      </c>
      <c r="Q53" s="7846" t="s">
        <v>5383</v>
      </c>
      <c r="R53" s="7852" t="s">
        <v>5384</v>
      </c>
      <c r="S53" s="7846" t="s">
        <v>5385</v>
      </c>
      <c r="T53" s="7852" t="s">
        <v>5386</v>
      </c>
      <c r="U53" s="7846" t="s">
        <v>5387</v>
      </c>
      <c r="V53" s="7852" t="s">
        <v>5388</v>
      </c>
      <c r="W53" s="7846" t="s">
        <v>5389</v>
      </c>
      <c r="X53" s="7852" t="s">
        <v>5390</v>
      </c>
      <c r="Y53" s="7846" t="s">
        <v>5391</v>
      </c>
      <c r="Z53" s="7852" t="s">
        <v>5392</v>
      </c>
      <c r="AA53" s="7846" t="s">
        <v>5393</v>
      </c>
      <c r="AB53" s="7852" t="s">
        <v>5394</v>
      </c>
      <c r="AC53" s="7846" t="s">
        <v>5395</v>
      </c>
      <c r="AD53" s="7852" t="s">
        <v>5396</v>
      </c>
      <c r="AE53" s="7846" t="s">
        <v>5397</v>
      </c>
      <c r="AF53" s="7852" t="s">
        <v>5398</v>
      </c>
      <c r="AG53" s="7846" t="s">
        <v>5399</v>
      </c>
      <c r="AH53" s="7852" t="s">
        <v>5400</v>
      </c>
      <c r="AI53" s="7846" t="s">
        <v>5401</v>
      </c>
      <c r="AJ53" s="7852" t="s">
        <v>5402</v>
      </c>
      <c r="AK53" s="7846" t="s">
        <v>5403</v>
      </c>
      <c r="AL53" s="7852" t="s">
        <v>5404</v>
      </c>
      <c r="AM53" s="7875" t="s">
        <v>5405</v>
      </c>
      <c r="AN53" s="7846" t="s">
        <v>5406</v>
      </c>
      <c r="AO53" s="7846" t="s">
        <v>5407</v>
      </c>
      <c r="AP53" s="7846" t="s">
        <v>5408</v>
      </c>
      <c r="AQ53" s="7846" t="s">
        <v>5409</v>
      </c>
      <c r="AR53" s="7846" t="s">
        <v>5410</v>
      </c>
      <c r="AS53" s="7846" t="s">
        <v>5411</v>
      </c>
      <c r="AT53" s="7846" t="s">
        <v>5412</v>
      </c>
      <c r="AU53" s="7846" t="s">
        <v>5413</v>
      </c>
      <c r="AV53" s="7846" t="s">
        <v>5414</v>
      </c>
      <c r="AW53" s="7846" t="s">
        <v>5415</v>
      </c>
      <c r="AX53" s="7846" t="s">
        <v>5416</v>
      </c>
      <c r="AY53" s="2384" t="str">
        <f t="shared" si="7"/>
        <v/>
      </c>
      <c r="CB53" s="2384" t="str">
        <f t="shared" si="6"/>
        <v/>
      </c>
      <c r="CK53" s="2384">
        <f t="shared" si="8"/>
        <v>0</v>
      </c>
    </row>
    <row r="54" spans="1:90" ht="14.1" customHeight="1" x14ac:dyDescent="0.3">
      <c r="A54" s="7320">
        <v>32101628</v>
      </c>
      <c r="B54" s="7877" t="s">
        <v>3943</v>
      </c>
      <c r="C54" s="7874" t="s">
        <v>5369</v>
      </c>
      <c r="D54" s="7851" t="s">
        <v>5370</v>
      </c>
      <c r="E54" s="7843" t="s">
        <v>5371</v>
      </c>
      <c r="F54" s="7852" t="s">
        <v>5372</v>
      </c>
      <c r="G54" s="7846" t="s">
        <v>5373</v>
      </c>
      <c r="H54" s="7852" t="s">
        <v>5374</v>
      </c>
      <c r="I54" s="7846" t="s">
        <v>5375</v>
      </c>
      <c r="J54" s="7852" t="s">
        <v>5376</v>
      </c>
      <c r="K54" s="7846" t="s">
        <v>5377</v>
      </c>
      <c r="L54" s="7852" t="s">
        <v>5378</v>
      </c>
      <c r="M54" s="7846" t="s">
        <v>5379</v>
      </c>
      <c r="N54" s="7852" t="s">
        <v>5380</v>
      </c>
      <c r="O54" s="7846" t="s">
        <v>5381</v>
      </c>
      <c r="P54" s="7852" t="s">
        <v>5382</v>
      </c>
      <c r="Q54" s="7846" t="s">
        <v>5383</v>
      </c>
      <c r="R54" s="7852" t="s">
        <v>5384</v>
      </c>
      <c r="S54" s="7846" t="s">
        <v>5385</v>
      </c>
      <c r="T54" s="7852" t="s">
        <v>5386</v>
      </c>
      <c r="U54" s="7846" t="s">
        <v>5387</v>
      </c>
      <c r="V54" s="7852" t="s">
        <v>5388</v>
      </c>
      <c r="W54" s="7846" t="s">
        <v>5389</v>
      </c>
      <c r="X54" s="7852" t="s">
        <v>5390</v>
      </c>
      <c r="Y54" s="7846" t="s">
        <v>5391</v>
      </c>
      <c r="Z54" s="7852" t="s">
        <v>5392</v>
      </c>
      <c r="AA54" s="7846" t="s">
        <v>5393</v>
      </c>
      <c r="AB54" s="7852" t="s">
        <v>5394</v>
      </c>
      <c r="AC54" s="7846" t="s">
        <v>5395</v>
      </c>
      <c r="AD54" s="7852" t="s">
        <v>5396</v>
      </c>
      <c r="AE54" s="7846" t="s">
        <v>5397</v>
      </c>
      <c r="AF54" s="7852" t="s">
        <v>5398</v>
      </c>
      <c r="AG54" s="7846" t="s">
        <v>5399</v>
      </c>
      <c r="AH54" s="7852" t="s">
        <v>5400</v>
      </c>
      <c r="AI54" s="7846" t="s">
        <v>5401</v>
      </c>
      <c r="AJ54" s="7852" t="s">
        <v>5402</v>
      </c>
      <c r="AK54" s="7846" t="s">
        <v>5403</v>
      </c>
      <c r="AL54" s="7852" t="s">
        <v>5404</v>
      </c>
      <c r="AM54" s="7875" t="s">
        <v>5405</v>
      </c>
      <c r="AN54" s="7846" t="s">
        <v>5406</v>
      </c>
      <c r="AO54" s="7846" t="s">
        <v>5407</v>
      </c>
      <c r="AP54" s="7846" t="s">
        <v>5408</v>
      </c>
      <c r="AQ54" s="7846" t="s">
        <v>5409</v>
      </c>
      <c r="AR54" s="7846" t="s">
        <v>5410</v>
      </c>
      <c r="AS54" s="7846" t="s">
        <v>5411</v>
      </c>
      <c r="AT54" s="7846" t="s">
        <v>5412</v>
      </c>
      <c r="AU54" s="7846" t="s">
        <v>5413</v>
      </c>
      <c r="AV54" s="7846" t="s">
        <v>5414</v>
      </c>
      <c r="AW54" s="7846" t="s">
        <v>5415</v>
      </c>
      <c r="AX54" s="7846" t="s">
        <v>5416</v>
      </c>
      <c r="AY54" s="2384" t="str">
        <f t="shared" si="7"/>
        <v/>
      </c>
      <c r="CB54" s="2384" t="str">
        <f t="shared" si="6"/>
        <v/>
      </c>
      <c r="CK54" s="2384">
        <f t="shared" si="8"/>
        <v>0</v>
      </c>
    </row>
    <row r="55" spans="1:90" ht="14.1" customHeight="1" x14ac:dyDescent="0.3">
      <c r="A55" s="7320">
        <v>32101629</v>
      </c>
      <c r="B55" s="7877" t="s">
        <v>3944</v>
      </c>
      <c r="C55" s="7874" t="s">
        <v>5369</v>
      </c>
      <c r="D55" s="7851" t="s">
        <v>5370</v>
      </c>
      <c r="E55" s="7843" t="s">
        <v>5371</v>
      </c>
      <c r="F55" s="7852" t="s">
        <v>5372</v>
      </c>
      <c r="G55" s="7846" t="s">
        <v>5373</v>
      </c>
      <c r="H55" s="7852" t="s">
        <v>5374</v>
      </c>
      <c r="I55" s="7846" t="s">
        <v>5375</v>
      </c>
      <c r="J55" s="7852" t="s">
        <v>5376</v>
      </c>
      <c r="K55" s="7846" t="s">
        <v>5377</v>
      </c>
      <c r="L55" s="7852" t="s">
        <v>5378</v>
      </c>
      <c r="M55" s="7846" t="s">
        <v>5379</v>
      </c>
      <c r="N55" s="7852" t="s">
        <v>5380</v>
      </c>
      <c r="O55" s="7846" t="s">
        <v>5381</v>
      </c>
      <c r="P55" s="7852" t="s">
        <v>5382</v>
      </c>
      <c r="Q55" s="7846" t="s">
        <v>5383</v>
      </c>
      <c r="R55" s="7852" t="s">
        <v>5384</v>
      </c>
      <c r="S55" s="7846" t="s">
        <v>5385</v>
      </c>
      <c r="T55" s="7852" t="s">
        <v>5386</v>
      </c>
      <c r="U55" s="7846" t="s">
        <v>5387</v>
      </c>
      <c r="V55" s="7852" t="s">
        <v>5388</v>
      </c>
      <c r="W55" s="7846" t="s">
        <v>5389</v>
      </c>
      <c r="X55" s="7852" t="s">
        <v>5390</v>
      </c>
      <c r="Y55" s="7846" t="s">
        <v>5391</v>
      </c>
      <c r="Z55" s="7852" t="s">
        <v>5392</v>
      </c>
      <c r="AA55" s="7846" t="s">
        <v>5393</v>
      </c>
      <c r="AB55" s="7852" t="s">
        <v>5394</v>
      </c>
      <c r="AC55" s="7846" t="s">
        <v>5395</v>
      </c>
      <c r="AD55" s="7852" t="s">
        <v>5396</v>
      </c>
      <c r="AE55" s="7846" t="s">
        <v>5397</v>
      </c>
      <c r="AF55" s="7852" t="s">
        <v>5398</v>
      </c>
      <c r="AG55" s="7846" t="s">
        <v>5399</v>
      </c>
      <c r="AH55" s="7852" t="s">
        <v>5400</v>
      </c>
      <c r="AI55" s="7846" t="s">
        <v>5401</v>
      </c>
      <c r="AJ55" s="7852" t="s">
        <v>5402</v>
      </c>
      <c r="AK55" s="7846" t="s">
        <v>5403</v>
      </c>
      <c r="AL55" s="7852" t="s">
        <v>5404</v>
      </c>
      <c r="AM55" s="7875" t="s">
        <v>5405</v>
      </c>
      <c r="AN55" s="7846" t="s">
        <v>5406</v>
      </c>
      <c r="AO55" s="7846" t="s">
        <v>5407</v>
      </c>
      <c r="AP55" s="7846" t="s">
        <v>5408</v>
      </c>
      <c r="AQ55" s="7846" t="s">
        <v>5409</v>
      </c>
      <c r="AR55" s="7846" t="s">
        <v>5410</v>
      </c>
      <c r="AS55" s="7846" t="s">
        <v>5411</v>
      </c>
      <c r="AT55" s="7846" t="s">
        <v>5412</v>
      </c>
      <c r="AU55" s="7846" t="s">
        <v>5413</v>
      </c>
      <c r="AV55" s="7846" t="s">
        <v>5414</v>
      </c>
      <c r="AW55" s="7846" t="s">
        <v>5415</v>
      </c>
      <c r="AX55" s="7846" t="s">
        <v>5416</v>
      </c>
      <c r="AY55" s="2384" t="str">
        <f t="shared" si="7"/>
        <v/>
      </c>
      <c r="CB55" s="2384" t="str">
        <f t="shared" si="6"/>
        <v/>
      </c>
      <c r="CK55" s="2384">
        <f t="shared" si="8"/>
        <v>0</v>
      </c>
    </row>
    <row r="56" spans="1:90" ht="14.1" customHeight="1" x14ac:dyDescent="0.3">
      <c r="A56" s="7320">
        <v>32101630</v>
      </c>
      <c r="B56" s="7877" t="s">
        <v>3945</v>
      </c>
      <c r="C56" s="7874" t="s">
        <v>5369</v>
      </c>
      <c r="D56" s="7851" t="s">
        <v>5370</v>
      </c>
      <c r="E56" s="7843" t="s">
        <v>5371</v>
      </c>
      <c r="F56" s="7852" t="s">
        <v>5372</v>
      </c>
      <c r="G56" s="7846" t="s">
        <v>5373</v>
      </c>
      <c r="H56" s="7852" t="s">
        <v>5374</v>
      </c>
      <c r="I56" s="7846" t="s">
        <v>5375</v>
      </c>
      <c r="J56" s="7852" t="s">
        <v>5376</v>
      </c>
      <c r="K56" s="7846" t="s">
        <v>5377</v>
      </c>
      <c r="L56" s="7852" t="s">
        <v>5378</v>
      </c>
      <c r="M56" s="7846" t="s">
        <v>5379</v>
      </c>
      <c r="N56" s="7852" t="s">
        <v>5380</v>
      </c>
      <c r="O56" s="7846" t="s">
        <v>5381</v>
      </c>
      <c r="P56" s="7852" t="s">
        <v>5382</v>
      </c>
      <c r="Q56" s="7846" t="s">
        <v>5383</v>
      </c>
      <c r="R56" s="7852" t="s">
        <v>5384</v>
      </c>
      <c r="S56" s="7846" t="s">
        <v>5385</v>
      </c>
      <c r="T56" s="7852" t="s">
        <v>5386</v>
      </c>
      <c r="U56" s="7846" t="s">
        <v>5387</v>
      </c>
      <c r="V56" s="7852" t="s">
        <v>5388</v>
      </c>
      <c r="W56" s="7846" t="s">
        <v>5389</v>
      </c>
      <c r="X56" s="7852" t="s">
        <v>5390</v>
      </c>
      <c r="Y56" s="7846" t="s">
        <v>5391</v>
      </c>
      <c r="Z56" s="7852" t="s">
        <v>5392</v>
      </c>
      <c r="AA56" s="7846" t="s">
        <v>5393</v>
      </c>
      <c r="AB56" s="7852" t="s">
        <v>5394</v>
      </c>
      <c r="AC56" s="7846" t="s">
        <v>5395</v>
      </c>
      <c r="AD56" s="7852" t="s">
        <v>5396</v>
      </c>
      <c r="AE56" s="7846" t="s">
        <v>5397</v>
      </c>
      <c r="AF56" s="7852" t="s">
        <v>5398</v>
      </c>
      <c r="AG56" s="7846" t="s">
        <v>5399</v>
      </c>
      <c r="AH56" s="7852" t="s">
        <v>5400</v>
      </c>
      <c r="AI56" s="7846" t="s">
        <v>5401</v>
      </c>
      <c r="AJ56" s="7852" t="s">
        <v>5402</v>
      </c>
      <c r="AK56" s="7846" t="s">
        <v>5403</v>
      </c>
      <c r="AL56" s="7852" t="s">
        <v>5404</v>
      </c>
      <c r="AM56" s="7875" t="s">
        <v>5405</v>
      </c>
      <c r="AN56" s="7846" t="s">
        <v>5406</v>
      </c>
      <c r="AO56" s="7846" t="s">
        <v>5407</v>
      </c>
      <c r="AP56" s="7846" t="s">
        <v>5408</v>
      </c>
      <c r="AQ56" s="7846" t="s">
        <v>5409</v>
      </c>
      <c r="AR56" s="7846" t="s">
        <v>5410</v>
      </c>
      <c r="AS56" s="7846" t="s">
        <v>5411</v>
      </c>
      <c r="AT56" s="7846" t="s">
        <v>5412</v>
      </c>
      <c r="AU56" s="7846" t="s">
        <v>5413</v>
      </c>
      <c r="AV56" s="7846" t="s">
        <v>5414</v>
      </c>
      <c r="AW56" s="7846" t="s">
        <v>5415</v>
      </c>
      <c r="AX56" s="7846" t="s">
        <v>5416</v>
      </c>
      <c r="AY56" s="2384" t="str">
        <f t="shared" si="7"/>
        <v/>
      </c>
      <c r="CB56" s="2384" t="str">
        <f t="shared" si="6"/>
        <v/>
      </c>
      <c r="CK56" s="2384">
        <f t="shared" si="8"/>
        <v>0</v>
      </c>
    </row>
    <row r="57" spans="1:90" ht="14.1" customHeight="1" x14ac:dyDescent="0.3">
      <c r="A57" s="7320">
        <v>32101631</v>
      </c>
      <c r="B57" s="7878" t="s">
        <v>3946</v>
      </c>
      <c r="C57" s="7879" t="s">
        <v>5369</v>
      </c>
      <c r="D57" s="7880" t="s">
        <v>5370</v>
      </c>
      <c r="E57" s="7881" t="s">
        <v>5371</v>
      </c>
      <c r="F57" s="7882" t="s">
        <v>5372</v>
      </c>
      <c r="G57" s="7883" t="s">
        <v>5373</v>
      </c>
      <c r="H57" s="7882" t="s">
        <v>5374</v>
      </c>
      <c r="I57" s="7883" t="s">
        <v>5375</v>
      </c>
      <c r="J57" s="7882" t="s">
        <v>5376</v>
      </c>
      <c r="K57" s="7883" t="s">
        <v>5377</v>
      </c>
      <c r="L57" s="7882" t="s">
        <v>5378</v>
      </c>
      <c r="M57" s="7883" t="s">
        <v>5379</v>
      </c>
      <c r="N57" s="7882" t="s">
        <v>5380</v>
      </c>
      <c r="O57" s="7883" t="s">
        <v>5381</v>
      </c>
      <c r="P57" s="7882" t="s">
        <v>5382</v>
      </c>
      <c r="Q57" s="7883" t="s">
        <v>5383</v>
      </c>
      <c r="R57" s="7882" t="s">
        <v>5384</v>
      </c>
      <c r="S57" s="7883" t="s">
        <v>5385</v>
      </c>
      <c r="T57" s="7882" t="s">
        <v>5386</v>
      </c>
      <c r="U57" s="7883" t="s">
        <v>5387</v>
      </c>
      <c r="V57" s="7882" t="s">
        <v>5388</v>
      </c>
      <c r="W57" s="7883" t="s">
        <v>5389</v>
      </c>
      <c r="X57" s="7882" t="s">
        <v>5390</v>
      </c>
      <c r="Y57" s="7883" t="s">
        <v>5391</v>
      </c>
      <c r="Z57" s="7882" t="s">
        <v>5392</v>
      </c>
      <c r="AA57" s="7883" t="s">
        <v>5393</v>
      </c>
      <c r="AB57" s="7882" t="s">
        <v>5394</v>
      </c>
      <c r="AC57" s="7883" t="s">
        <v>5395</v>
      </c>
      <c r="AD57" s="7882" t="s">
        <v>5396</v>
      </c>
      <c r="AE57" s="7883" t="s">
        <v>5397</v>
      </c>
      <c r="AF57" s="7882" t="s">
        <v>5398</v>
      </c>
      <c r="AG57" s="7883" t="s">
        <v>5399</v>
      </c>
      <c r="AH57" s="7882" t="s">
        <v>5400</v>
      </c>
      <c r="AI57" s="7883" t="s">
        <v>5401</v>
      </c>
      <c r="AJ57" s="7882" t="s">
        <v>5402</v>
      </c>
      <c r="AK57" s="7883" t="s">
        <v>5403</v>
      </c>
      <c r="AL57" s="7882" t="s">
        <v>5404</v>
      </c>
      <c r="AM57" s="7884" t="s">
        <v>5405</v>
      </c>
      <c r="AN57" s="7883" t="s">
        <v>5406</v>
      </c>
      <c r="AO57" s="7885" t="s">
        <v>5407</v>
      </c>
      <c r="AP57" s="7883" t="s">
        <v>5408</v>
      </c>
      <c r="AQ57" s="7885" t="s">
        <v>5409</v>
      </c>
      <c r="AR57" s="7883" t="s">
        <v>5410</v>
      </c>
      <c r="AS57" s="7885" t="s">
        <v>5411</v>
      </c>
      <c r="AT57" s="7883" t="s">
        <v>5412</v>
      </c>
      <c r="AU57" s="7885" t="s">
        <v>5413</v>
      </c>
      <c r="AV57" s="7883" t="s">
        <v>5414</v>
      </c>
      <c r="AW57" s="7885" t="s">
        <v>5415</v>
      </c>
      <c r="AX57" s="7883" t="s">
        <v>5416</v>
      </c>
      <c r="AY57" s="2384" t="str">
        <f t="shared" si="7"/>
        <v/>
      </c>
      <c r="CB57" s="2384" t="str">
        <f t="shared" si="6"/>
        <v/>
      </c>
      <c r="CK57" s="2384">
        <f t="shared" si="8"/>
        <v>0</v>
      </c>
    </row>
    <row r="58" spans="1:90" ht="19.95" customHeight="1" x14ac:dyDescent="0.3">
      <c r="B58" s="7831" t="s">
        <v>3089</v>
      </c>
      <c r="C58" s="7886"/>
      <c r="D58" s="7886"/>
      <c r="E58" s="7886"/>
      <c r="F58" s="7886"/>
      <c r="G58" s="7886"/>
      <c r="H58" s="7886"/>
      <c r="I58" s="7886"/>
      <c r="J58" s="7886"/>
      <c r="K58" s="7886"/>
    </row>
    <row r="59" spans="1:90" ht="21" customHeight="1" x14ac:dyDescent="0.3">
      <c r="B59" s="7831" t="s">
        <v>3090</v>
      </c>
      <c r="C59" s="7886"/>
      <c r="D59" s="7886"/>
      <c r="E59" s="7886"/>
      <c r="F59" s="7886"/>
      <c r="G59" s="7886"/>
      <c r="H59" s="7886"/>
      <c r="I59" s="7886"/>
      <c r="J59" s="7886"/>
      <c r="K59" s="7886"/>
    </row>
    <row r="60" spans="1:90" ht="15.75" customHeight="1" x14ac:dyDescent="0.3">
      <c r="B60" s="11457" t="s">
        <v>3406</v>
      </c>
      <c r="C60" s="11458"/>
      <c r="D60" s="11445" t="s">
        <v>24</v>
      </c>
      <c r="E60" s="11431"/>
      <c r="F60" s="11432"/>
      <c r="G60" s="11428" t="s">
        <v>98</v>
      </c>
      <c r="H60" s="11429"/>
      <c r="I60" s="11429"/>
      <c r="J60" s="11429"/>
      <c r="K60" s="11429"/>
      <c r="L60" s="11429"/>
      <c r="M60" s="11429"/>
      <c r="N60" s="11429"/>
      <c r="O60" s="11429"/>
      <c r="P60" s="11429"/>
      <c r="Q60" s="11429"/>
      <c r="R60" s="11429"/>
      <c r="S60" s="11429"/>
      <c r="T60" s="11429"/>
      <c r="U60" s="11429"/>
      <c r="V60" s="11429"/>
      <c r="W60" s="11429"/>
      <c r="X60" s="11429"/>
      <c r="Y60" s="11429"/>
      <c r="Z60" s="11429"/>
      <c r="AA60" s="11429"/>
      <c r="AB60" s="11429"/>
      <c r="AC60" s="11429"/>
      <c r="AD60" s="11429"/>
      <c r="AE60" s="11429"/>
      <c r="AF60" s="11429"/>
      <c r="AG60" s="11429"/>
      <c r="AH60" s="11429"/>
      <c r="AI60" s="11429"/>
      <c r="AJ60" s="11429"/>
      <c r="AK60" s="11429"/>
      <c r="AL60" s="11429"/>
      <c r="AM60" s="11429"/>
      <c r="AN60" s="11424"/>
      <c r="AO60" s="11425" t="s">
        <v>1821</v>
      </c>
      <c r="AP60" s="9303" t="s">
        <v>361</v>
      </c>
      <c r="CB60" s="10917" t="s">
        <v>1821</v>
      </c>
      <c r="CC60" s="10917" t="s">
        <v>361</v>
      </c>
      <c r="CD60" s="10917" t="s">
        <v>3949</v>
      </c>
      <c r="CK60" s="10917" t="s">
        <v>1821</v>
      </c>
      <c r="CL60" s="10917" t="s">
        <v>361</v>
      </c>
    </row>
    <row r="61" spans="1:90" ht="15.75" customHeight="1" x14ac:dyDescent="0.3">
      <c r="B61" s="11459"/>
      <c r="C61" s="11460"/>
      <c r="D61" s="11446"/>
      <c r="E61" s="11433"/>
      <c r="F61" s="11434"/>
      <c r="G61" s="11451" t="s">
        <v>1416</v>
      </c>
      <c r="H61" s="11418"/>
      <c r="I61" s="11417" t="s">
        <v>1415</v>
      </c>
      <c r="J61" s="11418"/>
      <c r="K61" s="11417" t="s">
        <v>77</v>
      </c>
      <c r="L61" s="11418"/>
      <c r="M61" s="11417" t="s">
        <v>68</v>
      </c>
      <c r="N61" s="11418"/>
      <c r="O61" s="11417" t="s">
        <v>142</v>
      </c>
      <c r="P61" s="11418"/>
      <c r="Q61" s="11417" t="s">
        <v>143</v>
      </c>
      <c r="R61" s="11418"/>
      <c r="S61" s="11417" t="s">
        <v>144</v>
      </c>
      <c r="T61" s="11418"/>
      <c r="U61" s="11417" t="s">
        <v>7</v>
      </c>
      <c r="V61" s="11418"/>
      <c r="W61" s="11417" t="s">
        <v>8</v>
      </c>
      <c r="X61" s="11418"/>
      <c r="Y61" s="11417" t="s">
        <v>145</v>
      </c>
      <c r="Z61" s="11418"/>
      <c r="AA61" s="11417" t="s">
        <v>10</v>
      </c>
      <c r="AB61" s="11418"/>
      <c r="AC61" s="11417" t="s">
        <v>11</v>
      </c>
      <c r="AD61" s="11418"/>
      <c r="AE61" s="11417" t="s">
        <v>12</v>
      </c>
      <c r="AF61" s="11418"/>
      <c r="AG61" s="11417" t="s">
        <v>13</v>
      </c>
      <c r="AH61" s="11418"/>
      <c r="AI61" s="11417" t="s">
        <v>14</v>
      </c>
      <c r="AJ61" s="11418"/>
      <c r="AK61" s="11417" t="s">
        <v>15</v>
      </c>
      <c r="AL61" s="11418"/>
      <c r="AM61" s="11423" t="s">
        <v>16</v>
      </c>
      <c r="AN61" s="11424"/>
      <c r="AO61" s="11426"/>
      <c r="AP61" s="9310"/>
      <c r="CB61" s="10917"/>
      <c r="CC61" s="10917"/>
      <c r="CD61" s="10917"/>
      <c r="CK61" s="10917"/>
      <c r="CL61" s="10917"/>
    </row>
    <row r="62" spans="1:90" ht="40.5" customHeight="1" x14ac:dyDescent="0.3">
      <c r="B62" s="11461"/>
      <c r="C62" s="11462"/>
      <c r="D62" s="7836" t="s">
        <v>42</v>
      </c>
      <c r="E62" s="7837" t="s">
        <v>17</v>
      </c>
      <c r="F62" s="7838" t="s">
        <v>18</v>
      </c>
      <c r="G62" s="7839" t="s">
        <v>17</v>
      </c>
      <c r="H62" s="7835" t="s">
        <v>18</v>
      </c>
      <c r="I62" s="7840" t="s">
        <v>17</v>
      </c>
      <c r="J62" s="7835" t="s">
        <v>18</v>
      </c>
      <c r="K62" s="7840" t="s">
        <v>17</v>
      </c>
      <c r="L62" s="7835" t="s">
        <v>18</v>
      </c>
      <c r="M62" s="7840" t="s">
        <v>17</v>
      </c>
      <c r="N62" s="7835" t="s">
        <v>18</v>
      </c>
      <c r="O62" s="7840" t="s">
        <v>17</v>
      </c>
      <c r="P62" s="7835" t="s">
        <v>18</v>
      </c>
      <c r="Q62" s="7840" t="s">
        <v>17</v>
      </c>
      <c r="R62" s="7835" t="s">
        <v>18</v>
      </c>
      <c r="S62" s="7840" t="s">
        <v>17</v>
      </c>
      <c r="T62" s="7835" t="s">
        <v>18</v>
      </c>
      <c r="U62" s="7840" t="s">
        <v>17</v>
      </c>
      <c r="V62" s="7835" t="s">
        <v>18</v>
      </c>
      <c r="W62" s="7840" t="s">
        <v>17</v>
      </c>
      <c r="X62" s="7835" t="s">
        <v>18</v>
      </c>
      <c r="Y62" s="7840" t="s">
        <v>17</v>
      </c>
      <c r="Z62" s="7835" t="s">
        <v>18</v>
      </c>
      <c r="AA62" s="7840" t="s">
        <v>17</v>
      </c>
      <c r="AB62" s="7835" t="s">
        <v>18</v>
      </c>
      <c r="AC62" s="7840" t="s">
        <v>17</v>
      </c>
      <c r="AD62" s="7835" t="s">
        <v>18</v>
      </c>
      <c r="AE62" s="7840" t="s">
        <v>17</v>
      </c>
      <c r="AF62" s="7835" t="s">
        <v>18</v>
      </c>
      <c r="AG62" s="7840" t="s">
        <v>17</v>
      </c>
      <c r="AH62" s="7835" t="s">
        <v>18</v>
      </c>
      <c r="AI62" s="7840" t="s">
        <v>17</v>
      </c>
      <c r="AJ62" s="7835" t="s">
        <v>18</v>
      </c>
      <c r="AK62" s="7840" t="s">
        <v>17</v>
      </c>
      <c r="AL62" s="7835" t="s">
        <v>18</v>
      </c>
      <c r="AM62" s="7840" t="s">
        <v>17</v>
      </c>
      <c r="AN62" s="7841" t="s">
        <v>18</v>
      </c>
      <c r="AO62" s="11427"/>
      <c r="AP62" s="9306" t="s">
        <v>18</v>
      </c>
      <c r="CB62" s="10917"/>
      <c r="CC62" s="10917" t="s">
        <v>18</v>
      </c>
      <c r="CD62" s="10917" t="s">
        <v>18</v>
      </c>
      <c r="CK62" s="10917"/>
      <c r="CL62" s="10917" t="s">
        <v>18</v>
      </c>
    </row>
    <row r="63" spans="1:90" ht="15.75" customHeight="1" x14ac:dyDescent="0.3">
      <c r="A63" s="7320">
        <v>32101632</v>
      </c>
      <c r="B63" s="11441" t="s">
        <v>3060</v>
      </c>
      <c r="C63" s="7850" t="s">
        <v>3061</v>
      </c>
      <c r="D63" s="7843" t="s">
        <v>5369</v>
      </c>
      <c r="E63" s="7844" t="s">
        <v>5370</v>
      </c>
      <c r="F63" s="7843" t="s">
        <v>5371</v>
      </c>
      <c r="G63" s="7845" t="s">
        <v>5372</v>
      </c>
      <c r="H63" s="7846" t="s">
        <v>5373</v>
      </c>
      <c r="I63" s="7845" t="s">
        <v>5374</v>
      </c>
      <c r="J63" s="7846" t="s">
        <v>5375</v>
      </c>
      <c r="K63" s="7845" t="s">
        <v>5376</v>
      </c>
      <c r="L63" s="7846" t="s">
        <v>5377</v>
      </c>
      <c r="M63" s="7845" t="s">
        <v>5378</v>
      </c>
      <c r="N63" s="7846" t="s">
        <v>5379</v>
      </c>
      <c r="O63" s="7845" t="s">
        <v>5380</v>
      </c>
      <c r="P63" s="7846" t="s">
        <v>5381</v>
      </c>
      <c r="Q63" s="7845" t="s">
        <v>5382</v>
      </c>
      <c r="R63" s="7846" t="s">
        <v>5383</v>
      </c>
      <c r="S63" s="7845" t="s">
        <v>5384</v>
      </c>
      <c r="T63" s="7846" t="s">
        <v>5385</v>
      </c>
      <c r="U63" s="7845" t="s">
        <v>5386</v>
      </c>
      <c r="V63" s="7846" t="s">
        <v>5387</v>
      </c>
      <c r="W63" s="7845" t="s">
        <v>5388</v>
      </c>
      <c r="X63" s="7846" t="s">
        <v>5389</v>
      </c>
      <c r="Y63" s="7845" t="s">
        <v>5390</v>
      </c>
      <c r="Z63" s="7846" t="s">
        <v>5391</v>
      </c>
      <c r="AA63" s="7845" t="s">
        <v>5392</v>
      </c>
      <c r="AB63" s="7846" t="s">
        <v>5393</v>
      </c>
      <c r="AC63" s="7845" t="s">
        <v>5394</v>
      </c>
      <c r="AD63" s="7846" t="s">
        <v>5395</v>
      </c>
      <c r="AE63" s="7845" t="s">
        <v>5396</v>
      </c>
      <c r="AF63" s="7846" t="s">
        <v>5397</v>
      </c>
      <c r="AG63" s="7845" t="s">
        <v>5398</v>
      </c>
      <c r="AH63" s="7846" t="s">
        <v>5399</v>
      </c>
      <c r="AI63" s="7845" t="s">
        <v>5400</v>
      </c>
      <c r="AJ63" s="7846" t="s">
        <v>5401</v>
      </c>
      <c r="AK63" s="7845" t="s">
        <v>5402</v>
      </c>
      <c r="AL63" s="7846" t="s">
        <v>5403</v>
      </c>
      <c r="AM63" s="7845" t="s">
        <v>5404</v>
      </c>
      <c r="AN63" s="7848" t="s">
        <v>5405</v>
      </c>
      <c r="AO63" s="7849" t="s">
        <v>5406</v>
      </c>
      <c r="AP63" s="7846" t="s">
        <v>5407</v>
      </c>
      <c r="AQ63" s="2384" t="str">
        <f>CB63&amp;CC63&amp;CD63</f>
        <v xml:space="preserve"> * El total de registros en Pueblos Originarios no debe ser mayor al Total. * El total de registros en Migrantes no debe ser mayor al Total.</v>
      </c>
      <c r="CB63" s="2384" t="str">
        <f>IF(CK63=1," * El total de registros en Pueblos Originarios no debe ser mayor al Total.","")</f>
        <v xml:space="preserve"> * El total de registros en Pueblos Originarios no debe ser mayor al Total.</v>
      </c>
      <c r="CC63" s="2384" t="str">
        <f>IF(CL63=1," * El total de registros en Migrantes no debe ser mayor al Total.","")</f>
        <v xml:space="preserve"> * El total de registros en Migrantes no debe ser mayor al Total.</v>
      </c>
      <c r="CD63" s="2384" t="str">
        <f>IF(AND(D63&lt;&gt;0,OR(AO63="",AP63="")),"* No olvide digitar Migrantes y/o Pueblos Originarios (Digite CERO si no tiene). ","")</f>
        <v/>
      </c>
      <c r="CK63" s="2384">
        <f>IF(AO63&gt;D63,1,0)</f>
        <v>1</v>
      </c>
      <c r="CL63" s="2384">
        <f>IF(AP63&gt;D63,1,0)</f>
        <v>1</v>
      </c>
    </row>
    <row r="64" spans="1:90" ht="15.75" customHeight="1" x14ac:dyDescent="0.3">
      <c r="A64" s="7320">
        <v>32101633</v>
      </c>
      <c r="B64" s="11442"/>
      <c r="C64" s="7850" t="s">
        <v>3062</v>
      </c>
      <c r="D64" s="7843" t="s">
        <v>5369</v>
      </c>
      <c r="E64" s="7851" t="s">
        <v>5370</v>
      </c>
      <c r="F64" s="7843" t="s">
        <v>5371</v>
      </c>
      <c r="G64" s="7852" t="s">
        <v>5372</v>
      </c>
      <c r="H64" s="7846" t="s">
        <v>5373</v>
      </c>
      <c r="I64" s="7852" t="s">
        <v>5374</v>
      </c>
      <c r="J64" s="7846" t="s">
        <v>5375</v>
      </c>
      <c r="K64" s="7852" t="s">
        <v>5376</v>
      </c>
      <c r="L64" s="7846" t="s">
        <v>5377</v>
      </c>
      <c r="M64" s="7852" t="s">
        <v>5378</v>
      </c>
      <c r="N64" s="7846" t="s">
        <v>5379</v>
      </c>
      <c r="O64" s="7852" t="s">
        <v>5380</v>
      </c>
      <c r="P64" s="7846" t="s">
        <v>5381</v>
      </c>
      <c r="Q64" s="7852" t="s">
        <v>5382</v>
      </c>
      <c r="R64" s="7846" t="s">
        <v>5383</v>
      </c>
      <c r="S64" s="7852" t="s">
        <v>5384</v>
      </c>
      <c r="T64" s="7846" t="s">
        <v>5385</v>
      </c>
      <c r="U64" s="7852" t="s">
        <v>5386</v>
      </c>
      <c r="V64" s="7846" t="s">
        <v>5387</v>
      </c>
      <c r="W64" s="7852" t="s">
        <v>5388</v>
      </c>
      <c r="X64" s="7846" t="s">
        <v>5389</v>
      </c>
      <c r="Y64" s="7852" t="s">
        <v>5390</v>
      </c>
      <c r="Z64" s="7846" t="s">
        <v>5391</v>
      </c>
      <c r="AA64" s="7852" t="s">
        <v>5392</v>
      </c>
      <c r="AB64" s="7846" t="s">
        <v>5393</v>
      </c>
      <c r="AC64" s="7852" t="s">
        <v>5394</v>
      </c>
      <c r="AD64" s="7846" t="s">
        <v>5395</v>
      </c>
      <c r="AE64" s="7852" t="s">
        <v>5396</v>
      </c>
      <c r="AF64" s="7846" t="s">
        <v>5397</v>
      </c>
      <c r="AG64" s="7852" t="s">
        <v>5398</v>
      </c>
      <c r="AH64" s="7846" t="s">
        <v>5399</v>
      </c>
      <c r="AI64" s="7852" t="s">
        <v>5400</v>
      </c>
      <c r="AJ64" s="7846" t="s">
        <v>5401</v>
      </c>
      <c r="AK64" s="7852" t="s">
        <v>5402</v>
      </c>
      <c r="AL64" s="7846" t="s">
        <v>5403</v>
      </c>
      <c r="AM64" s="7852" t="s">
        <v>5404</v>
      </c>
      <c r="AN64" s="7848" t="s">
        <v>5405</v>
      </c>
      <c r="AO64" s="7849" t="s">
        <v>5406</v>
      </c>
      <c r="AP64" s="7846" t="s">
        <v>5407</v>
      </c>
      <c r="AQ64" s="2384" t="str">
        <f t="shared" ref="AQ64:AQ89" si="9">CB64&amp;CC64&amp;CD64</f>
        <v xml:space="preserve"> * El total de registros en Pueblos Originarios no debe ser mayor al Total. * El total de registros en Migrantes no debe ser mayor al Total.</v>
      </c>
      <c r="CB64" s="2384" t="str">
        <f t="shared" ref="CB64:CB89" si="10">IF(CK64=1," * El total de registros en Pueblos Originarios no debe ser mayor al Total.","")</f>
        <v xml:space="preserve"> * El total de registros en Pueblos Originarios no debe ser mayor al Total.</v>
      </c>
      <c r="CC64" s="2384" t="str">
        <f t="shared" ref="CC64:CC89" si="11">IF(CL64=1," * El total de registros en Migrantes no debe ser mayor al Total.","")</f>
        <v xml:space="preserve"> * El total de registros en Migrantes no debe ser mayor al Total.</v>
      </c>
      <c r="CD64" s="2384" t="str">
        <f t="shared" ref="CD64:CD89" si="12">IF(AND(D64&lt;&gt;0,OR(AO64="",AP64="")),"* No olvide digitar Migrantes y/o Pueblos Originarios (Digite CERO si no tiene). ","")</f>
        <v/>
      </c>
      <c r="CK64" s="2384">
        <f t="shared" ref="CK64:CK89" si="13">IF(AO64&gt;D64,1,0)</f>
        <v>1</v>
      </c>
      <c r="CL64" s="2384">
        <f t="shared" ref="CL64:CL89" si="14">IF(AP64&gt;D64,1,0)</f>
        <v>1</v>
      </c>
    </row>
    <row r="65" spans="1:90" ht="15.75" customHeight="1" x14ac:dyDescent="0.3">
      <c r="A65" s="7320">
        <v>32101634</v>
      </c>
      <c r="B65" s="11442"/>
      <c r="C65" s="7850" t="s">
        <v>3063</v>
      </c>
      <c r="D65" s="7843" t="s">
        <v>5369</v>
      </c>
      <c r="E65" s="7851" t="s">
        <v>5370</v>
      </c>
      <c r="F65" s="7843" t="s">
        <v>5371</v>
      </c>
      <c r="G65" s="7852" t="s">
        <v>5372</v>
      </c>
      <c r="H65" s="7846" t="s">
        <v>5373</v>
      </c>
      <c r="I65" s="7852" t="s">
        <v>5374</v>
      </c>
      <c r="J65" s="7846" t="s">
        <v>5375</v>
      </c>
      <c r="K65" s="7852" t="s">
        <v>5376</v>
      </c>
      <c r="L65" s="7846" t="s">
        <v>5377</v>
      </c>
      <c r="M65" s="7852" t="s">
        <v>5378</v>
      </c>
      <c r="N65" s="7846" t="s">
        <v>5379</v>
      </c>
      <c r="O65" s="7852" t="s">
        <v>5380</v>
      </c>
      <c r="P65" s="7846" t="s">
        <v>5381</v>
      </c>
      <c r="Q65" s="7852" t="s">
        <v>5382</v>
      </c>
      <c r="R65" s="7846" t="s">
        <v>5383</v>
      </c>
      <c r="S65" s="7852" t="s">
        <v>5384</v>
      </c>
      <c r="T65" s="7846" t="s">
        <v>5385</v>
      </c>
      <c r="U65" s="7852" t="s">
        <v>5386</v>
      </c>
      <c r="V65" s="7846" t="s">
        <v>5387</v>
      </c>
      <c r="W65" s="7852" t="s">
        <v>5388</v>
      </c>
      <c r="X65" s="7846" t="s">
        <v>5389</v>
      </c>
      <c r="Y65" s="7852" t="s">
        <v>5390</v>
      </c>
      <c r="Z65" s="7846" t="s">
        <v>5391</v>
      </c>
      <c r="AA65" s="7852" t="s">
        <v>5392</v>
      </c>
      <c r="AB65" s="7846" t="s">
        <v>5393</v>
      </c>
      <c r="AC65" s="7852" t="s">
        <v>5394</v>
      </c>
      <c r="AD65" s="7846" t="s">
        <v>5395</v>
      </c>
      <c r="AE65" s="7852" t="s">
        <v>5396</v>
      </c>
      <c r="AF65" s="7846" t="s">
        <v>5397</v>
      </c>
      <c r="AG65" s="7852" t="s">
        <v>5398</v>
      </c>
      <c r="AH65" s="7846" t="s">
        <v>5399</v>
      </c>
      <c r="AI65" s="7852" t="s">
        <v>5400</v>
      </c>
      <c r="AJ65" s="7846" t="s">
        <v>5401</v>
      </c>
      <c r="AK65" s="7852" t="s">
        <v>5402</v>
      </c>
      <c r="AL65" s="7846" t="s">
        <v>5403</v>
      </c>
      <c r="AM65" s="7852" t="s">
        <v>5404</v>
      </c>
      <c r="AN65" s="7848" t="s">
        <v>5405</v>
      </c>
      <c r="AO65" s="7849" t="s">
        <v>5406</v>
      </c>
      <c r="AP65" s="7846" t="s">
        <v>5407</v>
      </c>
      <c r="AQ65" s="2384" t="str">
        <f t="shared" si="9"/>
        <v xml:space="preserve"> * El total de registros en Pueblos Originarios no debe ser mayor al Total. * El total de registros en Migrantes no debe ser mayor al Total.</v>
      </c>
      <c r="CB65" s="2384" t="str">
        <f t="shared" si="10"/>
        <v xml:space="preserve"> * El total de registros en Pueblos Originarios no debe ser mayor al Total.</v>
      </c>
      <c r="CC65" s="2384" t="str">
        <f t="shared" si="11"/>
        <v xml:space="preserve"> * El total de registros en Migrantes no debe ser mayor al Total.</v>
      </c>
      <c r="CD65" s="2384" t="str">
        <f t="shared" si="12"/>
        <v/>
      </c>
      <c r="CK65" s="2384">
        <f t="shared" si="13"/>
        <v>1</v>
      </c>
      <c r="CL65" s="2384">
        <f t="shared" si="14"/>
        <v>1</v>
      </c>
    </row>
    <row r="66" spans="1:90" ht="15.75" customHeight="1" x14ac:dyDescent="0.3">
      <c r="A66" s="7320">
        <v>32101635</v>
      </c>
      <c r="B66" s="11442"/>
      <c r="C66" s="7850" t="s">
        <v>3064</v>
      </c>
      <c r="D66" s="7843" t="s">
        <v>5369</v>
      </c>
      <c r="E66" s="7851" t="s">
        <v>5370</v>
      </c>
      <c r="F66" s="7843" t="s">
        <v>5371</v>
      </c>
      <c r="G66" s="7852" t="s">
        <v>5372</v>
      </c>
      <c r="H66" s="7846" t="s">
        <v>5373</v>
      </c>
      <c r="I66" s="7852" t="s">
        <v>5374</v>
      </c>
      <c r="J66" s="7846" t="s">
        <v>5375</v>
      </c>
      <c r="K66" s="7852" t="s">
        <v>5376</v>
      </c>
      <c r="L66" s="7846" t="s">
        <v>5377</v>
      </c>
      <c r="M66" s="7852" t="s">
        <v>5378</v>
      </c>
      <c r="N66" s="7846" t="s">
        <v>5379</v>
      </c>
      <c r="O66" s="7852" t="s">
        <v>5380</v>
      </c>
      <c r="P66" s="7846" t="s">
        <v>5381</v>
      </c>
      <c r="Q66" s="7852" t="s">
        <v>5382</v>
      </c>
      <c r="R66" s="7846" t="s">
        <v>5383</v>
      </c>
      <c r="S66" s="7852" t="s">
        <v>5384</v>
      </c>
      <c r="T66" s="7846" t="s">
        <v>5385</v>
      </c>
      <c r="U66" s="7852" t="s">
        <v>5386</v>
      </c>
      <c r="V66" s="7846" t="s">
        <v>5387</v>
      </c>
      <c r="W66" s="7852" t="s">
        <v>5388</v>
      </c>
      <c r="X66" s="7846" t="s">
        <v>5389</v>
      </c>
      <c r="Y66" s="7852" t="s">
        <v>5390</v>
      </c>
      <c r="Z66" s="7846" t="s">
        <v>5391</v>
      </c>
      <c r="AA66" s="7852" t="s">
        <v>5392</v>
      </c>
      <c r="AB66" s="7846" t="s">
        <v>5393</v>
      </c>
      <c r="AC66" s="7852" t="s">
        <v>5394</v>
      </c>
      <c r="AD66" s="7846" t="s">
        <v>5395</v>
      </c>
      <c r="AE66" s="7852" t="s">
        <v>5396</v>
      </c>
      <c r="AF66" s="7846" t="s">
        <v>5397</v>
      </c>
      <c r="AG66" s="7852" t="s">
        <v>5398</v>
      </c>
      <c r="AH66" s="7846" t="s">
        <v>5399</v>
      </c>
      <c r="AI66" s="7852" t="s">
        <v>5400</v>
      </c>
      <c r="AJ66" s="7846" t="s">
        <v>5401</v>
      </c>
      <c r="AK66" s="7852" t="s">
        <v>5402</v>
      </c>
      <c r="AL66" s="7846" t="s">
        <v>5403</v>
      </c>
      <c r="AM66" s="7852" t="s">
        <v>5404</v>
      </c>
      <c r="AN66" s="7848" t="s">
        <v>5405</v>
      </c>
      <c r="AO66" s="7849" t="s">
        <v>5406</v>
      </c>
      <c r="AP66" s="7846" t="s">
        <v>5407</v>
      </c>
      <c r="AQ66" s="2384" t="str">
        <f t="shared" si="9"/>
        <v xml:space="preserve"> * El total de registros en Pueblos Originarios no debe ser mayor al Total. * El total de registros en Migrantes no debe ser mayor al Total.</v>
      </c>
      <c r="CB66" s="2384" t="str">
        <f t="shared" si="10"/>
        <v xml:space="preserve"> * El total de registros en Pueblos Originarios no debe ser mayor al Total.</v>
      </c>
      <c r="CC66" s="2384" t="str">
        <f t="shared" si="11"/>
        <v xml:space="preserve"> * El total de registros en Migrantes no debe ser mayor al Total.</v>
      </c>
      <c r="CD66" s="2384" t="str">
        <f t="shared" si="12"/>
        <v/>
      </c>
      <c r="CK66" s="2384">
        <f t="shared" si="13"/>
        <v>1</v>
      </c>
      <c r="CL66" s="2384">
        <f t="shared" si="14"/>
        <v>1</v>
      </c>
    </row>
    <row r="67" spans="1:90" ht="15.75" customHeight="1" x14ac:dyDescent="0.3">
      <c r="A67" s="7320">
        <v>32101636</v>
      </c>
      <c r="B67" s="11442"/>
      <c r="C67" s="7850" t="s">
        <v>3065</v>
      </c>
      <c r="D67" s="7843" t="s">
        <v>5369</v>
      </c>
      <c r="E67" s="7851" t="s">
        <v>5370</v>
      </c>
      <c r="F67" s="7843" t="s">
        <v>5371</v>
      </c>
      <c r="G67" s="7852" t="s">
        <v>5372</v>
      </c>
      <c r="H67" s="7846" t="s">
        <v>5373</v>
      </c>
      <c r="I67" s="7852" t="s">
        <v>5374</v>
      </c>
      <c r="J67" s="7846" t="s">
        <v>5375</v>
      </c>
      <c r="K67" s="7852" t="s">
        <v>5376</v>
      </c>
      <c r="L67" s="7846" t="s">
        <v>5377</v>
      </c>
      <c r="M67" s="7852" t="s">
        <v>5378</v>
      </c>
      <c r="N67" s="7846" t="s">
        <v>5379</v>
      </c>
      <c r="O67" s="7852" t="s">
        <v>5380</v>
      </c>
      <c r="P67" s="7846" t="s">
        <v>5381</v>
      </c>
      <c r="Q67" s="7852" t="s">
        <v>5382</v>
      </c>
      <c r="R67" s="7846" t="s">
        <v>5383</v>
      </c>
      <c r="S67" s="7852" t="s">
        <v>5384</v>
      </c>
      <c r="T67" s="7846" t="s">
        <v>5385</v>
      </c>
      <c r="U67" s="7852" t="s">
        <v>5386</v>
      </c>
      <c r="V67" s="7846" t="s">
        <v>5387</v>
      </c>
      <c r="W67" s="7852" t="s">
        <v>5388</v>
      </c>
      <c r="X67" s="7846" t="s">
        <v>5389</v>
      </c>
      <c r="Y67" s="7852" t="s">
        <v>5390</v>
      </c>
      <c r="Z67" s="7846" t="s">
        <v>5391</v>
      </c>
      <c r="AA67" s="7852" t="s">
        <v>5392</v>
      </c>
      <c r="AB67" s="7846" t="s">
        <v>5393</v>
      </c>
      <c r="AC67" s="7852" t="s">
        <v>5394</v>
      </c>
      <c r="AD67" s="7846" t="s">
        <v>5395</v>
      </c>
      <c r="AE67" s="7852" t="s">
        <v>5396</v>
      </c>
      <c r="AF67" s="7846" t="s">
        <v>5397</v>
      </c>
      <c r="AG67" s="7852" t="s">
        <v>5398</v>
      </c>
      <c r="AH67" s="7846" t="s">
        <v>5399</v>
      </c>
      <c r="AI67" s="7852" t="s">
        <v>5400</v>
      </c>
      <c r="AJ67" s="7846" t="s">
        <v>5401</v>
      </c>
      <c r="AK67" s="7852" t="s">
        <v>5402</v>
      </c>
      <c r="AL67" s="7846" t="s">
        <v>5403</v>
      </c>
      <c r="AM67" s="7852" t="s">
        <v>5404</v>
      </c>
      <c r="AN67" s="7848" t="s">
        <v>5405</v>
      </c>
      <c r="AO67" s="7849" t="s">
        <v>5406</v>
      </c>
      <c r="AP67" s="7846" t="s">
        <v>5407</v>
      </c>
      <c r="AQ67" s="2384" t="str">
        <f t="shared" si="9"/>
        <v xml:space="preserve"> * El total de registros en Pueblos Originarios no debe ser mayor al Total. * El total de registros en Migrantes no debe ser mayor al Total.</v>
      </c>
      <c r="CB67" s="2384" t="str">
        <f t="shared" si="10"/>
        <v xml:space="preserve"> * El total de registros en Pueblos Originarios no debe ser mayor al Total.</v>
      </c>
      <c r="CC67" s="2384" t="str">
        <f t="shared" si="11"/>
        <v xml:space="preserve"> * El total de registros en Migrantes no debe ser mayor al Total.</v>
      </c>
      <c r="CD67" s="2384" t="str">
        <f t="shared" si="12"/>
        <v/>
      </c>
      <c r="CK67" s="2384">
        <f t="shared" si="13"/>
        <v>1</v>
      </c>
      <c r="CL67" s="2384">
        <f t="shared" si="14"/>
        <v>1</v>
      </c>
    </row>
    <row r="68" spans="1:90" ht="15.75" customHeight="1" x14ac:dyDescent="0.3">
      <c r="A68" s="7320">
        <v>32101637</v>
      </c>
      <c r="B68" s="11442"/>
      <c r="C68" s="7850" t="s">
        <v>3066</v>
      </c>
      <c r="D68" s="7843" t="s">
        <v>5369</v>
      </c>
      <c r="E68" s="7851" t="s">
        <v>5370</v>
      </c>
      <c r="F68" s="7843" t="s">
        <v>5371</v>
      </c>
      <c r="G68" s="7852" t="s">
        <v>5372</v>
      </c>
      <c r="H68" s="7846" t="s">
        <v>5373</v>
      </c>
      <c r="I68" s="7852" t="s">
        <v>5374</v>
      </c>
      <c r="J68" s="7846" t="s">
        <v>5375</v>
      </c>
      <c r="K68" s="7852" t="s">
        <v>5376</v>
      </c>
      <c r="L68" s="7846" t="s">
        <v>5377</v>
      </c>
      <c r="M68" s="7852" t="s">
        <v>5378</v>
      </c>
      <c r="N68" s="7846" t="s">
        <v>5379</v>
      </c>
      <c r="O68" s="7852" t="s">
        <v>5380</v>
      </c>
      <c r="P68" s="7846" t="s">
        <v>5381</v>
      </c>
      <c r="Q68" s="7852" t="s">
        <v>5382</v>
      </c>
      <c r="R68" s="7846" t="s">
        <v>5383</v>
      </c>
      <c r="S68" s="7852" t="s">
        <v>5384</v>
      </c>
      <c r="T68" s="7846" t="s">
        <v>5385</v>
      </c>
      <c r="U68" s="7852" t="s">
        <v>5386</v>
      </c>
      <c r="V68" s="7846" t="s">
        <v>5387</v>
      </c>
      <c r="W68" s="7852" t="s">
        <v>5388</v>
      </c>
      <c r="X68" s="7846" t="s">
        <v>5389</v>
      </c>
      <c r="Y68" s="7852" t="s">
        <v>5390</v>
      </c>
      <c r="Z68" s="7846" t="s">
        <v>5391</v>
      </c>
      <c r="AA68" s="7852" t="s">
        <v>5392</v>
      </c>
      <c r="AB68" s="7846" t="s">
        <v>5393</v>
      </c>
      <c r="AC68" s="7852" t="s">
        <v>5394</v>
      </c>
      <c r="AD68" s="7846" t="s">
        <v>5395</v>
      </c>
      <c r="AE68" s="7852" t="s">
        <v>5396</v>
      </c>
      <c r="AF68" s="7846" t="s">
        <v>5397</v>
      </c>
      <c r="AG68" s="7852" t="s">
        <v>5398</v>
      </c>
      <c r="AH68" s="7846" t="s">
        <v>5399</v>
      </c>
      <c r="AI68" s="7852" t="s">
        <v>5400</v>
      </c>
      <c r="AJ68" s="7846" t="s">
        <v>5401</v>
      </c>
      <c r="AK68" s="7852" t="s">
        <v>5402</v>
      </c>
      <c r="AL68" s="7846" t="s">
        <v>5403</v>
      </c>
      <c r="AM68" s="7852" t="s">
        <v>5404</v>
      </c>
      <c r="AN68" s="7848" t="s">
        <v>5405</v>
      </c>
      <c r="AO68" s="7849" t="s">
        <v>5406</v>
      </c>
      <c r="AP68" s="7846" t="s">
        <v>5407</v>
      </c>
      <c r="AQ68" s="2384" t="str">
        <f t="shared" si="9"/>
        <v xml:space="preserve"> * El total de registros en Pueblos Originarios no debe ser mayor al Total. * El total de registros en Migrantes no debe ser mayor al Total.</v>
      </c>
      <c r="CB68" s="2384" t="str">
        <f t="shared" si="10"/>
        <v xml:space="preserve"> * El total de registros en Pueblos Originarios no debe ser mayor al Total.</v>
      </c>
      <c r="CC68" s="2384" t="str">
        <f t="shared" si="11"/>
        <v xml:space="preserve"> * El total de registros en Migrantes no debe ser mayor al Total.</v>
      </c>
      <c r="CD68" s="2384" t="str">
        <f t="shared" si="12"/>
        <v/>
      </c>
      <c r="CK68" s="2384">
        <f t="shared" si="13"/>
        <v>1</v>
      </c>
      <c r="CL68" s="2384">
        <f t="shared" si="14"/>
        <v>1</v>
      </c>
    </row>
    <row r="69" spans="1:90" ht="15.75" customHeight="1" x14ac:dyDescent="0.3">
      <c r="A69" s="7320">
        <v>32101638</v>
      </c>
      <c r="B69" s="11442"/>
      <c r="C69" s="7850" t="s">
        <v>3067</v>
      </c>
      <c r="D69" s="7843" t="s">
        <v>5369</v>
      </c>
      <c r="E69" s="7851" t="s">
        <v>5370</v>
      </c>
      <c r="F69" s="7843" t="s">
        <v>5371</v>
      </c>
      <c r="G69" s="7852" t="s">
        <v>5372</v>
      </c>
      <c r="H69" s="7846" t="s">
        <v>5373</v>
      </c>
      <c r="I69" s="7852" t="s">
        <v>5374</v>
      </c>
      <c r="J69" s="7846" t="s">
        <v>5375</v>
      </c>
      <c r="K69" s="7852" t="s">
        <v>5376</v>
      </c>
      <c r="L69" s="7846" t="s">
        <v>5377</v>
      </c>
      <c r="M69" s="7852" t="s">
        <v>5378</v>
      </c>
      <c r="N69" s="7846" t="s">
        <v>5379</v>
      </c>
      <c r="O69" s="7852" t="s">
        <v>5380</v>
      </c>
      <c r="P69" s="7846" t="s">
        <v>5381</v>
      </c>
      <c r="Q69" s="7852" t="s">
        <v>5382</v>
      </c>
      <c r="R69" s="7846" t="s">
        <v>5383</v>
      </c>
      <c r="S69" s="7852" t="s">
        <v>5384</v>
      </c>
      <c r="T69" s="7846" t="s">
        <v>5385</v>
      </c>
      <c r="U69" s="7852" t="s">
        <v>5386</v>
      </c>
      <c r="V69" s="7846" t="s">
        <v>5387</v>
      </c>
      <c r="W69" s="7852" t="s">
        <v>5388</v>
      </c>
      <c r="X69" s="7846" t="s">
        <v>5389</v>
      </c>
      <c r="Y69" s="7852" t="s">
        <v>5390</v>
      </c>
      <c r="Z69" s="7846" t="s">
        <v>5391</v>
      </c>
      <c r="AA69" s="7852" t="s">
        <v>5392</v>
      </c>
      <c r="AB69" s="7846" t="s">
        <v>5393</v>
      </c>
      <c r="AC69" s="7852" t="s">
        <v>5394</v>
      </c>
      <c r="AD69" s="7846" t="s">
        <v>5395</v>
      </c>
      <c r="AE69" s="7852" t="s">
        <v>5396</v>
      </c>
      <c r="AF69" s="7846" t="s">
        <v>5397</v>
      </c>
      <c r="AG69" s="7852" t="s">
        <v>5398</v>
      </c>
      <c r="AH69" s="7846" t="s">
        <v>5399</v>
      </c>
      <c r="AI69" s="7852" t="s">
        <v>5400</v>
      </c>
      <c r="AJ69" s="7846" t="s">
        <v>5401</v>
      </c>
      <c r="AK69" s="7852" t="s">
        <v>5402</v>
      </c>
      <c r="AL69" s="7846" t="s">
        <v>5403</v>
      </c>
      <c r="AM69" s="7852" t="s">
        <v>5404</v>
      </c>
      <c r="AN69" s="7848" t="s">
        <v>5405</v>
      </c>
      <c r="AO69" s="7849" t="s">
        <v>5406</v>
      </c>
      <c r="AP69" s="7846" t="s">
        <v>5407</v>
      </c>
      <c r="AQ69" s="2384" t="str">
        <f t="shared" si="9"/>
        <v xml:space="preserve"> * El total de registros en Pueblos Originarios no debe ser mayor al Total. * El total de registros en Migrantes no debe ser mayor al Total.</v>
      </c>
      <c r="CB69" s="2384" t="str">
        <f t="shared" si="10"/>
        <v xml:space="preserve"> * El total de registros en Pueblos Originarios no debe ser mayor al Total.</v>
      </c>
      <c r="CC69" s="2384" t="str">
        <f t="shared" si="11"/>
        <v xml:space="preserve"> * El total de registros en Migrantes no debe ser mayor al Total.</v>
      </c>
      <c r="CD69" s="2384" t="str">
        <f t="shared" si="12"/>
        <v/>
      </c>
      <c r="CK69" s="2384">
        <f t="shared" si="13"/>
        <v>1</v>
      </c>
      <c r="CL69" s="2384">
        <f t="shared" si="14"/>
        <v>1</v>
      </c>
    </row>
    <row r="70" spans="1:90" ht="15.75" customHeight="1" x14ac:dyDescent="0.3">
      <c r="A70" s="7320">
        <v>32101639</v>
      </c>
      <c r="B70" s="11442"/>
      <c r="C70" s="7850" t="s">
        <v>3068</v>
      </c>
      <c r="D70" s="7843" t="s">
        <v>5369</v>
      </c>
      <c r="E70" s="7851" t="s">
        <v>5370</v>
      </c>
      <c r="F70" s="7843" t="s">
        <v>5371</v>
      </c>
      <c r="G70" s="7852" t="s">
        <v>5372</v>
      </c>
      <c r="H70" s="7846" t="s">
        <v>5373</v>
      </c>
      <c r="I70" s="7852" t="s">
        <v>5374</v>
      </c>
      <c r="J70" s="7846" t="s">
        <v>5375</v>
      </c>
      <c r="K70" s="7852" t="s">
        <v>5376</v>
      </c>
      <c r="L70" s="7846" t="s">
        <v>5377</v>
      </c>
      <c r="M70" s="7852" t="s">
        <v>5378</v>
      </c>
      <c r="N70" s="7846" t="s">
        <v>5379</v>
      </c>
      <c r="O70" s="7852" t="s">
        <v>5380</v>
      </c>
      <c r="P70" s="7846" t="s">
        <v>5381</v>
      </c>
      <c r="Q70" s="7852" t="s">
        <v>5382</v>
      </c>
      <c r="R70" s="7846" t="s">
        <v>5383</v>
      </c>
      <c r="S70" s="7852" t="s">
        <v>5384</v>
      </c>
      <c r="T70" s="7846" t="s">
        <v>5385</v>
      </c>
      <c r="U70" s="7852" t="s">
        <v>5386</v>
      </c>
      <c r="V70" s="7846" t="s">
        <v>5387</v>
      </c>
      <c r="W70" s="7852" t="s">
        <v>5388</v>
      </c>
      <c r="X70" s="7846" t="s">
        <v>5389</v>
      </c>
      <c r="Y70" s="7852" t="s">
        <v>5390</v>
      </c>
      <c r="Z70" s="7846" t="s">
        <v>5391</v>
      </c>
      <c r="AA70" s="7852" t="s">
        <v>5392</v>
      </c>
      <c r="AB70" s="7846" t="s">
        <v>5393</v>
      </c>
      <c r="AC70" s="7852" t="s">
        <v>5394</v>
      </c>
      <c r="AD70" s="7846" t="s">
        <v>5395</v>
      </c>
      <c r="AE70" s="7852" t="s">
        <v>5396</v>
      </c>
      <c r="AF70" s="7846" t="s">
        <v>5397</v>
      </c>
      <c r="AG70" s="7852" t="s">
        <v>5398</v>
      </c>
      <c r="AH70" s="7846" t="s">
        <v>5399</v>
      </c>
      <c r="AI70" s="7852" t="s">
        <v>5400</v>
      </c>
      <c r="AJ70" s="7846" t="s">
        <v>5401</v>
      </c>
      <c r="AK70" s="7852" t="s">
        <v>5402</v>
      </c>
      <c r="AL70" s="7846" t="s">
        <v>5403</v>
      </c>
      <c r="AM70" s="7852" t="s">
        <v>5404</v>
      </c>
      <c r="AN70" s="7848" t="s">
        <v>5405</v>
      </c>
      <c r="AO70" s="7849" t="s">
        <v>5406</v>
      </c>
      <c r="AP70" s="7846" t="s">
        <v>5407</v>
      </c>
      <c r="AQ70" s="2384" t="str">
        <f t="shared" si="9"/>
        <v xml:space="preserve"> * El total de registros en Pueblos Originarios no debe ser mayor al Total. * El total de registros en Migrantes no debe ser mayor al Total.</v>
      </c>
      <c r="CB70" s="2384" t="str">
        <f t="shared" si="10"/>
        <v xml:space="preserve"> * El total de registros en Pueblos Originarios no debe ser mayor al Total.</v>
      </c>
      <c r="CC70" s="2384" t="str">
        <f t="shared" si="11"/>
        <v xml:space="preserve"> * El total de registros en Migrantes no debe ser mayor al Total.</v>
      </c>
      <c r="CD70" s="2384" t="str">
        <f t="shared" si="12"/>
        <v/>
      </c>
      <c r="CK70" s="2384">
        <f t="shared" si="13"/>
        <v>1</v>
      </c>
      <c r="CL70" s="2384">
        <f t="shared" si="14"/>
        <v>1</v>
      </c>
    </row>
    <row r="71" spans="1:90" ht="15.75" customHeight="1" x14ac:dyDescent="0.3">
      <c r="A71" s="7320">
        <v>32101640</v>
      </c>
      <c r="B71" s="11442"/>
      <c r="C71" s="7850" t="s">
        <v>3069</v>
      </c>
      <c r="D71" s="7843" t="s">
        <v>5369</v>
      </c>
      <c r="E71" s="7851" t="s">
        <v>5370</v>
      </c>
      <c r="F71" s="7843" t="s">
        <v>5371</v>
      </c>
      <c r="G71" s="7852" t="s">
        <v>5372</v>
      </c>
      <c r="H71" s="7846" t="s">
        <v>5373</v>
      </c>
      <c r="I71" s="7852" t="s">
        <v>5374</v>
      </c>
      <c r="J71" s="7846" t="s">
        <v>5375</v>
      </c>
      <c r="K71" s="7852" t="s">
        <v>5376</v>
      </c>
      <c r="L71" s="7846" t="s">
        <v>5377</v>
      </c>
      <c r="M71" s="7852" t="s">
        <v>5378</v>
      </c>
      <c r="N71" s="7846" t="s">
        <v>5379</v>
      </c>
      <c r="O71" s="7852" t="s">
        <v>5380</v>
      </c>
      <c r="P71" s="7846" t="s">
        <v>5381</v>
      </c>
      <c r="Q71" s="7852" t="s">
        <v>5382</v>
      </c>
      <c r="R71" s="7846" t="s">
        <v>5383</v>
      </c>
      <c r="S71" s="7852" t="s">
        <v>5384</v>
      </c>
      <c r="T71" s="7846" t="s">
        <v>5385</v>
      </c>
      <c r="U71" s="7852" t="s">
        <v>5386</v>
      </c>
      <c r="V71" s="7846" t="s">
        <v>5387</v>
      </c>
      <c r="W71" s="7852" t="s">
        <v>5388</v>
      </c>
      <c r="X71" s="7846" t="s">
        <v>5389</v>
      </c>
      <c r="Y71" s="7852" t="s">
        <v>5390</v>
      </c>
      <c r="Z71" s="7846" t="s">
        <v>5391</v>
      </c>
      <c r="AA71" s="7852" t="s">
        <v>5392</v>
      </c>
      <c r="AB71" s="7846" t="s">
        <v>5393</v>
      </c>
      <c r="AC71" s="7852" t="s">
        <v>5394</v>
      </c>
      <c r="AD71" s="7846" t="s">
        <v>5395</v>
      </c>
      <c r="AE71" s="7852" t="s">
        <v>5396</v>
      </c>
      <c r="AF71" s="7846" t="s">
        <v>5397</v>
      </c>
      <c r="AG71" s="7852" t="s">
        <v>5398</v>
      </c>
      <c r="AH71" s="7846" t="s">
        <v>5399</v>
      </c>
      <c r="AI71" s="7852" t="s">
        <v>5400</v>
      </c>
      <c r="AJ71" s="7846" t="s">
        <v>5401</v>
      </c>
      <c r="AK71" s="7852" t="s">
        <v>5402</v>
      </c>
      <c r="AL71" s="7846" t="s">
        <v>5403</v>
      </c>
      <c r="AM71" s="7852" t="s">
        <v>5404</v>
      </c>
      <c r="AN71" s="7848" t="s">
        <v>5405</v>
      </c>
      <c r="AO71" s="7849" t="s">
        <v>5406</v>
      </c>
      <c r="AP71" s="7846" t="s">
        <v>5407</v>
      </c>
      <c r="AQ71" s="2384" t="str">
        <f t="shared" si="9"/>
        <v xml:space="preserve"> * El total de registros en Pueblos Originarios no debe ser mayor al Total. * El total de registros en Migrantes no debe ser mayor al Total.</v>
      </c>
      <c r="CB71" s="2384" t="str">
        <f t="shared" si="10"/>
        <v xml:space="preserve"> * El total de registros en Pueblos Originarios no debe ser mayor al Total.</v>
      </c>
      <c r="CC71" s="2384" t="str">
        <f t="shared" si="11"/>
        <v xml:space="preserve"> * El total de registros en Migrantes no debe ser mayor al Total.</v>
      </c>
      <c r="CD71" s="2384" t="str">
        <f t="shared" si="12"/>
        <v/>
      </c>
      <c r="CK71" s="2384">
        <f t="shared" si="13"/>
        <v>1</v>
      </c>
      <c r="CL71" s="2384">
        <f t="shared" si="14"/>
        <v>1</v>
      </c>
    </row>
    <row r="72" spans="1:90" ht="15.75" customHeight="1" x14ac:dyDescent="0.3">
      <c r="A72" s="7320">
        <v>32101641</v>
      </c>
      <c r="B72" s="11442"/>
      <c r="C72" s="7850" t="s">
        <v>3070</v>
      </c>
      <c r="D72" s="7843" t="s">
        <v>5369</v>
      </c>
      <c r="E72" s="7851" t="s">
        <v>5370</v>
      </c>
      <c r="F72" s="7843" t="s">
        <v>5371</v>
      </c>
      <c r="G72" s="7852" t="s">
        <v>5372</v>
      </c>
      <c r="H72" s="7846" t="s">
        <v>5373</v>
      </c>
      <c r="I72" s="7852" t="s">
        <v>5374</v>
      </c>
      <c r="J72" s="7846" t="s">
        <v>5375</v>
      </c>
      <c r="K72" s="7852" t="s">
        <v>5376</v>
      </c>
      <c r="L72" s="7846" t="s">
        <v>5377</v>
      </c>
      <c r="M72" s="7852" t="s">
        <v>5378</v>
      </c>
      <c r="N72" s="7846" t="s">
        <v>5379</v>
      </c>
      <c r="O72" s="7852" t="s">
        <v>5380</v>
      </c>
      <c r="P72" s="7846" t="s">
        <v>5381</v>
      </c>
      <c r="Q72" s="7852" t="s">
        <v>5382</v>
      </c>
      <c r="R72" s="7846" t="s">
        <v>5383</v>
      </c>
      <c r="S72" s="7852" t="s">
        <v>5384</v>
      </c>
      <c r="T72" s="7846" t="s">
        <v>5385</v>
      </c>
      <c r="U72" s="7852" t="s">
        <v>5386</v>
      </c>
      <c r="V72" s="7846" t="s">
        <v>5387</v>
      </c>
      <c r="W72" s="7852" t="s">
        <v>5388</v>
      </c>
      <c r="X72" s="7846" t="s">
        <v>5389</v>
      </c>
      <c r="Y72" s="7852" t="s">
        <v>5390</v>
      </c>
      <c r="Z72" s="7846" t="s">
        <v>5391</v>
      </c>
      <c r="AA72" s="7852" t="s">
        <v>5392</v>
      </c>
      <c r="AB72" s="7846" t="s">
        <v>5393</v>
      </c>
      <c r="AC72" s="7852" t="s">
        <v>5394</v>
      </c>
      <c r="AD72" s="7846" t="s">
        <v>5395</v>
      </c>
      <c r="AE72" s="7852" t="s">
        <v>5396</v>
      </c>
      <c r="AF72" s="7846" t="s">
        <v>5397</v>
      </c>
      <c r="AG72" s="7852" t="s">
        <v>5398</v>
      </c>
      <c r="AH72" s="7846" t="s">
        <v>5399</v>
      </c>
      <c r="AI72" s="7852" t="s">
        <v>5400</v>
      </c>
      <c r="AJ72" s="7846" t="s">
        <v>5401</v>
      </c>
      <c r="AK72" s="7852" t="s">
        <v>5402</v>
      </c>
      <c r="AL72" s="7846" t="s">
        <v>5403</v>
      </c>
      <c r="AM72" s="7852" t="s">
        <v>5404</v>
      </c>
      <c r="AN72" s="7848" t="s">
        <v>5405</v>
      </c>
      <c r="AO72" s="7849" t="s">
        <v>5406</v>
      </c>
      <c r="AP72" s="7846" t="s">
        <v>5407</v>
      </c>
      <c r="AQ72" s="2384" t="str">
        <f t="shared" si="9"/>
        <v xml:space="preserve"> * El total de registros en Pueblos Originarios no debe ser mayor al Total. * El total de registros en Migrantes no debe ser mayor al Total.</v>
      </c>
      <c r="CB72" s="2384" t="str">
        <f t="shared" si="10"/>
        <v xml:space="preserve"> * El total de registros en Pueblos Originarios no debe ser mayor al Total.</v>
      </c>
      <c r="CC72" s="2384" t="str">
        <f t="shared" si="11"/>
        <v xml:space="preserve"> * El total de registros en Migrantes no debe ser mayor al Total.</v>
      </c>
      <c r="CD72" s="2384" t="str">
        <f t="shared" si="12"/>
        <v/>
      </c>
      <c r="CK72" s="2384">
        <f t="shared" si="13"/>
        <v>1</v>
      </c>
      <c r="CL72" s="2384">
        <f t="shared" si="14"/>
        <v>1</v>
      </c>
    </row>
    <row r="73" spans="1:90" ht="15.75" customHeight="1" x14ac:dyDescent="0.3">
      <c r="A73" s="7320">
        <v>32101642</v>
      </c>
      <c r="B73" s="11442"/>
      <c r="C73" s="7850" t="s">
        <v>3071</v>
      </c>
      <c r="D73" s="7843" t="s">
        <v>5369</v>
      </c>
      <c r="E73" s="7851" t="s">
        <v>5370</v>
      </c>
      <c r="F73" s="7843" t="s">
        <v>5371</v>
      </c>
      <c r="G73" s="7852" t="s">
        <v>5372</v>
      </c>
      <c r="H73" s="7846" t="s">
        <v>5373</v>
      </c>
      <c r="I73" s="7852" t="s">
        <v>5374</v>
      </c>
      <c r="J73" s="7846" t="s">
        <v>5375</v>
      </c>
      <c r="K73" s="7852" t="s">
        <v>5376</v>
      </c>
      <c r="L73" s="7846" t="s">
        <v>5377</v>
      </c>
      <c r="M73" s="7852" t="s">
        <v>5378</v>
      </c>
      <c r="N73" s="7846" t="s">
        <v>5379</v>
      </c>
      <c r="O73" s="7852" t="s">
        <v>5380</v>
      </c>
      <c r="P73" s="7846" t="s">
        <v>5381</v>
      </c>
      <c r="Q73" s="7852" t="s">
        <v>5382</v>
      </c>
      <c r="R73" s="7846" t="s">
        <v>5383</v>
      </c>
      <c r="S73" s="7852" t="s">
        <v>5384</v>
      </c>
      <c r="T73" s="7846" t="s">
        <v>5385</v>
      </c>
      <c r="U73" s="7852" t="s">
        <v>5386</v>
      </c>
      <c r="V73" s="7846" t="s">
        <v>5387</v>
      </c>
      <c r="W73" s="7852" t="s">
        <v>5388</v>
      </c>
      <c r="X73" s="7846" t="s">
        <v>5389</v>
      </c>
      <c r="Y73" s="7852" t="s">
        <v>5390</v>
      </c>
      <c r="Z73" s="7846" t="s">
        <v>5391</v>
      </c>
      <c r="AA73" s="7852" t="s">
        <v>5392</v>
      </c>
      <c r="AB73" s="7846" t="s">
        <v>5393</v>
      </c>
      <c r="AC73" s="7852" t="s">
        <v>5394</v>
      </c>
      <c r="AD73" s="7846" t="s">
        <v>5395</v>
      </c>
      <c r="AE73" s="7852" t="s">
        <v>5396</v>
      </c>
      <c r="AF73" s="7846" t="s">
        <v>5397</v>
      </c>
      <c r="AG73" s="7852" t="s">
        <v>5398</v>
      </c>
      <c r="AH73" s="7846" t="s">
        <v>5399</v>
      </c>
      <c r="AI73" s="7852" t="s">
        <v>5400</v>
      </c>
      <c r="AJ73" s="7846" t="s">
        <v>5401</v>
      </c>
      <c r="AK73" s="7852" t="s">
        <v>5402</v>
      </c>
      <c r="AL73" s="7846" t="s">
        <v>5403</v>
      </c>
      <c r="AM73" s="7852" t="s">
        <v>5404</v>
      </c>
      <c r="AN73" s="7848" t="s">
        <v>5405</v>
      </c>
      <c r="AO73" s="7849" t="s">
        <v>5406</v>
      </c>
      <c r="AP73" s="7846" t="s">
        <v>5407</v>
      </c>
      <c r="AQ73" s="2384" t="str">
        <f t="shared" si="9"/>
        <v xml:space="preserve"> * El total de registros en Pueblos Originarios no debe ser mayor al Total. * El total de registros en Migrantes no debe ser mayor al Total.</v>
      </c>
      <c r="CB73" s="2384" t="str">
        <f t="shared" si="10"/>
        <v xml:space="preserve"> * El total de registros en Pueblos Originarios no debe ser mayor al Total.</v>
      </c>
      <c r="CC73" s="2384" t="str">
        <f t="shared" si="11"/>
        <v xml:space="preserve"> * El total de registros en Migrantes no debe ser mayor al Total.</v>
      </c>
      <c r="CD73" s="2384" t="str">
        <f t="shared" si="12"/>
        <v/>
      </c>
      <c r="CK73" s="2384">
        <f t="shared" si="13"/>
        <v>1</v>
      </c>
      <c r="CL73" s="2384">
        <f t="shared" si="14"/>
        <v>1</v>
      </c>
    </row>
    <row r="74" spans="1:90" ht="27" customHeight="1" x14ac:dyDescent="0.3">
      <c r="A74" s="7320">
        <v>32101643</v>
      </c>
      <c r="B74" s="11442"/>
      <c r="C74" s="7853" t="s">
        <v>3072</v>
      </c>
      <c r="D74" s="7843" t="s">
        <v>5369</v>
      </c>
      <c r="E74" s="7851" t="s">
        <v>5370</v>
      </c>
      <c r="F74" s="7843" t="s">
        <v>5371</v>
      </c>
      <c r="G74" s="7852" t="s">
        <v>5372</v>
      </c>
      <c r="H74" s="7846" t="s">
        <v>5373</v>
      </c>
      <c r="I74" s="7852" t="s">
        <v>5374</v>
      </c>
      <c r="J74" s="7846" t="s">
        <v>5375</v>
      </c>
      <c r="K74" s="7852" t="s">
        <v>5376</v>
      </c>
      <c r="L74" s="7846" t="s">
        <v>5377</v>
      </c>
      <c r="M74" s="7852" t="s">
        <v>5378</v>
      </c>
      <c r="N74" s="7846" t="s">
        <v>5379</v>
      </c>
      <c r="O74" s="7852" t="s">
        <v>5380</v>
      </c>
      <c r="P74" s="7846" t="s">
        <v>5381</v>
      </c>
      <c r="Q74" s="7852" t="s">
        <v>5382</v>
      </c>
      <c r="R74" s="7846" t="s">
        <v>5383</v>
      </c>
      <c r="S74" s="7852" t="s">
        <v>5384</v>
      </c>
      <c r="T74" s="7846" t="s">
        <v>5385</v>
      </c>
      <c r="U74" s="7852" t="s">
        <v>5386</v>
      </c>
      <c r="V74" s="7846" t="s">
        <v>5387</v>
      </c>
      <c r="W74" s="7852" t="s">
        <v>5388</v>
      </c>
      <c r="X74" s="7846" t="s">
        <v>5389</v>
      </c>
      <c r="Y74" s="7852" t="s">
        <v>5390</v>
      </c>
      <c r="Z74" s="7846" t="s">
        <v>5391</v>
      </c>
      <c r="AA74" s="7852" t="s">
        <v>5392</v>
      </c>
      <c r="AB74" s="7846" t="s">
        <v>5393</v>
      </c>
      <c r="AC74" s="7852" t="s">
        <v>5394</v>
      </c>
      <c r="AD74" s="7846" t="s">
        <v>5395</v>
      </c>
      <c r="AE74" s="7852" t="s">
        <v>5396</v>
      </c>
      <c r="AF74" s="7846" t="s">
        <v>5397</v>
      </c>
      <c r="AG74" s="7852" t="s">
        <v>5398</v>
      </c>
      <c r="AH74" s="7846" t="s">
        <v>5399</v>
      </c>
      <c r="AI74" s="7852" t="s">
        <v>5400</v>
      </c>
      <c r="AJ74" s="7846" t="s">
        <v>5401</v>
      </c>
      <c r="AK74" s="7852" t="s">
        <v>5402</v>
      </c>
      <c r="AL74" s="7846" t="s">
        <v>5403</v>
      </c>
      <c r="AM74" s="7852" t="s">
        <v>5404</v>
      </c>
      <c r="AN74" s="7848" t="s">
        <v>5405</v>
      </c>
      <c r="AO74" s="7849" t="s">
        <v>5406</v>
      </c>
      <c r="AP74" s="7846" t="s">
        <v>5407</v>
      </c>
      <c r="AQ74" s="2384" t="str">
        <f t="shared" si="9"/>
        <v xml:space="preserve"> * El total de registros en Pueblos Originarios no debe ser mayor al Total. * El total de registros en Migrantes no debe ser mayor al Total.</v>
      </c>
      <c r="CB74" s="2384" t="str">
        <f t="shared" si="10"/>
        <v xml:space="preserve"> * El total de registros en Pueblos Originarios no debe ser mayor al Total.</v>
      </c>
      <c r="CC74" s="2384" t="str">
        <f t="shared" si="11"/>
        <v xml:space="preserve"> * El total de registros en Migrantes no debe ser mayor al Total.</v>
      </c>
      <c r="CD74" s="2384" t="str">
        <f t="shared" si="12"/>
        <v/>
      </c>
      <c r="CK74" s="2384">
        <f t="shared" si="13"/>
        <v>1</v>
      </c>
      <c r="CL74" s="2384">
        <f t="shared" si="14"/>
        <v>1</v>
      </c>
    </row>
    <row r="75" spans="1:90" ht="15.75" customHeight="1" x14ac:dyDescent="0.3">
      <c r="A75" s="7320">
        <v>32101644</v>
      </c>
      <c r="B75" s="11442"/>
      <c r="C75" s="7850" t="s">
        <v>2166</v>
      </c>
      <c r="D75" s="7843" t="s">
        <v>5369</v>
      </c>
      <c r="E75" s="7851" t="s">
        <v>5370</v>
      </c>
      <c r="F75" s="7843" t="s">
        <v>5371</v>
      </c>
      <c r="G75" s="7852" t="s">
        <v>5372</v>
      </c>
      <c r="H75" s="7846" t="s">
        <v>5373</v>
      </c>
      <c r="I75" s="7852" t="s">
        <v>5374</v>
      </c>
      <c r="J75" s="7846" t="s">
        <v>5375</v>
      </c>
      <c r="K75" s="7852" t="s">
        <v>5376</v>
      </c>
      <c r="L75" s="7846" t="s">
        <v>5377</v>
      </c>
      <c r="M75" s="7852" t="s">
        <v>5378</v>
      </c>
      <c r="N75" s="7846" t="s">
        <v>5379</v>
      </c>
      <c r="O75" s="7852" t="s">
        <v>5380</v>
      </c>
      <c r="P75" s="7846" t="s">
        <v>5381</v>
      </c>
      <c r="Q75" s="7852" t="s">
        <v>5382</v>
      </c>
      <c r="R75" s="7846" t="s">
        <v>5383</v>
      </c>
      <c r="S75" s="7852" t="s">
        <v>5384</v>
      </c>
      <c r="T75" s="7846" t="s">
        <v>5385</v>
      </c>
      <c r="U75" s="7852" t="s">
        <v>5386</v>
      </c>
      <c r="V75" s="7846" t="s">
        <v>5387</v>
      </c>
      <c r="W75" s="7852" t="s">
        <v>5388</v>
      </c>
      <c r="X75" s="7846" t="s">
        <v>5389</v>
      </c>
      <c r="Y75" s="7852" t="s">
        <v>5390</v>
      </c>
      <c r="Z75" s="7846" t="s">
        <v>5391</v>
      </c>
      <c r="AA75" s="7852" t="s">
        <v>5392</v>
      </c>
      <c r="AB75" s="7846" t="s">
        <v>5393</v>
      </c>
      <c r="AC75" s="7852" t="s">
        <v>5394</v>
      </c>
      <c r="AD75" s="7846" t="s">
        <v>5395</v>
      </c>
      <c r="AE75" s="7852" t="s">
        <v>5396</v>
      </c>
      <c r="AF75" s="7846" t="s">
        <v>5397</v>
      </c>
      <c r="AG75" s="7852" t="s">
        <v>5398</v>
      </c>
      <c r="AH75" s="7846" t="s">
        <v>5399</v>
      </c>
      <c r="AI75" s="7852" t="s">
        <v>5400</v>
      </c>
      <c r="AJ75" s="7846" t="s">
        <v>5401</v>
      </c>
      <c r="AK75" s="7852" t="s">
        <v>5402</v>
      </c>
      <c r="AL75" s="7846" t="s">
        <v>5403</v>
      </c>
      <c r="AM75" s="7852" t="s">
        <v>5404</v>
      </c>
      <c r="AN75" s="7848" t="s">
        <v>5405</v>
      </c>
      <c r="AO75" s="7849" t="s">
        <v>5406</v>
      </c>
      <c r="AP75" s="7846" t="s">
        <v>5407</v>
      </c>
      <c r="AQ75" s="2384" t="str">
        <f t="shared" si="9"/>
        <v xml:space="preserve"> * El total de registros en Pueblos Originarios no debe ser mayor al Total. * El total de registros en Migrantes no debe ser mayor al Total.</v>
      </c>
      <c r="CB75" s="2384" t="str">
        <f t="shared" si="10"/>
        <v xml:space="preserve"> * El total de registros en Pueblos Originarios no debe ser mayor al Total.</v>
      </c>
      <c r="CC75" s="2384" t="str">
        <f t="shared" si="11"/>
        <v xml:space="preserve"> * El total de registros en Migrantes no debe ser mayor al Total.</v>
      </c>
      <c r="CD75" s="2384" t="str">
        <f t="shared" si="12"/>
        <v/>
      </c>
      <c r="CK75" s="2384">
        <f t="shared" si="13"/>
        <v>1</v>
      </c>
      <c r="CL75" s="2384">
        <f t="shared" si="14"/>
        <v>1</v>
      </c>
    </row>
    <row r="76" spans="1:90" ht="15.75" customHeight="1" x14ac:dyDescent="0.3">
      <c r="A76" s="7320">
        <v>32101645</v>
      </c>
      <c r="B76" s="11442"/>
      <c r="C76" s="7850" t="s">
        <v>3073</v>
      </c>
      <c r="D76" s="7843" t="s">
        <v>5369</v>
      </c>
      <c r="E76" s="7851" t="s">
        <v>5370</v>
      </c>
      <c r="F76" s="7843" t="s">
        <v>5371</v>
      </c>
      <c r="G76" s="7852" t="s">
        <v>5372</v>
      </c>
      <c r="H76" s="7846" t="s">
        <v>5373</v>
      </c>
      <c r="I76" s="7852" t="s">
        <v>5374</v>
      </c>
      <c r="J76" s="7846" t="s">
        <v>5375</v>
      </c>
      <c r="K76" s="7852" t="s">
        <v>5376</v>
      </c>
      <c r="L76" s="7846" t="s">
        <v>5377</v>
      </c>
      <c r="M76" s="7852" t="s">
        <v>5378</v>
      </c>
      <c r="N76" s="7846" t="s">
        <v>5379</v>
      </c>
      <c r="O76" s="7852" t="s">
        <v>5380</v>
      </c>
      <c r="P76" s="7846" t="s">
        <v>5381</v>
      </c>
      <c r="Q76" s="7852" t="s">
        <v>5382</v>
      </c>
      <c r="R76" s="7846" t="s">
        <v>5383</v>
      </c>
      <c r="S76" s="7852" t="s">
        <v>5384</v>
      </c>
      <c r="T76" s="7846" t="s">
        <v>5385</v>
      </c>
      <c r="U76" s="7852" t="s">
        <v>5386</v>
      </c>
      <c r="V76" s="7846" t="s">
        <v>5387</v>
      </c>
      <c r="W76" s="7852" t="s">
        <v>5388</v>
      </c>
      <c r="X76" s="7846" t="s">
        <v>5389</v>
      </c>
      <c r="Y76" s="7852" t="s">
        <v>5390</v>
      </c>
      <c r="Z76" s="7846" t="s">
        <v>5391</v>
      </c>
      <c r="AA76" s="7852" t="s">
        <v>5392</v>
      </c>
      <c r="AB76" s="7846" t="s">
        <v>5393</v>
      </c>
      <c r="AC76" s="7852" t="s">
        <v>5394</v>
      </c>
      <c r="AD76" s="7846" t="s">
        <v>5395</v>
      </c>
      <c r="AE76" s="7852" t="s">
        <v>5396</v>
      </c>
      <c r="AF76" s="7846" t="s">
        <v>5397</v>
      </c>
      <c r="AG76" s="7852" t="s">
        <v>5398</v>
      </c>
      <c r="AH76" s="7846" t="s">
        <v>5399</v>
      </c>
      <c r="AI76" s="7852" t="s">
        <v>5400</v>
      </c>
      <c r="AJ76" s="7846" t="s">
        <v>5401</v>
      </c>
      <c r="AK76" s="7852" t="s">
        <v>5402</v>
      </c>
      <c r="AL76" s="7846" t="s">
        <v>5403</v>
      </c>
      <c r="AM76" s="7852" t="s">
        <v>5404</v>
      </c>
      <c r="AN76" s="7848" t="s">
        <v>5405</v>
      </c>
      <c r="AO76" s="7849" t="s">
        <v>5406</v>
      </c>
      <c r="AP76" s="7846" t="s">
        <v>5407</v>
      </c>
      <c r="AQ76" s="2384" t="str">
        <f t="shared" si="9"/>
        <v xml:space="preserve"> * El total de registros en Pueblos Originarios no debe ser mayor al Total. * El total de registros en Migrantes no debe ser mayor al Total.</v>
      </c>
      <c r="CB76" s="2384" t="str">
        <f t="shared" si="10"/>
        <v xml:space="preserve"> * El total de registros en Pueblos Originarios no debe ser mayor al Total.</v>
      </c>
      <c r="CC76" s="2384" t="str">
        <f t="shared" si="11"/>
        <v xml:space="preserve"> * El total de registros en Migrantes no debe ser mayor al Total.</v>
      </c>
      <c r="CD76" s="2384" t="str">
        <f t="shared" si="12"/>
        <v/>
      </c>
      <c r="CK76" s="2384">
        <f t="shared" si="13"/>
        <v>1</v>
      </c>
      <c r="CL76" s="2384">
        <f t="shared" si="14"/>
        <v>1</v>
      </c>
    </row>
    <row r="77" spans="1:90" ht="15.75" customHeight="1" x14ac:dyDescent="0.3">
      <c r="A77" s="7320">
        <v>32101646</v>
      </c>
      <c r="B77" s="11442"/>
      <c r="C77" s="7850" t="s">
        <v>3074</v>
      </c>
      <c r="D77" s="7843" t="s">
        <v>5369</v>
      </c>
      <c r="E77" s="7851" t="s">
        <v>5370</v>
      </c>
      <c r="F77" s="7843" t="s">
        <v>5371</v>
      </c>
      <c r="G77" s="7852" t="s">
        <v>5372</v>
      </c>
      <c r="H77" s="7846" t="s">
        <v>5373</v>
      </c>
      <c r="I77" s="7852" t="s">
        <v>5374</v>
      </c>
      <c r="J77" s="7846" t="s">
        <v>5375</v>
      </c>
      <c r="K77" s="7852" t="s">
        <v>5376</v>
      </c>
      <c r="L77" s="7846" t="s">
        <v>5377</v>
      </c>
      <c r="M77" s="7852" t="s">
        <v>5378</v>
      </c>
      <c r="N77" s="7846" t="s">
        <v>5379</v>
      </c>
      <c r="O77" s="7852" t="s">
        <v>5380</v>
      </c>
      <c r="P77" s="7846" t="s">
        <v>5381</v>
      </c>
      <c r="Q77" s="7852" t="s">
        <v>5382</v>
      </c>
      <c r="R77" s="7846" t="s">
        <v>5383</v>
      </c>
      <c r="S77" s="7852" t="s">
        <v>5384</v>
      </c>
      <c r="T77" s="7846" t="s">
        <v>5385</v>
      </c>
      <c r="U77" s="7852" t="s">
        <v>5386</v>
      </c>
      <c r="V77" s="7846" t="s">
        <v>5387</v>
      </c>
      <c r="W77" s="7852" t="s">
        <v>5388</v>
      </c>
      <c r="X77" s="7846" t="s">
        <v>5389</v>
      </c>
      <c r="Y77" s="7852" t="s">
        <v>5390</v>
      </c>
      <c r="Z77" s="7846" t="s">
        <v>5391</v>
      </c>
      <c r="AA77" s="7852" t="s">
        <v>5392</v>
      </c>
      <c r="AB77" s="7846" t="s">
        <v>5393</v>
      </c>
      <c r="AC77" s="7852" t="s">
        <v>5394</v>
      </c>
      <c r="AD77" s="7846" t="s">
        <v>5395</v>
      </c>
      <c r="AE77" s="7852" t="s">
        <v>5396</v>
      </c>
      <c r="AF77" s="7846" t="s">
        <v>5397</v>
      </c>
      <c r="AG77" s="7852" t="s">
        <v>5398</v>
      </c>
      <c r="AH77" s="7846" t="s">
        <v>5399</v>
      </c>
      <c r="AI77" s="7852" t="s">
        <v>5400</v>
      </c>
      <c r="AJ77" s="7846" t="s">
        <v>5401</v>
      </c>
      <c r="AK77" s="7852" t="s">
        <v>5402</v>
      </c>
      <c r="AL77" s="7846" t="s">
        <v>5403</v>
      </c>
      <c r="AM77" s="7852" t="s">
        <v>5404</v>
      </c>
      <c r="AN77" s="7848" t="s">
        <v>5405</v>
      </c>
      <c r="AO77" s="7849" t="s">
        <v>5406</v>
      </c>
      <c r="AP77" s="7846" t="s">
        <v>5407</v>
      </c>
      <c r="AQ77" s="2384" t="str">
        <f t="shared" si="9"/>
        <v xml:space="preserve"> * El total de registros en Pueblos Originarios no debe ser mayor al Total. * El total de registros en Migrantes no debe ser mayor al Total.</v>
      </c>
      <c r="CB77" s="2384" t="str">
        <f t="shared" si="10"/>
        <v xml:space="preserve"> * El total de registros en Pueblos Originarios no debe ser mayor al Total.</v>
      </c>
      <c r="CC77" s="2384" t="str">
        <f t="shared" si="11"/>
        <v xml:space="preserve"> * El total de registros en Migrantes no debe ser mayor al Total.</v>
      </c>
      <c r="CD77" s="2384" t="str">
        <f t="shared" si="12"/>
        <v/>
      </c>
      <c r="CK77" s="2384">
        <f t="shared" si="13"/>
        <v>1</v>
      </c>
      <c r="CL77" s="2384">
        <f t="shared" si="14"/>
        <v>1</v>
      </c>
    </row>
    <row r="78" spans="1:90" ht="15.75" customHeight="1" x14ac:dyDescent="0.3">
      <c r="A78" s="7320">
        <v>32101647</v>
      </c>
      <c r="B78" s="11442"/>
      <c r="C78" s="7850" t="s">
        <v>3075</v>
      </c>
      <c r="D78" s="7843" t="s">
        <v>5369</v>
      </c>
      <c r="E78" s="7851" t="s">
        <v>5370</v>
      </c>
      <c r="F78" s="7843" t="s">
        <v>5371</v>
      </c>
      <c r="G78" s="7852" t="s">
        <v>5372</v>
      </c>
      <c r="H78" s="7846" t="s">
        <v>5373</v>
      </c>
      <c r="I78" s="7852" t="s">
        <v>5374</v>
      </c>
      <c r="J78" s="7846" t="s">
        <v>5375</v>
      </c>
      <c r="K78" s="7852" t="s">
        <v>5376</v>
      </c>
      <c r="L78" s="7846" t="s">
        <v>5377</v>
      </c>
      <c r="M78" s="7852" t="s">
        <v>5378</v>
      </c>
      <c r="N78" s="7846" t="s">
        <v>5379</v>
      </c>
      <c r="O78" s="7852" t="s">
        <v>5380</v>
      </c>
      <c r="P78" s="7846" t="s">
        <v>5381</v>
      </c>
      <c r="Q78" s="7852" t="s">
        <v>5382</v>
      </c>
      <c r="R78" s="7846" t="s">
        <v>5383</v>
      </c>
      <c r="S78" s="7852" t="s">
        <v>5384</v>
      </c>
      <c r="T78" s="7846" t="s">
        <v>5385</v>
      </c>
      <c r="U78" s="7852" t="s">
        <v>5386</v>
      </c>
      <c r="V78" s="7846" t="s">
        <v>5387</v>
      </c>
      <c r="W78" s="7852" t="s">
        <v>5388</v>
      </c>
      <c r="X78" s="7846" t="s">
        <v>5389</v>
      </c>
      <c r="Y78" s="7852" t="s">
        <v>5390</v>
      </c>
      <c r="Z78" s="7846" t="s">
        <v>5391</v>
      </c>
      <c r="AA78" s="7852" t="s">
        <v>5392</v>
      </c>
      <c r="AB78" s="7846" t="s">
        <v>5393</v>
      </c>
      <c r="AC78" s="7852" t="s">
        <v>5394</v>
      </c>
      <c r="AD78" s="7846" t="s">
        <v>5395</v>
      </c>
      <c r="AE78" s="7852" t="s">
        <v>5396</v>
      </c>
      <c r="AF78" s="7846" t="s">
        <v>5397</v>
      </c>
      <c r="AG78" s="7852" t="s">
        <v>5398</v>
      </c>
      <c r="AH78" s="7846" t="s">
        <v>5399</v>
      </c>
      <c r="AI78" s="7852" t="s">
        <v>5400</v>
      </c>
      <c r="AJ78" s="7846" t="s">
        <v>5401</v>
      </c>
      <c r="AK78" s="7852" t="s">
        <v>5402</v>
      </c>
      <c r="AL78" s="7846" t="s">
        <v>5403</v>
      </c>
      <c r="AM78" s="7852" t="s">
        <v>5404</v>
      </c>
      <c r="AN78" s="7848" t="s">
        <v>5405</v>
      </c>
      <c r="AO78" s="7849" t="s">
        <v>5406</v>
      </c>
      <c r="AP78" s="7846" t="s">
        <v>5407</v>
      </c>
      <c r="AQ78" s="2384" t="str">
        <f t="shared" si="9"/>
        <v xml:space="preserve"> * El total de registros en Pueblos Originarios no debe ser mayor al Total. * El total de registros en Migrantes no debe ser mayor al Total.</v>
      </c>
      <c r="CB78" s="2384" t="str">
        <f t="shared" si="10"/>
        <v xml:space="preserve"> * El total de registros en Pueblos Originarios no debe ser mayor al Total.</v>
      </c>
      <c r="CC78" s="2384" t="str">
        <f t="shared" si="11"/>
        <v xml:space="preserve"> * El total de registros en Migrantes no debe ser mayor al Total.</v>
      </c>
      <c r="CD78" s="2384" t="str">
        <f t="shared" si="12"/>
        <v/>
      </c>
      <c r="CK78" s="2384">
        <f t="shared" si="13"/>
        <v>1</v>
      </c>
      <c r="CL78" s="2384">
        <f t="shared" si="14"/>
        <v>1</v>
      </c>
    </row>
    <row r="79" spans="1:90" ht="27" customHeight="1" x14ac:dyDescent="0.3">
      <c r="A79" s="7320">
        <v>32101648</v>
      </c>
      <c r="B79" s="11442"/>
      <c r="C79" s="7853" t="s">
        <v>3076</v>
      </c>
      <c r="D79" s="7843" t="s">
        <v>5369</v>
      </c>
      <c r="E79" s="7851" t="s">
        <v>5370</v>
      </c>
      <c r="F79" s="7843" t="s">
        <v>5371</v>
      </c>
      <c r="G79" s="7852" t="s">
        <v>5372</v>
      </c>
      <c r="H79" s="7846" t="s">
        <v>5373</v>
      </c>
      <c r="I79" s="7852" t="s">
        <v>5374</v>
      </c>
      <c r="J79" s="7846" t="s">
        <v>5375</v>
      </c>
      <c r="K79" s="7852" t="s">
        <v>5376</v>
      </c>
      <c r="L79" s="7846" t="s">
        <v>5377</v>
      </c>
      <c r="M79" s="7852" t="s">
        <v>5378</v>
      </c>
      <c r="N79" s="7846" t="s">
        <v>5379</v>
      </c>
      <c r="O79" s="7852" t="s">
        <v>5380</v>
      </c>
      <c r="P79" s="7846" t="s">
        <v>5381</v>
      </c>
      <c r="Q79" s="7852" t="s">
        <v>5382</v>
      </c>
      <c r="R79" s="7846" t="s">
        <v>5383</v>
      </c>
      <c r="S79" s="7852" t="s">
        <v>5384</v>
      </c>
      <c r="T79" s="7846" t="s">
        <v>5385</v>
      </c>
      <c r="U79" s="7852" t="s">
        <v>5386</v>
      </c>
      <c r="V79" s="7846" t="s">
        <v>5387</v>
      </c>
      <c r="W79" s="7852" t="s">
        <v>5388</v>
      </c>
      <c r="X79" s="7846" t="s">
        <v>5389</v>
      </c>
      <c r="Y79" s="7852" t="s">
        <v>5390</v>
      </c>
      <c r="Z79" s="7846" t="s">
        <v>5391</v>
      </c>
      <c r="AA79" s="7852" t="s">
        <v>5392</v>
      </c>
      <c r="AB79" s="7846" t="s">
        <v>5393</v>
      </c>
      <c r="AC79" s="7852" t="s">
        <v>5394</v>
      </c>
      <c r="AD79" s="7846" t="s">
        <v>5395</v>
      </c>
      <c r="AE79" s="7852" t="s">
        <v>5396</v>
      </c>
      <c r="AF79" s="7846" t="s">
        <v>5397</v>
      </c>
      <c r="AG79" s="7852" t="s">
        <v>5398</v>
      </c>
      <c r="AH79" s="7846" t="s">
        <v>5399</v>
      </c>
      <c r="AI79" s="7852" t="s">
        <v>5400</v>
      </c>
      <c r="AJ79" s="7846" t="s">
        <v>5401</v>
      </c>
      <c r="AK79" s="7852" t="s">
        <v>5402</v>
      </c>
      <c r="AL79" s="7846" t="s">
        <v>5403</v>
      </c>
      <c r="AM79" s="7852" t="s">
        <v>5404</v>
      </c>
      <c r="AN79" s="7848" t="s">
        <v>5405</v>
      </c>
      <c r="AO79" s="7849" t="s">
        <v>5406</v>
      </c>
      <c r="AP79" s="7846" t="s">
        <v>5407</v>
      </c>
      <c r="AQ79" s="2384" t="str">
        <f t="shared" si="9"/>
        <v xml:space="preserve"> * El total de registros en Pueblos Originarios no debe ser mayor al Total. * El total de registros en Migrantes no debe ser mayor al Total.</v>
      </c>
      <c r="CB79" s="2384" t="str">
        <f t="shared" si="10"/>
        <v xml:space="preserve"> * El total de registros en Pueblos Originarios no debe ser mayor al Total.</v>
      </c>
      <c r="CC79" s="2384" t="str">
        <f t="shared" si="11"/>
        <v xml:space="preserve"> * El total de registros en Migrantes no debe ser mayor al Total.</v>
      </c>
      <c r="CD79" s="2384" t="str">
        <f t="shared" si="12"/>
        <v/>
      </c>
      <c r="CK79" s="2384">
        <f t="shared" si="13"/>
        <v>1</v>
      </c>
      <c r="CL79" s="2384">
        <f t="shared" si="14"/>
        <v>1</v>
      </c>
    </row>
    <row r="80" spans="1:90" ht="15.75" customHeight="1" x14ac:dyDescent="0.3">
      <c r="A80" s="7320">
        <v>32101649</v>
      </c>
      <c r="B80" s="11442"/>
      <c r="C80" s="7850" t="s">
        <v>3077</v>
      </c>
      <c r="D80" s="7843" t="s">
        <v>5369</v>
      </c>
      <c r="E80" s="7851" t="s">
        <v>5370</v>
      </c>
      <c r="F80" s="7843" t="s">
        <v>5371</v>
      </c>
      <c r="G80" s="7852" t="s">
        <v>5372</v>
      </c>
      <c r="H80" s="7846" t="s">
        <v>5373</v>
      </c>
      <c r="I80" s="7852" t="s">
        <v>5374</v>
      </c>
      <c r="J80" s="7846" t="s">
        <v>5375</v>
      </c>
      <c r="K80" s="7852" t="s">
        <v>5376</v>
      </c>
      <c r="L80" s="7846" t="s">
        <v>5377</v>
      </c>
      <c r="M80" s="7852" t="s">
        <v>5378</v>
      </c>
      <c r="N80" s="7846" t="s">
        <v>5379</v>
      </c>
      <c r="O80" s="7852" t="s">
        <v>5380</v>
      </c>
      <c r="P80" s="7846" t="s">
        <v>5381</v>
      </c>
      <c r="Q80" s="7852" t="s">
        <v>5382</v>
      </c>
      <c r="R80" s="7846" t="s">
        <v>5383</v>
      </c>
      <c r="S80" s="7852" t="s">
        <v>5384</v>
      </c>
      <c r="T80" s="7846" t="s">
        <v>5385</v>
      </c>
      <c r="U80" s="7852" t="s">
        <v>5386</v>
      </c>
      <c r="V80" s="7846" t="s">
        <v>5387</v>
      </c>
      <c r="W80" s="7852" t="s">
        <v>5388</v>
      </c>
      <c r="X80" s="7846" t="s">
        <v>5389</v>
      </c>
      <c r="Y80" s="7852" t="s">
        <v>5390</v>
      </c>
      <c r="Z80" s="7846" t="s">
        <v>5391</v>
      </c>
      <c r="AA80" s="7852" t="s">
        <v>5392</v>
      </c>
      <c r="AB80" s="7846" t="s">
        <v>5393</v>
      </c>
      <c r="AC80" s="7852" t="s">
        <v>5394</v>
      </c>
      <c r="AD80" s="7846" t="s">
        <v>5395</v>
      </c>
      <c r="AE80" s="7852" t="s">
        <v>5396</v>
      </c>
      <c r="AF80" s="7846" t="s">
        <v>5397</v>
      </c>
      <c r="AG80" s="7852" t="s">
        <v>5398</v>
      </c>
      <c r="AH80" s="7846" t="s">
        <v>5399</v>
      </c>
      <c r="AI80" s="7852" t="s">
        <v>5400</v>
      </c>
      <c r="AJ80" s="7846" t="s">
        <v>5401</v>
      </c>
      <c r="AK80" s="7852" t="s">
        <v>5402</v>
      </c>
      <c r="AL80" s="7846" t="s">
        <v>5403</v>
      </c>
      <c r="AM80" s="7852" t="s">
        <v>5404</v>
      </c>
      <c r="AN80" s="7848" t="s">
        <v>5405</v>
      </c>
      <c r="AO80" s="7849" t="s">
        <v>5406</v>
      </c>
      <c r="AP80" s="7846" t="s">
        <v>5407</v>
      </c>
      <c r="AQ80" s="2384" t="str">
        <f t="shared" si="9"/>
        <v xml:space="preserve"> * El total de registros en Pueblos Originarios no debe ser mayor al Total. * El total de registros en Migrantes no debe ser mayor al Total.</v>
      </c>
      <c r="CB80" s="2384" t="str">
        <f t="shared" si="10"/>
        <v xml:space="preserve"> * El total de registros en Pueblos Originarios no debe ser mayor al Total.</v>
      </c>
      <c r="CC80" s="2384" t="str">
        <f t="shared" si="11"/>
        <v xml:space="preserve"> * El total de registros en Migrantes no debe ser mayor al Total.</v>
      </c>
      <c r="CD80" s="2384" t="str">
        <f t="shared" si="12"/>
        <v/>
      </c>
      <c r="CK80" s="2384">
        <f t="shared" si="13"/>
        <v>1</v>
      </c>
      <c r="CL80" s="2384">
        <f t="shared" si="14"/>
        <v>1</v>
      </c>
    </row>
    <row r="81" spans="1:90" ht="15.75" customHeight="1" x14ac:dyDescent="0.3">
      <c r="A81" s="7320">
        <v>32101650</v>
      </c>
      <c r="B81" s="11442"/>
      <c r="C81" s="7850" t="s">
        <v>3078</v>
      </c>
      <c r="D81" s="7843" t="s">
        <v>5369</v>
      </c>
      <c r="E81" s="7851" t="s">
        <v>5370</v>
      </c>
      <c r="F81" s="7843" t="s">
        <v>5371</v>
      </c>
      <c r="G81" s="7852" t="s">
        <v>5372</v>
      </c>
      <c r="H81" s="7846" t="s">
        <v>5373</v>
      </c>
      <c r="I81" s="7852" t="s">
        <v>5374</v>
      </c>
      <c r="J81" s="7846" t="s">
        <v>5375</v>
      </c>
      <c r="K81" s="7852" t="s">
        <v>5376</v>
      </c>
      <c r="L81" s="7846" t="s">
        <v>5377</v>
      </c>
      <c r="M81" s="7852" t="s">
        <v>5378</v>
      </c>
      <c r="N81" s="7846" t="s">
        <v>5379</v>
      </c>
      <c r="O81" s="7852" t="s">
        <v>5380</v>
      </c>
      <c r="P81" s="7846" t="s">
        <v>5381</v>
      </c>
      <c r="Q81" s="7852" t="s">
        <v>5382</v>
      </c>
      <c r="R81" s="7846" t="s">
        <v>5383</v>
      </c>
      <c r="S81" s="7852" t="s">
        <v>5384</v>
      </c>
      <c r="T81" s="7846" t="s">
        <v>5385</v>
      </c>
      <c r="U81" s="7852" t="s">
        <v>5386</v>
      </c>
      <c r="V81" s="7846" t="s">
        <v>5387</v>
      </c>
      <c r="W81" s="7852" t="s">
        <v>5388</v>
      </c>
      <c r="X81" s="7846" t="s">
        <v>5389</v>
      </c>
      <c r="Y81" s="7852" t="s">
        <v>5390</v>
      </c>
      <c r="Z81" s="7846" t="s">
        <v>5391</v>
      </c>
      <c r="AA81" s="7852" t="s">
        <v>5392</v>
      </c>
      <c r="AB81" s="7846" t="s">
        <v>5393</v>
      </c>
      <c r="AC81" s="7852" t="s">
        <v>5394</v>
      </c>
      <c r="AD81" s="7846" t="s">
        <v>5395</v>
      </c>
      <c r="AE81" s="7852" t="s">
        <v>5396</v>
      </c>
      <c r="AF81" s="7846" t="s">
        <v>5397</v>
      </c>
      <c r="AG81" s="7852" t="s">
        <v>5398</v>
      </c>
      <c r="AH81" s="7846" t="s">
        <v>5399</v>
      </c>
      <c r="AI81" s="7852" t="s">
        <v>5400</v>
      </c>
      <c r="AJ81" s="7846" t="s">
        <v>5401</v>
      </c>
      <c r="AK81" s="7852" t="s">
        <v>5402</v>
      </c>
      <c r="AL81" s="7846" t="s">
        <v>5403</v>
      </c>
      <c r="AM81" s="7852" t="s">
        <v>5404</v>
      </c>
      <c r="AN81" s="7848" t="s">
        <v>5405</v>
      </c>
      <c r="AO81" s="7849" t="s">
        <v>5406</v>
      </c>
      <c r="AP81" s="7846" t="s">
        <v>5407</v>
      </c>
      <c r="AQ81" s="2384" t="str">
        <f t="shared" si="9"/>
        <v xml:space="preserve"> * El total de registros en Pueblos Originarios no debe ser mayor al Total. * El total de registros en Migrantes no debe ser mayor al Total.</v>
      </c>
      <c r="CB81" s="2384" t="str">
        <f t="shared" si="10"/>
        <v xml:space="preserve"> * El total de registros en Pueblos Originarios no debe ser mayor al Total.</v>
      </c>
      <c r="CC81" s="2384" t="str">
        <f t="shared" si="11"/>
        <v xml:space="preserve"> * El total de registros en Migrantes no debe ser mayor al Total.</v>
      </c>
      <c r="CD81" s="2384" t="str">
        <f t="shared" si="12"/>
        <v/>
      </c>
      <c r="CK81" s="2384">
        <f t="shared" si="13"/>
        <v>1</v>
      </c>
      <c r="CL81" s="2384">
        <f t="shared" si="14"/>
        <v>1</v>
      </c>
    </row>
    <row r="82" spans="1:90" ht="15.75" customHeight="1" x14ac:dyDescent="0.3">
      <c r="A82" s="7320">
        <v>32101651</v>
      </c>
      <c r="B82" s="11442"/>
      <c r="C82" s="7850" t="s">
        <v>3079</v>
      </c>
      <c r="D82" s="7843" t="s">
        <v>5369</v>
      </c>
      <c r="E82" s="7851" t="s">
        <v>5370</v>
      </c>
      <c r="F82" s="7843" t="s">
        <v>5371</v>
      </c>
      <c r="G82" s="7852" t="s">
        <v>5372</v>
      </c>
      <c r="H82" s="7846" t="s">
        <v>5373</v>
      </c>
      <c r="I82" s="7852" t="s">
        <v>5374</v>
      </c>
      <c r="J82" s="7846" t="s">
        <v>5375</v>
      </c>
      <c r="K82" s="7852" t="s">
        <v>5376</v>
      </c>
      <c r="L82" s="7846" t="s">
        <v>5377</v>
      </c>
      <c r="M82" s="7852" t="s">
        <v>5378</v>
      </c>
      <c r="N82" s="7846" t="s">
        <v>5379</v>
      </c>
      <c r="O82" s="7852" t="s">
        <v>5380</v>
      </c>
      <c r="P82" s="7846" t="s">
        <v>5381</v>
      </c>
      <c r="Q82" s="7852" t="s">
        <v>5382</v>
      </c>
      <c r="R82" s="7846" t="s">
        <v>5383</v>
      </c>
      <c r="S82" s="7852" t="s">
        <v>5384</v>
      </c>
      <c r="T82" s="7846" t="s">
        <v>5385</v>
      </c>
      <c r="U82" s="7852" t="s">
        <v>5386</v>
      </c>
      <c r="V82" s="7846" t="s">
        <v>5387</v>
      </c>
      <c r="W82" s="7852" t="s">
        <v>5388</v>
      </c>
      <c r="X82" s="7846" t="s">
        <v>5389</v>
      </c>
      <c r="Y82" s="7852" t="s">
        <v>5390</v>
      </c>
      <c r="Z82" s="7846" t="s">
        <v>5391</v>
      </c>
      <c r="AA82" s="7852" t="s">
        <v>5392</v>
      </c>
      <c r="AB82" s="7846" t="s">
        <v>5393</v>
      </c>
      <c r="AC82" s="7852" t="s">
        <v>5394</v>
      </c>
      <c r="AD82" s="7846" t="s">
        <v>5395</v>
      </c>
      <c r="AE82" s="7852" t="s">
        <v>5396</v>
      </c>
      <c r="AF82" s="7846" t="s">
        <v>5397</v>
      </c>
      <c r="AG82" s="7852" t="s">
        <v>5398</v>
      </c>
      <c r="AH82" s="7846" t="s">
        <v>5399</v>
      </c>
      <c r="AI82" s="7852" t="s">
        <v>5400</v>
      </c>
      <c r="AJ82" s="7846" t="s">
        <v>5401</v>
      </c>
      <c r="AK82" s="7852" t="s">
        <v>5402</v>
      </c>
      <c r="AL82" s="7846" t="s">
        <v>5403</v>
      </c>
      <c r="AM82" s="7852" t="s">
        <v>5404</v>
      </c>
      <c r="AN82" s="7848" t="s">
        <v>5405</v>
      </c>
      <c r="AO82" s="7849" t="s">
        <v>5406</v>
      </c>
      <c r="AP82" s="7846" t="s">
        <v>5407</v>
      </c>
      <c r="AQ82" s="2384" t="str">
        <f t="shared" si="9"/>
        <v xml:space="preserve"> * El total de registros en Pueblos Originarios no debe ser mayor al Total. * El total de registros en Migrantes no debe ser mayor al Total.</v>
      </c>
      <c r="CB82" s="2384" t="str">
        <f t="shared" si="10"/>
        <v xml:space="preserve"> * El total de registros en Pueblos Originarios no debe ser mayor al Total.</v>
      </c>
      <c r="CC82" s="2384" t="str">
        <f t="shared" si="11"/>
        <v xml:space="preserve"> * El total de registros en Migrantes no debe ser mayor al Total.</v>
      </c>
      <c r="CD82" s="2384" t="str">
        <f t="shared" si="12"/>
        <v/>
      </c>
      <c r="CK82" s="2384">
        <f t="shared" si="13"/>
        <v>1</v>
      </c>
      <c r="CL82" s="2384">
        <f t="shared" si="14"/>
        <v>1</v>
      </c>
    </row>
    <row r="83" spans="1:90" ht="15.75" customHeight="1" x14ac:dyDescent="0.3">
      <c r="A83" s="7320">
        <v>32101652</v>
      </c>
      <c r="B83" s="11442"/>
      <c r="C83" s="7850" t="s">
        <v>3080</v>
      </c>
      <c r="D83" s="7843" t="s">
        <v>5369</v>
      </c>
      <c r="E83" s="7851" t="s">
        <v>5370</v>
      </c>
      <c r="F83" s="7843" t="s">
        <v>5371</v>
      </c>
      <c r="G83" s="7852" t="s">
        <v>5372</v>
      </c>
      <c r="H83" s="7846" t="s">
        <v>5373</v>
      </c>
      <c r="I83" s="7852" t="s">
        <v>5374</v>
      </c>
      <c r="J83" s="7846" t="s">
        <v>5375</v>
      </c>
      <c r="K83" s="7852" t="s">
        <v>5376</v>
      </c>
      <c r="L83" s="7846" t="s">
        <v>5377</v>
      </c>
      <c r="M83" s="7852" t="s">
        <v>5378</v>
      </c>
      <c r="N83" s="7846" t="s">
        <v>5379</v>
      </c>
      <c r="O83" s="7852" t="s">
        <v>5380</v>
      </c>
      <c r="P83" s="7846" t="s">
        <v>5381</v>
      </c>
      <c r="Q83" s="7852" t="s">
        <v>5382</v>
      </c>
      <c r="R83" s="7846" t="s">
        <v>5383</v>
      </c>
      <c r="S83" s="7852" t="s">
        <v>5384</v>
      </c>
      <c r="T83" s="7846" t="s">
        <v>5385</v>
      </c>
      <c r="U83" s="7852" t="s">
        <v>5386</v>
      </c>
      <c r="V83" s="7846" t="s">
        <v>5387</v>
      </c>
      <c r="W83" s="7852" t="s">
        <v>5388</v>
      </c>
      <c r="X83" s="7846" t="s">
        <v>5389</v>
      </c>
      <c r="Y83" s="7852" t="s">
        <v>5390</v>
      </c>
      <c r="Z83" s="7846" t="s">
        <v>5391</v>
      </c>
      <c r="AA83" s="7852" t="s">
        <v>5392</v>
      </c>
      <c r="AB83" s="7846" t="s">
        <v>5393</v>
      </c>
      <c r="AC83" s="7852" t="s">
        <v>5394</v>
      </c>
      <c r="AD83" s="7846" t="s">
        <v>5395</v>
      </c>
      <c r="AE83" s="7852" t="s">
        <v>5396</v>
      </c>
      <c r="AF83" s="7846" t="s">
        <v>5397</v>
      </c>
      <c r="AG83" s="7852" t="s">
        <v>5398</v>
      </c>
      <c r="AH83" s="7846" t="s">
        <v>5399</v>
      </c>
      <c r="AI83" s="7852" t="s">
        <v>5400</v>
      </c>
      <c r="AJ83" s="7846" t="s">
        <v>5401</v>
      </c>
      <c r="AK83" s="7852" t="s">
        <v>5402</v>
      </c>
      <c r="AL83" s="7846" t="s">
        <v>5403</v>
      </c>
      <c r="AM83" s="7852" t="s">
        <v>5404</v>
      </c>
      <c r="AN83" s="7848" t="s">
        <v>5405</v>
      </c>
      <c r="AO83" s="7849" t="s">
        <v>5406</v>
      </c>
      <c r="AP83" s="7846" t="s">
        <v>5407</v>
      </c>
      <c r="AQ83" s="2384" t="str">
        <f t="shared" si="9"/>
        <v xml:space="preserve"> * El total de registros en Pueblos Originarios no debe ser mayor al Total. * El total de registros en Migrantes no debe ser mayor al Total.</v>
      </c>
      <c r="CB83" s="2384" t="str">
        <f t="shared" si="10"/>
        <v xml:space="preserve"> * El total de registros en Pueblos Originarios no debe ser mayor al Total.</v>
      </c>
      <c r="CC83" s="2384" t="str">
        <f t="shared" si="11"/>
        <v xml:space="preserve"> * El total de registros en Migrantes no debe ser mayor al Total.</v>
      </c>
      <c r="CD83" s="2384" t="str">
        <f t="shared" si="12"/>
        <v/>
      </c>
      <c r="CK83" s="2384">
        <f t="shared" si="13"/>
        <v>1</v>
      </c>
      <c r="CL83" s="2384">
        <f t="shared" si="14"/>
        <v>1</v>
      </c>
    </row>
    <row r="84" spans="1:90" ht="26.25" customHeight="1" x14ac:dyDescent="0.3">
      <c r="A84" s="7320">
        <v>32101653</v>
      </c>
      <c r="B84" s="11442"/>
      <c r="C84" s="7853" t="s">
        <v>3081</v>
      </c>
      <c r="D84" s="7843" t="s">
        <v>5369</v>
      </c>
      <c r="E84" s="7851" t="s">
        <v>5370</v>
      </c>
      <c r="F84" s="7843" t="s">
        <v>5371</v>
      </c>
      <c r="G84" s="7852" t="s">
        <v>5372</v>
      </c>
      <c r="H84" s="7846" t="s">
        <v>5373</v>
      </c>
      <c r="I84" s="7852" t="s">
        <v>5374</v>
      </c>
      <c r="J84" s="7846" t="s">
        <v>5375</v>
      </c>
      <c r="K84" s="7852" t="s">
        <v>5376</v>
      </c>
      <c r="L84" s="7846" t="s">
        <v>5377</v>
      </c>
      <c r="M84" s="7852" t="s">
        <v>5378</v>
      </c>
      <c r="N84" s="7846" t="s">
        <v>5379</v>
      </c>
      <c r="O84" s="7852" t="s">
        <v>5380</v>
      </c>
      <c r="P84" s="7846" t="s">
        <v>5381</v>
      </c>
      <c r="Q84" s="7852" t="s">
        <v>5382</v>
      </c>
      <c r="R84" s="7846" t="s">
        <v>5383</v>
      </c>
      <c r="S84" s="7852" t="s">
        <v>5384</v>
      </c>
      <c r="T84" s="7846" t="s">
        <v>5385</v>
      </c>
      <c r="U84" s="7852" t="s">
        <v>5386</v>
      </c>
      <c r="V84" s="7846" t="s">
        <v>5387</v>
      </c>
      <c r="W84" s="7852" t="s">
        <v>5388</v>
      </c>
      <c r="X84" s="7846" t="s">
        <v>5389</v>
      </c>
      <c r="Y84" s="7852" t="s">
        <v>5390</v>
      </c>
      <c r="Z84" s="7846" t="s">
        <v>5391</v>
      </c>
      <c r="AA84" s="7852" t="s">
        <v>5392</v>
      </c>
      <c r="AB84" s="7846" t="s">
        <v>5393</v>
      </c>
      <c r="AC84" s="7852" t="s">
        <v>5394</v>
      </c>
      <c r="AD84" s="7846" t="s">
        <v>5395</v>
      </c>
      <c r="AE84" s="7852" t="s">
        <v>5396</v>
      </c>
      <c r="AF84" s="7846" t="s">
        <v>5397</v>
      </c>
      <c r="AG84" s="7852" t="s">
        <v>5398</v>
      </c>
      <c r="AH84" s="7846" t="s">
        <v>5399</v>
      </c>
      <c r="AI84" s="7852" t="s">
        <v>5400</v>
      </c>
      <c r="AJ84" s="7846" t="s">
        <v>5401</v>
      </c>
      <c r="AK84" s="7852" t="s">
        <v>5402</v>
      </c>
      <c r="AL84" s="7846" t="s">
        <v>5403</v>
      </c>
      <c r="AM84" s="7852" t="s">
        <v>5404</v>
      </c>
      <c r="AN84" s="7848" t="s">
        <v>5405</v>
      </c>
      <c r="AO84" s="7849" t="s">
        <v>5406</v>
      </c>
      <c r="AP84" s="7846" t="s">
        <v>5407</v>
      </c>
      <c r="AQ84" s="2384" t="str">
        <f t="shared" si="9"/>
        <v xml:space="preserve"> * El total de registros en Pueblos Originarios no debe ser mayor al Total. * El total de registros en Migrantes no debe ser mayor al Total.</v>
      </c>
      <c r="CB84" s="2384" t="str">
        <f t="shared" si="10"/>
        <v xml:space="preserve"> * El total de registros en Pueblos Originarios no debe ser mayor al Total.</v>
      </c>
      <c r="CC84" s="2384" t="str">
        <f t="shared" si="11"/>
        <v xml:space="preserve"> * El total de registros en Migrantes no debe ser mayor al Total.</v>
      </c>
      <c r="CD84" s="2384" t="str">
        <f t="shared" si="12"/>
        <v/>
      </c>
      <c r="CK84" s="2384">
        <f t="shared" si="13"/>
        <v>1</v>
      </c>
      <c r="CL84" s="2384">
        <f t="shared" si="14"/>
        <v>1</v>
      </c>
    </row>
    <row r="85" spans="1:90" ht="15.75" customHeight="1" x14ac:dyDescent="0.3">
      <c r="A85" s="7320">
        <v>32101654</v>
      </c>
      <c r="B85" s="11443"/>
      <c r="C85" s="7868" t="s">
        <v>373</v>
      </c>
      <c r="D85" s="7855" t="s">
        <v>5369</v>
      </c>
      <c r="E85" s="7856" t="s">
        <v>5370</v>
      </c>
      <c r="F85" s="7855" t="s">
        <v>5371</v>
      </c>
      <c r="G85" s="7857" t="s">
        <v>5372</v>
      </c>
      <c r="H85" s="7858" t="s">
        <v>5373</v>
      </c>
      <c r="I85" s="7857" t="s">
        <v>5374</v>
      </c>
      <c r="J85" s="7858" t="s">
        <v>5375</v>
      </c>
      <c r="K85" s="7857" t="s">
        <v>5376</v>
      </c>
      <c r="L85" s="7858" t="s">
        <v>5377</v>
      </c>
      <c r="M85" s="7857" t="s">
        <v>5378</v>
      </c>
      <c r="N85" s="7858" t="s">
        <v>5379</v>
      </c>
      <c r="O85" s="7857" t="s">
        <v>5380</v>
      </c>
      <c r="P85" s="7858" t="s">
        <v>5381</v>
      </c>
      <c r="Q85" s="7857" t="s">
        <v>5382</v>
      </c>
      <c r="R85" s="7858" t="s">
        <v>5383</v>
      </c>
      <c r="S85" s="7857" t="s">
        <v>5384</v>
      </c>
      <c r="T85" s="7858" t="s">
        <v>5385</v>
      </c>
      <c r="U85" s="7857" t="s">
        <v>5386</v>
      </c>
      <c r="V85" s="7858" t="s">
        <v>5387</v>
      </c>
      <c r="W85" s="7857" t="s">
        <v>5388</v>
      </c>
      <c r="X85" s="7858" t="s">
        <v>5389</v>
      </c>
      <c r="Y85" s="7857" t="s">
        <v>5390</v>
      </c>
      <c r="Z85" s="7858" t="s">
        <v>5391</v>
      </c>
      <c r="AA85" s="7857" t="s">
        <v>5392</v>
      </c>
      <c r="AB85" s="7858" t="s">
        <v>5393</v>
      </c>
      <c r="AC85" s="7857" t="s">
        <v>5394</v>
      </c>
      <c r="AD85" s="7858" t="s">
        <v>5395</v>
      </c>
      <c r="AE85" s="7857" t="s">
        <v>5396</v>
      </c>
      <c r="AF85" s="7858" t="s">
        <v>5397</v>
      </c>
      <c r="AG85" s="7857" t="s">
        <v>5398</v>
      </c>
      <c r="AH85" s="7858" t="s">
        <v>5399</v>
      </c>
      <c r="AI85" s="7857" t="s">
        <v>5400</v>
      </c>
      <c r="AJ85" s="7858" t="s">
        <v>5401</v>
      </c>
      <c r="AK85" s="7857" t="s">
        <v>5402</v>
      </c>
      <c r="AL85" s="7858" t="s">
        <v>5403</v>
      </c>
      <c r="AM85" s="7857" t="s">
        <v>5404</v>
      </c>
      <c r="AN85" s="7860" t="s">
        <v>5405</v>
      </c>
      <c r="AO85" s="7861" t="s">
        <v>5406</v>
      </c>
      <c r="AP85" s="7858" t="s">
        <v>5407</v>
      </c>
      <c r="AQ85" s="2384" t="str">
        <f t="shared" si="9"/>
        <v xml:space="preserve"> * El total de registros en Pueblos Originarios no debe ser mayor al Total. * El total de registros en Migrantes no debe ser mayor al Total.</v>
      </c>
      <c r="CB85" s="2384" t="str">
        <f t="shared" si="10"/>
        <v xml:space="preserve"> * El total de registros en Pueblos Originarios no debe ser mayor al Total.</v>
      </c>
      <c r="CC85" s="2384" t="str">
        <f t="shared" si="11"/>
        <v xml:space="preserve"> * El total de registros en Migrantes no debe ser mayor al Total.</v>
      </c>
      <c r="CD85" s="2384" t="str">
        <f t="shared" si="12"/>
        <v/>
      </c>
      <c r="CK85" s="2384">
        <f t="shared" si="13"/>
        <v>1</v>
      </c>
      <c r="CL85" s="2384">
        <f t="shared" si="14"/>
        <v>1</v>
      </c>
    </row>
    <row r="86" spans="1:90" ht="15.75" customHeight="1" x14ac:dyDescent="0.3">
      <c r="A86" s="7320">
        <v>32101655</v>
      </c>
      <c r="B86" s="11444" t="s">
        <v>73</v>
      </c>
      <c r="C86" s="7850" t="s">
        <v>3082</v>
      </c>
      <c r="D86" s="7862" t="s">
        <v>5369</v>
      </c>
      <c r="E86" s="7863" t="s">
        <v>5370</v>
      </c>
      <c r="F86" s="7862" t="s">
        <v>5371</v>
      </c>
      <c r="G86" s="7864" t="s">
        <v>5372</v>
      </c>
      <c r="H86" s="7865" t="s">
        <v>5373</v>
      </c>
      <c r="I86" s="7864" t="s">
        <v>5374</v>
      </c>
      <c r="J86" s="7865" t="s">
        <v>5375</v>
      </c>
      <c r="K86" s="7864" t="s">
        <v>5376</v>
      </c>
      <c r="L86" s="7865" t="s">
        <v>5377</v>
      </c>
      <c r="M86" s="7864" t="s">
        <v>5378</v>
      </c>
      <c r="N86" s="7865" t="s">
        <v>5379</v>
      </c>
      <c r="O86" s="7864" t="s">
        <v>5380</v>
      </c>
      <c r="P86" s="7865" t="s">
        <v>5381</v>
      </c>
      <c r="Q86" s="7864" t="s">
        <v>5382</v>
      </c>
      <c r="R86" s="7865" t="s">
        <v>5383</v>
      </c>
      <c r="S86" s="7864" t="s">
        <v>5384</v>
      </c>
      <c r="T86" s="7865" t="s">
        <v>5385</v>
      </c>
      <c r="U86" s="7864" t="s">
        <v>5386</v>
      </c>
      <c r="V86" s="7865" t="s">
        <v>5387</v>
      </c>
      <c r="W86" s="7864" t="s">
        <v>5388</v>
      </c>
      <c r="X86" s="7865" t="s">
        <v>5389</v>
      </c>
      <c r="Y86" s="7864" t="s">
        <v>5390</v>
      </c>
      <c r="Z86" s="7865" t="s">
        <v>5391</v>
      </c>
      <c r="AA86" s="7864" t="s">
        <v>5392</v>
      </c>
      <c r="AB86" s="7865" t="s">
        <v>5393</v>
      </c>
      <c r="AC86" s="7864" t="s">
        <v>5394</v>
      </c>
      <c r="AD86" s="7865" t="s">
        <v>5395</v>
      </c>
      <c r="AE86" s="7864" t="s">
        <v>5396</v>
      </c>
      <c r="AF86" s="7865" t="s">
        <v>5397</v>
      </c>
      <c r="AG86" s="7864" t="s">
        <v>5398</v>
      </c>
      <c r="AH86" s="7865" t="s">
        <v>5399</v>
      </c>
      <c r="AI86" s="7864" t="s">
        <v>5400</v>
      </c>
      <c r="AJ86" s="7865" t="s">
        <v>5401</v>
      </c>
      <c r="AK86" s="7864" t="s">
        <v>5402</v>
      </c>
      <c r="AL86" s="7865" t="s">
        <v>5403</v>
      </c>
      <c r="AM86" s="7864" t="s">
        <v>5404</v>
      </c>
      <c r="AN86" s="7867" t="s">
        <v>5405</v>
      </c>
      <c r="AO86" s="7849" t="s">
        <v>5406</v>
      </c>
      <c r="AP86" s="7846" t="s">
        <v>5407</v>
      </c>
      <c r="AQ86" s="2384" t="str">
        <f t="shared" si="9"/>
        <v xml:space="preserve"> * El total de registros en Pueblos Originarios no debe ser mayor al Total. * El total de registros en Migrantes no debe ser mayor al Total.</v>
      </c>
      <c r="CB86" s="2384" t="str">
        <f t="shared" si="10"/>
        <v xml:space="preserve"> * El total de registros en Pueblos Originarios no debe ser mayor al Total.</v>
      </c>
      <c r="CC86" s="2384" t="str">
        <f t="shared" si="11"/>
        <v xml:space="preserve"> * El total de registros en Migrantes no debe ser mayor al Total.</v>
      </c>
      <c r="CD86" s="2384" t="str">
        <f t="shared" si="12"/>
        <v/>
      </c>
      <c r="CK86" s="2384">
        <f t="shared" si="13"/>
        <v>1</v>
      </c>
      <c r="CL86" s="2384">
        <f t="shared" si="14"/>
        <v>1</v>
      </c>
    </row>
    <row r="87" spans="1:90" ht="15.75" customHeight="1" x14ac:dyDescent="0.3">
      <c r="A87" s="7320">
        <v>32101656</v>
      </c>
      <c r="B87" s="11442"/>
      <c r="C87" s="7850" t="s">
        <v>3083</v>
      </c>
      <c r="D87" s="7843" t="s">
        <v>5369</v>
      </c>
      <c r="E87" s="7851" t="s">
        <v>5370</v>
      </c>
      <c r="F87" s="7843" t="s">
        <v>5371</v>
      </c>
      <c r="G87" s="7852" t="s">
        <v>5372</v>
      </c>
      <c r="H87" s="7846" t="s">
        <v>5373</v>
      </c>
      <c r="I87" s="7852" t="s">
        <v>5374</v>
      </c>
      <c r="J87" s="7846" t="s">
        <v>5375</v>
      </c>
      <c r="K87" s="7852" t="s">
        <v>5376</v>
      </c>
      <c r="L87" s="7846" t="s">
        <v>5377</v>
      </c>
      <c r="M87" s="7852" t="s">
        <v>5378</v>
      </c>
      <c r="N87" s="7846" t="s">
        <v>5379</v>
      </c>
      <c r="O87" s="7852" t="s">
        <v>5380</v>
      </c>
      <c r="P87" s="7846" t="s">
        <v>5381</v>
      </c>
      <c r="Q87" s="7852" t="s">
        <v>5382</v>
      </c>
      <c r="R87" s="7846" t="s">
        <v>5383</v>
      </c>
      <c r="S87" s="7852" t="s">
        <v>5384</v>
      </c>
      <c r="T87" s="7846" t="s">
        <v>5385</v>
      </c>
      <c r="U87" s="7852" t="s">
        <v>5386</v>
      </c>
      <c r="V87" s="7846" t="s">
        <v>5387</v>
      </c>
      <c r="W87" s="7852" t="s">
        <v>5388</v>
      </c>
      <c r="X87" s="7846" t="s">
        <v>5389</v>
      </c>
      <c r="Y87" s="7852" t="s">
        <v>5390</v>
      </c>
      <c r="Z87" s="7846" t="s">
        <v>5391</v>
      </c>
      <c r="AA87" s="7852" t="s">
        <v>5392</v>
      </c>
      <c r="AB87" s="7846" t="s">
        <v>5393</v>
      </c>
      <c r="AC87" s="7852" t="s">
        <v>5394</v>
      </c>
      <c r="AD87" s="7846" t="s">
        <v>5395</v>
      </c>
      <c r="AE87" s="7852" t="s">
        <v>5396</v>
      </c>
      <c r="AF87" s="7846" t="s">
        <v>5397</v>
      </c>
      <c r="AG87" s="7852" t="s">
        <v>5398</v>
      </c>
      <c r="AH87" s="7846" t="s">
        <v>5399</v>
      </c>
      <c r="AI87" s="7852" t="s">
        <v>5400</v>
      </c>
      <c r="AJ87" s="7846" t="s">
        <v>5401</v>
      </c>
      <c r="AK87" s="7852" t="s">
        <v>5402</v>
      </c>
      <c r="AL87" s="7846" t="s">
        <v>5403</v>
      </c>
      <c r="AM87" s="7852" t="s">
        <v>5404</v>
      </c>
      <c r="AN87" s="7848" t="s">
        <v>5405</v>
      </c>
      <c r="AO87" s="7849" t="s">
        <v>5406</v>
      </c>
      <c r="AP87" s="7846" t="s">
        <v>5407</v>
      </c>
      <c r="AQ87" s="2384" t="str">
        <f t="shared" si="9"/>
        <v xml:space="preserve"> * El total de registros en Pueblos Originarios no debe ser mayor al Total. * El total de registros en Migrantes no debe ser mayor al Total.</v>
      </c>
      <c r="CB87" s="2384" t="str">
        <f t="shared" si="10"/>
        <v xml:space="preserve"> * El total de registros en Pueblos Originarios no debe ser mayor al Total.</v>
      </c>
      <c r="CC87" s="2384" t="str">
        <f t="shared" si="11"/>
        <v xml:space="preserve"> * El total de registros en Migrantes no debe ser mayor al Total.</v>
      </c>
      <c r="CD87" s="2384" t="str">
        <f t="shared" si="12"/>
        <v/>
      </c>
      <c r="CK87" s="2384">
        <f t="shared" si="13"/>
        <v>1</v>
      </c>
      <c r="CL87" s="2384">
        <f t="shared" si="14"/>
        <v>1</v>
      </c>
    </row>
    <row r="88" spans="1:90" ht="15.75" customHeight="1" x14ac:dyDescent="0.3">
      <c r="A88" s="7320">
        <v>32101657</v>
      </c>
      <c r="B88" s="11442"/>
      <c r="C88" s="7850" t="s">
        <v>3084</v>
      </c>
      <c r="D88" s="7843" t="s">
        <v>5369</v>
      </c>
      <c r="E88" s="7851" t="s">
        <v>5370</v>
      </c>
      <c r="F88" s="7843" t="s">
        <v>5371</v>
      </c>
      <c r="G88" s="7852" t="s">
        <v>5372</v>
      </c>
      <c r="H88" s="7846" t="s">
        <v>5373</v>
      </c>
      <c r="I88" s="7852" t="s">
        <v>5374</v>
      </c>
      <c r="J88" s="7846" t="s">
        <v>5375</v>
      </c>
      <c r="K88" s="7852" t="s">
        <v>5376</v>
      </c>
      <c r="L88" s="7846" t="s">
        <v>5377</v>
      </c>
      <c r="M88" s="7852" t="s">
        <v>5378</v>
      </c>
      <c r="N88" s="7846" t="s">
        <v>5379</v>
      </c>
      <c r="O88" s="7852" t="s">
        <v>5380</v>
      </c>
      <c r="P88" s="7846" t="s">
        <v>5381</v>
      </c>
      <c r="Q88" s="7852" t="s">
        <v>5382</v>
      </c>
      <c r="R88" s="7846" t="s">
        <v>5383</v>
      </c>
      <c r="S88" s="7852" t="s">
        <v>5384</v>
      </c>
      <c r="T88" s="7846" t="s">
        <v>5385</v>
      </c>
      <c r="U88" s="7852" t="s">
        <v>5386</v>
      </c>
      <c r="V88" s="7846" t="s">
        <v>5387</v>
      </c>
      <c r="W88" s="7852" t="s">
        <v>5388</v>
      </c>
      <c r="X88" s="7846" t="s">
        <v>5389</v>
      </c>
      <c r="Y88" s="7852" t="s">
        <v>5390</v>
      </c>
      <c r="Z88" s="7846" t="s">
        <v>5391</v>
      </c>
      <c r="AA88" s="7852" t="s">
        <v>5392</v>
      </c>
      <c r="AB88" s="7846" t="s">
        <v>5393</v>
      </c>
      <c r="AC88" s="7852" t="s">
        <v>5394</v>
      </c>
      <c r="AD88" s="7846" t="s">
        <v>5395</v>
      </c>
      <c r="AE88" s="7852" t="s">
        <v>5396</v>
      </c>
      <c r="AF88" s="7846" t="s">
        <v>5397</v>
      </c>
      <c r="AG88" s="7852" t="s">
        <v>5398</v>
      </c>
      <c r="AH88" s="7846" t="s">
        <v>5399</v>
      </c>
      <c r="AI88" s="7852" t="s">
        <v>5400</v>
      </c>
      <c r="AJ88" s="7846" t="s">
        <v>5401</v>
      </c>
      <c r="AK88" s="7852" t="s">
        <v>5402</v>
      </c>
      <c r="AL88" s="7846" t="s">
        <v>5403</v>
      </c>
      <c r="AM88" s="7852" t="s">
        <v>5404</v>
      </c>
      <c r="AN88" s="7848" t="s">
        <v>5405</v>
      </c>
      <c r="AO88" s="7849" t="s">
        <v>5406</v>
      </c>
      <c r="AP88" s="7846" t="s">
        <v>5407</v>
      </c>
      <c r="AQ88" s="2384" t="str">
        <f t="shared" si="9"/>
        <v xml:space="preserve"> * El total de registros en Pueblos Originarios no debe ser mayor al Total. * El total de registros en Migrantes no debe ser mayor al Total.</v>
      </c>
      <c r="CB88" s="2384" t="str">
        <f t="shared" si="10"/>
        <v xml:space="preserve"> * El total de registros en Pueblos Originarios no debe ser mayor al Total.</v>
      </c>
      <c r="CC88" s="2384" t="str">
        <f t="shared" si="11"/>
        <v xml:space="preserve"> * El total de registros en Migrantes no debe ser mayor al Total.</v>
      </c>
      <c r="CD88" s="2384" t="str">
        <f t="shared" si="12"/>
        <v/>
      </c>
      <c r="CK88" s="2384">
        <f t="shared" si="13"/>
        <v>1</v>
      </c>
      <c r="CL88" s="2384">
        <f t="shared" si="14"/>
        <v>1</v>
      </c>
    </row>
    <row r="89" spans="1:90" ht="15.75" customHeight="1" x14ac:dyDescent="0.3">
      <c r="A89" s="7320">
        <v>32101658</v>
      </c>
      <c r="B89" s="11443"/>
      <c r="C89" s="7868" t="s">
        <v>3091</v>
      </c>
      <c r="D89" s="7855" t="s">
        <v>5369</v>
      </c>
      <c r="E89" s="7856" t="s">
        <v>5370</v>
      </c>
      <c r="F89" s="7855" t="s">
        <v>5371</v>
      </c>
      <c r="G89" s="7857" t="s">
        <v>5372</v>
      </c>
      <c r="H89" s="7858" t="s">
        <v>5373</v>
      </c>
      <c r="I89" s="7857" t="s">
        <v>5374</v>
      </c>
      <c r="J89" s="7858" t="s">
        <v>5375</v>
      </c>
      <c r="K89" s="7857" t="s">
        <v>5376</v>
      </c>
      <c r="L89" s="7858" t="s">
        <v>5377</v>
      </c>
      <c r="M89" s="7857" t="s">
        <v>5378</v>
      </c>
      <c r="N89" s="7858" t="s">
        <v>5379</v>
      </c>
      <c r="O89" s="7857" t="s">
        <v>5380</v>
      </c>
      <c r="P89" s="7858" t="s">
        <v>5381</v>
      </c>
      <c r="Q89" s="7857" t="s">
        <v>5382</v>
      </c>
      <c r="R89" s="7858" t="s">
        <v>5383</v>
      </c>
      <c r="S89" s="7857" t="s">
        <v>5384</v>
      </c>
      <c r="T89" s="7858" t="s">
        <v>5385</v>
      </c>
      <c r="U89" s="7857" t="s">
        <v>5386</v>
      </c>
      <c r="V89" s="7858" t="s">
        <v>5387</v>
      </c>
      <c r="W89" s="7857" t="s">
        <v>5388</v>
      </c>
      <c r="X89" s="7858" t="s">
        <v>5389</v>
      </c>
      <c r="Y89" s="7857" t="s">
        <v>5390</v>
      </c>
      <c r="Z89" s="7858" t="s">
        <v>5391</v>
      </c>
      <c r="AA89" s="7857" t="s">
        <v>5392</v>
      </c>
      <c r="AB89" s="7858" t="s">
        <v>5393</v>
      </c>
      <c r="AC89" s="7857" t="s">
        <v>5394</v>
      </c>
      <c r="AD89" s="7858" t="s">
        <v>5395</v>
      </c>
      <c r="AE89" s="7857" t="s">
        <v>5396</v>
      </c>
      <c r="AF89" s="7858" t="s">
        <v>5397</v>
      </c>
      <c r="AG89" s="7857" t="s">
        <v>5398</v>
      </c>
      <c r="AH89" s="7858" t="s">
        <v>5399</v>
      </c>
      <c r="AI89" s="7857" t="s">
        <v>5400</v>
      </c>
      <c r="AJ89" s="7858" t="s">
        <v>5401</v>
      </c>
      <c r="AK89" s="7857" t="s">
        <v>5402</v>
      </c>
      <c r="AL89" s="7858" t="s">
        <v>5403</v>
      </c>
      <c r="AM89" s="7857" t="s">
        <v>5404</v>
      </c>
      <c r="AN89" s="7860" t="s">
        <v>5405</v>
      </c>
      <c r="AO89" s="7861" t="s">
        <v>5406</v>
      </c>
      <c r="AP89" s="7858" t="s">
        <v>5407</v>
      </c>
      <c r="AQ89" s="2384" t="str">
        <f t="shared" si="9"/>
        <v xml:space="preserve"> * El total de registros en Pueblos Originarios no debe ser mayor al Total. * El total de registros en Migrantes no debe ser mayor al Total.</v>
      </c>
      <c r="CB89" s="2384" t="str">
        <f t="shared" si="10"/>
        <v xml:space="preserve"> * El total de registros en Pueblos Originarios no debe ser mayor al Total.</v>
      </c>
      <c r="CC89" s="2384" t="str">
        <f t="shared" si="11"/>
        <v xml:space="preserve"> * El total de registros en Migrantes no debe ser mayor al Total.</v>
      </c>
      <c r="CD89" s="2384" t="str">
        <f t="shared" si="12"/>
        <v/>
      </c>
      <c r="CK89" s="2384">
        <f t="shared" si="13"/>
        <v>1</v>
      </c>
      <c r="CL89" s="2384">
        <f t="shared" si="14"/>
        <v>1</v>
      </c>
    </row>
    <row r="90" spans="1:90" ht="15.75" customHeight="1" x14ac:dyDescent="0.3">
      <c r="B90" s="7831"/>
      <c r="C90" s="7886"/>
      <c r="D90" s="7886"/>
      <c r="E90" s="7886"/>
      <c r="F90" s="7886"/>
      <c r="G90" s="7886"/>
      <c r="H90" s="7886"/>
      <c r="I90" s="7886"/>
      <c r="J90" s="7886"/>
      <c r="K90" s="7886"/>
    </row>
    <row r="91" spans="1:90" ht="15.75" customHeight="1" x14ac:dyDescent="0.3">
      <c r="B91" s="7831" t="s">
        <v>3092</v>
      </c>
      <c r="C91" s="7886"/>
      <c r="D91" s="7886"/>
      <c r="E91" s="7886"/>
      <c r="F91" s="7886"/>
      <c r="G91" s="7886"/>
      <c r="H91" s="7886"/>
      <c r="I91" s="7886"/>
      <c r="J91" s="7886"/>
      <c r="K91" s="7886"/>
    </row>
    <row r="92" spans="1:90" ht="15.75" customHeight="1" x14ac:dyDescent="0.3">
      <c r="B92" s="11444" t="s">
        <v>1236</v>
      </c>
      <c r="C92" s="11445" t="s">
        <v>24</v>
      </c>
      <c r="D92" s="11431"/>
      <c r="E92" s="11432"/>
      <c r="F92" s="11428" t="s">
        <v>98</v>
      </c>
      <c r="G92" s="11429"/>
      <c r="H92" s="11429"/>
      <c r="I92" s="11429"/>
      <c r="J92" s="11429"/>
      <c r="K92" s="11429"/>
      <c r="L92" s="11429"/>
      <c r="M92" s="11429"/>
      <c r="N92" s="11429"/>
      <c r="O92" s="11429"/>
      <c r="P92" s="11429"/>
      <c r="Q92" s="11429"/>
      <c r="R92" s="11429"/>
      <c r="S92" s="11429"/>
      <c r="T92" s="11429"/>
      <c r="U92" s="11429"/>
      <c r="V92" s="11429"/>
      <c r="W92" s="11429"/>
      <c r="X92" s="11429"/>
      <c r="Y92" s="11429"/>
      <c r="Z92" s="11429"/>
      <c r="AA92" s="11429"/>
      <c r="AB92" s="11429"/>
      <c r="AC92" s="11429"/>
      <c r="AD92" s="11429"/>
      <c r="AE92" s="11429"/>
      <c r="AF92" s="11429"/>
      <c r="AG92" s="11429"/>
      <c r="AH92" s="11429"/>
      <c r="AI92" s="11429"/>
      <c r="AJ92" s="11429"/>
      <c r="AK92" s="11429"/>
      <c r="AL92" s="11429"/>
      <c r="AM92" s="11424"/>
      <c r="AN92" s="11430" t="s">
        <v>3087</v>
      </c>
      <c r="AO92" s="11431"/>
      <c r="AP92" s="11431"/>
      <c r="AQ92" s="11431"/>
      <c r="AR92" s="11431"/>
      <c r="AS92" s="11431"/>
      <c r="AT92" s="11431"/>
      <c r="AU92" s="11431"/>
      <c r="AV92" s="11431"/>
      <c r="AW92" s="11431"/>
      <c r="AX92" s="11432"/>
      <c r="CB92" s="11416" t="s">
        <v>3566</v>
      </c>
      <c r="CK92" s="11416" t="s">
        <v>3566</v>
      </c>
    </row>
    <row r="93" spans="1:90" ht="15.75" customHeight="1" x14ac:dyDescent="0.3">
      <c r="B93" s="11447"/>
      <c r="C93" s="11446"/>
      <c r="D93" s="11433"/>
      <c r="E93" s="11434"/>
      <c r="F93" s="11451" t="s">
        <v>1416</v>
      </c>
      <c r="G93" s="11418"/>
      <c r="H93" s="11417" t="s">
        <v>1415</v>
      </c>
      <c r="I93" s="11418"/>
      <c r="J93" s="11417" t="s">
        <v>77</v>
      </c>
      <c r="K93" s="11418"/>
      <c r="L93" s="11417" t="s">
        <v>68</v>
      </c>
      <c r="M93" s="11418"/>
      <c r="N93" s="11417" t="s">
        <v>142</v>
      </c>
      <c r="O93" s="11418"/>
      <c r="P93" s="11417" t="s">
        <v>143</v>
      </c>
      <c r="Q93" s="11418"/>
      <c r="R93" s="11417" t="s">
        <v>144</v>
      </c>
      <c r="S93" s="11418"/>
      <c r="T93" s="11417" t="s">
        <v>7</v>
      </c>
      <c r="U93" s="11418"/>
      <c r="V93" s="11417" t="s">
        <v>8</v>
      </c>
      <c r="W93" s="11418"/>
      <c r="X93" s="11417" t="s">
        <v>145</v>
      </c>
      <c r="Y93" s="11418"/>
      <c r="Z93" s="11417" t="s">
        <v>10</v>
      </c>
      <c r="AA93" s="11418"/>
      <c r="AB93" s="11417" t="s">
        <v>11</v>
      </c>
      <c r="AC93" s="11418"/>
      <c r="AD93" s="11417" t="s">
        <v>12</v>
      </c>
      <c r="AE93" s="11418"/>
      <c r="AF93" s="11417" t="s">
        <v>13</v>
      </c>
      <c r="AG93" s="11418"/>
      <c r="AH93" s="11417" t="s">
        <v>14</v>
      </c>
      <c r="AI93" s="11418"/>
      <c r="AJ93" s="11417" t="s">
        <v>15</v>
      </c>
      <c r="AK93" s="11418"/>
      <c r="AL93" s="11423" t="s">
        <v>16</v>
      </c>
      <c r="AM93" s="11424"/>
      <c r="AN93" s="11433"/>
      <c r="AO93" s="11433"/>
      <c r="AP93" s="11433"/>
      <c r="AQ93" s="11433"/>
      <c r="AR93" s="11433"/>
      <c r="AS93" s="11433"/>
      <c r="AT93" s="11433"/>
      <c r="AU93" s="11433"/>
      <c r="AV93" s="11433"/>
      <c r="AW93" s="11433"/>
      <c r="AX93" s="11434"/>
      <c r="CB93" s="11416"/>
      <c r="CK93" s="11416"/>
    </row>
    <row r="94" spans="1:90" ht="36" customHeight="1" x14ac:dyDescent="0.3">
      <c r="B94" s="11453"/>
      <c r="C94" s="7836" t="s">
        <v>42</v>
      </c>
      <c r="D94" s="7887" t="s">
        <v>17</v>
      </c>
      <c r="E94" s="7888" t="s">
        <v>18</v>
      </c>
      <c r="F94" s="7839" t="s">
        <v>17</v>
      </c>
      <c r="G94" s="7835" t="s">
        <v>18</v>
      </c>
      <c r="H94" s="7840" t="s">
        <v>17</v>
      </c>
      <c r="I94" s="7835" t="s">
        <v>18</v>
      </c>
      <c r="J94" s="7840" t="s">
        <v>17</v>
      </c>
      <c r="K94" s="7835" t="s">
        <v>18</v>
      </c>
      <c r="L94" s="7840" t="s">
        <v>17</v>
      </c>
      <c r="M94" s="7835" t="s">
        <v>18</v>
      </c>
      <c r="N94" s="7840" t="s">
        <v>17</v>
      </c>
      <c r="O94" s="7835" t="s">
        <v>18</v>
      </c>
      <c r="P94" s="7840" t="s">
        <v>17</v>
      </c>
      <c r="Q94" s="7835" t="s">
        <v>18</v>
      </c>
      <c r="R94" s="7840" t="s">
        <v>17</v>
      </c>
      <c r="S94" s="7835" t="s">
        <v>18</v>
      </c>
      <c r="T94" s="7840" t="s">
        <v>17</v>
      </c>
      <c r="U94" s="7835" t="s">
        <v>18</v>
      </c>
      <c r="V94" s="7840" t="s">
        <v>17</v>
      </c>
      <c r="W94" s="7835" t="s">
        <v>18</v>
      </c>
      <c r="X94" s="7840" t="s">
        <v>17</v>
      </c>
      <c r="Y94" s="7835" t="s">
        <v>18</v>
      </c>
      <c r="Z94" s="7840" t="s">
        <v>17</v>
      </c>
      <c r="AA94" s="7835" t="s">
        <v>18</v>
      </c>
      <c r="AB94" s="7840" t="s">
        <v>17</v>
      </c>
      <c r="AC94" s="7835" t="s">
        <v>18</v>
      </c>
      <c r="AD94" s="7840" t="s">
        <v>17</v>
      </c>
      <c r="AE94" s="7835" t="s">
        <v>18</v>
      </c>
      <c r="AF94" s="7840" t="s">
        <v>17</v>
      </c>
      <c r="AG94" s="7835" t="s">
        <v>18</v>
      </c>
      <c r="AH94" s="7840" t="s">
        <v>17</v>
      </c>
      <c r="AI94" s="7835" t="s">
        <v>18</v>
      </c>
      <c r="AJ94" s="7840" t="s">
        <v>17</v>
      </c>
      <c r="AK94" s="7835" t="s">
        <v>18</v>
      </c>
      <c r="AL94" s="7840" t="s">
        <v>17</v>
      </c>
      <c r="AM94" s="7841" t="s">
        <v>18</v>
      </c>
      <c r="AN94" s="7889" t="s">
        <v>3352</v>
      </c>
      <c r="AO94" s="7890" t="s">
        <v>3351</v>
      </c>
      <c r="AP94" s="7890" t="s">
        <v>2614</v>
      </c>
      <c r="AQ94" s="7890" t="s">
        <v>3151</v>
      </c>
      <c r="AR94" s="7890" t="s">
        <v>3353</v>
      </c>
      <c r="AS94" s="7890" t="s">
        <v>3088</v>
      </c>
      <c r="AT94" s="7890" t="s">
        <v>46</v>
      </c>
      <c r="AU94" s="7890" t="s">
        <v>3354</v>
      </c>
      <c r="AV94" s="7890" t="s">
        <v>3355</v>
      </c>
      <c r="AW94" s="7890" t="s">
        <v>2451</v>
      </c>
      <c r="AX94" s="7891" t="s">
        <v>135</v>
      </c>
      <c r="CB94" s="11416"/>
      <c r="CK94" s="11416"/>
    </row>
    <row r="95" spans="1:90" ht="15.75" customHeight="1" x14ac:dyDescent="0.3">
      <c r="A95" s="7320">
        <v>32101659</v>
      </c>
      <c r="B95" s="7877" t="s">
        <v>3388</v>
      </c>
      <c r="C95" s="7892" t="s">
        <v>5369</v>
      </c>
      <c r="D95" s="7844" t="s">
        <v>5370</v>
      </c>
      <c r="E95" s="7893" t="s">
        <v>5371</v>
      </c>
      <c r="F95" s="7894" t="s">
        <v>5372</v>
      </c>
      <c r="G95" s="7895" t="s">
        <v>5373</v>
      </c>
      <c r="H95" s="7894" t="s">
        <v>5374</v>
      </c>
      <c r="I95" s="7895" t="s">
        <v>5375</v>
      </c>
      <c r="J95" s="7894" t="s">
        <v>5376</v>
      </c>
      <c r="K95" s="7895" t="s">
        <v>5377</v>
      </c>
      <c r="L95" s="7894" t="s">
        <v>5378</v>
      </c>
      <c r="M95" s="7895" t="s">
        <v>5379</v>
      </c>
      <c r="N95" s="7894" t="s">
        <v>5380</v>
      </c>
      <c r="O95" s="7895" t="s">
        <v>5381</v>
      </c>
      <c r="P95" s="7894" t="s">
        <v>5382</v>
      </c>
      <c r="Q95" s="7895" t="s">
        <v>5383</v>
      </c>
      <c r="R95" s="7894" t="s">
        <v>5384</v>
      </c>
      <c r="S95" s="7895" t="s">
        <v>5385</v>
      </c>
      <c r="T95" s="7894" t="s">
        <v>5386</v>
      </c>
      <c r="U95" s="7895" t="s">
        <v>5387</v>
      </c>
      <c r="V95" s="7894" t="s">
        <v>5388</v>
      </c>
      <c r="W95" s="7895" t="s">
        <v>5389</v>
      </c>
      <c r="X95" s="7894" t="s">
        <v>5390</v>
      </c>
      <c r="Y95" s="7895" t="s">
        <v>5391</v>
      </c>
      <c r="Z95" s="7894" t="s">
        <v>5392</v>
      </c>
      <c r="AA95" s="7895" t="s">
        <v>5393</v>
      </c>
      <c r="AB95" s="7894" t="s">
        <v>5394</v>
      </c>
      <c r="AC95" s="7895" t="s">
        <v>5395</v>
      </c>
      <c r="AD95" s="7894" t="s">
        <v>5396</v>
      </c>
      <c r="AE95" s="7895" t="s">
        <v>5397</v>
      </c>
      <c r="AF95" s="7894" t="s">
        <v>5398</v>
      </c>
      <c r="AG95" s="7895" t="s">
        <v>5399</v>
      </c>
      <c r="AH95" s="7894" t="s">
        <v>5400</v>
      </c>
      <c r="AI95" s="7895" t="s">
        <v>5401</v>
      </c>
      <c r="AJ95" s="7894" t="s">
        <v>5402</v>
      </c>
      <c r="AK95" s="7895" t="s">
        <v>5403</v>
      </c>
      <c r="AL95" s="7894" t="s">
        <v>5404</v>
      </c>
      <c r="AM95" s="7896" t="s">
        <v>5405</v>
      </c>
      <c r="AN95" s="7897" t="s">
        <v>5406</v>
      </c>
      <c r="AO95" s="7898" t="s">
        <v>5407</v>
      </c>
      <c r="AP95" s="7898" t="s">
        <v>5408</v>
      </c>
      <c r="AQ95" s="7898" t="s">
        <v>5409</v>
      </c>
      <c r="AR95" s="7898" t="s">
        <v>5410</v>
      </c>
      <c r="AS95" s="7898" t="s">
        <v>5411</v>
      </c>
      <c r="AT95" s="7898" t="s">
        <v>5412</v>
      </c>
      <c r="AU95" s="7898" t="s">
        <v>5413</v>
      </c>
      <c r="AV95" s="7898" t="s">
        <v>5414</v>
      </c>
      <c r="AW95" s="7898" t="s">
        <v>5415</v>
      </c>
      <c r="AX95" s="7895" t="s">
        <v>5416</v>
      </c>
      <c r="AY95" s="2384" t="str">
        <f t="shared" ref="AY95:AY106" si="15">CB95&amp;CC95</f>
        <v/>
      </c>
      <c r="CB95" s="2384" t="str">
        <f>IF(CK95=1," * La suma de Atenciones por profesional no debe ser mayor al Total.","")</f>
        <v/>
      </c>
      <c r="CK95" s="2384">
        <f>IF(SUM(AN95:AX95)&gt;C95,1,0)</f>
        <v>0</v>
      </c>
    </row>
    <row r="96" spans="1:90" ht="15.75" customHeight="1" x14ac:dyDescent="0.3">
      <c r="A96" s="7320">
        <v>32101660</v>
      </c>
      <c r="B96" s="7877" t="s">
        <v>3389</v>
      </c>
      <c r="C96" s="7874" t="s">
        <v>5369</v>
      </c>
      <c r="D96" s="7851" t="s">
        <v>5370</v>
      </c>
      <c r="E96" s="7843" t="s">
        <v>5371</v>
      </c>
      <c r="F96" s="7852" t="s">
        <v>5372</v>
      </c>
      <c r="G96" s="7846" t="s">
        <v>5373</v>
      </c>
      <c r="H96" s="7852" t="s">
        <v>5374</v>
      </c>
      <c r="I96" s="7846" t="s">
        <v>5375</v>
      </c>
      <c r="J96" s="7852" t="s">
        <v>5376</v>
      </c>
      <c r="K96" s="7846" t="s">
        <v>5377</v>
      </c>
      <c r="L96" s="7852" t="s">
        <v>5378</v>
      </c>
      <c r="M96" s="7846" t="s">
        <v>5379</v>
      </c>
      <c r="N96" s="7852" t="s">
        <v>5380</v>
      </c>
      <c r="O96" s="7846" t="s">
        <v>5381</v>
      </c>
      <c r="P96" s="7852" t="s">
        <v>5382</v>
      </c>
      <c r="Q96" s="7846" t="s">
        <v>5383</v>
      </c>
      <c r="R96" s="7852" t="s">
        <v>5384</v>
      </c>
      <c r="S96" s="7846" t="s">
        <v>5385</v>
      </c>
      <c r="T96" s="7852" t="s">
        <v>5386</v>
      </c>
      <c r="U96" s="7846" t="s">
        <v>5387</v>
      </c>
      <c r="V96" s="7852" t="s">
        <v>5388</v>
      </c>
      <c r="W96" s="7846" t="s">
        <v>5389</v>
      </c>
      <c r="X96" s="7852" t="s">
        <v>5390</v>
      </c>
      <c r="Y96" s="7846" t="s">
        <v>5391</v>
      </c>
      <c r="Z96" s="7852" t="s">
        <v>5392</v>
      </c>
      <c r="AA96" s="7846" t="s">
        <v>5393</v>
      </c>
      <c r="AB96" s="7852" t="s">
        <v>5394</v>
      </c>
      <c r="AC96" s="7846" t="s">
        <v>5395</v>
      </c>
      <c r="AD96" s="7852" t="s">
        <v>5396</v>
      </c>
      <c r="AE96" s="7846" t="s">
        <v>5397</v>
      </c>
      <c r="AF96" s="7852" t="s">
        <v>5398</v>
      </c>
      <c r="AG96" s="7846" t="s">
        <v>5399</v>
      </c>
      <c r="AH96" s="7852" t="s">
        <v>5400</v>
      </c>
      <c r="AI96" s="7846" t="s">
        <v>5401</v>
      </c>
      <c r="AJ96" s="7852" t="s">
        <v>5402</v>
      </c>
      <c r="AK96" s="7846" t="s">
        <v>5403</v>
      </c>
      <c r="AL96" s="7852" t="s">
        <v>5404</v>
      </c>
      <c r="AM96" s="7848" t="s">
        <v>5405</v>
      </c>
      <c r="AN96" s="7899" t="s">
        <v>5406</v>
      </c>
      <c r="AO96" s="7900" t="s">
        <v>5407</v>
      </c>
      <c r="AP96" s="7900" t="s">
        <v>5408</v>
      </c>
      <c r="AQ96" s="7900" t="s">
        <v>5409</v>
      </c>
      <c r="AR96" s="7900" t="s">
        <v>5410</v>
      </c>
      <c r="AS96" s="7900" t="s">
        <v>5411</v>
      </c>
      <c r="AT96" s="7900" t="s">
        <v>5412</v>
      </c>
      <c r="AU96" s="7900" t="s">
        <v>5413</v>
      </c>
      <c r="AV96" s="7900" t="s">
        <v>5414</v>
      </c>
      <c r="AW96" s="7900" t="s">
        <v>5415</v>
      </c>
      <c r="AX96" s="7846" t="s">
        <v>5416</v>
      </c>
      <c r="AY96" s="2384" t="str">
        <f t="shared" si="15"/>
        <v/>
      </c>
      <c r="CB96" s="2384" t="str">
        <f t="shared" ref="CB96:CB106" si="16">IF(CK96=1," * La suma de Atenciones por profesional no debe ser mayor al Total.","")</f>
        <v/>
      </c>
      <c r="CK96" s="2384">
        <f t="shared" ref="CK96:CK106" si="17">IF(SUM(AN96:AX96)&gt;C96,1,0)</f>
        <v>0</v>
      </c>
    </row>
    <row r="97" spans="1:89" ht="15.75" customHeight="1" x14ac:dyDescent="0.3">
      <c r="A97" s="7320">
        <v>32101661</v>
      </c>
      <c r="B97" s="7877" t="s">
        <v>3390</v>
      </c>
      <c r="C97" s="7874" t="s">
        <v>5369</v>
      </c>
      <c r="D97" s="7851" t="s">
        <v>5370</v>
      </c>
      <c r="E97" s="7843" t="s">
        <v>5371</v>
      </c>
      <c r="F97" s="7852" t="s">
        <v>5372</v>
      </c>
      <c r="G97" s="7846" t="s">
        <v>5373</v>
      </c>
      <c r="H97" s="7852" t="s">
        <v>5374</v>
      </c>
      <c r="I97" s="7846" t="s">
        <v>5375</v>
      </c>
      <c r="J97" s="7852" t="s">
        <v>5376</v>
      </c>
      <c r="K97" s="7846" t="s">
        <v>5377</v>
      </c>
      <c r="L97" s="7852" t="s">
        <v>5378</v>
      </c>
      <c r="M97" s="7846" t="s">
        <v>5379</v>
      </c>
      <c r="N97" s="7852" t="s">
        <v>5380</v>
      </c>
      <c r="O97" s="7846" t="s">
        <v>5381</v>
      </c>
      <c r="P97" s="7852" t="s">
        <v>5382</v>
      </c>
      <c r="Q97" s="7846" t="s">
        <v>5383</v>
      </c>
      <c r="R97" s="7852" t="s">
        <v>5384</v>
      </c>
      <c r="S97" s="7846" t="s">
        <v>5385</v>
      </c>
      <c r="T97" s="7852" t="s">
        <v>5386</v>
      </c>
      <c r="U97" s="7846" t="s">
        <v>5387</v>
      </c>
      <c r="V97" s="7852" t="s">
        <v>5388</v>
      </c>
      <c r="W97" s="7846" t="s">
        <v>5389</v>
      </c>
      <c r="X97" s="7852" t="s">
        <v>5390</v>
      </c>
      <c r="Y97" s="7846" t="s">
        <v>5391</v>
      </c>
      <c r="Z97" s="7852" t="s">
        <v>5392</v>
      </c>
      <c r="AA97" s="7846" t="s">
        <v>5393</v>
      </c>
      <c r="AB97" s="7852" t="s">
        <v>5394</v>
      </c>
      <c r="AC97" s="7846" t="s">
        <v>5395</v>
      </c>
      <c r="AD97" s="7852" t="s">
        <v>5396</v>
      </c>
      <c r="AE97" s="7846" t="s">
        <v>5397</v>
      </c>
      <c r="AF97" s="7852" t="s">
        <v>5398</v>
      </c>
      <c r="AG97" s="7846" t="s">
        <v>5399</v>
      </c>
      <c r="AH97" s="7852" t="s">
        <v>5400</v>
      </c>
      <c r="AI97" s="7846" t="s">
        <v>5401</v>
      </c>
      <c r="AJ97" s="7852" t="s">
        <v>5402</v>
      </c>
      <c r="AK97" s="7846" t="s">
        <v>5403</v>
      </c>
      <c r="AL97" s="7852" t="s">
        <v>5404</v>
      </c>
      <c r="AM97" s="7848" t="s">
        <v>5405</v>
      </c>
      <c r="AN97" s="7899" t="s">
        <v>5406</v>
      </c>
      <c r="AO97" s="7900" t="s">
        <v>5407</v>
      </c>
      <c r="AP97" s="7900" t="s">
        <v>5408</v>
      </c>
      <c r="AQ97" s="7900" t="s">
        <v>5409</v>
      </c>
      <c r="AR97" s="7900" t="s">
        <v>5410</v>
      </c>
      <c r="AS97" s="7900" t="s">
        <v>5411</v>
      </c>
      <c r="AT97" s="7900" t="s">
        <v>5412</v>
      </c>
      <c r="AU97" s="7900" t="s">
        <v>5413</v>
      </c>
      <c r="AV97" s="7900" t="s">
        <v>5414</v>
      </c>
      <c r="AW97" s="7900" t="s">
        <v>5415</v>
      </c>
      <c r="AX97" s="7846" t="s">
        <v>5416</v>
      </c>
      <c r="AY97" s="2384" t="str">
        <f t="shared" si="15"/>
        <v/>
      </c>
      <c r="CB97" s="2384" t="str">
        <f t="shared" si="16"/>
        <v/>
      </c>
      <c r="CK97" s="2384">
        <f t="shared" si="17"/>
        <v>0</v>
      </c>
    </row>
    <row r="98" spans="1:89" ht="15.75" customHeight="1" x14ac:dyDescent="0.3">
      <c r="A98" s="7320">
        <v>32101662</v>
      </c>
      <c r="B98" s="7877" t="s">
        <v>3391</v>
      </c>
      <c r="C98" s="7874" t="s">
        <v>5369</v>
      </c>
      <c r="D98" s="7851" t="s">
        <v>5370</v>
      </c>
      <c r="E98" s="7843" t="s">
        <v>5371</v>
      </c>
      <c r="F98" s="7852" t="s">
        <v>5372</v>
      </c>
      <c r="G98" s="7846" t="s">
        <v>5373</v>
      </c>
      <c r="H98" s="7852" t="s">
        <v>5374</v>
      </c>
      <c r="I98" s="7846" t="s">
        <v>5375</v>
      </c>
      <c r="J98" s="7852" t="s">
        <v>5376</v>
      </c>
      <c r="K98" s="7846" t="s">
        <v>5377</v>
      </c>
      <c r="L98" s="7852" t="s">
        <v>5378</v>
      </c>
      <c r="M98" s="7846" t="s">
        <v>5379</v>
      </c>
      <c r="N98" s="7852" t="s">
        <v>5380</v>
      </c>
      <c r="O98" s="7846" t="s">
        <v>5381</v>
      </c>
      <c r="P98" s="7852" t="s">
        <v>5382</v>
      </c>
      <c r="Q98" s="7846" t="s">
        <v>5383</v>
      </c>
      <c r="R98" s="7852" t="s">
        <v>5384</v>
      </c>
      <c r="S98" s="7846" t="s">
        <v>5385</v>
      </c>
      <c r="T98" s="7852" t="s">
        <v>5386</v>
      </c>
      <c r="U98" s="7846" t="s">
        <v>5387</v>
      </c>
      <c r="V98" s="7852" t="s">
        <v>5388</v>
      </c>
      <c r="W98" s="7846" t="s">
        <v>5389</v>
      </c>
      <c r="X98" s="7852" t="s">
        <v>5390</v>
      </c>
      <c r="Y98" s="7846" t="s">
        <v>5391</v>
      </c>
      <c r="Z98" s="7852" t="s">
        <v>5392</v>
      </c>
      <c r="AA98" s="7846" t="s">
        <v>5393</v>
      </c>
      <c r="AB98" s="7852" t="s">
        <v>5394</v>
      </c>
      <c r="AC98" s="7846" t="s">
        <v>5395</v>
      </c>
      <c r="AD98" s="7852" t="s">
        <v>5396</v>
      </c>
      <c r="AE98" s="7846" t="s">
        <v>5397</v>
      </c>
      <c r="AF98" s="7852" t="s">
        <v>5398</v>
      </c>
      <c r="AG98" s="7846" t="s">
        <v>5399</v>
      </c>
      <c r="AH98" s="7852" t="s">
        <v>5400</v>
      </c>
      <c r="AI98" s="7846" t="s">
        <v>5401</v>
      </c>
      <c r="AJ98" s="7852" t="s">
        <v>5402</v>
      </c>
      <c r="AK98" s="7846" t="s">
        <v>5403</v>
      </c>
      <c r="AL98" s="7852" t="s">
        <v>5404</v>
      </c>
      <c r="AM98" s="7848" t="s">
        <v>5405</v>
      </c>
      <c r="AN98" s="7899" t="s">
        <v>5406</v>
      </c>
      <c r="AO98" s="7900" t="s">
        <v>5407</v>
      </c>
      <c r="AP98" s="7900" t="s">
        <v>5408</v>
      </c>
      <c r="AQ98" s="7900" t="s">
        <v>5409</v>
      </c>
      <c r="AR98" s="7900" t="s">
        <v>5410</v>
      </c>
      <c r="AS98" s="7900" t="s">
        <v>5411</v>
      </c>
      <c r="AT98" s="7900" t="s">
        <v>5412</v>
      </c>
      <c r="AU98" s="7900" t="s">
        <v>5413</v>
      </c>
      <c r="AV98" s="7900" t="s">
        <v>5414</v>
      </c>
      <c r="AW98" s="7900" t="s">
        <v>5415</v>
      </c>
      <c r="AX98" s="7846" t="s">
        <v>5416</v>
      </c>
      <c r="AY98" s="2384" t="str">
        <f t="shared" si="15"/>
        <v/>
      </c>
      <c r="CB98" s="2384" t="str">
        <f t="shared" si="16"/>
        <v/>
      </c>
      <c r="CK98" s="2384">
        <f t="shared" si="17"/>
        <v>0</v>
      </c>
    </row>
    <row r="99" spans="1:89" ht="15.75" customHeight="1" x14ac:dyDescent="0.3">
      <c r="A99" s="7320">
        <v>32101663</v>
      </c>
      <c r="B99" s="7877" t="s">
        <v>3392</v>
      </c>
      <c r="C99" s="7874" t="s">
        <v>5369</v>
      </c>
      <c r="D99" s="7851" t="s">
        <v>5370</v>
      </c>
      <c r="E99" s="7843" t="s">
        <v>5371</v>
      </c>
      <c r="F99" s="7852" t="s">
        <v>5372</v>
      </c>
      <c r="G99" s="7846" t="s">
        <v>5373</v>
      </c>
      <c r="H99" s="7852" t="s">
        <v>5374</v>
      </c>
      <c r="I99" s="7846" t="s">
        <v>5375</v>
      </c>
      <c r="J99" s="7852" t="s">
        <v>5376</v>
      </c>
      <c r="K99" s="7846" t="s">
        <v>5377</v>
      </c>
      <c r="L99" s="7852" t="s">
        <v>5378</v>
      </c>
      <c r="M99" s="7846" t="s">
        <v>5379</v>
      </c>
      <c r="N99" s="7852" t="s">
        <v>5380</v>
      </c>
      <c r="O99" s="7846" t="s">
        <v>5381</v>
      </c>
      <c r="P99" s="7852" t="s">
        <v>5382</v>
      </c>
      <c r="Q99" s="7846" t="s">
        <v>5383</v>
      </c>
      <c r="R99" s="7852" t="s">
        <v>5384</v>
      </c>
      <c r="S99" s="7846" t="s">
        <v>5385</v>
      </c>
      <c r="T99" s="7852" t="s">
        <v>5386</v>
      </c>
      <c r="U99" s="7846" t="s">
        <v>5387</v>
      </c>
      <c r="V99" s="7852" t="s">
        <v>5388</v>
      </c>
      <c r="W99" s="7846" t="s">
        <v>5389</v>
      </c>
      <c r="X99" s="7852" t="s">
        <v>5390</v>
      </c>
      <c r="Y99" s="7846" t="s">
        <v>5391</v>
      </c>
      <c r="Z99" s="7852" t="s">
        <v>5392</v>
      </c>
      <c r="AA99" s="7846" t="s">
        <v>5393</v>
      </c>
      <c r="AB99" s="7852" t="s">
        <v>5394</v>
      </c>
      <c r="AC99" s="7846" t="s">
        <v>5395</v>
      </c>
      <c r="AD99" s="7852" t="s">
        <v>5396</v>
      </c>
      <c r="AE99" s="7846" t="s">
        <v>5397</v>
      </c>
      <c r="AF99" s="7852" t="s">
        <v>5398</v>
      </c>
      <c r="AG99" s="7846" t="s">
        <v>5399</v>
      </c>
      <c r="AH99" s="7852" t="s">
        <v>5400</v>
      </c>
      <c r="AI99" s="7846" t="s">
        <v>5401</v>
      </c>
      <c r="AJ99" s="7852" t="s">
        <v>5402</v>
      </c>
      <c r="AK99" s="7846" t="s">
        <v>5403</v>
      </c>
      <c r="AL99" s="7852" t="s">
        <v>5404</v>
      </c>
      <c r="AM99" s="7848" t="s">
        <v>5405</v>
      </c>
      <c r="AN99" s="7899" t="s">
        <v>5406</v>
      </c>
      <c r="AO99" s="7900" t="s">
        <v>5407</v>
      </c>
      <c r="AP99" s="7900" t="s">
        <v>5408</v>
      </c>
      <c r="AQ99" s="7900" t="s">
        <v>5409</v>
      </c>
      <c r="AR99" s="7900" t="s">
        <v>5410</v>
      </c>
      <c r="AS99" s="7900" t="s">
        <v>5411</v>
      </c>
      <c r="AT99" s="7900" t="s">
        <v>5412</v>
      </c>
      <c r="AU99" s="7900" t="s">
        <v>5413</v>
      </c>
      <c r="AV99" s="7900" t="s">
        <v>5414</v>
      </c>
      <c r="AW99" s="7900" t="s">
        <v>5415</v>
      </c>
      <c r="AX99" s="7846" t="s">
        <v>5416</v>
      </c>
      <c r="AY99" s="2384" t="str">
        <f t="shared" si="15"/>
        <v/>
      </c>
      <c r="CB99" s="2384" t="str">
        <f t="shared" si="16"/>
        <v/>
      </c>
      <c r="CK99" s="2384">
        <f t="shared" si="17"/>
        <v>0</v>
      </c>
    </row>
    <row r="100" spans="1:89" ht="15.75" customHeight="1" x14ac:dyDescent="0.3">
      <c r="A100" s="7320">
        <v>32101664</v>
      </c>
      <c r="B100" s="7877" t="s">
        <v>3393</v>
      </c>
      <c r="C100" s="7874" t="s">
        <v>5369</v>
      </c>
      <c r="D100" s="7851" t="s">
        <v>5370</v>
      </c>
      <c r="E100" s="7843" t="s">
        <v>5371</v>
      </c>
      <c r="F100" s="7852" t="s">
        <v>5372</v>
      </c>
      <c r="G100" s="7846" t="s">
        <v>5373</v>
      </c>
      <c r="H100" s="7852" t="s">
        <v>5374</v>
      </c>
      <c r="I100" s="7846" t="s">
        <v>5375</v>
      </c>
      <c r="J100" s="7852" t="s">
        <v>5376</v>
      </c>
      <c r="K100" s="7846" t="s">
        <v>5377</v>
      </c>
      <c r="L100" s="7852" t="s">
        <v>5378</v>
      </c>
      <c r="M100" s="7846" t="s">
        <v>5379</v>
      </c>
      <c r="N100" s="7852" t="s">
        <v>5380</v>
      </c>
      <c r="O100" s="7846" t="s">
        <v>5381</v>
      </c>
      <c r="P100" s="7852" t="s">
        <v>5382</v>
      </c>
      <c r="Q100" s="7846" t="s">
        <v>5383</v>
      </c>
      <c r="R100" s="7852" t="s">
        <v>5384</v>
      </c>
      <c r="S100" s="7846" t="s">
        <v>5385</v>
      </c>
      <c r="T100" s="7852" t="s">
        <v>5386</v>
      </c>
      <c r="U100" s="7846" t="s">
        <v>5387</v>
      </c>
      <c r="V100" s="7852" t="s">
        <v>5388</v>
      </c>
      <c r="W100" s="7846" t="s">
        <v>5389</v>
      </c>
      <c r="X100" s="7852" t="s">
        <v>5390</v>
      </c>
      <c r="Y100" s="7846" t="s">
        <v>5391</v>
      </c>
      <c r="Z100" s="7852" t="s">
        <v>5392</v>
      </c>
      <c r="AA100" s="7846" t="s">
        <v>5393</v>
      </c>
      <c r="AB100" s="7852" t="s">
        <v>5394</v>
      </c>
      <c r="AC100" s="7846" t="s">
        <v>5395</v>
      </c>
      <c r="AD100" s="7852" t="s">
        <v>5396</v>
      </c>
      <c r="AE100" s="7846" t="s">
        <v>5397</v>
      </c>
      <c r="AF100" s="7852" t="s">
        <v>5398</v>
      </c>
      <c r="AG100" s="7846" t="s">
        <v>5399</v>
      </c>
      <c r="AH100" s="7852" t="s">
        <v>5400</v>
      </c>
      <c r="AI100" s="7846" t="s">
        <v>5401</v>
      </c>
      <c r="AJ100" s="7852" t="s">
        <v>5402</v>
      </c>
      <c r="AK100" s="7846" t="s">
        <v>5403</v>
      </c>
      <c r="AL100" s="7852" t="s">
        <v>5404</v>
      </c>
      <c r="AM100" s="7848" t="s">
        <v>5405</v>
      </c>
      <c r="AN100" s="7899" t="s">
        <v>5406</v>
      </c>
      <c r="AO100" s="7900" t="s">
        <v>5407</v>
      </c>
      <c r="AP100" s="7900" t="s">
        <v>5408</v>
      </c>
      <c r="AQ100" s="7900" t="s">
        <v>5409</v>
      </c>
      <c r="AR100" s="7900" t="s">
        <v>5410</v>
      </c>
      <c r="AS100" s="7900" t="s">
        <v>5411</v>
      </c>
      <c r="AT100" s="7900" t="s">
        <v>5412</v>
      </c>
      <c r="AU100" s="7900" t="s">
        <v>5413</v>
      </c>
      <c r="AV100" s="7900" t="s">
        <v>5414</v>
      </c>
      <c r="AW100" s="7900" t="s">
        <v>5415</v>
      </c>
      <c r="AX100" s="7846" t="s">
        <v>5416</v>
      </c>
      <c r="AY100" s="2384" t="str">
        <f t="shared" si="15"/>
        <v/>
      </c>
      <c r="CB100" s="2384" t="str">
        <f t="shared" si="16"/>
        <v/>
      </c>
      <c r="CK100" s="2384">
        <f t="shared" si="17"/>
        <v>0</v>
      </c>
    </row>
    <row r="101" spans="1:89" ht="15.75" customHeight="1" x14ac:dyDescent="0.3">
      <c r="A101" s="7320">
        <v>32101665</v>
      </c>
      <c r="B101" s="7877" t="s">
        <v>3394</v>
      </c>
      <c r="C101" s="7874" t="s">
        <v>5369</v>
      </c>
      <c r="D101" s="7851" t="s">
        <v>5370</v>
      </c>
      <c r="E101" s="7843" t="s">
        <v>5371</v>
      </c>
      <c r="F101" s="7852" t="s">
        <v>5372</v>
      </c>
      <c r="G101" s="7846" t="s">
        <v>5373</v>
      </c>
      <c r="H101" s="7852" t="s">
        <v>5374</v>
      </c>
      <c r="I101" s="7846" t="s">
        <v>5375</v>
      </c>
      <c r="J101" s="7852" t="s">
        <v>5376</v>
      </c>
      <c r="K101" s="7846" t="s">
        <v>5377</v>
      </c>
      <c r="L101" s="7852" t="s">
        <v>5378</v>
      </c>
      <c r="M101" s="7846" t="s">
        <v>5379</v>
      </c>
      <c r="N101" s="7852" t="s">
        <v>5380</v>
      </c>
      <c r="O101" s="7846" t="s">
        <v>5381</v>
      </c>
      <c r="P101" s="7852" t="s">
        <v>5382</v>
      </c>
      <c r="Q101" s="7846" t="s">
        <v>5383</v>
      </c>
      <c r="R101" s="7852" t="s">
        <v>5384</v>
      </c>
      <c r="S101" s="7846" t="s">
        <v>5385</v>
      </c>
      <c r="T101" s="7852" t="s">
        <v>5386</v>
      </c>
      <c r="U101" s="7846" t="s">
        <v>5387</v>
      </c>
      <c r="V101" s="7852" t="s">
        <v>5388</v>
      </c>
      <c r="W101" s="7846" t="s">
        <v>5389</v>
      </c>
      <c r="X101" s="7852" t="s">
        <v>5390</v>
      </c>
      <c r="Y101" s="7846" t="s">
        <v>5391</v>
      </c>
      <c r="Z101" s="7852" t="s">
        <v>5392</v>
      </c>
      <c r="AA101" s="7846" t="s">
        <v>5393</v>
      </c>
      <c r="AB101" s="7852" t="s">
        <v>5394</v>
      </c>
      <c r="AC101" s="7846" t="s">
        <v>5395</v>
      </c>
      <c r="AD101" s="7852" t="s">
        <v>5396</v>
      </c>
      <c r="AE101" s="7846" t="s">
        <v>5397</v>
      </c>
      <c r="AF101" s="7852" t="s">
        <v>5398</v>
      </c>
      <c r="AG101" s="7846" t="s">
        <v>5399</v>
      </c>
      <c r="AH101" s="7852" t="s">
        <v>5400</v>
      </c>
      <c r="AI101" s="7846" t="s">
        <v>5401</v>
      </c>
      <c r="AJ101" s="7852" t="s">
        <v>5402</v>
      </c>
      <c r="AK101" s="7846" t="s">
        <v>5403</v>
      </c>
      <c r="AL101" s="7852" t="s">
        <v>5404</v>
      </c>
      <c r="AM101" s="7848" t="s">
        <v>5405</v>
      </c>
      <c r="AN101" s="7899" t="s">
        <v>5406</v>
      </c>
      <c r="AO101" s="7900" t="s">
        <v>5407</v>
      </c>
      <c r="AP101" s="7900" t="s">
        <v>5408</v>
      </c>
      <c r="AQ101" s="7900" t="s">
        <v>5409</v>
      </c>
      <c r="AR101" s="7900" t="s">
        <v>5410</v>
      </c>
      <c r="AS101" s="7900" t="s">
        <v>5411</v>
      </c>
      <c r="AT101" s="7900" t="s">
        <v>5412</v>
      </c>
      <c r="AU101" s="7900" t="s">
        <v>5413</v>
      </c>
      <c r="AV101" s="7900" t="s">
        <v>5414</v>
      </c>
      <c r="AW101" s="7900" t="s">
        <v>5415</v>
      </c>
      <c r="AX101" s="7846" t="s">
        <v>5416</v>
      </c>
      <c r="AY101" s="2384" t="str">
        <f t="shared" si="15"/>
        <v/>
      </c>
      <c r="CB101" s="2384" t="str">
        <f t="shared" si="16"/>
        <v/>
      </c>
      <c r="CK101" s="2384">
        <f t="shared" si="17"/>
        <v>0</v>
      </c>
    </row>
    <row r="102" spans="1:89" ht="15.75" customHeight="1" x14ac:dyDescent="0.3">
      <c r="A102" s="7320">
        <v>32101666</v>
      </c>
      <c r="B102" s="7877" t="s">
        <v>3675</v>
      </c>
      <c r="C102" s="7901" t="s">
        <v>5369</v>
      </c>
      <c r="D102" s="7902" t="s">
        <v>5370</v>
      </c>
      <c r="E102" s="7903" t="s">
        <v>5371</v>
      </c>
      <c r="F102" s="7904" t="s">
        <v>5372</v>
      </c>
      <c r="G102" s="7905" t="s">
        <v>5373</v>
      </c>
      <c r="H102" s="7904" t="s">
        <v>5374</v>
      </c>
      <c r="I102" s="7905" t="s">
        <v>5375</v>
      </c>
      <c r="J102" s="7904" t="s">
        <v>5376</v>
      </c>
      <c r="K102" s="7905" t="s">
        <v>5377</v>
      </c>
      <c r="L102" s="7904" t="s">
        <v>5378</v>
      </c>
      <c r="M102" s="7905" t="s">
        <v>5379</v>
      </c>
      <c r="N102" s="7904" t="s">
        <v>5380</v>
      </c>
      <c r="O102" s="7905" t="s">
        <v>5381</v>
      </c>
      <c r="P102" s="7904" t="s">
        <v>5382</v>
      </c>
      <c r="Q102" s="7905" t="s">
        <v>5383</v>
      </c>
      <c r="R102" s="7904" t="s">
        <v>5384</v>
      </c>
      <c r="S102" s="7905" t="s">
        <v>5385</v>
      </c>
      <c r="T102" s="7904" t="s">
        <v>5386</v>
      </c>
      <c r="U102" s="7905" t="s">
        <v>5387</v>
      </c>
      <c r="V102" s="7904" t="s">
        <v>5388</v>
      </c>
      <c r="W102" s="7905" t="s">
        <v>5389</v>
      </c>
      <c r="X102" s="7904" t="s">
        <v>5390</v>
      </c>
      <c r="Y102" s="7905" t="s">
        <v>5391</v>
      </c>
      <c r="Z102" s="7904" t="s">
        <v>5392</v>
      </c>
      <c r="AA102" s="7905" t="s">
        <v>5393</v>
      </c>
      <c r="AB102" s="7904" t="s">
        <v>5394</v>
      </c>
      <c r="AC102" s="7905" t="s">
        <v>5395</v>
      </c>
      <c r="AD102" s="7904" t="s">
        <v>5396</v>
      </c>
      <c r="AE102" s="7905" t="s">
        <v>5397</v>
      </c>
      <c r="AF102" s="7904" t="s">
        <v>5398</v>
      </c>
      <c r="AG102" s="7905" t="s">
        <v>5399</v>
      </c>
      <c r="AH102" s="7904" t="s">
        <v>5400</v>
      </c>
      <c r="AI102" s="7905" t="s">
        <v>5401</v>
      </c>
      <c r="AJ102" s="7904" t="s">
        <v>5402</v>
      </c>
      <c r="AK102" s="7905" t="s">
        <v>5403</v>
      </c>
      <c r="AL102" s="7904" t="s">
        <v>5404</v>
      </c>
      <c r="AM102" s="7906" t="s">
        <v>5405</v>
      </c>
      <c r="AN102" s="7907" t="s">
        <v>5406</v>
      </c>
      <c r="AO102" s="7908" t="s">
        <v>5407</v>
      </c>
      <c r="AP102" s="7908" t="s">
        <v>5408</v>
      </c>
      <c r="AQ102" s="7908" t="s">
        <v>5409</v>
      </c>
      <c r="AR102" s="7908" t="s">
        <v>5410</v>
      </c>
      <c r="AS102" s="7908" t="s">
        <v>5411</v>
      </c>
      <c r="AT102" s="7908" t="s">
        <v>5412</v>
      </c>
      <c r="AU102" s="7908" t="s">
        <v>5413</v>
      </c>
      <c r="AV102" s="7908" t="s">
        <v>5414</v>
      </c>
      <c r="AW102" s="7908" t="s">
        <v>5415</v>
      </c>
      <c r="AX102" s="7905" t="s">
        <v>5416</v>
      </c>
      <c r="AY102" s="2384" t="str">
        <f t="shared" si="15"/>
        <v/>
      </c>
      <c r="CB102" s="2384" t="str">
        <f t="shared" si="16"/>
        <v/>
      </c>
      <c r="CK102" s="2384">
        <f t="shared" si="17"/>
        <v>0</v>
      </c>
    </row>
    <row r="103" spans="1:89" ht="15.75" customHeight="1" x14ac:dyDescent="0.3">
      <c r="A103" s="7320">
        <v>32101667</v>
      </c>
      <c r="B103" s="7877" t="s">
        <v>3395</v>
      </c>
      <c r="C103" s="7909" t="s">
        <v>5369</v>
      </c>
      <c r="D103" s="7910" t="s">
        <v>5370</v>
      </c>
      <c r="E103" s="7911" t="s">
        <v>5371</v>
      </c>
      <c r="F103" s="7912" t="s">
        <v>5372</v>
      </c>
      <c r="G103" s="7913" t="s">
        <v>5373</v>
      </c>
      <c r="H103" s="7912" t="s">
        <v>5374</v>
      </c>
      <c r="I103" s="7913" t="s">
        <v>5375</v>
      </c>
      <c r="J103" s="7912" t="s">
        <v>5376</v>
      </c>
      <c r="K103" s="7913" t="s">
        <v>5377</v>
      </c>
      <c r="L103" s="7912" t="s">
        <v>5378</v>
      </c>
      <c r="M103" s="7913" t="s">
        <v>5379</v>
      </c>
      <c r="N103" s="7912" t="s">
        <v>5380</v>
      </c>
      <c r="O103" s="7913" t="s">
        <v>5381</v>
      </c>
      <c r="P103" s="7912" t="s">
        <v>5382</v>
      </c>
      <c r="Q103" s="7913" t="s">
        <v>5383</v>
      </c>
      <c r="R103" s="7912" t="s">
        <v>5384</v>
      </c>
      <c r="S103" s="7913" t="s">
        <v>5385</v>
      </c>
      <c r="T103" s="7912" t="s">
        <v>5386</v>
      </c>
      <c r="U103" s="7913" t="s">
        <v>5387</v>
      </c>
      <c r="V103" s="7912" t="s">
        <v>5388</v>
      </c>
      <c r="W103" s="7913" t="s">
        <v>5389</v>
      </c>
      <c r="X103" s="7912" t="s">
        <v>5390</v>
      </c>
      <c r="Y103" s="7913" t="s">
        <v>5391</v>
      </c>
      <c r="Z103" s="7912" t="s">
        <v>5392</v>
      </c>
      <c r="AA103" s="7913" t="s">
        <v>5393</v>
      </c>
      <c r="AB103" s="7912" t="s">
        <v>5394</v>
      </c>
      <c r="AC103" s="7913" t="s">
        <v>5395</v>
      </c>
      <c r="AD103" s="7912" t="s">
        <v>5396</v>
      </c>
      <c r="AE103" s="7913" t="s">
        <v>5397</v>
      </c>
      <c r="AF103" s="7912" t="s">
        <v>5398</v>
      </c>
      <c r="AG103" s="7913" t="s">
        <v>5399</v>
      </c>
      <c r="AH103" s="7912" t="s">
        <v>5400</v>
      </c>
      <c r="AI103" s="7913" t="s">
        <v>5401</v>
      </c>
      <c r="AJ103" s="7912" t="s">
        <v>5402</v>
      </c>
      <c r="AK103" s="7913" t="s">
        <v>5403</v>
      </c>
      <c r="AL103" s="7912" t="s">
        <v>5404</v>
      </c>
      <c r="AM103" s="7914" t="s">
        <v>5405</v>
      </c>
      <c r="AN103" s="7915" t="s">
        <v>5406</v>
      </c>
      <c r="AO103" s="7916" t="s">
        <v>5407</v>
      </c>
      <c r="AP103" s="7916" t="s">
        <v>5408</v>
      </c>
      <c r="AQ103" s="7916" t="s">
        <v>5409</v>
      </c>
      <c r="AR103" s="7916" t="s">
        <v>5410</v>
      </c>
      <c r="AS103" s="7916" t="s">
        <v>5411</v>
      </c>
      <c r="AT103" s="7916" t="s">
        <v>5412</v>
      </c>
      <c r="AU103" s="7916" t="s">
        <v>5413</v>
      </c>
      <c r="AV103" s="7916" t="s">
        <v>5414</v>
      </c>
      <c r="AW103" s="7916" t="s">
        <v>5415</v>
      </c>
      <c r="AX103" s="7913" t="s">
        <v>5416</v>
      </c>
      <c r="AY103" s="2384" t="str">
        <f t="shared" si="15"/>
        <v/>
      </c>
      <c r="CB103" s="2384" t="str">
        <f t="shared" si="16"/>
        <v/>
      </c>
      <c r="CK103" s="2384">
        <f t="shared" si="17"/>
        <v>0</v>
      </c>
    </row>
    <row r="104" spans="1:89" ht="15.75" customHeight="1" x14ac:dyDescent="0.3">
      <c r="A104" s="7320">
        <v>32101668</v>
      </c>
      <c r="B104" s="7877" t="s">
        <v>3396</v>
      </c>
      <c r="C104" s="7909" t="s">
        <v>5369</v>
      </c>
      <c r="D104" s="7910" t="s">
        <v>5370</v>
      </c>
      <c r="E104" s="7911" t="s">
        <v>5371</v>
      </c>
      <c r="F104" s="7912" t="s">
        <v>5372</v>
      </c>
      <c r="G104" s="7913" t="s">
        <v>5373</v>
      </c>
      <c r="H104" s="7912" t="s">
        <v>5374</v>
      </c>
      <c r="I104" s="7913" t="s">
        <v>5375</v>
      </c>
      <c r="J104" s="7912" t="s">
        <v>5376</v>
      </c>
      <c r="K104" s="7913" t="s">
        <v>5377</v>
      </c>
      <c r="L104" s="7912" t="s">
        <v>5378</v>
      </c>
      <c r="M104" s="7913" t="s">
        <v>5379</v>
      </c>
      <c r="N104" s="7912" t="s">
        <v>5380</v>
      </c>
      <c r="O104" s="7913" t="s">
        <v>5381</v>
      </c>
      <c r="P104" s="7912" t="s">
        <v>5382</v>
      </c>
      <c r="Q104" s="7913" t="s">
        <v>5383</v>
      </c>
      <c r="R104" s="7912" t="s">
        <v>5384</v>
      </c>
      <c r="S104" s="7913" t="s">
        <v>5385</v>
      </c>
      <c r="T104" s="7912" t="s">
        <v>5386</v>
      </c>
      <c r="U104" s="7913" t="s">
        <v>5387</v>
      </c>
      <c r="V104" s="7912" t="s">
        <v>5388</v>
      </c>
      <c r="W104" s="7913" t="s">
        <v>5389</v>
      </c>
      <c r="X104" s="7912" t="s">
        <v>5390</v>
      </c>
      <c r="Y104" s="7913" t="s">
        <v>5391</v>
      </c>
      <c r="Z104" s="7912" t="s">
        <v>5392</v>
      </c>
      <c r="AA104" s="7913" t="s">
        <v>5393</v>
      </c>
      <c r="AB104" s="7912" t="s">
        <v>5394</v>
      </c>
      <c r="AC104" s="7913" t="s">
        <v>5395</v>
      </c>
      <c r="AD104" s="7912" t="s">
        <v>5396</v>
      </c>
      <c r="AE104" s="7913" t="s">
        <v>5397</v>
      </c>
      <c r="AF104" s="7912" t="s">
        <v>5398</v>
      </c>
      <c r="AG104" s="7913" t="s">
        <v>5399</v>
      </c>
      <c r="AH104" s="7912" t="s">
        <v>5400</v>
      </c>
      <c r="AI104" s="7913" t="s">
        <v>5401</v>
      </c>
      <c r="AJ104" s="7912" t="s">
        <v>5402</v>
      </c>
      <c r="AK104" s="7913" t="s">
        <v>5403</v>
      </c>
      <c r="AL104" s="7912" t="s">
        <v>5404</v>
      </c>
      <c r="AM104" s="7914" t="s">
        <v>5405</v>
      </c>
      <c r="AN104" s="7915" t="s">
        <v>5406</v>
      </c>
      <c r="AO104" s="7916" t="s">
        <v>5407</v>
      </c>
      <c r="AP104" s="7916" t="s">
        <v>5408</v>
      </c>
      <c r="AQ104" s="7916" t="s">
        <v>5409</v>
      </c>
      <c r="AR104" s="7916" t="s">
        <v>5410</v>
      </c>
      <c r="AS104" s="7916" t="s">
        <v>5411</v>
      </c>
      <c r="AT104" s="7916" t="s">
        <v>5412</v>
      </c>
      <c r="AU104" s="7916" t="s">
        <v>5413</v>
      </c>
      <c r="AV104" s="7916" t="s">
        <v>5414</v>
      </c>
      <c r="AW104" s="7916" t="s">
        <v>5415</v>
      </c>
      <c r="AX104" s="7913" t="s">
        <v>5416</v>
      </c>
      <c r="AY104" s="2384" t="str">
        <f t="shared" si="15"/>
        <v/>
      </c>
      <c r="CB104" s="2384" t="str">
        <f t="shared" si="16"/>
        <v/>
      </c>
      <c r="CK104" s="2384">
        <f t="shared" si="17"/>
        <v>0</v>
      </c>
    </row>
    <row r="105" spans="1:89" ht="15.75" customHeight="1" x14ac:dyDescent="0.3">
      <c r="A105" s="7320">
        <v>32101669</v>
      </c>
      <c r="B105" s="7877" t="s">
        <v>3397</v>
      </c>
      <c r="C105" s="7909" t="s">
        <v>5369</v>
      </c>
      <c r="D105" s="7910" t="s">
        <v>5370</v>
      </c>
      <c r="E105" s="7911" t="s">
        <v>5371</v>
      </c>
      <c r="F105" s="7912" t="s">
        <v>5372</v>
      </c>
      <c r="G105" s="7913" t="s">
        <v>5373</v>
      </c>
      <c r="H105" s="7912" t="s">
        <v>5374</v>
      </c>
      <c r="I105" s="7913" t="s">
        <v>5375</v>
      </c>
      <c r="J105" s="7912" t="s">
        <v>5376</v>
      </c>
      <c r="K105" s="7913" t="s">
        <v>5377</v>
      </c>
      <c r="L105" s="7912" t="s">
        <v>5378</v>
      </c>
      <c r="M105" s="7913" t="s">
        <v>5379</v>
      </c>
      <c r="N105" s="7912" t="s">
        <v>5380</v>
      </c>
      <c r="O105" s="7913" t="s">
        <v>5381</v>
      </c>
      <c r="P105" s="7912" t="s">
        <v>5382</v>
      </c>
      <c r="Q105" s="7913" t="s">
        <v>5383</v>
      </c>
      <c r="R105" s="7912" t="s">
        <v>5384</v>
      </c>
      <c r="S105" s="7913" t="s">
        <v>5385</v>
      </c>
      <c r="T105" s="7912" t="s">
        <v>5386</v>
      </c>
      <c r="U105" s="7913" t="s">
        <v>5387</v>
      </c>
      <c r="V105" s="7912" t="s">
        <v>5388</v>
      </c>
      <c r="W105" s="7913" t="s">
        <v>5389</v>
      </c>
      <c r="X105" s="7912" t="s">
        <v>5390</v>
      </c>
      <c r="Y105" s="7913" t="s">
        <v>5391</v>
      </c>
      <c r="Z105" s="7912" t="s">
        <v>5392</v>
      </c>
      <c r="AA105" s="7913" t="s">
        <v>5393</v>
      </c>
      <c r="AB105" s="7912" t="s">
        <v>5394</v>
      </c>
      <c r="AC105" s="7913" t="s">
        <v>5395</v>
      </c>
      <c r="AD105" s="7912" t="s">
        <v>5396</v>
      </c>
      <c r="AE105" s="7913" t="s">
        <v>5397</v>
      </c>
      <c r="AF105" s="7912" t="s">
        <v>5398</v>
      </c>
      <c r="AG105" s="7913" t="s">
        <v>5399</v>
      </c>
      <c r="AH105" s="7912" t="s">
        <v>5400</v>
      </c>
      <c r="AI105" s="7913" t="s">
        <v>5401</v>
      </c>
      <c r="AJ105" s="7912" t="s">
        <v>5402</v>
      </c>
      <c r="AK105" s="7913" t="s">
        <v>5403</v>
      </c>
      <c r="AL105" s="7912" t="s">
        <v>5404</v>
      </c>
      <c r="AM105" s="7914" t="s">
        <v>5405</v>
      </c>
      <c r="AN105" s="7915" t="s">
        <v>5406</v>
      </c>
      <c r="AO105" s="7916" t="s">
        <v>5407</v>
      </c>
      <c r="AP105" s="7916" t="s">
        <v>5408</v>
      </c>
      <c r="AQ105" s="7916" t="s">
        <v>5409</v>
      </c>
      <c r="AR105" s="7916" t="s">
        <v>5410</v>
      </c>
      <c r="AS105" s="7916" t="s">
        <v>5411</v>
      </c>
      <c r="AT105" s="7916" t="s">
        <v>5412</v>
      </c>
      <c r="AU105" s="7916" t="s">
        <v>5413</v>
      </c>
      <c r="AV105" s="7916" t="s">
        <v>5414</v>
      </c>
      <c r="AW105" s="7916" t="s">
        <v>5415</v>
      </c>
      <c r="AX105" s="7913" t="s">
        <v>5416</v>
      </c>
      <c r="AY105" s="2384" t="str">
        <f t="shared" si="15"/>
        <v/>
      </c>
      <c r="CB105" s="2384" t="str">
        <f t="shared" si="16"/>
        <v/>
      </c>
      <c r="CK105" s="2384">
        <f t="shared" si="17"/>
        <v>0</v>
      </c>
    </row>
    <row r="106" spans="1:89" ht="15.75" customHeight="1" x14ac:dyDescent="0.3">
      <c r="A106" s="7320">
        <v>32101670</v>
      </c>
      <c r="B106" s="7917" t="s">
        <v>3398</v>
      </c>
      <c r="C106" s="7918" t="s">
        <v>5369</v>
      </c>
      <c r="D106" s="7919" t="s">
        <v>5370</v>
      </c>
      <c r="E106" s="7920" t="s">
        <v>5371</v>
      </c>
      <c r="F106" s="7921" t="s">
        <v>5372</v>
      </c>
      <c r="G106" s="7922" t="s">
        <v>5373</v>
      </c>
      <c r="H106" s="7921" t="s">
        <v>5374</v>
      </c>
      <c r="I106" s="7922" t="s">
        <v>5375</v>
      </c>
      <c r="J106" s="7921" t="s">
        <v>5376</v>
      </c>
      <c r="K106" s="7922" t="s">
        <v>5377</v>
      </c>
      <c r="L106" s="7921" t="s">
        <v>5378</v>
      </c>
      <c r="M106" s="7922" t="s">
        <v>5379</v>
      </c>
      <c r="N106" s="7921" t="s">
        <v>5380</v>
      </c>
      <c r="O106" s="7922" t="s">
        <v>5381</v>
      </c>
      <c r="P106" s="7921" t="s">
        <v>5382</v>
      </c>
      <c r="Q106" s="7922" t="s">
        <v>5383</v>
      </c>
      <c r="R106" s="7921" t="s">
        <v>5384</v>
      </c>
      <c r="S106" s="7922" t="s">
        <v>5385</v>
      </c>
      <c r="T106" s="7921" t="s">
        <v>5386</v>
      </c>
      <c r="U106" s="7922" t="s">
        <v>5387</v>
      </c>
      <c r="V106" s="7921" t="s">
        <v>5388</v>
      </c>
      <c r="W106" s="7922" t="s">
        <v>5389</v>
      </c>
      <c r="X106" s="7921" t="s">
        <v>5390</v>
      </c>
      <c r="Y106" s="7922" t="s">
        <v>5391</v>
      </c>
      <c r="Z106" s="7921" t="s">
        <v>5392</v>
      </c>
      <c r="AA106" s="7922" t="s">
        <v>5393</v>
      </c>
      <c r="AB106" s="7921" t="s">
        <v>5394</v>
      </c>
      <c r="AC106" s="7922" t="s">
        <v>5395</v>
      </c>
      <c r="AD106" s="7921" t="s">
        <v>5396</v>
      </c>
      <c r="AE106" s="7922" t="s">
        <v>5397</v>
      </c>
      <c r="AF106" s="7921" t="s">
        <v>5398</v>
      </c>
      <c r="AG106" s="7922" t="s">
        <v>5399</v>
      </c>
      <c r="AH106" s="7921" t="s">
        <v>5400</v>
      </c>
      <c r="AI106" s="7922" t="s">
        <v>5401</v>
      </c>
      <c r="AJ106" s="7921" t="s">
        <v>5402</v>
      </c>
      <c r="AK106" s="7922" t="s">
        <v>5403</v>
      </c>
      <c r="AL106" s="7921" t="s">
        <v>5404</v>
      </c>
      <c r="AM106" s="7923" t="s">
        <v>5405</v>
      </c>
      <c r="AN106" s="7924" t="s">
        <v>5406</v>
      </c>
      <c r="AO106" s="7925" t="s">
        <v>5407</v>
      </c>
      <c r="AP106" s="7925" t="s">
        <v>5408</v>
      </c>
      <c r="AQ106" s="7925" t="s">
        <v>5409</v>
      </c>
      <c r="AR106" s="7925" t="s">
        <v>5410</v>
      </c>
      <c r="AS106" s="7925" t="s">
        <v>5411</v>
      </c>
      <c r="AT106" s="7925" t="s">
        <v>5412</v>
      </c>
      <c r="AU106" s="7925" t="s">
        <v>5413</v>
      </c>
      <c r="AV106" s="7925" t="s">
        <v>5414</v>
      </c>
      <c r="AW106" s="7925" t="s">
        <v>5415</v>
      </c>
      <c r="AX106" s="7922" t="s">
        <v>5416</v>
      </c>
      <c r="AY106" s="2384" t="str">
        <f t="shared" si="15"/>
        <v/>
      </c>
      <c r="CB106" s="2384" t="str">
        <f t="shared" si="16"/>
        <v/>
      </c>
      <c r="CK106" s="2384">
        <f t="shared" si="17"/>
        <v>0</v>
      </c>
    </row>
    <row r="107" spans="1:89" ht="21" customHeight="1" x14ac:dyDescent="0.3">
      <c r="B107" s="7582" t="s">
        <v>3096</v>
      </c>
      <c r="C107" s="7886"/>
      <c r="D107" s="7886"/>
      <c r="E107" s="7886"/>
      <c r="F107" s="7886"/>
      <c r="G107" s="7886"/>
      <c r="H107" s="7886"/>
      <c r="I107" s="7886"/>
      <c r="J107" s="7886"/>
      <c r="K107" s="7886"/>
    </row>
    <row r="108" spans="1:89" ht="15.75" customHeight="1" x14ac:dyDescent="0.3">
      <c r="B108" s="11444" t="s">
        <v>1236</v>
      </c>
      <c r="C108" s="11448" t="s">
        <v>3375</v>
      </c>
      <c r="D108" s="11449"/>
      <c r="E108" s="11449"/>
      <c r="F108" s="11450"/>
      <c r="G108" s="11448" t="s">
        <v>3380</v>
      </c>
      <c r="H108" s="11449"/>
      <c r="I108" s="11449"/>
      <c r="J108" s="11450"/>
      <c r="K108" s="7886"/>
    </row>
    <row r="109" spans="1:89" ht="28.95" customHeight="1" x14ac:dyDescent="0.3">
      <c r="B109" s="11447"/>
      <c r="C109" s="7926" t="s">
        <v>3378</v>
      </c>
      <c r="D109" s="7926" t="s">
        <v>3379</v>
      </c>
      <c r="E109" s="7927" t="s">
        <v>3376</v>
      </c>
      <c r="F109" s="7927" t="s">
        <v>3377</v>
      </c>
      <c r="G109" s="7927" t="s">
        <v>3378</v>
      </c>
      <c r="H109" s="7927" t="s">
        <v>2810</v>
      </c>
      <c r="I109" s="7927" t="s">
        <v>3376</v>
      </c>
      <c r="J109" s="7927" t="s">
        <v>3377</v>
      </c>
      <c r="K109" s="7886"/>
    </row>
    <row r="110" spans="1:89" ht="15.75" customHeight="1" x14ac:dyDescent="0.3">
      <c r="A110" s="7320">
        <v>32101671</v>
      </c>
      <c r="B110" s="7842" t="s">
        <v>3383</v>
      </c>
      <c r="C110" s="7865" t="s">
        <v>5369</v>
      </c>
      <c r="D110" s="7865" t="s">
        <v>5370</v>
      </c>
      <c r="E110" s="7865" t="s">
        <v>5371</v>
      </c>
      <c r="F110" s="7865" t="s">
        <v>5372</v>
      </c>
      <c r="G110" s="7865" t="s">
        <v>5373</v>
      </c>
      <c r="H110" s="7865" t="s">
        <v>5374</v>
      </c>
      <c r="I110" s="7865" t="s">
        <v>5375</v>
      </c>
      <c r="J110" s="7865" t="s">
        <v>5376</v>
      </c>
      <c r="K110" s="7886"/>
    </row>
    <row r="111" spans="1:89" ht="15.75" customHeight="1" x14ac:dyDescent="0.3">
      <c r="A111" s="7320">
        <v>32101672</v>
      </c>
      <c r="B111" s="7854" t="s">
        <v>3384</v>
      </c>
      <c r="C111" s="7928" t="s">
        <v>5369</v>
      </c>
      <c r="D111" s="7929" t="s">
        <v>5370</v>
      </c>
      <c r="E111" s="7929" t="s">
        <v>5371</v>
      </c>
      <c r="F111" s="7929" t="s">
        <v>5372</v>
      </c>
      <c r="G111" s="7930" t="s">
        <v>5373</v>
      </c>
      <c r="H111" s="7930" t="s">
        <v>5374</v>
      </c>
      <c r="I111" s="7930" t="s">
        <v>5375</v>
      </c>
      <c r="J111" s="7930" t="s">
        <v>5376</v>
      </c>
      <c r="K111" s="7886"/>
    </row>
    <row r="112" spans="1:89" ht="23.4" customHeight="1" x14ac:dyDescent="0.3">
      <c r="B112" s="7831" t="s">
        <v>3097</v>
      </c>
      <c r="C112" s="7931"/>
      <c r="D112" s="7931"/>
      <c r="E112" s="7931"/>
      <c r="F112" s="7931"/>
      <c r="G112" s="7931"/>
      <c r="H112" s="7931"/>
      <c r="I112" s="7931"/>
      <c r="J112" s="7931"/>
      <c r="K112" s="7886"/>
    </row>
    <row r="113" spans="1:11" ht="15.75" customHeight="1" x14ac:dyDescent="0.3">
      <c r="B113" s="7932"/>
      <c r="C113" s="11448" t="s">
        <v>3375</v>
      </c>
      <c r="D113" s="11449"/>
      <c r="E113" s="11449"/>
      <c r="F113" s="11450"/>
      <c r="G113" s="11448" t="s">
        <v>3380</v>
      </c>
      <c r="H113" s="11449"/>
      <c r="I113" s="11449"/>
      <c r="J113" s="11450"/>
      <c r="K113" s="7886"/>
    </row>
    <row r="114" spans="1:11" ht="33.6" customHeight="1" x14ac:dyDescent="0.3">
      <c r="B114" s="7932"/>
      <c r="C114" s="7926" t="s">
        <v>3378</v>
      </c>
      <c r="D114" s="7926" t="s">
        <v>3379</v>
      </c>
      <c r="E114" s="7927" t="s">
        <v>3376</v>
      </c>
      <c r="F114" s="7927" t="s">
        <v>3377</v>
      </c>
      <c r="G114" s="7927" t="s">
        <v>3378</v>
      </c>
      <c r="H114" s="7933" t="s">
        <v>2810</v>
      </c>
      <c r="I114" s="7927" t="s">
        <v>3376</v>
      </c>
      <c r="J114" s="7927" t="s">
        <v>3377</v>
      </c>
      <c r="K114" s="7886"/>
    </row>
    <row r="115" spans="1:11" ht="14.1" customHeight="1" x14ac:dyDescent="0.3">
      <c r="A115" s="7320">
        <v>32101673</v>
      </c>
      <c r="B115" s="7842" t="s">
        <v>3381</v>
      </c>
      <c r="C115" s="7934" t="s">
        <v>5369</v>
      </c>
      <c r="D115" s="7934" t="s">
        <v>5370</v>
      </c>
      <c r="E115" s="7934" t="s">
        <v>5371</v>
      </c>
      <c r="F115" s="7934" t="s">
        <v>5372</v>
      </c>
      <c r="G115" s="7865" t="s">
        <v>5373</v>
      </c>
      <c r="H115" s="7865" t="s">
        <v>5374</v>
      </c>
      <c r="I115" s="7865" t="s">
        <v>5375</v>
      </c>
      <c r="J115" s="7865" t="s">
        <v>5376</v>
      </c>
      <c r="K115" s="7886"/>
    </row>
    <row r="116" spans="1:11" ht="14.1" customHeight="1" x14ac:dyDescent="0.3">
      <c r="A116" s="7320">
        <v>32101674</v>
      </c>
      <c r="B116" s="7854" t="s">
        <v>3382</v>
      </c>
      <c r="C116" s="7858" t="s">
        <v>5369</v>
      </c>
      <c r="D116" s="7858" t="s">
        <v>5370</v>
      </c>
      <c r="E116" s="7858" t="s">
        <v>5371</v>
      </c>
      <c r="F116" s="7858" t="s">
        <v>5372</v>
      </c>
      <c r="G116" s="7935" t="s">
        <v>5373</v>
      </c>
      <c r="H116" s="7935" t="s">
        <v>5374</v>
      </c>
      <c r="I116" s="7935" t="s">
        <v>5375</v>
      </c>
      <c r="J116" s="7935" t="s">
        <v>5376</v>
      </c>
      <c r="K116" s="7886"/>
    </row>
    <row r="117" spans="1:11" ht="25.2" customHeight="1" x14ac:dyDescent="0.3">
      <c r="B117" s="7831" t="s">
        <v>3093</v>
      </c>
    </row>
    <row r="118" spans="1:11" ht="33" customHeight="1" x14ac:dyDescent="0.3">
      <c r="B118" s="11444" t="s">
        <v>3154</v>
      </c>
      <c r="C118" s="11437" t="s">
        <v>3375</v>
      </c>
      <c r="D118" s="11438"/>
      <c r="E118" s="11437" t="s">
        <v>3374</v>
      </c>
      <c r="F118" s="11439"/>
      <c r="G118" s="11440"/>
      <c r="H118" s="7872" t="s">
        <v>3373</v>
      </c>
    </row>
    <row r="119" spans="1:11" ht="25.95" customHeight="1" x14ac:dyDescent="0.3">
      <c r="B119" s="11447"/>
      <c r="C119" s="7936" t="s">
        <v>3371</v>
      </c>
      <c r="D119" s="7936" t="s">
        <v>3094</v>
      </c>
      <c r="E119" s="7936" t="s">
        <v>1640</v>
      </c>
      <c r="F119" s="7872" t="s">
        <v>993</v>
      </c>
      <c r="G119" s="7872" t="s">
        <v>3372</v>
      </c>
      <c r="H119" s="7936" t="s">
        <v>3095</v>
      </c>
    </row>
    <row r="120" spans="1:11" ht="14.1" customHeight="1" x14ac:dyDescent="0.3">
      <c r="A120" s="7320">
        <v>32101675</v>
      </c>
      <c r="B120" s="7842" t="s">
        <v>3385</v>
      </c>
      <c r="C120" s="7895" t="s">
        <v>5369</v>
      </c>
      <c r="D120" s="7895" t="s">
        <v>5370</v>
      </c>
      <c r="E120" s="7937" t="s">
        <v>5371</v>
      </c>
      <c r="F120" s="7895" t="s">
        <v>5372</v>
      </c>
      <c r="G120" s="7895" t="s">
        <v>5373</v>
      </c>
      <c r="H120" s="7895" t="s">
        <v>5374</v>
      </c>
    </row>
    <row r="121" spans="1:11" ht="14.1" customHeight="1" x14ac:dyDescent="0.3">
      <c r="A121" s="7320">
        <v>32101676</v>
      </c>
      <c r="B121" s="7850" t="s">
        <v>3386</v>
      </c>
      <c r="C121" s="7938" t="s">
        <v>5369</v>
      </c>
      <c r="D121" s="7846" t="s">
        <v>5370</v>
      </c>
      <c r="E121" s="7846" t="s">
        <v>5371</v>
      </c>
      <c r="F121" s="7846" t="s">
        <v>5372</v>
      </c>
      <c r="G121" s="7938" t="s">
        <v>5373</v>
      </c>
      <c r="H121" s="7846" t="s">
        <v>5374</v>
      </c>
    </row>
    <row r="122" spans="1:11" ht="14.1" customHeight="1" x14ac:dyDescent="0.3">
      <c r="A122" s="7320">
        <v>32101677</v>
      </c>
      <c r="B122" s="7850" t="s">
        <v>3723</v>
      </c>
      <c r="C122" s="7939" t="s">
        <v>5369</v>
      </c>
      <c r="D122" s="7939" t="s">
        <v>5370</v>
      </c>
      <c r="E122" s="7940" t="s">
        <v>5371</v>
      </c>
      <c r="F122" s="7940" t="s">
        <v>5372</v>
      </c>
      <c r="G122" s="7939" t="s">
        <v>5373</v>
      </c>
      <c r="H122" s="7939" t="s">
        <v>5374</v>
      </c>
    </row>
    <row r="123" spans="1:11" ht="14.1" customHeight="1" x14ac:dyDescent="0.3">
      <c r="A123" s="7320">
        <v>32101678</v>
      </c>
      <c r="B123" s="7868" t="s">
        <v>3387</v>
      </c>
      <c r="C123" s="7941" t="s">
        <v>5369</v>
      </c>
      <c r="D123" s="7941" t="s">
        <v>5370</v>
      </c>
      <c r="E123" s="7941" t="s">
        <v>5371</v>
      </c>
      <c r="F123" s="7942" t="s">
        <v>5372</v>
      </c>
      <c r="G123" s="7942" t="s">
        <v>5373</v>
      </c>
      <c r="H123" s="7941" t="s">
        <v>5374</v>
      </c>
    </row>
    <row r="124" spans="1:11" ht="15.75" customHeight="1" x14ac:dyDescent="0.3"/>
    <row r="125" spans="1:11" ht="15.75" customHeight="1" x14ac:dyDescent="0.3">
      <c r="A125" s="2384" t="s">
        <v>4068</v>
      </c>
    </row>
    <row r="126" spans="1:11" ht="15.75" customHeight="1" x14ac:dyDescent="0.3">
      <c r="A126" s="7320">
        <v>32101593</v>
      </c>
    </row>
    <row r="127" spans="1:11" ht="15.75" customHeight="1" x14ac:dyDescent="0.3">
      <c r="A127" s="7320">
        <v>32101594</v>
      </c>
    </row>
    <row r="128" spans="1:11" ht="15.75" customHeight="1" x14ac:dyDescent="0.3">
      <c r="A128" s="7320">
        <v>32101595</v>
      </c>
    </row>
    <row r="129" spans="1:3" ht="15.75" customHeight="1" x14ac:dyDescent="0.3">
      <c r="A129" s="7320">
        <v>32101596</v>
      </c>
    </row>
    <row r="130" spans="1:3" ht="15.75" customHeight="1" x14ac:dyDescent="0.3">
      <c r="A130" s="7320">
        <v>32101597</v>
      </c>
    </row>
    <row r="131" spans="1:3" ht="15.75" customHeight="1" x14ac:dyDescent="0.3">
      <c r="A131" s="7320">
        <v>32101598</v>
      </c>
    </row>
    <row r="132" spans="1:3" ht="15.75" customHeight="1" x14ac:dyDescent="0.3">
      <c r="A132" s="7320">
        <v>32101599</v>
      </c>
    </row>
    <row r="133" spans="1:3" ht="15.75" customHeight="1" x14ac:dyDescent="0.3">
      <c r="A133" s="7320">
        <v>32101600</v>
      </c>
    </row>
    <row r="134" spans="1:3" ht="15.75" customHeight="1" x14ac:dyDescent="0.3">
      <c r="A134" s="7320">
        <v>32101601</v>
      </c>
    </row>
    <row r="135" spans="1:3" ht="15.75" customHeight="1" x14ac:dyDescent="0.3">
      <c r="A135" s="7320">
        <v>32101602</v>
      </c>
    </row>
    <row r="136" spans="1:3" ht="15.75" customHeight="1" x14ac:dyDescent="0.3">
      <c r="A136" s="7320">
        <v>32101603</v>
      </c>
    </row>
    <row r="137" spans="1:3" ht="15.75" customHeight="1" x14ac:dyDescent="0.3">
      <c r="A137" s="7320">
        <v>32101604</v>
      </c>
    </row>
    <row r="138" spans="1:3" ht="15.75" customHeight="1" x14ac:dyDescent="0.3">
      <c r="A138" s="7320">
        <v>32101605</v>
      </c>
    </row>
    <row r="139" spans="1:3" ht="15.75" customHeight="1" x14ac:dyDescent="0.3">
      <c r="A139" s="7320">
        <v>32101606</v>
      </c>
    </row>
    <row r="140" spans="1:3" s="7944" customFormat="1" ht="15.75" hidden="1" customHeight="1" x14ac:dyDescent="0.3">
      <c r="A140" s="7320">
        <v>32101607</v>
      </c>
      <c r="B140" s="7943">
        <f>SUM(D15:D41,C46:C57,D63:D89,C95:C106,C110:J111,C115:J116,C120:H123)</f>
        <v>0</v>
      </c>
      <c r="C140" s="7944">
        <f>SUM(CK15:CL106)</f>
        <v>108</v>
      </c>
    </row>
    <row r="141" spans="1:3" ht="15.75" customHeight="1" x14ac:dyDescent="0.3">
      <c r="A141" s="7320">
        <v>32101608</v>
      </c>
    </row>
    <row r="142" spans="1:3" ht="15.75" customHeight="1" x14ac:dyDescent="0.3">
      <c r="A142" s="7320">
        <v>32101609</v>
      </c>
    </row>
    <row r="143" spans="1:3" ht="15.75" customHeight="1" x14ac:dyDescent="0.3">
      <c r="A143" s="7320">
        <v>32101610</v>
      </c>
    </row>
    <row r="144" spans="1:3" ht="15.75" customHeight="1" x14ac:dyDescent="0.3">
      <c r="A144" s="7320">
        <v>32101611</v>
      </c>
    </row>
    <row r="145" spans="1:1" ht="15.75" customHeight="1" x14ac:dyDescent="0.3">
      <c r="A145" s="7320">
        <v>32101612</v>
      </c>
    </row>
    <row r="146" spans="1:1" ht="15.75" customHeight="1" x14ac:dyDescent="0.3">
      <c r="A146" s="7320">
        <v>32101613</v>
      </c>
    </row>
    <row r="147" spans="1:1" ht="15.75" customHeight="1" x14ac:dyDescent="0.3">
      <c r="A147" s="7320">
        <v>32101614</v>
      </c>
    </row>
    <row r="148" spans="1:1" ht="15.75" customHeight="1" x14ac:dyDescent="0.3">
      <c r="A148" s="7320">
        <v>32101615</v>
      </c>
    </row>
    <row r="149" spans="1:1" ht="15.75" customHeight="1" x14ac:dyDescent="0.3">
      <c r="A149" s="7320">
        <v>32101616</v>
      </c>
    </row>
    <row r="150" spans="1:1" ht="15.75" customHeight="1" x14ac:dyDescent="0.3">
      <c r="A150" s="7320">
        <v>32101617</v>
      </c>
    </row>
    <row r="151" spans="1:1" ht="15.75" customHeight="1" x14ac:dyDescent="0.3">
      <c r="A151" s="7320">
        <v>32101618</v>
      </c>
    </row>
    <row r="152" spans="1:1" ht="15.75" customHeight="1" x14ac:dyDescent="0.3">
      <c r="A152" s="7320">
        <v>32101619</v>
      </c>
    </row>
    <row r="153" spans="1:1" ht="15.75" customHeight="1" x14ac:dyDescent="0.3">
      <c r="A153" s="7320">
        <v>32101620</v>
      </c>
    </row>
    <row r="154" spans="1:1" ht="15.75" customHeight="1" x14ac:dyDescent="0.3">
      <c r="A154" s="7320">
        <v>32101621</v>
      </c>
    </row>
    <row r="155" spans="1:1" ht="15.75" customHeight="1" x14ac:dyDescent="0.3">
      <c r="A155" s="7320">
        <v>32101622</v>
      </c>
    </row>
    <row r="156" spans="1:1" ht="15.75" customHeight="1" x14ac:dyDescent="0.3">
      <c r="A156" s="7320">
        <v>32101623</v>
      </c>
    </row>
    <row r="157" spans="1:1" ht="15.75" customHeight="1" x14ac:dyDescent="0.3">
      <c r="A157" s="7320">
        <v>32101624</v>
      </c>
    </row>
    <row r="158" spans="1:1" ht="15.75" customHeight="1" x14ac:dyDescent="0.3">
      <c r="A158" s="7320">
        <v>32101625</v>
      </c>
    </row>
    <row r="159" spans="1:1" ht="15.75" customHeight="1" x14ac:dyDescent="0.3">
      <c r="A159" s="7320">
        <v>32101626</v>
      </c>
    </row>
    <row r="160" spans="1:1" ht="15.75" customHeight="1" x14ac:dyDescent="0.3">
      <c r="A160" s="7320">
        <v>32101627</v>
      </c>
    </row>
    <row r="161" spans="1:1" ht="15.75" customHeight="1" x14ac:dyDescent="0.3">
      <c r="A161" s="7320">
        <v>32101628</v>
      </c>
    </row>
    <row r="162" spans="1:1" ht="15.75" customHeight="1" x14ac:dyDescent="0.3">
      <c r="A162" s="7320">
        <v>32101629</v>
      </c>
    </row>
    <row r="163" spans="1:1" ht="15.75" customHeight="1" x14ac:dyDescent="0.3">
      <c r="A163" s="7320">
        <v>32101630</v>
      </c>
    </row>
    <row r="164" spans="1:1" ht="15.75" customHeight="1" x14ac:dyDescent="0.3">
      <c r="A164" s="7320">
        <v>32101631</v>
      </c>
    </row>
    <row r="165" spans="1:1" ht="15.75" customHeight="1" x14ac:dyDescent="0.3">
      <c r="A165" s="7320">
        <v>32101632</v>
      </c>
    </row>
    <row r="166" spans="1:1" ht="15.75" customHeight="1" x14ac:dyDescent="0.3">
      <c r="A166" s="7320">
        <v>32101633</v>
      </c>
    </row>
    <row r="167" spans="1:1" ht="15.75" customHeight="1" x14ac:dyDescent="0.3">
      <c r="A167" s="7320">
        <v>32101634</v>
      </c>
    </row>
    <row r="168" spans="1:1" ht="15.75" customHeight="1" x14ac:dyDescent="0.3">
      <c r="A168" s="7320">
        <v>32101635</v>
      </c>
    </row>
    <row r="169" spans="1:1" ht="15.75" customHeight="1" x14ac:dyDescent="0.3">
      <c r="A169" s="7320">
        <v>32101636</v>
      </c>
    </row>
    <row r="170" spans="1:1" ht="15.75" customHeight="1" x14ac:dyDescent="0.3">
      <c r="A170" s="7320">
        <v>32101637</v>
      </c>
    </row>
    <row r="171" spans="1:1" ht="15.75" customHeight="1" x14ac:dyDescent="0.3">
      <c r="A171" s="7320">
        <v>32101638</v>
      </c>
    </row>
    <row r="172" spans="1:1" ht="15.75" customHeight="1" x14ac:dyDescent="0.3">
      <c r="A172" s="7320">
        <v>32101639</v>
      </c>
    </row>
    <row r="173" spans="1:1" ht="15.75" customHeight="1" x14ac:dyDescent="0.3">
      <c r="A173" s="7320">
        <v>32101640</v>
      </c>
    </row>
    <row r="174" spans="1:1" ht="15.75" customHeight="1" x14ac:dyDescent="0.3">
      <c r="A174" s="7320">
        <v>32101641</v>
      </c>
    </row>
    <row r="175" spans="1:1" ht="15.75" customHeight="1" x14ac:dyDescent="0.3">
      <c r="A175" s="7320">
        <v>32101642</v>
      </c>
    </row>
    <row r="176" spans="1:1" ht="15.75" customHeight="1" x14ac:dyDescent="0.3">
      <c r="A176" s="7320">
        <v>32101643</v>
      </c>
    </row>
    <row r="177" spans="1:1" ht="15.75" customHeight="1" x14ac:dyDescent="0.3">
      <c r="A177" s="7320">
        <v>32101644</v>
      </c>
    </row>
    <row r="178" spans="1:1" ht="15.75" customHeight="1" x14ac:dyDescent="0.3">
      <c r="A178" s="7320">
        <v>32101645</v>
      </c>
    </row>
    <row r="179" spans="1:1" ht="15.75" customHeight="1" x14ac:dyDescent="0.3">
      <c r="A179" s="7320">
        <v>32101646</v>
      </c>
    </row>
    <row r="180" spans="1:1" ht="15.75" customHeight="1" x14ac:dyDescent="0.3">
      <c r="A180" s="7320">
        <v>32101647</v>
      </c>
    </row>
    <row r="181" spans="1:1" ht="15.75" customHeight="1" x14ac:dyDescent="0.3">
      <c r="A181" s="7320">
        <v>32101648</v>
      </c>
    </row>
    <row r="182" spans="1:1" ht="15.75" customHeight="1" x14ac:dyDescent="0.3">
      <c r="A182" s="7320">
        <v>32101649</v>
      </c>
    </row>
    <row r="183" spans="1:1" ht="15.75" customHeight="1" x14ac:dyDescent="0.3">
      <c r="A183" s="7320">
        <v>32101650</v>
      </c>
    </row>
    <row r="184" spans="1:1" ht="15.75" customHeight="1" x14ac:dyDescent="0.3">
      <c r="A184" s="7320">
        <v>32101651</v>
      </c>
    </row>
    <row r="185" spans="1:1" ht="15.75" customHeight="1" x14ac:dyDescent="0.3">
      <c r="A185" s="7320">
        <v>32101652</v>
      </c>
    </row>
    <row r="186" spans="1:1" ht="15.75" customHeight="1" x14ac:dyDescent="0.3">
      <c r="A186" s="7320">
        <v>32101653</v>
      </c>
    </row>
    <row r="187" spans="1:1" ht="15.75" customHeight="1" x14ac:dyDescent="0.3">
      <c r="A187" s="7320">
        <v>32101654</v>
      </c>
    </row>
    <row r="188" spans="1:1" ht="15.75" customHeight="1" x14ac:dyDescent="0.3">
      <c r="A188" s="7320">
        <v>32101655</v>
      </c>
    </row>
    <row r="189" spans="1:1" ht="15.75" customHeight="1" x14ac:dyDescent="0.3">
      <c r="A189" s="7320">
        <v>32101656</v>
      </c>
    </row>
    <row r="190" spans="1:1" ht="15.75" customHeight="1" x14ac:dyDescent="0.3">
      <c r="A190" s="7320">
        <v>32101657</v>
      </c>
    </row>
    <row r="191" spans="1:1" ht="15.75" customHeight="1" x14ac:dyDescent="0.3">
      <c r="A191" s="7320">
        <v>32101658</v>
      </c>
    </row>
    <row r="192" spans="1:1" ht="15.75" customHeight="1" x14ac:dyDescent="0.3">
      <c r="A192" s="7320">
        <v>32101659</v>
      </c>
    </row>
    <row r="193" spans="1:1" ht="15.75" customHeight="1" x14ac:dyDescent="0.3">
      <c r="A193" s="7320">
        <v>32101660</v>
      </c>
    </row>
    <row r="194" spans="1:1" ht="15.75" customHeight="1" x14ac:dyDescent="0.3">
      <c r="A194" s="7320">
        <v>32101661</v>
      </c>
    </row>
    <row r="195" spans="1:1" ht="15.75" customHeight="1" x14ac:dyDescent="0.3">
      <c r="A195" s="7320">
        <v>32101662</v>
      </c>
    </row>
    <row r="196" spans="1:1" ht="15.75" customHeight="1" x14ac:dyDescent="0.3">
      <c r="A196" s="7320">
        <v>32101663</v>
      </c>
    </row>
    <row r="197" spans="1:1" ht="15.75" customHeight="1" x14ac:dyDescent="0.3">
      <c r="A197" s="7320">
        <v>32101664</v>
      </c>
    </row>
    <row r="198" spans="1:1" ht="15.75" customHeight="1" x14ac:dyDescent="0.3">
      <c r="A198" s="7320">
        <v>32101665</v>
      </c>
    </row>
    <row r="199" spans="1:1" ht="15.75" customHeight="1" x14ac:dyDescent="0.3">
      <c r="A199" s="7320">
        <v>32101666</v>
      </c>
    </row>
    <row r="200" spans="1:1" ht="15.75" customHeight="1" x14ac:dyDescent="0.3">
      <c r="A200" s="7320">
        <v>32101667</v>
      </c>
    </row>
    <row r="201" spans="1:1" ht="15.75" customHeight="1" x14ac:dyDescent="0.3">
      <c r="A201" s="7320">
        <v>32101668</v>
      </c>
    </row>
    <row r="202" spans="1:1" ht="15.75" customHeight="1" x14ac:dyDescent="0.3">
      <c r="A202" s="7320">
        <v>32101669</v>
      </c>
    </row>
    <row r="203" spans="1:1" ht="15.75" customHeight="1" x14ac:dyDescent="0.3">
      <c r="A203" s="7320">
        <v>32101670</v>
      </c>
    </row>
    <row r="204" spans="1:1" ht="15.75" customHeight="1" x14ac:dyDescent="0.3">
      <c r="A204" s="7320">
        <v>32101671</v>
      </c>
    </row>
    <row r="205" spans="1:1" ht="15.75" customHeight="1" x14ac:dyDescent="0.3">
      <c r="A205" s="7320">
        <v>32101672</v>
      </c>
    </row>
    <row r="206" spans="1:1" ht="15.75" customHeight="1" x14ac:dyDescent="0.3">
      <c r="A206" s="7320">
        <v>32101673</v>
      </c>
    </row>
    <row r="207" spans="1:1" ht="15.75" customHeight="1" x14ac:dyDescent="0.3">
      <c r="A207" s="7320">
        <v>32101674</v>
      </c>
    </row>
    <row r="208" spans="1:1" ht="15.75" customHeight="1" x14ac:dyDescent="0.3">
      <c r="A208" s="7320">
        <v>32101675</v>
      </c>
    </row>
    <row r="209" spans="1:1" ht="15.75" customHeight="1" x14ac:dyDescent="0.3">
      <c r="A209" s="7320">
        <v>32101676</v>
      </c>
    </row>
    <row r="210" spans="1:1" ht="15.75" customHeight="1" x14ac:dyDescent="0.3">
      <c r="A210" s="7320">
        <v>32101677</v>
      </c>
    </row>
    <row r="211" spans="1:1" ht="15.75" customHeight="1" x14ac:dyDescent="0.3">
      <c r="A211" s="7320">
        <v>32101678</v>
      </c>
    </row>
    <row r="212" spans="1:1" ht="15.75" customHeight="1" x14ac:dyDescent="0.3"/>
    <row r="213" spans="1:1" ht="15.75" customHeight="1" x14ac:dyDescent="0.3"/>
    <row r="214" spans="1:1" ht="15.75" customHeight="1" x14ac:dyDescent="0.3"/>
    <row r="215" spans="1:1" ht="15.75" customHeight="1" x14ac:dyDescent="0.3"/>
    <row r="216" spans="1:1" ht="15.75" customHeight="1" x14ac:dyDescent="0.3"/>
    <row r="217" spans="1:1" ht="15.75" customHeight="1" x14ac:dyDescent="0.3"/>
    <row r="218" spans="1:1" ht="15.75" customHeight="1" x14ac:dyDescent="0.3"/>
    <row r="219" spans="1:1" ht="15.75" customHeight="1" x14ac:dyDescent="0.3"/>
    <row r="220" spans="1:1" ht="15.75" customHeight="1" x14ac:dyDescent="0.3"/>
    <row r="221" spans="1:1" ht="15.75" customHeight="1" x14ac:dyDescent="0.3"/>
    <row r="222" spans="1:1" ht="15.75" customHeight="1" x14ac:dyDescent="0.3"/>
    <row r="223" spans="1:1" ht="15.75" customHeight="1" x14ac:dyDescent="0.3"/>
    <row r="224" spans="1:1" ht="15.75" customHeight="1" x14ac:dyDescent="0.3"/>
    <row r="225" s="2384" customFormat="1" ht="15.75" customHeight="1" x14ac:dyDescent="0.3"/>
    <row r="226" s="2384" customFormat="1" ht="15.75" customHeight="1" x14ac:dyDescent="0.3"/>
    <row r="227" s="2384" customFormat="1" ht="15.75" customHeight="1" x14ac:dyDescent="0.3"/>
    <row r="228" s="2384" customFormat="1" ht="15.75" customHeight="1" x14ac:dyDescent="0.3"/>
    <row r="229" s="2384" customFormat="1" ht="15.75" customHeight="1" x14ac:dyDescent="0.3"/>
    <row r="230" s="2384" customFormat="1" ht="15.75" customHeight="1" x14ac:dyDescent="0.3"/>
    <row r="231" s="2384" customFormat="1" ht="15.75" customHeight="1" x14ac:dyDescent="0.3"/>
    <row r="232" s="2384" customFormat="1" ht="15.75" customHeight="1" x14ac:dyDescent="0.3"/>
    <row r="233" s="2384" customFormat="1" ht="15.75" customHeight="1" x14ac:dyDescent="0.3"/>
    <row r="234" s="2384" customFormat="1" ht="15.75" customHeight="1" x14ac:dyDescent="0.3"/>
    <row r="235" s="2384" customFormat="1" ht="15.75" customHeight="1" x14ac:dyDescent="0.3"/>
    <row r="236" s="2384" customFormat="1" ht="15.75" customHeight="1" x14ac:dyDescent="0.3"/>
    <row r="237" s="2384" customFormat="1" ht="15.75" customHeight="1" x14ac:dyDescent="0.3"/>
    <row r="238" s="2384" customFormat="1" ht="15.75" customHeight="1" x14ac:dyDescent="0.3"/>
    <row r="239" s="2384" customFormat="1" ht="15.75" customHeight="1" x14ac:dyDescent="0.3"/>
    <row r="240" s="2384" customFormat="1" ht="15.75" customHeight="1" x14ac:dyDescent="0.3"/>
    <row r="241" s="2384" customFormat="1" ht="15.75" customHeight="1" x14ac:dyDescent="0.3"/>
    <row r="242" s="2384" customFormat="1" ht="15.75" customHeight="1" x14ac:dyDescent="0.3"/>
    <row r="243" s="2384" customFormat="1" ht="15.75" customHeight="1" x14ac:dyDescent="0.3"/>
    <row r="244" s="2384" customFormat="1" ht="15.75" customHeight="1" x14ac:dyDescent="0.3"/>
    <row r="245" s="2384" customFormat="1" ht="15.75" customHeight="1" x14ac:dyDescent="0.3"/>
    <row r="246" s="2384" customFormat="1" ht="15.75" customHeight="1" x14ac:dyDescent="0.3"/>
    <row r="247" s="2384" customFormat="1" ht="15.75" customHeight="1" x14ac:dyDescent="0.3"/>
    <row r="248" s="2384" customFormat="1" ht="15.75" customHeight="1" x14ac:dyDescent="0.3"/>
    <row r="249" s="2384" customFormat="1" ht="15.75" customHeight="1" x14ac:dyDescent="0.3"/>
    <row r="250" s="2384" customFormat="1" ht="15.75" customHeight="1" x14ac:dyDescent="0.3"/>
    <row r="251" s="2384" customFormat="1" ht="15.75" customHeight="1" x14ac:dyDescent="0.3"/>
    <row r="252" s="2384" customFormat="1" ht="15.75" customHeight="1" x14ac:dyDescent="0.3"/>
    <row r="253" s="2384" customFormat="1" ht="15.75" customHeight="1" x14ac:dyDescent="0.3"/>
    <row r="254" s="2384" customFormat="1" ht="15.75" customHeight="1" x14ac:dyDescent="0.3"/>
    <row r="255" s="2384" customFormat="1" ht="15.75" customHeight="1" x14ac:dyDescent="0.3"/>
    <row r="256" s="2384" customFormat="1" ht="15.75" customHeight="1" x14ac:dyDescent="0.3"/>
    <row r="257" s="2384" customFormat="1" ht="15.75" customHeight="1" x14ac:dyDescent="0.3"/>
    <row r="258" s="2384" customFormat="1" ht="15.75" customHeight="1" x14ac:dyDescent="0.3"/>
    <row r="259" s="2384" customFormat="1" ht="15.75" customHeight="1" x14ac:dyDescent="0.3"/>
    <row r="260" s="2384" customFormat="1" ht="15.75" customHeight="1" x14ac:dyDescent="0.3"/>
    <row r="261" s="2384" customFormat="1" ht="15.75" customHeight="1" x14ac:dyDescent="0.3"/>
    <row r="262" s="2384" customFormat="1" ht="15.75" customHeight="1" x14ac:dyDescent="0.3"/>
    <row r="263" s="2384" customFormat="1" ht="15.75" customHeight="1" x14ac:dyDescent="0.3"/>
    <row r="264" s="2384" customFormat="1" ht="15.75" customHeight="1" x14ac:dyDescent="0.3"/>
    <row r="265" s="2384" customFormat="1" ht="15.75" customHeight="1" x14ac:dyDescent="0.3"/>
    <row r="266" s="2384" customFormat="1" ht="15.75" customHeight="1" x14ac:dyDescent="0.3"/>
    <row r="267" s="2384" customFormat="1" ht="15.75" customHeight="1" x14ac:dyDescent="0.3"/>
    <row r="268" s="2384" customFormat="1" ht="15.75" customHeight="1" x14ac:dyDescent="0.3"/>
    <row r="269" s="2384" customFormat="1" ht="15.75" customHeight="1" x14ac:dyDescent="0.3"/>
    <row r="270" s="2384" customFormat="1" ht="15.75" customHeight="1" x14ac:dyDescent="0.3"/>
    <row r="271" s="2384" customFormat="1" ht="15.75" customHeight="1" x14ac:dyDescent="0.3"/>
    <row r="272" s="2384" customFormat="1" ht="15.75" customHeight="1" x14ac:dyDescent="0.3"/>
    <row r="273" s="2384" customFormat="1" ht="15.75" customHeight="1" x14ac:dyDescent="0.3"/>
    <row r="274" s="2384" customFormat="1" ht="15.75" customHeight="1" x14ac:dyDescent="0.3"/>
    <row r="275" s="2384" customFormat="1" ht="15.75" customHeight="1" x14ac:dyDescent="0.3"/>
    <row r="276" s="2384" customFormat="1" ht="15.75" customHeight="1" x14ac:dyDescent="0.3"/>
    <row r="277" s="2384" customFormat="1" ht="15.75" customHeight="1" x14ac:dyDescent="0.3"/>
    <row r="278" s="2384" customFormat="1" ht="15.75" customHeight="1" x14ac:dyDescent="0.3"/>
    <row r="279" s="2384" customFormat="1" ht="15.75" customHeight="1" x14ac:dyDescent="0.3"/>
    <row r="280" s="2384" customFormat="1" ht="15.75" customHeight="1" x14ac:dyDescent="0.3"/>
    <row r="281" s="2384" customFormat="1" ht="15.75" customHeight="1" x14ac:dyDescent="0.3"/>
    <row r="282" s="2384" customFormat="1" ht="15.75" customHeight="1" x14ac:dyDescent="0.3"/>
    <row r="283" s="2384" customFormat="1" ht="15.75" customHeight="1" x14ac:dyDescent="0.3"/>
    <row r="284" s="2384" customFormat="1" ht="15.75" customHeight="1" x14ac:dyDescent="0.3"/>
    <row r="285" s="2384" customFormat="1" ht="15.75" customHeight="1" x14ac:dyDescent="0.3"/>
    <row r="286" s="2384" customFormat="1" ht="15.75" customHeight="1" x14ac:dyDescent="0.3"/>
    <row r="287" s="2384" customFormat="1" ht="15.75" customHeight="1" x14ac:dyDescent="0.3"/>
    <row r="288" s="2384" customFormat="1" ht="15.75" customHeight="1" x14ac:dyDescent="0.3"/>
    <row r="289" s="2384" customFormat="1" ht="15.75" customHeight="1" x14ac:dyDescent="0.3"/>
    <row r="290" s="2384" customFormat="1" ht="15.75" customHeight="1" x14ac:dyDescent="0.3"/>
    <row r="291" s="2384" customFormat="1" ht="15.75" customHeight="1" x14ac:dyDescent="0.3"/>
    <row r="292" s="2384" customFormat="1" ht="15.75" customHeight="1" x14ac:dyDescent="0.3"/>
    <row r="293" s="2384" customFormat="1" ht="15.75" customHeight="1" x14ac:dyDescent="0.3"/>
    <row r="294" s="2384" customFormat="1" ht="15.75" customHeight="1" x14ac:dyDescent="0.3"/>
    <row r="295" s="2384" customFormat="1" ht="15.75" customHeight="1" x14ac:dyDescent="0.3"/>
    <row r="296" s="2384" customFormat="1" ht="15.75" customHeight="1" x14ac:dyDescent="0.3"/>
    <row r="297" s="2384" customFormat="1" ht="15.75" customHeight="1" x14ac:dyDescent="0.3"/>
    <row r="298" s="2384" customFormat="1" ht="15.75" customHeight="1" x14ac:dyDescent="0.3"/>
    <row r="299" s="2384" customFormat="1" ht="15.75" customHeight="1" x14ac:dyDescent="0.3"/>
    <row r="300" s="2384" customFormat="1" ht="15.75" customHeight="1" x14ac:dyDescent="0.3"/>
    <row r="301" s="2384" customFormat="1" ht="15.75" customHeight="1" x14ac:dyDescent="0.3"/>
    <row r="302" s="2384" customFormat="1" ht="15.75" customHeight="1" x14ac:dyDescent="0.3"/>
    <row r="303" s="2384" customFormat="1" ht="15.75" customHeight="1" x14ac:dyDescent="0.3"/>
    <row r="304" s="2384" customFormat="1" ht="15.75" customHeight="1" x14ac:dyDescent="0.3"/>
    <row r="305" s="2384" customFormat="1" ht="15.75" customHeight="1" x14ac:dyDescent="0.3"/>
    <row r="306" s="2384" customFormat="1" ht="15.75" customHeight="1" x14ac:dyDescent="0.3"/>
    <row r="307" s="2384" customFormat="1" ht="15.75" customHeight="1" x14ac:dyDescent="0.3"/>
    <row r="308" s="2384" customFormat="1" ht="15.75" customHeight="1" x14ac:dyDescent="0.3"/>
    <row r="309" s="2384" customFormat="1" ht="15.75" customHeight="1" x14ac:dyDescent="0.3"/>
    <row r="310" s="2384" customFormat="1" ht="15.75" customHeight="1" x14ac:dyDescent="0.3"/>
    <row r="311" s="2384" customFormat="1" ht="15.75" customHeight="1" x14ac:dyDescent="0.3"/>
    <row r="312" s="2384" customFormat="1" ht="15.75" customHeight="1" x14ac:dyDescent="0.3"/>
    <row r="313" s="2384" customFormat="1" ht="15.75" customHeight="1" x14ac:dyDescent="0.3"/>
    <row r="314" s="2384" customFormat="1" ht="15.75" customHeight="1" x14ac:dyDescent="0.3"/>
    <row r="315" s="2384" customFormat="1" ht="15.75" customHeight="1" x14ac:dyDescent="0.3"/>
    <row r="316" s="2384" customFormat="1" ht="15.75" customHeight="1" x14ac:dyDescent="0.3"/>
    <row r="317" s="2384" customFormat="1" ht="15.75" customHeight="1" x14ac:dyDescent="0.3"/>
    <row r="318" s="2384" customFormat="1" ht="15.75" customHeight="1" x14ac:dyDescent="0.3"/>
    <row r="319" s="2384" customFormat="1" ht="15.75" customHeight="1" x14ac:dyDescent="0.3"/>
    <row r="320" s="2384" customFormat="1" ht="15.75" customHeight="1" x14ac:dyDescent="0.3"/>
    <row r="321" s="2384" customFormat="1" ht="15.75" customHeight="1" x14ac:dyDescent="0.3"/>
    <row r="322" s="2384" customFormat="1" ht="15.75" customHeight="1" x14ac:dyDescent="0.3"/>
    <row r="323" s="2384" customFormat="1" ht="15.75" customHeight="1" x14ac:dyDescent="0.3"/>
    <row r="324" s="2384" customFormat="1" ht="15.75" customHeight="1" x14ac:dyDescent="0.3"/>
    <row r="325" s="2384" customFormat="1" ht="15.75" customHeight="1" x14ac:dyDescent="0.3"/>
    <row r="326" s="2384" customFormat="1" ht="15.75" customHeight="1" x14ac:dyDescent="0.3"/>
    <row r="327" s="2384" customFormat="1" ht="15.75" customHeight="1" x14ac:dyDescent="0.3"/>
    <row r="328" s="2384" customFormat="1" ht="15.75" customHeight="1" x14ac:dyDescent="0.3"/>
    <row r="329" s="2384" customFormat="1" ht="15.75" customHeight="1" x14ac:dyDescent="0.3"/>
    <row r="330" s="2384" customFormat="1" ht="15.75" customHeight="1" x14ac:dyDescent="0.3"/>
    <row r="331" s="2384" customFormat="1" ht="15.75" customHeight="1" x14ac:dyDescent="0.3"/>
    <row r="332" s="2384" customFormat="1" ht="15.75" customHeight="1" x14ac:dyDescent="0.3"/>
    <row r="333" s="2384" customFormat="1" ht="15.75" customHeight="1" x14ac:dyDescent="0.3"/>
    <row r="334" s="2384" customFormat="1" ht="15.75" customHeight="1" x14ac:dyDescent="0.3"/>
    <row r="335" s="2384" customFormat="1" ht="15.75" customHeight="1" x14ac:dyDescent="0.3"/>
    <row r="336" s="2384" customFormat="1" ht="15.75" customHeight="1" x14ac:dyDescent="0.3"/>
    <row r="337" s="2384" customFormat="1" ht="15.75" customHeight="1" x14ac:dyDescent="0.3"/>
    <row r="338" s="2384" customFormat="1" ht="15.75" customHeight="1" x14ac:dyDescent="0.3"/>
    <row r="339" s="2384" customFormat="1" ht="15.75" customHeight="1" x14ac:dyDescent="0.3"/>
    <row r="340" s="2384" customFormat="1" ht="15.75" customHeight="1" x14ac:dyDescent="0.3"/>
    <row r="341" s="2384" customFormat="1" ht="15.75" customHeight="1" x14ac:dyDescent="0.3"/>
    <row r="342" s="2384" customFormat="1" ht="15.75" customHeight="1" x14ac:dyDescent="0.3"/>
    <row r="343" s="2384" customFormat="1" ht="15.75" customHeight="1" x14ac:dyDescent="0.3"/>
    <row r="344" s="2384" customFormat="1" ht="15.75" customHeight="1" x14ac:dyDescent="0.3"/>
    <row r="345" s="2384" customFormat="1" ht="15.75" customHeight="1" x14ac:dyDescent="0.3"/>
    <row r="346" s="2384" customFormat="1" ht="15.75" customHeight="1" x14ac:dyDescent="0.3"/>
    <row r="347" s="2384" customFormat="1" ht="15.75" customHeight="1" x14ac:dyDescent="0.3"/>
    <row r="348" s="2384" customFormat="1" ht="15.75" customHeight="1" x14ac:dyDescent="0.3"/>
    <row r="349" s="2384" customFormat="1" ht="15.75" customHeight="1" x14ac:dyDescent="0.3"/>
    <row r="350" s="2384" customFormat="1" ht="15.75" customHeight="1" x14ac:dyDescent="0.3"/>
    <row r="351" s="2384" customFormat="1" ht="15.75" customHeight="1" x14ac:dyDescent="0.3"/>
    <row r="352" s="2384" customFormat="1" ht="15.75" customHeight="1" x14ac:dyDescent="0.3"/>
    <row r="353" s="2384" customFormat="1" ht="15.75" customHeight="1" x14ac:dyDescent="0.3"/>
    <row r="354" s="2384" customFormat="1" ht="15.75" customHeight="1" x14ac:dyDescent="0.3"/>
    <row r="355" s="2384" customFormat="1" ht="15.75" customHeight="1" x14ac:dyDescent="0.3"/>
    <row r="356" s="2384" customFormat="1" ht="15.75" customHeight="1" x14ac:dyDescent="0.3"/>
    <row r="357" s="2384" customFormat="1" ht="15.75" customHeight="1" x14ac:dyDescent="0.3"/>
    <row r="358" s="2384" customFormat="1" ht="15.75" customHeight="1" x14ac:dyDescent="0.3"/>
    <row r="359" s="2384" customFormat="1" ht="15.75" customHeight="1" x14ac:dyDescent="0.3"/>
    <row r="360" s="2384" customFormat="1" ht="15.75" customHeight="1" x14ac:dyDescent="0.3"/>
    <row r="361" s="2384" customFormat="1" ht="15.75" customHeight="1" x14ac:dyDescent="0.3"/>
    <row r="362" s="2384" customFormat="1" ht="15.75" customHeight="1" x14ac:dyDescent="0.3"/>
    <row r="363" s="2384" customFormat="1" ht="15.75" customHeight="1" x14ac:dyDescent="0.3"/>
    <row r="364" s="2384" customFormat="1" ht="15.75" customHeight="1" x14ac:dyDescent="0.3"/>
    <row r="365" s="2384" customFormat="1" ht="15.75" customHeight="1" x14ac:dyDescent="0.3"/>
    <row r="366" s="2384" customFormat="1" ht="15.75" customHeight="1" x14ac:dyDescent="0.3"/>
    <row r="367" s="2384" customFormat="1" ht="15.75" customHeight="1" x14ac:dyDescent="0.3"/>
    <row r="368" s="2384" customFormat="1" ht="15.75" customHeight="1" x14ac:dyDescent="0.3"/>
    <row r="369" s="2384" customFormat="1" ht="15.75" customHeight="1" x14ac:dyDescent="0.3"/>
    <row r="370" s="2384" customFormat="1" ht="15.75" customHeight="1" x14ac:dyDescent="0.3"/>
    <row r="371" s="2384" customFormat="1" ht="15.75" customHeight="1" x14ac:dyDescent="0.3"/>
    <row r="372" s="2384" customFormat="1" ht="15.75" customHeight="1" x14ac:dyDescent="0.3"/>
    <row r="373" s="2384" customFormat="1" ht="15.75" customHeight="1" x14ac:dyDescent="0.3"/>
    <row r="374" s="2384" customFormat="1" ht="15.75" customHeight="1" x14ac:dyDescent="0.3"/>
    <row r="375" s="2384" customFormat="1" ht="15.75" customHeight="1" x14ac:dyDescent="0.3"/>
    <row r="376" s="2384" customFormat="1" ht="15.75" customHeight="1" x14ac:dyDescent="0.3"/>
    <row r="377" s="2384" customFormat="1" ht="15.75" customHeight="1" x14ac:dyDescent="0.3"/>
    <row r="378" s="2384" customFormat="1" ht="15.75" customHeight="1" x14ac:dyDescent="0.3"/>
    <row r="379" s="2384" customFormat="1" ht="15.75" customHeight="1" x14ac:dyDescent="0.3"/>
    <row r="380" s="2384" customFormat="1" ht="15.75" customHeight="1" x14ac:dyDescent="0.3"/>
    <row r="381" s="2384" customFormat="1" ht="15.75" customHeight="1" x14ac:dyDescent="0.3"/>
    <row r="382" s="2384" customFormat="1" ht="15.75" customHeight="1" x14ac:dyDescent="0.3"/>
    <row r="383" s="2384" customFormat="1" ht="15.75" customHeight="1" x14ac:dyDescent="0.3"/>
    <row r="384" s="2384" customFormat="1" ht="15.75" customHeight="1" x14ac:dyDescent="0.3"/>
    <row r="385" s="2384" customFormat="1" ht="15.75" customHeight="1" x14ac:dyDescent="0.3"/>
    <row r="386" s="2384" customFormat="1" ht="15.75" customHeight="1" x14ac:dyDescent="0.3"/>
    <row r="387" s="2384" customFormat="1" ht="15.75" customHeight="1" x14ac:dyDescent="0.3"/>
    <row r="388" s="2384" customFormat="1" ht="15.75" customHeight="1" x14ac:dyDescent="0.3"/>
    <row r="389" s="2384" customFormat="1" ht="15.75" customHeight="1" x14ac:dyDescent="0.3"/>
    <row r="390" s="2384" customFormat="1" ht="15.75" customHeight="1" x14ac:dyDescent="0.3"/>
    <row r="391" s="2384" customFormat="1" ht="15.75" customHeight="1" x14ac:dyDescent="0.3"/>
    <row r="392" s="2384" customFormat="1" ht="15.75" customHeight="1" x14ac:dyDescent="0.3"/>
    <row r="393" s="2384" customFormat="1" ht="15.75" customHeight="1" x14ac:dyDescent="0.3"/>
    <row r="394" s="2384" customFormat="1" ht="15.75" customHeight="1" x14ac:dyDescent="0.3"/>
    <row r="395" s="2384" customFormat="1" ht="15.75" customHeight="1" x14ac:dyDescent="0.3"/>
    <row r="396" s="2384" customFormat="1" ht="15.75" customHeight="1" x14ac:dyDescent="0.3"/>
    <row r="397" s="2384" customFormat="1" ht="15.75" customHeight="1" x14ac:dyDescent="0.3"/>
    <row r="398" s="2384" customFormat="1" ht="15.75" customHeight="1" x14ac:dyDescent="0.3"/>
    <row r="399" s="2384" customFormat="1" ht="15.75" customHeight="1" x14ac:dyDescent="0.3"/>
    <row r="400" s="2384" customFormat="1" ht="15.75" customHeight="1" x14ac:dyDescent="0.3"/>
    <row r="401" s="2384" customFormat="1" ht="15.75" customHeight="1" x14ac:dyDescent="0.3"/>
    <row r="402" s="2384" customFormat="1" ht="15.75" customHeight="1" x14ac:dyDescent="0.3"/>
    <row r="403" s="2384" customFormat="1" ht="15.75" customHeight="1" x14ac:dyDescent="0.3"/>
    <row r="404" s="2384" customFormat="1" ht="15.75" customHeight="1" x14ac:dyDescent="0.3"/>
    <row r="405" s="2384" customFormat="1" ht="15.75" customHeight="1" x14ac:dyDescent="0.3"/>
    <row r="406" s="2384" customFormat="1" ht="15.75" customHeight="1" x14ac:dyDescent="0.3"/>
    <row r="407" s="2384" customFormat="1" ht="15.75" customHeight="1" x14ac:dyDescent="0.3"/>
    <row r="408" s="2384" customFormat="1" ht="15.75" customHeight="1" x14ac:dyDescent="0.3"/>
    <row r="409" s="2384" customFormat="1" ht="15.75" customHeight="1" x14ac:dyDescent="0.3"/>
    <row r="410" s="2384" customFormat="1" ht="15.75" customHeight="1" x14ac:dyDescent="0.3"/>
    <row r="411" s="2384" customFormat="1" ht="15.75" customHeight="1" x14ac:dyDescent="0.3"/>
    <row r="412" s="2384" customFormat="1" ht="15.75" customHeight="1" x14ac:dyDescent="0.3"/>
    <row r="413" s="2384" customFormat="1" ht="15.75" customHeight="1" x14ac:dyDescent="0.3"/>
    <row r="414" s="2384" customFormat="1" ht="15.75" customHeight="1" x14ac:dyDescent="0.3"/>
    <row r="415" s="2384" customFormat="1" ht="15.75" customHeight="1" x14ac:dyDescent="0.3"/>
    <row r="416" s="2384" customFormat="1" ht="15.75" customHeight="1" x14ac:dyDescent="0.3"/>
    <row r="417" s="2384" customFormat="1" ht="15.75" customHeight="1" x14ac:dyDescent="0.3"/>
    <row r="418" s="2384" customFormat="1" ht="15.75" customHeight="1" x14ac:dyDescent="0.3"/>
    <row r="419" s="2384" customFormat="1" ht="15.75" customHeight="1" x14ac:dyDescent="0.3"/>
    <row r="420" s="2384" customFormat="1" ht="15.75" customHeight="1" x14ac:dyDescent="0.3"/>
    <row r="421" s="2384" customFormat="1" ht="15.75" customHeight="1" x14ac:dyDescent="0.3"/>
    <row r="422" s="2384" customFormat="1" ht="15.75" customHeight="1" x14ac:dyDescent="0.3"/>
    <row r="423" s="2384" customFormat="1" ht="15.75" customHeight="1" x14ac:dyDescent="0.3"/>
    <row r="424" s="2384" customFormat="1" ht="15.75" customHeight="1" x14ac:dyDescent="0.3"/>
    <row r="425" s="2384" customFormat="1" ht="15.75" customHeight="1" x14ac:dyDescent="0.3"/>
    <row r="426" s="2384" customFormat="1" ht="15.75" customHeight="1" x14ac:dyDescent="0.3"/>
    <row r="427" s="2384" customFormat="1" ht="15.75" customHeight="1" x14ac:dyDescent="0.3"/>
    <row r="428" s="2384" customFormat="1" ht="15.75" customHeight="1" x14ac:dyDescent="0.3"/>
    <row r="429" s="2384" customFormat="1" ht="15.75" customHeight="1" x14ac:dyDescent="0.3"/>
    <row r="430" s="2384" customFormat="1" ht="15.75" customHeight="1" x14ac:dyDescent="0.3"/>
    <row r="431" s="2384" customFormat="1" ht="15.75" customHeight="1" x14ac:dyDescent="0.3"/>
    <row r="432" s="2384" customFormat="1" ht="15.75" customHeight="1" x14ac:dyDescent="0.3"/>
    <row r="433" s="2384" customFormat="1" ht="15.75" customHeight="1" x14ac:dyDescent="0.3"/>
    <row r="434" s="2384" customFormat="1" ht="15.75" customHeight="1" x14ac:dyDescent="0.3"/>
    <row r="435" s="2384" customFormat="1" ht="15.75" customHeight="1" x14ac:dyDescent="0.3"/>
    <row r="436" s="2384" customFormat="1" ht="15.75" customHeight="1" x14ac:dyDescent="0.3"/>
    <row r="437" s="2384" customFormat="1" ht="15.75" customHeight="1" x14ac:dyDescent="0.3"/>
    <row r="438" s="2384" customFormat="1" ht="15.75" customHeight="1" x14ac:dyDescent="0.3"/>
    <row r="439" s="2384" customFormat="1" ht="15.75" customHeight="1" x14ac:dyDescent="0.3"/>
    <row r="440" s="2384" customFormat="1" ht="15.75" customHeight="1" x14ac:dyDescent="0.3"/>
    <row r="441" s="2384" customFormat="1" ht="15.75" customHeight="1" x14ac:dyDescent="0.3"/>
    <row r="442" s="2384" customFormat="1" ht="15.75" customHeight="1" x14ac:dyDescent="0.3"/>
    <row r="443" s="2384" customFormat="1" ht="15.75" customHeight="1" x14ac:dyDescent="0.3"/>
    <row r="444" s="2384" customFormat="1" ht="15.75" customHeight="1" x14ac:dyDescent="0.3"/>
    <row r="445" s="2384" customFormat="1" ht="15.75" customHeight="1" x14ac:dyDescent="0.3"/>
    <row r="446" s="2384" customFormat="1" ht="15.75" customHeight="1" x14ac:dyDescent="0.3"/>
    <row r="447" s="2384" customFormat="1" ht="15.75" customHeight="1" x14ac:dyDescent="0.3"/>
    <row r="448" s="2384" customFormat="1" ht="15.75" customHeight="1" x14ac:dyDescent="0.3"/>
    <row r="449" s="2384" customFormat="1" ht="15.75" customHeight="1" x14ac:dyDescent="0.3"/>
    <row r="450" s="2384" customFormat="1" ht="15.75" customHeight="1" x14ac:dyDescent="0.3"/>
    <row r="451" s="2384" customFormat="1" ht="15.75" customHeight="1" x14ac:dyDescent="0.3"/>
    <row r="452" s="2384" customFormat="1" ht="15.75" customHeight="1" x14ac:dyDescent="0.3"/>
    <row r="453" s="2384" customFormat="1" ht="15.75" customHeight="1" x14ac:dyDescent="0.3"/>
    <row r="454" s="2384" customFormat="1" ht="15.75" customHeight="1" x14ac:dyDescent="0.3"/>
    <row r="455" s="2384" customFormat="1" ht="15.75" customHeight="1" x14ac:dyDescent="0.3"/>
    <row r="456" s="2384" customFormat="1" ht="15.75" customHeight="1" x14ac:dyDescent="0.3"/>
    <row r="457" s="2384" customFormat="1" ht="15.75" customHeight="1" x14ac:dyDescent="0.3"/>
    <row r="458" s="2384" customFormat="1" ht="15.75" customHeight="1" x14ac:dyDescent="0.3"/>
    <row r="459" s="2384" customFormat="1" ht="15.75" customHeight="1" x14ac:dyDescent="0.3"/>
    <row r="460" s="2384" customFormat="1" ht="15.75" customHeight="1" x14ac:dyDescent="0.3"/>
    <row r="461" s="2384" customFormat="1" ht="15.75" customHeight="1" x14ac:dyDescent="0.3"/>
    <row r="462" s="2384" customFormat="1" ht="15.75" customHeight="1" x14ac:dyDescent="0.3"/>
    <row r="463" s="2384" customFormat="1" ht="15.75" customHeight="1" x14ac:dyDescent="0.3"/>
    <row r="464" s="2384" customFormat="1" ht="15.75" customHeight="1" x14ac:dyDescent="0.3"/>
    <row r="465" s="2384" customFormat="1" ht="15.75" customHeight="1" x14ac:dyDescent="0.3"/>
    <row r="466" s="2384" customFormat="1" ht="15.75" customHeight="1" x14ac:dyDescent="0.3"/>
    <row r="467" s="2384" customFormat="1" ht="15.75" customHeight="1" x14ac:dyDescent="0.3"/>
    <row r="468" s="2384" customFormat="1" ht="15.75" customHeight="1" x14ac:dyDescent="0.3"/>
    <row r="469" s="2384" customFormat="1" ht="15.75" customHeight="1" x14ac:dyDescent="0.3"/>
    <row r="470" s="2384" customFormat="1" ht="15.75" customHeight="1" x14ac:dyDescent="0.3"/>
    <row r="471" s="2384" customFormat="1" ht="15.75" customHeight="1" x14ac:dyDescent="0.3"/>
    <row r="472" s="2384" customFormat="1" ht="15.75" customHeight="1" x14ac:dyDescent="0.3"/>
    <row r="473" s="2384" customFormat="1" ht="15.75" customHeight="1" x14ac:dyDescent="0.3"/>
    <row r="474" s="2384" customFormat="1" ht="15.75" customHeight="1" x14ac:dyDescent="0.3"/>
    <row r="475" s="2384" customFormat="1" ht="15.75" customHeight="1" x14ac:dyDescent="0.3"/>
    <row r="476" s="2384" customFormat="1" ht="15.75" customHeight="1" x14ac:dyDescent="0.3"/>
    <row r="477" s="2384" customFormat="1" ht="15.75" customHeight="1" x14ac:dyDescent="0.3"/>
    <row r="478" s="2384" customFormat="1" ht="15.75" customHeight="1" x14ac:dyDescent="0.3"/>
    <row r="479" s="2384" customFormat="1" ht="15.75" customHeight="1" x14ac:dyDescent="0.3"/>
    <row r="480" s="2384" customFormat="1" ht="15.75" customHeight="1" x14ac:dyDescent="0.3"/>
    <row r="481" s="2384" customFormat="1" ht="15.75" customHeight="1" x14ac:dyDescent="0.3"/>
    <row r="482" s="2384" customFormat="1" ht="15.75" customHeight="1" x14ac:dyDescent="0.3"/>
    <row r="483" s="2384" customFormat="1" ht="15.75" customHeight="1" x14ac:dyDescent="0.3"/>
    <row r="484" s="2384" customFormat="1" ht="15.75" customHeight="1" x14ac:dyDescent="0.3"/>
    <row r="485" s="2384" customFormat="1" ht="15.75" customHeight="1" x14ac:dyDescent="0.3"/>
    <row r="486" s="2384" customFormat="1" ht="15.75" customHeight="1" x14ac:dyDescent="0.3"/>
    <row r="487" s="2384" customFormat="1" ht="15.75" customHeight="1" x14ac:dyDescent="0.3"/>
    <row r="488" s="2384" customFormat="1" ht="15.75" customHeight="1" x14ac:dyDescent="0.3"/>
    <row r="489" s="2384" customFormat="1" ht="15.75" customHeight="1" x14ac:dyDescent="0.3"/>
    <row r="490" s="2384" customFormat="1" ht="15.75" customHeight="1" x14ac:dyDescent="0.3"/>
    <row r="491" s="2384" customFormat="1" ht="15.75" customHeight="1" x14ac:dyDescent="0.3"/>
    <row r="492" s="2384" customFormat="1" ht="15.75" customHeight="1" x14ac:dyDescent="0.3"/>
    <row r="493" s="2384" customFormat="1" ht="15.75" customHeight="1" x14ac:dyDescent="0.3"/>
    <row r="494" s="2384" customFormat="1" ht="15.75" customHeight="1" x14ac:dyDescent="0.3"/>
    <row r="495" s="2384" customFormat="1" ht="15.75" customHeight="1" x14ac:dyDescent="0.3"/>
    <row r="496" s="2384" customFormat="1" ht="15.75" customHeight="1" x14ac:dyDescent="0.3"/>
    <row r="497" s="2384" customFormat="1" ht="15.75" customHeight="1" x14ac:dyDescent="0.3"/>
    <row r="498" s="2384" customFormat="1" ht="15.75" customHeight="1" x14ac:dyDescent="0.3"/>
    <row r="499" s="2384" customFormat="1" ht="15.75" customHeight="1" x14ac:dyDescent="0.3"/>
    <row r="500" s="2384" customFormat="1" ht="15.75" customHeight="1" x14ac:dyDescent="0.3"/>
    <row r="501" s="2384" customFormat="1" ht="15.75" customHeight="1" x14ac:dyDescent="0.3"/>
    <row r="502" s="2384" customFormat="1" ht="15.75" customHeight="1" x14ac:dyDescent="0.3"/>
    <row r="503" s="2384" customFormat="1" ht="15.75" customHeight="1" x14ac:dyDescent="0.3"/>
    <row r="504" s="2384" customFormat="1" ht="15.75" customHeight="1" x14ac:dyDescent="0.3"/>
    <row r="505" s="2384" customFormat="1" ht="15.75" customHeight="1" x14ac:dyDescent="0.3"/>
    <row r="506" s="2384" customFormat="1" ht="15.75" customHeight="1" x14ac:dyDescent="0.3"/>
    <row r="507" s="2384" customFormat="1" ht="15.75" customHeight="1" x14ac:dyDescent="0.3"/>
    <row r="508" s="2384" customFormat="1" ht="15.75" customHeight="1" x14ac:dyDescent="0.3"/>
    <row r="509" s="2384" customFormat="1" ht="15.75" customHeight="1" x14ac:dyDescent="0.3"/>
    <row r="510" s="2384" customFormat="1" ht="15.75" customHeight="1" x14ac:dyDescent="0.3"/>
    <row r="511" s="2384" customFormat="1" ht="15.75" customHeight="1" x14ac:dyDescent="0.3"/>
    <row r="512" s="2384" customFormat="1" ht="15.75" customHeight="1" x14ac:dyDescent="0.3"/>
    <row r="513" s="2384" customFormat="1" ht="15.75" customHeight="1" x14ac:dyDescent="0.3"/>
    <row r="514" s="2384" customFormat="1" ht="15.75" customHeight="1" x14ac:dyDescent="0.3"/>
    <row r="515" s="2384" customFormat="1" ht="15.75" customHeight="1" x14ac:dyDescent="0.3"/>
    <row r="516" s="2384" customFormat="1" ht="15.75" customHeight="1" x14ac:dyDescent="0.3"/>
    <row r="517" s="2384" customFormat="1" ht="15.75" customHeight="1" x14ac:dyDescent="0.3"/>
    <row r="518" s="2384" customFormat="1" ht="15.75" customHeight="1" x14ac:dyDescent="0.3"/>
    <row r="519" s="2384" customFormat="1" ht="15.75" customHeight="1" x14ac:dyDescent="0.3"/>
    <row r="520" s="2384" customFormat="1" ht="15.75" customHeight="1" x14ac:dyDescent="0.3"/>
    <row r="521" s="2384" customFormat="1" ht="15.75" customHeight="1" x14ac:dyDescent="0.3"/>
    <row r="522" s="2384" customFormat="1" ht="15.75" customHeight="1" x14ac:dyDescent="0.3"/>
    <row r="523" s="2384" customFormat="1" ht="15.75" customHeight="1" x14ac:dyDescent="0.3"/>
    <row r="524" s="2384" customFormat="1" ht="15.75" customHeight="1" x14ac:dyDescent="0.3"/>
    <row r="525" s="2384" customFormat="1" ht="15.75" customHeight="1" x14ac:dyDescent="0.3"/>
    <row r="526" s="2384" customFormat="1" ht="15.75" customHeight="1" x14ac:dyDescent="0.3"/>
    <row r="527" s="2384" customFormat="1" ht="15.75" customHeight="1" x14ac:dyDescent="0.3"/>
    <row r="528" s="2384" customFormat="1" ht="15.75" customHeight="1" x14ac:dyDescent="0.3"/>
    <row r="529" s="2384" customFormat="1" ht="15.75" customHeight="1" x14ac:dyDescent="0.3"/>
    <row r="530" s="2384" customFormat="1" ht="15.75" customHeight="1" x14ac:dyDescent="0.3"/>
    <row r="531" s="2384" customFormat="1" ht="15.75" customHeight="1" x14ac:dyDescent="0.3"/>
    <row r="532" s="2384" customFormat="1" ht="15.75" customHeight="1" x14ac:dyDescent="0.3"/>
    <row r="533" s="2384" customFormat="1" ht="15.75" customHeight="1" x14ac:dyDescent="0.3"/>
    <row r="534" s="2384" customFormat="1" ht="15.75" customHeight="1" x14ac:dyDescent="0.3"/>
    <row r="535" s="2384" customFormat="1" ht="15.75" customHeight="1" x14ac:dyDescent="0.3"/>
    <row r="536" s="2384" customFormat="1" ht="15.75" customHeight="1" x14ac:dyDescent="0.3"/>
    <row r="537" s="2384" customFormat="1" ht="15.75" customHeight="1" x14ac:dyDescent="0.3"/>
    <row r="538" s="2384" customFormat="1" ht="15.75" customHeight="1" x14ac:dyDescent="0.3"/>
    <row r="539" s="2384" customFormat="1" ht="15.75" customHeight="1" x14ac:dyDescent="0.3"/>
    <row r="540" s="2384" customFormat="1" ht="15.75" customHeight="1" x14ac:dyDescent="0.3"/>
    <row r="541" s="2384" customFormat="1" ht="15.75" customHeight="1" x14ac:dyDescent="0.3"/>
    <row r="542" s="2384" customFormat="1" ht="15.75" customHeight="1" x14ac:dyDescent="0.3"/>
    <row r="543" s="2384" customFormat="1" ht="15.75" customHeight="1" x14ac:dyDescent="0.3"/>
    <row r="544" s="2384" customFormat="1" ht="15.75" customHeight="1" x14ac:dyDescent="0.3"/>
    <row r="545" s="2384" customFormat="1" ht="15.75" customHeight="1" x14ac:dyDescent="0.3"/>
    <row r="546" s="2384" customFormat="1" ht="15.75" customHeight="1" x14ac:dyDescent="0.3"/>
    <row r="547" s="2384" customFormat="1" ht="15.75" customHeight="1" x14ac:dyDescent="0.3"/>
    <row r="548" s="2384" customFormat="1" ht="15.75" customHeight="1" x14ac:dyDescent="0.3"/>
    <row r="549" s="2384" customFormat="1" ht="15.75" customHeight="1" x14ac:dyDescent="0.3"/>
    <row r="550" s="2384" customFormat="1" ht="15.75" customHeight="1" x14ac:dyDescent="0.3"/>
    <row r="551" s="2384" customFormat="1" ht="15.75" customHeight="1" x14ac:dyDescent="0.3"/>
    <row r="552" s="2384" customFormat="1" ht="15.75" customHeight="1" x14ac:dyDescent="0.3"/>
    <row r="553" s="2384" customFormat="1" ht="15.75" customHeight="1" x14ac:dyDescent="0.3"/>
    <row r="554" s="2384" customFormat="1" ht="15.75" customHeight="1" x14ac:dyDescent="0.3"/>
    <row r="555" s="2384" customFormat="1" ht="15.75" customHeight="1" x14ac:dyDescent="0.3"/>
    <row r="556" s="2384" customFormat="1" ht="15.75" customHeight="1" x14ac:dyDescent="0.3"/>
    <row r="557" s="2384" customFormat="1" ht="15.75" customHeight="1" x14ac:dyDescent="0.3"/>
    <row r="558" s="2384" customFormat="1" ht="15.75" customHeight="1" x14ac:dyDescent="0.3"/>
    <row r="559" s="2384" customFormat="1" ht="15.75" customHeight="1" x14ac:dyDescent="0.3"/>
    <row r="560" s="2384" customFormat="1" ht="15.75" customHeight="1" x14ac:dyDescent="0.3"/>
    <row r="561" s="2384" customFormat="1" ht="15.75" customHeight="1" x14ac:dyDescent="0.3"/>
    <row r="562" s="2384" customFormat="1" ht="15.75" customHeight="1" x14ac:dyDescent="0.3"/>
    <row r="563" s="2384" customFormat="1" ht="15.75" customHeight="1" x14ac:dyDescent="0.3"/>
    <row r="564" s="2384" customFormat="1" ht="15.75" customHeight="1" x14ac:dyDescent="0.3"/>
    <row r="565" s="2384" customFormat="1" ht="15.75" customHeight="1" x14ac:dyDescent="0.3"/>
    <row r="566" s="2384" customFormat="1" ht="15.75" customHeight="1" x14ac:dyDescent="0.3"/>
    <row r="567" s="2384" customFormat="1" ht="15.75" customHeight="1" x14ac:dyDescent="0.3"/>
    <row r="568" s="2384" customFormat="1" ht="15.75" customHeight="1" x14ac:dyDescent="0.3"/>
    <row r="569" s="2384" customFormat="1" ht="15.75" customHeight="1" x14ac:dyDescent="0.3"/>
    <row r="570" s="2384" customFormat="1" ht="15.75" customHeight="1" x14ac:dyDescent="0.3"/>
    <row r="571" s="2384" customFormat="1" ht="15.75" customHeight="1" x14ac:dyDescent="0.3"/>
    <row r="572" s="2384" customFormat="1" ht="15.75" customHeight="1" x14ac:dyDescent="0.3"/>
    <row r="573" s="2384" customFormat="1" ht="15.75" customHeight="1" x14ac:dyDescent="0.3"/>
    <row r="574" s="2384" customFormat="1" ht="15.75" customHeight="1" x14ac:dyDescent="0.3"/>
    <row r="575" s="2384" customFormat="1" ht="15.75" customHeight="1" x14ac:dyDescent="0.3"/>
    <row r="576" s="2384" customFormat="1" ht="15.75" customHeight="1" x14ac:dyDescent="0.3"/>
    <row r="577" s="2384" customFormat="1" ht="15.75" customHeight="1" x14ac:dyDescent="0.3"/>
    <row r="578" s="2384" customFormat="1" ht="15.75" customHeight="1" x14ac:dyDescent="0.3"/>
    <row r="579" s="2384" customFormat="1" ht="15.75" customHeight="1" x14ac:dyDescent="0.3"/>
    <row r="580" s="2384" customFormat="1" ht="15.75" customHeight="1" x14ac:dyDescent="0.3"/>
    <row r="581" s="2384" customFormat="1" ht="15.75" customHeight="1" x14ac:dyDescent="0.3"/>
    <row r="582" s="2384" customFormat="1" ht="15.75" customHeight="1" x14ac:dyDescent="0.3"/>
    <row r="583" s="2384" customFormat="1" ht="15.75" customHeight="1" x14ac:dyDescent="0.3"/>
    <row r="584" s="2384" customFormat="1" ht="15.75" customHeight="1" x14ac:dyDescent="0.3"/>
    <row r="585" s="2384" customFormat="1" ht="15.75" customHeight="1" x14ac:dyDescent="0.3"/>
    <row r="586" s="2384" customFormat="1" ht="15.75" customHeight="1" x14ac:dyDescent="0.3"/>
    <row r="587" s="2384" customFormat="1" ht="15.75" customHeight="1" x14ac:dyDescent="0.3"/>
    <row r="588" s="2384" customFormat="1" ht="15.75" customHeight="1" x14ac:dyDescent="0.3"/>
    <row r="589" s="2384" customFormat="1" ht="15.75" customHeight="1" x14ac:dyDescent="0.3"/>
    <row r="590" s="2384" customFormat="1" ht="15.75" customHeight="1" x14ac:dyDescent="0.3"/>
    <row r="591" s="2384" customFormat="1" ht="15.75" customHeight="1" x14ac:dyDescent="0.3"/>
    <row r="592" s="2384" customFormat="1" ht="15.75" customHeight="1" x14ac:dyDescent="0.3"/>
    <row r="593" s="2384" customFormat="1" ht="15.75" customHeight="1" x14ac:dyDescent="0.3"/>
    <row r="594" s="2384" customFormat="1" ht="15.75" customHeight="1" x14ac:dyDescent="0.3"/>
    <row r="595" s="2384" customFormat="1" ht="15.75" customHeight="1" x14ac:dyDescent="0.3"/>
    <row r="596" s="2384" customFormat="1" ht="15.75" customHeight="1" x14ac:dyDescent="0.3"/>
    <row r="597" s="2384" customFormat="1" ht="15.75" customHeight="1" x14ac:dyDescent="0.3"/>
    <row r="598" s="2384" customFormat="1" ht="15.75" customHeight="1" x14ac:dyDescent="0.3"/>
    <row r="599" s="2384" customFormat="1" ht="15.75" customHeight="1" x14ac:dyDescent="0.3"/>
    <row r="600" s="2384" customFormat="1" ht="15.75" customHeight="1" x14ac:dyDescent="0.3"/>
    <row r="601" s="2384" customFormat="1" ht="15.75" customHeight="1" x14ac:dyDescent="0.3"/>
    <row r="602" s="2384" customFormat="1" ht="15.75" customHeight="1" x14ac:dyDescent="0.3"/>
    <row r="603" s="2384" customFormat="1" ht="15.75" customHeight="1" x14ac:dyDescent="0.3"/>
    <row r="604" s="2384" customFormat="1" ht="15.75" customHeight="1" x14ac:dyDescent="0.3"/>
    <row r="605" s="2384" customFormat="1" ht="15.75" customHeight="1" x14ac:dyDescent="0.3"/>
    <row r="606" s="2384" customFormat="1" ht="15.75" customHeight="1" x14ac:dyDescent="0.3"/>
    <row r="607" s="2384" customFormat="1" ht="15.75" customHeight="1" x14ac:dyDescent="0.3"/>
    <row r="608" s="2384" customFormat="1" ht="15.75" customHeight="1" x14ac:dyDescent="0.3"/>
    <row r="609" s="2384" customFormat="1" ht="15.75" customHeight="1" x14ac:dyDescent="0.3"/>
    <row r="610" s="2384" customFormat="1" ht="15.75" customHeight="1" x14ac:dyDescent="0.3"/>
    <row r="611" s="2384" customFormat="1" ht="15.75" customHeight="1" x14ac:dyDescent="0.3"/>
    <row r="612" s="2384" customFormat="1" ht="15.75" customHeight="1" x14ac:dyDescent="0.3"/>
    <row r="613" s="2384" customFormat="1" ht="15.75" customHeight="1" x14ac:dyDescent="0.3"/>
    <row r="614" s="2384" customFormat="1" ht="15.75" customHeight="1" x14ac:dyDescent="0.3"/>
    <row r="615" s="2384" customFormat="1" ht="15.75" customHeight="1" x14ac:dyDescent="0.3"/>
    <row r="616" s="2384" customFormat="1" ht="15.75" customHeight="1" x14ac:dyDescent="0.3"/>
    <row r="617" s="2384" customFormat="1" ht="15.75" customHeight="1" x14ac:dyDescent="0.3"/>
    <row r="618" s="2384" customFormat="1" ht="15.75" customHeight="1" x14ac:dyDescent="0.3"/>
    <row r="619" s="2384" customFormat="1" ht="15.75" customHeight="1" x14ac:dyDescent="0.3"/>
    <row r="620" s="2384" customFormat="1" ht="15.75" customHeight="1" x14ac:dyDescent="0.3"/>
    <row r="621" s="2384" customFormat="1" ht="15.75" customHeight="1" x14ac:dyDescent="0.3"/>
    <row r="622" s="2384" customFormat="1" ht="15.75" customHeight="1" x14ac:dyDescent="0.3"/>
    <row r="623" s="2384" customFormat="1" ht="15.75" customHeight="1" x14ac:dyDescent="0.3"/>
    <row r="624" s="2384" customFormat="1" ht="15.75" customHeight="1" x14ac:dyDescent="0.3"/>
    <row r="625" s="2384" customFormat="1" ht="15.75" customHeight="1" x14ac:dyDescent="0.3"/>
    <row r="626" s="2384" customFormat="1" ht="15.75" customHeight="1" x14ac:dyDescent="0.3"/>
    <row r="627" s="2384" customFormat="1" ht="15.75" customHeight="1" x14ac:dyDescent="0.3"/>
    <row r="628" s="2384" customFormat="1" ht="15.75" customHeight="1" x14ac:dyDescent="0.3"/>
    <row r="629" s="2384" customFormat="1" ht="15.75" customHeight="1" x14ac:dyDescent="0.3"/>
    <row r="630" s="2384" customFormat="1" ht="15.75" customHeight="1" x14ac:dyDescent="0.3"/>
    <row r="631" s="2384" customFormat="1" ht="15.75" customHeight="1" x14ac:dyDescent="0.3"/>
    <row r="632" s="2384" customFormat="1" ht="15.75" customHeight="1" x14ac:dyDescent="0.3"/>
    <row r="633" s="2384" customFormat="1" ht="15.75" customHeight="1" x14ac:dyDescent="0.3"/>
    <row r="634" s="2384" customFormat="1" ht="15.75" customHeight="1" x14ac:dyDescent="0.3"/>
    <row r="635" s="2384" customFormat="1" ht="15.75" customHeight="1" x14ac:dyDescent="0.3"/>
    <row r="636" s="2384" customFormat="1" ht="15.75" customHeight="1" x14ac:dyDescent="0.3"/>
    <row r="637" s="2384" customFormat="1" ht="15.75" customHeight="1" x14ac:dyDescent="0.3"/>
    <row r="638" s="2384" customFormat="1" ht="15.75" customHeight="1" x14ac:dyDescent="0.3"/>
    <row r="639" s="2384" customFormat="1" ht="15.75" customHeight="1" x14ac:dyDescent="0.3"/>
    <row r="640" s="2384" customFormat="1" ht="15.75" customHeight="1" x14ac:dyDescent="0.3"/>
    <row r="641" s="2384" customFormat="1" ht="15.75" customHeight="1" x14ac:dyDescent="0.3"/>
    <row r="642" s="2384" customFormat="1" ht="15.75" customHeight="1" x14ac:dyDescent="0.3"/>
    <row r="643" s="2384" customFormat="1" ht="15.75" customHeight="1" x14ac:dyDescent="0.3"/>
    <row r="644" s="2384" customFormat="1" ht="15.75" customHeight="1" x14ac:dyDescent="0.3"/>
    <row r="645" s="2384" customFormat="1" ht="15.75" customHeight="1" x14ac:dyDescent="0.3"/>
    <row r="646" s="2384" customFormat="1" ht="15.75" customHeight="1" x14ac:dyDescent="0.3"/>
    <row r="647" s="2384" customFormat="1" ht="15.75" customHeight="1" x14ac:dyDescent="0.3"/>
    <row r="648" s="2384" customFormat="1" ht="15.75" customHeight="1" x14ac:dyDescent="0.3"/>
    <row r="649" s="2384" customFormat="1" ht="15.75" customHeight="1" x14ac:dyDescent="0.3"/>
    <row r="650" s="2384" customFormat="1" ht="15.75" customHeight="1" x14ac:dyDescent="0.3"/>
    <row r="651" s="2384" customFormat="1" ht="15.75" customHeight="1" x14ac:dyDescent="0.3"/>
    <row r="652" s="2384" customFormat="1" ht="15.75" customHeight="1" x14ac:dyDescent="0.3"/>
    <row r="653" s="2384" customFormat="1" ht="15.75" customHeight="1" x14ac:dyDescent="0.3"/>
    <row r="654" s="2384" customFormat="1" ht="15.75" customHeight="1" x14ac:dyDescent="0.3"/>
    <row r="655" s="2384" customFormat="1" ht="15.75" customHeight="1" x14ac:dyDescent="0.3"/>
    <row r="656" s="2384" customFormat="1" ht="15.75" customHeight="1" x14ac:dyDescent="0.3"/>
    <row r="657" s="2384" customFormat="1" ht="15.75" customHeight="1" x14ac:dyDescent="0.3"/>
    <row r="658" s="2384" customFormat="1" ht="15.75" customHeight="1" x14ac:dyDescent="0.3"/>
    <row r="659" s="2384" customFormat="1" ht="15.75" customHeight="1" x14ac:dyDescent="0.3"/>
    <row r="660" s="2384" customFormat="1" ht="15.75" customHeight="1" x14ac:dyDescent="0.3"/>
    <row r="661" s="2384" customFormat="1" ht="15.75" customHeight="1" x14ac:dyDescent="0.3"/>
    <row r="662" s="2384" customFormat="1" ht="15.75" customHeight="1" x14ac:dyDescent="0.3"/>
    <row r="663" s="2384" customFormat="1" ht="15.75" customHeight="1" x14ac:dyDescent="0.3"/>
    <row r="664" s="2384" customFormat="1" ht="15.75" customHeight="1" x14ac:dyDescent="0.3"/>
    <row r="665" s="2384" customFormat="1" ht="15.75" customHeight="1" x14ac:dyDescent="0.3"/>
    <row r="666" s="2384" customFormat="1" ht="15.75" customHeight="1" x14ac:dyDescent="0.3"/>
    <row r="667" s="2384" customFormat="1" ht="15.75" customHeight="1" x14ac:dyDescent="0.3"/>
    <row r="668" s="2384" customFormat="1" ht="15.75" customHeight="1" x14ac:dyDescent="0.3"/>
    <row r="669" s="2384" customFormat="1" ht="15.75" customHeight="1" x14ac:dyDescent="0.3"/>
    <row r="670" s="2384" customFormat="1" ht="15.75" customHeight="1" x14ac:dyDescent="0.3"/>
    <row r="671" s="2384" customFormat="1" ht="15.75" customHeight="1" x14ac:dyDescent="0.3"/>
    <row r="672" s="2384" customFormat="1" ht="15.75" customHeight="1" x14ac:dyDescent="0.3"/>
    <row r="673" s="2384" customFormat="1" ht="15.75" customHeight="1" x14ac:dyDescent="0.3"/>
    <row r="674" s="2384" customFormat="1" ht="15.75" customHeight="1" x14ac:dyDescent="0.3"/>
    <row r="675" s="2384" customFormat="1" ht="15.75" customHeight="1" x14ac:dyDescent="0.3"/>
    <row r="676" s="2384" customFormat="1" ht="15.75" customHeight="1" x14ac:dyDescent="0.3"/>
    <row r="677" s="2384" customFormat="1" ht="15.75" customHeight="1" x14ac:dyDescent="0.3"/>
    <row r="678" s="2384" customFormat="1" ht="15.75" customHeight="1" x14ac:dyDescent="0.3"/>
    <row r="679" s="2384" customFormat="1" ht="15.75" customHeight="1" x14ac:dyDescent="0.3"/>
    <row r="680" s="2384" customFormat="1" ht="15.75" customHeight="1" x14ac:dyDescent="0.3"/>
    <row r="681" s="2384" customFormat="1" ht="15.75" customHeight="1" x14ac:dyDescent="0.3"/>
    <row r="682" s="2384" customFormat="1" ht="15.75" customHeight="1" x14ac:dyDescent="0.3"/>
    <row r="683" s="2384" customFormat="1" ht="15.75" customHeight="1" x14ac:dyDescent="0.3"/>
    <row r="684" s="2384" customFormat="1" ht="15.75" customHeight="1" x14ac:dyDescent="0.3"/>
    <row r="685" s="2384" customFormat="1" ht="15.75" customHeight="1" x14ac:dyDescent="0.3"/>
    <row r="686" s="2384" customFormat="1" ht="15.75" customHeight="1" x14ac:dyDescent="0.3"/>
    <row r="687" s="2384" customFormat="1" ht="15.75" customHeight="1" x14ac:dyDescent="0.3"/>
    <row r="688" s="2384" customFormat="1" ht="15.75" customHeight="1" x14ac:dyDescent="0.3"/>
    <row r="689" s="2384" customFormat="1" ht="15.75" customHeight="1" x14ac:dyDescent="0.3"/>
    <row r="690" s="2384" customFormat="1" ht="15.75" customHeight="1" x14ac:dyDescent="0.3"/>
    <row r="691" s="2384" customFormat="1" ht="15.75" customHeight="1" x14ac:dyDescent="0.3"/>
    <row r="692" s="2384" customFormat="1" ht="15.75" customHeight="1" x14ac:dyDescent="0.3"/>
    <row r="693" s="2384" customFormat="1" ht="15.75" customHeight="1" x14ac:dyDescent="0.3"/>
    <row r="694" s="2384" customFormat="1" ht="15.75" customHeight="1" x14ac:dyDescent="0.3"/>
    <row r="695" s="2384" customFormat="1" ht="15.75" customHeight="1" x14ac:dyDescent="0.3"/>
    <row r="696" s="2384" customFormat="1" ht="15.75" customHeight="1" x14ac:dyDescent="0.3"/>
    <row r="697" s="2384" customFormat="1" ht="15.75" customHeight="1" x14ac:dyDescent="0.3"/>
    <row r="698" s="2384" customFormat="1" ht="15.75" customHeight="1" x14ac:dyDescent="0.3"/>
    <row r="699" s="2384" customFormat="1" ht="15.75" customHeight="1" x14ac:dyDescent="0.3"/>
    <row r="700" s="2384" customFormat="1" ht="15.75" customHeight="1" x14ac:dyDescent="0.3"/>
    <row r="701" s="2384" customFormat="1" ht="15.75" customHeight="1" x14ac:dyDescent="0.3"/>
    <row r="702" s="2384" customFormat="1" ht="15.75" customHeight="1" x14ac:dyDescent="0.3"/>
    <row r="703" s="2384" customFormat="1" ht="15.75" customHeight="1" x14ac:dyDescent="0.3"/>
    <row r="704" s="2384" customFormat="1" ht="15.75" customHeight="1" x14ac:dyDescent="0.3"/>
    <row r="705" s="2384" customFormat="1" ht="15.75" customHeight="1" x14ac:dyDescent="0.3"/>
    <row r="706" s="2384" customFormat="1" ht="15.75" customHeight="1" x14ac:dyDescent="0.3"/>
    <row r="707" s="2384" customFormat="1" ht="15.75" customHeight="1" x14ac:dyDescent="0.3"/>
    <row r="708" s="2384" customFormat="1" ht="15.75" customHeight="1" x14ac:dyDescent="0.3"/>
    <row r="709" s="2384" customFormat="1" ht="15.75" customHeight="1" x14ac:dyDescent="0.3"/>
    <row r="710" s="2384" customFormat="1" ht="15.75" customHeight="1" x14ac:dyDescent="0.3"/>
    <row r="711" s="2384" customFormat="1" ht="15.75" customHeight="1" x14ac:dyDescent="0.3"/>
    <row r="712" s="2384" customFormat="1" ht="15.75" customHeight="1" x14ac:dyDescent="0.3"/>
    <row r="713" s="2384" customFormat="1" ht="15.75" customHeight="1" x14ac:dyDescent="0.3"/>
    <row r="714" s="2384" customFormat="1" ht="15.75" customHeight="1" x14ac:dyDescent="0.3"/>
    <row r="715" s="2384" customFormat="1" ht="15.75" customHeight="1" x14ac:dyDescent="0.3"/>
    <row r="716" s="2384" customFormat="1" ht="15.75" customHeight="1" x14ac:dyDescent="0.3"/>
    <row r="717" s="2384" customFormat="1" ht="15.75" customHeight="1" x14ac:dyDescent="0.3"/>
    <row r="718" s="2384" customFormat="1" ht="15.75" customHeight="1" x14ac:dyDescent="0.3"/>
    <row r="719" s="2384" customFormat="1" ht="15.75" customHeight="1" x14ac:dyDescent="0.3"/>
    <row r="720" s="2384" customFormat="1" ht="15.75" customHeight="1" x14ac:dyDescent="0.3"/>
    <row r="721" s="2384" customFormat="1" ht="15.75" customHeight="1" x14ac:dyDescent="0.3"/>
    <row r="722" s="2384" customFormat="1" ht="15.75" customHeight="1" x14ac:dyDescent="0.3"/>
    <row r="723" s="2384" customFormat="1" ht="15.75" customHeight="1" x14ac:dyDescent="0.3"/>
    <row r="724" s="2384" customFormat="1" ht="15.75" customHeight="1" x14ac:dyDescent="0.3"/>
    <row r="725" s="2384" customFormat="1" ht="15.75" customHeight="1" x14ac:dyDescent="0.3"/>
    <row r="726" s="2384" customFormat="1" ht="15.75" customHeight="1" x14ac:dyDescent="0.3"/>
    <row r="727" s="2384" customFormat="1" ht="15.75" customHeight="1" x14ac:dyDescent="0.3"/>
    <row r="728" s="2384" customFormat="1" ht="15.75" customHeight="1" x14ac:dyDescent="0.3"/>
    <row r="729" s="2384" customFormat="1" ht="15.75" customHeight="1" x14ac:dyDescent="0.3"/>
    <row r="730" s="2384" customFormat="1" ht="15.75" customHeight="1" x14ac:dyDescent="0.3"/>
    <row r="731" s="2384" customFormat="1" ht="15.75" customHeight="1" x14ac:dyDescent="0.3"/>
    <row r="732" s="2384" customFormat="1" ht="15.75" customHeight="1" x14ac:dyDescent="0.3"/>
    <row r="733" s="2384" customFormat="1" ht="15.75" customHeight="1" x14ac:dyDescent="0.3"/>
    <row r="734" s="2384" customFormat="1" ht="15.75" customHeight="1" x14ac:dyDescent="0.3"/>
    <row r="735" s="2384" customFormat="1" ht="15.75" customHeight="1" x14ac:dyDescent="0.3"/>
    <row r="736" s="2384" customFormat="1" ht="15.75" customHeight="1" x14ac:dyDescent="0.3"/>
    <row r="737" s="2384" customFormat="1" ht="15.75" customHeight="1" x14ac:dyDescent="0.3"/>
    <row r="738" s="2384" customFormat="1" ht="15.75" customHeight="1" x14ac:dyDescent="0.3"/>
    <row r="739" s="2384" customFormat="1" ht="15.75" customHeight="1" x14ac:dyDescent="0.3"/>
    <row r="740" s="2384" customFormat="1" ht="15.75" customHeight="1" x14ac:dyDescent="0.3"/>
    <row r="741" s="2384" customFormat="1" ht="15.75" customHeight="1" x14ac:dyDescent="0.3"/>
    <row r="742" s="2384" customFormat="1" ht="15.75" customHeight="1" x14ac:dyDescent="0.3"/>
    <row r="743" s="2384" customFormat="1" ht="15.75" customHeight="1" x14ac:dyDescent="0.3"/>
    <row r="744" s="2384" customFormat="1" ht="15.75" customHeight="1" x14ac:dyDescent="0.3"/>
    <row r="745" s="2384" customFormat="1" ht="15.75" customHeight="1" x14ac:dyDescent="0.3"/>
    <row r="746" s="2384" customFormat="1" ht="15.75" customHeight="1" x14ac:dyDescent="0.3"/>
    <row r="747" s="2384" customFormat="1" ht="15.75" customHeight="1" x14ac:dyDescent="0.3"/>
    <row r="748" s="2384" customFormat="1" ht="15.75" customHeight="1" x14ac:dyDescent="0.3"/>
    <row r="749" s="2384" customFormat="1" ht="15.75" customHeight="1" x14ac:dyDescent="0.3"/>
    <row r="750" s="2384" customFormat="1" ht="15.75" customHeight="1" x14ac:dyDescent="0.3"/>
    <row r="751" s="2384" customFormat="1" ht="15.75" customHeight="1" x14ac:dyDescent="0.3"/>
    <row r="752" s="2384" customFormat="1" ht="15.75" customHeight="1" x14ac:dyDescent="0.3"/>
    <row r="753" s="2384" customFormat="1" ht="15.75" customHeight="1" x14ac:dyDescent="0.3"/>
    <row r="754" s="2384" customFormat="1" ht="15.75" customHeight="1" x14ac:dyDescent="0.3"/>
    <row r="755" s="2384" customFormat="1" ht="15.75" customHeight="1" x14ac:dyDescent="0.3"/>
    <row r="756" s="2384" customFormat="1" ht="15.75" customHeight="1" x14ac:dyDescent="0.3"/>
    <row r="757" s="2384" customFormat="1" ht="15.75" customHeight="1" x14ac:dyDescent="0.3"/>
    <row r="758" s="2384" customFormat="1" ht="15.75" customHeight="1" x14ac:dyDescent="0.3"/>
    <row r="759" s="2384" customFormat="1" ht="15.75" customHeight="1" x14ac:dyDescent="0.3"/>
    <row r="760" s="2384" customFormat="1" ht="15.75" customHeight="1" x14ac:dyDescent="0.3"/>
    <row r="761" s="2384" customFormat="1" ht="15.75" customHeight="1" x14ac:dyDescent="0.3"/>
    <row r="762" s="2384" customFormat="1" ht="15.75" customHeight="1" x14ac:dyDescent="0.3"/>
    <row r="763" s="2384" customFormat="1" ht="15.75" customHeight="1" x14ac:dyDescent="0.3"/>
    <row r="764" s="2384" customFormat="1" ht="15.75" customHeight="1" x14ac:dyDescent="0.3"/>
    <row r="765" s="2384" customFormat="1" ht="15.75" customHeight="1" x14ac:dyDescent="0.3"/>
    <row r="766" s="2384" customFormat="1" ht="15.75" customHeight="1" x14ac:dyDescent="0.3"/>
    <row r="767" s="2384" customFormat="1" ht="15.75" customHeight="1" x14ac:dyDescent="0.3"/>
    <row r="768" s="2384" customFormat="1" ht="15.75" customHeight="1" x14ac:dyDescent="0.3"/>
    <row r="769" s="2384" customFormat="1" ht="15.75" customHeight="1" x14ac:dyDescent="0.3"/>
    <row r="770" s="2384" customFormat="1" ht="15.75" customHeight="1" x14ac:dyDescent="0.3"/>
    <row r="771" s="2384" customFormat="1" ht="15.75" customHeight="1" x14ac:dyDescent="0.3"/>
    <row r="772" s="2384" customFormat="1" ht="15.75" customHeight="1" x14ac:dyDescent="0.3"/>
    <row r="773" s="2384" customFormat="1" ht="15.75" customHeight="1" x14ac:dyDescent="0.3"/>
    <row r="774" s="2384" customFormat="1" ht="15.75" customHeight="1" x14ac:dyDescent="0.3"/>
    <row r="775" s="2384" customFormat="1" ht="15.75" customHeight="1" x14ac:dyDescent="0.3"/>
    <row r="776" s="2384" customFormat="1" ht="15.75" customHeight="1" x14ac:dyDescent="0.3"/>
    <row r="777" s="2384" customFormat="1" ht="15.75" customHeight="1" x14ac:dyDescent="0.3"/>
    <row r="778" s="2384" customFormat="1" ht="15.75" customHeight="1" x14ac:dyDescent="0.3"/>
    <row r="779" s="2384" customFormat="1" ht="15.75" customHeight="1" x14ac:dyDescent="0.3"/>
    <row r="780" s="2384" customFormat="1" ht="15.75" customHeight="1" x14ac:dyDescent="0.3"/>
    <row r="781" s="2384" customFormat="1" ht="15.75" customHeight="1" x14ac:dyDescent="0.3"/>
    <row r="782" s="2384" customFormat="1" ht="15.75" customHeight="1" x14ac:dyDescent="0.3"/>
    <row r="783" s="2384" customFormat="1" ht="15.75" customHeight="1" x14ac:dyDescent="0.3"/>
    <row r="784" s="2384" customFormat="1" ht="15.75" customHeight="1" x14ac:dyDescent="0.3"/>
    <row r="785" s="2384" customFormat="1" ht="15.75" customHeight="1" x14ac:dyDescent="0.3"/>
    <row r="786" s="2384" customFormat="1" ht="15.75" customHeight="1" x14ac:dyDescent="0.3"/>
    <row r="787" s="2384" customFormat="1" ht="15.75" customHeight="1" x14ac:dyDescent="0.3"/>
    <row r="788" s="2384" customFormat="1" ht="15.75" customHeight="1" x14ac:dyDescent="0.3"/>
    <row r="789" s="2384" customFormat="1" ht="15.75" customHeight="1" x14ac:dyDescent="0.3"/>
    <row r="790" s="2384" customFormat="1" ht="15.75" customHeight="1" x14ac:dyDescent="0.3"/>
    <row r="791" s="2384" customFormat="1" ht="15.75" customHeight="1" x14ac:dyDescent="0.3"/>
    <row r="792" s="2384" customFormat="1" ht="15.75" customHeight="1" x14ac:dyDescent="0.3"/>
    <row r="793" s="2384" customFormat="1" ht="15.75" customHeight="1" x14ac:dyDescent="0.3"/>
    <row r="794" s="2384" customFormat="1" ht="15.75" customHeight="1" x14ac:dyDescent="0.3"/>
    <row r="795" s="2384" customFormat="1" ht="15.75" customHeight="1" x14ac:dyDescent="0.3"/>
    <row r="796" s="2384" customFormat="1" ht="15.75" customHeight="1" x14ac:dyDescent="0.3"/>
    <row r="797" s="2384" customFormat="1" ht="15.75" customHeight="1" x14ac:dyDescent="0.3"/>
    <row r="798" s="2384" customFormat="1" ht="15.75" customHeight="1" x14ac:dyDescent="0.3"/>
    <row r="799" s="2384" customFormat="1" ht="15.75" customHeight="1" x14ac:dyDescent="0.3"/>
    <row r="800" s="2384" customFormat="1" ht="15.75" customHeight="1" x14ac:dyDescent="0.3"/>
    <row r="801" s="2384" customFormat="1" ht="15.75" customHeight="1" x14ac:dyDescent="0.3"/>
    <row r="802" s="2384" customFormat="1" ht="15.75" customHeight="1" x14ac:dyDescent="0.3"/>
    <row r="803" s="2384" customFormat="1" ht="15.75" customHeight="1" x14ac:dyDescent="0.3"/>
    <row r="804" s="2384" customFormat="1" ht="15.75" customHeight="1" x14ac:dyDescent="0.3"/>
    <row r="805" s="2384" customFormat="1" ht="15.75" customHeight="1" x14ac:dyDescent="0.3"/>
    <row r="806" s="2384" customFormat="1" ht="15.75" customHeight="1" x14ac:dyDescent="0.3"/>
    <row r="807" s="2384" customFormat="1" ht="15.75" customHeight="1" x14ac:dyDescent="0.3"/>
    <row r="808" s="2384" customFormat="1" ht="15.75" customHeight="1" x14ac:dyDescent="0.3"/>
    <row r="809" s="2384" customFormat="1" ht="15.75" customHeight="1" x14ac:dyDescent="0.3"/>
    <row r="810" s="2384" customFormat="1" ht="15.75" customHeight="1" x14ac:dyDescent="0.3"/>
    <row r="811" s="2384" customFormat="1" ht="15.75" customHeight="1" x14ac:dyDescent="0.3"/>
    <row r="812" s="2384" customFormat="1" ht="15.75" customHeight="1" x14ac:dyDescent="0.3"/>
    <row r="813" s="2384" customFormat="1" ht="15.75" customHeight="1" x14ac:dyDescent="0.3"/>
    <row r="814" s="2384" customFormat="1" ht="15.75" customHeight="1" x14ac:dyDescent="0.3"/>
    <row r="815" s="2384" customFormat="1" ht="15.75" customHeight="1" x14ac:dyDescent="0.3"/>
    <row r="816" s="2384" customFormat="1" ht="15.75" customHeight="1" x14ac:dyDescent="0.3"/>
    <row r="817" s="2384" customFormat="1" ht="15.75" customHeight="1" x14ac:dyDescent="0.3"/>
    <row r="818" s="2384" customFormat="1" ht="15.75" customHeight="1" x14ac:dyDescent="0.3"/>
    <row r="819" s="2384" customFormat="1" ht="15.75" customHeight="1" x14ac:dyDescent="0.3"/>
    <row r="820" s="2384" customFormat="1" ht="15.75" customHeight="1" x14ac:dyDescent="0.3"/>
    <row r="821" s="2384" customFormat="1" ht="15.75" customHeight="1" x14ac:dyDescent="0.3"/>
    <row r="822" s="2384" customFormat="1" ht="15.75" customHeight="1" x14ac:dyDescent="0.3"/>
    <row r="823" s="2384" customFormat="1" ht="15.75" customHeight="1" x14ac:dyDescent="0.3"/>
    <row r="824" s="2384" customFormat="1" ht="15.75" customHeight="1" x14ac:dyDescent="0.3"/>
    <row r="825" s="2384" customFormat="1" ht="15.75" customHeight="1" x14ac:dyDescent="0.3"/>
    <row r="826" s="2384" customFormat="1" ht="15.75" customHeight="1" x14ac:dyDescent="0.3"/>
    <row r="827" s="2384" customFormat="1" ht="15.75" customHeight="1" x14ac:dyDescent="0.3"/>
    <row r="828" s="2384" customFormat="1" ht="15.75" customHeight="1" x14ac:dyDescent="0.3"/>
    <row r="829" s="2384" customFormat="1" ht="15.75" customHeight="1" x14ac:dyDescent="0.3"/>
    <row r="830" s="2384" customFormat="1" ht="15.75" customHeight="1" x14ac:dyDescent="0.3"/>
    <row r="831" s="2384" customFormat="1" ht="15.75" customHeight="1" x14ac:dyDescent="0.3"/>
    <row r="832" s="2384" customFormat="1" ht="15.75" customHeight="1" x14ac:dyDescent="0.3"/>
    <row r="833" s="2384" customFormat="1" ht="15.75" customHeight="1" x14ac:dyDescent="0.3"/>
    <row r="834" s="2384" customFormat="1" ht="15.75" customHeight="1" x14ac:dyDescent="0.3"/>
    <row r="835" s="2384" customFormat="1" ht="15.75" customHeight="1" x14ac:dyDescent="0.3"/>
    <row r="836" s="2384" customFormat="1" ht="15.75" customHeight="1" x14ac:dyDescent="0.3"/>
    <row r="837" s="2384" customFormat="1" ht="15.75" customHeight="1" x14ac:dyDescent="0.3"/>
    <row r="838" s="2384" customFormat="1" ht="15.75" customHeight="1" x14ac:dyDescent="0.3"/>
    <row r="839" s="2384" customFormat="1" ht="15.75" customHeight="1" x14ac:dyDescent="0.3"/>
    <row r="840" s="2384" customFormat="1" ht="15.75" customHeight="1" x14ac:dyDescent="0.3"/>
    <row r="841" s="2384" customFormat="1" ht="15.75" customHeight="1" x14ac:dyDescent="0.3"/>
    <row r="842" s="2384" customFormat="1" ht="15.75" customHeight="1" x14ac:dyDescent="0.3"/>
    <row r="843" s="2384" customFormat="1" ht="15.75" customHeight="1" x14ac:dyDescent="0.3"/>
    <row r="844" s="2384" customFormat="1" ht="15.75" customHeight="1" x14ac:dyDescent="0.3"/>
    <row r="845" s="2384" customFormat="1" ht="15.75" customHeight="1" x14ac:dyDescent="0.3"/>
    <row r="846" s="2384" customFormat="1" ht="15.75" customHeight="1" x14ac:dyDescent="0.3"/>
    <row r="847" s="2384" customFormat="1" ht="15.75" customHeight="1" x14ac:dyDescent="0.3"/>
    <row r="848" s="2384" customFormat="1" ht="15.75" customHeight="1" x14ac:dyDescent="0.3"/>
    <row r="849" s="2384" customFormat="1" ht="15.75" customHeight="1" x14ac:dyDescent="0.3"/>
    <row r="850" s="2384" customFormat="1" ht="15.75" customHeight="1" x14ac:dyDescent="0.3"/>
    <row r="851" s="2384" customFormat="1" ht="15.75" customHeight="1" x14ac:dyDescent="0.3"/>
    <row r="852" s="2384" customFormat="1" ht="15.75" customHeight="1" x14ac:dyDescent="0.3"/>
    <row r="853" s="2384" customFormat="1" ht="15.75" customHeight="1" x14ac:dyDescent="0.3"/>
    <row r="854" s="2384" customFormat="1" ht="15.75" customHeight="1" x14ac:dyDescent="0.3"/>
    <row r="855" s="2384" customFormat="1" ht="15.75" customHeight="1" x14ac:dyDescent="0.3"/>
    <row r="856" s="2384" customFormat="1" ht="15.75" customHeight="1" x14ac:dyDescent="0.3"/>
    <row r="857" s="2384" customFormat="1" ht="15.75" customHeight="1" x14ac:dyDescent="0.3"/>
    <row r="858" s="2384" customFormat="1" ht="15.75" customHeight="1" x14ac:dyDescent="0.3"/>
    <row r="859" s="2384" customFormat="1" ht="15.75" customHeight="1" x14ac:dyDescent="0.3"/>
    <row r="860" s="2384" customFormat="1" ht="15.75" customHeight="1" x14ac:dyDescent="0.3"/>
    <row r="861" s="2384" customFormat="1" ht="15.75" customHeight="1" x14ac:dyDescent="0.3"/>
    <row r="862" s="2384" customFormat="1" ht="15.75" customHeight="1" x14ac:dyDescent="0.3"/>
    <row r="863" s="2384" customFormat="1" ht="15.75" customHeight="1" x14ac:dyDescent="0.3"/>
    <row r="864" s="2384" customFormat="1" ht="15.75" customHeight="1" x14ac:dyDescent="0.3"/>
    <row r="865" s="2384" customFormat="1" ht="15.75" customHeight="1" x14ac:dyDescent="0.3"/>
    <row r="866" s="2384" customFormat="1" ht="15.75" customHeight="1" x14ac:dyDescent="0.3"/>
    <row r="867" s="2384" customFormat="1" ht="15.75" customHeight="1" x14ac:dyDescent="0.3"/>
    <row r="868" s="2384" customFormat="1" ht="15.75" customHeight="1" x14ac:dyDescent="0.3"/>
    <row r="869" s="2384" customFormat="1" ht="15.75" customHeight="1" x14ac:dyDescent="0.3"/>
    <row r="870" s="2384" customFormat="1" ht="15.75" customHeight="1" x14ac:dyDescent="0.3"/>
    <row r="871" s="2384" customFormat="1" ht="15.75" customHeight="1" x14ac:dyDescent="0.3"/>
    <row r="872" s="2384" customFormat="1" ht="15.75" customHeight="1" x14ac:dyDescent="0.3"/>
    <row r="873" s="2384" customFormat="1" ht="15.75" customHeight="1" x14ac:dyDescent="0.3"/>
    <row r="874" s="2384" customFormat="1" ht="15.75" customHeight="1" x14ac:dyDescent="0.3"/>
    <row r="875" s="2384" customFormat="1" ht="15.75" customHeight="1" x14ac:dyDescent="0.3"/>
    <row r="876" s="2384" customFormat="1" ht="15.75" customHeight="1" x14ac:dyDescent="0.3"/>
    <row r="877" s="2384" customFormat="1" ht="15.75" customHeight="1" x14ac:dyDescent="0.3"/>
    <row r="878" s="2384" customFormat="1" ht="15.75" customHeight="1" x14ac:dyDescent="0.3"/>
    <row r="879" s="2384" customFormat="1" ht="15.75" customHeight="1" x14ac:dyDescent="0.3"/>
    <row r="880" s="2384" customFormat="1" ht="15.75" customHeight="1" x14ac:dyDescent="0.3"/>
    <row r="881" s="2384" customFormat="1" ht="15.75" customHeight="1" x14ac:dyDescent="0.3"/>
    <row r="882" s="2384" customFormat="1" ht="15.75" customHeight="1" x14ac:dyDescent="0.3"/>
    <row r="883" s="2384" customFormat="1" ht="15.75" customHeight="1" x14ac:dyDescent="0.3"/>
    <row r="884" s="2384" customFormat="1" ht="15.75" customHeight="1" x14ac:dyDescent="0.3"/>
    <row r="885" s="2384" customFormat="1" ht="15.75" customHeight="1" x14ac:dyDescent="0.3"/>
    <row r="886" s="2384" customFormat="1" ht="15.75" customHeight="1" x14ac:dyDescent="0.3"/>
    <row r="887" s="2384" customFormat="1" ht="15.75" customHeight="1" x14ac:dyDescent="0.3"/>
    <row r="888" s="2384" customFormat="1" ht="15.75" customHeight="1" x14ac:dyDescent="0.3"/>
    <row r="889" s="2384" customFormat="1" ht="15.75" customHeight="1" x14ac:dyDescent="0.3"/>
    <row r="890" s="2384" customFormat="1" ht="15.75" customHeight="1" x14ac:dyDescent="0.3"/>
    <row r="891" s="2384" customFormat="1" ht="15.75" customHeight="1" x14ac:dyDescent="0.3"/>
    <row r="892" s="2384" customFormat="1" ht="15.75" customHeight="1" x14ac:dyDescent="0.3"/>
    <row r="893" s="2384" customFormat="1" ht="15.75" customHeight="1" x14ac:dyDescent="0.3"/>
    <row r="894" s="2384" customFormat="1" ht="15.75" customHeight="1" x14ac:dyDescent="0.3"/>
    <row r="895" s="2384" customFormat="1" ht="15.75" customHeight="1" x14ac:dyDescent="0.3"/>
    <row r="896" s="2384" customFormat="1" ht="15.75" customHeight="1" x14ac:dyDescent="0.3"/>
    <row r="897" s="2384" customFormat="1" ht="15.75" customHeight="1" x14ac:dyDescent="0.3"/>
    <row r="898" s="2384" customFormat="1" ht="15.75" customHeight="1" x14ac:dyDescent="0.3"/>
    <row r="899" s="2384" customFormat="1" ht="15.75" customHeight="1" x14ac:dyDescent="0.3"/>
    <row r="900" s="2384" customFormat="1" ht="15.75" customHeight="1" x14ac:dyDescent="0.3"/>
    <row r="901" s="2384" customFormat="1" ht="15.75" customHeight="1" x14ac:dyDescent="0.3"/>
    <row r="902" s="2384" customFormat="1" ht="15.75" customHeight="1" x14ac:dyDescent="0.3"/>
    <row r="903" s="2384" customFormat="1" ht="15.75" customHeight="1" x14ac:dyDescent="0.3"/>
    <row r="904" s="2384" customFormat="1" ht="15.75" customHeight="1" x14ac:dyDescent="0.3"/>
    <row r="905" s="2384" customFormat="1" ht="15.75" customHeight="1" x14ac:dyDescent="0.3"/>
    <row r="906" s="2384" customFormat="1" ht="15.75" customHeight="1" x14ac:dyDescent="0.3"/>
    <row r="907" s="2384" customFormat="1" ht="15.75" customHeight="1" x14ac:dyDescent="0.3"/>
    <row r="908" s="2384" customFormat="1" ht="15.75" customHeight="1" x14ac:dyDescent="0.3"/>
    <row r="909" s="2384" customFormat="1" ht="15.75" customHeight="1" x14ac:dyDescent="0.3"/>
    <row r="910" s="2384" customFormat="1" ht="15.75" customHeight="1" x14ac:dyDescent="0.3"/>
    <row r="911" s="2384" customFormat="1" ht="15.75" customHeight="1" x14ac:dyDescent="0.3"/>
    <row r="912" s="2384" customFormat="1" ht="15.75" customHeight="1" x14ac:dyDescent="0.3"/>
    <row r="913" s="2384" customFormat="1" ht="15.75" customHeight="1" x14ac:dyDescent="0.3"/>
    <row r="914" s="2384" customFormat="1" ht="15.75" customHeight="1" x14ac:dyDescent="0.3"/>
    <row r="915" s="2384" customFormat="1" ht="15.75" customHeight="1" x14ac:dyDescent="0.3"/>
    <row r="916" s="2384" customFormat="1" ht="15.75" customHeight="1" x14ac:dyDescent="0.3"/>
    <row r="917" s="2384" customFormat="1" ht="15.75" customHeight="1" x14ac:dyDescent="0.3"/>
    <row r="918" s="2384" customFormat="1" ht="15.75" customHeight="1" x14ac:dyDescent="0.3"/>
    <row r="919" s="2384" customFormat="1" ht="15.75" customHeight="1" x14ac:dyDescent="0.3"/>
    <row r="920" s="2384" customFormat="1" ht="15.75" customHeight="1" x14ac:dyDescent="0.3"/>
    <row r="921" s="2384" customFormat="1" ht="15.75" customHeight="1" x14ac:dyDescent="0.3"/>
    <row r="922" s="2384" customFormat="1" ht="15.75" customHeight="1" x14ac:dyDescent="0.3"/>
    <row r="923" s="2384" customFormat="1" ht="15.75" customHeight="1" x14ac:dyDescent="0.3"/>
    <row r="924" s="2384" customFormat="1" ht="15.75" customHeight="1" x14ac:dyDescent="0.3"/>
    <row r="925" s="2384" customFormat="1" ht="15.75" customHeight="1" x14ac:dyDescent="0.3"/>
    <row r="926" s="2384" customFormat="1" ht="15.75" customHeight="1" x14ac:dyDescent="0.3"/>
    <row r="927" s="2384" customFormat="1" ht="15.75" customHeight="1" x14ac:dyDescent="0.3"/>
    <row r="928" s="2384" customFormat="1" ht="15.75" customHeight="1" x14ac:dyDescent="0.3"/>
    <row r="929" s="2384" customFormat="1" ht="15.75" customHeight="1" x14ac:dyDescent="0.3"/>
    <row r="930" s="2384" customFormat="1" ht="15.75" customHeight="1" x14ac:dyDescent="0.3"/>
    <row r="931" s="2384" customFormat="1" ht="15.75" customHeight="1" x14ac:dyDescent="0.3"/>
    <row r="932" s="2384" customFormat="1" ht="15.75" customHeight="1" x14ac:dyDescent="0.3"/>
    <row r="933" s="2384" customFormat="1" ht="15.75" customHeight="1" x14ac:dyDescent="0.3"/>
    <row r="934" s="2384" customFormat="1" ht="15.75" customHeight="1" x14ac:dyDescent="0.3"/>
    <row r="935" s="2384" customFormat="1" ht="15.75" customHeight="1" x14ac:dyDescent="0.3"/>
    <row r="936" s="2384" customFormat="1" ht="15.75" customHeight="1" x14ac:dyDescent="0.3"/>
    <row r="937" s="2384" customFormat="1" ht="15.75" customHeight="1" x14ac:dyDescent="0.3"/>
    <row r="938" s="2384" customFormat="1" ht="15.75" customHeight="1" x14ac:dyDescent="0.3"/>
    <row r="939" s="2384" customFormat="1" ht="15.75" customHeight="1" x14ac:dyDescent="0.3"/>
    <row r="940" s="2384" customFormat="1" ht="15.75" customHeight="1" x14ac:dyDescent="0.3"/>
    <row r="941" s="2384" customFormat="1" ht="15.75" customHeight="1" x14ac:dyDescent="0.3"/>
    <row r="942" s="2384" customFormat="1" ht="15.75" customHeight="1" x14ac:dyDescent="0.3"/>
    <row r="943" s="2384" customFormat="1" ht="15.75" customHeight="1" x14ac:dyDescent="0.3"/>
    <row r="944" s="2384" customFormat="1" ht="15.75" customHeight="1" x14ac:dyDescent="0.3"/>
    <row r="945" s="2384" customFormat="1" ht="15.75" customHeight="1" x14ac:dyDescent="0.3"/>
    <row r="946" s="2384" customFormat="1" ht="15.75" customHeight="1" x14ac:dyDescent="0.3"/>
    <row r="947" s="2384" customFormat="1" ht="15.75" customHeight="1" x14ac:dyDescent="0.3"/>
    <row r="948" s="2384" customFormat="1" ht="15.75" customHeight="1" x14ac:dyDescent="0.3"/>
    <row r="949" s="2384" customFormat="1" ht="15.75" customHeight="1" x14ac:dyDescent="0.3"/>
    <row r="950" s="2384" customFormat="1" ht="15.75" customHeight="1" x14ac:dyDescent="0.3"/>
    <row r="951" s="2384" customFormat="1" ht="15.75" customHeight="1" x14ac:dyDescent="0.3"/>
    <row r="952" s="2384" customFormat="1" ht="15.75" customHeight="1" x14ac:dyDescent="0.3"/>
    <row r="953" s="2384" customFormat="1" ht="15.75" customHeight="1" x14ac:dyDescent="0.3"/>
    <row r="954" s="2384" customFormat="1" ht="15.75" customHeight="1" x14ac:dyDescent="0.3"/>
    <row r="955" s="2384" customFormat="1" ht="15.75" customHeight="1" x14ac:dyDescent="0.3"/>
    <row r="956" s="2384" customFormat="1" ht="15.75" customHeight="1" x14ac:dyDescent="0.3"/>
    <row r="957" s="2384" customFormat="1" ht="15.75" customHeight="1" x14ac:dyDescent="0.3"/>
    <row r="958" s="2384" customFormat="1" ht="15.75" customHeight="1" x14ac:dyDescent="0.3"/>
    <row r="959" s="2384" customFormat="1" ht="15.75" customHeight="1" x14ac:dyDescent="0.3"/>
    <row r="960" s="2384" customFormat="1" ht="15.75" customHeight="1" x14ac:dyDescent="0.3"/>
    <row r="961" s="2384" customFormat="1" ht="15.75" customHeight="1" x14ac:dyDescent="0.3"/>
    <row r="962" s="2384" customFormat="1" ht="15.75" customHeight="1" x14ac:dyDescent="0.3"/>
    <row r="963" s="2384" customFormat="1" ht="15.75" customHeight="1" x14ac:dyDescent="0.3"/>
    <row r="964" s="2384" customFormat="1" ht="15.75" customHeight="1" x14ac:dyDescent="0.3"/>
    <row r="965" s="2384" customFormat="1" ht="15.75" customHeight="1" x14ac:dyDescent="0.3"/>
    <row r="966" s="2384" customFormat="1" ht="15.75" customHeight="1" x14ac:dyDescent="0.3"/>
    <row r="967" s="2384" customFormat="1" ht="15.75" customHeight="1" x14ac:dyDescent="0.3"/>
    <row r="968" s="2384" customFormat="1" ht="15.75" customHeight="1" x14ac:dyDescent="0.3"/>
    <row r="969" s="2384" customFormat="1" ht="15.75" customHeight="1" x14ac:dyDescent="0.3"/>
    <row r="970" s="2384" customFormat="1" ht="15.75" customHeight="1" x14ac:dyDescent="0.3"/>
    <row r="971" s="2384" customFormat="1" ht="15.75" customHeight="1" x14ac:dyDescent="0.3"/>
    <row r="972" s="2384" customFormat="1" ht="15.75" customHeight="1" x14ac:dyDescent="0.3"/>
    <row r="973" s="2384" customFormat="1" ht="15.75" customHeight="1" x14ac:dyDescent="0.3"/>
    <row r="974" s="2384" customFormat="1" ht="15.75" customHeight="1" x14ac:dyDescent="0.3"/>
    <row r="975" s="2384" customFormat="1" ht="15.75" customHeight="1" x14ac:dyDescent="0.3"/>
    <row r="976" s="2384" customFormat="1" ht="15.75" customHeight="1" x14ac:dyDescent="0.3"/>
    <row r="977" s="2384" customFormat="1" ht="15.75" customHeight="1" x14ac:dyDescent="0.3"/>
    <row r="978" s="2384" customFormat="1" ht="15.75" customHeight="1" x14ac:dyDescent="0.3"/>
    <row r="979" s="2384" customFormat="1" ht="15.75" customHeight="1" x14ac:dyDescent="0.3"/>
    <row r="980" s="2384" customFormat="1" ht="15.75" customHeight="1" x14ac:dyDescent="0.3"/>
    <row r="981" s="2384" customFormat="1" ht="15.75" customHeight="1" x14ac:dyDescent="0.3"/>
    <row r="982" s="2384" customFormat="1" ht="15.75" customHeight="1" x14ac:dyDescent="0.3"/>
    <row r="983" s="2384" customFormat="1" ht="15.75" customHeight="1" x14ac:dyDescent="0.3"/>
    <row r="984" s="2384" customFormat="1" ht="15.75" customHeight="1" x14ac:dyDescent="0.3"/>
    <row r="985" s="2384" customFormat="1" ht="15.75" customHeight="1" x14ac:dyDescent="0.3"/>
    <row r="986" s="2384" customFormat="1" ht="15.75" customHeight="1" x14ac:dyDescent="0.3"/>
    <row r="987" s="2384" customFormat="1" ht="15.75" customHeight="1" x14ac:dyDescent="0.3"/>
    <row r="988" s="2384" customFormat="1" ht="15.75" customHeight="1" x14ac:dyDescent="0.3"/>
    <row r="989" s="2384" customFormat="1" ht="15.75" customHeight="1" x14ac:dyDescent="0.3"/>
    <row r="990" s="2384" customFormat="1" ht="15.75" customHeight="1" x14ac:dyDescent="0.3"/>
    <row r="991" s="2384" customFormat="1" ht="15.75" customHeight="1" x14ac:dyDescent="0.3"/>
    <row r="992" s="2384" customFormat="1" ht="15.75" customHeight="1" x14ac:dyDescent="0.3"/>
    <row r="993" s="2384" customFormat="1" ht="15.75" customHeight="1" x14ac:dyDescent="0.3"/>
    <row r="994" s="2384" customFormat="1" ht="15.75" customHeight="1" x14ac:dyDescent="0.3"/>
    <row r="995" s="2384" customFormat="1" ht="15.75" customHeight="1" x14ac:dyDescent="0.3"/>
    <row r="996" s="2384" customFormat="1" ht="15.75" customHeight="1" x14ac:dyDescent="0.3"/>
    <row r="997" s="2384" customFormat="1" ht="15.75" customHeight="1" x14ac:dyDescent="0.3"/>
    <row r="998" s="2384" customFormat="1" ht="15.75" customHeight="1" x14ac:dyDescent="0.3"/>
    <row r="999" s="2384" customFormat="1" ht="15.75" customHeight="1" x14ac:dyDescent="0.3"/>
    <row r="1000" s="2384" customFormat="1" ht="15.75" customHeight="1" x14ac:dyDescent="0.3"/>
    <row r="1001" s="2384" customFormat="1" ht="15.75" customHeight="1" x14ac:dyDescent="0.3"/>
    <row r="1002" s="2384" customFormat="1" ht="15.75" customHeight="1" x14ac:dyDescent="0.3"/>
    <row r="1003" s="2384" customFormat="1" ht="15.75" customHeight="1" x14ac:dyDescent="0.3"/>
    <row r="1004" s="2384" customFormat="1" ht="15.75" customHeight="1" x14ac:dyDescent="0.3"/>
    <row r="1005" s="2384" customFormat="1" ht="15.75" customHeight="1" x14ac:dyDescent="0.3"/>
    <row r="1006" s="2384" customFormat="1" ht="15.75" customHeight="1" x14ac:dyDescent="0.3"/>
    <row r="1007" s="2384" customFormat="1" ht="15.75" customHeight="1" x14ac:dyDescent="0.3"/>
    <row r="1008" s="2384" customFormat="1" ht="15.75" customHeight="1" x14ac:dyDescent="0.3"/>
    <row r="1009" s="2384" customFormat="1" ht="15.75" customHeight="1" x14ac:dyDescent="0.3"/>
    <row r="1010" s="2384" customFormat="1" ht="15.75" customHeight="1" x14ac:dyDescent="0.3"/>
    <row r="1011" s="2384" customFormat="1" ht="15.75" customHeight="1" x14ac:dyDescent="0.3"/>
    <row r="1012" s="2384" customFormat="1" ht="15.75" customHeight="1" x14ac:dyDescent="0.3"/>
    <row r="1013" s="2384" customFormat="1" ht="15.75" customHeight="1" x14ac:dyDescent="0.3"/>
    <row r="1014" s="2384" customFormat="1" ht="15.75" customHeight="1" x14ac:dyDescent="0.3"/>
    <row r="1015" s="2384" customFormat="1" ht="15.75" customHeight="1" x14ac:dyDescent="0.3"/>
    <row r="1016" s="2384" customFormat="1" ht="15.75" customHeight="1" x14ac:dyDescent="0.3"/>
    <row r="1017" s="2384" customFormat="1" ht="15.75" customHeight="1" x14ac:dyDescent="0.3"/>
    <row r="1018" s="2384" customFormat="1" ht="15.75" customHeight="1" x14ac:dyDescent="0.3"/>
    <row r="1019" s="2384" customFormat="1" ht="15.75" customHeight="1" x14ac:dyDescent="0.3"/>
    <row r="1020" s="2384" customFormat="1" ht="15.75" customHeight="1" x14ac:dyDescent="0.3"/>
    <row r="1021" s="2384" customFormat="1" ht="15.75" customHeight="1" x14ac:dyDescent="0.3"/>
    <row r="1022" s="2384" customFormat="1" ht="15.75" customHeight="1" x14ac:dyDescent="0.3"/>
    <row r="1023" s="2384" customFormat="1" ht="15.75" customHeight="1" x14ac:dyDescent="0.3"/>
    <row r="1024" s="2384" customFormat="1" ht="15.75" customHeight="1" x14ac:dyDescent="0.3"/>
    <row r="1025" s="2384" customFormat="1" ht="15.75" customHeight="1" x14ac:dyDescent="0.3"/>
    <row r="1026" s="2384" customFormat="1" ht="15.75" customHeight="1" x14ac:dyDescent="0.3"/>
    <row r="1027" s="2384" customFormat="1" ht="15.75" customHeight="1" x14ac:dyDescent="0.3"/>
    <row r="1028" s="2384" customFormat="1" ht="15.75" customHeight="1" x14ac:dyDescent="0.3"/>
    <row r="1029" s="2384" customFormat="1" ht="15.75" customHeight="1" x14ac:dyDescent="0.3"/>
    <row r="1030" s="2384" customFormat="1" ht="15.75" customHeight="1" x14ac:dyDescent="0.3"/>
    <row r="1031" s="2384" customFormat="1" ht="15.75" customHeight="1" x14ac:dyDescent="0.3"/>
    <row r="1032" s="2384" customFormat="1" ht="15.75" customHeight="1" x14ac:dyDescent="0.3"/>
    <row r="1033" s="2384" customFormat="1" ht="15.75" customHeight="1" x14ac:dyDescent="0.3"/>
    <row r="1034" s="2384" customFormat="1" ht="15.75" customHeight="1" x14ac:dyDescent="0.3"/>
    <row r="1035" s="2384" customFormat="1" ht="15.75" customHeight="1" x14ac:dyDescent="0.3"/>
    <row r="1036" s="2384" customFormat="1" ht="15.75" customHeight="1" x14ac:dyDescent="0.3"/>
    <row r="1037" s="2384" customFormat="1" ht="15.75" customHeight="1" x14ac:dyDescent="0.3"/>
    <row r="1038" s="2384" customFormat="1" ht="15.75" customHeight="1" x14ac:dyDescent="0.3"/>
    <row r="1039" s="2384" customFormat="1" ht="15.75" customHeight="1" x14ac:dyDescent="0.3"/>
    <row r="1040" s="2384" customFormat="1" ht="15.75" customHeight="1" x14ac:dyDescent="0.3"/>
    <row r="1041" s="2384" customFormat="1" ht="15.75" customHeight="1" x14ac:dyDescent="0.3"/>
    <row r="1042" s="2384" customFormat="1" ht="15.75" customHeight="1" x14ac:dyDescent="0.3"/>
    <row r="1043" s="2384" customFormat="1" ht="15.75" customHeight="1" x14ac:dyDescent="0.3"/>
    <row r="1044" s="2384" customFormat="1" ht="15.75" customHeight="1" x14ac:dyDescent="0.3"/>
    <row r="1045" s="2384" customFormat="1" ht="15.75" customHeight="1" x14ac:dyDescent="0.3"/>
    <row r="1046" s="2384" customFormat="1" ht="15.75" customHeight="1" x14ac:dyDescent="0.3"/>
    <row r="1047" s="2384" customFormat="1" ht="15.75" customHeight="1" x14ac:dyDescent="0.3"/>
    <row r="1048" s="2384" customFormat="1" ht="15.75" customHeight="1" x14ac:dyDescent="0.3"/>
    <row r="1049" s="2384" customFormat="1" ht="15.75" customHeight="1" x14ac:dyDescent="0.3"/>
    <row r="1050" s="2384" customFormat="1" ht="15.75" customHeight="1" x14ac:dyDescent="0.3"/>
  </sheetData>
  <mergeCells count="113">
    <mergeCell ref="B92:B94"/>
    <mergeCell ref="B108:B109"/>
    <mergeCell ref="AB93:AC93"/>
    <mergeCell ref="B43:B45"/>
    <mergeCell ref="B60:C62"/>
    <mergeCell ref="B15:B37"/>
    <mergeCell ref="B38:B41"/>
    <mergeCell ref="W13:X13"/>
    <mergeCell ref="B12:C14"/>
    <mergeCell ref="D60:F61"/>
    <mergeCell ref="C43:E44"/>
    <mergeCell ref="T44:U44"/>
    <mergeCell ref="G61:H61"/>
    <mergeCell ref="I61:J61"/>
    <mergeCell ref="K61:L61"/>
    <mergeCell ref="M61:N61"/>
    <mergeCell ref="O61:P61"/>
    <mergeCell ref="Q61:R61"/>
    <mergeCell ref="S61:T61"/>
    <mergeCell ref="G13:H13"/>
    <mergeCell ref="I13:J13"/>
    <mergeCell ref="K13:L13"/>
    <mergeCell ref="M13:N13"/>
    <mergeCell ref="D12:F13"/>
    <mergeCell ref="Y13:Z13"/>
    <mergeCell ref="AA13:AB13"/>
    <mergeCell ref="AC13:AD13"/>
    <mergeCell ref="B7:AD7"/>
    <mergeCell ref="AO12:AO14"/>
    <mergeCell ref="AP12:AP14"/>
    <mergeCell ref="AE13:AF13"/>
    <mergeCell ref="AG13:AH13"/>
    <mergeCell ref="AI13:AJ13"/>
    <mergeCell ref="AK13:AL13"/>
    <mergeCell ref="AM13:AN13"/>
    <mergeCell ref="G12:AN12"/>
    <mergeCell ref="O13:P13"/>
    <mergeCell ref="Q13:R13"/>
    <mergeCell ref="F43:AM43"/>
    <mergeCell ref="C118:D118"/>
    <mergeCell ref="E118:G118"/>
    <mergeCell ref="B63:B85"/>
    <mergeCell ref="B86:B89"/>
    <mergeCell ref="C92:E93"/>
    <mergeCell ref="B118:B119"/>
    <mergeCell ref="C113:F113"/>
    <mergeCell ref="G113:J113"/>
    <mergeCell ref="C108:F108"/>
    <mergeCell ref="G108:J108"/>
    <mergeCell ref="F92:AM92"/>
    <mergeCell ref="F93:G93"/>
    <mergeCell ref="T93:U93"/>
    <mergeCell ref="V93:W93"/>
    <mergeCell ref="X93:Y93"/>
    <mergeCell ref="Z93:AA93"/>
    <mergeCell ref="H93:I93"/>
    <mergeCell ref="F44:G44"/>
    <mergeCell ref="H44:I44"/>
    <mergeCell ref="J44:K44"/>
    <mergeCell ref="L44:M44"/>
    <mergeCell ref="N44:O44"/>
    <mergeCell ref="AF44:AG44"/>
    <mergeCell ref="P44:Q44"/>
    <mergeCell ref="R44:S44"/>
    <mergeCell ref="X44:Y44"/>
    <mergeCell ref="Z44:AA44"/>
    <mergeCell ref="V44:W44"/>
    <mergeCell ref="AH44:AI44"/>
    <mergeCell ref="AJ44:AK44"/>
    <mergeCell ref="AL44:AM44"/>
    <mergeCell ref="AB44:AC44"/>
    <mergeCell ref="AD44:AE44"/>
    <mergeCell ref="AL93:AM93"/>
    <mergeCell ref="AO60:AO62"/>
    <mergeCell ref="AP60:AP62"/>
    <mergeCell ref="Y61:Z61"/>
    <mergeCell ref="AA61:AB61"/>
    <mergeCell ref="AC61:AD61"/>
    <mergeCell ref="AE61:AF61"/>
    <mergeCell ref="G60:AN60"/>
    <mergeCell ref="R93:S93"/>
    <mergeCell ref="AG61:AH61"/>
    <mergeCell ref="AI61:AJ61"/>
    <mergeCell ref="AK61:AL61"/>
    <mergeCell ref="AM61:AN61"/>
    <mergeCell ref="U61:V61"/>
    <mergeCell ref="W61:X61"/>
    <mergeCell ref="AN92:AX93"/>
    <mergeCell ref="J93:K93"/>
    <mergeCell ref="CK12:CK14"/>
    <mergeCell ref="CL12:CL14"/>
    <mergeCell ref="CB12:CB14"/>
    <mergeCell ref="CC12:CC14"/>
    <mergeCell ref="CK43:CK45"/>
    <mergeCell ref="CB43:CB45"/>
    <mergeCell ref="CD12:CD14"/>
    <mergeCell ref="CD60:CD62"/>
    <mergeCell ref="L93:M93"/>
    <mergeCell ref="N93:O93"/>
    <mergeCell ref="P93:Q93"/>
    <mergeCell ref="CB92:CB94"/>
    <mergeCell ref="CK92:CK94"/>
    <mergeCell ref="CB60:CB62"/>
    <mergeCell ref="CC60:CC62"/>
    <mergeCell ref="CK60:CK62"/>
    <mergeCell ref="CL60:CL62"/>
    <mergeCell ref="AN43:AX44"/>
    <mergeCell ref="S13:T13"/>
    <mergeCell ref="U13:V13"/>
    <mergeCell ref="AD93:AE93"/>
    <mergeCell ref="AF93:AG93"/>
    <mergeCell ref="AH93:AI93"/>
    <mergeCell ref="AJ93:AK93"/>
  </mergeCells>
  <phoneticPr fontId="44" type="noConversion"/>
  <dataValidations count="1">
    <dataValidation allowBlank="1" prompt="Valor no Permitido" sqref="CB63:CD91 CE61:CJ91 CE13:CJ14 A126:A211" xr:uid="{6B083227-305D-4D75-8368-4F9949647271}"/>
  </dataValidation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2"/>
  <dimension ref="A1:AA144"/>
  <sheetViews>
    <sheetView showGridLines="0" showZeros="0" topLeftCell="A22" zoomScaleNormal="100" workbookViewId="0">
      <selection activeCell="D33" sqref="D33"/>
    </sheetView>
  </sheetViews>
  <sheetFormatPr baseColWidth="10" defaultColWidth="11.44140625" defaultRowHeight="12.6" x14ac:dyDescent="0.2"/>
  <cols>
    <col min="1" max="2" width="1.88671875" style="41" customWidth="1"/>
    <col min="3" max="3" width="18.44140625" style="41" customWidth="1"/>
    <col min="4" max="4" width="18.109375" style="41" customWidth="1"/>
    <col min="5" max="5" width="63.44140625" style="41" customWidth="1"/>
    <col min="6" max="6" width="18.6640625" style="41" customWidth="1"/>
    <col min="7" max="7" width="23" style="41" customWidth="1"/>
    <col min="8" max="8" width="42.44140625" style="41" customWidth="1"/>
    <col min="9" max="9" width="27.44140625" style="41" customWidth="1"/>
    <col min="10" max="19" width="11.44140625" style="41"/>
    <col min="20" max="20" width="0" style="41" hidden="1" customWidth="1"/>
    <col min="21" max="21" width="11.44140625" style="41" hidden="1" customWidth="1"/>
    <col min="22" max="26" width="37.109375" style="41" hidden="1" customWidth="1"/>
    <col min="27" max="27" width="11.44140625" style="41" hidden="1" customWidth="1"/>
    <col min="28" max="28" width="0" style="41" hidden="1" customWidth="1"/>
    <col min="29" max="16384" width="11.44140625" style="41"/>
  </cols>
  <sheetData>
    <row r="1" spans="1:27" ht="33" customHeight="1" x14ac:dyDescent="0.2">
      <c r="A1" s="43"/>
      <c r="B1" s="43"/>
      <c r="C1" s="11463" t="s">
        <v>249</v>
      </c>
      <c r="D1" s="11464"/>
      <c r="E1" s="11464"/>
      <c r="F1" s="11464"/>
      <c r="G1" s="11464"/>
      <c r="H1" s="11465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">
      <c r="A2" s="43"/>
      <c r="B2" s="43"/>
      <c r="C2" s="11466" t="s">
        <v>248</v>
      </c>
      <c r="D2" s="11467"/>
      <c r="E2" s="11467"/>
      <c r="F2" s="11467"/>
      <c r="G2" s="11467"/>
      <c r="H2" s="11468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">
      <c r="B3" s="43"/>
      <c r="C3" s="11466" t="s">
        <v>247</v>
      </c>
      <c r="D3" s="11467"/>
      <c r="E3" s="11467"/>
      <c r="F3" s="11467"/>
      <c r="G3" s="11467"/>
      <c r="H3" s="11468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">
      <c r="A4" s="43"/>
      <c r="B4" s="43"/>
      <c r="C4" s="11469" t="s">
        <v>246</v>
      </c>
      <c r="D4" s="11470"/>
      <c r="E4" s="11470"/>
      <c r="F4" s="11470"/>
      <c r="G4" s="11470"/>
      <c r="H4" s="11471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1" t="str">
        <f>CONCATENATE("ESTABLECIMIENTO/ESTRATEGIA: ",NOMBRE!$B$3," - ","( ",NOMBRE!$C$3,NOMBRE!$D$3,NOMBRE!$E$3,NOMBRE!$F$3,NOMBRE!$G$3,NOMBRE!$H$3,NOMBRE!$I$3," )")</f>
        <v>ESTABLECIMIENTO/ESTRATEGIA:  - ( Falta Cód. Est.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0" t="s">
        <v>245</v>
      </c>
      <c r="D6" s="50" t="s">
        <v>244</v>
      </c>
      <c r="E6" s="49" t="s">
        <v>243</v>
      </c>
      <c r="F6" s="49" t="s">
        <v>242</v>
      </c>
      <c r="G6" s="49" t="s">
        <v>74</v>
      </c>
      <c r="H6" s="49" t="s">
        <v>241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3">
      <c r="A7" s="43"/>
      <c r="B7" s="43"/>
      <c r="C7" s="44" t="s">
        <v>240</v>
      </c>
      <c r="D7" s="44">
        <f>NOMBRE!AG7</f>
        <v>5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239</v>
      </c>
      <c r="Y7" s="43"/>
      <c r="Z7" s="43"/>
      <c r="AA7" s="43"/>
    </row>
    <row r="8" spans="1:27" ht="22.5" customHeight="1" x14ac:dyDescent="0.3">
      <c r="A8" s="43"/>
      <c r="B8" s="43"/>
      <c r="C8" s="44" t="s">
        <v>238</v>
      </c>
      <c r="D8" s="319">
        <f>'A01'!C193</f>
        <v>16</v>
      </c>
      <c r="E8" s="48"/>
      <c r="F8" s="47" t="str">
        <f>IF('A01'!B$193&gt;0,"","SIN DATOS")</f>
        <v>SIN DATOS</v>
      </c>
      <c r="G8" s="46"/>
      <c r="H8" s="45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237</v>
      </c>
      <c r="Y8" s="43"/>
      <c r="Z8" s="43"/>
      <c r="AA8" s="43"/>
    </row>
    <row r="9" spans="1:27" ht="22.5" customHeight="1" x14ac:dyDescent="0.3">
      <c r="A9" s="43"/>
      <c r="B9" s="43"/>
      <c r="C9" s="44" t="s">
        <v>236</v>
      </c>
      <c r="D9" s="319">
        <f>+'A02'!C195</f>
        <v>0</v>
      </c>
      <c r="E9" s="45"/>
      <c r="F9" s="47" t="str">
        <f>IF('A02'!B$195&gt;0,"","SIN DATOS")</f>
        <v>SIN DATOS</v>
      </c>
      <c r="G9" s="46"/>
      <c r="H9" s="45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235</v>
      </c>
      <c r="Y9" s="43"/>
      <c r="Z9" s="43"/>
      <c r="AA9" s="43"/>
    </row>
    <row r="10" spans="1:27" ht="22.5" customHeight="1" x14ac:dyDescent="0.3">
      <c r="A10" s="43"/>
      <c r="B10" s="43"/>
      <c r="C10" s="44" t="s">
        <v>234</v>
      </c>
      <c r="D10" s="56">
        <f>+'A03'!C346</f>
        <v>20</v>
      </c>
      <c r="E10" s="45"/>
      <c r="F10" s="47" t="str">
        <f>IF('A03'!B346&gt;0,"","SIN DATOS")</f>
        <v>SIN DATOS</v>
      </c>
      <c r="G10" s="46"/>
      <c r="H10" s="45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233</v>
      </c>
      <c r="Y10" s="43"/>
      <c r="Z10" s="43"/>
      <c r="AA10" s="43"/>
    </row>
    <row r="11" spans="1:27" ht="22.5" customHeight="1" x14ac:dyDescent="0.3">
      <c r="A11" s="43"/>
      <c r="B11" s="43"/>
      <c r="C11" s="44" t="s">
        <v>232</v>
      </c>
      <c r="D11" s="319">
        <f>+'A04'!C186</f>
        <v>4</v>
      </c>
      <c r="E11" s="45"/>
      <c r="F11" s="47" t="str">
        <f>IF('A04'!B186&gt;0,"","SIN DATOS")</f>
        <v>SIN DATOS</v>
      </c>
      <c r="G11" s="46"/>
      <c r="H11" s="45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231</v>
      </c>
      <c r="Y11" s="43"/>
      <c r="Z11" s="43"/>
      <c r="AA11" s="43"/>
    </row>
    <row r="12" spans="1:27" ht="22.5" customHeight="1" x14ac:dyDescent="0.3">
      <c r="A12" s="43"/>
      <c r="B12" s="43"/>
      <c r="C12" s="44" t="s">
        <v>230</v>
      </c>
      <c r="D12" s="319">
        <f>+'A05'!C411</f>
        <v>58</v>
      </c>
      <c r="E12" s="45"/>
      <c r="F12" s="47" t="str">
        <f>IF('A05'!B411&gt;0,"","SIN DATOS")</f>
        <v>SIN DATOS</v>
      </c>
      <c r="G12" s="46"/>
      <c r="H12" s="45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3">
      <c r="A13" s="43"/>
      <c r="B13" s="43"/>
      <c r="C13" s="44" t="s">
        <v>229</v>
      </c>
      <c r="D13" s="319">
        <f>+'A06'!C171</f>
        <v>205</v>
      </c>
      <c r="E13" s="45"/>
      <c r="F13" s="47" t="str">
        <f>IF('A06'!B171&gt;0,"","SIN DATOS")</f>
        <v>SIN DATOS</v>
      </c>
      <c r="G13" s="46"/>
      <c r="H13" s="45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3">
      <c r="A14" s="43"/>
      <c r="B14" s="43"/>
      <c r="C14" s="44" t="s">
        <v>228</v>
      </c>
      <c r="D14" s="319" t="e">
        <f>+'A07'!C262</f>
        <v>#VALUE!</v>
      </c>
      <c r="E14" s="45"/>
      <c r="F14" s="47" t="str">
        <f>IF('A07'!B262&gt;0,"","SIN DATOS")</f>
        <v>SIN DATOS</v>
      </c>
      <c r="G14" s="46"/>
      <c r="H14" s="45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3">
      <c r="A15" s="43"/>
      <c r="B15" s="43"/>
      <c r="C15" s="44" t="s">
        <v>227</v>
      </c>
      <c r="D15" s="319" t="e">
        <f>'A08'!C220</f>
        <v>#VALUE!</v>
      </c>
      <c r="E15" s="45"/>
      <c r="F15" s="47" t="str">
        <f>IF('A08'!B220&gt;0,"","SIN DATOS")</f>
        <v>SIN DATOS</v>
      </c>
      <c r="G15" s="46"/>
      <c r="H15" s="45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3">
      <c r="A16" s="43"/>
      <c r="B16" s="43"/>
      <c r="C16" s="44" t="s">
        <v>226</v>
      </c>
      <c r="D16" s="319" t="e">
        <f>'A09'!C332</f>
        <v>#VALUE!</v>
      </c>
      <c r="E16" s="45"/>
      <c r="F16" s="47" t="e">
        <f>IF('A09'!B332&gt;0,"","SIN DATOS")</f>
        <v>#VALUE!</v>
      </c>
      <c r="G16" s="46"/>
      <c r="H16" s="45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3">
      <c r="A17" s="43"/>
      <c r="B17" s="43"/>
      <c r="C17" s="44" t="s">
        <v>225</v>
      </c>
      <c r="D17" s="319" t="e">
        <f>'A11'!C308</f>
        <v>#VALUE!</v>
      </c>
      <c r="E17" s="45"/>
      <c r="F17" s="47" t="str">
        <f>IF('A11'!B308&gt;0,"","SIN DATOS")</f>
        <v>SIN DATOS</v>
      </c>
      <c r="G17" s="46"/>
      <c r="H17" s="45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3">
      <c r="A18" s="43"/>
      <c r="B18" s="43"/>
      <c r="C18" s="2026" t="s">
        <v>2517</v>
      </c>
      <c r="D18" s="2027">
        <f>A11a!C101</f>
        <v>104</v>
      </c>
      <c r="E18" s="2028"/>
      <c r="F18" s="47" t="str">
        <f>IF(A11a!B101&gt;0,"","SIN DATOS")</f>
        <v>SIN DATOS</v>
      </c>
      <c r="G18" s="2029"/>
      <c r="H18" s="2028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3">
      <c r="A19" s="43"/>
      <c r="B19" s="43"/>
      <c r="C19" s="44" t="s">
        <v>224</v>
      </c>
      <c r="D19" s="319">
        <f>A19a!C207</f>
        <v>0</v>
      </c>
      <c r="E19" s="45"/>
      <c r="F19" s="47" t="str">
        <f>IF(A19a!B207&gt;0,"","SIN DATOS")</f>
        <v>SIN DATOS</v>
      </c>
      <c r="G19" s="46"/>
      <c r="H19" s="45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3">
      <c r="A20" s="43"/>
      <c r="B20" s="43"/>
      <c r="C20" s="44" t="s">
        <v>223</v>
      </c>
      <c r="D20" s="319">
        <f>A19b!C195</f>
        <v>0</v>
      </c>
      <c r="E20" s="45"/>
      <c r="F20" s="47" t="e">
        <f>IF(A19b!B195&gt;0,"","SIN DATOS")</f>
        <v>#VALUE!</v>
      </c>
      <c r="G20" s="46"/>
      <c r="H20" s="45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3">
      <c r="A21" s="43"/>
      <c r="B21" s="43"/>
      <c r="C21" s="44" t="s">
        <v>222</v>
      </c>
      <c r="D21" s="1293">
        <f>'A21'!C162</f>
        <v>0</v>
      </c>
      <c r="E21" s="296"/>
      <c r="F21" s="297" t="str">
        <f>IF('A21'!B162&gt;0,"","SIN DATOS")</f>
        <v>SIN DATOS</v>
      </c>
      <c r="G21" s="46"/>
      <c r="H21" s="45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3">
      <c r="A22" s="43"/>
      <c r="B22" s="43"/>
      <c r="C22" s="44" t="s">
        <v>221</v>
      </c>
      <c r="D22" s="298">
        <f>'A23'!C206</f>
        <v>0</v>
      </c>
      <c r="E22" s="296"/>
      <c r="F22" s="297" t="str">
        <f>IF('A23'!B206&gt;0,"","SIN DATOS")</f>
        <v>SIN DATOS</v>
      </c>
      <c r="G22" s="299"/>
      <c r="H22" s="45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3">
      <c r="A23" s="43"/>
      <c r="B23" s="43"/>
      <c r="C23" s="44" t="s">
        <v>220</v>
      </c>
      <c r="D23" s="1293">
        <f>+'A24'!C266</f>
        <v>69</v>
      </c>
      <c r="E23" s="296"/>
      <c r="F23" s="297" t="str">
        <f>IF('A24'!B266&gt;0,"","SIN DATOS")</f>
        <v>SIN DATOS</v>
      </c>
      <c r="G23" s="299"/>
      <c r="H23" s="45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3">
      <c r="A24" s="43"/>
      <c r="B24" s="43"/>
      <c r="C24" s="44" t="s">
        <v>219</v>
      </c>
      <c r="D24" s="493">
        <f>+'A25'!C335</f>
        <v>0</v>
      </c>
      <c r="E24" s="296"/>
      <c r="F24" s="494" t="e">
        <f>IF('A25'!B335&gt;0,"","SIN DATOS")</f>
        <v>#VALUE!</v>
      </c>
      <c r="G24" s="299"/>
      <c r="H24" s="29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3">
      <c r="A25" s="43"/>
      <c r="B25" s="43"/>
      <c r="C25" s="44" t="s">
        <v>218</v>
      </c>
      <c r="D25" s="493" t="e">
        <f>+'A26'!C198</f>
        <v>#VALUE!</v>
      </c>
      <c r="E25" s="296"/>
      <c r="F25" s="494" t="str">
        <f>IF('A26'!B198&gt;0,"","SIN DATOS")</f>
        <v>SIN DATOS</v>
      </c>
      <c r="G25" s="299"/>
      <c r="H25" s="45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3">
      <c r="A26" s="43"/>
      <c r="B26" s="43"/>
      <c r="C26" s="44" t="s">
        <v>217</v>
      </c>
      <c r="D26" s="493" t="e">
        <f>+'A27'!C201</f>
        <v>#VALUE!</v>
      </c>
      <c r="E26" s="296"/>
      <c r="F26" s="494" t="str">
        <f>IF('A27'!B$201&gt;0,"","SIN DATOS")</f>
        <v>SIN DATOS</v>
      </c>
      <c r="G26" s="299"/>
      <c r="H26" s="45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3">
      <c r="A27" s="43"/>
      <c r="B27" s="43"/>
      <c r="C27" s="44" t="s">
        <v>216</v>
      </c>
      <c r="D27" s="493">
        <f>+'A28'!C346</f>
        <v>119</v>
      </c>
      <c r="E27" s="296"/>
      <c r="F27" s="494" t="str">
        <f>IF('A28'!B346&gt;0,"","SIN DATOS")</f>
        <v>SIN DATOS</v>
      </c>
      <c r="G27" s="299"/>
      <c r="H27" s="45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3">
      <c r="A28" s="43"/>
      <c r="B28" s="43"/>
      <c r="C28" s="44" t="s">
        <v>253</v>
      </c>
      <c r="D28" s="493">
        <f>+'A29'!C225</f>
        <v>94</v>
      </c>
      <c r="E28" s="296"/>
      <c r="F28" s="494" t="str">
        <f>IF('A29'!B$225&gt;0,"","SIN DATOS")</f>
        <v>SIN DATOS</v>
      </c>
      <c r="G28" s="300"/>
      <c r="H28" s="45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3">
      <c r="A29" s="43"/>
      <c r="B29" s="43"/>
      <c r="C29" s="44" t="s">
        <v>254</v>
      </c>
      <c r="D29" s="493">
        <f>'A30'!C180</f>
        <v>0</v>
      </c>
      <c r="E29" s="296"/>
      <c r="F29" s="494" t="str">
        <f>IF('A30'!B180&gt;0,"","SIN DATOS")</f>
        <v>SIN DATOS</v>
      </c>
      <c r="G29" s="300"/>
      <c r="H29" s="45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22.5" customHeight="1" x14ac:dyDescent="0.3">
      <c r="A30" s="43"/>
      <c r="B30" s="43"/>
      <c r="C30" s="44" t="s">
        <v>3952</v>
      </c>
      <c r="D30" s="7069">
        <f>A30AR!C130</f>
        <v>0</v>
      </c>
      <c r="E30" s="7070"/>
      <c r="F30" s="7071" t="e">
        <f>IF(A30AR!B130&gt;0,"","SIN DATOS")</f>
        <v>#VALUE!</v>
      </c>
      <c r="G30" s="7072"/>
      <c r="H30" s="707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2.5" customHeight="1" x14ac:dyDescent="0.3">
      <c r="A31" s="43"/>
      <c r="B31" s="43"/>
      <c r="C31" s="44" t="s">
        <v>397</v>
      </c>
      <c r="D31" s="493">
        <f>+'A31'!C176</f>
        <v>16</v>
      </c>
      <c r="E31" s="296"/>
      <c r="F31" s="494" t="str">
        <f>IF('A31'!B$176&gt;0,"","SIN DATOS")</f>
        <v>SIN DATOS</v>
      </c>
      <c r="G31" s="300"/>
      <c r="H31" s="45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ht="22.5" customHeight="1" x14ac:dyDescent="0.3">
      <c r="A32" s="43"/>
      <c r="B32" s="43"/>
      <c r="C32" s="44" t="s">
        <v>2518</v>
      </c>
      <c r="D32" s="493" t="e">
        <f>+'A32'!C256</f>
        <v>#VALUE!</v>
      </c>
      <c r="E32" s="296"/>
      <c r="F32" s="494" t="str">
        <f>IF('A32'!B256&gt;0,"","SIN DATOS")</f>
        <v>SIN DATOS</v>
      </c>
      <c r="G32" s="300"/>
      <c r="H32" s="45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ht="22.5" customHeight="1" thickBot="1" x14ac:dyDescent="0.35">
      <c r="A33" s="43"/>
      <c r="B33" s="43"/>
      <c r="C33" s="7090" t="s">
        <v>3565</v>
      </c>
      <c r="D33" s="7091">
        <f>'A33'!C140</f>
        <v>108</v>
      </c>
      <c r="E33" s="296"/>
      <c r="F33" s="494" t="str">
        <f>IF('A33'!B140&gt;0,"","SIN DATOS")</f>
        <v>SIN DATOS</v>
      </c>
      <c r="G33" s="300"/>
      <c r="H33" s="45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ht="27.75" customHeight="1" thickTop="1" x14ac:dyDescent="0.2">
      <c r="A34" s="43"/>
      <c r="B34" s="43"/>
      <c r="C34" s="7092" t="s">
        <v>24</v>
      </c>
      <c r="D34" s="7092" t="e">
        <f>SUM(D7:D33)</f>
        <v>#VALUE!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65" spans="1:27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</row>
    <row r="66" spans="1:27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</row>
    <row r="67" spans="1:27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</row>
    <row r="144" s="42" customFormat="1" x14ac:dyDescent="0.2"/>
  </sheetData>
  <mergeCells count="4">
    <mergeCell ref="C1:H1"/>
    <mergeCell ref="C2:H2"/>
    <mergeCell ref="C3:H3"/>
    <mergeCell ref="C4:H4"/>
  </mergeCells>
  <dataValidations count="1">
    <dataValidation type="list" allowBlank="1" showInputMessage="1" showErrorMessage="1" sqref="WVO983054:WVO983072 JC8:JC33 SY8:SY33 ACU8:ACU33 AMQ8:AMQ33 AWM8:AWM33 BGI8:BGI33 BQE8:BQE33 CAA8:CAA33 CJW8:CJW33 CTS8:CTS33 DDO8:DDO33 DNK8:DNK33 DXG8:DXG33 EHC8:EHC33 EQY8:EQY33 FAU8:FAU33 FKQ8:FKQ33 FUM8:FUM33 GEI8:GEI33 GOE8:GOE33 GYA8:GYA33 HHW8:HHW33 HRS8:HRS33 IBO8:IBO33 ILK8:ILK33 IVG8:IVG33 JFC8:JFC33 JOY8:JOY33 JYU8:JYU33 KIQ8:KIQ33 KSM8:KSM33 LCI8:LCI33 LME8:LME33 LWA8:LWA33 MFW8:MFW33 MPS8:MPS33 MZO8:MZO33 NJK8:NJK33 NTG8:NTG33 ODC8:ODC33 OMY8:OMY33 OWU8:OWU33 PGQ8:PGQ33 PQM8:PQM33 QAI8:QAI33 QKE8:QKE33 QUA8:QUA33 RDW8:RDW33 RNS8:RNS33 RXO8:RXO33 SHK8:SHK33 SRG8:SRG33 TBC8:TBC33 TKY8:TKY33 TUU8:TUU33 UEQ8:UEQ33 UOM8:UOM33 UYI8:UYI33 VIE8:VIE33 VSA8:VSA33 WBW8:WBW33 WLS8:WLS33 WVO8:WVO33 G65550:G65568 JC65550:JC65568 SY65550:SY65568 ACU65550:ACU65568 AMQ65550:AMQ65568 AWM65550:AWM65568 BGI65550:BGI65568 BQE65550:BQE65568 CAA65550:CAA65568 CJW65550:CJW65568 CTS65550:CTS65568 DDO65550:DDO65568 DNK65550:DNK65568 DXG65550:DXG65568 EHC65550:EHC65568 EQY65550:EQY65568 FAU65550:FAU65568 FKQ65550:FKQ65568 FUM65550:FUM65568 GEI65550:GEI65568 GOE65550:GOE65568 GYA65550:GYA65568 HHW65550:HHW65568 HRS65550:HRS65568 IBO65550:IBO65568 ILK65550:ILK65568 IVG65550:IVG65568 JFC65550:JFC65568 JOY65550:JOY65568 JYU65550:JYU65568 KIQ65550:KIQ65568 KSM65550:KSM65568 LCI65550:LCI65568 LME65550:LME65568 LWA65550:LWA65568 MFW65550:MFW65568 MPS65550:MPS65568 MZO65550:MZO65568 NJK65550:NJK65568 NTG65550:NTG65568 ODC65550:ODC65568 OMY65550:OMY65568 OWU65550:OWU65568 PGQ65550:PGQ65568 PQM65550:PQM65568 QAI65550:QAI65568 QKE65550:QKE65568 QUA65550:QUA65568 RDW65550:RDW65568 RNS65550:RNS65568 RXO65550:RXO65568 SHK65550:SHK65568 SRG65550:SRG65568 TBC65550:TBC65568 TKY65550:TKY65568 TUU65550:TUU65568 UEQ65550:UEQ65568 UOM65550:UOM65568 UYI65550:UYI65568 VIE65550:VIE65568 VSA65550:VSA65568 WBW65550:WBW65568 WLS65550:WLS65568 WVO65550:WVO65568 G131086:G131104 JC131086:JC131104 SY131086:SY131104 ACU131086:ACU131104 AMQ131086:AMQ131104 AWM131086:AWM131104 BGI131086:BGI131104 BQE131086:BQE131104 CAA131086:CAA131104 CJW131086:CJW131104 CTS131086:CTS131104 DDO131086:DDO131104 DNK131086:DNK131104 DXG131086:DXG131104 EHC131086:EHC131104 EQY131086:EQY131104 FAU131086:FAU131104 FKQ131086:FKQ131104 FUM131086:FUM131104 GEI131086:GEI131104 GOE131086:GOE131104 GYA131086:GYA131104 HHW131086:HHW131104 HRS131086:HRS131104 IBO131086:IBO131104 ILK131086:ILK131104 IVG131086:IVG131104 JFC131086:JFC131104 JOY131086:JOY131104 JYU131086:JYU131104 KIQ131086:KIQ131104 KSM131086:KSM131104 LCI131086:LCI131104 LME131086:LME131104 LWA131086:LWA131104 MFW131086:MFW131104 MPS131086:MPS131104 MZO131086:MZO131104 NJK131086:NJK131104 NTG131086:NTG131104 ODC131086:ODC131104 OMY131086:OMY131104 OWU131086:OWU131104 PGQ131086:PGQ131104 PQM131086:PQM131104 QAI131086:QAI131104 QKE131086:QKE131104 QUA131086:QUA131104 RDW131086:RDW131104 RNS131086:RNS131104 RXO131086:RXO131104 SHK131086:SHK131104 SRG131086:SRG131104 TBC131086:TBC131104 TKY131086:TKY131104 TUU131086:TUU131104 UEQ131086:UEQ131104 UOM131086:UOM131104 UYI131086:UYI131104 VIE131086:VIE131104 VSA131086:VSA131104 WBW131086:WBW131104 WLS131086:WLS131104 WVO131086:WVO131104 G196622:G196640 JC196622:JC196640 SY196622:SY196640 ACU196622:ACU196640 AMQ196622:AMQ196640 AWM196622:AWM196640 BGI196622:BGI196640 BQE196622:BQE196640 CAA196622:CAA196640 CJW196622:CJW196640 CTS196622:CTS196640 DDO196622:DDO196640 DNK196622:DNK196640 DXG196622:DXG196640 EHC196622:EHC196640 EQY196622:EQY196640 FAU196622:FAU196640 FKQ196622:FKQ196640 FUM196622:FUM196640 GEI196622:GEI196640 GOE196622:GOE196640 GYA196622:GYA196640 HHW196622:HHW196640 HRS196622:HRS196640 IBO196622:IBO196640 ILK196622:ILK196640 IVG196622:IVG196640 JFC196622:JFC196640 JOY196622:JOY196640 JYU196622:JYU196640 KIQ196622:KIQ196640 KSM196622:KSM196640 LCI196622:LCI196640 LME196622:LME196640 LWA196622:LWA196640 MFW196622:MFW196640 MPS196622:MPS196640 MZO196622:MZO196640 NJK196622:NJK196640 NTG196622:NTG196640 ODC196622:ODC196640 OMY196622:OMY196640 OWU196622:OWU196640 PGQ196622:PGQ196640 PQM196622:PQM196640 QAI196622:QAI196640 QKE196622:QKE196640 QUA196622:QUA196640 RDW196622:RDW196640 RNS196622:RNS196640 RXO196622:RXO196640 SHK196622:SHK196640 SRG196622:SRG196640 TBC196622:TBC196640 TKY196622:TKY196640 TUU196622:TUU196640 UEQ196622:UEQ196640 UOM196622:UOM196640 UYI196622:UYI196640 VIE196622:VIE196640 VSA196622:VSA196640 WBW196622:WBW196640 WLS196622:WLS196640 WVO196622:WVO196640 G262158:G262176 JC262158:JC262176 SY262158:SY262176 ACU262158:ACU262176 AMQ262158:AMQ262176 AWM262158:AWM262176 BGI262158:BGI262176 BQE262158:BQE262176 CAA262158:CAA262176 CJW262158:CJW262176 CTS262158:CTS262176 DDO262158:DDO262176 DNK262158:DNK262176 DXG262158:DXG262176 EHC262158:EHC262176 EQY262158:EQY262176 FAU262158:FAU262176 FKQ262158:FKQ262176 FUM262158:FUM262176 GEI262158:GEI262176 GOE262158:GOE262176 GYA262158:GYA262176 HHW262158:HHW262176 HRS262158:HRS262176 IBO262158:IBO262176 ILK262158:ILK262176 IVG262158:IVG262176 JFC262158:JFC262176 JOY262158:JOY262176 JYU262158:JYU262176 KIQ262158:KIQ262176 KSM262158:KSM262176 LCI262158:LCI262176 LME262158:LME262176 LWA262158:LWA262176 MFW262158:MFW262176 MPS262158:MPS262176 MZO262158:MZO262176 NJK262158:NJK262176 NTG262158:NTG262176 ODC262158:ODC262176 OMY262158:OMY262176 OWU262158:OWU262176 PGQ262158:PGQ262176 PQM262158:PQM262176 QAI262158:QAI262176 QKE262158:QKE262176 QUA262158:QUA262176 RDW262158:RDW262176 RNS262158:RNS262176 RXO262158:RXO262176 SHK262158:SHK262176 SRG262158:SRG262176 TBC262158:TBC262176 TKY262158:TKY262176 TUU262158:TUU262176 UEQ262158:UEQ262176 UOM262158:UOM262176 UYI262158:UYI262176 VIE262158:VIE262176 VSA262158:VSA262176 WBW262158:WBW262176 WLS262158:WLS262176 WVO262158:WVO262176 G327694:G327712 JC327694:JC327712 SY327694:SY327712 ACU327694:ACU327712 AMQ327694:AMQ327712 AWM327694:AWM327712 BGI327694:BGI327712 BQE327694:BQE327712 CAA327694:CAA327712 CJW327694:CJW327712 CTS327694:CTS327712 DDO327694:DDO327712 DNK327694:DNK327712 DXG327694:DXG327712 EHC327694:EHC327712 EQY327694:EQY327712 FAU327694:FAU327712 FKQ327694:FKQ327712 FUM327694:FUM327712 GEI327694:GEI327712 GOE327694:GOE327712 GYA327694:GYA327712 HHW327694:HHW327712 HRS327694:HRS327712 IBO327694:IBO327712 ILK327694:ILK327712 IVG327694:IVG327712 JFC327694:JFC327712 JOY327694:JOY327712 JYU327694:JYU327712 KIQ327694:KIQ327712 KSM327694:KSM327712 LCI327694:LCI327712 LME327694:LME327712 LWA327694:LWA327712 MFW327694:MFW327712 MPS327694:MPS327712 MZO327694:MZO327712 NJK327694:NJK327712 NTG327694:NTG327712 ODC327694:ODC327712 OMY327694:OMY327712 OWU327694:OWU327712 PGQ327694:PGQ327712 PQM327694:PQM327712 QAI327694:QAI327712 QKE327694:QKE327712 QUA327694:QUA327712 RDW327694:RDW327712 RNS327694:RNS327712 RXO327694:RXO327712 SHK327694:SHK327712 SRG327694:SRG327712 TBC327694:TBC327712 TKY327694:TKY327712 TUU327694:TUU327712 UEQ327694:UEQ327712 UOM327694:UOM327712 UYI327694:UYI327712 VIE327694:VIE327712 VSA327694:VSA327712 WBW327694:WBW327712 WLS327694:WLS327712 WVO327694:WVO327712 G393230:G393248 JC393230:JC393248 SY393230:SY393248 ACU393230:ACU393248 AMQ393230:AMQ393248 AWM393230:AWM393248 BGI393230:BGI393248 BQE393230:BQE393248 CAA393230:CAA393248 CJW393230:CJW393248 CTS393230:CTS393248 DDO393230:DDO393248 DNK393230:DNK393248 DXG393230:DXG393248 EHC393230:EHC393248 EQY393230:EQY393248 FAU393230:FAU393248 FKQ393230:FKQ393248 FUM393230:FUM393248 GEI393230:GEI393248 GOE393230:GOE393248 GYA393230:GYA393248 HHW393230:HHW393248 HRS393230:HRS393248 IBO393230:IBO393248 ILK393230:ILK393248 IVG393230:IVG393248 JFC393230:JFC393248 JOY393230:JOY393248 JYU393230:JYU393248 KIQ393230:KIQ393248 KSM393230:KSM393248 LCI393230:LCI393248 LME393230:LME393248 LWA393230:LWA393248 MFW393230:MFW393248 MPS393230:MPS393248 MZO393230:MZO393248 NJK393230:NJK393248 NTG393230:NTG393248 ODC393230:ODC393248 OMY393230:OMY393248 OWU393230:OWU393248 PGQ393230:PGQ393248 PQM393230:PQM393248 QAI393230:QAI393248 QKE393230:QKE393248 QUA393230:QUA393248 RDW393230:RDW393248 RNS393230:RNS393248 RXO393230:RXO393248 SHK393230:SHK393248 SRG393230:SRG393248 TBC393230:TBC393248 TKY393230:TKY393248 TUU393230:TUU393248 UEQ393230:UEQ393248 UOM393230:UOM393248 UYI393230:UYI393248 VIE393230:VIE393248 VSA393230:VSA393248 WBW393230:WBW393248 WLS393230:WLS393248 WVO393230:WVO393248 G458766:G458784 JC458766:JC458784 SY458766:SY458784 ACU458766:ACU458784 AMQ458766:AMQ458784 AWM458766:AWM458784 BGI458766:BGI458784 BQE458766:BQE458784 CAA458766:CAA458784 CJW458766:CJW458784 CTS458766:CTS458784 DDO458766:DDO458784 DNK458766:DNK458784 DXG458766:DXG458784 EHC458766:EHC458784 EQY458766:EQY458784 FAU458766:FAU458784 FKQ458766:FKQ458784 FUM458766:FUM458784 GEI458766:GEI458784 GOE458766:GOE458784 GYA458766:GYA458784 HHW458766:HHW458784 HRS458766:HRS458784 IBO458766:IBO458784 ILK458766:ILK458784 IVG458766:IVG458784 JFC458766:JFC458784 JOY458766:JOY458784 JYU458766:JYU458784 KIQ458766:KIQ458784 KSM458766:KSM458784 LCI458766:LCI458784 LME458766:LME458784 LWA458766:LWA458784 MFW458766:MFW458784 MPS458766:MPS458784 MZO458766:MZO458784 NJK458766:NJK458784 NTG458766:NTG458784 ODC458766:ODC458784 OMY458766:OMY458784 OWU458766:OWU458784 PGQ458766:PGQ458784 PQM458766:PQM458784 QAI458766:QAI458784 QKE458766:QKE458784 QUA458766:QUA458784 RDW458766:RDW458784 RNS458766:RNS458784 RXO458766:RXO458784 SHK458766:SHK458784 SRG458766:SRG458784 TBC458766:TBC458784 TKY458766:TKY458784 TUU458766:TUU458784 UEQ458766:UEQ458784 UOM458766:UOM458784 UYI458766:UYI458784 VIE458766:VIE458784 VSA458766:VSA458784 WBW458766:WBW458784 WLS458766:WLS458784 WVO458766:WVO458784 G524302:G524320 JC524302:JC524320 SY524302:SY524320 ACU524302:ACU524320 AMQ524302:AMQ524320 AWM524302:AWM524320 BGI524302:BGI524320 BQE524302:BQE524320 CAA524302:CAA524320 CJW524302:CJW524320 CTS524302:CTS524320 DDO524302:DDO524320 DNK524302:DNK524320 DXG524302:DXG524320 EHC524302:EHC524320 EQY524302:EQY524320 FAU524302:FAU524320 FKQ524302:FKQ524320 FUM524302:FUM524320 GEI524302:GEI524320 GOE524302:GOE524320 GYA524302:GYA524320 HHW524302:HHW524320 HRS524302:HRS524320 IBO524302:IBO524320 ILK524302:ILK524320 IVG524302:IVG524320 JFC524302:JFC524320 JOY524302:JOY524320 JYU524302:JYU524320 KIQ524302:KIQ524320 KSM524302:KSM524320 LCI524302:LCI524320 LME524302:LME524320 LWA524302:LWA524320 MFW524302:MFW524320 MPS524302:MPS524320 MZO524302:MZO524320 NJK524302:NJK524320 NTG524302:NTG524320 ODC524302:ODC524320 OMY524302:OMY524320 OWU524302:OWU524320 PGQ524302:PGQ524320 PQM524302:PQM524320 QAI524302:QAI524320 QKE524302:QKE524320 QUA524302:QUA524320 RDW524302:RDW524320 RNS524302:RNS524320 RXO524302:RXO524320 SHK524302:SHK524320 SRG524302:SRG524320 TBC524302:TBC524320 TKY524302:TKY524320 TUU524302:TUU524320 UEQ524302:UEQ524320 UOM524302:UOM524320 UYI524302:UYI524320 VIE524302:VIE524320 VSA524302:VSA524320 WBW524302:WBW524320 WLS524302:WLS524320 WVO524302:WVO524320 G589838:G589856 JC589838:JC589856 SY589838:SY589856 ACU589838:ACU589856 AMQ589838:AMQ589856 AWM589838:AWM589856 BGI589838:BGI589856 BQE589838:BQE589856 CAA589838:CAA589856 CJW589838:CJW589856 CTS589838:CTS589856 DDO589838:DDO589856 DNK589838:DNK589856 DXG589838:DXG589856 EHC589838:EHC589856 EQY589838:EQY589856 FAU589838:FAU589856 FKQ589838:FKQ589856 FUM589838:FUM589856 GEI589838:GEI589856 GOE589838:GOE589856 GYA589838:GYA589856 HHW589838:HHW589856 HRS589838:HRS589856 IBO589838:IBO589856 ILK589838:ILK589856 IVG589838:IVG589856 JFC589838:JFC589856 JOY589838:JOY589856 JYU589838:JYU589856 KIQ589838:KIQ589856 KSM589838:KSM589856 LCI589838:LCI589856 LME589838:LME589856 LWA589838:LWA589856 MFW589838:MFW589856 MPS589838:MPS589856 MZO589838:MZO589856 NJK589838:NJK589856 NTG589838:NTG589856 ODC589838:ODC589856 OMY589838:OMY589856 OWU589838:OWU589856 PGQ589838:PGQ589856 PQM589838:PQM589856 QAI589838:QAI589856 QKE589838:QKE589856 QUA589838:QUA589856 RDW589838:RDW589856 RNS589838:RNS589856 RXO589838:RXO589856 SHK589838:SHK589856 SRG589838:SRG589856 TBC589838:TBC589856 TKY589838:TKY589856 TUU589838:TUU589856 UEQ589838:UEQ589856 UOM589838:UOM589856 UYI589838:UYI589856 VIE589838:VIE589856 VSA589838:VSA589856 WBW589838:WBW589856 WLS589838:WLS589856 WVO589838:WVO589856 G655374:G655392 JC655374:JC655392 SY655374:SY655392 ACU655374:ACU655392 AMQ655374:AMQ655392 AWM655374:AWM655392 BGI655374:BGI655392 BQE655374:BQE655392 CAA655374:CAA655392 CJW655374:CJW655392 CTS655374:CTS655392 DDO655374:DDO655392 DNK655374:DNK655392 DXG655374:DXG655392 EHC655374:EHC655392 EQY655374:EQY655392 FAU655374:FAU655392 FKQ655374:FKQ655392 FUM655374:FUM655392 GEI655374:GEI655392 GOE655374:GOE655392 GYA655374:GYA655392 HHW655374:HHW655392 HRS655374:HRS655392 IBO655374:IBO655392 ILK655374:ILK655392 IVG655374:IVG655392 JFC655374:JFC655392 JOY655374:JOY655392 JYU655374:JYU655392 KIQ655374:KIQ655392 KSM655374:KSM655392 LCI655374:LCI655392 LME655374:LME655392 LWA655374:LWA655392 MFW655374:MFW655392 MPS655374:MPS655392 MZO655374:MZO655392 NJK655374:NJK655392 NTG655374:NTG655392 ODC655374:ODC655392 OMY655374:OMY655392 OWU655374:OWU655392 PGQ655374:PGQ655392 PQM655374:PQM655392 QAI655374:QAI655392 QKE655374:QKE655392 QUA655374:QUA655392 RDW655374:RDW655392 RNS655374:RNS655392 RXO655374:RXO655392 SHK655374:SHK655392 SRG655374:SRG655392 TBC655374:TBC655392 TKY655374:TKY655392 TUU655374:TUU655392 UEQ655374:UEQ655392 UOM655374:UOM655392 UYI655374:UYI655392 VIE655374:VIE655392 VSA655374:VSA655392 WBW655374:WBW655392 WLS655374:WLS655392 WVO655374:WVO655392 G720910:G720928 JC720910:JC720928 SY720910:SY720928 ACU720910:ACU720928 AMQ720910:AMQ720928 AWM720910:AWM720928 BGI720910:BGI720928 BQE720910:BQE720928 CAA720910:CAA720928 CJW720910:CJW720928 CTS720910:CTS720928 DDO720910:DDO720928 DNK720910:DNK720928 DXG720910:DXG720928 EHC720910:EHC720928 EQY720910:EQY720928 FAU720910:FAU720928 FKQ720910:FKQ720928 FUM720910:FUM720928 GEI720910:GEI720928 GOE720910:GOE720928 GYA720910:GYA720928 HHW720910:HHW720928 HRS720910:HRS720928 IBO720910:IBO720928 ILK720910:ILK720928 IVG720910:IVG720928 JFC720910:JFC720928 JOY720910:JOY720928 JYU720910:JYU720928 KIQ720910:KIQ720928 KSM720910:KSM720928 LCI720910:LCI720928 LME720910:LME720928 LWA720910:LWA720928 MFW720910:MFW720928 MPS720910:MPS720928 MZO720910:MZO720928 NJK720910:NJK720928 NTG720910:NTG720928 ODC720910:ODC720928 OMY720910:OMY720928 OWU720910:OWU720928 PGQ720910:PGQ720928 PQM720910:PQM720928 QAI720910:QAI720928 QKE720910:QKE720928 QUA720910:QUA720928 RDW720910:RDW720928 RNS720910:RNS720928 RXO720910:RXO720928 SHK720910:SHK720928 SRG720910:SRG720928 TBC720910:TBC720928 TKY720910:TKY720928 TUU720910:TUU720928 UEQ720910:UEQ720928 UOM720910:UOM720928 UYI720910:UYI720928 VIE720910:VIE720928 VSA720910:VSA720928 WBW720910:WBW720928 WLS720910:WLS720928 WVO720910:WVO720928 G786446:G786464 JC786446:JC786464 SY786446:SY786464 ACU786446:ACU786464 AMQ786446:AMQ786464 AWM786446:AWM786464 BGI786446:BGI786464 BQE786446:BQE786464 CAA786446:CAA786464 CJW786446:CJW786464 CTS786446:CTS786464 DDO786446:DDO786464 DNK786446:DNK786464 DXG786446:DXG786464 EHC786446:EHC786464 EQY786446:EQY786464 FAU786446:FAU786464 FKQ786446:FKQ786464 FUM786446:FUM786464 GEI786446:GEI786464 GOE786446:GOE786464 GYA786446:GYA786464 HHW786446:HHW786464 HRS786446:HRS786464 IBO786446:IBO786464 ILK786446:ILK786464 IVG786446:IVG786464 JFC786446:JFC786464 JOY786446:JOY786464 JYU786446:JYU786464 KIQ786446:KIQ786464 KSM786446:KSM786464 LCI786446:LCI786464 LME786446:LME786464 LWA786446:LWA786464 MFW786446:MFW786464 MPS786446:MPS786464 MZO786446:MZO786464 NJK786446:NJK786464 NTG786446:NTG786464 ODC786446:ODC786464 OMY786446:OMY786464 OWU786446:OWU786464 PGQ786446:PGQ786464 PQM786446:PQM786464 QAI786446:QAI786464 QKE786446:QKE786464 QUA786446:QUA786464 RDW786446:RDW786464 RNS786446:RNS786464 RXO786446:RXO786464 SHK786446:SHK786464 SRG786446:SRG786464 TBC786446:TBC786464 TKY786446:TKY786464 TUU786446:TUU786464 UEQ786446:UEQ786464 UOM786446:UOM786464 UYI786446:UYI786464 VIE786446:VIE786464 VSA786446:VSA786464 WBW786446:WBW786464 WLS786446:WLS786464 WVO786446:WVO786464 G851982:G852000 JC851982:JC852000 SY851982:SY852000 ACU851982:ACU852000 AMQ851982:AMQ852000 AWM851982:AWM852000 BGI851982:BGI852000 BQE851982:BQE852000 CAA851982:CAA852000 CJW851982:CJW852000 CTS851982:CTS852000 DDO851982:DDO852000 DNK851982:DNK852000 DXG851982:DXG852000 EHC851982:EHC852000 EQY851982:EQY852000 FAU851982:FAU852000 FKQ851982:FKQ852000 FUM851982:FUM852000 GEI851982:GEI852000 GOE851982:GOE852000 GYA851982:GYA852000 HHW851982:HHW852000 HRS851982:HRS852000 IBO851982:IBO852000 ILK851982:ILK852000 IVG851982:IVG852000 JFC851982:JFC852000 JOY851982:JOY852000 JYU851982:JYU852000 KIQ851982:KIQ852000 KSM851982:KSM852000 LCI851982:LCI852000 LME851982:LME852000 LWA851982:LWA852000 MFW851982:MFW852000 MPS851982:MPS852000 MZO851982:MZO852000 NJK851982:NJK852000 NTG851982:NTG852000 ODC851982:ODC852000 OMY851982:OMY852000 OWU851982:OWU852000 PGQ851982:PGQ852000 PQM851982:PQM852000 QAI851982:QAI852000 QKE851982:QKE852000 QUA851982:QUA852000 RDW851982:RDW852000 RNS851982:RNS852000 RXO851982:RXO852000 SHK851982:SHK852000 SRG851982:SRG852000 TBC851982:TBC852000 TKY851982:TKY852000 TUU851982:TUU852000 UEQ851982:UEQ852000 UOM851982:UOM852000 UYI851982:UYI852000 VIE851982:VIE852000 VSA851982:VSA852000 WBW851982:WBW852000 WLS851982:WLS852000 WVO851982:WVO852000 G917518:G917536 JC917518:JC917536 SY917518:SY917536 ACU917518:ACU917536 AMQ917518:AMQ917536 AWM917518:AWM917536 BGI917518:BGI917536 BQE917518:BQE917536 CAA917518:CAA917536 CJW917518:CJW917536 CTS917518:CTS917536 DDO917518:DDO917536 DNK917518:DNK917536 DXG917518:DXG917536 EHC917518:EHC917536 EQY917518:EQY917536 FAU917518:FAU917536 FKQ917518:FKQ917536 FUM917518:FUM917536 GEI917518:GEI917536 GOE917518:GOE917536 GYA917518:GYA917536 HHW917518:HHW917536 HRS917518:HRS917536 IBO917518:IBO917536 ILK917518:ILK917536 IVG917518:IVG917536 JFC917518:JFC917536 JOY917518:JOY917536 JYU917518:JYU917536 KIQ917518:KIQ917536 KSM917518:KSM917536 LCI917518:LCI917536 LME917518:LME917536 LWA917518:LWA917536 MFW917518:MFW917536 MPS917518:MPS917536 MZO917518:MZO917536 NJK917518:NJK917536 NTG917518:NTG917536 ODC917518:ODC917536 OMY917518:OMY917536 OWU917518:OWU917536 PGQ917518:PGQ917536 PQM917518:PQM917536 QAI917518:QAI917536 QKE917518:QKE917536 QUA917518:QUA917536 RDW917518:RDW917536 RNS917518:RNS917536 RXO917518:RXO917536 SHK917518:SHK917536 SRG917518:SRG917536 TBC917518:TBC917536 TKY917518:TKY917536 TUU917518:TUU917536 UEQ917518:UEQ917536 UOM917518:UOM917536 UYI917518:UYI917536 VIE917518:VIE917536 VSA917518:VSA917536 WBW917518:WBW917536 WLS917518:WLS917536 WVO917518:WVO917536 G983054:G983072 JC983054:JC983072 SY983054:SY983072 ACU983054:ACU983072 AMQ983054:AMQ983072 AWM983054:AWM983072 BGI983054:BGI983072 BQE983054:BQE983072 CAA983054:CAA983072 CJW983054:CJW983072 CTS983054:CTS983072 DDO983054:DDO983072 DNK983054:DNK983072 DXG983054:DXG983072 EHC983054:EHC983072 EQY983054:EQY983072 FAU983054:FAU983072 FKQ983054:FKQ983072 FUM983054:FUM983072 GEI983054:GEI983072 GOE983054:GOE983072 GYA983054:GYA983072 HHW983054:HHW983072 HRS983054:HRS983072 IBO983054:IBO983072 ILK983054:ILK983072 IVG983054:IVG983072 JFC983054:JFC983072 JOY983054:JOY983072 JYU983054:JYU983072 KIQ983054:KIQ983072 KSM983054:KSM983072 LCI983054:LCI983072 LME983054:LME983072 LWA983054:LWA983072 MFW983054:MFW983072 MPS983054:MPS983072 MZO983054:MZO983072 NJK983054:NJK983072 NTG983054:NTG983072 ODC983054:ODC983072 OMY983054:OMY983072 OWU983054:OWU983072 PGQ983054:PGQ983072 PQM983054:PQM983072 QAI983054:QAI983072 QKE983054:QKE983072 QUA983054:QUA983072 RDW983054:RDW983072 RNS983054:RNS983072 RXO983054:RXO983072 SHK983054:SHK983072 SRG983054:SRG983072 TBC983054:TBC983072 TKY983054:TKY983072 TUU983054:TUU983072 UEQ983054:UEQ983072 UOM983054:UOM983072 UYI983054:UYI983072 VIE983054:VIE983072 VSA983054:VSA983072 WBW983054:WBW983072 WLS983054:WLS983072 G8:G33" xr:uid="{00000000-0002-0000-19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4"/>
  <dimension ref="A1:X12"/>
  <sheetViews>
    <sheetView showGridLines="0" showZeros="0" zoomScaleNormal="100" workbookViewId="0">
      <selection sqref="A1:N1"/>
    </sheetView>
  </sheetViews>
  <sheetFormatPr baseColWidth="10" defaultColWidth="3.109375" defaultRowHeight="12.6" x14ac:dyDescent="0.2"/>
  <cols>
    <col min="1" max="1" width="15.44140625" style="41" customWidth="1"/>
    <col min="2" max="2" width="43.44140625" style="41" customWidth="1"/>
    <col min="3" max="4" width="3.109375" style="41" customWidth="1"/>
    <col min="5" max="5" width="22.6640625" style="41" customWidth="1"/>
    <col min="6" max="6" width="5.109375" style="41" customWidth="1"/>
    <col min="7" max="11" width="3.109375" style="41" customWidth="1"/>
    <col min="12" max="12" width="3.6640625" style="41" customWidth="1"/>
    <col min="13" max="20" width="3.109375" style="41" customWidth="1"/>
    <col min="21" max="21" width="7.33203125" style="41" customWidth="1"/>
    <col min="22" max="16384" width="3.109375" style="41"/>
  </cols>
  <sheetData>
    <row r="1" spans="1:24" ht="54" customHeight="1" thickBot="1" x14ac:dyDescent="0.25">
      <c r="A1" s="11472" t="s">
        <v>252</v>
      </c>
      <c r="B1" s="11473"/>
      <c r="C1" s="11473"/>
      <c r="D1" s="11473"/>
      <c r="E1" s="11473"/>
      <c r="F1" s="11473"/>
      <c r="G1" s="11473"/>
      <c r="H1" s="11473"/>
      <c r="I1" s="11473"/>
      <c r="J1" s="11473"/>
      <c r="K1" s="11473"/>
      <c r="L1" s="11473"/>
      <c r="M1" s="11473"/>
      <c r="N1" s="11474"/>
    </row>
    <row r="3" spans="1:24" ht="22.5" customHeight="1" x14ac:dyDescent="0.2">
      <c r="A3" s="55" t="str">
        <f>CONCATENATE("ESTABLECIMIENTO/ESTRATEGIA: ",NOMBRE!B3," - ","( ",NOMBRE!C3,NOMBRE!D3,NOMBRE!E3,NOMBRE!F3,NOMBRE!G3,NOMBRE!H3," )")</f>
        <v>ESTABLECIMIENTO/ESTRATEGIA:  - (  )</v>
      </c>
    </row>
    <row r="4" spans="1:24" ht="12.75" customHeight="1" thickBot="1" x14ac:dyDescent="0.35">
      <c r="X4" s="54"/>
    </row>
    <row r="5" spans="1:24" ht="52.5" customHeight="1" thickBot="1" x14ac:dyDescent="0.25">
      <c r="B5" s="53" t="s">
        <v>251</v>
      </c>
      <c r="E5" s="53"/>
    </row>
    <row r="6" spans="1:24" ht="6.75" customHeight="1" thickBot="1" x14ac:dyDescent="0.25"/>
    <row r="7" spans="1:24" ht="16.5" customHeight="1" x14ac:dyDescent="0.2">
      <c r="B7" s="11475" t="e">
        <f>IF(Control!D34&gt;0,"ANTES DE EJECUTAR SUS MACROS REVISE LA HOJA CONTROL, EXISTEN ERRORES","")</f>
        <v>#VALUE!</v>
      </c>
      <c r="C7" s="11476"/>
      <c r="D7" s="11476"/>
      <c r="E7" s="11476"/>
      <c r="F7" s="11476"/>
      <c r="G7" s="11476"/>
      <c r="H7" s="11477"/>
    </row>
    <row r="8" spans="1:24" ht="16.5" customHeight="1" thickBot="1" x14ac:dyDescent="0.25">
      <c r="B8" s="11478"/>
      <c r="C8" s="11479"/>
      <c r="D8" s="11479"/>
      <c r="E8" s="11479"/>
      <c r="F8" s="11479"/>
      <c r="G8" s="11479"/>
      <c r="H8" s="11480"/>
    </row>
    <row r="9" spans="1:24" ht="16.5" customHeight="1" x14ac:dyDescent="0.2"/>
    <row r="10" spans="1:24" ht="16.5" customHeight="1" x14ac:dyDescent="0.2">
      <c r="B10" s="52" t="s">
        <v>250</v>
      </c>
    </row>
    <row r="11" spans="1:24" ht="16.5" customHeight="1" x14ac:dyDescent="0.2"/>
    <row r="12" spans="1:24" ht="16.5" customHeight="1" x14ac:dyDescent="0.2"/>
  </sheetData>
  <sheetProtection algorithmName="SHA-512" hashValue="2M/ZLwNp/Ht97v2zHea3/p7VOoEyWddHUA/6jgwsKhgD/91Fyvth+SSerftwNF/XshFqKsRfdpw0PM9S3DjGjQ==" saltValue="9gqbXmj37Z6uwbODq9RivQ==" spinCount="100000" sheet="1" objects="1" scenarios="1"/>
  <mergeCells count="2">
    <mergeCell ref="A1:N1"/>
    <mergeCell ref="B7:H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2</vt:i4>
      </vt:variant>
    </vt:vector>
  </HeadingPairs>
  <TitlesOfParts>
    <vt:vector size="31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  <vt:lpstr>'A24'!Área_de_impresión</vt:lpstr>
      <vt:lpstr>Control!Área_de_impresión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Carmen Gloria Sepulveda Aravena</cp:lastModifiedBy>
  <cp:lastPrinted>2020-06-15T13:36:38Z</cp:lastPrinted>
  <dcterms:created xsi:type="dcterms:W3CDTF">2016-11-22T01:43:45Z</dcterms:created>
  <dcterms:modified xsi:type="dcterms:W3CDTF">2023-04-04T14:34:37Z</dcterms:modified>
</cp:coreProperties>
</file>